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4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yalabadi/Documents/Free-Lance/ScoringMG/"/>
    </mc:Choice>
  </mc:AlternateContent>
  <xr:revisionPtr revIDLastSave="0" documentId="8_{74E21881-659A-D142-8864-F5A49DEE3F5B}" xr6:coauthVersionLast="37" xr6:coauthVersionMax="37" xr10:uidLastSave="{00000000-0000-0000-0000-000000000000}"/>
  <bookViews>
    <workbookView xWindow="0" yWindow="460" windowWidth="22720" windowHeight="5140" tabRatio="841" xr2:uid="{00000000-000D-0000-FFFF-FFFF00000000}"/>
  </bookViews>
  <sheets>
    <sheet name="Schedule from TM" sheetId="1" r:id="rId1"/>
    <sheet name="Color Chart" sheetId="15" r:id="rId2"/>
    <sheet name="SI_teams FormatAdult" sheetId="17" r:id="rId3"/>
    <sheet name="Pools" sheetId="22" r:id="rId4"/>
    <sheet name="Tournaments" sheetId="29" r:id="rId5"/>
    <sheet name="For Standings" sheetId="28" r:id="rId6"/>
    <sheet name="Tables" sheetId="12" r:id="rId7"/>
    <sheet name="Extra Schedule events" sheetId="19" r:id="rId8"/>
    <sheet name="SI_teams" sheetId="2" r:id="rId9"/>
    <sheet name="SI_teams FormatChild" sheetId="16" r:id="rId10"/>
    <sheet name="Summary_teams" sheetId="13" r:id="rId11"/>
    <sheet name="SI_Locations" sheetId="11" r:id="rId12"/>
    <sheet name="SI_Find_times" sheetId="14" r:id="rId13"/>
    <sheet name="Sheet1" sheetId="20" r:id="rId14"/>
  </sheets>
  <functionGroups builtInGroupCount="19"/>
  <definedNames>
    <definedName name="_xlnm._FilterDatabase" localSheetId="7" hidden="1">'Extra Schedule events'!$B$2:$H$195</definedName>
    <definedName name="_xlnm._FilterDatabase" localSheetId="5" hidden="1">'For Standings'!$D$2:$O$1001</definedName>
    <definedName name="_xlnm._FilterDatabase" localSheetId="0" hidden="1">'Schedule from TM'!$A$10:$CE$1044</definedName>
    <definedName name="_xlnm._FilterDatabase" localSheetId="10" hidden="1">Summary_teams!$C$5:$R$142</definedName>
    <definedName name="_xlnm._FilterDatabase" localSheetId="6" hidden="1">Tables!$I$3:$K$206</definedName>
    <definedName name="category_list">Tables!$Z$3:$Z$20</definedName>
    <definedName name="check_time_team_field">'Schedule from TM'!$BF$11:$BI$1051</definedName>
    <definedName name="country_short">Tables!$M$3:$N$30</definedName>
    <definedName name="Days_with_Games">Tables!$U$5:$U$14</definedName>
    <definedName name="events_table">Tables!$I$3:$K$202</definedName>
    <definedName name="extra_schedule_search">'Extra Schedule events'!$N$4:$O$394</definedName>
    <definedName name="finals_search">'Schedule from TM'!$BP$10:$BQ$1026</definedName>
    <definedName name="FS_Keys">'For Standings'!$AG$3:$AG$1000</definedName>
    <definedName name="FS_Points">'For Standings'!$I$3:$I$1000</definedName>
    <definedName name="FS_pools">'For Standings'!$E$3:$E$1000</definedName>
    <definedName name="FS_Rank_on_Points">'For Standings'!$AH$3:$AH$1000</definedName>
    <definedName name="FS_teams">'For Standings'!$G$3:$G$1000</definedName>
    <definedName name="FS_tournaments">'For Standings'!$D$3:$D$1000</definedName>
    <definedName name="location_list">Tables!$P$3:$P$30</definedName>
    <definedName name="Net_1">'Schedule from TM'!$W$11:$W$993</definedName>
    <definedName name="Net_2">'Schedule from TM'!$X$11:$X$993</definedName>
    <definedName name="_xlnm.Print_Area" localSheetId="1">'Color Chart'!$A$1:$AH$58</definedName>
    <definedName name="_xlnm.Print_Area" localSheetId="12">SI_Find_times!$A$3:$K$23</definedName>
    <definedName name="_xlnm.Print_Area" localSheetId="11">SI_Locations!$A$3:$K$23</definedName>
    <definedName name="_xlnm.Print_Area" localSheetId="8">SI_teams!$A$1:$K$21</definedName>
    <definedName name="_xlnm.Print_Area" localSheetId="2">'SI_teams FormatAdult'!$A$1:$M$26</definedName>
    <definedName name="_xlnm.Print_Area" localSheetId="9">'SI_teams FormatChild'!$A$2:$K$25</definedName>
    <definedName name="_xlnm.Print_Area" localSheetId="10">Summary_teams!$C$5:$R$119</definedName>
    <definedName name="Score_1">'Schedule from TM'!$P$11:$P$993</definedName>
    <definedName name="Score_2">'Schedule from TM'!$Q$11:$Q$993</definedName>
    <definedName name="search_location_2">'Schedule from TM'!$AP$10:$AX$1026</definedName>
    <definedName name="search_locations">'Schedule from TM'!$BH$10:$BN$1051</definedName>
    <definedName name="sports_list">Tables!$X$3:$X$15</definedName>
    <definedName name="T2_">'Schedule from TM'!$AK$11:$AK$993</definedName>
    <definedName name="team_list">Tables!$C$4:$C$168</definedName>
    <definedName name="teams_table">Tables!$C$3:$F$173</definedName>
    <definedName name="test">Summary_teams!$R$6</definedName>
    <definedName name="Time_Slots">Tables!$S$4</definedName>
    <definedName name="time_slots_text">Tables!$S$31:$S$50</definedName>
    <definedName name="Time_Slots_used">Tables!$S$7:$S$27</definedName>
    <definedName name="TM_Events">'Schedule from TM'!$B$11:$B$993</definedName>
    <definedName name="TM_L1">'Schedule from TM'!$AG$11:$AG$993</definedName>
    <definedName name="TM_L2">'Schedule from TM'!$AJ$11:$AJ$993</definedName>
    <definedName name="TM_Participant1">'Schedule from TM'!$L$11:$L$993</definedName>
    <definedName name="TM_Participant2">'Schedule from TM'!$N$11:$N$993</definedName>
    <definedName name="TM_Score1">'Schedule from TM'!$P$11:$P$993</definedName>
    <definedName name="TM_Score2">'Schedule from TM'!$Q$11:$Q$993</definedName>
    <definedName name="TM_T1">'Schedule from TM'!$AH$11:$AH$993</definedName>
    <definedName name="TM_T2">'Schedule from TM'!$AK$11:$AK$993</definedName>
    <definedName name="TM_W1">'Schedule from TM'!$AF$11:$AF$993</definedName>
    <definedName name="TM_w2">'Schedule from TM'!$AI$11:$AI$993</definedName>
  </definedNames>
  <calcPr calcId="179021"/>
  <fileRecoveryPr autoRecover="0"/>
</workbook>
</file>

<file path=xl/calcChain.xml><?xml version="1.0" encoding="utf-8"?>
<calcChain xmlns="http://schemas.openxmlformats.org/spreadsheetml/2006/main">
  <c r="AT4" i="28" l="1"/>
  <c r="AT5" i="28"/>
  <c r="AT6" i="28"/>
  <c r="AT7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T39" i="28"/>
  <c r="AT40" i="28"/>
  <c r="AT41" i="28"/>
  <c r="AT42" i="28"/>
  <c r="AT43" i="28"/>
  <c r="AT44" i="28"/>
  <c r="AT45" i="28"/>
  <c r="AT46" i="28"/>
  <c r="AT47" i="28"/>
  <c r="AT48" i="28"/>
  <c r="AT49" i="28"/>
  <c r="AT50" i="28"/>
  <c r="AT51" i="28"/>
  <c r="AT52" i="28"/>
  <c r="AT53" i="28"/>
  <c r="AT54" i="28"/>
  <c r="AT55" i="28"/>
  <c r="AT56" i="28"/>
  <c r="AT57" i="28"/>
  <c r="AT58" i="28"/>
  <c r="AT59" i="28"/>
  <c r="AT60" i="28"/>
  <c r="AT61" i="28"/>
  <c r="AT62" i="28"/>
  <c r="AT63" i="28"/>
  <c r="AT64" i="28"/>
  <c r="AT65" i="28"/>
  <c r="AT66" i="28"/>
  <c r="AT67" i="28"/>
  <c r="AT68" i="28"/>
  <c r="AT69" i="28"/>
  <c r="AT70" i="28"/>
  <c r="AT71" i="28"/>
  <c r="AT72" i="28"/>
  <c r="AT73" i="28"/>
  <c r="AT74" i="28"/>
  <c r="AT75" i="28"/>
  <c r="AT76" i="28"/>
  <c r="AT77" i="28"/>
  <c r="AT78" i="28"/>
  <c r="AT79" i="28"/>
  <c r="AT80" i="28"/>
  <c r="AT81" i="28"/>
  <c r="AT82" i="28"/>
  <c r="AT83" i="28"/>
  <c r="AT84" i="28"/>
  <c r="AT85" i="28"/>
  <c r="AT86" i="28"/>
  <c r="AT87" i="28"/>
  <c r="AT88" i="28"/>
  <c r="AT89" i="28"/>
  <c r="AT90" i="28"/>
  <c r="AT91" i="28"/>
  <c r="AT92" i="28"/>
  <c r="AT93" i="28"/>
  <c r="AT94" i="28"/>
  <c r="AT95" i="28"/>
  <c r="AT96" i="28"/>
  <c r="AT97" i="28"/>
  <c r="AT98" i="28"/>
  <c r="AT99" i="28"/>
  <c r="AT100" i="28"/>
  <c r="AT101" i="28"/>
  <c r="AT102" i="28"/>
  <c r="AT103" i="28"/>
  <c r="AT104" i="28"/>
  <c r="AT105" i="28"/>
  <c r="AT106" i="28"/>
  <c r="AT107" i="28"/>
  <c r="AT108" i="28"/>
  <c r="AT109" i="28"/>
  <c r="AT110" i="28"/>
  <c r="AT111" i="28"/>
  <c r="AT112" i="28"/>
  <c r="AT113" i="28"/>
  <c r="AT114" i="28"/>
  <c r="AT115" i="28"/>
  <c r="AT116" i="28"/>
  <c r="AT117" i="28"/>
  <c r="AT118" i="28"/>
  <c r="AT119" i="28"/>
  <c r="AT120" i="28"/>
  <c r="AT121" i="28"/>
  <c r="AT122" i="28"/>
  <c r="AT123" i="28"/>
  <c r="AT124" i="28"/>
  <c r="AT125" i="28"/>
  <c r="AT126" i="28"/>
  <c r="AT127" i="28"/>
  <c r="AT128" i="28"/>
  <c r="AT129" i="28"/>
  <c r="AT130" i="28"/>
  <c r="AT131" i="28"/>
  <c r="AT132" i="28"/>
  <c r="AT133" i="28"/>
  <c r="AT134" i="28"/>
  <c r="AT135" i="28"/>
  <c r="AT136" i="28"/>
  <c r="AT137" i="28"/>
  <c r="AT138" i="28"/>
  <c r="AT139" i="28"/>
  <c r="AT140" i="28"/>
  <c r="AT141" i="28"/>
  <c r="AT142" i="28"/>
  <c r="AT143" i="28"/>
  <c r="AT144" i="28"/>
  <c r="AT145" i="28"/>
  <c r="AT146" i="28"/>
  <c r="AT147" i="28"/>
  <c r="AT148" i="28"/>
  <c r="AT149" i="28"/>
  <c r="AT150" i="28"/>
  <c r="AT151" i="28"/>
  <c r="AT152" i="28"/>
  <c r="AT153" i="28"/>
  <c r="AT154" i="28"/>
  <c r="AT155" i="28"/>
  <c r="AT156" i="28"/>
  <c r="AT157" i="28"/>
  <c r="AT158" i="28"/>
  <c r="AT159" i="28"/>
  <c r="AT160" i="28"/>
  <c r="AT161" i="28"/>
  <c r="AT162" i="28"/>
  <c r="AT163" i="28"/>
  <c r="AT164" i="28"/>
  <c r="AT165" i="28"/>
  <c r="AT166" i="28"/>
  <c r="AT167" i="28"/>
  <c r="AT168" i="28"/>
  <c r="AT169" i="28"/>
  <c r="AT170" i="28"/>
  <c r="AT171" i="28"/>
  <c r="AT172" i="28"/>
  <c r="AT173" i="28"/>
  <c r="AT174" i="28"/>
  <c r="AT175" i="28"/>
  <c r="AT176" i="28"/>
  <c r="AT177" i="28"/>
  <c r="AT178" i="28"/>
  <c r="AT179" i="28"/>
  <c r="AT180" i="28"/>
  <c r="AT181" i="28"/>
  <c r="AT182" i="28"/>
  <c r="AT183" i="28"/>
  <c r="AT184" i="28"/>
  <c r="AT185" i="28"/>
  <c r="AT186" i="28"/>
  <c r="AT187" i="28"/>
  <c r="AT188" i="28"/>
  <c r="AT189" i="28"/>
  <c r="AT190" i="28"/>
  <c r="AT191" i="28"/>
  <c r="AT192" i="28"/>
  <c r="AT193" i="28"/>
  <c r="AT194" i="28"/>
  <c r="AT195" i="28"/>
  <c r="AT196" i="28"/>
  <c r="AT197" i="28"/>
  <c r="AT198" i="28"/>
  <c r="AT199" i="28"/>
  <c r="AT200" i="28"/>
  <c r="AT201" i="28"/>
  <c r="AT202" i="28"/>
  <c r="AT203" i="28"/>
  <c r="AT204" i="28"/>
  <c r="AT205" i="28"/>
  <c r="AT206" i="28"/>
  <c r="AT207" i="28"/>
  <c r="AT208" i="28"/>
  <c r="AT209" i="28"/>
  <c r="AT210" i="28"/>
  <c r="AT211" i="28"/>
  <c r="AT212" i="28"/>
  <c r="AT213" i="28"/>
  <c r="AT214" i="28"/>
  <c r="AT215" i="28"/>
  <c r="AT216" i="28"/>
  <c r="AT217" i="28"/>
  <c r="AT218" i="28"/>
  <c r="AT219" i="28"/>
  <c r="AT220" i="28"/>
  <c r="AT221" i="28"/>
  <c r="AT222" i="28"/>
  <c r="AT223" i="28"/>
  <c r="AT224" i="28"/>
  <c r="AT225" i="28"/>
  <c r="AT226" i="28"/>
  <c r="AT227" i="28"/>
  <c r="AT228" i="28"/>
  <c r="AT229" i="28"/>
  <c r="AT230" i="28"/>
  <c r="AT231" i="28"/>
  <c r="AT232" i="28"/>
  <c r="AT233" i="28"/>
  <c r="AT234" i="28"/>
  <c r="AT235" i="28"/>
  <c r="AT236" i="28"/>
  <c r="AT237" i="28"/>
  <c r="AT238" i="28"/>
  <c r="AT239" i="28"/>
  <c r="AT240" i="28"/>
  <c r="AT241" i="28"/>
  <c r="AT242" i="28"/>
  <c r="AT243" i="28"/>
  <c r="AT244" i="28"/>
  <c r="AT245" i="28"/>
  <c r="AT246" i="28"/>
  <c r="AT247" i="28"/>
  <c r="AT248" i="28"/>
  <c r="AT249" i="28"/>
  <c r="AT250" i="28"/>
  <c r="AT251" i="28"/>
  <c r="AT252" i="28"/>
  <c r="AT253" i="28"/>
  <c r="AT254" i="28"/>
  <c r="AT255" i="28"/>
  <c r="AT256" i="28"/>
  <c r="AT257" i="28"/>
  <c r="AT258" i="28"/>
  <c r="AT259" i="28"/>
  <c r="AT260" i="28"/>
  <c r="AT261" i="28"/>
  <c r="AT262" i="28"/>
  <c r="AT263" i="28"/>
  <c r="AT264" i="28"/>
  <c r="AT265" i="28"/>
  <c r="AT266" i="28"/>
  <c r="AT267" i="28"/>
  <c r="AT268" i="28"/>
  <c r="AT269" i="28"/>
  <c r="AT270" i="28"/>
  <c r="AT271" i="28"/>
  <c r="AT272" i="28"/>
  <c r="AT273" i="28"/>
  <c r="AT274" i="28"/>
  <c r="AT275" i="28"/>
  <c r="AT276" i="28"/>
  <c r="AT277" i="28"/>
  <c r="AT278" i="28"/>
  <c r="AT279" i="28"/>
  <c r="AT280" i="28"/>
  <c r="AT281" i="28"/>
  <c r="AT282" i="28"/>
  <c r="AT283" i="28"/>
  <c r="AT284" i="28"/>
  <c r="AT285" i="28"/>
  <c r="AT286" i="28"/>
  <c r="AT287" i="28"/>
  <c r="AT288" i="28"/>
  <c r="AT289" i="28"/>
  <c r="AT290" i="28"/>
  <c r="AT291" i="28"/>
  <c r="AT292" i="28"/>
  <c r="AT293" i="28"/>
  <c r="AT294" i="28"/>
  <c r="AT295" i="28"/>
  <c r="AT296" i="28"/>
  <c r="AT297" i="28"/>
  <c r="AT298" i="28"/>
  <c r="AT299" i="28"/>
  <c r="AT300" i="28"/>
  <c r="AT301" i="28"/>
  <c r="AT302" i="28"/>
  <c r="AT303" i="28"/>
  <c r="AT304" i="28"/>
  <c r="AT305" i="28"/>
  <c r="AT306" i="28"/>
  <c r="AT307" i="28"/>
  <c r="AT308" i="28"/>
  <c r="AT309" i="28"/>
  <c r="AT310" i="28"/>
  <c r="AT311" i="28"/>
  <c r="AT312" i="28"/>
  <c r="AT313" i="28"/>
  <c r="AT314" i="28"/>
  <c r="AT315" i="28"/>
  <c r="AT316" i="28"/>
  <c r="AT317" i="28"/>
  <c r="AT318" i="28"/>
  <c r="AT319" i="28"/>
  <c r="AT320" i="28"/>
  <c r="AT321" i="28"/>
  <c r="AT322" i="28"/>
  <c r="AT323" i="28"/>
  <c r="AT324" i="28"/>
  <c r="AT325" i="28"/>
  <c r="AT326" i="28"/>
  <c r="AT327" i="28"/>
  <c r="AT328" i="28"/>
  <c r="AT329" i="28"/>
  <c r="AT330" i="28"/>
  <c r="AT331" i="28"/>
  <c r="AT332" i="28"/>
  <c r="AT333" i="28"/>
  <c r="AT334" i="28"/>
  <c r="AT335" i="28"/>
  <c r="AT336" i="28"/>
  <c r="AT337" i="28"/>
  <c r="AT338" i="28"/>
  <c r="AT339" i="28"/>
  <c r="AT340" i="28"/>
  <c r="AT341" i="28"/>
  <c r="AT342" i="28"/>
  <c r="AT343" i="28"/>
  <c r="AT344" i="28"/>
  <c r="AT345" i="28"/>
  <c r="AT346" i="28"/>
  <c r="AT347" i="28"/>
  <c r="AT348" i="28"/>
  <c r="AT349" i="28"/>
  <c r="AT350" i="28"/>
  <c r="AT351" i="28"/>
  <c r="AT352" i="28"/>
  <c r="AT353" i="28"/>
  <c r="AT354" i="28"/>
  <c r="AT355" i="28"/>
  <c r="AT356" i="28"/>
  <c r="AT357" i="28"/>
  <c r="AT358" i="28"/>
  <c r="AT359" i="28"/>
  <c r="AT360" i="28"/>
  <c r="AT361" i="28"/>
  <c r="AT362" i="28"/>
  <c r="AT363" i="28"/>
  <c r="AT364" i="28"/>
  <c r="AT365" i="28"/>
  <c r="AT366" i="28"/>
  <c r="AT367" i="28"/>
  <c r="AT368" i="28"/>
  <c r="AT369" i="28"/>
  <c r="AT370" i="28"/>
  <c r="AT371" i="28"/>
  <c r="AT372" i="28"/>
  <c r="AT373" i="28"/>
  <c r="AT374" i="28"/>
  <c r="AT375" i="28"/>
  <c r="AT376" i="28"/>
  <c r="AT377" i="28"/>
  <c r="AT378" i="28"/>
  <c r="AT379" i="28"/>
  <c r="AT380" i="28"/>
  <c r="AT381" i="28"/>
  <c r="AT382" i="28"/>
  <c r="AT383" i="28"/>
  <c r="AT384" i="28"/>
  <c r="AT385" i="28"/>
  <c r="AT386" i="28"/>
  <c r="AT387" i="28"/>
  <c r="AT388" i="28"/>
  <c r="AT389" i="28"/>
  <c r="AT390" i="28"/>
  <c r="AT391" i="28"/>
  <c r="AT392" i="28"/>
  <c r="AT393" i="28"/>
  <c r="AT394" i="28"/>
  <c r="AT395" i="28"/>
  <c r="AT396" i="28"/>
  <c r="AT397" i="28"/>
  <c r="AT398" i="28"/>
  <c r="AT399" i="28"/>
  <c r="AT400" i="28"/>
  <c r="AT401" i="28"/>
  <c r="AT402" i="28"/>
  <c r="AT403" i="28"/>
  <c r="AT404" i="28"/>
  <c r="AT405" i="28"/>
  <c r="AT406" i="28"/>
  <c r="AT407" i="28"/>
  <c r="AT408" i="28"/>
  <c r="AT409" i="28"/>
  <c r="AT410" i="28"/>
  <c r="AT411" i="28"/>
  <c r="AT412" i="28"/>
  <c r="AT413" i="28"/>
  <c r="AT414" i="28"/>
  <c r="AT415" i="28"/>
  <c r="AT416" i="28"/>
  <c r="AT417" i="28"/>
  <c r="AT418" i="28"/>
  <c r="AT419" i="28"/>
  <c r="AT420" i="28"/>
  <c r="AT421" i="28"/>
  <c r="AT422" i="28"/>
  <c r="AT423" i="28"/>
  <c r="AT424" i="28"/>
  <c r="AT425" i="28"/>
  <c r="AT426" i="28"/>
  <c r="AT427" i="28"/>
  <c r="AT428" i="28"/>
  <c r="AT429" i="28"/>
  <c r="AT430" i="28"/>
  <c r="AT431" i="28"/>
  <c r="AT432" i="28"/>
  <c r="AT433" i="28"/>
  <c r="AT434" i="28"/>
  <c r="AT435" i="28"/>
  <c r="AT436" i="28"/>
  <c r="AT437" i="28"/>
  <c r="AT438" i="28"/>
  <c r="AT439" i="28"/>
  <c r="AT440" i="28"/>
  <c r="AT441" i="28"/>
  <c r="AT442" i="28"/>
  <c r="AT443" i="28"/>
  <c r="AT444" i="28"/>
  <c r="AT445" i="28"/>
  <c r="AT446" i="28"/>
  <c r="AT447" i="28"/>
  <c r="AT448" i="28"/>
  <c r="AT449" i="28"/>
  <c r="AT450" i="28"/>
  <c r="AT451" i="28"/>
  <c r="AT452" i="28"/>
  <c r="AT453" i="28"/>
  <c r="AT454" i="28"/>
  <c r="AT455" i="28"/>
  <c r="AT456" i="28"/>
  <c r="AT457" i="28"/>
  <c r="AT458" i="28"/>
  <c r="AT459" i="28"/>
  <c r="AT460" i="28"/>
  <c r="AT461" i="28"/>
  <c r="AT462" i="28"/>
  <c r="AT463" i="28"/>
  <c r="AT464" i="28"/>
  <c r="AT465" i="28"/>
  <c r="AT466" i="28"/>
  <c r="AT467" i="28"/>
  <c r="AT468" i="28"/>
  <c r="AT469" i="28"/>
  <c r="AT470" i="28"/>
  <c r="AT471" i="28"/>
  <c r="AT472" i="28"/>
  <c r="AT473" i="28"/>
  <c r="AT474" i="28"/>
  <c r="AT475" i="28"/>
  <c r="AT476" i="28"/>
  <c r="AT477" i="28"/>
  <c r="AT478" i="28"/>
  <c r="AT479" i="28"/>
  <c r="AT480" i="28"/>
  <c r="AT481" i="28"/>
  <c r="AT482" i="28"/>
  <c r="AT483" i="28"/>
  <c r="AT484" i="28"/>
  <c r="AT485" i="28"/>
  <c r="AT486" i="28"/>
  <c r="AT487" i="28"/>
  <c r="AT488" i="28"/>
  <c r="AT489" i="28"/>
  <c r="AT490" i="28"/>
  <c r="AT491" i="28"/>
  <c r="AT492" i="28"/>
  <c r="AT493" i="28"/>
  <c r="AT494" i="28"/>
  <c r="AT495" i="28"/>
  <c r="AT496" i="28"/>
  <c r="AT497" i="28"/>
  <c r="AT498" i="28"/>
  <c r="AT499" i="28"/>
  <c r="AT500" i="28"/>
  <c r="AT501" i="28"/>
  <c r="AT502" i="28"/>
  <c r="AT503" i="28"/>
  <c r="AT504" i="28"/>
  <c r="AT505" i="28"/>
  <c r="AT506" i="28"/>
  <c r="AT507" i="28"/>
  <c r="AT508" i="28"/>
  <c r="AT509" i="28"/>
  <c r="AT510" i="28"/>
  <c r="AT511" i="28"/>
  <c r="AT512" i="28"/>
  <c r="AT513" i="28"/>
  <c r="AT514" i="28"/>
  <c r="AT515" i="28"/>
  <c r="AT516" i="28"/>
  <c r="AT517" i="28"/>
  <c r="AT518" i="28"/>
  <c r="AT519" i="28"/>
  <c r="AT520" i="28"/>
  <c r="AT521" i="28"/>
  <c r="AT522" i="28"/>
  <c r="AT523" i="28"/>
  <c r="AT524" i="28"/>
  <c r="AT525" i="28"/>
  <c r="AT526" i="28"/>
  <c r="AT527" i="28"/>
  <c r="AT528" i="28"/>
  <c r="AT529" i="28"/>
  <c r="AT530" i="28"/>
  <c r="AT531" i="28"/>
  <c r="AT532" i="28"/>
  <c r="AT533" i="28"/>
  <c r="AT534" i="28"/>
  <c r="AT535" i="28"/>
  <c r="AT536" i="28"/>
  <c r="AT537" i="28"/>
  <c r="AT538" i="28"/>
  <c r="AT539" i="28"/>
  <c r="AT540" i="28"/>
  <c r="AT541" i="28"/>
  <c r="AT542" i="28"/>
  <c r="AT543" i="28"/>
  <c r="AT544" i="28"/>
  <c r="AT545" i="28"/>
  <c r="AT546" i="28"/>
  <c r="AT547" i="28"/>
  <c r="AT548" i="28"/>
  <c r="AT549" i="28"/>
  <c r="AT550" i="28"/>
  <c r="AT551" i="28"/>
  <c r="AT552" i="28"/>
  <c r="AT553" i="28"/>
  <c r="AT554" i="28"/>
  <c r="AT555" i="28"/>
  <c r="AT556" i="28"/>
  <c r="AT557" i="28"/>
  <c r="AT558" i="28"/>
  <c r="AT559" i="28"/>
  <c r="AT560" i="28"/>
  <c r="AT561" i="28"/>
  <c r="AT562" i="28"/>
  <c r="AT563" i="28"/>
  <c r="AT564" i="28"/>
  <c r="AT565" i="28"/>
  <c r="AT566" i="28"/>
  <c r="AT567" i="28"/>
  <c r="AT568" i="28"/>
  <c r="AT569" i="28"/>
  <c r="AT570" i="28"/>
  <c r="AT571" i="28"/>
  <c r="AT572" i="28"/>
  <c r="AT573" i="28"/>
  <c r="AT574" i="28"/>
  <c r="AT575" i="28"/>
  <c r="AT576" i="28"/>
  <c r="AT577" i="28"/>
  <c r="AT578" i="28"/>
  <c r="AT579" i="28"/>
  <c r="AT580" i="28"/>
  <c r="AT581" i="28"/>
  <c r="AT582" i="28"/>
  <c r="AT583" i="28"/>
  <c r="AT584" i="28"/>
  <c r="AT585" i="28"/>
  <c r="AT586" i="28"/>
  <c r="AT587" i="28"/>
  <c r="AT588" i="28"/>
  <c r="AT589" i="28"/>
  <c r="AT590" i="28"/>
  <c r="AT591" i="28"/>
  <c r="AT592" i="28"/>
  <c r="AT593" i="28"/>
  <c r="AT594" i="28"/>
  <c r="AT595" i="28"/>
  <c r="AT596" i="28"/>
  <c r="AT597" i="28"/>
  <c r="AT598" i="28"/>
  <c r="AT599" i="28"/>
  <c r="AT600" i="28"/>
  <c r="AT601" i="28"/>
  <c r="AT602" i="28"/>
  <c r="AT603" i="28"/>
  <c r="AT604" i="28"/>
  <c r="AT605" i="28"/>
  <c r="AT606" i="28"/>
  <c r="AT607" i="28"/>
  <c r="AT608" i="28"/>
  <c r="AT609" i="28"/>
  <c r="AT610" i="28"/>
  <c r="AT611" i="28"/>
  <c r="AT612" i="28"/>
  <c r="AT613" i="28"/>
  <c r="AT614" i="28"/>
  <c r="AT615" i="28"/>
  <c r="AT616" i="28"/>
  <c r="AT617" i="28"/>
  <c r="AT618" i="28"/>
  <c r="AT619" i="28"/>
  <c r="AT620" i="28"/>
  <c r="AT621" i="28"/>
  <c r="AT622" i="28"/>
  <c r="AT623" i="28"/>
  <c r="AT624" i="28"/>
  <c r="AT625" i="28"/>
  <c r="AT626" i="28"/>
  <c r="AT627" i="28"/>
  <c r="AT628" i="28"/>
  <c r="AT629" i="28"/>
  <c r="AT630" i="28"/>
  <c r="AT631" i="28"/>
  <c r="AT632" i="28"/>
  <c r="AT633" i="28"/>
  <c r="AT634" i="28"/>
  <c r="AT635" i="28"/>
  <c r="AT636" i="28"/>
  <c r="AT637" i="28"/>
  <c r="AT638" i="28"/>
  <c r="AT639" i="28"/>
  <c r="AT640" i="28"/>
  <c r="AT641" i="28"/>
  <c r="AT642" i="28"/>
  <c r="AT643" i="28"/>
  <c r="AT644" i="28"/>
  <c r="AT645" i="28"/>
  <c r="AT646" i="28"/>
  <c r="AT647" i="28"/>
  <c r="AT648" i="28"/>
  <c r="AT649" i="28"/>
  <c r="AT650" i="28"/>
  <c r="AT651" i="28"/>
  <c r="AT652" i="28"/>
  <c r="AT653" i="28"/>
  <c r="AT654" i="28"/>
  <c r="AT655" i="28"/>
  <c r="AT656" i="28"/>
  <c r="AT657" i="28"/>
  <c r="AT658" i="28"/>
  <c r="AT659" i="28"/>
  <c r="AT660" i="28"/>
  <c r="AT661" i="28"/>
  <c r="AT662" i="28"/>
  <c r="AT663" i="28"/>
  <c r="AT664" i="28"/>
  <c r="AT665" i="28"/>
  <c r="AT666" i="28"/>
  <c r="AT667" i="28"/>
  <c r="AT668" i="28"/>
  <c r="AT669" i="28"/>
  <c r="AT670" i="28"/>
  <c r="AT671" i="28"/>
  <c r="AT672" i="28"/>
  <c r="AT673" i="28"/>
  <c r="AT674" i="28"/>
  <c r="AT675" i="28"/>
  <c r="AT676" i="28"/>
  <c r="AT677" i="28"/>
  <c r="AT678" i="28"/>
  <c r="AT679" i="28"/>
  <c r="AT680" i="28"/>
  <c r="AT681" i="28"/>
  <c r="AT682" i="28"/>
  <c r="AT683" i="28"/>
  <c r="AT684" i="28"/>
  <c r="AT685" i="28"/>
  <c r="AT686" i="28"/>
  <c r="AT687" i="28"/>
  <c r="AT688" i="28"/>
  <c r="AT689" i="28"/>
  <c r="AT690" i="28"/>
  <c r="AT691" i="28"/>
  <c r="AT692" i="28"/>
  <c r="AT693" i="28"/>
  <c r="AT694" i="28"/>
  <c r="AT695" i="28"/>
  <c r="AT696" i="28"/>
  <c r="AT697" i="28"/>
  <c r="AT698" i="28"/>
  <c r="AT699" i="28"/>
  <c r="AT700" i="28"/>
  <c r="AT701" i="28"/>
  <c r="AT702" i="28"/>
  <c r="AT703" i="28"/>
  <c r="AT704" i="28"/>
  <c r="AT705" i="28"/>
  <c r="AT706" i="28"/>
  <c r="AT707" i="28"/>
  <c r="AT708" i="28"/>
  <c r="AT709" i="28"/>
  <c r="AT710" i="28"/>
  <c r="AT711" i="28"/>
  <c r="AT712" i="28"/>
  <c r="AT713" i="28"/>
  <c r="AT714" i="28"/>
  <c r="AT715" i="28"/>
  <c r="AT716" i="28"/>
  <c r="AT717" i="28"/>
  <c r="AT718" i="28"/>
  <c r="AT719" i="28"/>
  <c r="AT720" i="28"/>
  <c r="AT721" i="28"/>
  <c r="AT722" i="28"/>
  <c r="AT723" i="28"/>
  <c r="AT724" i="28"/>
  <c r="AT725" i="28"/>
  <c r="AT726" i="28"/>
  <c r="AT727" i="28"/>
  <c r="AT728" i="28"/>
  <c r="AT729" i="28"/>
  <c r="AT730" i="28"/>
  <c r="AT731" i="28"/>
  <c r="AT732" i="28"/>
  <c r="AT733" i="28"/>
  <c r="AT734" i="28"/>
  <c r="AT735" i="28"/>
  <c r="AT736" i="28"/>
  <c r="AT737" i="28"/>
  <c r="AT738" i="28"/>
  <c r="AT739" i="28"/>
  <c r="AT740" i="28"/>
  <c r="AT741" i="28"/>
  <c r="AT742" i="28"/>
  <c r="AT743" i="28"/>
  <c r="AT744" i="28"/>
  <c r="AT745" i="28"/>
  <c r="AT746" i="28"/>
  <c r="AT747" i="28"/>
  <c r="AT748" i="28"/>
  <c r="AT749" i="28"/>
  <c r="AT750" i="28"/>
  <c r="AT751" i="28"/>
  <c r="AT752" i="28"/>
  <c r="AT753" i="28"/>
  <c r="AT754" i="28"/>
  <c r="AT755" i="28"/>
  <c r="AT756" i="28"/>
  <c r="AT757" i="28"/>
  <c r="AT758" i="28"/>
  <c r="AT759" i="28"/>
  <c r="AT760" i="28"/>
  <c r="AT761" i="28"/>
  <c r="AT762" i="28"/>
  <c r="AT763" i="28"/>
  <c r="AT764" i="28"/>
  <c r="AT765" i="28"/>
  <c r="AT766" i="28"/>
  <c r="AT767" i="28"/>
  <c r="AT768" i="28"/>
  <c r="AT769" i="28"/>
  <c r="AT770" i="28"/>
  <c r="AT771" i="28"/>
  <c r="AT772" i="28"/>
  <c r="AT773" i="28"/>
  <c r="AT774" i="28"/>
  <c r="AT775" i="28"/>
  <c r="AT776" i="28"/>
  <c r="AT777" i="28"/>
  <c r="AT778" i="28"/>
  <c r="AT779" i="28"/>
  <c r="AT780" i="28"/>
  <c r="AT781" i="28"/>
  <c r="AT782" i="28"/>
  <c r="AT783" i="28"/>
  <c r="AT784" i="28"/>
  <c r="AT785" i="28"/>
  <c r="AT786" i="28"/>
  <c r="AT787" i="28"/>
  <c r="AT788" i="28"/>
  <c r="AT789" i="28"/>
  <c r="AT790" i="28"/>
  <c r="AT791" i="28"/>
  <c r="AT792" i="28"/>
  <c r="AT793" i="28"/>
  <c r="AT794" i="28"/>
  <c r="AT795" i="28"/>
  <c r="AT796" i="28"/>
  <c r="AT797" i="28"/>
  <c r="AT798" i="28"/>
  <c r="AT799" i="28"/>
  <c r="AT800" i="28"/>
  <c r="AT801" i="28"/>
  <c r="AT802" i="28"/>
  <c r="AT803" i="28"/>
  <c r="AT804" i="28"/>
  <c r="AT805" i="28"/>
  <c r="AT806" i="28"/>
  <c r="AT807" i="28"/>
  <c r="AT808" i="28"/>
  <c r="AT809" i="28"/>
  <c r="AT810" i="28"/>
  <c r="AT811" i="28"/>
  <c r="AT812" i="28"/>
  <c r="AT813" i="28"/>
  <c r="AT814" i="28"/>
  <c r="AT815" i="28"/>
  <c r="AT816" i="28"/>
  <c r="AT817" i="28"/>
  <c r="AT818" i="28"/>
  <c r="AT819" i="28"/>
  <c r="AT820" i="28"/>
  <c r="AT821" i="28"/>
  <c r="AT822" i="28"/>
  <c r="AT823" i="28"/>
  <c r="AT824" i="28"/>
  <c r="AT825" i="28"/>
  <c r="AT826" i="28"/>
  <c r="AT827" i="28"/>
  <c r="AT828" i="28"/>
  <c r="AT829" i="28"/>
  <c r="AT830" i="28"/>
  <c r="AT831" i="28"/>
  <c r="AT832" i="28"/>
  <c r="AT833" i="28"/>
  <c r="AT834" i="28"/>
  <c r="AT835" i="28"/>
  <c r="AT836" i="28"/>
  <c r="AT837" i="28"/>
  <c r="AT838" i="28"/>
  <c r="AT839" i="28"/>
  <c r="AT840" i="28"/>
  <c r="AT841" i="28"/>
  <c r="AT842" i="28"/>
  <c r="AT843" i="28"/>
  <c r="AT844" i="28"/>
  <c r="AT845" i="28"/>
  <c r="AT846" i="28"/>
  <c r="AT847" i="28"/>
  <c r="AT848" i="28"/>
  <c r="AT849" i="28"/>
  <c r="AT850" i="28"/>
  <c r="AT851" i="28"/>
  <c r="AT852" i="28"/>
  <c r="AT853" i="28"/>
  <c r="AT854" i="28"/>
  <c r="AT855" i="28"/>
  <c r="AT856" i="28"/>
  <c r="AT857" i="28"/>
  <c r="AT858" i="28"/>
  <c r="AT859" i="28"/>
  <c r="AT860" i="28"/>
  <c r="AT861" i="28"/>
  <c r="AT862" i="28"/>
  <c r="AT863" i="28"/>
  <c r="AT864" i="28"/>
  <c r="AT865" i="28"/>
  <c r="AT866" i="28"/>
  <c r="AT867" i="28"/>
  <c r="AT868" i="28"/>
  <c r="AT869" i="28"/>
  <c r="AT870" i="28"/>
  <c r="AT871" i="28"/>
  <c r="AT872" i="28"/>
  <c r="AT873" i="28"/>
  <c r="AT874" i="28"/>
  <c r="AT875" i="28"/>
  <c r="AT876" i="28"/>
  <c r="AT877" i="28"/>
  <c r="AT878" i="28"/>
  <c r="AT879" i="28"/>
  <c r="AT880" i="28"/>
  <c r="AT881" i="28"/>
  <c r="AT882" i="28"/>
  <c r="AT883" i="28"/>
  <c r="AT884" i="28"/>
  <c r="AT885" i="28"/>
  <c r="AT886" i="28"/>
  <c r="AT887" i="28"/>
  <c r="AT888" i="28"/>
  <c r="AT889" i="28"/>
  <c r="AT890" i="28"/>
  <c r="AT891" i="28"/>
  <c r="AT892" i="28"/>
  <c r="AT893" i="28"/>
  <c r="AT894" i="28"/>
  <c r="AT895" i="28"/>
  <c r="AT896" i="28"/>
  <c r="AT897" i="28"/>
  <c r="AT898" i="28"/>
  <c r="AT899" i="28"/>
  <c r="AT900" i="28"/>
  <c r="AT901" i="28"/>
  <c r="AT902" i="28"/>
  <c r="AT903" i="28"/>
  <c r="AT904" i="28"/>
  <c r="AT905" i="28"/>
  <c r="AT906" i="28"/>
  <c r="AT907" i="28"/>
  <c r="AT908" i="28"/>
  <c r="AT909" i="28"/>
  <c r="AT910" i="28"/>
  <c r="AT911" i="28"/>
  <c r="AT912" i="28"/>
  <c r="AT913" i="28"/>
  <c r="AT914" i="28"/>
  <c r="AT915" i="28"/>
  <c r="AT916" i="28"/>
  <c r="AT917" i="28"/>
  <c r="AT918" i="28"/>
  <c r="AT919" i="28"/>
  <c r="AT920" i="28"/>
  <c r="AT921" i="28"/>
  <c r="AT922" i="28"/>
  <c r="AT923" i="28"/>
  <c r="AT924" i="28"/>
  <c r="AT925" i="28"/>
  <c r="AT926" i="28"/>
  <c r="AT927" i="28"/>
  <c r="AT928" i="28"/>
  <c r="AT929" i="28"/>
  <c r="AT930" i="28"/>
  <c r="AT931" i="28"/>
  <c r="AT932" i="28"/>
  <c r="AT933" i="28"/>
  <c r="AT934" i="28"/>
  <c r="AT935" i="28"/>
  <c r="AT936" i="28"/>
  <c r="AT937" i="28"/>
  <c r="AT938" i="28"/>
  <c r="AT939" i="28"/>
  <c r="AT940" i="28"/>
  <c r="AT941" i="28"/>
  <c r="AT942" i="28"/>
  <c r="AT943" i="28"/>
  <c r="AT944" i="28"/>
  <c r="AT945" i="28"/>
  <c r="AT946" i="28"/>
  <c r="AT947" i="28"/>
  <c r="AT948" i="28"/>
  <c r="AT949" i="28"/>
  <c r="AT950" i="28"/>
  <c r="AT951" i="28"/>
  <c r="AT952" i="28"/>
  <c r="AT953" i="28"/>
  <c r="AT954" i="28"/>
  <c r="AT955" i="28"/>
  <c r="AT956" i="28"/>
  <c r="AT957" i="28"/>
  <c r="AT958" i="28"/>
  <c r="AT959" i="28"/>
  <c r="AT960" i="28"/>
  <c r="AT961" i="28"/>
  <c r="AT962" i="28"/>
  <c r="AT963" i="28"/>
  <c r="AT964" i="28"/>
  <c r="AT965" i="28"/>
  <c r="AT966" i="28"/>
  <c r="AT967" i="28"/>
  <c r="AT968" i="28"/>
  <c r="AT969" i="28"/>
  <c r="AT970" i="28"/>
  <c r="AT971" i="28"/>
  <c r="AT972" i="28"/>
  <c r="AT973" i="28"/>
  <c r="AT974" i="28"/>
  <c r="AT975" i="28"/>
  <c r="AT976" i="28"/>
  <c r="AT977" i="28"/>
  <c r="AT978" i="28"/>
  <c r="AT979" i="28"/>
  <c r="AT980" i="28"/>
  <c r="AT981" i="28"/>
  <c r="AT982" i="28"/>
  <c r="AT983" i="28"/>
  <c r="AT984" i="28"/>
  <c r="AT985" i="28"/>
  <c r="AT986" i="28"/>
  <c r="AT987" i="28"/>
  <c r="AT988" i="28"/>
  <c r="AT989" i="28"/>
  <c r="AT990" i="28"/>
  <c r="AT991" i="28"/>
  <c r="AT992" i="28"/>
  <c r="AT993" i="28"/>
  <c r="AT994" i="28"/>
  <c r="AT995" i="28"/>
  <c r="AT996" i="28"/>
  <c r="AT997" i="28"/>
  <c r="AT998" i="28"/>
  <c r="AT999" i="28"/>
  <c r="AT1000" i="28"/>
  <c r="AT1001" i="28"/>
  <c r="AT3" i="28"/>
  <c r="AS34" i="28"/>
  <c r="AS38" i="28"/>
  <c r="AS427" i="28"/>
  <c r="AS428" i="28"/>
  <c r="AS429" i="28"/>
  <c r="AS430" i="28"/>
  <c r="AS431" i="28"/>
  <c r="AS432" i="28"/>
  <c r="AS433" i="28"/>
  <c r="AS434" i="28"/>
  <c r="AS435" i="28"/>
  <c r="AS436" i="28"/>
  <c r="AS437" i="28"/>
  <c r="AS438" i="28"/>
  <c r="AS439" i="28"/>
  <c r="AS440" i="28"/>
  <c r="AS441" i="28"/>
  <c r="AS442" i="28"/>
  <c r="AS443" i="28"/>
  <c r="AS444" i="28"/>
  <c r="AS445" i="28"/>
  <c r="AS446" i="28"/>
  <c r="AS447" i="28"/>
  <c r="AS448" i="28"/>
  <c r="AS449" i="28"/>
  <c r="AS450" i="28"/>
  <c r="AS451" i="28"/>
  <c r="AS452" i="28"/>
  <c r="AS453" i="28"/>
  <c r="AS454" i="28"/>
  <c r="AS455" i="28"/>
  <c r="AS456" i="28"/>
  <c r="AS457" i="28"/>
  <c r="AS458" i="28"/>
  <c r="AS459" i="28"/>
  <c r="AS460" i="28"/>
  <c r="AS461" i="28"/>
  <c r="AS462" i="28"/>
  <c r="AS463" i="28"/>
  <c r="AS464" i="28"/>
  <c r="AS465" i="28"/>
  <c r="AS466" i="28"/>
  <c r="AS467" i="28"/>
  <c r="AS468" i="28"/>
  <c r="AS469" i="28"/>
  <c r="AS470" i="28"/>
  <c r="AS471" i="28"/>
  <c r="AS472" i="28"/>
  <c r="AS473" i="28"/>
  <c r="AS474" i="28"/>
  <c r="AS475" i="28"/>
  <c r="AS476" i="28"/>
  <c r="AS477" i="28"/>
  <c r="AS478" i="28"/>
  <c r="AS479" i="28"/>
  <c r="AS480" i="28"/>
  <c r="AS481" i="28"/>
  <c r="AS482" i="28"/>
  <c r="AS483" i="28"/>
  <c r="AS484" i="28"/>
  <c r="AS485" i="28"/>
  <c r="AS486" i="28"/>
  <c r="AS487" i="28"/>
  <c r="AS488" i="28"/>
  <c r="AS489" i="28"/>
  <c r="AS490" i="28"/>
  <c r="AS491" i="28"/>
  <c r="AS492" i="28"/>
  <c r="AS493" i="28"/>
  <c r="AS494" i="28"/>
  <c r="AS495" i="28"/>
  <c r="AS496" i="28"/>
  <c r="AS497" i="28"/>
  <c r="AS498" i="28"/>
  <c r="AS499" i="28"/>
  <c r="AS500" i="28"/>
  <c r="AS501" i="28"/>
  <c r="AS502" i="28"/>
  <c r="AS503" i="28"/>
  <c r="AS504" i="28"/>
  <c r="AS505" i="28"/>
  <c r="AS506" i="28"/>
  <c r="AS507" i="28"/>
  <c r="AS508" i="28"/>
  <c r="AS509" i="28"/>
  <c r="AS510" i="28"/>
  <c r="AS511" i="28"/>
  <c r="AS512" i="28"/>
  <c r="AS513" i="28"/>
  <c r="AS514" i="28"/>
  <c r="AS515" i="28"/>
  <c r="AS516" i="28"/>
  <c r="AS517" i="28"/>
  <c r="AS518" i="28"/>
  <c r="AS519" i="28"/>
  <c r="AS520" i="28"/>
  <c r="AS521" i="28"/>
  <c r="AS522" i="28"/>
  <c r="AS523" i="28"/>
  <c r="AS524" i="28"/>
  <c r="AS525" i="28"/>
  <c r="AS526" i="28"/>
  <c r="AS527" i="28"/>
  <c r="AS528" i="28"/>
  <c r="AS529" i="28"/>
  <c r="AS530" i="28"/>
  <c r="AS531" i="28"/>
  <c r="AS532" i="28"/>
  <c r="AS533" i="28"/>
  <c r="AS534" i="28"/>
  <c r="AS535" i="28"/>
  <c r="AS536" i="28"/>
  <c r="AS537" i="28"/>
  <c r="AS538" i="28"/>
  <c r="AS539" i="28"/>
  <c r="AS540" i="28"/>
  <c r="AS541" i="28"/>
  <c r="AS542" i="28"/>
  <c r="AS543" i="28"/>
  <c r="AS544" i="28"/>
  <c r="AS545" i="28"/>
  <c r="AS546" i="28"/>
  <c r="AS547" i="28"/>
  <c r="AS548" i="28"/>
  <c r="AS549" i="28"/>
  <c r="AS550" i="28"/>
  <c r="AS551" i="28"/>
  <c r="AS552" i="28"/>
  <c r="AS553" i="28"/>
  <c r="AS554" i="28"/>
  <c r="AS555" i="28"/>
  <c r="AS556" i="28"/>
  <c r="AS557" i="28"/>
  <c r="AS558" i="28"/>
  <c r="AS559" i="28"/>
  <c r="AS560" i="28"/>
  <c r="AS561" i="28"/>
  <c r="AS562" i="28"/>
  <c r="AS563" i="28"/>
  <c r="AS564" i="28"/>
  <c r="AS565" i="28"/>
  <c r="AS566" i="28"/>
  <c r="AS567" i="28"/>
  <c r="AS568" i="28"/>
  <c r="AS569" i="28"/>
  <c r="AS570" i="28"/>
  <c r="AS571" i="28"/>
  <c r="AS572" i="28"/>
  <c r="AS573" i="28"/>
  <c r="AS574" i="28"/>
  <c r="AS575" i="28"/>
  <c r="AS576" i="28"/>
  <c r="AS577" i="28"/>
  <c r="AS578" i="28"/>
  <c r="AS579" i="28"/>
  <c r="AS580" i="28"/>
  <c r="AS581" i="28"/>
  <c r="AS582" i="28"/>
  <c r="AS583" i="28"/>
  <c r="AS584" i="28"/>
  <c r="AS585" i="28"/>
  <c r="AS586" i="28"/>
  <c r="AS587" i="28"/>
  <c r="AS588" i="28"/>
  <c r="AS589" i="28"/>
  <c r="AS590" i="28"/>
  <c r="AS591" i="28"/>
  <c r="AS592" i="28"/>
  <c r="AS593" i="28"/>
  <c r="AS594" i="28"/>
  <c r="AS595" i="28"/>
  <c r="AS596" i="28"/>
  <c r="AS597" i="28"/>
  <c r="AS598" i="28"/>
  <c r="AS599" i="28"/>
  <c r="AS600" i="28"/>
  <c r="AS601" i="28"/>
  <c r="AS602" i="28"/>
  <c r="AS603" i="28"/>
  <c r="AS604" i="28"/>
  <c r="AS605" i="28"/>
  <c r="AS606" i="28"/>
  <c r="AS607" i="28"/>
  <c r="AS608" i="28"/>
  <c r="AS609" i="28"/>
  <c r="AS610" i="28"/>
  <c r="AS611" i="28"/>
  <c r="AS612" i="28"/>
  <c r="AS613" i="28"/>
  <c r="AS614" i="28"/>
  <c r="AS615" i="28"/>
  <c r="AS616" i="28"/>
  <c r="AS617" i="28"/>
  <c r="AS618" i="28"/>
  <c r="AS619" i="28"/>
  <c r="AS620" i="28"/>
  <c r="AS621" i="28"/>
  <c r="AS622" i="28"/>
  <c r="AS623" i="28"/>
  <c r="AS624" i="28"/>
  <c r="AS625" i="28"/>
  <c r="AS626" i="28"/>
  <c r="AS627" i="28"/>
  <c r="AS628" i="28"/>
  <c r="AS629" i="28"/>
  <c r="AS630" i="28"/>
  <c r="AS631" i="28"/>
  <c r="AS632" i="28"/>
  <c r="AS633" i="28"/>
  <c r="AS634" i="28"/>
  <c r="AS635" i="28"/>
  <c r="AS636" i="28"/>
  <c r="AS637" i="28"/>
  <c r="AS638" i="28"/>
  <c r="AS639" i="28"/>
  <c r="AS640" i="28"/>
  <c r="AS641" i="28"/>
  <c r="AS642" i="28"/>
  <c r="AS643" i="28"/>
  <c r="AS644" i="28"/>
  <c r="AS645" i="28"/>
  <c r="AS646" i="28"/>
  <c r="AS647" i="28"/>
  <c r="AS648" i="28"/>
  <c r="AS649" i="28"/>
  <c r="AS650" i="28"/>
  <c r="AS651" i="28"/>
  <c r="AS652" i="28"/>
  <c r="AS653" i="28"/>
  <c r="AS654" i="28"/>
  <c r="AS655" i="28"/>
  <c r="AS656" i="28"/>
  <c r="AS657" i="28"/>
  <c r="AS658" i="28"/>
  <c r="AS659" i="28"/>
  <c r="AS660" i="28"/>
  <c r="AS661" i="28"/>
  <c r="AS662" i="28"/>
  <c r="AS663" i="28"/>
  <c r="AS664" i="28"/>
  <c r="AS665" i="28"/>
  <c r="AS666" i="28"/>
  <c r="AS667" i="28"/>
  <c r="AS668" i="28"/>
  <c r="AS669" i="28"/>
  <c r="AS670" i="28"/>
  <c r="AS671" i="28"/>
  <c r="AS672" i="28"/>
  <c r="AS673" i="28"/>
  <c r="AS674" i="28"/>
  <c r="AS675" i="28"/>
  <c r="AS676" i="28"/>
  <c r="AS677" i="28"/>
  <c r="AS678" i="28"/>
  <c r="AS679" i="28"/>
  <c r="AS680" i="28"/>
  <c r="AS681" i="28"/>
  <c r="AS682" i="28"/>
  <c r="AS683" i="28"/>
  <c r="AS684" i="28"/>
  <c r="AS685" i="28"/>
  <c r="AS686" i="28"/>
  <c r="AS687" i="28"/>
  <c r="AS688" i="28"/>
  <c r="AS689" i="28"/>
  <c r="AS690" i="28"/>
  <c r="AS691" i="28"/>
  <c r="AS692" i="28"/>
  <c r="AS693" i="28"/>
  <c r="AS694" i="28"/>
  <c r="AS695" i="28"/>
  <c r="AS696" i="28"/>
  <c r="AS697" i="28"/>
  <c r="AS698" i="28"/>
  <c r="AS699" i="28"/>
  <c r="AS700" i="28"/>
  <c r="AS701" i="28"/>
  <c r="AS702" i="28"/>
  <c r="AS703" i="28"/>
  <c r="AS704" i="28"/>
  <c r="AS705" i="28"/>
  <c r="AS706" i="28"/>
  <c r="AS707" i="28"/>
  <c r="AS708" i="28"/>
  <c r="AS709" i="28"/>
  <c r="AS710" i="28"/>
  <c r="AS711" i="28"/>
  <c r="AS712" i="28"/>
  <c r="AS713" i="28"/>
  <c r="AS714" i="28"/>
  <c r="AS715" i="28"/>
  <c r="AS716" i="28"/>
  <c r="AS717" i="28"/>
  <c r="AS718" i="28"/>
  <c r="AS719" i="28"/>
  <c r="AS720" i="28"/>
  <c r="AS721" i="28"/>
  <c r="AS722" i="28"/>
  <c r="AS723" i="28"/>
  <c r="AS724" i="28"/>
  <c r="AS725" i="28"/>
  <c r="AS726" i="28"/>
  <c r="AS727" i="28"/>
  <c r="AS728" i="28"/>
  <c r="AS729" i="28"/>
  <c r="AS730" i="28"/>
  <c r="AS731" i="28"/>
  <c r="AS732" i="28"/>
  <c r="AS733" i="28"/>
  <c r="AS734" i="28"/>
  <c r="AS735" i="28"/>
  <c r="AS736" i="28"/>
  <c r="AS737" i="28"/>
  <c r="AS738" i="28"/>
  <c r="AS739" i="28"/>
  <c r="AS740" i="28"/>
  <c r="AS741" i="28"/>
  <c r="AS742" i="28"/>
  <c r="AS743" i="28"/>
  <c r="AS744" i="28"/>
  <c r="AS745" i="28"/>
  <c r="AS746" i="28"/>
  <c r="AS747" i="28"/>
  <c r="AS748" i="28"/>
  <c r="AS749" i="28"/>
  <c r="AS750" i="28"/>
  <c r="AS751" i="28"/>
  <c r="AS752" i="28"/>
  <c r="AS753" i="28"/>
  <c r="AS754" i="28"/>
  <c r="AS755" i="28"/>
  <c r="AS756" i="28"/>
  <c r="AS757" i="28"/>
  <c r="AS758" i="28"/>
  <c r="AS759" i="28"/>
  <c r="AS760" i="28"/>
  <c r="AS761" i="28"/>
  <c r="AS762" i="28"/>
  <c r="AS763" i="28"/>
  <c r="AS764" i="28"/>
  <c r="AS765" i="28"/>
  <c r="AS766" i="28"/>
  <c r="AS767" i="28"/>
  <c r="AS768" i="28"/>
  <c r="AS769" i="28"/>
  <c r="AS770" i="28"/>
  <c r="AS771" i="28"/>
  <c r="AS772" i="28"/>
  <c r="AS773" i="28"/>
  <c r="AS774" i="28"/>
  <c r="AS775" i="28"/>
  <c r="AS776" i="28"/>
  <c r="AS777" i="28"/>
  <c r="AS778" i="28"/>
  <c r="AS779" i="28"/>
  <c r="AS780" i="28"/>
  <c r="AS781" i="28"/>
  <c r="AS782" i="28"/>
  <c r="AS783" i="28"/>
  <c r="AS784" i="28"/>
  <c r="AS785" i="28"/>
  <c r="AS786" i="28"/>
  <c r="AS787" i="28"/>
  <c r="AS788" i="28"/>
  <c r="AS789" i="28"/>
  <c r="AS790" i="28"/>
  <c r="AS791" i="28"/>
  <c r="AS792" i="28"/>
  <c r="AS793" i="28"/>
  <c r="AS794" i="28"/>
  <c r="AS795" i="28"/>
  <c r="AS796" i="28"/>
  <c r="AS797" i="28"/>
  <c r="AS798" i="28"/>
  <c r="AS799" i="28"/>
  <c r="AS800" i="28"/>
  <c r="AS801" i="28"/>
  <c r="AS802" i="28"/>
  <c r="AS803" i="28"/>
  <c r="AS804" i="28"/>
  <c r="AS805" i="28"/>
  <c r="AS806" i="28"/>
  <c r="AS807" i="28"/>
  <c r="AS808" i="28"/>
  <c r="AS809" i="28"/>
  <c r="AS810" i="28"/>
  <c r="AS811" i="28"/>
  <c r="AS812" i="28"/>
  <c r="AS813" i="28"/>
  <c r="AS814" i="28"/>
  <c r="AS815" i="28"/>
  <c r="AS816" i="28"/>
  <c r="AS817" i="28"/>
  <c r="AS818" i="28"/>
  <c r="AS819" i="28"/>
  <c r="AS820" i="28"/>
  <c r="AS821" i="28"/>
  <c r="AS822" i="28"/>
  <c r="AS823" i="28"/>
  <c r="AS824" i="28"/>
  <c r="AS825" i="28"/>
  <c r="AS826" i="28"/>
  <c r="AS827" i="28"/>
  <c r="AS828" i="28"/>
  <c r="AS829" i="28"/>
  <c r="AS830" i="28"/>
  <c r="AS831" i="28"/>
  <c r="AS832" i="28"/>
  <c r="AS833" i="28"/>
  <c r="AS834" i="28"/>
  <c r="AS835" i="28"/>
  <c r="AS836" i="28"/>
  <c r="AS837" i="28"/>
  <c r="AS838" i="28"/>
  <c r="AS839" i="28"/>
  <c r="AS840" i="28"/>
  <c r="AS841" i="28"/>
  <c r="AS842" i="28"/>
  <c r="AS843" i="28"/>
  <c r="AS844" i="28"/>
  <c r="AS845" i="28"/>
  <c r="AS846" i="28"/>
  <c r="AS847" i="28"/>
  <c r="AS848" i="28"/>
  <c r="AS849" i="28"/>
  <c r="AS850" i="28"/>
  <c r="AS851" i="28"/>
  <c r="AS852" i="28"/>
  <c r="AS853" i="28"/>
  <c r="AS854" i="28"/>
  <c r="AS855" i="28"/>
  <c r="AS856" i="28"/>
  <c r="AS857" i="28"/>
  <c r="AS858" i="28"/>
  <c r="AS859" i="28"/>
  <c r="AS860" i="28"/>
  <c r="AS861" i="28"/>
  <c r="AS862" i="28"/>
  <c r="AS863" i="28"/>
  <c r="AS864" i="28"/>
  <c r="AS865" i="28"/>
  <c r="AS866" i="28"/>
  <c r="AS867" i="28"/>
  <c r="AS868" i="28"/>
  <c r="AS869" i="28"/>
  <c r="AS870" i="28"/>
  <c r="AS871" i="28"/>
  <c r="AS872" i="28"/>
  <c r="AS873" i="28"/>
  <c r="AS874" i="28"/>
  <c r="AS875" i="28"/>
  <c r="AS876" i="28"/>
  <c r="AS877" i="28"/>
  <c r="AS878" i="28"/>
  <c r="AS879" i="28"/>
  <c r="AS880" i="28"/>
  <c r="AS881" i="28"/>
  <c r="AS882" i="28"/>
  <c r="AS883" i="28"/>
  <c r="AS884" i="28"/>
  <c r="AS885" i="28"/>
  <c r="AS886" i="28"/>
  <c r="AS887" i="28"/>
  <c r="AS888" i="28"/>
  <c r="AS889" i="28"/>
  <c r="AS890" i="28"/>
  <c r="AS891" i="28"/>
  <c r="AS892" i="28"/>
  <c r="AS893" i="28"/>
  <c r="AS894" i="28"/>
  <c r="AS895" i="28"/>
  <c r="AS896" i="28"/>
  <c r="AS897" i="28"/>
  <c r="AS898" i="28"/>
  <c r="AS899" i="28"/>
  <c r="AS900" i="28"/>
  <c r="AS901" i="28"/>
  <c r="AS902" i="28"/>
  <c r="AS903" i="28"/>
  <c r="AS904" i="28"/>
  <c r="AS905" i="28"/>
  <c r="AS906" i="28"/>
  <c r="AS907" i="28"/>
  <c r="AS908" i="28"/>
  <c r="AS909" i="28"/>
  <c r="AS910" i="28"/>
  <c r="AS911" i="28"/>
  <c r="AS912" i="28"/>
  <c r="AS913" i="28"/>
  <c r="AS914" i="28"/>
  <c r="AS915" i="28"/>
  <c r="AS916" i="28"/>
  <c r="AS917" i="28"/>
  <c r="AS918" i="28"/>
  <c r="AS919" i="28"/>
  <c r="AS920" i="28"/>
  <c r="AS921" i="28"/>
  <c r="AS922" i="28"/>
  <c r="AS923" i="28"/>
  <c r="AS924" i="28"/>
  <c r="AS925" i="28"/>
  <c r="AS926" i="28"/>
  <c r="AS927" i="28"/>
  <c r="AS928" i="28"/>
  <c r="AS929" i="28"/>
  <c r="AS930" i="28"/>
  <c r="AS931" i="28"/>
  <c r="AS932" i="28"/>
  <c r="AS933" i="28"/>
  <c r="AS934" i="28"/>
  <c r="AS935" i="28"/>
  <c r="AS936" i="28"/>
  <c r="AS937" i="28"/>
  <c r="AS938" i="28"/>
  <c r="AS939" i="28"/>
  <c r="AS940" i="28"/>
  <c r="AS941" i="28"/>
  <c r="AS942" i="28"/>
  <c r="AS943" i="28"/>
  <c r="AS944" i="28"/>
  <c r="AS945" i="28"/>
  <c r="AS946" i="28"/>
  <c r="AS947" i="28"/>
  <c r="AS948" i="28"/>
  <c r="AS949" i="28"/>
  <c r="AS950" i="28"/>
  <c r="AS951" i="28"/>
  <c r="AS952" i="28"/>
  <c r="AS953" i="28"/>
  <c r="AS954" i="28"/>
  <c r="AS955" i="28"/>
  <c r="AS956" i="28"/>
  <c r="AS957" i="28"/>
  <c r="AS958" i="28"/>
  <c r="AS959" i="28"/>
  <c r="AS960" i="28"/>
  <c r="AS961" i="28"/>
  <c r="AS962" i="28"/>
  <c r="AS963" i="28"/>
  <c r="AS964" i="28"/>
  <c r="AS965" i="28"/>
  <c r="AS966" i="28"/>
  <c r="AS967" i="28"/>
  <c r="AS968" i="28"/>
  <c r="AS969" i="28"/>
  <c r="AS970" i="28"/>
  <c r="AS971" i="28"/>
  <c r="AS972" i="28"/>
  <c r="AS973" i="28"/>
  <c r="AS974" i="28"/>
  <c r="AS975" i="28"/>
  <c r="AS976" i="28"/>
  <c r="AS977" i="28"/>
  <c r="AS978" i="28"/>
  <c r="AS979" i="28"/>
  <c r="AS980" i="28"/>
  <c r="AS981" i="28"/>
  <c r="AS982" i="28"/>
  <c r="AS983" i="28"/>
  <c r="AS984" i="28"/>
  <c r="AS985" i="28"/>
  <c r="AS986" i="28"/>
  <c r="AS987" i="28"/>
  <c r="AS988" i="28"/>
  <c r="AS989" i="28"/>
  <c r="AS990" i="28"/>
  <c r="AS991" i="28"/>
  <c r="AS992" i="28"/>
  <c r="AS993" i="28"/>
  <c r="AS994" i="28"/>
  <c r="AS995" i="28"/>
  <c r="AS996" i="28"/>
  <c r="AS997" i="28"/>
  <c r="AS998" i="28"/>
  <c r="AS999" i="28"/>
  <c r="AS1000" i="28"/>
  <c r="AS1001" i="28"/>
  <c r="BN775" i="1" l="1"/>
  <c r="BM775" i="1"/>
  <c r="BL775" i="1"/>
  <c r="BJ775" i="1"/>
  <c r="AY775" i="1"/>
  <c r="AX775" i="1"/>
  <c r="AW775" i="1"/>
  <c r="X775" i="1" s="1"/>
  <c r="AV775" i="1"/>
  <c r="AO775" i="1"/>
  <c r="BH775" i="1" s="1"/>
  <c r="AM775" i="1"/>
  <c r="AN775" i="1" s="1"/>
  <c r="AA775" i="1"/>
  <c r="T775" i="1"/>
  <c r="Z775" i="1" s="1"/>
  <c r="R775" i="1"/>
  <c r="W775" i="1" l="1"/>
  <c r="AJ775" i="1"/>
  <c r="AK775" i="1"/>
  <c r="AI775" i="1"/>
  <c r="AZ775" i="1"/>
  <c r="BF775" i="1"/>
  <c r="Y775" i="1"/>
  <c r="AP775" i="1"/>
  <c r="BG775" i="1"/>
  <c r="BK775" i="1"/>
  <c r="BP775" i="1"/>
  <c r="BQ775" i="1" s="1"/>
  <c r="BA775" i="1"/>
  <c r="R63" i="1"/>
  <c r="AH775" i="1" l="1"/>
  <c r="AF775" i="1"/>
  <c r="AG775" i="1"/>
  <c r="AM12" i="1"/>
  <c r="AN12" i="1" s="1"/>
  <c r="AO12" i="1"/>
  <c r="AP12" i="1" s="1"/>
  <c r="AV12" i="1"/>
  <c r="AW12" i="1"/>
  <c r="AX12" i="1"/>
  <c r="AY12" i="1"/>
  <c r="BJ12" i="1"/>
  <c r="BL12" i="1"/>
  <c r="BM12" i="1"/>
  <c r="BN12" i="1"/>
  <c r="BP12" i="1"/>
  <c r="AM13" i="1"/>
  <c r="AN13" i="1" s="1"/>
  <c r="AO13" i="1"/>
  <c r="AZ13" i="1" s="1"/>
  <c r="AV13" i="1"/>
  <c r="AW13" i="1"/>
  <c r="BK13" i="1" s="1"/>
  <c r="AX13" i="1"/>
  <c r="AY13" i="1"/>
  <c r="BJ13" i="1"/>
  <c r="BL13" i="1"/>
  <c r="BM13" i="1"/>
  <c r="BN13" i="1"/>
  <c r="BP13" i="1"/>
  <c r="AM14" i="1"/>
  <c r="AN14" i="1" s="1"/>
  <c r="AO14" i="1"/>
  <c r="BA14" i="1" s="1"/>
  <c r="AV14" i="1"/>
  <c r="AW14" i="1"/>
  <c r="BK14" i="1" s="1"/>
  <c r="AX14" i="1"/>
  <c r="AY14" i="1"/>
  <c r="BJ14" i="1"/>
  <c r="BL14" i="1"/>
  <c r="BM14" i="1"/>
  <c r="BN14" i="1"/>
  <c r="BP14" i="1"/>
  <c r="AM15" i="1"/>
  <c r="AN15" i="1" s="1"/>
  <c r="AO15" i="1"/>
  <c r="AZ15" i="1" s="1"/>
  <c r="AV15" i="1"/>
  <c r="AW15" i="1"/>
  <c r="AX15" i="1"/>
  <c r="AY15" i="1"/>
  <c r="BJ15" i="1"/>
  <c r="BL15" i="1"/>
  <c r="BM15" i="1"/>
  <c r="BN15" i="1"/>
  <c r="BP15" i="1"/>
  <c r="AM16" i="1"/>
  <c r="AN16" i="1" s="1"/>
  <c r="AO16" i="1"/>
  <c r="BF16" i="1" s="1"/>
  <c r="AV16" i="1"/>
  <c r="AW16" i="1"/>
  <c r="AX16" i="1"/>
  <c r="AY16" i="1"/>
  <c r="BJ16" i="1"/>
  <c r="BL16" i="1"/>
  <c r="BM16" i="1"/>
  <c r="BN16" i="1"/>
  <c r="BP16" i="1"/>
  <c r="AM17" i="1"/>
  <c r="AO17" i="1"/>
  <c r="BA17" i="1" s="1"/>
  <c r="AV17" i="1"/>
  <c r="AW17" i="1"/>
  <c r="W17" i="1" s="1"/>
  <c r="AX17" i="1"/>
  <c r="AY17" i="1"/>
  <c r="BJ17" i="1"/>
  <c r="BL17" i="1"/>
  <c r="BM17" i="1"/>
  <c r="BN17" i="1"/>
  <c r="BP17" i="1"/>
  <c r="AM18" i="1"/>
  <c r="AN18" i="1" s="1"/>
  <c r="AO18" i="1"/>
  <c r="BA18" i="1" s="1"/>
  <c r="AV18" i="1"/>
  <c r="AW18" i="1"/>
  <c r="BK18" i="1" s="1"/>
  <c r="AX18" i="1"/>
  <c r="AY18" i="1"/>
  <c r="BJ18" i="1"/>
  <c r="BL18" i="1"/>
  <c r="BM18" i="1"/>
  <c r="BN18" i="1"/>
  <c r="BP18" i="1"/>
  <c r="AM19" i="1"/>
  <c r="AO19" i="1"/>
  <c r="BA19" i="1" s="1"/>
  <c r="AV19" i="1"/>
  <c r="AW19" i="1"/>
  <c r="X19" i="1" s="1"/>
  <c r="AX19" i="1"/>
  <c r="AY19" i="1"/>
  <c r="BJ19" i="1"/>
  <c r="BL19" i="1"/>
  <c r="BM19" i="1"/>
  <c r="BN19" i="1"/>
  <c r="BP19" i="1"/>
  <c r="AM20" i="1"/>
  <c r="AN20" i="1" s="1"/>
  <c r="AO20" i="1"/>
  <c r="BF20" i="1" s="1"/>
  <c r="AV20" i="1"/>
  <c r="AW20" i="1"/>
  <c r="AX20" i="1"/>
  <c r="AY20" i="1"/>
  <c r="BJ20" i="1"/>
  <c r="BL20" i="1"/>
  <c r="BM20" i="1"/>
  <c r="BN20" i="1"/>
  <c r="BP20" i="1"/>
  <c r="AM21" i="1"/>
  <c r="AN21" i="1" s="1"/>
  <c r="AO21" i="1"/>
  <c r="BA21" i="1" s="1"/>
  <c r="AV21" i="1"/>
  <c r="AW21" i="1"/>
  <c r="AX21" i="1"/>
  <c r="AY21" i="1"/>
  <c r="BJ21" i="1"/>
  <c r="BL21" i="1"/>
  <c r="BM21" i="1"/>
  <c r="BN21" i="1"/>
  <c r="BP21" i="1"/>
  <c r="AM22" i="1"/>
  <c r="AN22" i="1" s="1"/>
  <c r="AO22" i="1"/>
  <c r="AZ22" i="1" s="1"/>
  <c r="AV22" i="1"/>
  <c r="AW22" i="1"/>
  <c r="BK22" i="1" s="1"/>
  <c r="AX22" i="1"/>
  <c r="AY22" i="1"/>
  <c r="BJ22" i="1"/>
  <c r="BL22" i="1"/>
  <c r="BM22" i="1"/>
  <c r="BN22" i="1"/>
  <c r="BP22" i="1"/>
  <c r="AM23" i="1"/>
  <c r="AO23" i="1"/>
  <c r="BF23" i="1" s="1"/>
  <c r="AV23" i="1"/>
  <c r="AW23" i="1"/>
  <c r="W23" i="1" s="1"/>
  <c r="AX23" i="1"/>
  <c r="AY23" i="1"/>
  <c r="BJ23" i="1"/>
  <c r="BL23" i="1"/>
  <c r="BM23" i="1"/>
  <c r="BN23" i="1"/>
  <c r="BP23" i="1"/>
  <c r="AM24" i="1"/>
  <c r="AN24" i="1" s="1"/>
  <c r="AO24" i="1"/>
  <c r="BF24" i="1" s="1"/>
  <c r="AV24" i="1"/>
  <c r="AW24" i="1"/>
  <c r="AX24" i="1"/>
  <c r="AY24" i="1"/>
  <c r="BJ24" i="1"/>
  <c r="BL24" i="1"/>
  <c r="BM24" i="1"/>
  <c r="BN24" i="1"/>
  <c r="BP24" i="1"/>
  <c r="AM25" i="1"/>
  <c r="AN25" i="1" s="1"/>
  <c r="AO25" i="1"/>
  <c r="BA25" i="1" s="1"/>
  <c r="AV25" i="1"/>
  <c r="AW25" i="1"/>
  <c r="W25" i="1" s="1"/>
  <c r="AX25" i="1"/>
  <c r="AY25" i="1"/>
  <c r="BJ25" i="1"/>
  <c r="BL25" i="1"/>
  <c r="BM25" i="1"/>
  <c r="BN25" i="1"/>
  <c r="BP25" i="1"/>
  <c r="AM26" i="1"/>
  <c r="AN26" i="1" s="1"/>
  <c r="AO26" i="1"/>
  <c r="AZ26" i="1" s="1"/>
  <c r="AV26" i="1"/>
  <c r="AW26" i="1"/>
  <c r="BK26" i="1" s="1"/>
  <c r="AX26" i="1"/>
  <c r="AY26" i="1"/>
  <c r="BJ26" i="1"/>
  <c r="BL26" i="1"/>
  <c r="BM26" i="1"/>
  <c r="BN26" i="1"/>
  <c r="BP26" i="1"/>
  <c r="AM27" i="1"/>
  <c r="AO27" i="1"/>
  <c r="BA27" i="1" s="1"/>
  <c r="AV27" i="1"/>
  <c r="AW27" i="1"/>
  <c r="X27" i="1" s="1"/>
  <c r="AX27" i="1"/>
  <c r="AY27" i="1"/>
  <c r="BJ27" i="1"/>
  <c r="BL27" i="1"/>
  <c r="BM27" i="1"/>
  <c r="BN27" i="1"/>
  <c r="BP27" i="1"/>
  <c r="AM28" i="1"/>
  <c r="AO28" i="1"/>
  <c r="BF28" i="1" s="1"/>
  <c r="AV28" i="1"/>
  <c r="AW28" i="1"/>
  <c r="AX28" i="1"/>
  <c r="AY28" i="1"/>
  <c r="BJ28" i="1"/>
  <c r="BL28" i="1"/>
  <c r="BM28" i="1"/>
  <c r="BN28" i="1"/>
  <c r="BP28" i="1"/>
  <c r="AM29" i="1"/>
  <c r="AN29" i="1" s="1"/>
  <c r="AO29" i="1"/>
  <c r="BF29" i="1" s="1"/>
  <c r="AV29" i="1"/>
  <c r="AW29" i="1"/>
  <c r="W29" i="1" s="1"/>
  <c r="AX29" i="1"/>
  <c r="AY29" i="1"/>
  <c r="BJ29" i="1"/>
  <c r="BL29" i="1"/>
  <c r="BM29" i="1"/>
  <c r="BN29" i="1"/>
  <c r="BP29" i="1"/>
  <c r="AM30" i="1"/>
  <c r="AN30" i="1" s="1"/>
  <c r="AO30" i="1"/>
  <c r="BH30" i="1" s="1"/>
  <c r="AV30" i="1"/>
  <c r="AW30" i="1"/>
  <c r="BK30" i="1" s="1"/>
  <c r="AX30" i="1"/>
  <c r="AY30" i="1"/>
  <c r="BJ30" i="1"/>
  <c r="BL30" i="1"/>
  <c r="BM30" i="1"/>
  <c r="BN30" i="1"/>
  <c r="BP30" i="1"/>
  <c r="AM31" i="1"/>
  <c r="AN31" i="1" s="1"/>
  <c r="AO31" i="1"/>
  <c r="AZ31" i="1" s="1"/>
  <c r="AV31" i="1"/>
  <c r="AW31" i="1"/>
  <c r="AX31" i="1"/>
  <c r="AY31" i="1"/>
  <c r="BJ31" i="1"/>
  <c r="BL31" i="1"/>
  <c r="BM31" i="1"/>
  <c r="BN31" i="1"/>
  <c r="BP31" i="1"/>
  <c r="AM32" i="1"/>
  <c r="AO32" i="1"/>
  <c r="BF32" i="1" s="1"/>
  <c r="AV32" i="1"/>
  <c r="AW32" i="1"/>
  <c r="AX32" i="1"/>
  <c r="AY32" i="1"/>
  <c r="BJ32" i="1"/>
  <c r="BL32" i="1"/>
  <c r="BM32" i="1"/>
  <c r="BN32" i="1"/>
  <c r="BP32" i="1"/>
  <c r="AM33" i="1"/>
  <c r="AN33" i="1" s="1"/>
  <c r="AO33" i="1"/>
  <c r="BF33" i="1" s="1"/>
  <c r="AV33" i="1"/>
  <c r="AW33" i="1"/>
  <c r="W33" i="1" s="1"/>
  <c r="AX33" i="1"/>
  <c r="AY33" i="1"/>
  <c r="BJ33" i="1"/>
  <c r="BL33" i="1"/>
  <c r="BM33" i="1"/>
  <c r="BN33" i="1"/>
  <c r="BP33" i="1"/>
  <c r="AM34" i="1"/>
  <c r="AN34" i="1" s="1"/>
  <c r="AO34" i="1"/>
  <c r="BA34" i="1" s="1"/>
  <c r="AV34" i="1"/>
  <c r="AW34" i="1"/>
  <c r="BK34" i="1" s="1"/>
  <c r="AX34" i="1"/>
  <c r="AY34" i="1"/>
  <c r="BJ34" i="1"/>
  <c r="BL34" i="1"/>
  <c r="BM34" i="1"/>
  <c r="BN34" i="1"/>
  <c r="BP34" i="1"/>
  <c r="AM35" i="1"/>
  <c r="AN35" i="1" s="1"/>
  <c r="AO35" i="1"/>
  <c r="AZ35" i="1" s="1"/>
  <c r="AV35" i="1"/>
  <c r="AW35" i="1"/>
  <c r="AX35" i="1"/>
  <c r="AY35" i="1"/>
  <c r="BJ35" i="1"/>
  <c r="BL35" i="1"/>
  <c r="BM35" i="1"/>
  <c r="BN35" i="1"/>
  <c r="BP35" i="1"/>
  <c r="AM36" i="1"/>
  <c r="AO36" i="1"/>
  <c r="BF36" i="1" s="1"/>
  <c r="AV36" i="1"/>
  <c r="AW36" i="1"/>
  <c r="AX36" i="1"/>
  <c r="AY36" i="1"/>
  <c r="BJ36" i="1"/>
  <c r="BL36" i="1"/>
  <c r="BM36" i="1"/>
  <c r="BN36" i="1"/>
  <c r="BP36" i="1"/>
  <c r="AM37" i="1"/>
  <c r="AO37" i="1"/>
  <c r="BF37" i="1" s="1"/>
  <c r="AV37" i="1"/>
  <c r="AW37" i="1"/>
  <c r="W37" i="1" s="1"/>
  <c r="AX37" i="1"/>
  <c r="AY37" i="1"/>
  <c r="BJ37" i="1"/>
  <c r="BL37" i="1"/>
  <c r="BM37" i="1"/>
  <c r="BN37" i="1"/>
  <c r="BP37" i="1"/>
  <c r="AM38" i="1"/>
  <c r="AN38" i="1" s="1"/>
  <c r="AO38" i="1"/>
  <c r="BH38" i="1" s="1"/>
  <c r="AV38" i="1"/>
  <c r="AW38" i="1"/>
  <c r="BK38" i="1" s="1"/>
  <c r="AX38" i="1"/>
  <c r="AY38" i="1"/>
  <c r="BJ38" i="1"/>
  <c r="BL38" i="1"/>
  <c r="BM38" i="1"/>
  <c r="BN38" i="1"/>
  <c r="BP38" i="1"/>
  <c r="AM39" i="1"/>
  <c r="AN39" i="1" s="1"/>
  <c r="AO39" i="1"/>
  <c r="AZ39" i="1" s="1"/>
  <c r="AV39" i="1"/>
  <c r="AW39" i="1"/>
  <c r="X39" i="1" s="1"/>
  <c r="AX39" i="1"/>
  <c r="AY39" i="1"/>
  <c r="BJ39" i="1"/>
  <c r="BL39" i="1"/>
  <c r="BM39" i="1"/>
  <c r="BN39" i="1"/>
  <c r="BP39" i="1"/>
  <c r="AM40" i="1"/>
  <c r="AO40" i="1"/>
  <c r="BF40" i="1" s="1"/>
  <c r="AV40" i="1"/>
  <c r="AW40" i="1"/>
  <c r="AX40" i="1"/>
  <c r="AY40" i="1"/>
  <c r="BJ40" i="1"/>
  <c r="BL40" i="1"/>
  <c r="BM40" i="1"/>
  <c r="BN40" i="1"/>
  <c r="BP40" i="1"/>
  <c r="AM41" i="1"/>
  <c r="AN41" i="1" s="1"/>
  <c r="AO41" i="1"/>
  <c r="BH41" i="1" s="1"/>
  <c r="AV41" i="1"/>
  <c r="AW41" i="1"/>
  <c r="AX41" i="1"/>
  <c r="AY41" i="1"/>
  <c r="BJ41" i="1"/>
  <c r="BL41" i="1"/>
  <c r="BM41" i="1"/>
  <c r="BN41" i="1"/>
  <c r="BP41" i="1"/>
  <c r="AM42" i="1"/>
  <c r="AN42" i="1" s="1"/>
  <c r="AO42" i="1"/>
  <c r="BH42" i="1" s="1"/>
  <c r="AV42" i="1"/>
  <c r="AW42" i="1"/>
  <c r="AX42" i="1"/>
  <c r="AY42" i="1"/>
  <c r="BJ42" i="1"/>
  <c r="BL42" i="1"/>
  <c r="BM42" i="1"/>
  <c r="BN42" i="1"/>
  <c r="BP42" i="1"/>
  <c r="AM43" i="1"/>
  <c r="AN43" i="1" s="1"/>
  <c r="AO43" i="1"/>
  <c r="AZ43" i="1" s="1"/>
  <c r="AV43" i="1"/>
  <c r="AW43" i="1"/>
  <c r="AX43" i="1"/>
  <c r="AY43" i="1"/>
  <c r="BJ43" i="1"/>
  <c r="BL43" i="1"/>
  <c r="BM43" i="1"/>
  <c r="BN43" i="1"/>
  <c r="BP43" i="1"/>
  <c r="AM44" i="1"/>
  <c r="AO44" i="1"/>
  <c r="BF44" i="1" s="1"/>
  <c r="AV44" i="1"/>
  <c r="AW44" i="1"/>
  <c r="AX44" i="1"/>
  <c r="AY44" i="1"/>
  <c r="BJ44" i="1"/>
  <c r="BL44" i="1"/>
  <c r="BM44" i="1"/>
  <c r="BN44" i="1"/>
  <c r="BP44" i="1"/>
  <c r="AM45" i="1"/>
  <c r="AO45" i="1"/>
  <c r="BF45" i="1" s="1"/>
  <c r="AV45" i="1"/>
  <c r="AW45" i="1"/>
  <c r="AX45" i="1"/>
  <c r="AY45" i="1"/>
  <c r="BJ45" i="1"/>
  <c r="BL45" i="1"/>
  <c r="BM45" i="1"/>
  <c r="BN45" i="1"/>
  <c r="BP45" i="1"/>
  <c r="AM46" i="1"/>
  <c r="AN46" i="1" s="1"/>
  <c r="AO46" i="1"/>
  <c r="BH46" i="1" s="1"/>
  <c r="AV46" i="1"/>
  <c r="AW46" i="1"/>
  <c r="W46" i="1" s="1"/>
  <c r="AX46" i="1"/>
  <c r="AY46" i="1"/>
  <c r="BJ46" i="1"/>
  <c r="BL46" i="1"/>
  <c r="BM46" i="1"/>
  <c r="BN46" i="1"/>
  <c r="BP46" i="1"/>
  <c r="AM47" i="1"/>
  <c r="AN47" i="1" s="1"/>
  <c r="AO47" i="1"/>
  <c r="AZ47" i="1" s="1"/>
  <c r="AV47" i="1"/>
  <c r="AW47" i="1"/>
  <c r="W47" i="1" s="1"/>
  <c r="AX47" i="1"/>
  <c r="AY47" i="1"/>
  <c r="BJ47" i="1"/>
  <c r="BL47" i="1"/>
  <c r="BM47" i="1"/>
  <c r="BN47" i="1"/>
  <c r="BP47" i="1"/>
  <c r="AM48" i="1"/>
  <c r="AO48" i="1"/>
  <c r="AV48" i="1"/>
  <c r="AW48" i="1"/>
  <c r="AX48" i="1"/>
  <c r="AY48" i="1"/>
  <c r="BJ48" i="1"/>
  <c r="BL48" i="1"/>
  <c r="BM48" i="1"/>
  <c r="BN48" i="1"/>
  <c r="BP48" i="1"/>
  <c r="AM49" i="1"/>
  <c r="AO49" i="1"/>
  <c r="BF49" i="1" s="1"/>
  <c r="AV49" i="1"/>
  <c r="AW49" i="1"/>
  <c r="AX49" i="1"/>
  <c r="AY49" i="1"/>
  <c r="BJ49" i="1"/>
  <c r="BL49" i="1"/>
  <c r="BM49" i="1"/>
  <c r="BN49" i="1"/>
  <c r="BP49" i="1"/>
  <c r="AM50" i="1"/>
  <c r="AN50" i="1" s="1"/>
  <c r="AO50" i="1"/>
  <c r="BA50" i="1" s="1"/>
  <c r="AV50" i="1"/>
  <c r="AW50" i="1"/>
  <c r="X50" i="1" s="1"/>
  <c r="AX50" i="1"/>
  <c r="AY50" i="1"/>
  <c r="BJ50" i="1"/>
  <c r="BL50" i="1"/>
  <c r="BM50" i="1"/>
  <c r="BN50" i="1"/>
  <c r="BP50" i="1"/>
  <c r="AM51" i="1"/>
  <c r="AN51" i="1" s="1"/>
  <c r="AO51" i="1"/>
  <c r="BF51" i="1" s="1"/>
  <c r="AV51" i="1"/>
  <c r="AW51" i="1"/>
  <c r="AX51" i="1"/>
  <c r="AY51" i="1"/>
  <c r="BJ51" i="1"/>
  <c r="BL51" i="1"/>
  <c r="BM51" i="1"/>
  <c r="BN51" i="1"/>
  <c r="BP51" i="1"/>
  <c r="AM52" i="1"/>
  <c r="AN52" i="1" s="1"/>
  <c r="AO52" i="1"/>
  <c r="BA52" i="1" s="1"/>
  <c r="AV52" i="1"/>
  <c r="AW52" i="1"/>
  <c r="W52" i="1" s="1"/>
  <c r="AX52" i="1"/>
  <c r="AY52" i="1"/>
  <c r="BJ52" i="1"/>
  <c r="BL52" i="1"/>
  <c r="BM52" i="1"/>
  <c r="BN52" i="1"/>
  <c r="BP52" i="1"/>
  <c r="AM53" i="1"/>
  <c r="AN53" i="1" s="1"/>
  <c r="AO53" i="1"/>
  <c r="AV53" i="1"/>
  <c r="AW53" i="1"/>
  <c r="AX53" i="1"/>
  <c r="AY53" i="1"/>
  <c r="BJ53" i="1"/>
  <c r="BL53" i="1"/>
  <c r="BM53" i="1"/>
  <c r="BN53" i="1"/>
  <c r="BP53" i="1"/>
  <c r="AM54" i="1"/>
  <c r="AN54" i="1" s="1"/>
  <c r="AO54" i="1"/>
  <c r="AV54" i="1"/>
  <c r="AW54" i="1"/>
  <c r="W54" i="1" s="1"/>
  <c r="AX54" i="1"/>
  <c r="AY54" i="1"/>
  <c r="BJ54" i="1"/>
  <c r="BL54" i="1"/>
  <c r="BM54" i="1"/>
  <c r="BN54" i="1"/>
  <c r="BP54" i="1"/>
  <c r="AM55" i="1"/>
  <c r="AN55" i="1" s="1"/>
  <c r="AO55" i="1"/>
  <c r="AV55" i="1"/>
  <c r="AW55" i="1"/>
  <c r="AX55" i="1"/>
  <c r="AY55" i="1"/>
  <c r="BJ55" i="1"/>
  <c r="BL55" i="1"/>
  <c r="BM55" i="1"/>
  <c r="BN55" i="1"/>
  <c r="BP55" i="1"/>
  <c r="AM56" i="1"/>
  <c r="AN56" i="1" s="1"/>
  <c r="AO56" i="1"/>
  <c r="AV56" i="1"/>
  <c r="AW56" i="1"/>
  <c r="AX56" i="1"/>
  <c r="AY56" i="1"/>
  <c r="BJ56" i="1"/>
  <c r="BL56" i="1"/>
  <c r="BM56" i="1"/>
  <c r="BN56" i="1"/>
  <c r="BP56" i="1"/>
  <c r="AM57" i="1"/>
  <c r="AN57" i="1" s="1"/>
  <c r="AO57" i="1"/>
  <c r="AV57" i="1"/>
  <c r="AW57" i="1"/>
  <c r="AX57" i="1"/>
  <c r="AY57" i="1"/>
  <c r="BJ57" i="1"/>
  <c r="BL57" i="1"/>
  <c r="BM57" i="1"/>
  <c r="BN57" i="1"/>
  <c r="BP57" i="1"/>
  <c r="AM58" i="1"/>
  <c r="AN58" i="1" s="1"/>
  <c r="AO58" i="1"/>
  <c r="AV58" i="1"/>
  <c r="AW58" i="1"/>
  <c r="X58" i="1" s="1"/>
  <c r="AX58" i="1"/>
  <c r="AY58" i="1"/>
  <c r="BJ58" i="1"/>
  <c r="BL58" i="1"/>
  <c r="BM58" i="1"/>
  <c r="BN58" i="1"/>
  <c r="BP58" i="1"/>
  <c r="AM59" i="1"/>
  <c r="AN59" i="1" s="1"/>
  <c r="AO59" i="1"/>
  <c r="AV59" i="1"/>
  <c r="AW59" i="1"/>
  <c r="AX59" i="1"/>
  <c r="AY59" i="1"/>
  <c r="BJ59" i="1"/>
  <c r="BL59" i="1"/>
  <c r="BM59" i="1"/>
  <c r="BN59" i="1"/>
  <c r="BP59" i="1"/>
  <c r="AM60" i="1"/>
  <c r="AN60" i="1" s="1"/>
  <c r="AO60" i="1"/>
  <c r="BA60" i="1" s="1"/>
  <c r="AV60" i="1"/>
  <c r="AW60" i="1"/>
  <c r="W60" i="1" s="1"/>
  <c r="AX60" i="1"/>
  <c r="AY60" i="1"/>
  <c r="BJ60" i="1"/>
  <c r="BL60" i="1"/>
  <c r="BM60" i="1"/>
  <c r="BN60" i="1"/>
  <c r="BP60" i="1"/>
  <c r="AM61" i="1"/>
  <c r="AN61" i="1" s="1"/>
  <c r="AO61" i="1"/>
  <c r="BG61" i="1" s="1"/>
  <c r="AV61" i="1"/>
  <c r="AW61" i="1"/>
  <c r="W61" i="1" s="1"/>
  <c r="AX61" i="1"/>
  <c r="AY61" i="1"/>
  <c r="BJ61" i="1"/>
  <c r="BL61" i="1"/>
  <c r="BM61" i="1"/>
  <c r="BN61" i="1"/>
  <c r="BP61" i="1"/>
  <c r="AM62" i="1"/>
  <c r="AN62" i="1" s="1"/>
  <c r="AO62" i="1"/>
  <c r="BA62" i="1" s="1"/>
  <c r="AV62" i="1"/>
  <c r="AW62" i="1"/>
  <c r="X62" i="1" s="1"/>
  <c r="AX62" i="1"/>
  <c r="AY62" i="1"/>
  <c r="BJ62" i="1"/>
  <c r="BL62" i="1"/>
  <c r="BM62" i="1"/>
  <c r="BN62" i="1"/>
  <c r="BP62" i="1"/>
  <c r="AM63" i="1"/>
  <c r="AN63" i="1" s="1"/>
  <c r="AO63" i="1"/>
  <c r="BG63" i="1" s="1"/>
  <c r="AV63" i="1"/>
  <c r="AW63" i="1"/>
  <c r="X63" i="1" s="1"/>
  <c r="AX63" i="1"/>
  <c r="AY63" i="1"/>
  <c r="BJ63" i="1"/>
  <c r="BL63" i="1"/>
  <c r="BM63" i="1"/>
  <c r="BN63" i="1"/>
  <c r="BP63" i="1"/>
  <c r="AM64" i="1"/>
  <c r="AN64" i="1" s="1"/>
  <c r="AO64" i="1"/>
  <c r="BA64" i="1" s="1"/>
  <c r="AV64" i="1"/>
  <c r="AW64" i="1"/>
  <c r="AX64" i="1"/>
  <c r="AY64" i="1"/>
  <c r="BJ64" i="1"/>
  <c r="BL64" i="1"/>
  <c r="BM64" i="1"/>
  <c r="BN64" i="1"/>
  <c r="BP64" i="1"/>
  <c r="AM65" i="1"/>
  <c r="AO65" i="1"/>
  <c r="BA65" i="1" s="1"/>
  <c r="AV65" i="1"/>
  <c r="AW65" i="1"/>
  <c r="X65" i="1" s="1"/>
  <c r="AX65" i="1"/>
  <c r="AY65" i="1"/>
  <c r="BJ65" i="1"/>
  <c r="BL65" i="1"/>
  <c r="BM65" i="1"/>
  <c r="BN65" i="1"/>
  <c r="BP65" i="1"/>
  <c r="AM66" i="1"/>
  <c r="AO66" i="1"/>
  <c r="BA66" i="1" s="1"/>
  <c r="AV66" i="1"/>
  <c r="AW66" i="1"/>
  <c r="X66" i="1" s="1"/>
  <c r="AX66" i="1"/>
  <c r="AY66" i="1"/>
  <c r="BJ66" i="1"/>
  <c r="BL66" i="1"/>
  <c r="BM66" i="1"/>
  <c r="BN66" i="1"/>
  <c r="BP66" i="1"/>
  <c r="AM67" i="1"/>
  <c r="AO67" i="1"/>
  <c r="BA67" i="1" s="1"/>
  <c r="AV67" i="1"/>
  <c r="AW67" i="1"/>
  <c r="W67" i="1" s="1"/>
  <c r="AX67" i="1"/>
  <c r="AY67" i="1"/>
  <c r="BJ67" i="1"/>
  <c r="BL67" i="1"/>
  <c r="BM67" i="1"/>
  <c r="BN67" i="1"/>
  <c r="BP67" i="1"/>
  <c r="AM68" i="1"/>
  <c r="AO68" i="1"/>
  <c r="BH68" i="1" s="1"/>
  <c r="AV68" i="1"/>
  <c r="AW68" i="1"/>
  <c r="AX68" i="1"/>
  <c r="AY68" i="1"/>
  <c r="BJ68" i="1"/>
  <c r="BL68" i="1"/>
  <c r="BM68" i="1"/>
  <c r="BN68" i="1"/>
  <c r="BP68" i="1"/>
  <c r="AM69" i="1"/>
  <c r="AO69" i="1"/>
  <c r="BA69" i="1" s="1"/>
  <c r="AV69" i="1"/>
  <c r="AW69" i="1"/>
  <c r="AX69" i="1"/>
  <c r="AY69" i="1"/>
  <c r="BJ69" i="1"/>
  <c r="BL69" i="1"/>
  <c r="BM69" i="1"/>
  <c r="BN69" i="1"/>
  <c r="BP69" i="1"/>
  <c r="AM70" i="1"/>
  <c r="AO70" i="1"/>
  <c r="BH70" i="1" s="1"/>
  <c r="AV70" i="1"/>
  <c r="AW70" i="1"/>
  <c r="X70" i="1" s="1"/>
  <c r="AX70" i="1"/>
  <c r="AY70" i="1"/>
  <c r="BJ70" i="1"/>
  <c r="BL70" i="1"/>
  <c r="BM70" i="1"/>
  <c r="BN70" i="1"/>
  <c r="BP70" i="1"/>
  <c r="AM71" i="1"/>
  <c r="AO71" i="1"/>
  <c r="BA71" i="1" s="1"/>
  <c r="AV71" i="1"/>
  <c r="AW71" i="1"/>
  <c r="AX71" i="1"/>
  <c r="AY71" i="1"/>
  <c r="BJ71" i="1"/>
  <c r="BL71" i="1"/>
  <c r="BM71" i="1"/>
  <c r="BN71" i="1"/>
  <c r="BP71" i="1"/>
  <c r="AM72" i="1"/>
  <c r="AO72" i="1"/>
  <c r="BA72" i="1" s="1"/>
  <c r="AV72" i="1"/>
  <c r="AW72" i="1"/>
  <c r="AX72" i="1"/>
  <c r="AY72" i="1"/>
  <c r="BJ72" i="1"/>
  <c r="BL72" i="1"/>
  <c r="BM72" i="1"/>
  <c r="BN72" i="1"/>
  <c r="BP72" i="1"/>
  <c r="AM73" i="1"/>
  <c r="AN73" i="1" s="1"/>
  <c r="AO73" i="1"/>
  <c r="AV73" i="1"/>
  <c r="AW73" i="1"/>
  <c r="AX73" i="1"/>
  <c r="AY73" i="1"/>
  <c r="BJ73" i="1"/>
  <c r="BL73" i="1"/>
  <c r="BM73" i="1"/>
  <c r="BN73" i="1"/>
  <c r="BP73" i="1"/>
  <c r="AM74" i="1"/>
  <c r="AN74" i="1" s="1"/>
  <c r="AO74" i="1"/>
  <c r="AZ74" i="1" s="1"/>
  <c r="AV74" i="1"/>
  <c r="AW74" i="1"/>
  <c r="AX74" i="1"/>
  <c r="AY74" i="1"/>
  <c r="BJ74" i="1"/>
  <c r="BL74" i="1"/>
  <c r="BM74" i="1"/>
  <c r="BN74" i="1"/>
  <c r="BP74" i="1"/>
  <c r="AM75" i="1"/>
  <c r="AN75" i="1" s="1"/>
  <c r="AO75" i="1"/>
  <c r="AZ75" i="1" s="1"/>
  <c r="AV75" i="1"/>
  <c r="AW75" i="1"/>
  <c r="W75" i="1" s="1"/>
  <c r="AX75" i="1"/>
  <c r="AY75" i="1"/>
  <c r="BJ75" i="1"/>
  <c r="BL75" i="1"/>
  <c r="BM75" i="1"/>
  <c r="BN75" i="1"/>
  <c r="BP75" i="1"/>
  <c r="AM76" i="1"/>
  <c r="AO76" i="1"/>
  <c r="AV76" i="1"/>
  <c r="AW76" i="1"/>
  <c r="AX76" i="1"/>
  <c r="AY76" i="1"/>
  <c r="BJ76" i="1"/>
  <c r="BL76" i="1"/>
  <c r="BM76" i="1"/>
  <c r="BN76" i="1"/>
  <c r="BP76" i="1"/>
  <c r="AM77" i="1"/>
  <c r="AO77" i="1"/>
  <c r="AZ77" i="1" s="1"/>
  <c r="AV77" i="1"/>
  <c r="AW77" i="1"/>
  <c r="AX77" i="1"/>
  <c r="AY77" i="1"/>
  <c r="BJ77" i="1"/>
  <c r="BL77" i="1"/>
  <c r="BM77" i="1"/>
  <c r="BN77" i="1"/>
  <c r="BP77" i="1"/>
  <c r="AM78" i="1"/>
  <c r="AO78" i="1"/>
  <c r="BH78" i="1" s="1"/>
  <c r="AV78" i="1"/>
  <c r="AW78" i="1"/>
  <c r="AX78" i="1"/>
  <c r="AY78" i="1"/>
  <c r="BJ78" i="1"/>
  <c r="BL78" i="1"/>
  <c r="BM78" i="1"/>
  <c r="BN78" i="1"/>
  <c r="BP78" i="1"/>
  <c r="AM79" i="1"/>
  <c r="AO79" i="1"/>
  <c r="BH79" i="1" s="1"/>
  <c r="AV79" i="1"/>
  <c r="AW79" i="1"/>
  <c r="X79" i="1" s="1"/>
  <c r="AX79" i="1"/>
  <c r="AY79" i="1"/>
  <c r="BJ79" i="1"/>
  <c r="BL79" i="1"/>
  <c r="BM79" i="1"/>
  <c r="BN79" i="1"/>
  <c r="BP79" i="1"/>
  <c r="AM80" i="1"/>
  <c r="AO80" i="1"/>
  <c r="AP80" i="1" s="1"/>
  <c r="AV80" i="1"/>
  <c r="AW80" i="1"/>
  <c r="AX80" i="1"/>
  <c r="AY80" i="1"/>
  <c r="BJ80" i="1"/>
  <c r="BL80" i="1"/>
  <c r="BM80" i="1"/>
  <c r="BN80" i="1"/>
  <c r="BP80" i="1"/>
  <c r="AM81" i="1"/>
  <c r="AO81" i="1"/>
  <c r="AP81" i="1" s="1"/>
  <c r="AV81" i="1"/>
  <c r="AW81" i="1"/>
  <c r="AX81" i="1"/>
  <c r="AY81" i="1"/>
  <c r="BJ81" i="1"/>
  <c r="BL81" i="1"/>
  <c r="BM81" i="1"/>
  <c r="BN81" i="1"/>
  <c r="BP81" i="1"/>
  <c r="AM82" i="1"/>
  <c r="AO82" i="1"/>
  <c r="BH82" i="1" s="1"/>
  <c r="AV82" i="1"/>
  <c r="AW82" i="1"/>
  <c r="W82" i="1" s="1"/>
  <c r="AX82" i="1"/>
  <c r="AY82" i="1"/>
  <c r="BJ82" i="1"/>
  <c r="BL82" i="1"/>
  <c r="BM82" i="1"/>
  <c r="BN82" i="1"/>
  <c r="BP82" i="1"/>
  <c r="AM83" i="1"/>
  <c r="AO83" i="1"/>
  <c r="BG83" i="1" s="1"/>
  <c r="AV83" i="1"/>
  <c r="AW83" i="1"/>
  <c r="W83" i="1" s="1"/>
  <c r="AX83" i="1"/>
  <c r="AY83" i="1"/>
  <c r="BJ83" i="1"/>
  <c r="BL83" i="1"/>
  <c r="BM83" i="1"/>
  <c r="BN83" i="1"/>
  <c r="BP83" i="1"/>
  <c r="AM84" i="1"/>
  <c r="AO84" i="1"/>
  <c r="BH84" i="1" s="1"/>
  <c r="AV84" i="1"/>
  <c r="AW84" i="1"/>
  <c r="AX84" i="1"/>
  <c r="AY84" i="1"/>
  <c r="BJ84" i="1"/>
  <c r="BL84" i="1"/>
  <c r="BM84" i="1"/>
  <c r="BN84" i="1"/>
  <c r="BP84" i="1"/>
  <c r="AM85" i="1"/>
  <c r="AO85" i="1"/>
  <c r="BG85" i="1" s="1"/>
  <c r="AV85" i="1"/>
  <c r="AW85" i="1"/>
  <c r="X85" i="1" s="1"/>
  <c r="AX85" i="1"/>
  <c r="AY85" i="1"/>
  <c r="BJ85" i="1"/>
  <c r="BL85" i="1"/>
  <c r="BM85" i="1"/>
  <c r="BN85" i="1"/>
  <c r="BP85" i="1"/>
  <c r="AM86" i="1"/>
  <c r="AO86" i="1"/>
  <c r="BH86" i="1" s="1"/>
  <c r="AV86" i="1"/>
  <c r="AW86" i="1"/>
  <c r="W86" i="1" s="1"/>
  <c r="AX86" i="1"/>
  <c r="AY86" i="1"/>
  <c r="BJ86" i="1"/>
  <c r="BL86" i="1"/>
  <c r="BM86" i="1"/>
  <c r="BN86" i="1"/>
  <c r="BP86" i="1"/>
  <c r="AM87" i="1"/>
  <c r="AO87" i="1"/>
  <c r="BG87" i="1" s="1"/>
  <c r="AV87" i="1"/>
  <c r="AW87" i="1"/>
  <c r="X87" i="1" s="1"/>
  <c r="AX87" i="1"/>
  <c r="AY87" i="1"/>
  <c r="BJ87" i="1"/>
  <c r="BL87" i="1"/>
  <c r="BM87" i="1"/>
  <c r="BN87" i="1"/>
  <c r="BP87" i="1"/>
  <c r="AM88" i="1"/>
  <c r="AO88" i="1"/>
  <c r="BH88" i="1" s="1"/>
  <c r="AV88" i="1"/>
  <c r="AW88" i="1"/>
  <c r="AX88" i="1"/>
  <c r="AY88" i="1"/>
  <c r="BJ88" i="1"/>
  <c r="BL88" i="1"/>
  <c r="BM88" i="1"/>
  <c r="BN88" i="1"/>
  <c r="BP88" i="1"/>
  <c r="AM89" i="1"/>
  <c r="AO89" i="1"/>
  <c r="BH89" i="1" s="1"/>
  <c r="AV89" i="1"/>
  <c r="AW89" i="1"/>
  <c r="X89" i="1" s="1"/>
  <c r="AX89" i="1"/>
  <c r="AY89" i="1"/>
  <c r="BJ89" i="1"/>
  <c r="BL89" i="1"/>
  <c r="BM89" i="1"/>
  <c r="BN89" i="1"/>
  <c r="BP89" i="1"/>
  <c r="AM90" i="1"/>
  <c r="AO90" i="1"/>
  <c r="BH90" i="1" s="1"/>
  <c r="AV90" i="1"/>
  <c r="AW90" i="1"/>
  <c r="AX90" i="1"/>
  <c r="AY90" i="1"/>
  <c r="BJ90" i="1"/>
  <c r="BL90" i="1"/>
  <c r="BM90" i="1"/>
  <c r="BN90" i="1"/>
  <c r="BP90" i="1"/>
  <c r="AM91" i="1"/>
  <c r="AO91" i="1"/>
  <c r="BG91" i="1" s="1"/>
  <c r="AV91" i="1"/>
  <c r="AW91" i="1"/>
  <c r="W91" i="1" s="1"/>
  <c r="AX91" i="1"/>
  <c r="AY91" i="1"/>
  <c r="BJ91" i="1"/>
  <c r="BL91" i="1"/>
  <c r="BM91" i="1"/>
  <c r="BN91" i="1"/>
  <c r="BP91" i="1"/>
  <c r="AM92" i="1"/>
  <c r="AO92" i="1"/>
  <c r="BH92" i="1" s="1"/>
  <c r="AV92" i="1"/>
  <c r="AW92" i="1"/>
  <c r="AX92" i="1"/>
  <c r="AY92" i="1"/>
  <c r="BJ92" i="1"/>
  <c r="BL92" i="1"/>
  <c r="BM92" i="1"/>
  <c r="BN92" i="1"/>
  <c r="BP92" i="1"/>
  <c r="AM93" i="1"/>
  <c r="AO93" i="1"/>
  <c r="BG93" i="1" s="1"/>
  <c r="AV93" i="1"/>
  <c r="AW93" i="1"/>
  <c r="X93" i="1" s="1"/>
  <c r="AX93" i="1"/>
  <c r="AY93" i="1"/>
  <c r="BJ93" i="1"/>
  <c r="BL93" i="1"/>
  <c r="BM93" i="1"/>
  <c r="BN93" i="1"/>
  <c r="BP93" i="1"/>
  <c r="AM94" i="1"/>
  <c r="AO94" i="1"/>
  <c r="BG94" i="1" s="1"/>
  <c r="AV94" i="1"/>
  <c r="AW94" i="1"/>
  <c r="W94" i="1" s="1"/>
  <c r="AX94" i="1"/>
  <c r="AY94" i="1"/>
  <c r="BJ94" i="1"/>
  <c r="BL94" i="1"/>
  <c r="BM94" i="1"/>
  <c r="BN94" i="1"/>
  <c r="BP94" i="1"/>
  <c r="AM95" i="1"/>
  <c r="AO95" i="1"/>
  <c r="AP95" i="1" s="1"/>
  <c r="AV95" i="1"/>
  <c r="AW95" i="1"/>
  <c r="AX95" i="1"/>
  <c r="AY95" i="1"/>
  <c r="BJ95" i="1"/>
  <c r="BL95" i="1"/>
  <c r="BM95" i="1"/>
  <c r="BN95" i="1"/>
  <c r="BP95" i="1"/>
  <c r="AM96" i="1"/>
  <c r="AN96" i="1" s="1"/>
  <c r="AO96" i="1"/>
  <c r="AP96" i="1" s="1"/>
  <c r="AV96" i="1"/>
  <c r="AW96" i="1"/>
  <c r="AX96" i="1"/>
  <c r="AY96" i="1"/>
  <c r="BJ96" i="1"/>
  <c r="BL96" i="1"/>
  <c r="BM96" i="1"/>
  <c r="BN96" i="1"/>
  <c r="BP96" i="1"/>
  <c r="AM97" i="1"/>
  <c r="AN97" i="1" s="1"/>
  <c r="AO97" i="1"/>
  <c r="AP97" i="1" s="1"/>
  <c r="AV97" i="1"/>
  <c r="AW97" i="1"/>
  <c r="AX97" i="1"/>
  <c r="AY97" i="1"/>
  <c r="BJ97" i="1"/>
  <c r="BL97" i="1"/>
  <c r="BM97" i="1"/>
  <c r="BN97" i="1"/>
  <c r="BP97" i="1"/>
  <c r="AM98" i="1"/>
  <c r="AN98" i="1" s="1"/>
  <c r="AO98" i="1"/>
  <c r="BF98" i="1" s="1"/>
  <c r="AV98" i="1"/>
  <c r="AW98" i="1"/>
  <c r="BK98" i="1" s="1"/>
  <c r="AX98" i="1"/>
  <c r="AY98" i="1"/>
  <c r="BJ98" i="1"/>
  <c r="BL98" i="1"/>
  <c r="BM98" i="1"/>
  <c r="BN98" i="1"/>
  <c r="BP98" i="1"/>
  <c r="AM99" i="1"/>
  <c r="AN99" i="1" s="1"/>
  <c r="AO99" i="1"/>
  <c r="AP99" i="1" s="1"/>
  <c r="AV99" i="1"/>
  <c r="AW99" i="1"/>
  <c r="W99" i="1" s="1"/>
  <c r="AX99" i="1"/>
  <c r="AY99" i="1"/>
  <c r="BJ99" i="1"/>
  <c r="BL99" i="1"/>
  <c r="BM99" i="1"/>
  <c r="BN99" i="1"/>
  <c r="BP99" i="1"/>
  <c r="AM100" i="1"/>
  <c r="AN100" i="1" s="1"/>
  <c r="AO100" i="1"/>
  <c r="AP100" i="1" s="1"/>
  <c r="AV100" i="1"/>
  <c r="AW100" i="1"/>
  <c r="X100" i="1" s="1"/>
  <c r="AX100" i="1"/>
  <c r="AY100" i="1"/>
  <c r="BJ100" i="1"/>
  <c r="BL100" i="1"/>
  <c r="BM100" i="1"/>
  <c r="BN100" i="1"/>
  <c r="BP100" i="1"/>
  <c r="AM101" i="1"/>
  <c r="AN101" i="1" s="1"/>
  <c r="AO101" i="1"/>
  <c r="AP101" i="1" s="1"/>
  <c r="AV101" i="1"/>
  <c r="AW101" i="1"/>
  <c r="AX101" i="1"/>
  <c r="AY101" i="1"/>
  <c r="BJ101" i="1"/>
  <c r="BL101" i="1"/>
  <c r="BM101" i="1"/>
  <c r="BN101" i="1"/>
  <c r="BP101" i="1"/>
  <c r="AM102" i="1"/>
  <c r="AN102" i="1" s="1"/>
  <c r="AO102" i="1"/>
  <c r="BF102" i="1" s="1"/>
  <c r="AV102" i="1"/>
  <c r="AW102" i="1"/>
  <c r="W102" i="1" s="1"/>
  <c r="AX102" i="1"/>
  <c r="AY102" i="1"/>
  <c r="BJ102" i="1"/>
  <c r="BL102" i="1"/>
  <c r="BM102" i="1"/>
  <c r="BN102" i="1"/>
  <c r="BP102" i="1"/>
  <c r="AM103" i="1"/>
  <c r="AN103" i="1" s="1"/>
  <c r="AO103" i="1"/>
  <c r="AP103" i="1" s="1"/>
  <c r="AV103" i="1"/>
  <c r="AW103" i="1"/>
  <c r="AX103" i="1"/>
  <c r="AY103" i="1"/>
  <c r="BJ103" i="1"/>
  <c r="BL103" i="1"/>
  <c r="BM103" i="1"/>
  <c r="BN103" i="1"/>
  <c r="BP103" i="1"/>
  <c r="AM104" i="1"/>
  <c r="AN104" i="1" s="1"/>
  <c r="AO104" i="1"/>
  <c r="AP104" i="1" s="1"/>
  <c r="AV104" i="1"/>
  <c r="AW104" i="1"/>
  <c r="AX104" i="1"/>
  <c r="AY104" i="1"/>
  <c r="BJ104" i="1"/>
  <c r="BL104" i="1"/>
  <c r="BM104" i="1"/>
  <c r="BN104" i="1"/>
  <c r="BP104" i="1"/>
  <c r="AM105" i="1"/>
  <c r="AN105" i="1" s="1"/>
  <c r="AO105" i="1"/>
  <c r="AP105" i="1" s="1"/>
  <c r="AV105" i="1"/>
  <c r="AW105" i="1"/>
  <c r="AX105" i="1"/>
  <c r="AY105" i="1"/>
  <c r="BJ105" i="1"/>
  <c r="BL105" i="1"/>
  <c r="BM105" i="1"/>
  <c r="BN105" i="1"/>
  <c r="BP105" i="1"/>
  <c r="AM106" i="1"/>
  <c r="AN106" i="1" s="1"/>
  <c r="AO106" i="1"/>
  <c r="BF106" i="1" s="1"/>
  <c r="AV106" i="1"/>
  <c r="AW106" i="1"/>
  <c r="BK106" i="1" s="1"/>
  <c r="AX106" i="1"/>
  <c r="AY106" i="1"/>
  <c r="BJ106" i="1"/>
  <c r="BL106" i="1"/>
  <c r="BM106" i="1"/>
  <c r="BN106" i="1"/>
  <c r="BP106" i="1"/>
  <c r="AM107" i="1"/>
  <c r="AN107" i="1" s="1"/>
  <c r="AO107" i="1"/>
  <c r="AP107" i="1" s="1"/>
  <c r="AV107" i="1"/>
  <c r="AW107" i="1"/>
  <c r="BK107" i="1" s="1"/>
  <c r="AX107" i="1"/>
  <c r="AY107" i="1"/>
  <c r="BJ107" i="1"/>
  <c r="BL107" i="1"/>
  <c r="BM107" i="1"/>
  <c r="BN107" i="1"/>
  <c r="BP107" i="1"/>
  <c r="AM108" i="1"/>
  <c r="AN108" i="1" s="1"/>
  <c r="AO108" i="1"/>
  <c r="AV108" i="1"/>
  <c r="AW108" i="1"/>
  <c r="AX108" i="1"/>
  <c r="AY108" i="1"/>
  <c r="BJ108" i="1"/>
  <c r="BL108" i="1"/>
  <c r="BM108" i="1"/>
  <c r="BN108" i="1"/>
  <c r="BP108" i="1"/>
  <c r="AM109" i="1"/>
  <c r="AN109" i="1" s="1"/>
  <c r="AO109" i="1"/>
  <c r="AP109" i="1" s="1"/>
  <c r="AV109" i="1"/>
  <c r="AW109" i="1"/>
  <c r="AX109" i="1"/>
  <c r="AY109" i="1"/>
  <c r="BJ109" i="1"/>
  <c r="BL109" i="1"/>
  <c r="BM109" i="1"/>
  <c r="BN109" i="1"/>
  <c r="BP109" i="1"/>
  <c r="AM110" i="1"/>
  <c r="AN110" i="1" s="1"/>
  <c r="AO110" i="1"/>
  <c r="BF110" i="1" s="1"/>
  <c r="AV110" i="1"/>
  <c r="AW110" i="1"/>
  <c r="AX110" i="1"/>
  <c r="AY110" i="1"/>
  <c r="BJ110" i="1"/>
  <c r="BL110" i="1"/>
  <c r="BM110" i="1"/>
  <c r="BN110" i="1"/>
  <c r="BP110" i="1"/>
  <c r="AM111" i="1"/>
  <c r="AN111" i="1" s="1"/>
  <c r="AO111" i="1"/>
  <c r="AV111" i="1"/>
  <c r="AW111" i="1"/>
  <c r="AX111" i="1"/>
  <c r="AY111" i="1"/>
  <c r="BJ111" i="1"/>
  <c r="BL111" i="1"/>
  <c r="BM111" i="1"/>
  <c r="BN111" i="1"/>
  <c r="BP111" i="1"/>
  <c r="AM112" i="1"/>
  <c r="AN112" i="1" s="1"/>
  <c r="AO112" i="1"/>
  <c r="BA112" i="1" s="1"/>
  <c r="AV112" i="1"/>
  <c r="AW112" i="1"/>
  <c r="AX112" i="1"/>
  <c r="AY112" i="1"/>
  <c r="BJ112" i="1"/>
  <c r="BL112" i="1"/>
  <c r="BM112" i="1"/>
  <c r="BN112" i="1"/>
  <c r="BP112" i="1"/>
  <c r="AM113" i="1"/>
  <c r="AN113" i="1" s="1"/>
  <c r="AO113" i="1"/>
  <c r="AZ113" i="1" s="1"/>
  <c r="AV113" i="1"/>
  <c r="AW113" i="1"/>
  <c r="W113" i="1" s="1"/>
  <c r="AX113" i="1"/>
  <c r="AY113" i="1"/>
  <c r="BJ113" i="1"/>
  <c r="BL113" i="1"/>
  <c r="BM113" i="1"/>
  <c r="BN113" i="1"/>
  <c r="BP113" i="1"/>
  <c r="AM114" i="1"/>
  <c r="AN114" i="1" s="1"/>
  <c r="AO114" i="1"/>
  <c r="BF114" i="1" s="1"/>
  <c r="AV114" i="1"/>
  <c r="AW114" i="1"/>
  <c r="X114" i="1" s="1"/>
  <c r="AX114" i="1"/>
  <c r="AY114" i="1"/>
  <c r="BJ114" i="1"/>
  <c r="BL114" i="1"/>
  <c r="BM114" i="1"/>
  <c r="BN114" i="1"/>
  <c r="BP114" i="1"/>
  <c r="AM115" i="1"/>
  <c r="AN115" i="1" s="1"/>
  <c r="AO115" i="1"/>
  <c r="BA115" i="1" s="1"/>
  <c r="AV115" i="1"/>
  <c r="AW115" i="1"/>
  <c r="AX115" i="1"/>
  <c r="AY115" i="1"/>
  <c r="BJ115" i="1"/>
  <c r="BL115" i="1"/>
  <c r="BM115" i="1"/>
  <c r="BN115" i="1"/>
  <c r="BP115" i="1"/>
  <c r="AM116" i="1"/>
  <c r="AN116" i="1" s="1"/>
  <c r="AO116" i="1"/>
  <c r="BF116" i="1" s="1"/>
  <c r="AV116" i="1"/>
  <c r="AW116" i="1"/>
  <c r="AX116" i="1"/>
  <c r="AY116" i="1"/>
  <c r="BJ116" i="1"/>
  <c r="BL116" i="1"/>
  <c r="BM116" i="1"/>
  <c r="BN116" i="1"/>
  <c r="BP116" i="1"/>
  <c r="AM117" i="1"/>
  <c r="AN117" i="1" s="1"/>
  <c r="AO117" i="1"/>
  <c r="AZ117" i="1" s="1"/>
  <c r="AV117" i="1"/>
  <c r="AW117" i="1"/>
  <c r="X117" i="1" s="1"/>
  <c r="AX117" i="1"/>
  <c r="AY117" i="1"/>
  <c r="BJ117" i="1"/>
  <c r="BL117" i="1"/>
  <c r="BM117" i="1"/>
  <c r="BN117" i="1"/>
  <c r="BP117" i="1"/>
  <c r="AM118" i="1"/>
  <c r="AN118" i="1" s="1"/>
  <c r="AO118" i="1"/>
  <c r="BA118" i="1" s="1"/>
  <c r="AV118" i="1"/>
  <c r="AW118" i="1"/>
  <c r="W118" i="1" s="1"/>
  <c r="AX118" i="1"/>
  <c r="AY118" i="1"/>
  <c r="BJ118" i="1"/>
  <c r="BL118" i="1"/>
  <c r="BM118" i="1"/>
  <c r="BN118" i="1"/>
  <c r="BP118" i="1"/>
  <c r="AM119" i="1"/>
  <c r="AN119" i="1" s="1"/>
  <c r="AO119" i="1"/>
  <c r="BA119" i="1" s="1"/>
  <c r="AV119" i="1"/>
  <c r="AW119" i="1"/>
  <c r="AX119" i="1"/>
  <c r="AY119" i="1"/>
  <c r="BJ119" i="1"/>
  <c r="BL119" i="1"/>
  <c r="BM119" i="1"/>
  <c r="BN119" i="1"/>
  <c r="BP119" i="1"/>
  <c r="AM120" i="1"/>
  <c r="AN120" i="1" s="1"/>
  <c r="AO120" i="1"/>
  <c r="BF120" i="1" s="1"/>
  <c r="AV120" i="1"/>
  <c r="AW120" i="1"/>
  <c r="AX120" i="1"/>
  <c r="AY120" i="1"/>
  <c r="BJ120" i="1"/>
  <c r="BL120" i="1"/>
  <c r="BM120" i="1"/>
  <c r="BN120" i="1"/>
  <c r="BP120" i="1"/>
  <c r="AM121" i="1"/>
  <c r="AN121" i="1" s="1"/>
  <c r="AO121" i="1"/>
  <c r="AZ121" i="1" s="1"/>
  <c r="AV121" i="1"/>
  <c r="AW121" i="1"/>
  <c r="AX121" i="1"/>
  <c r="AY121" i="1"/>
  <c r="BJ121" i="1"/>
  <c r="BL121" i="1"/>
  <c r="BM121" i="1"/>
  <c r="BN121" i="1"/>
  <c r="BP121" i="1"/>
  <c r="AM122" i="1"/>
  <c r="AN122" i="1" s="1"/>
  <c r="AO122" i="1"/>
  <c r="BA122" i="1" s="1"/>
  <c r="AV122" i="1"/>
  <c r="AW122" i="1"/>
  <c r="AX122" i="1"/>
  <c r="AY122" i="1"/>
  <c r="BJ122" i="1"/>
  <c r="BL122" i="1"/>
  <c r="BM122" i="1"/>
  <c r="BN122" i="1"/>
  <c r="BP122" i="1"/>
  <c r="AM123" i="1"/>
  <c r="AN123" i="1" s="1"/>
  <c r="AO123" i="1"/>
  <c r="BF123" i="1" s="1"/>
  <c r="AV123" i="1"/>
  <c r="AW123" i="1"/>
  <c r="AX123" i="1"/>
  <c r="AY123" i="1"/>
  <c r="BJ123" i="1"/>
  <c r="BL123" i="1"/>
  <c r="BM123" i="1"/>
  <c r="BN123" i="1"/>
  <c r="BP123" i="1"/>
  <c r="AM124" i="1"/>
  <c r="AN124" i="1" s="1"/>
  <c r="AO124" i="1"/>
  <c r="BA124" i="1" s="1"/>
  <c r="AV124" i="1"/>
  <c r="AW124" i="1"/>
  <c r="AX124" i="1"/>
  <c r="AY124" i="1"/>
  <c r="BJ124" i="1"/>
  <c r="BL124" i="1"/>
  <c r="BM124" i="1"/>
  <c r="BN124" i="1"/>
  <c r="BP124" i="1"/>
  <c r="AM125" i="1"/>
  <c r="AN125" i="1" s="1"/>
  <c r="AO125" i="1"/>
  <c r="AZ125" i="1" s="1"/>
  <c r="AV125" i="1"/>
  <c r="AW125" i="1"/>
  <c r="AX125" i="1"/>
  <c r="AY125" i="1"/>
  <c r="BJ125" i="1"/>
  <c r="BL125" i="1"/>
  <c r="BM125" i="1"/>
  <c r="BN125" i="1"/>
  <c r="BP125" i="1"/>
  <c r="AM126" i="1"/>
  <c r="AN126" i="1" s="1"/>
  <c r="AO126" i="1"/>
  <c r="BF126" i="1" s="1"/>
  <c r="AV126" i="1"/>
  <c r="AW126" i="1"/>
  <c r="AX126" i="1"/>
  <c r="AY126" i="1"/>
  <c r="BJ126" i="1"/>
  <c r="BL126" i="1"/>
  <c r="BM126" i="1"/>
  <c r="BN126" i="1"/>
  <c r="BP126" i="1"/>
  <c r="AM127" i="1"/>
  <c r="AN127" i="1" s="1"/>
  <c r="AO127" i="1"/>
  <c r="BA127" i="1" s="1"/>
  <c r="AV127" i="1"/>
  <c r="AW127" i="1"/>
  <c r="X127" i="1" s="1"/>
  <c r="AX127" i="1"/>
  <c r="AY127" i="1"/>
  <c r="BJ127" i="1"/>
  <c r="BL127" i="1"/>
  <c r="BM127" i="1"/>
  <c r="BN127" i="1"/>
  <c r="BP127" i="1"/>
  <c r="AM128" i="1"/>
  <c r="AN128" i="1" s="1"/>
  <c r="AO128" i="1"/>
  <c r="BA128" i="1" s="1"/>
  <c r="AV128" i="1"/>
  <c r="AW128" i="1"/>
  <c r="AX128" i="1"/>
  <c r="AY128" i="1"/>
  <c r="BJ128" i="1"/>
  <c r="BL128" i="1"/>
  <c r="BM128" i="1"/>
  <c r="BN128" i="1"/>
  <c r="BP128" i="1"/>
  <c r="AM129" i="1"/>
  <c r="AN129" i="1" s="1"/>
  <c r="AO129" i="1"/>
  <c r="AZ129" i="1" s="1"/>
  <c r="AV129" i="1"/>
  <c r="AW129" i="1"/>
  <c r="AX129" i="1"/>
  <c r="AY129" i="1"/>
  <c r="BJ129" i="1"/>
  <c r="BL129" i="1"/>
  <c r="BM129" i="1"/>
  <c r="BN129" i="1"/>
  <c r="BP129" i="1"/>
  <c r="AM130" i="1"/>
  <c r="AN130" i="1" s="1"/>
  <c r="AO130" i="1"/>
  <c r="BF130" i="1" s="1"/>
  <c r="AV130" i="1"/>
  <c r="AW130" i="1"/>
  <c r="X130" i="1" s="1"/>
  <c r="AX130" i="1"/>
  <c r="AY130" i="1"/>
  <c r="BJ130" i="1"/>
  <c r="BL130" i="1"/>
  <c r="BM130" i="1"/>
  <c r="BN130" i="1"/>
  <c r="BP130" i="1"/>
  <c r="AM131" i="1"/>
  <c r="AN131" i="1" s="1"/>
  <c r="AO131" i="1"/>
  <c r="AZ131" i="1" s="1"/>
  <c r="AV131" i="1"/>
  <c r="AW131" i="1"/>
  <c r="X131" i="1" s="1"/>
  <c r="AX131" i="1"/>
  <c r="AY131" i="1"/>
  <c r="BJ131" i="1"/>
  <c r="BL131" i="1"/>
  <c r="BM131" i="1"/>
  <c r="BN131" i="1"/>
  <c r="BP131" i="1"/>
  <c r="AM132" i="1"/>
  <c r="AN132" i="1" s="1"/>
  <c r="AO132" i="1"/>
  <c r="BA132" i="1" s="1"/>
  <c r="AV132" i="1"/>
  <c r="AW132" i="1"/>
  <c r="AX132" i="1"/>
  <c r="AY132" i="1"/>
  <c r="BJ132" i="1"/>
  <c r="BL132" i="1"/>
  <c r="BM132" i="1"/>
  <c r="BN132" i="1"/>
  <c r="BP132" i="1"/>
  <c r="AM133" i="1"/>
  <c r="AN133" i="1" s="1"/>
  <c r="AO133" i="1"/>
  <c r="BA133" i="1" s="1"/>
  <c r="AV133" i="1"/>
  <c r="AW133" i="1"/>
  <c r="AX133" i="1"/>
  <c r="AY133" i="1"/>
  <c r="BJ133" i="1"/>
  <c r="BL133" i="1"/>
  <c r="BM133" i="1"/>
  <c r="BN133" i="1"/>
  <c r="BP133" i="1"/>
  <c r="AM134" i="1"/>
  <c r="AN134" i="1" s="1"/>
  <c r="AO134" i="1"/>
  <c r="BA134" i="1" s="1"/>
  <c r="AV134" i="1"/>
  <c r="AW134" i="1"/>
  <c r="X134" i="1" s="1"/>
  <c r="AX134" i="1"/>
  <c r="AY134" i="1"/>
  <c r="BJ134" i="1"/>
  <c r="BL134" i="1"/>
  <c r="BM134" i="1"/>
  <c r="BN134" i="1"/>
  <c r="BP134" i="1"/>
  <c r="AM135" i="1"/>
  <c r="AN135" i="1" s="1"/>
  <c r="AO135" i="1"/>
  <c r="BA135" i="1" s="1"/>
  <c r="AV135" i="1"/>
  <c r="AW135" i="1"/>
  <c r="X135" i="1" s="1"/>
  <c r="AX135" i="1"/>
  <c r="AY135" i="1"/>
  <c r="BJ135" i="1"/>
  <c r="BL135" i="1"/>
  <c r="BM135" i="1"/>
  <c r="BN135" i="1"/>
  <c r="BP135" i="1"/>
  <c r="AM136" i="1"/>
  <c r="AN136" i="1" s="1"/>
  <c r="AO136" i="1"/>
  <c r="AZ136" i="1" s="1"/>
  <c r="AV136" i="1"/>
  <c r="AW136" i="1"/>
  <c r="BK136" i="1" s="1"/>
  <c r="AX136" i="1"/>
  <c r="AY136" i="1"/>
  <c r="BJ136" i="1"/>
  <c r="BL136" i="1"/>
  <c r="BM136" i="1"/>
  <c r="BN136" i="1"/>
  <c r="BP136" i="1"/>
  <c r="AM137" i="1"/>
  <c r="AN137" i="1" s="1"/>
  <c r="AO137" i="1"/>
  <c r="AZ137" i="1" s="1"/>
  <c r="AV137" i="1"/>
  <c r="AW137" i="1"/>
  <c r="AX137" i="1"/>
  <c r="AY137" i="1"/>
  <c r="BJ137" i="1"/>
  <c r="BL137" i="1"/>
  <c r="BM137" i="1"/>
  <c r="BN137" i="1"/>
  <c r="BP137" i="1"/>
  <c r="AM138" i="1"/>
  <c r="AN138" i="1" s="1"/>
  <c r="AO138" i="1"/>
  <c r="AZ138" i="1" s="1"/>
  <c r="AV138" i="1"/>
  <c r="AW138" i="1"/>
  <c r="AX138" i="1"/>
  <c r="AY138" i="1"/>
  <c r="BJ138" i="1"/>
  <c r="BL138" i="1"/>
  <c r="BM138" i="1"/>
  <c r="BN138" i="1"/>
  <c r="BP138" i="1"/>
  <c r="AM139" i="1"/>
  <c r="AN139" i="1" s="1"/>
  <c r="AO139" i="1"/>
  <c r="BH139" i="1" s="1"/>
  <c r="AV139" i="1"/>
  <c r="AW139" i="1"/>
  <c r="X139" i="1" s="1"/>
  <c r="AX139" i="1"/>
  <c r="AY139" i="1"/>
  <c r="BJ139" i="1"/>
  <c r="BL139" i="1"/>
  <c r="BM139" i="1"/>
  <c r="BN139" i="1"/>
  <c r="BP139" i="1"/>
  <c r="AM140" i="1"/>
  <c r="AN140" i="1" s="1"/>
  <c r="AO140" i="1"/>
  <c r="AZ140" i="1" s="1"/>
  <c r="AV140" i="1"/>
  <c r="AW140" i="1"/>
  <c r="BK140" i="1" s="1"/>
  <c r="AX140" i="1"/>
  <c r="AY140" i="1"/>
  <c r="BJ140" i="1"/>
  <c r="BL140" i="1"/>
  <c r="BM140" i="1"/>
  <c r="BN140" i="1"/>
  <c r="BP140" i="1"/>
  <c r="AM141" i="1"/>
  <c r="AN141" i="1" s="1"/>
  <c r="AO141" i="1"/>
  <c r="AZ141" i="1" s="1"/>
  <c r="AV141" i="1"/>
  <c r="AW141" i="1"/>
  <c r="AX141" i="1"/>
  <c r="AY141" i="1"/>
  <c r="BJ141" i="1"/>
  <c r="BL141" i="1"/>
  <c r="BM141" i="1"/>
  <c r="BN141" i="1"/>
  <c r="BP141" i="1"/>
  <c r="AM142" i="1"/>
  <c r="AN142" i="1" s="1"/>
  <c r="AO142" i="1"/>
  <c r="AZ142" i="1" s="1"/>
  <c r="AV142" i="1"/>
  <c r="AW142" i="1"/>
  <c r="AX142" i="1"/>
  <c r="AY142" i="1"/>
  <c r="BJ142" i="1"/>
  <c r="BL142" i="1"/>
  <c r="BM142" i="1"/>
  <c r="BN142" i="1"/>
  <c r="BP142" i="1"/>
  <c r="AM143" i="1"/>
  <c r="AN143" i="1" s="1"/>
  <c r="AO143" i="1"/>
  <c r="BH143" i="1" s="1"/>
  <c r="AV143" i="1"/>
  <c r="AW143" i="1"/>
  <c r="X143" i="1" s="1"/>
  <c r="AX143" i="1"/>
  <c r="AY143" i="1"/>
  <c r="BJ143" i="1"/>
  <c r="BL143" i="1"/>
  <c r="BM143" i="1"/>
  <c r="BN143" i="1"/>
  <c r="BP143" i="1"/>
  <c r="AM144" i="1"/>
  <c r="AN144" i="1" s="1"/>
  <c r="AO144" i="1"/>
  <c r="AZ144" i="1" s="1"/>
  <c r="AV144" i="1"/>
  <c r="AW144" i="1"/>
  <c r="BK144" i="1" s="1"/>
  <c r="AX144" i="1"/>
  <c r="AY144" i="1"/>
  <c r="BJ144" i="1"/>
  <c r="BL144" i="1"/>
  <c r="BM144" i="1"/>
  <c r="BN144" i="1"/>
  <c r="BP144" i="1"/>
  <c r="AM145" i="1"/>
  <c r="AN145" i="1" s="1"/>
  <c r="AO145" i="1"/>
  <c r="AZ145" i="1" s="1"/>
  <c r="AV145" i="1"/>
  <c r="AW145" i="1"/>
  <c r="X145" i="1" s="1"/>
  <c r="AX145" i="1"/>
  <c r="AY145" i="1"/>
  <c r="BJ145" i="1"/>
  <c r="BL145" i="1"/>
  <c r="BM145" i="1"/>
  <c r="BN145" i="1"/>
  <c r="BP145" i="1"/>
  <c r="AM146" i="1"/>
  <c r="AN146" i="1" s="1"/>
  <c r="AO146" i="1"/>
  <c r="AV146" i="1"/>
  <c r="AW146" i="1"/>
  <c r="W146" i="1" s="1"/>
  <c r="AX146" i="1"/>
  <c r="AY146" i="1"/>
  <c r="BJ146" i="1"/>
  <c r="BL146" i="1"/>
  <c r="BM146" i="1"/>
  <c r="BN146" i="1"/>
  <c r="BP146" i="1"/>
  <c r="AM147" i="1"/>
  <c r="AN147" i="1" s="1"/>
  <c r="AO147" i="1"/>
  <c r="AZ147" i="1" s="1"/>
  <c r="AV147" i="1"/>
  <c r="AW147" i="1"/>
  <c r="X147" i="1" s="1"/>
  <c r="AX147" i="1"/>
  <c r="AY147" i="1"/>
  <c r="BJ147" i="1"/>
  <c r="BL147" i="1"/>
  <c r="BM147" i="1"/>
  <c r="BN147" i="1"/>
  <c r="BP147" i="1"/>
  <c r="AM148" i="1"/>
  <c r="AO148" i="1"/>
  <c r="AZ148" i="1" s="1"/>
  <c r="AV148" i="1"/>
  <c r="AW148" i="1"/>
  <c r="AX148" i="1"/>
  <c r="AY148" i="1"/>
  <c r="BJ148" i="1"/>
  <c r="BL148" i="1"/>
  <c r="BM148" i="1"/>
  <c r="BN148" i="1"/>
  <c r="BP148" i="1"/>
  <c r="AM149" i="1"/>
  <c r="AN149" i="1" s="1"/>
  <c r="AO149" i="1"/>
  <c r="AZ149" i="1" s="1"/>
  <c r="AV149" i="1"/>
  <c r="AW149" i="1"/>
  <c r="W149" i="1" s="1"/>
  <c r="AX149" i="1"/>
  <c r="AY149" i="1"/>
  <c r="BJ149" i="1"/>
  <c r="BL149" i="1"/>
  <c r="BM149" i="1"/>
  <c r="BN149" i="1"/>
  <c r="BP149" i="1"/>
  <c r="AM150" i="1"/>
  <c r="AN150" i="1" s="1"/>
  <c r="AO150" i="1"/>
  <c r="AV150" i="1"/>
  <c r="AW150" i="1"/>
  <c r="AX150" i="1"/>
  <c r="AY150" i="1"/>
  <c r="BJ150" i="1"/>
  <c r="BL150" i="1"/>
  <c r="BM150" i="1"/>
  <c r="BN150" i="1"/>
  <c r="BP150" i="1"/>
  <c r="AM151" i="1"/>
  <c r="AN151" i="1" s="1"/>
  <c r="AO151" i="1"/>
  <c r="AZ151" i="1" s="1"/>
  <c r="AV151" i="1"/>
  <c r="AW151" i="1"/>
  <c r="X151" i="1" s="1"/>
  <c r="AX151" i="1"/>
  <c r="AY151" i="1"/>
  <c r="BJ151" i="1"/>
  <c r="BL151" i="1"/>
  <c r="BM151" i="1"/>
  <c r="BN151" i="1"/>
  <c r="BP151" i="1"/>
  <c r="AM152" i="1"/>
  <c r="AN152" i="1" s="1"/>
  <c r="AO152" i="1"/>
  <c r="AZ152" i="1" s="1"/>
  <c r="AV152" i="1"/>
  <c r="AW152" i="1"/>
  <c r="BK152" i="1" s="1"/>
  <c r="AX152" i="1"/>
  <c r="AY152" i="1"/>
  <c r="BJ152" i="1"/>
  <c r="BL152" i="1"/>
  <c r="BM152" i="1"/>
  <c r="BN152" i="1"/>
  <c r="BP152" i="1"/>
  <c r="AM153" i="1"/>
  <c r="AN153" i="1" s="1"/>
  <c r="AO153" i="1"/>
  <c r="AV153" i="1"/>
  <c r="AW153" i="1"/>
  <c r="AX153" i="1"/>
  <c r="AY153" i="1"/>
  <c r="BJ153" i="1"/>
  <c r="BL153" i="1"/>
  <c r="BM153" i="1"/>
  <c r="BN153" i="1"/>
  <c r="BP153" i="1"/>
  <c r="AM154" i="1"/>
  <c r="AN154" i="1" s="1"/>
  <c r="AO154" i="1"/>
  <c r="AZ154" i="1" s="1"/>
  <c r="AV154" i="1"/>
  <c r="AW154" i="1"/>
  <c r="AX154" i="1"/>
  <c r="AY154" i="1"/>
  <c r="BJ154" i="1"/>
  <c r="BL154" i="1"/>
  <c r="BM154" i="1"/>
  <c r="BN154" i="1"/>
  <c r="BP154" i="1"/>
  <c r="AM155" i="1"/>
  <c r="AO155" i="1"/>
  <c r="BH155" i="1" s="1"/>
  <c r="AV155" i="1"/>
  <c r="AW155" i="1"/>
  <c r="W155" i="1" s="1"/>
  <c r="AX155" i="1"/>
  <c r="AY155" i="1"/>
  <c r="BJ155" i="1"/>
  <c r="BL155" i="1"/>
  <c r="BM155" i="1"/>
  <c r="BN155" i="1"/>
  <c r="BP155" i="1"/>
  <c r="AM156" i="1"/>
  <c r="AN156" i="1" s="1"/>
  <c r="AO156" i="1"/>
  <c r="AZ156" i="1" s="1"/>
  <c r="AV156" i="1"/>
  <c r="AW156" i="1"/>
  <c r="AX156" i="1"/>
  <c r="AY156" i="1"/>
  <c r="BJ156" i="1"/>
  <c r="BL156" i="1"/>
  <c r="BM156" i="1"/>
  <c r="BN156" i="1"/>
  <c r="BP156" i="1"/>
  <c r="AM157" i="1"/>
  <c r="AN157" i="1" s="1"/>
  <c r="AO157" i="1"/>
  <c r="AP157" i="1" s="1"/>
  <c r="AV157" i="1"/>
  <c r="AW157" i="1"/>
  <c r="AX157" i="1"/>
  <c r="AY157" i="1"/>
  <c r="BJ157" i="1"/>
  <c r="BL157" i="1"/>
  <c r="BM157" i="1"/>
  <c r="BN157" i="1"/>
  <c r="BP157" i="1"/>
  <c r="AM158" i="1"/>
  <c r="AN158" i="1" s="1"/>
  <c r="AO158" i="1"/>
  <c r="BA158" i="1" s="1"/>
  <c r="AV158" i="1"/>
  <c r="AW158" i="1"/>
  <c r="AX158" i="1"/>
  <c r="AY158" i="1"/>
  <c r="BJ158" i="1"/>
  <c r="BL158" i="1"/>
  <c r="BM158" i="1"/>
  <c r="BN158" i="1"/>
  <c r="BP158" i="1"/>
  <c r="AM159" i="1"/>
  <c r="AN159" i="1" s="1"/>
  <c r="AO159" i="1"/>
  <c r="BA159" i="1" s="1"/>
  <c r="AV159" i="1"/>
  <c r="AW159" i="1"/>
  <c r="X159" i="1" s="1"/>
  <c r="AX159" i="1"/>
  <c r="AY159" i="1"/>
  <c r="BJ159" i="1"/>
  <c r="BL159" i="1"/>
  <c r="BM159" i="1"/>
  <c r="BN159" i="1"/>
  <c r="BP159" i="1"/>
  <c r="AM160" i="1"/>
  <c r="AN160" i="1" s="1"/>
  <c r="AO160" i="1"/>
  <c r="AZ160" i="1" s="1"/>
  <c r="AV160" i="1"/>
  <c r="AW160" i="1"/>
  <c r="BK160" i="1" s="1"/>
  <c r="AX160" i="1"/>
  <c r="AY160" i="1"/>
  <c r="BJ160" i="1"/>
  <c r="BL160" i="1"/>
  <c r="BM160" i="1"/>
  <c r="BN160" i="1"/>
  <c r="BP160" i="1"/>
  <c r="AM161" i="1"/>
  <c r="AN161" i="1" s="1"/>
  <c r="AO161" i="1"/>
  <c r="AV161" i="1"/>
  <c r="AW161" i="1"/>
  <c r="AX161" i="1"/>
  <c r="AY161" i="1"/>
  <c r="BJ161" i="1"/>
  <c r="BL161" i="1"/>
  <c r="BM161" i="1"/>
  <c r="BN161" i="1"/>
  <c r="BP161" i="1"/>
  <c r="AM162" i="1"/>
  <c r="AN162" i="1" s="1"/>
  <c r="AO162" i="1"/>
  <c r="AZ162" i="1" s="1"/>
  <c r="AV162" i="1"/>
  <c r="AW162" i="1"/>
  <c r="AX162" i="1"/>
  <c r="AY162" i="1"/>
  <c r="BJ162" i="1"/>
  <c r="BL162" i="1"/>
  <c r="BM162" i="1"/>
  <c r="BN162" i="1"/>
  <c r="BP162" i="1"/>
  <c r="AM163" i="1"/>
  <c r="AN163" i="1" s="1"/>
  <c r="AO163" i="1"/>
  <c r="BH163" i="1" s="1"/>
  <c r="AV163" i="1"/>
  <c r="AW163" i="1"/>
  <c r="X163" i="1" s="1"/>
  <c r="AX163" i="1"/>
  <c r="AY163" i="1"/>
  <c r="BJ163" i="1"/>
  <c r="BL163" i="1"/>
  <c r="BM163" i="1"/>
  <c r="BN163" i="1"/>
  <c r="BP163" i="1"/>
  <c r="AM164" i="1"/>
  <c r="AN164" i="1" s="1"/>
  <c r="AO164" i="1"/>
  <c r="AZ164" i="1" s="1"/>
  <c r="AV164" i="1"/>
  <c r="AW164" i="1"/>
  <c r="AX164" i="1"/>
  <c r="AY164" i="1"/>
  <c r="BJ164" i="1"/>
  <c r="BL164" i="1"/>
  <c r="BM164" i="1"/>
  <c r="BN164" i="1"/>
  <c r="BP164" i="1"/>
  <c r="AM165" i="1"/>
  <c r="AN165" i="1" s="1"/>
  <c r="AO165" i="1"/>
  <c r="BA165" i="1" s="1"/>
  <c r="AV165" i="1"/>
  <c r="AW165" i="1"/>
  <c r="AX165" i="1"/>
  <c r="AY165" i="1"/>
  <c r="BJ165" i="1"/>
  <c r="BL165" i="1"/>
  <c r="BM165" i="1"/>
  <c r="BN165" i="1"/>
  <c r="BP165" i="1"/>
  <c r="AM166" i="1"/>
  <c r="AN166" i="1" s="1"/>
  <c r="AO166" i="1"/>
  <c r="AZ166" i="1" s="1"/>
  <c r="AV166" i="1"/>
  <c r="AW166" i="1"/>
  <c r="X166" i="1" s="1"/>
  <c r="AX166" i="1"/>
  <c r="AY166" i="1"/>
  <c r="BJ166" i="1"/>
  <c r="BL166" i="1"/>
  <c r="BM166" i="1"/>
  <c r="BN166" i="1"/>
  <c r="BP166" i="1"/>
  <c r="AM167" i="1"/>
  <c r="AN167" i="1" s="1"/>
  <c r="AO167" i="1"/>
  <c r="BF167" i="1" s="1"/>
  <c r="AV167" i="1"/>
  <c r="AW167" i="1"/>
  <c r="X167" i="1" s="1"/>
  <c r="AX167" i="1"/>
  <c r="AY167" i="1"/>
  <c r="BJ167" i="1"/>
  <c r="BL167" i="1"/>
  <c r="BM167" i="1"/>
  <c r="BN167" i="1"/>
  <c r="BP167" i="1"/>
  <c r="AM168" i="1"/>
  <c r="AN168" i="1" s="1"/>
  <c r="AO168" i="1"/>
  <c r="AZ168" i="1" s="1"/>
  <c r="AV168" i="1"/>
  <c r="AW168" i="1"/>
  <c r="BK168" i="1" s="1"/>
  <c r="AX168" i="1"/>
  <c r="AY168" i="1"/>
  <c r="BJ168" i="1"/>
  <c r="BL168" i="1"/>
  <c r="BM168" i="1"/>
  <c r="BN168" i="1"/>
  <c r="BP168" i="1"/>
  <c r="AM169" i="1"/>
  <c r="AN169" i="1" s="1"/>
  <c r="AO169" i="1"/>
  <c r="BA169" i="1" s="1"/>
  <c r="AV169" i="1"/>
  <c r="AW169" i="1"/>
  <c r="AX169" i="1"/>
  <c r="AY169" i="1"/>
  <c r="BJ169" i="1"/>
  <c r="BL169" i="1"/>
  <c r="BM169" i="1"/>
  <c r="BN169" i="1"/>
  <c r="BP169" i="1"/>
  <c r="AM170" i="1"/>
  <c r="AN170" i="1" s="1"/>
  <c r="AO170" i="1"/>
  <c r="AZ170" i="1" s="1"/>
  <c r="AV170" i="1"/>
  <c r="AW170" i="1"/>
  <c r="AX170" i="1"/>
  <c r="AY170" i="1"/>
  <c r="BJ170" i="1"/>
  <c r="BL170" i="1"/>
  <c r="BM170" i="1"/>
  <c r="BN170" i="1"/>
  <c r="BP170" i="1"/>
  <c r="AM171" i="1"/>
  <c r="AN171" i="1" s="1"/>
  <c r="AO171" i="1"/>
  <c r="AV171" i="1"/>
  <c r="AW171" i="1"/>
  <c r="AX171" i="1"/>
  <c r="AY171" i="1"/>
  <c r="BJ171" i="1"/>
  <c r="BL171" i="1"/>
  <c r="BM171" i="1"/>
  <c r="BN171" i="1"/>
  <c r="BP171" i="1"/>
  <c r="AM172" i="1"/>
  <c r="AN172" i="1" s="1"/>
  <c r="AO172" i="1"/>
  <c r="AZ172" i="1" s="1"/>
  <c r="AV172" i="1"/>
  <c r="AW172" i="1"/>
  <c r="BK172" i="1" s="1"/>
  <c r="AX172" i="1"/>
  <c r="AY172" i="1"/>
  <c r="BJ172" i="1"/>
  <c r="BL172" i="1"/>
  <c r="BM172" i="1"/>
  <c r="BN172" i="1"/>
  <c r="BP172" i="1"/>
  <c r="AM173" i="1"/>
  <c r="AN173" i="1" s="1"/>
  <c r="AO173" i="1"/>
  <c r="AV173" i="1"/>
  <c r="AW173" i="1"/>
  <c r="AX173" i="1"/>
  <c r="AY173" i="1"/>
  <c r="BJ173" i="1"/>
  <c r="BL173" i="1"/>
  <c r="BM173" i="1"/>
  <c r="BN173" i="1"/>
  <c r="BP173" i="1"/>
  <c r="AM174" i="1"/>
  <c r="AN174" i="1" s="1"/>
  <c r="AO174" i="1"/>
  <c r="AZ174" i="1" s="1"/>
  <c r="AV174" i="1"/>
  <c r="AW174" i="1"/>
  <c r="AX174" i="1"/>
  <c r="AY174" i="1"/>
  <c r="BJ174" i="1"/>
  <c r="BL174" i="1"/>
  <c r="BM174" i="1"/>
  <c r="BN174" i="1"/>
  <c r="BP174" i="1"/>
  <c r="AM175" i="1"/>
  <c r="AN175" i="1" s="1"/>
  <c r="AO175" i="1"/>
  <c r="BH175" i="1" s="1"/>
  <c r="AV175" i="1"/>
  <c r="AW175" i="1"/>
  <c r="X175" i="1" s="1"/>
  <c r="AX175" i="1"/>
  <c r="AY175" i="1"/>
  <c r="BJ175" i="1"/>
  <c r="BL175" i="1"/>
  <c r="BM175" i="1"/>
  <c r="BN175" i="1"/>
  <c r="BP175" i="1"/>
  <c r="AM176" i="1"/>
  <c r="AN176" i="1" s="1"/>
  <c r="AO176" i="1"/>
  <c r="AZ176" i="1" s="1"/>
  <c r="AV176" i="1"/>
  <c r="AW176" i="1"/>
  <c r="BK176" i="1" s="1"/>
  <c r="AX176" i="1"/>
  <c r="AY176" i="1"/>
  <c r="BJ176" i="1"/>
  <c r="BL176" i="1"/>
  <c r="BM176" i="1"/>
  <c r="BN176" i="1"/>
  <c r="BP176" i="1"/>
  <c r="AM177" i="1"/>
  <c r="AN177" i="1" s="1"/>
  <c r="AO177" i="1"/>
  <c r="BA177" i="1" s="1"/>
  <c r="AV177" i="1"/>
  <c r="AW177" i="1"/>
  <c r="X177" i="1" s="1"/>
  <c r="AX177" i="1"/>
  <c r="AY177" i="1"/>
  <c r="BJ177" i="1"/>
  <c r="BL177" i="1"/>
  <c r="BM177" i="1"/>
  <c r="BN177" i="1"/>
  <c r="BP177" i="1"/>
  <c r="AM178" i="1"/>
  <c r="AN178" i="1" s="1"/>
  <c r="AO178" i="1"/>
  <c r="AZ178" i="1" s="1"/>
  <c r="AV178" i="1"/>
  <c r="AW178" i="1"/>
  <c r="W178" i="1" s="1"/>
  <c r="AX178" i="1"/>
  <c r="AY178" i="1"/>
  <c r="BJ178" i="1"/>
  <c r="BL178" i="1"/>
  <c r="BM178" i="1"/>
  <c r="BN178" i="1"/>
  <c r="BP178" i="1"/>
  <c r="AM179" i="1"/>
  <c r="AN179" i="1" s="1"/>
  <c r="AO179" i="1"/>
  <c r="BF179" i="1" s="1"/>
  <c r="AV179" i="1"/>
  <c r="AW179" i="1"/>
  <c r="X179" i="1" s="1"/>
  <c r="AX179" i="1"/>
  <c r="AY179" i="1"/>
  <c r="BJ179" i="1"/>
  <c r="BL179" i="1"/>
  <c r="BM179" i="1"/>
  <c r="BN179" i="1"/>
  <c r="BP179" i="1"/>
  <c r="AM180" i="1"/>
  <c r="AN180" i="1" s="1"/>
  <c r="AO180" i="1"/>
  <c r="AV180" i="1"/>
  <c r="AW180" i="1"/>
  <c r="AX180" i="1"/>
  <c r="AY180" i="1"/>
  <c r="BJ180" i="1"/>
  <c r="BL180" i="1"/>
  <c r="BM180" i="1"/>
  <c r="BN180" i="1"/>
  <c r="BP180" i="1"/>
  <c r="AM181" i="1"/>
  <c r="AN181" i="1" s="1"/>
  <c r="AO181" i="1"/>
  <c r="BA181" i="1" s="1"/>
  <c r="AV181" i="1"/>
  <c r="AW181" i="1"/>
  <c r="W181" i="1" s="1"/>
  <c r="AX181" i="1"/>
  <c r="AY181" i="1"/>
  <c r="BJ181" i="1"/>
  <c r="BL181" i="1"/>
  <c r="BM181" i="1"/>
  <c r="BN181" i="1"/>
  <c r="BP181" i="1"/>
  <c r="AM182" i="1"/>
  <c r="AO182" i="1"/>
  <c r="AZ182" i="1" s="1"/>
  <c r="AV182" i="1"/>
  <c r="AW182" i="1"/>
  <c r="W182" i="1" s="1"/>
  <c r="AX182" i="1"/>
  <c r="AY182" i="1"/>
  <c r="BJ182" i="1"/>
  <c r="BL182" i="1"/>
  <c r="BM182" i="1"/>
  <c r="BN182" i="1"/>
  <c r="BP182" i="1"/>
  <c r="AM183" i="1"/>
  <c r="AN183" i="1" s="1"/>
  <c r="AO183" i="1"/>
  <c r="BF183" i="1" s="1"/>
  <c r="AV183" i="1"/>
  <c r="AW183" i="1"/>
  <c r="X183" i="1" s="1"/>
  <c r="AX183" i="1"/>
  <c r="AY183" i="1"/>
  <c r="BJ183" i="1"/>
  <c r="BL183" i="1"/>
  <c r="BM183" i="1"/>
  <c r="BN183" i="1"/>
  <c r="BP183" i="1"/>
  <c r="AM184" i="1"/>
  <c r="AN184" i="1" s="1"/>
  <c r="AO184" i="1"/>
  <c r="AV184" i="1"/>
  <c r="AW184" i="1"/>
  <c r="BK184" i="1" s="1"/>
  <c r="AX184" i="1"/>
  <c r="AY184" i="1"/>
  <c r="BJ184" i="1"/>
  <c r="BL184" i="1"/>
  <c r="BM184" i="1"/>
  <c r="BN184" i="1"/>
  <c r="BP184" i="1"/>
  <c r="AM185" i="1"/>
  <c r="AN185" i="1" s="1"/>
  <c r="AO185" i="1"/>
  <c r="BA185" i="1" s="1"/>
  <c r="AV185" i="1"/>
  <c r="AW185" i="1"/>
  <c r="AX185" i="1"/>
  <c r="AY185" i="1"/>
  <c r="BJ185" i="1"/>
  <c r="BL185" i="1"/>
  <c r="BM185" i="1"/>
  <c r="BN185" i="1"/>
  <c r="BP185" i="1"/>
  <c r="AM186" i="1"/>
  <c r="AO186" i="1"/>
  <c r="AZ186" i="1" s="1"/>
  <c r="AV186" i="1"/>
  <c r="AW186" i="1"/>
  <c r="AX186" i="1"/>
  <c r="AY186" i="1"/>
  <c r="BJ186" i="1"/>
  <c r="BL186" i="1"/>
  <c r="BM186" i="1"/>
  <c r="BN186" i="1"/>
  <c r="BP186" i="1"/>
  <c r="AM187" i="1"/>
  <c r="AN187" i="1" s="1"/>
  <c r="AO187" i="1"/>
  <c r="BH187" i="1" s="1"/>
  <c r="AV187" i="1"/>
  <c r="AW187" i="1"/>
  <c r="AX187" i="1"/>
  <c r="AY187" i="1"/>
  <c r="BJ187" i="1"/>
  <c r="BL187" i="1"/>
  <c r="BM187" i="1"/>
  <c r="BN187" i="1"/>
  <c r="BP187" i="1"/>
  <c r="AM188" i="1"/>
  <c r="AN188" i="1" s="1"/>
  <c r="AO188" i="1"/>
  <c r="AV188" i="1"/>
  <c r="AW188" i="1"/>
  <c r="AX188" i="1"/>
  <c r="AY188" i="1"/>
  <c r="BJ188" i="1"/>
  <c r="BL188" i="1"/>
  <c r="BM188" i="1"/>
  <c r="BN188" i="1"/>
  <c r="BP188" i="1"/>
  <c r="AM189" i="1"/>
  <c r="AN189" i="1" s="1"/>
  <c r="AO189" i="1"/>
  <c r="BA189" i="1" s="1"/>
  <c r="AV189" i="1"/>
  <c r="AW189" i="1"/>
  <c r="AX189" i="1"/>
  <c r="AY189" i="1"/>
  <c r="BJ189" i="1"/>
  <c r="BL189" i="1"/>
  <c r="BM189" i="1"/>
  <c r="BN189" i="1"/>
  <c r="BP189" i="1"/>
  <c r="AM190" i="1"/>
  <c r="AO190" i="1"/>
  <c r="AZ190" i="1" s="1"/>
  <c r="AV190" i="1"/>
  <c r="AW190" i="1"/>
  <c r="AX190" i="1"/>
  <c r="AY190" i="1"/>
  <c r="BJ190" i="1"/>
  <c r="BL190" i="1"/>
  <c r="BM190" i="1"/>
  <c r="BN190" i="1"/>
  <c r="BP190" i="1"/>
  <c r="AM191" i="1"/>
  <c r="AN191" i="1" s="1"/>
  <c r="AO191" i="1"/>
  <c r="BA191" i="1" s="1"/>
  <c r="AV191" i="1"/>
  <c r="AW191" i="1"/>
  <c r="X191" i="1" s="1"/>
  <c r="AX191" i="1"/>
  <c r="AY191" i="1"/>
  <c r="BJ191" i="1"/>
  <c r="BL191" i="1"/>
  <c r="BM191" i="1"/>
  <c r="BN191" i="1"/>
  <c r="BP191" i="1"/>
  <c r="AM192" i="1"/>
  <c r="AN192" i="1" s="1"/>
  <c r="AO192" i="1"/>
  <c r="AV192" i="1"/>
  <c r="AW192" i="1"/>
  <c r="BK192" i="1" s="1"/>
  <c r="AX192" i="1"/>
  <c r="AY192" i="1"/>
  <c r="BJ192" i="1"/>
  <c r="BL192" i="1"/>
  <c r="BM192" i="1"/>
  <c r="BN192" i="1"/>
  <c r="BP192" i="1"/>
  <c r="AM193" i="1"/>
  <c r="AN193" i="1" s="1"/>
  <c r="AO193" i="1"/>
  <c r="BA193" i="1" s="1"/>
  <c r="AV193" i="1"/>
  <c r="AW193" i="1"/>
  <c r="AX193" i="1"/>
  <c r="AY193" i="1"/>
  <c r="BJ193" i="1"/>
  <c r="BL193" i="1"/>
  <c r="BM193" i="1"/>
  <c r="BN193" i="1"/>
  <c r="BP193" i="1"/>
  <c r="AM194" i="1"/>
  <c r="AO194" i="1"/>
  <c r="AZ194" i="1" s="1"/>
  <c r="AV194" i="1"/>
  <c r="AW194" i="1"/>
  <c r="X194" i="1" s="1"/>
  <c r="AX194" i="1"/>
  <c r="AY194" i="1"/>
  <c r="BJ194" i="1"/>
  <c r="BL194" i="1"/>
  <c r="BM194" i="1"/>
  <c r="BN194" i="1"/>
  <c r="BP194" i="1"/>
  <c r="AM195" i="1"/>
  <c r="AN195" i="1" s="1"/>
  <c r="AO195" i="1"/>
  <c r="BA195" i="1" s="1"/>
  <c r="AV195" i="1"/>
  <c r="AW195" i="1"/>
  <c r="AX195" i="1"/>
  <c r="AY195" i="1"/>
  <c r="BJ195" i="1"/>
  <c r="BL195" i="1"/>
  <c r="BM195" i="1"/>
  <c r="BN195" i="1"/>
  <c r="BP195" i="1"/>
  <c r="AM196" i="1"/>
  <c r="AN196" i="1" s="1"/>
  <c r="AO196" i="1"/>
  <c r="AV196" i="1"/>
  <c r="AW196" i="1"/>
  <c r="AX196" i="1"/>
  <c r="AY196" i="1"/>
  <c r="BJ196" i="1"/>
  <c r="BL196" i="1"/>
  <c r="BM196" i="1"/>
  <c r="BN196" i="1"/>
  <c r="BP196" i="1"/>
  <c r="AM197" i="1"/>
  <c r="AN197" i="1" s="1"/>
  <c r="AO197" i="1"/>
  <c r="BA197" i="1" s="1"/>
  <c r="AV197" i="1"/>
  <c r="AW197" i="1"/>
  <c r="AX197" i="1"/>
  <c r="AY197" i="1"/>
  <c r="BJ197" i="1"/>
  <c r="BL197" i="1"/>
  <c r="BM197" i="1"/>
  <c r="BN197" i="1"/>
  <c r="BP197" i="1"/>
  <c r="AM198" i="1"/>
  <c r="AO198" i="1"/>
  <c r="AV198" i="1"/>
  <c r="AW198" i="1"/>
  <c r="W198" i="1" s="1"/>
  <c r="AX198" i="1"/>
  <c r="AY198" i="1"/>
  <c r="BJ198" i="1"/>
  <c r="BL198" i="1"/>
  <c r="BM198" i="1"/>
  <c r="BN198" i="1"/>
  <c r="BP198" i="1"/>
  <c r="AM199" i="1"/>
  <c r="AN199" i="1" s="1"/>
  <c r="AO199" i="1"/>
  <c r="AV199" i="1"/>
  <c r="AW199" i="1"/>
  <c r="X199" i="1" s="1"/>
  <c r="AX199" i="1"/>
  <c r="AY199" i="1"/>
  <c r="BJ199" i="1"/>
  <c r="BL199" i="1"/>
  <c r="BM199" i="1"/>
  <c r="BN199" i="1"/>
  <c r="BP199" i="1"/>
  <c r="AM200" i="1"/>
  <c r="AN200" i="1" s="1"/>
  <c r="AO200" i="1"/>
  <c r="AV200" i="1"/>
  <c r="AW200" i="1"/>
  <c r="BK200" i="1" s="1"/>
  <c r="AX200" i="1"/>
  <c r="AY200" i="1"/>
  <c r="BJ200" i="1"/>
  <c r="BL200" i="1"/>
  <c r="BM200" i="1"/>
  <c r="BN200" i="1"/>
  <c r="BP200" i="1"/>
  <c r="AM201" i="1"/>
  <c r="AN201" i="1" s="1"/>
  <c r="AO201" i="1"/>
  <c r="BA201" i="1" s="1"/>
  <c r="AV201" i="1"/>
  <c r="AW201" i="1"/>
  <c r="AX201" i="1"/>
  <c r="AY201" i="1"/>
  <c r="BJ201" i="1"/>
  <c r="BL201" i="1"/>
  <c r="BM201" i="1"/>
  <c r="BN201" i="1"/>
  <c r="BP201" i="1"/>
  <c r="AM202" i="1"/>
  <c r="AO202" i="1"/>
  <c r="AV202" i="1"/>
  <c r="AW202" i="1"/>
  <c r="AX202" i="1"/>
  <c r="AY202" i="1"/>
  <c r="BJ202" i="1"/>
  <c r="BL202" i="1"/>
  <c r="BM202" i="1"/>
  <c r="BN202" i="1"/>
  <c r="BP202" i="1"/>
  <c r="AM203" i="1"/>
  <c r="AN203" i="1" s="1"/>
  <c r="AO203" i="1"/>
  <c r="BH203" i="1" s="1"/>
  <c r="AV203" i="1"/>
  <c r="AW203" i="1"/>
  <c r="X203" i="1" s="1"/>
  <c r="AX203" i="1"/>
  <c r="AY203" i="1"/>
  <c r="BJ203" i="1"/>
  <c r="BL203" i="1"/>
  <c r="BM203" i="1"/>
  <c r="BN203" i="1"/>
  <c r="BP203" i="1"/>
  <c r="AM204" i="1"/>
  <c r="AN204" i="1" s="1"/>
  <c r="AO204" i="1"/>
  <c r="BA204" i="1" s="1"/>
  <c r="AV204" i="1"/>
  <c r="AW204" i="1"/>
  <c r="W204" i="1" s="1"/>
  <c r="AX204" i="1"/>
  <c r="AY204" i="1"/>
  <c r="BJ204" i="1"/>
  <c r="BL204" i="1"/>
  <c r="BM204" i="1"/>
  <c r="BN204" i="1"/>
  <c r="BP204" i="1"/>
  <c r="AM205" i="1"/>
  <c r="AN205" i="1" s="1"/>
  <c r="AO205" i="1"/>
  <c r="AV205" i="1"/>
  <c r="AW205" i="1"/>
  <c r="AX205" i="1"/>
  <c r="AY205" i="1"/>
  <c r="BJ205" i="1"/>
  <c r="BL205" i="1"/>
  <c r="BM205" i="1"/>
  <c r="BN205" i="1"/>
  <c r="BP205" i="1"/>
  <c r="AM206" i="1"/>
  <c r="AO206" i="1"/>
  <c r="BA206" i="1" s="1"/>
  <c r="AV206" i="1"/>
  <c r="AW206" i="1"/>
  <c r="AX206" i="1"/>
  <c r="AY206" i="1"/>
  <c r="BJ206" i="1"/>
  <c r="BL206" i="1"/>
  <c r="BM206" i="1"/>
  <c r="BN206" i="1"/>
  <c r="BP206" i="1"/>
  <c r="AM207" i="1"/>
  <c r="AN207" i="1" s="1"/>
  <c r="AO207" i="1"/>
  <c r="BH207" i="1" s="1"/>
  <c r="AV207" i="1"/>
  <c r="AW207" i="1"/>
  <c r="X207" i="1" s="1"/>
  <c r="AX207" i="1"/>
  <c r="AY207" i="1"/>
  <c r="BJ207" i="1"/>
  <c r="BL207" i="1"/>
  <c r="BM207" i="1"/>
  <c r="BN207" i="1"/>
  <c r="BP207" i="1"/>
  <c r="AM208" i="1"/>
  <c r="AN208" i="1" s="1"/>
  <c r="AO208" i="1"/>
  <c r="BA208" i="1" s="1"/>
  <c r="AV208" i="1"/>
  <c r="AW208" i="1"/>
  <c r="BK208" i="1" s="1"/>
  <c r="AX208" i="1"/>
  <c r="AY208" i="1"/>
  <c r="BJ208" i="1"/>
  <c r="BL208" i="1"/>
  <c r="BM208" i="1"/>
  <c r="BN208" i="1"/>
  <c r="BP208" i="1"/>
  <c r="AM209" i="1"/>
  <c r="AN209" i="1" s="1"/>
  <c r="AO209" i="1"/>
  <c r="BH209" i="1" s="1"/>
  <c r="AV209" i="1"/>
  <c r="AW209" i="1"/>
  <c r="X209" i="1" s="1"/>
  <c r="AX209" i="1"/>
  <c r="AY209" i="1"/>
  <c r="BJ209" i="1"/>
  <c r="BL209" i="1"/>
  <c r="BM209" i="1"/>
  <c r="BN209" i="1"/>
  <c r="BP209" i="1"/>
  <c r="AM210" i="1"/>
  <c r="AN210" i="1" s="1"/>
  <c r="AO210" i="1"/>
  <c r="BH210" i="1" s="1"/>
  <c r="AV210" i="1"/>
  <c r="AW210" i="1"/>
  <c r="W210" i="1" s="1"/>
  <c r="AX210" i="1"/>
  <c r="AY210" i="1"/>
  <c r="BJ210" i="1"/>
  <c r="BL210" i="1"/>
  <c r="BM210" i="1"/>
  <c r="BN210" i="1"/>
  <c r="BP210" i="1"/>
  <c r="AM211" i="1"/>
  <c r="AN211" i="1" s="1"/>
  <c r="AO211" i="1"/>
  <c r="BH211" i="1" s="1"/>
  <c r="AV211" i="1"/>
  <c r="AW211" i="1"/>
  <c r="X211" i="1" s="1"/>
  <c r="AX211" i="1"/>
  <c r="AY211" i="1"/>
  <c r="BJ211" i="1"/>
  <c r="BL211" i="1"/>
  <c r="BM211" i="1"/>
  <c r="BN211" i="1"/>
  <c r="BP211" i="1"/>
  <c r="AM212" i="1"/>
  <c r="AN212" i="1" s="1"/>
  <c r="AO212" i="1"/>
  <c r="BH212" i="1" s="1"/>
  <c r="AV212" i="1"/>
  <c r="AW212" i="1"/>
  <c r="AX212" i="1"/>
  <c r="AY212" i="1"/>
  <c r="BJ212" i="1"/>
  <c r="BL212" i="1"/>
  <c r="BM212" i="1"/>
  <c r="BN212" i="1"/>
  <c r="BP212" i="1"/>
  <c r="AM213" i="1"/>
  <c r="AN213" i="1" s="1"/>
  <c r="AO213" i="1"/>
  <c r="BH213" i="1" s="1"/>
  <c r="AV213" i="1"/>
  <c r="AW213" i="1"/>
  <c r="W213" i="1" s="1"/>
  <c r="AX213" i="1"/>
  <c r="AY213" i="1"/>
  <c r="BJ213" i="1"/>
  <c r="BL213" i="1"/>
  <c r="BM213" i="1"/>
  <c r="BN213" i="1"/>
  <c r="BP213" i="1"/>
  <c r="AM214" i="1"/>
  <c r="AN214" i="1" s="1"/>
  <c r="AO214" i="1"/>
  <c r="BH214" i="1" s="1"/>
  <c r="AV214" i="1"/>
  <c r="AW214" i="1"/>
  <c r="AX214" i="1"/>
  <c r="AY214" i="1"/>
  <c r="BJ214" i="1"/>
  <c r="BL214" i="1"/>
  <c r="BM214" i="1"/>
  <c r="BN214" i="1"/>
  <c r="BP214" i="1"/>
  <c r="AM215" i="1"/>
  <c r="AN215" i="1" s="1"/>
  <c r="AO215" i="1"/>
  <c r="BH215" i="1" s="1"/>
  <c r="AV215" i="1"/>
  <c r="AW215" i="1"/>
  <c r="X215" i="1" s="1"/>
  <c r="AX215" i="1"/>
  <c r="AY215" i="1"/>
  <c r="BJ215" i="1"/>
  <c r="BL215" i="1"/>
  <c r="BM215" i="1"/>
  <c r="BN215" i="1"/>
  <c r="BP215" i="1"/>
  <c r="AM216" i="1"/>
  <c r="AN216" i="1" s="1"/>
  <c r="AO216" i="1"/>
  <c r="BH216" i="1" s="1"/>
  <c r="AV216" i="1"/>
  <c r="AW216" i="1"/>
  <c r="BK216" i="1" s="1"/>
  <c r="AX216" i="1"/>
  <c r="AY216" i="1"/>
  <c r="BJ216" i="1"/>
  <c r="BL216" i="1"/>
  <c r="BM216" i="1"/>
  <c r="BN216" i="1"/>
  <c r="BP216" i="1"/>
  <c r="AM217" i="1"/>
  <c r="AN217" i="1" s="1"/>
  <c r="AO217" i="1"/>
  <c r="BH217" i="1" s="1"/>
  <c r="AV217" i="1"/>
  <c r="AW217" i="1"/>
  <c r="AX217" i="1"/>
  <c r="AY217" i="1"/>
  <c r="BJ217" i="1"/>
  <c r="BL217" i="1"/>
  <c r="BM217" i="1"/>
  <c r="BN217" i="1"/>
  <c r="BP217" i="1"/>
  <c r="AM218" i="1"/>
  <c r="AN218" i="1" s="1"/>
  <c r="AO218" i="1"/>
  <c r="BH218" i="1" s="1"/>
  <c r="AV218" i="1"/>
  <c r="AW218" i="1"/>
  <c r="AX218" i="1"/>
  <c r="AY218" i="1"/>
  <c r="BJ218" i="1"/>
  <c r="BL218" i="1"/>
  <c r="BM218" i="1"/>
  <c r="BN218" i="1"/>
  <c r="BP218" i="1"/>
  <c r="AM219" i="1"/>
  <c r="AN219" i="1" s="1"/>
  <c r="AO219" i="1"/>
  <c r="BH219" i="1" s="1"/>
  <c r="AV219" i="1"/>
  <c r="AW219" i="1"/>
  <c r="AX219" i="1"/>
  <c r="AY219" i="1"/>
  <c r="BJ219" i="1"/>
  <c r="BL219" i="1"/>
  <c r="BM219" i="1"/>
  <c r="BN219" i="1"/>
  <c r="BP219" i="1"/>
  <c r="AM220" i="1"/>
  <c r="AN220" i="1" s="1"/>
  <c r="AO220" i="1"/>
  <c r="BH220" i="1" s="1"/>
  <c r="AV220" i="1"/>
  <c r="AW220" i="1"/>
  <c r="AX220" i="1"/>
  <c r="AY220" i="1"/>
  <c r="BJ220" i="1"/>
  <c r="BL220" i="1"/>
  <c r="BM220" i="1"/>
  <c r="BN220" i="1"/>
  <c r="BP220" i="1"/>
  <c r="AM221" i="1"/>
  <c r="AN221" i="1" s="1"/>
  <c r="AO221" i="1"/>
  <c r="BH221" i="1" s="1"/>
  <c r="AV221" i="1"/>
  <c r="AW221" i="1"/>
  <c r="AX221" i="1"/>
  <c r="AY221" i="1"/>
  <c r="BJ221" i="1"/>
  <c r="BL221" i="1"/>
  <c r="BM221" i="1"/>
  <c r="BN221" i="1"/>
  <c r="BP221" i="1"/>
  <c r="AM222" i="1"/>
  <c r="AN222" i="1" s="1"/>
  <c r="AO222" i="1"/>
  <c r="BH222" i="1" s="1"/>
  <c r="AV222" i="1"/>
  <c r="AW222" i="1"/>
  <c r="AX222" i="1"/>
  <c r="AY222" i="1"/>
  <c r="BJ222" i="1"/>
  <c r="BL222" i="1"/>
  <c r="BM222" i="1"/>
  <c r="BN222" i="1"/>
  <c r="BP222" i="1"/>
  <c r="AM223" i="1"/>
  <c r="AN223" i="1" s="1"/>
  <c r="AO223" i="1"/>
  <c r="BH223" i="1" s="1"/>
  <c r="AV223" i="1"/>
  <c r="AW223" i="1"/>
  <c r="X223" i="1" s="1"/>
  <c r="AX223" i="1"/>
  <c r="AY223" i="1"/>
  <c r="BJ223" i="1"/>
  <c r="BL223" i="1"/>
  <c r="BM223" i="1"/>
  <c r="BN223" i="1"/>
  <c r="BP223" i="1"/>
  <c r="AM224" i="1"/>
  <c r="AN224" i="1" s="1"/>
  <c r="AO224" i="1"/>
  <c r="BH224" i="1" s="1"/>
  <c r="AV224" i="1"/>
  <c r="AW224" i="1"/>
  <c r="BK224" i="1" s="1"/>
  <c r="AX224" i="1"/>
  <c r="AY224" i="1"/>
  <c r="BJ224" i="1"/>
  <c r="BL224" i="1"/>
  <c r="BM224" i="1"/>
  <c r="BN224" i="1"/>
  <c r="BP224" i="1"/>
  <c r="AM225" i="1"/>
  <c r="AN225" i="1" s="1"/>
  <c r="AO225" i="1"/>
  <c r="BH225" i="1" s="1"/>
  <c r="AV225" i="1"/>
  <c r="AW225" i="1"/>
  <c r="AX225" i="1"/>
  <c r="AY225" i="1"/>
  <c r="BJ225" i="1"/>
  <c r="BL225" i="1"/>
  <c r="BM225" i="1"/>
  <c r="BN225" i="1"/>
  <c r="BP225" i="1"/>
  <c r="AM226" i="1"/>
  <c r="AN226" i="1" s="1"/>
  <c r="AO226" i="1"/>
  <c r="BH226" i="1" s="1"/>
  <c r="AV226" i="1"/>
  <c r="AW226" i="1"/>
  <c r="AX226" i="1"/>
  <c r="AY226" i="1"/>
  <c r="BJ226" i="1"/>
  <c r="BL226" i="1"/>
  <c r="BM226" i="1"/>
  <c r="BN226" i="1"/>
  <c r="BP226" i="1"/>
  <c r="AM227" i="1"/>
  <c r="AN227" i="1" s="1"/>
  <c r="AO227" i="1"/>
  <c r="AV227" i="1"/>
  <c r="AW227" i="1"/>
  <c r="X227" i="1" s="1"/>
  <c r="AX227" i="1"/>
  <c r="AY227" i="1"/>
  <c r="BJ227" i="1"/>
  <c r="BL227" i="1"/>
  <c r="BM227" i="1"/>
  <c r="BN227" i="1"/>
  <c r="BP227" i="1"/>
  <c r="AM228" i="1"/>
  <c r="AN228" i="1" s="1"/>
  <c r="AO228" i="1"/>
  <c r="AV228" i="1"/>
  <c r="AW228" i="1"/>
  <c r="AX228" i="1"/>
  <c r="AY228" i="1"/>
  <c r="BJ228" i="1"/>
  <c r="BL228" i="1"/>
  <c r="BM228" i="1"/>
  <c r="BN228" i="1"/>
  <c r="BP228" i="1"/>
  <c r="AM229" i="1"/>
  <c r="AN229" i="1" s="1"/>
  <c r="AO229" i="1"/>
  <c r="AV229" i="1"/>
  <c r="AW229" i="1"/>
  <c r="AX229" i="1"/>
  <c r="AY229" i="1"/>
  <c r="BJ229" i="1"/>
  <c r="BL229" i="1"/>
  <c r="BM229" i="1"/>
  <c r="BN229" i="1"/>
  <c r="BP229" i="1"/>
  <c r="AM230" i="1"/>
  <c r="AN230" i="1" s="1"/>
  <c r="AO230" i="1"/>
  <c r="AV230" i="1"/>
  <c r="AW230" i="1"/>
  <c r="X230" i="1" s="1"/>
  <c r="AX230" i="1"/>
  <c r="AY230" i="1"/>
  <c r="BJ230" i="1"/>
  <c r="BL230" i="1"/>
  <c r="BM230" i="1"/>
  <c r="BN230" i="1"/>
  <c r="BP230" i="1"/>
  <c r="AM231" i="1"/>
  <c r="AN231" i="1" s="1"/>
  <c r="AO231" i="1"/>
  <c r="AV231" i="1"/>
  <c r="AW231" i="1"/>
  <c r="X231" i="1" s="1"/>
  <c r="AX231" i="1"/>
  <c r="AY231" i="1"/>
  <c r="BJ231" i="1"/>
  <c r="BL231" i="1"/>
  <c r="BM231" i="1"/>
  <c r="BN231" i="1"/>
  <c r="BP231" i="1"/>
  <c r="AM232" i="1"/>
  <c r="AN232" i="1" s="1"/>
  <c r="AO232" i="1"/>
  <c r="AV232" i="1"/>
  <c r="AW232" i="1"/>
  <c r="BK232" i="1" s="1"/>
  <c r="AX232" i="1"/>
  <c r="AY232" i="1"/>
  <c r="BJ232" i="1"/>
  <c r="BL232" i="1"/>
  <c r="BM232" i="1"/>
  <c r="BN232" i="1"/>
  <c r="BP232" i="1"/>
  <c r="AM233" i="1"/>
  <c r="AN233" i="1" s="1"/>
  <c r="AO233" i="1"/>
  <c r="AV233" i="1"/>
  <c r="AW233" i="1"/>
  <c r="AX233" i="1"/>
  <c r="AY233" i="1"/>
  <c r="BJ233" i="1"/>
  <c r="BL233" i="1"/>
  <c r="BM233" i="1"/>
  <c r="BN233" i="1"/>
  <c r="BP233" i="1"/>
  <c r="AM234" i="1"/>
  <c r="AN234" i="1" s="1"/>
  <c r="AO234" i="1"/>
  <c r="AV234" i="1"/>
  <c r="AW234" i="1"/>
  <c r="AX234" i="1"/>
  <c r="AY234" i="1"/>
  <c r="BJ234" i="1"/>
  <c r="BL234" i="1"/>
  <c r="BM234" i="1"/>
  <c r="BN234" i="1"/>
  <c r="BP234" i="1"/>
  <c r="AM235" i="1"/>
  <c r="AN235" i="1" s="1"/>
  <c r="AO235" i="1"/>
  <c r="AV235" i="1"/>
  <c r="AW235" i="1"/>
  <c r="X235" i="1" s="1"/>
  <c r="AX235" i="1"/>
  <c r="AY235" i="1"/>
  <c r="BJ235" i="1"/>
  <c r="BL235" i="1"/>
  <c r="BM235" i="1"/>
  <c r="BN235" i="1"/>
  <c r="BP235" i="1"/>
  <c r="AM236" i="1"/>
  <c r="AN236" i="1" s="1"/>
  <c r="AO236" i="1"/>
  <c r="AV236" i="1"/>
  <c r="AW236" i="1"/>
  <c r="BK236" i="1" s="1"/>
  <c r="AX236" i="1"/>
  <c r="AY236" i="1"/>
  <c r="BJ236" i="1"/>
  <c r="BL236" i="1"/>
  <c r="BM236" i="1"/>
  <c r="BN236" i="1"/>
  <c r="BP236" i="1"/>
  <c r="AM237" i="1"/>
  <c r="AN237" i="1" s="1"/>
  <c r="AO237" i="1"/>
  <c r="AV237" i="1"/>
  <c r="AW237" i="1"/>
  <c r="AX237" i="1"/>
  <c r="AY237" i="1"/>
  <c r="BJ237" i="1"/>
  <c r="BL237" i="1"/>
  <c r="BM237" i="1"/>
  <c r="BN237" i="1"/>
  <c r="BP237" i="1"/>
  <c r="AM238" i="1"/>
  <c r="AN238" i="1" s="1"/>
  <c r="AO238" i="1"/>
  <c r="AV238" i="1"/>
  <c r="AW238" i="1"/>
  <c r="AX238" i="1"/>
  <c r="AY238" i="1"/>
  <c r="BJ238" i="1"/>
  <c r="BL238" i="1"/>
  <c r="BM238" i="1"/>
  <c r="BN238" i="1"/>
  <c r="BP238" i="1"/>
  <c r="AM239" i="1"/>
  <c r="AN239" i="1" s="1"/>
  <c r="AO239" i="1"/>
  <c r="AV239" i="1"/>
  <c r="AW239" i="1"/>
  <c r="X239" i="1" s="1"/>
  <c r="AX239" i="1"/>
  <c r="AY239" i="1"/>
  <c r="BJ239" i="1"/>
  <c r="BL239" i="1"/>
  <c r="BM239" i="1"/>
  <c r="BN239" i="1"/>
  <c r="BP239" i="1"/>
  <c r="AM240" i="1"/>
  <c r="AN240" i="1" s="1"/>
  <c r="AO240" i="1"/>
  <c r="AV240" i="1"/>
  <c r="AW240" i="1"/>
  <c r="BK240" i="1" s="1"/>
  <c r="AX240" i="1"/>
  <c r="AY240" i="1"/>
  <c r="BJ240" i="1"/>
  <c r="BL240" i="1"/>
  <c r="BM240" i="1"/>
  <c r="BN240" i="1"/>
  <c r="BP240" i="1"/>
  <c r="AM241" i="1"/>
  <c r="AN241" i="1" s="1"/>
  <c r="AO241" i="1"/>
  <c r="AV241" i="1"/>
  <c r="AW241" i="1"/>
  <c r="X241" i="1" s="1"/>
  <c r="AX241" i="1"/>
  <c r="AY241" i="1"/>
  <c r="BJ241" i="1"/>
  <c r="BL241" i="1"/>
  <c r="BM241" i="1"/>
  <c r="BN241" i="1"/>
  <c r="BP241" i="1"/>
  <c r="AM242" i="1"/>
  <c r="AN242" i="1" s="1"/>
  <c r="AO242" i="1"/>
  <c r="AV242" i="1"/>
  <c r="AW242" i="1"/>
  <c r="W242" i="1" s="1"/>
  <c r="AX242" i="1"/>
  <c r="AY242" i="1"/>
  <c r="BJ242" i="1"/>
  <c r="BL242" i="1"/>
  <c r="BM242" i="1"/>
  <c r="BN242" i="1"/>
  <c r="BP242" i="1"/>
  <c r="AM243" i="1"/>
  <c r="AN243" i="1" s="1"/>
  <c r="AO243" i="1"/>
  <c r="AV243" i="1"/>
  <c r="AW243" i="1"/>
  <c r="X243" i="1" s="1"/>
  <c r="AX243" i="1"/>
  <c r="AY243" i="1"/>
  <c r="BJ243" i="1"/>
  <c r="BL243" i="1"/>
  <c r="BM243" i="1"/>
  <c r="BN243" i="1"/>
  <c r="BP243" i="1"/>
  <c r="AM244" i="1"/>
  <c r="AN244" i="1" s="1"/>
  <c r="AO244" i="1"/>
  <c r="AV244" i="1"/>
  <c r="AW244" i="1"/>
  <c r="AX244" i="1"/>
  <c r="AY244" i="1"/>
  <c r="BJ244" i="1"/>
  <c r="BL244" i="1"/>
  <c r="BM244" i="1"/>
  <c r="BN244" i="1"/>
  <c r="BP244" i="1"/>
  <c r="AM245" i="1"/>
  <c r="AN245" i="1" s="1"/>
  <c r="AO245" i="1"/>
  <c r="AV245" i="1"/>
  <c r="AW245" i="1"/>
  <c r="W245" i="1" s="1"/>
  <c r="AX245" i="1"/>
  <c r="AY245" i="1"/>
  <c r="BJ245" i="1"/>
  <c r="BL245" i="1"/>
  <c r="BM245" i="1"/>
  <c r="BN245" i="1"/>
  <c r="BP245" i="1"/>
  <c r="AM246" i="1"/>
  <c r="AN246" i="1" s="1"/>
  <c r="AO246" i="1"/>
  <c r="AV246" i="1"/>
  <c r="AW246" i="1"/>
  <c r="AX246" i="1"/>
  <c r="AY246" i="1"/>
  <c r="BJ246" i="1"/>
  <c r="BL246" i="1"/>
  <c r="BM246" i="1"/>
  <c r="BN246" i="1"/>
  <c r="BP246" i="1"/>
  <c r="AM247" i="1"/>
  <c r="AN247" i="1" s="1"/>
  <c r="AO247" i="1"/>
  <c r="AV247" i="1"/>
  <c r="AW247" i="1"/>
  <c r="X247" i="1" s="1"/>
  <c r="AX247" i="1"/>
  <c r="AY247" i="1"/>
  <c r="BJ247" i="1"/>
  <c r="BL247" i="1"/>
  <c r="BM247" i="1"/>
  <c r="BN247" i="1"/>
  <c r="BP247" i="1"/>
  <c r="AM248" i="1"/>
  <c r="AN248" i="1" s="1"/>
  <c r="AO248" i="1"/>
  <c r="AV248" i="1"/>
  <c r="AW248" i="1"/>
  <c r="BK248" i="1" s="1"/>
  <c r="AX248" i="1"/>
  <c r="AY248" i="1"/>
  <c r="BJ248" i="1"/>
  <c r="BL248" i="1"/>
  <c r="BM248" i="1"/>
  <c r="BN248" i="1"/>
  <c r="BP248" i="1"/>
  <c r="AM249" i="1"/>
  <c r="AN249" i="1" s="1"/>
  <c r="AO249" i="1"/>
  <c r="AV249" i="1"/>
  <c r="AW249" i="1"/>
  <c r="AX249" i="1"/>
  <c r="AY249" i="1"/>
  <c r="BJ249" i="1"/>
  <c r="BL249" i="1"/>
  <c r="BM249" i="1"/>
  <c r="BN249" i="1"/>
  <c r="BP249" i="1"/>
  <c r="AM250" i="1"/>
  <c r="AN250" i="1" s="1"/>
  <c r="AO250" i="1"/>
  <c r="AV250" i="1"/>
  <c r="AW250" i="1"/>
  <c r="AX250" i="1"/>
  <c r="AY250" i="1"/>
  <c r="BJ250" i="1"/>
  <c r="BL250" i="1"/>
  <c r="BM250" i="1"/>
  <c r="BN250" i="1"/>
  <c r="BP250" i="1"/>
  <c r="AM251" i="1"/>
  <c r="AN251" i="1" s="1"/>
  <c r="AO251" i="1"/>
  <c r="AV251" i="1"/>
  <c r="AW251" i="1"/>
  <c r="AX251" i="1"/>
  <c r="AY251" i="1"/>
  <c r="BJ251" i="1"/>
  <c r="BL251" i="1"/>
  <c r="BM251" i="1"/>
  <c r="BN251" i="1"/>
  <c r="BP251" i="1"/>
  <c r="AM252" i="1"/>
  <c r="AN252" i="1" s="1"/>
  <c r="AO252" i="1"/>
  <c r="AV252" i="1"/>
  <c r="AW252" i="1"/>
  <c r="AX252" i="1"/>
  <c r="AY252" i="1"/>
  <c r="BJ252" i="1"/>
  <c r="BL252" i="1"/>
  <c r="BM252" i="1"/>
  <c r="BN252" i="1"/>
  <c r="BP252" i="1"/>
  <c r="AM253" i="1"/>
  <c r="AN253" i="1" s="1"/>
  <c r="AO253" i="1"/>
  <c r="AV253" i="1"/>
  <c r="AW253" i="1"/>
  <c r="AX253" i="1"/>
  <c r="AY253" i="1"/>
  <c r="BJ253" i="1"/>
  <c r="BL253" i="1"/>
  <c r="BM253" i="1"/>
  <c r="BN253" i="1"/>
  <c r="BP253" i="1"/>
  <c r="AM254" i="1"/>
  <c r="AN254" i="1" s="1"/>
  <c r="AO254" i="1"/>
  <c r="AV254" i="1"/>
  <c r="AW254" i="1"/>
  <c r="AX254" i="1"/>
  <c r="AY254" i="1"/>
  <c r="BJ254" i="1"/>
  <c r="BL254" i="1"/>
  <c r="BM254" i="1"/>
  <c r="BN254" i="1"/>
  <c r="BP254" i="1"/>
  <c r="AM255" i="1"/>
  <c r="AN255" i="1" s="1"/>
  <c r="AO255" i="1"/>
  <c r="AV255" i="1"/>
  <c r="AW255" i="1"/>
  <c r="X255" i="1" s="1"/>
  <c r="AX255" i="1"/>
  <c r="AY255" i="1"/>
  <c r="BJ255" i="1"/>
  <c r="BL255" i="1"/>
  <c r="BM255" i="1"/>
  <c r="BN255" i="1"/>
  <c r="BP255" i="1"/>
  <c r="AM256" i="1"/>
  <c r="AN256" i="1" s="1"/>
  <c r="AO256" i="1"/>
  <c r="AV256" i="1"/>
  <c r="AW256" i="1"/>
  <c r="BK256" i="1" s="1"/>
  <c r="AX256" i="1"/>
  <c r="AY256" i="1"/>
  <c r="BJ256" i="1"/>
  <c r="BL256" i="1"/>
  <c r="BM256" i="1"/>
  <c r="BN256" i="1"/>
  <c r="BP256" i="1"/>
  <c r="AM257" i="1"/>
  <c r="AN257" i="1" s="1"/>
  <c r="AO257" i="1"/>
  <c r="AV257" i="1"/>
  <c r="AW257" i="1"/>
  <c r="AX257" i="1"/>
  <c r="AY257" i="1"/>
  <c r="BJ257" i="1"/>
  <c r="BL257" i="1"/>
  <c r="BM257" i="1"/>
  <c r="BN257" i="1"/>
  <c r="BP257" i="1"/>
  <c r="AM258" i="1"/>
  <c r="AN258" i="1" s="1"/>
  <c r="AO258" i="1"/>
  <c r="AV258" i="1"/>
  <c r="AW258" i="1"/>
  <c r="W258" i="1" s="1"/>
  <c r="AX258" i="1"/>
  <c r="AY258" i="1"/>
  <c r="BJ258" i="1"/>
  <c r="BL258" i="1"/>
  <c r="BM258" i="1"/>
  <c r="BN258" i="1"/>
  <c r="BP258" i="1"/>
  <c r="AM259" i="1"/>
  <c r="AN259" i="1" s="1"/>
  <c r="AO259" i="1"/>
  <c r="AV259" i="1"/>
  <c r="AW259" i="1"/>
  <c r="X259" i="1" s="1"/>
  <c r="AX259" i="1"/>
  <c r="AY259" i="1"/>
  <c r="BJ259" i="1"/>
  <c r="BL259" i="1"/>
  <c r="BM259" i="1"/>
  <c r="BN259" i="1"/>
  <c r="BP259" i="1"/>
  <c r="AM260" i="1"/>
  <c r="AN260" i="1" s="1"/>
  <c r="AO260" i="1"/>
  <c r="AV260" i="1"/>
  <c r="AW260" i="1"/>
  <c r="AX260" i="1"/>
  <c r="AY260" i="1"/>
  <c r="BJ260" i="1"/>
  <c r="BL260" i="1"/>
  <c r="BM260" i="1"/>
  <c r="BN260" i="1"/>
  <c r="BP260" i="1"/>
  <c r="AM261" i="1"/>
  <c r="AN261" i="1" s="1"/>
  <c r="AO261" i="1"/>
  <c r="AV261" i="1"/>
  <c r="AW261" i="1"/>
  <c r="AX261" i="1"/>
  <c r="AY261" i="1"/>
  <c r="BJ261" i="1"/>
  <c r="BL261" i="1"/>
  <c r="BM261" i="1"/>
  <c r="BN261" i="1"/>
  <c r="BP261" i="1"/>
  <c r="AM262" i="1"/>
  <c r="AN262" i="1" s="1"/>
  <c r="AO262" i="1"/>
  <c r="AV262" i="1"/>
  <c r="AW262" i="1"/>
  <c r="X262" i="1" s="1"/>
  <c r="AX262" i="1"/>
  <c r="AY262" i="1"/>
  <c r="BJ262" i="1"/>
  <c r="BL262" i="1"/>
  <c r="BM262" i="1"/>
  <c r="BN262" i="1"/>
  <c r="BP262" i="1"/>
  <c r="AM263" i="1"/>
  <c r="AN263" i="1" s="1"/>
  <c r="AO263" i="1"/>
  <c r="AV263" i="1"/>
  <c r="AW263" i="1"/>
  <c r="X263" i="1" s="1"/>
  <c r="AX263" i="1"/>
  <c r="AY263" i="1"/>
  <c r="BJ263" i="1"/>
  <c r="BL263" i="1"/>
  <c r="BM263" i="1"/>
  <c r="BN263" i="1"/>
  <c r="BP263" i="1"/>
  <c r="AM264" i="1"/>
  <c r="AN264" i="1" s="1"/>
  <c r="AO264" i="1"/>
  <c r="AV264" i="1"/>
  <c r="AW264" i="1"/>
  <c r="BK264" i="1" s="1"/>
  <c r="AX264" i="1"/>
  <c r="AY264" i="1"/>
  <c r="BJ264" i="1"/>
  <c r="BL264" i="1"/>
  <c r="BM264" i="1"/>
  <c r="BN264" i="1"/>
  <c r="BP264" i="1"/>
  <c r="AM265" i="1"/>
  <c r="AN265" i="1" s="1"/>
  <c r="AO265" i="1"/>
  <c r="AV265" i="1"/>
  <c r="AW265" i="1"/>
  <c r="AX265" i="1"/>
  <c r="AY265" i="1"/>
  <c r="BJ265" i="1"/>
  <c r="BL265" i="1"/>
  <c r="BM265" i="1"/>
  <c r="BN265" i="1"/>
  <c r="BP265" i="1"/>
  <c r="AM266" i="1"/>
  <c r="AN266" i="1" s="1"/>
  <c r="AO266" i="1"/>
  <c r="AS266" i="1"/>
  <c r="AV266" i="1"/>
  <c r="AW266" i="1"/>
  <c r="AX266" i="1"/>
  <c r="AY266" i="1"/>
  <c r="BJ266" i="1"/>
  <c r="BL266" i="1"/>
  <c r="BM266" i="1"/>
  <c r="BN266" i="1"/>
  <c r="BP266" i="1"/>
  <c r="AM267" i="1"/>
  <c r="AN267" i="1" s="1"/>
  <c r="AO267" i="1"/>
  <c r="AV267" i="1"/>
  <c r="AW267" i="1"/>
  <c r="X267" i="1" s="1"/>
  <c r="AX267" i="1"/>
  <c r="AY267" i="1"/>
  <c r="BJ267" i="1"/>
  <c r="BL267" i="1"/>
  <c r="BM267" i="1"/>
  <c r="BN267" i="1"/>
  <c r="BP267" i="1"/>
  <c r="AM268" i="1"/>
  <c r="AN268" i="1" s="1"/>
  <c r="AO268" i="1"/>
  <c r="AV268" i="1"/>
  <c r="AW268" i="1"/>
  <c r="BK268" i="1" s="1"/>
  <c r="AX268" i="1"/>
  <c r="AY268" i="1"/>
  <c r="BJ268" i="1"/>
  <c r="BL268" i="1"/>
  <c r="BM268" i="1"/>
  <c r="BN268" i="1"/>
  <c r="BP268" i="1"/>
  <c r="AM269" i="1"/>
  <c r="AN269" i="1" s="1"/>
  <c r="AO269" i="1"/>
  <c r="AV269" i="1"/>
  <c r="AW269" i="1"/>
  <c r="AX269" i="1"/>
  <c r="AY269" i="1"/>
  <c r="BJ269" i="1"/>
  <c r="BL269" i="1"/>
  <c r="BM269" i="1"/>
  <c r="BN269" i="1"/>
  <c r="BP269" i="1"/>
  <c r="AM270" i="1"/>
  <c r="AN270" i="1" s="1"/>
  <c r="AO270" i="1"/>
  <c r="AV270" i="1"/>
  <c r="AW270" i="1"/>
  <c r="AX270" i="1"/>
  <c r="AY270" i="1"/>
  <c r="BJ270" i="1"/>
  <c r="BL270" i="1"/>
  <c r="BM270" i="1"/>
  <c r="BN270" i="1"/>
  <c r="BP270" i="1"/>
  <c r="AM271" i="1"/>
  <c r="AN271" i="1" s="1"/>
  <c r="AO271" i="1"/>
  <c r="AV271" i="1"/>
  <c r="AW271" i="1"/>
  <c r="AX271" i="1"/>
  <c r="AY271" i="1"/>
  <c r="BJ271" i="1"/>
  <c r="BL271" i="1"/>
  <c r="BM271" i="1"/>
  <c r="BN271" i="1"/>
  <c r="BP271" i="1"/>
  <c r="AM272" i="1"/>
  <c r="AN272" i="1" s="1"/>
  <c r="AO272" i="1"/>
  <c r="AV272" i="1"/>
  <c r="AW272" i="1"/>
  <c r="BK272" i="1" s="1"/>
  <c r="AX272" i="1"/>
  <c r="AY272" i="1"/>
  <c r="BJ272" i="1"/>
  <c r="BL272" i="1"/>
  <c r="BM272" i="1"/>
  <c r="BN272" i="1"/>
  <c r="BP272" i="1"/>
  <c r="AM273" i="1"/>
  <c r="AN273" i="1" s="1"/>
  <c r="AO273" i="1"/>
  <c r="AV273" i="1"/>
  <c r="AW273" i="1"/>
  <c r="X273" i="1" s="1"/>
  <c r="AX273" i="1"/>
  <c r="AY273" i="1"/>
  <c r="BJ273" i="1"/>
  <c r="BL273" i="1"/>
  <c r="BM273" i="1"/>
  <c r="BN273" i="1"/>
  <c r="BP273" i="1"/>
  <c r="AM274" i="1"/>
  <c r="AN274" i="1" s="1"/>
  <c r="AO274" i="1"/>
  <c r="AV274" i="1"/>
  <c r="AW274" i="1"/>
  <c r="W274" i="1" s="1"/>
  <c r="AX274" i="1"/>
  <c r="AY274" i="1"/>
  <c r="BJ274" i="1"/>
  <c r="BL274" i="1"/>
  <c r="BM274" i="1"/>
  <c r="BN274" i="1"/>
  <c r="BP274" i="1"/>
  <c r="AM275" i="1"/>
  <c r="AN275" i="1" s="1"/>
  <c r="AO275" i="1"/>
  <c r="AS275" i="1"/>
  <c r="AV275" i="1"/>
  <c r="AW275" i="1"/>
  <c r="X275" i="1" s="1"/>
  <c r="AX275" i="1"/>
  <c r="AY275" i="1"/>
  <c r="BJ275" i="1"/>
  <c r="BL275" i="1"/>
  <c r="BM275" i="1"/>
  <c r="BN275" i="1"/>
  <c r="BP275" i="1"/>
  <c r="AM276" i="1"/>
  <c r="AN276" i="1" s="1"/>
  <c r="AO276" i="1"/>
  <c r="AV276" i="1"/>
  <c r="AW276" i="1"/>
  <c r="BK276" i="1" s="1"/>
  <c r="AX276" i="1"/>
  <c r="AY276" i="1"/>
  <c r="BJ276" i="1"/>
  <c r="BL276" i="1"/>
  <c r="BM276" i="1"/>
  <c r="BN276" i="1"/>
  <c r="BP276" i="1"/>
  <c r="AM277" i="1"/>
  <c r="AN277" i="1" s="1"/>
  <c r="AO277" i="1"/>
  <c r="AS277" i="1"/>
  <c r="AV277" i="1"/>
  <c r="AW277" i="1"/>
  <c r="W277" i="1" s="1"/>
  <c r="AX277" i="1"/>
  <c r="AY277" i="1"/>
  <c r="BJ277" i="1"/>
  <c r="BL277" i="1"/>
  <c r="BM277" i="1"/>
  <c r="BN277" i="1"/>
  <c r="BP277" i="1"/>
  <c r="AM278" i="1"/>
  <c r="AN278" i="1" s="1"/>
  <c r="AO278" i="1"/>
  <c r="AV278" i="1"/>
  <c r="AW278" i="1"/>
  <c r="AX278" i="1"/>
  <c r="AY278" i="1"/>
  <c r="BJ278" i="1"/>
  <c r="BL278" i="1"/>
  <c r="BM278" i="1"/>
  <c r="BN278" i="1"/>
  <c r="BP278" i="1"/>
  <c r="AM279" i="1"/>
  <c r="AN279" i="1" s="1"/>
  <c r="AO279" i="1"/>
  <c r="AV279" i="1"/>
  <c r="AW279" i="1"/>
  <c r="AX279" i="1"/>
  <c r="AY279" i="1"/>
  <c r="BJ279" i="1"/>
  <c r="BL279" i="1"/>
  <c r="BM279" i="1"/>
  <c r="BN279" i="1"/>
  <c r="BP279" i="1"/>
  <c r="AM280" i="1"/>
  <c r="AN280" i="1" s="1"/>
  <c r="AO280" i="1"/>
  <c r="AV280" i="1"/>
  <c r="AW280" i="1"/>
  <c r="BK280" i="1" s="1"/>
  <c r="AX280" i="1"/>
  <c r="AY280" i="1"/>
  <c r="BJ280" i="1"/>
  <c r="BL280" i="1"/>
  <c r="BM280" i="1"/>
  <c r="BN280" i="1"/>
  <c r="BP280" i="1"/>
  <c r="AM281" i="1"/>
  <c r="AN281" i="1" s="1"/>
  <c r="AO281" i="1"/>
  <c r="AV281" i="1"/>
  <c r="AW281" i="1"/>
  <c r="AX281" i="1"/>
  <c r="AY281" i="1"/>
  <c r="BJ281" i="1"/>
  <c r="BL281" i="1"/>
  <c r="BM281" i="1"/>
  <c r="BN281" i="1"/>
  <c r="BP281" i="1"/>
  <c r="AM282" i="1"/>
  <c r="AN282" i="1" s="1"/>
  <c r="AO282" i="1"/>
  <c r="BA282" i="1" s="1"/>
  <c r="AV282" i="1"/>
  <c r="AW282" i="1"/>
  <c r="AX282" i="1"/>
  <c r="AY282" i="1"/>
  <c r="BJ282" i="1"/>
  <c r="BL282" i="1"/>
  <c r="BM282" i="1"/>
  <c r="BN282" i="1"/>
  <c r="BP282" i="1"/>
  <c r="AM283" i="1"/>
  <c r="AN283" i="1" s="1"/>
  <c r="AO283" i="1"/>
  <c r="BA283" i="1" s="1"/>
  <c r="AS283" i="1"/>
  <c r="AV283" i="1"/>
  <c r="AW283" i="1"/>
  <c r="X283" i="1" s="1"/>
  <c r="AX283" i="1"/>
  <c r="AY283" i="1"/>
  <c r="BJ283" i="1"/>
  <c r="BL283" i="1"/>
  <c r="BM283" i="1"/>
  <c r="BN283" i="1"/>
  <c r="BP283" i="1"/>
  <c r="AM284" i="1"/>
  <c r="AN284" i="1" s="1"/>
  <c r="AO284" i="1"/>
  <c r="BA284" i="1" s="1"/>
  <c r="AV284" i="1"/>
  <c r="AW284" i="1"/>
  <c r="BK284" i="1" s="1"/>
  <c r="AX284" i="1"/>
  <c r="AY284" i="1"/>
  <c r="BJ284" i="1"/>
  <c r="BL284" i="1"/>
  <c r="BM284" i="1"/>
  <c r="BN284" i="1"/>
  <c r="BP284" i="1"/>
  <c r="AM285" i="1"/>
  <c r="AN285" i="1" s="1"/>
  <c r="AO285" i="1"/>
  <c r="BA285" i="1" s="1"/>
  <c r="AV285" i="1"/>
  <c r="AW285" i="1"/>
  <c r="AX285" i="1"/>
  <c r="AY285" i="1"/>
  <c r="BJ285" i="1"/>
  <c r="BL285" i="1"/>
  <c r="BM285" i="1"/>
  <c r="BN285" i="1"/>
  <c r="BP285" i="1"/>
  <c r="AM286" i="1"/>
  <c r="AN286" i="1" s="1"/>
  <c r="AO286" i="1"/>
  <c r="BG286" i="1" s="1"/>
  <c r="AS286" i="1"/>
  <c r="AV286" i="1"/>
  <c r="AW286" i="1"/>
  <c r="AX286" i="1"/>
  <c r="AY286" i="1"/>
  <c r="BJ286" i="1"/>
  <c r="BL286" i="1"/>
  <c r="BM286" i="1"/>
  <c r="BN286" i="1"/>
  <c r="BP286" i="1"/>
  <c r="AM287" i="1"/>
  <c r="AN287" i="1" s="1"/>
  <c r="AO287" i="1"/>
  <c r="BA287" i="1" s="1"/>
  <c r="AV287" i="1"/>
  <c r="AW287" i="1"/>
  <c r="X287" i="1" s="1"/>
  <c r="AX287" i="1"/>
  <c r="AY287" i="1"/>
  <c r="BJ287" i="1"/>
  <c r="BL287" i="1"/>
  <c r="BM287" i="1"/>
  <c r="BN287" i="1"/>
  <c r="BP287" i="1"/>
  <c r="AM288" i="1"/>
  <c r="AN288" i="1" s="1"/>
  <c r="AO288" i="1"/>
  <c r="BA288" i="1" s="1"/>
  <c r="AS288" i="1"/>
  <c r="AV288" i="1"/>
  <c r="AW288" i="1"/>
  <c r="BK288" i="1" s="1"/>
  <c r="AX288" i="1"/>
  <c r="AY288" i="1"/>
  <c r="BJ288" i="1"/>
  <c r="BL288" i="1"/>
  <c r="BM288" i="1"/>
  <c r="BN288" i="1"/>
  <c r="BP288" i="1"/>
  <c r="AM289" i="1"/>
  <c r="AN289" i="1" s="1"/>
  <c r="AO289" i="1"/>
  <c r="BG289" i="1" s="1"/>
  <c r="AV289" i="1"/>
  <c r="AW289" i="1"/>
  <c r="AX289" i="1"/>
  <c r="AY289" i="1"/>
  <c r="BJ289" i="1"/>
  <c r="BL289" i="1"/>
  <c r="BM289" i="1"/>
  <c r="BN289" i="1"/>
  <c r="BP289" i="1"/>
  <c r="AM290" i="1"/>
  <c r="AN290" i="1" s="1"/>
  <c r="AO290" i="1"/>
  <c r="BH290" i="1" s="1"/>
  <c r="AV290" i="1"/>
  <c r="AW290" i="1"/>
  <c r="AX290" i="1"/>
  <c r="AY290" i="1"/>
  <c r="BJ290" i="1"/>
  <c r="BL290" i="1"/>
  <c r="BM290" i="1"/>
  <c r="BN290" i="1"/>
  <c r="BP290" i="1"/>
  <c r="AM291" i="1"/>
  <c r="AN291" i="1" s="1"/>
  <c r="AO291" i="1"/>
  <c r="AV291" i="1"/>
  <c r="AW291" i="1"/>
  <c r="AX291" i="1"/>
  <c r="AY291" i="1"/>
  <c r="BJ291" i="1"/>
  <c r="BL291" i="1"/>
  <c r="BM291" i="1"/>
  <c r="BN291" i="1"/>
  <c r="BP291" i="1"/>
  <c r="AM292" i="1"/>
  <c r="AN292" i="1" s="1"/>
  <c r="AO292" i="1"/>
  <c r="BH292" i="1" s="1"/>
  <c r="AV292" i="1"/>
  <c r="AW292" i="1"/>
  <c r="BK292" i="1" s="1"/>
  <c r="AX292" i="1"/>
  <c r="AY292" i="1"/>
  <c r="BJ292" i="1"/>
  <c r="BL292" i="1"/>
  <c r="BM292" i="1"/>
  <c r="BN292" i="1"/>
  <c r="BP292" i="1"/>
  <c r="AM293" i="1"/>
  <c r="AN293" i="1" s="1"/>
  <c r="AO293" i="1"/>
  <c r="BH293" i="1" s="1"/>
  <c r="AV293" i="1"/>
  <c r="AW293" i="1"/>
  <c r="X293" i="1" s="1"/>
  <c r="AX293" i="1"/>
  <c r="AY293" i="1"/>
  <c r="BJ293" i="1"/>
  <c r="BL293" i="1"/>
  <c r="BM293" i="1"/>
  <c r="BN293" i="1"/>
  <c r="BP293" i="1"/>
  <c r="AM294" i="1"/>
  <c r="AN294" i="1" s="1"/>
  <c r="AO294" i="1"/>
  <c r="BH294" i="1" s="1"/>
  <c r="AV294" i="1"/>
  <c r="AW294" i="1"/>
  <c r="AX294" i="1"/>
  <c r="AY294" i="1"/>
  <c r="BJ294" i="1"/>
  <c r="BL294" i="1"/>
  <c r="BM294" i="1"/>
  <c r="BN294" i="1"/>
  <c r="BP294" i="1"/>
  <c r="AM295" i="1"/>
  <c r="AN295" i="1" s="1"/>
  <c r="AO295" i="1"/>
  <c r="AV295" i="1"/>
  <c r="AW295" i="1"/>
  <c r="X295" i="1" s="1"/>
  <c r="AX295" i="1"/>
  <c r="AY295" i="1"/>
  <c r="BJ295" i="1"/>
  <c r="BL295" i="1"/>
  <c r="BM295" i="1"/>
  <c r="BN295" i="1"/>
  <c r="BP295" i="1"/>
  <c r="AM296" i="1"/>
  <c r="AN296" i="1" s="1"/>
  <c r="AO296" i="1"/>
  <c r="BH296" i="1" s="1"/>
  <c r="AV296" i="1"/>
  <c r="AW296" i="1"/>
  <c r="AX296" i="1"/>
  <c r="AY296" i="1"/>
  <c r="BJ296" i="1"/>
  <c r="BL296" i="1"/>
  <c r="BM296" i="1"/>
  <c r="BN296" i="1"/>
  <c r="BP296" i="1"/>
  <c r="AM297" i="1"/>
  <c r="AN297" i="1" s="1"/>
  <c r="AO297" i="1"/>
  <c r="BG297" i="1" s="1"/>
  <c r="AV297" i="1"/>
  <c r="AW297" i="1"/>
  <c r="AX297" i="1"/>
  <c r="AY297" i="1"/>
  <c r="BJ297" i="1"/>
  <c r="BL297" i="1"/>
  <c r="BM297" i="1"/>
  <c r="BN297" i="1"/>
  <c r="BP297" i="1"/>
  <c r="AM298" i="1"/>
  <c r="AN298" i="1" s="1"/>
  <c r="AO298" i="1"/>
  <c r="AS298" i="1"/>
  <c r="AV298" i="1"/>
  <c r="AW298" i="1"/>
  <c r="AX298" i="1"/>
  <c r="AY298" i="1"/>
  <c r="BJ298" i="1"/>
  <c r="BL298" i="1"/>
  <c r="BM298" i="1"/>
  <c r="BN298" i="1"/>
  <c r="BP298" i="1"/>
  <c r="AM299" i="1"/>
  <c r="AN299" i="1" s="1"/>
  <c r="AO299" i="1"/>
  <c r="BH299" i="1" s="1"/>
  <c r="AV299" i="1"/>
  <c r="AW299" i="1"/>
  <c r="AX299" i="1"/>
  <c r="AY299" i="1"/>
  <c r="BJ299" i="1"/>
  <c r="BL299" i="1"/>
  <c r="BM299" i="1"/>
  <c r="BN299" i="1"/>
  <c r="BP299" i="1"/>
  <c r="AM300" i="1"/>
  <c r="AN300" i="1" s="1"/>
  <c r="AO300" i="1"/>
  <c r="BH300" i="1" s="1"/>
  <c r="AV300" i="1"/>
  <c r="AW300" i="1"/>
  <c r="W300" i="1" s="1"/>
  <c r="AX300" i="1"/>
  <c r="AY300" i="1"/>
  <c r="BJ300" i="1"/>
  <c r="BL300" i="1"/>
  <c r="BM300" i="1"/>
  <c r="BN300" i="1"/>
  <c r="BP300" i="1"/>
  <c r="AM301" i="1"/>
  <c r="AN301" i="1" s="1"/>
  <c r="AO301" i="1"/>
  <c r="BH301" i="1" s="1"/>
  <c r="AV301" i="1"/>
  <c r="AW301" i="1"/>
  <c r="X301" i="1" s="1"/>
  <c r="AX301" i="1"/>
  <c r="AY301" i="1"/>
  <c r="BJ301" i="1"/>
  <c r="BL301" i="1"/>
  <c r="BM301" i="1"/>
  <c r="BN301" i="1"/>
  <c r="BP301" i="1"/>
  <c r="AM302" i="1"/>
  <c r="AN302" i="1" s="1"/>
  <c r="AO302" i="1"/>
  <c r="AV302" i="1"/>
  <c r="AW302" i="1"/>
  <c r="AX302" i="1"/>
  <c r="AY302" i="1"/>
  <c r="BJ302" i="1"/>
  <c r="BL302" i="1"/>
  <c r="BM302" i="1"/>
  <c r="BN302" i="1"/>
  <c r="BP302" i="1"/>
  <c r="AM303" i="1"/>
  <c r="AN303" i="1" s="1"/>
  <c r="AO303" i="1"/>
  <c r="BH303" i="1" s="1"/>
  <c r="AV303" i="1"/>
  <c r="AW303" i="1"/>
  <c r="W303" i="1" s="1"/>
  <c r="AX303" i="1"/>
  <c r="AY303" i="1"/>
  <c r="BJ303" i="1"/>
  <c r="BL303" i="1"/>
  <c r="BM303" i="1"/>
  <c r="BN303" i="1"/>
  <c r="BP303" i="1"/>
  <c r="AM304" i="1"/>
  <c r="AN304" i="1" s="1"/>
  <c r="AO304" i="1"/>
  <c r="AS304" i="1"/>
  <c r="AV304" i="1"/>
  <c r="AW304" i="1"/>
  <c r="AX304" i="1"/>
  <c r="AY304" i="1"/>
  <c r="BJ304" i="1"/>
  <c r="BL304" i="1"/>
  <c r="BM304" i="1"/>
  <c r="BN304" i="1"/>
  <c r="BP304" i="1"/>
  <c r="AM305" i="1"/>
  <c r="AN305" i="1" s="1"/>
  <c r="AO305" i="1"/>
  <c r="BA305" i="1" s="1"/>
  <c r="AS305" i="1"/>
  <c r="AV305" i="1"/>
  <c r="AW305" i="1"/>
  <c r="AX305" i="1"/>
  <c r="AY305" i="1"/>
  <c r="BJ305" i="1"/>
  <c r="BL305" i="1"/>
  <c r="BM305" i="1"/>
  <c r="BN305" i="1"/>
  <c r="BP305" i="1"/>
  <c r="AM306" i="1"/>
  <c r="AN306" i="1" s="1"/>
  <c r="AO306" i="1"/>
  <c r="AV306" i="1"/>
  <c r="AW306" i="1"/>
  <c r="X306" i="1" s="1"/>
  <c r="AX306" i="1"/>
  <c r="AY306" i="1"/>
  <c r="BJ306" i="1"/>
  <c r="BL306" i="1"/>
  <c r="BM306" i="1"/>
  <c r="BN306" i="1"/>
  <c r="BP306" i="1"/>
  <c r="AM307" i="1"/>
  <c r="AN307" i="1" s="1"/>
  <c r="AO307" i="1"/>
  <c r="BA307" i="1" s="1"/>
  <c r="AV307" i="1"/>
  <c r="AW307" i="1"/>
  <c r="W307" i="1" s="1"/>
  <c r="AX307" i="1"/>
  <c r="AY307" i="1"/>
  <c r="BJ307" i="1"/>
  <c r="BL307" i="1"/>
  <c r="BM307" i="1"/>
  <c r="BN307" i="1"/>
  <c r="BP307" i="1"/>
  <c r="AM308" i="1"/>
  <c r="AN308" i="1" s="1"/>
  <c r="AO308" i="1"/>
  <c r="AV308" i="1"/>
  <c r="AW308" i="1"/>
  <c r="AX308" i="1"/>
  <c r="AY308" i="1"/>
  <c r="BJ308" i="1"/>
  <c r="BL308" i="1"/>
  <c r="BM308" i="1"/>
  <c r="BN308" i="1"/>
  <c r="BP308" i="1"/>
  <c r="AM309" i="1"/>
  <c r="AN309" i="1" s="1"/>
  <c r="AO309" i="1"/>
  <c r="BA309" i="1" s="1"/>
  <c r="AV309" i="1"/>
  <c r="AW309" i="1"/>
  <c r="X309" i="1" s="1"/>
  <c r="AX309" i="1"/>
  <c r="AY309" i="1"/>
  <c r="BJ309" i="1"/>
  <c r="BL309" i="1"/>
  <c r="BM309" i="1"/>
  <c r="BN309" i="1"/>
  <c r="BP309" i="1"/>
  <c r="AM310" i="1"/>
  <c r="AN310" i="1" s="1"/>
  <c r="AO310" i="1"/>
  <c r="BA310" i="1" s="1"/>
  <c r="AS310" i="1"/>
  <c r="AV310" i="1"/>
  <c r="AW310" i="1"/>
  <c r="AX310" i="1"/>
  <c r="AY310" i="1"/>
  <c r="BJ310" i="1"/>
  <c r="BL310" i="1"/>
  <c r="BM310" i="1"/>
  <c r="BN310" i="1"/>
  <c r="BP310" i="1"/>
  <c r="AM311" i="1"/>
  <c r="AN311" i="1" s="1"/>
  <c r="AO311" i="1"/>
  <c r="BA311" i="1" s="1"/>
  <c r="AV311" i="1"/>
  <c r="AW311" i="1"/>
  <c r="AX311" i="1"/>
  <c r="AY311" i="1"/>
  <c r="BJ311" i="1"/>
  <c r="BL311" i="1"/>
  <c r="BM311" i="1"/>
  <c r="BN311" i="1"/>
  <c r="BP311" i="1"/>
  <c r="AM312" i="1"/>
  <c r="AN312" i="1" s="1"/>
  <c r="AO312" i="1"/>
  <c r="BA312" i="1" s="1"/>
  <c r="AV312" i="1"/>
  <c r="AW312" i="1"/>
  <c r="W312" i="1" s="1"/>
  <c r="AX312" i="1"/>
  <c r="AY312" i="1"/>
  <c r="BJ312" i="1"/>
  <c r="BL312" i="1"/>
  <c r="BM312" i="1"/>
  <c r="BN312" i="1"/>
  <c r="BP312" i="1"/>
  <c r="AM313" i="1"/>
  <c r="AN313" i="1" s="1"/>
  <c r="AO313" i="1"/>
  <c r="BA313" i="1" s="1"/>
  <c r="AV313" i="1"/>
  <c r="AW313" i="1"/>
  <c r="AX313" i="1"/>
  <c r="AY313" i="1"/>
  <c r="BJ313" i="1"/>
  <c r="BL313" i="1"/>
  <c r="BM313" i="1"/>
  <c r="BN313" i="1"/>
  <c r="BP313" i="1"/>
  <c r="AM314" i="1"/>
  <c r="AN314" i="1" s="1"/>
  <c r="AO314" i="1"/>
  <c r="BA314" i="1" s="1"/>
  <c r="AS314" i="1"/>
  <c r="AV314" i="1"/>
  <c r="AW314" i="1"/>
  <c r="AX314" i="1"/>
  <c r="AY314" i="1"/>
  <c r="BJ314" i="1"/>
  <c r="BL314" i="1"/>
  <c r="BM314" i="1"/>
  <c r="BN314" i="1"/>
  <c r="BP314" i="1"/>
  <c r="AM315" i="1"/>
  <c r="AN315" i="1" s="1"/>
  <c r="AO315" i="1"/>
  <c r="BA315" i="1" s="1"/>
  <c r="AV315" i="1"/>
  <c r="AW315" i="1"/>
  <c r="W315" i="1" s="1"/>
  <c r="AX315" i="1"/>
  <c r="AY315" i="1"/>
  <c r="BJ315" i="1"/>
  <c r="BL315" i="1"/>
  <c r="BM315" i="1"/>
  <c r="BN315" i="1"/>
  <c r="BP315" i="1"/>
  <c r="AM316" i="1"/>
  <c r="AN316" i="1" s="1"/>
  <c r="AO316" i="1"/>
  <c r="BA316" i="1" s="1"/>
  <c r="AV316" i="1"/>
  <c r="AW316" i="1"/>
  <c r="AX316" i="1"/>
  <c r="AY316" i="1"/>
  <c r="BJ316" i="1"/>
  <c r="BL316" i="1"/>
  <c r="BM316" i="1"/>
  <c r="BN316" i="1"/>
  <c r="BP316" i="1"/>
  <c r="AM317" i="1"/>
  <c r="AN317" i="1" s="1"/>
  <c r="AO317" i="1"/>
  <c r="BA317" i="1" s="1"/>
  <c r="AV317" i="1"/>
  <c r="AW317" i="1"/>
  <c r="X317" i="1" s="1"/>
  <c r="AX317" i="1"/>
  <c r="AY317" i="1"/>
  <c r="BJ317" i="1"/>
  <c r="BL317" i="1"/>
  <c r="BM317" i="1"/>
  <c r="BN317" i="1"/>
  <c r="BP317" i="1"/>
  <c r="AM318" i="1"/>
  <c r="AN318" i="1" s="1"/>
  <c r="AO318" i="1"/>
  <c r="BA318" i="1" s="1"/>
  <c r="AV318" i="1"/>
  <c r="AW318" i="1"/>
  <c r="AX318" i="1"/>
  <c r="AY318" i="1"/>
  <c r="BJ318" i="1"/>
  <c r="BL318" i="1"/>
  <c r="BM318" i="1"/>
  <c r="BN318" i="1"/>
  <c r="BP318" i="1"/>
  <c r="AM319" i="1"/>
  <c r="AN319" i="1" s="1"/>
  <c r="AO319" i="1"/>
  <c r="BA319" i="1" s="1"/>
  <c r="AV319" i="1"/>
  <c r="AW319" i="1"/>
  <c r="AX319" i="1"/>
  <c r="AY319" i="1"/>
  <c r="BJ319" i="1"/>
  <c r="BL319" i="1"/>
  <c r="BM319" i="1"/>
  <c r="BN319" i="1"/>
  <c r="BP319" i="1"/>
  <c r="AM320" i="1"/>
  <c r="AN320" i="1" s="1"/>
  <c r="AO320" i="1"/>
  <c r="BA320" i="1" s="1"/>
  <c r="AS320" i="1"/>
  <c r="AV320" i="1"/>
  <c r="AW320" i="1"/>
  <c r="AX320" i="1"/>
  <c r="AY320" i="1"/>
  <c r="BJ320" i="1"/>
  <c r="BL320" i="1"/>
  <c r="BM320" i="1"/>
  <c r="BN320" i="1"/>
  <c r="BP320" i="1"/>
  <c r="AM321" i="1"/>
  <c r="AN321" i="1" s="1"/>
  <c r="AO321" i="1"/>
  <c r="BA321" i="1" s="1"/>
  <c r="AV321" i="1"/>
  <c r="AW321" i="1"/>
  <c r="AX321" i="1"/>
  <c r="AY321" i="1"/>
  <c r="BJ321" i="1"/>
  <c r="BL321" i="1"/>
  <c r="BM321" i="1"/>
  <c r="BN321" i="1"/>
  <c r="BP321" i="1"/>
  <c r="AM322" i="1"/>
  <c r="AN322" i="1" s="1"/>
  <c r="AO322" i="1"/>
  <c r="BA322" i="1" s="1"/>
  <c r="AV322" i="1"/>
  <c r="AW322" i="1"/>
  <c r="X322" i="1" s="1"/>
  <c r="AX322" i="1"/>
  <c r="AY322" i="1"/>
  <c r="BJ322" i="1"/>
  <c r="BL322" i="1"/>
  <c r="BM322" i="1"/>
  <c r="BN322" i="1"/>
  <c r="BP322" i="1"/>
  <c r="AM323" i="1"/>
  <c r="AN323" i="1" s="1"/>
  <c r="AO323" i="1"/>
  <c r="BA323" i="1" s="1"/>
  <c r="AV323" i="1"/>
  <c r="AW323" i="1"/>
  <c r="W323" i="1" s="1"/>
  <c r="AX323" i="1"/>
  <c r="AY323" i="1"/>
  <c r="BJ323" i="1"/>
  <c r="BL323" i="1"/>
  <c r="BM323" i="1"/>
  <c r="BN323" i="1"/>
  <c r="BP323" i="1"/>
  <c r="AM324" i="1"/>
  <c r="AN324" i="1" s="1"/>
  <c r="AO324" i="1"/>
  <c r="BA324" i="1" s="1"/>
  <c r="AV324" i="1"/>
  <c r="AW324" i="1"/>
  <c r="AX324" i="1"/>
  <c r="AY324" i="1"/>
  <c r="BJ324" i="1"/>
  <c r="BL324" i="1"/>
  <c r="BM324" i="1"/>
  <c r="BN324" i="1"/>
  <c r="BP324" i="1"/>
  <c r="AM325" i="1"/>
  <c r="AN325" i="1" s="1"/>
  <c r="AO325" i="1"/>
  <c r="BA325" i="1" s="1"/>
  <c r="AV325" i="1"/>
  <c r="AW325" i="1"/>
  <c r="AX325" i="1"/>
  <c r="AY325" i="1"/>
  <c r="BJ325" i="1"/>
  <c r="BL325" i="1"/>
  <c r="BM325" i="1"/>
  <c r="BN325" i="1"/>
  <c r="BP325" i="1"/>
  <c r="AM326" i="1"/>
  <c r="AN326" i="1" s="1"/>
  <c r="AO326" i="1"/>
  <c r="BA326" i="1" s="1"/>
  <c r="AV326" i="1"/>
  <c r="AW326" i="1"/>
  <c r="AX326" i="1"/>
  <c r="AY326" i="1"/>
  <c r="BJ326" i="1"/>
  <c r="BL326" i="1"/>
  <c r="BM326" i="1"/>
  <c r="BN326" i="1"/>
  <c r="BP326" i="1"/>
  <c r="AM327" i="1"/>
  <c r="AN327" i="1" s="1"/>
  <c r="AO327" i="1"/>
  <c r="BA327" i="1" s="1"/>
  <c r="AV327" i="1"/>
  <c r="AW327" i="1"/>
  <c r="W327" i="1" s="1"/>
  <c r="AX327" i="1"/>
  <c r="AY327" i="1"/>
  <c r="BJ327" i="1"/>
  <c r="BL327" i="1"/>
  <c r="BM327" i="1"/>
  <c r="BN327" i="1"/>
  <c r="BP327" i="1"/>
  <c r="AM328" i="1"/>
  <c r="AN328" i="1" s="1"/>
  <c r="AO328" i="1"/>
  <c r="BA328" i="1" s="1"/>
  <c r="AV328" i="1"/>
  <c r="AW328" i="1"/>
  <c r="AX328" i="1"/>
  <c r="AY328" i="1"/>
  <c r="BJ328" i="1"/>
  <c r="BL328" i="1"/>
  <c r="BM328" i="1"/>
  <c r="BN328" i="1"/>
  <c r="BP328" i="1"/>
  <c r="AM329" i="1"/>
  <c r="AN329" i="1" s="1"/>
  <c r="AO329" i="1"/>
  <c r="BA329" i="1" s="1"/>
  <c r="AV329" i="1"/>
  <c r="AW329" i="1"/>
  <c r="AX329" i="1"/>
  <c r="AY329" i="1"/>
  <c r="BJ329" i="1"/>
  <c r="BL329" i="1"/>
  <c r="BM329" i="1"/>
  <c r="BN329" i="1"/>
  <c r="BP329" i="1"/>
  <c r="AM330" i="1"/>
  <c r="AN330" i="1" s="1"/>
  <c r="AO330" i="1"/>
  <c r="BA330" i="1" s="1"/>
  <c r="AV330" i="1"/>
  <c r="AW330" i="1"/>
  <c r="W330" i="1" s="1"/>
  <c r="AX330" i="1"/>
  <c r="AY330" i="1"/>
  <c r="BJ330" i="1"/>
  <c r="BL330" i="1"/>
  <c r="BM330" i="1"/>
  <c r="BN330" i="1"/>
  <c r="BP330" i="1"/>
  <c r="AM331" i="1"/>
  <c r="AN331" i="1" s="1"/>
  <c r="AO331" i="1"/>
  <c r="BA331" i="1" s="1"/>
  <c r="AV331" i="1"/>
  <c r="AW331" i="1"/>
  <c r="BK331" i="1" s="1"/>
  <c r="AX331" i="1"/>
  <c r="AY331" i="1"/>
  <c r="BJ331" i="1"/>
  <c r="BL331" i="1"/>
  <c r="BM331" i="1"/>
  <c r="BN331" i="1"/>
  <c r="BP331" i="1"/>
  <c r="AM332" i="1"/>
  <c r="AN332" i="1" s="1"/>
  <c r="AO332" i="1"/>
  <c r="BA332" i="1" s="1"/>
  <c r="AV332" i="1"/>
  <c r="AW332" i="1"/>
  <c r="BK332" i="1" s="1"/>
  <c r="AX332" i="1"/>
  <c r="AY332" i="1"/>
  <c r="BJ332" i="1"/>
  <c r="BL332" i="1"/>
  <c r="BM332" i="1"/>
  <c r="BN332" i="1"/>
  <c r="BP332" i="1"/>
  <c r="AM333" i="1"/>
  <c r="AN333" i="1" s="1"/>
  <c r="AO333" i="1"/>
  <c r="BA333" i="1" s="1"/>
  <c r="AV333" i="1"/>
  <c r="AW333" i="1"/>
  <c r="AX333" i="1"/>
  <c r="AY333" i="1"/>
  <c r="BJ333" i="1"/>
  <c r="BL333" i="1"/>
  <c r="BM333" i="1"/>
  <c r="BN333" i="1"/>
  <c r="BP333" i="1"/>
  <c r="AM334" i="1"/>
  <c r="AN334" i="1" s="1"/>
  <c r="AO334" i="1"/>
  <c r="BA334" i="1" s="1"/>
  <c r="AV334" i="1"/>
  <c r="AW334" i="1"/>
  <c r="W334" i="1" s="1"/>
  <c r="AX334" i="1"/>
  <c r="AY334" i="1"/>
  <c r="BJ334" i="1"/>
  <c r="BL334" i="1"/>
  <c r="BM334" i="1"/>
  <c r="BN334" i="1"/>
  <c r="BP334" i="1"/>
  <c r="AM335" i="1"/>
  <c r="AN335" i="1" s="1"/>
  <c r="AO335" i="1"/>
  <c r="BA335" i="1" s="1"/>
  <c r="AV335" i="1"/>
  <c r="AW335" i="1"/>
  <c r="BK335" i="1" s="1"/>
  <c r="AX335" i="1"/>
  <c r="AY335" i="1"/>
  <c r="BJ335" i="1"/>
  <c r="BL335" i="1"/>
  <c r="BM335" i="1"/>
  <c r="BN335" i="1"/>
  <c r="BP335" i="1"/>
  <c r="AM336" i="1"/>
  <c r="AN336" i="1" s="1"/>
  <c r="AO336" i="1"/>
  <c r="BA336" i="1" s="1"/>
  <c r="AV336" i="1"/>
  <c r="AW336" i="1"/>
  <c r="AX336" i="1"/>
  <c r="AY336" i="1"/>
  <c r="BJ336" i="1"/>
  <c r="BL336" i="1"/>
  <c r="BM336" i="1"/>
  <c r="BN336" i="1"/>
  <c r="BP336" i="1"/>
  <c r="AM337" i="1"/>
  <c r="AN337" i="1" s="1"/>
  <c r="AO337" i="1"/>
  <c r="BA337" i="1" s="1"/>
  <c r="AV337" i="1"/>
  <c r="AW337" i="1"/>
  <c r="X337" i="1" s="1"/>
  <c r="AX337" i="1"/>
  <c r="AY337" i="1"/>
  <c r="BJ337" i="1"/>
  <c r="BL337" i="1"/>
  <c r="BM337" i="1"/>
  <c r="BN337" i="1"/>
  <c r="BP337" i="1"/>
  <c r="AM338" i="1"/>
  <c r="AN338" i="1" s="1"/>
  <c r="AO338" i="1"/>
  <c r="BA338" i="1" s="1"/>
  <c r="AV338" i="1"/>
  <c r="AW338" i="1"/>
  <c r="W338" i="1" s="1"/>
  <c r="AX338" i="1"/>
  <c r="AY338" i="1"/>
  <c r="BJ338" i="1"/>
  <c r="BL338" i="1"/>
  <c r="BM338" i="1"/>
  <c r="BN338" i="1"/>
  <c r="BP338" i="1"/>
  <c r="AM339" i="1"/>
  <c r="AN339" i="1" s="1"/>
  <c r="AO339" i="1"/>
  <c r="AZ339" i="1" s="1"/>
  <c r="AV339" i="1"/>
  <c r="AW339" i="1"/>
  <c r="BK339" i="1" s="1"/>
  <c r="AX339" i="1"/>
  <c r="AY339" i="1"/>
  <c r="BJ339" i="1"/>
  <c r="BL339" i="1"/>
  <c r="BM339" i="1"/>
  <c r="BN339" i="1"/>
  <c r="BP339" i="1"/>
  <c r="AM340" i="1"/>
  <c r="AN340" i="1" s="1"/>
  <c r="AO340" i="1"/>
  <c r="BA340" i="1" s="1"/>
  <c r="AV340" i="1"/>
  <c r="AW340" i="1"/>
  <c r="BK340" i="1" s="1"/>
  <c r="AX340" i="1"/>
  <c r="AY340" i="1"/>
  <c r="BJ340" i="1"/>
  <c r="BL340" i="1"/>
  <c r="BM340" i="1"/>
  <c r="BN340" i="1"/>
  <c r="BP340" i="1"/>
  <c r="AM341" i="1"/>
  <c r="AN341" i="1" s="1"/>
  <c r="AO341" i="1"/>
  <c r="AV341" i="1"/>
  <c r="AW341" i="1"/>
  <c r="AX341" i="1"/>
  <c r="AY341" i="1"/>
  <c r="BJ341" i="1"/>
  <c r="BL341" i="1"/>
  <c r="BM341" i="1"/>
  <c r="BN341" i="1"/>
  <c r="BP341" i="1"/>
  <c r="AM342" i="1"/>
  <c r="AN342" i="1" s="1"/>
  <c r="AO342" i="1"/>
  <c r="AV342" i="1"/>
  <c r="AW342" i="1"/>
  <c r="W342" i="1" s="1"/>
  <c r="AX342" i="1"/>
  <c r="AY342" i="1"/>
  <c r="BJ342" i="1"/>
  <c r="BL342" i="1"/>
  <c r="BM342" i="1"/>
  <c r="BN342" i="1"/>
  <c r="BP342" i="1"/>
  <c r="AM343" i="1"/>
  <c r="AN343" i="1" s="1"/>
  <c r="AO343" i="1"/>
  <c r="AZ343" i="1" s="1"/>
  <c r="AV343" i="1"/>
  <c r="AW343" i="1"/>
  <c r="BK343" i="1" s="1"/>
  <c r="AX343" i="1"/>
  <c r="AY343" i="1"/>
  <c r="BJ343" i="1"/>
  <c r="BL343" i="1"/>
  <c r="BM343" i="1"/>
  <c r="BN343" i="1"/>
  <c r="BP343" i="1"/>
  <c r="AM344" i="1"/>
  <c r="AN344" i="1" s="1"/>
  <c r="AO344" i="1"/>
  <c r="BA344" i="1" s="1"/>
  <c r="AV344" i="1"/>
  <c r="AW344" i="1"/>
  <c r="AX344" i="1"/>
  <c r="AY344" i="1"/>
  <c r="BJ344" i="1"/>
  <c r="BL344" i="1"/>
  <c r="BM344" i="1"/>
  <c r="BN344" i="1"/>
  <c r="BP344" i="1"/>
  <c r="AM345" i="1"/>
  <c r="AN345" i="1" s="1"/>
  <c r="AO345" i="1"/>
  <c r="BA345" i="1" s="1"/>
  <c r="AV345" i="1"/>
  <c r="AW345" i="1"/>
  <c r="AX345" i="1"/>
  <c r="AY345" i="1"/>
  <c r="BJ345" i="1"/>
  <c r="BL345" i="1"/>
  <c r="BM345" i="1"/>
  <c r="BN345" i="1"/>
  <c r="BP345" i="1"/>
  <c r="AM346" i="1"/>
  <c r="AN346" i="1" s="1"/>
  <c r="AO346" i="1"/>
  <c r="AZ346" i="1" s="1"/>
  <c r="AV346" i="1"/>
  <c r="AW346" i="1"/>
  <c r="W346" i="1" s="1"/>
  <c r="AX346" i="1"/>
  <c r="AY346" i="1"/>
  <c r="BJ346" i="1"/>
  <c r="BL346" i="1"/>
  <c r="BM346" i="1"/>
  <c r="BN346" i="1"/>
  <c r="BP346" i="1"/>
  <c r="AM347" i="1"/>
  <c r="AN347" i="1" s="1"/>
  <c r="AO347" i="1"/>
  <c r="AZ347" i="1" s="1"/>
  <c r="AV347" i="1"/>
  <c r="AW347" i="1"/>
  <c r="AX347" i="1"/>
  <c r="AY347" i="1"/>
  <c r="BJ347" i="1"/>
  <c r="BL347" i="1"/>
  <c r="BM347" i="1"/>
  <c r="BN347" i="1"/>
  <c r="BP347" i="1"/>
  <c r="AM348" i="1"/>
  <c r="AN348" i="1" s="1"/>
  <c r="AO348" i="1"/>
  <c r="BA348" i="1" s="1"/>
  <c r="AV348" i="1"/>
  <c r="AW348" i="1"/>
  <c r="BK348" i="1" s="1"/>
  <c r="AX348" i="1"/>
  <c r="AY348" i="1"/>
  <c r="BJ348" i="1"/>
  <c r="BL348" i="1"/>
  <c r="BM348" i="1"/>
  <c r="BN348" i="1"/>
  <c r="BP348" i="1"/>
  <c r="AM349" i="1"/>
  <c r="AN349" i="1" s="1"/>
  <c r="AO349" i="1"/>
  <c r="AV349" i="1"/>
  <c r="AW349" i="1"/>
  <c r="AX349" i="1"/>
  <c r="AY349" i="1"/>
  <c r="BJ349" i="1"/>
  <c r="BL349" i="1"/>
  <c r="BM349" i="1"/>
  <c r="BN349" i="1"/>
  <c r="BP349" i="1"/>
  <c r="AM350" i="1"/>
  <c r="AN350" i="1" s="1"/>
  <c r="AO350" i="1"/>
  <c r="AZ350" i="1" s="1"/>
  <c r="AV350" i="1"/>
  <c r="AW350" i="1"/>
  <c r="AX350" i="1"/>
  <c r="AY350" i="1"/>
  <c r="BJ350" i="1"/>
  <c r="BL350" i="1"/>
  <c r="BM350" i="1"/>
  <c r="BN350" i="1"/>
  <c r="BP350" i="1"/>
  <c r="AM351" i="1"/>
  <c r="AN351" i="1" s="1"/>
  <c r="AO351" i="1"/>
  <c r="AP351" i="1" s="1"/>
  <c r="AV351" i="1"/>
  <c r="AW351" i="1"/>
  <c r="BK351" i="1" s="1"/>
  <c r="AX351" i="1"/>
  <c r="AY351" i="1"/>
  <c r="BJ351" i="1"/>
  <c r="BL351" i="1"/>
  <c r="BM351" i="1"/>
  <c r="BN351" i="1"/>
  <c r="BP351" i="1"/>
  <c r="AM352" i="1"/>
  <c r="AN352" i="1" s="1"/>
  <c r="AO352" i="1"/>
  <c r="AZ352" i="1" s="1"/>
  <c r="AV352" i="1"/>
  <c r="AW352" i="1"/>
  <c r="AX352" i="1"/>
  <c r="AY352" i="1"/>
  <c r="BJ352" i="1"/>
  <c r="BL352" i="1"/>
  <c r="BM352" i="1"/>
  <c r="BN352" i="1"/>
  <c r="BP352" i="1"/>
  <c r="AM353" i="1"/>
  <c r="AN353" i="1" s="1"/>
  <c r="AO353" i="1"/>
  <c r="AZ353" i="1" s="1"/>
  <c r="AV353" i="1"/>
  <c r="AW353" i="1"/>
  <c r="AX353" i="1"/>
  <c r="AY353" i="1"/>
  <c r="BJ353" i="1"/>
  <c r="BL353" i="1"/>
  <c r="BM353" i="1"/>
  <c r="BN353" i="1"/>
  <c r="BP353" i="1"/>
  <c r="AM354" i="1"/>
  <c r="AN354" i="1" s="1"/>
  <c r="AO354" i="1"/>
  <c r="AZ354" i="1" s="1"/>
  <c r="AV354" i="1"/>
  <c r="AW354" i="1"/>
  <c r="X354" i="1" s="1"/>
  <c r="AX354" i="1"/>
  <c r="AY354" i="1"/>
  <c r="BJ354" i="1"/>
  <c r="BL354" i="1"/>
  <c r="BM354" i="1"/>
  <c r="BN354" i="1"/>
  <c r="BP354" i="1"/>
  <c r="AM355" i="1"/>
  <c r="AN355" i="1" s="1"/>
  <c r="AO355" i="1"/>
  <c r="AV355" i="1"/>
  <c r="AW355" i="1"/>
  <c r="AX355" i="1"/>
  <c r="AY355" i="1"/>
  <c r="BJ355" i="1"/>
  <c r="BL355" i="1"/>
  <c r="BM355" i="1"/>
  <c r="BN355" i="1"/>
  <c r="BP355" i="1"/>
  <c r="AM356" i="1"/>
  <c r="AN356" i="1" s="1"/>
  <c r="AO356" i="1"/>
  <c r="AZ356" i="1" s="1"/>
  <c r="AV356" i="1"/>
  <c r="AW356" i="1"/>
  <c r="AX356" i="1"/>
  <c r="AY356" i="1"/>
  <c r="BJ356" i="1"/>
  <c r="BL356" i="1"/>
  <c r="BM356" i="1"/>
  <c r="BN356" i="1"/>
  <c r="BP356" i="1"/>
  <c r="AM357" i="1"/>
  <c r="AN357" i="1" s="1"/>
  <c r="AO357" i="1"/>
  <c r="AZ357" i="1" s="1"/>
  <c r="AV357" i="1"/>
  <c r="AW357" i="1"/>
  <c r="BK357" i="1" s="1"/>
  <c r="AX357" i="1"/>
  <c r="AY357" i="1"/>
  <c r="BJ357" i="1"/>
  <c r="BL357" i="1"/>
  <c r="BM357" i="1"/>
  <c r="BN357" i="1"/>
  <c r="BP357" i="1"/>
  <c r="AM358" i="1"/>
  <c r="AN358" i="1" s="1"/>
  <c r="AO358" i="1"/>
  <c r="AZ358" i="1" s="1"/>
  <c r="AV358" i="1"/>
  <c r="AW358" i="1"/>
  <c r="BK358" i="1" s="1"/>
  <c r="AX358" i="1"/>
  <c r="AY358" i="1"/>
  <c r="BJ358" i="1"/>
  <c r="BL358" i="1"/>
  <c r="BM358" i="1"/>
  <c r="BN358" i="1"/>
  <c r="BP358" i="1"/>
  <c r="AM359" i="1"/>
  <c r="AN359" i="1" s="1"/>
  <c r="AO359" i="1"/>
  <c r="AZ359" i="1" s="1"/>
  <c r="AV359" i="1"/>
  <c r="AW359" i="1"/>
  <c r="X359" i="1" s="1"/>
  <c r="AX359" i="1"/>
  <c r="AY359" i="1"/>
  <c r="BJ359" i="1"/>
  <c r="BL359" i="1"/>
  <c r="BM359" i="1"/>
  <c r="BN359" i="1"/>
  <c r="BP359" i="1"/>
  <c r="AM360" i="1"/>
  <c r="AN360" i="1" s="1"/>
  <c r="AO360" i="1"/>
  <c r="AZ360" i="1" s="1"/>
  <c r="AV360" i="1"/>
  <c r="AW360" i="1"/>
  <c r="AX360" i="1"/>
  <c r="AY360" i="1"/>
  <c r="BJ360" i="1"/>
  <c r="BL360" i="1"/>
  <c r="BM360" i="1"/>
  <c r="BN360" i="1"/>
  <c r="BP360" i="1"/>
  <c r="AM361" i="1"/>
  <c r="AN361" i="1" s="1"/>
  <c r="AO361" i="1"/>
  <c r="AZ361" i="1" s="1"/>
  <c r="AV361" i="1"/>
  <c r="AW361" i="1"/>
  <c r="BK361" i="1" s="1"/>
  <c r="AX361" i="1"/>
  <c r="AY361" i="1"/>
  <c r="BJ361" i="1"/>
  <c r="BL361" i="1"/>
  <c r="BM361" i="1"/>
  <c r="BN361" i="1"/>
  <c r="BP361" i="1"/>
  <c r="AM362" i="1"/>
  <c r="AN362" i="1" s="1"/>
  <c r="AO362" i="1"/>
  <c r="AZ362" i="1" s="1"/>
  <c r="AV362" i="1"/>
  <c r="AW362" i="1"/>
  <c r="BK362" i="1" s="1"/>
  <c r="AX362" i="1"/>
  <c r="AY362" i="1"/>
  <c r="BJ362" i="1"/>
  <c r="BL362" i="1"/>
  <c r="BM362" i="1"/>
  <c r="BN362" i="1"/>
  <c r="BP362" i="1"/>
  <c r="AM363" i="1"/>
  <c r="AN363" i="1" s="1"/>
  <c r="AO363" i="1"/>
  <c r="AZ363" i="1" s="1"/>
  <c r="AV363" i="1"/>
  <c r="AW363" i="1"/>
  <c r="X363" i="1" s="1"/>
  <c r="AX363" i="1"/>
  <c r="AY363" i="1"/>
  <c r="BJ363" i="1"/>
  <c r="BL363" i="1"/>
  <c r="BM363" i="1"/>
  <c r="BN363" i="1"/>
  <c r="BP363" i="1"/>
  <c r="AM364" i="1"/>
  <c r="AN364" i="1" s="1"/>
  <c r="AO364" i="1"/>
  <c r="AZ364" i="1" s="1"/>
  <c r="AV364" i="1"/>
  <c r="AW364" i="1"/>
  <c r="W364" i="1" s="1"/>
  <c r="AX364" i="1"/>
  <c r="AY364" i="1"/>
  <c r="BJ364" i="1"/>
  <c r="BL364" i="1"/>
  <c r="BM364" i="1"/>
  <c r="BN364" i="1"/>
  <c r="BP364" i="1"/>
  <c r="AM365" i="1"/>
  <c r="AN365" i="1" s="1"/>
  <c r="AO365" i="1"/>
  <c r="AZ365" i="1" s="1"/>
  <c r="AV365" i="1"/>
  <c r="AW365" i="1"/>
  <c r="BK365" i="1" s="1"/>
  <c r="AX365" i="1"/>
  <c r="AY365" i="1"/>
  <c r="BJ365" i="1"/>
  <c r="BL365" i="1"/>
  <c r="BM365" i="1"/>
  <c r="BN365" i="1"/>
  <c r="BP365" i="1"/>
  <c r="AM366" i="1"/>
  <c r="AN366" i="1" s="1"/>
  <c r="AO366" i="1"/>
  <c r="AZ366" i="1" s="1"/>
  <c r="AV366" i="1"/>
  <c r="AW366" i="1"/>
  <c r="BK366" i="1" s="1"/>
  <c r="AX366" i="1"/>
  <c r="AY366" i="1"/>
  <c r="BJ366" i="1"/>
  <c r="BL366" i="1"/>
  <c r="BM366" i="1"/>
  <c r="BN366" i="1"/>
  <c r="BP366" i="1"/>
  <c r="AM367" i="1"/>
  <c r="AN367" i="1" s="1"/>
  <c r="AO367" i="1"/>
  <c r="AP367" i="1" s="1"/>
  <c r="AV367" i="1"/>
  <c r="AW367" i="1"/>
  <c r="X367" i="1" s="1"/>
  <c r="AX367" i="1"/>
  <c r="AY367" i="1"/>
  <c r="BJ367" i="1"/>
  <c r="BL367" i="1"/>
  <c r="BM367" i="1"/>
  <c r="BN367" i="1"/>
  <c r="BP367" i="1"/>
  <c r="AM368" i="1"/>
  <c r="AN368" i="1" s="1"/>
  <c r="AO368" i="1"/>
  <c r="BA368" i="1" s="1"/>
  <c r="AV368" i="1"/>
  <c r="AW368" i="1"/>
  <c r="W368" i="1" s="1"/>
  <c r="AX368" i="1"/>
  <c r="AY368" i="1"/>
  <c r="BJ368" i="1"/>
  <c r="BL368" i="1"/>
  <c r="BM368" i="1"/>
  <c r="BN368" i="1"/>
  <c r="BP368" i="1"/>
  <c r="AM369" i="1"/>
  <c r="AN369" i="1" s="1"/>
  <c r="AO369" i="1"/>
  <c r="BF369" i="1" s="1"/>
  <c r="AV369" i="1"/>
  <c r="AW369" i="1"/>
  <c r="BK369" i="1" s="1"/>
  <c r="AX369" i="1"/>
  <c r="AY369" i="1"/>
  <c r="BJ369" i="1"/>
  <c r="BL369" i="1"/>
  <c r="BM369" i="1"/>
  <c r="BN369" i="1"/>
  <c r="BP369" i="1"/>
  <c r="AM370" i="1"/>
  <c r="AN370" i="1" s="1"/>
  <c r="AO370" i="1"/>
  <c r="AP370" i="1" s="1"/>
  <c r="AV370" i="1"/>
  <c r="AW370" i="1"/>
  <c r="W370" i="1" s="1"/>
  <c r="AX370" i="1"/>
  <c r="AY370" i="1"/>
  <c r="BJ370" i="1"/>
  <c r="BL370" i="1"/>
  <c r="BM370" i="1"/>
  <c r="BN370" i="1"/>
  <c r="BP370" i="1"/>
  <c r="AM371" i="1"/>
  <c r="AN371" i="1" s="1"/>
  <c r="AO371" i="1"/>
  <c r="AP371" i="1" s="1"/>
  <c r="AV371" i="1"/>
  <c r="AW371" i="1"/>
  <c r="X371" i="1" s="1"/>
  <c r="AX371" i="1"/>
  <c r="AY371" i="1"/>
  <c r="BJ371" i="1"/>
  <c r="BL371" i="1"/>
  <c r="BM371" i="1"/>
  <c r="BN371" i="1"/>
  <c r="BP371" i="1"/>
  <c r="AM372" i="1"/>
  <c r="AN372" i="1" s="1"/>
  <c r="AO372" i="1"/>
  <c r="AV372" i="1"/>
  <c r="AW372" i="1"/>
  <c r="W372" i="1" s="1"/>
  <c r="AX372" i="1"/>
  <c r="AY372" i="1"/>
  <c r="BJ372" i="1"/>
  <c r="BL372" i="1"/>
  <c r="BM372" i="1"/>
  <c r="BN372" i="1"/>
  <c r="BP372" i="1"/>
  <c r="AM373" i="1"/>
  <c r="AN373" i="1" s="1"/>
  <c r="AO373" i="1"/>
  <c r="BF373" i="1" s="1"/>
  <c r="AV373" i="1"/>
  <c r="AW373" i="1"/>
  <c r="AX373" i="1"/>
  <c r="AY373" i="1"/>
  <c r="BJ373" i="1"/>
  <c r="BL373" i="1"/>
  <c r="BM373" i="1"/>
  <c r="BN373" i="1"/>
  <c r="BP373" i="1"/>
  <c r="AM374" i="1"/>
  <c r="AN374" i="1" s="1"/>
  <c r="AO374" i="1"/>
  <c r="AP374" i="1" s="1"/>
  <c r="AV374" i="1"/>
  <c r="AW374" i="1"/>
  <c r="AX374" i="1"/>
  <c r="AY374" i="1"/>
  <c r="BJ374" i="1"/>
  <c r="BL374" i="1"/>
  <c r="BM374" i="1"/>
  <c r="BN374" i="1"/>
  <c r="BP374" i="1"/>
  <c r="AM375" i="1"/>
  <c r="AN375" i="1" s="1"/>
  <c r="AO375" i="1"/>
  <c r="AP375" i="1" s="1"/>
  <c r="AV375" i="1"/>
  <c r="AW375" i="1"/>
  <c r="BK375" i="1" s="1"/>
  <c r="AX375" i="1"/>
  <c r="AY375" i="1"/>
  <c r="BJ375" i="1"/>
  <c r="BL375" i="1"/>
  <c r="BM375" i="1"/>
  <c r="BN375" i="1"/>
  <c r="BP375" i="1"/>
  <c r="AM376" i="1"/>
  <c r="AN376" i="1" s="1"/>
  <c r="AO376" i="1"/>
  <c r="BA376" i="1" s="1"/>
  <c r="AV376" i="1"/>
  <c r="AW376" i="1"/>
  <c r="W376" i="1" s="1"/>
  <c r="AX376" i="1"/>
  <c r="AY376" i="1"/>
  <c r="BJ376" i="1"/>
  <c r="BL376" i="1"/>
  <c r="BM376" i="1"/>
  <c r="BN376" i="1"/>
  <c r="BP376" i="1"/>
  <c r="AM377" i="1"/>
  <c r="AN377" i="1" s="1"/>
  <c r="AO377" i="1"/>
  <c r="BF377" i="1" s="1"/>
  <c r="AV377" i="1"/>
  <c r="AW377" i="1"/>
  <c r="AX377" i="1"/>
  <c r="AY377" i="1"/>
  <c r="BJ377" i="1"/>
  <c r="BL377" i="1"/>
  <c r="BM377" i="1"/>
  <c r="BN377" i="1"/>
  <c r="BP377" i="1"/>
  <c r="AM378" i="1"/>
  <c r="AN378" i="1" s="1"/>
  <c r="AO378" i="1"/>
  <c r="AP378" i="1" s="1"/>
  <c r="AV378" i="1"/>
  <c r="AW378" i="1"/>
  <c r="W378" i="1" s="1"/>
  <c r="AX378" i="1"/>
  <c r="AY378" i="1"/>
  <c r="BJ378" i="1"/>
  <c r="BL378" i="1"/>
  <c r="BM378" i="1"/>
  <c r="BN378" i="1"/>
  <c r="BP378" i="1"/>
  <c r="AM379" i="1"/>
  <c r="AN379" i="1" s="1"/>
  <c r="AO379" i="1"/>
  <c r="AP379" i="1" s="1"/>
  <c r="AV379" i="1"/>
  <c r="AW379" i="1"/>
  <c r="AX379" i="1"/>
  <c r="AY379" i="1"/>
  <c r="BJ379" i="1"/>
  <c r="BL379" i="1"/>
  <c r="BM379" i="1"/>
  <c r="BN379" i="1"/>
  <c r="BP379" i="1"/>
  <c r="AM380" i="1"/>
  <c r="AN380" i="1" s="1"/>
  <c r="AO380" i="1"/>
  <c r="AV380" i="1"/>
  <c r="AW380" i="1"/>
  <c r="BK380" i="1" s="1"/>
  <c r="AX380" i="1"/>
  <c r="AY380" i="1"/>
  <c r="BJ380" i="1"/>
  <c r="BL380" i="1"/>
  <c r="BM380" i="1"/>
  <c r="BN380" i="1"/>
  <c r="BP380" i="1"/>
  <c r="AM381" i="1"/>
  <c r="AN381" i="1" s="1"/>
  <c r="AO381" i="1"/>
  <c r="BF381" i="1" s="1"/>
  <c r="AV381" i="1"/>
  <c r="AW381" i="1"/>
  <c r="BK381" i="1" s="1"/>
  <c r="AX381" i="1"/>
  <c r="AY381" i="1"/>
  <c r="BJ381" i="1"/>
  <c r="BL381" i="1"/>
  <c r="BM381" i="1"/>
  <c r="BN381" i="1"/>
  <c r="BP381" i="1"/>
  <c r="AM382" i="1"/>
  <c r="AN382" i="1" s="1"/>
  <c r="AO382" i="1"/>
  <c r="AP382" i="1" s="1"/>
  <c r="AV382" i="1"/>
  <c r="AW382" i="1"/>
  <c r="BK382" i="1" s="1"/>
  <c r="AX382" i="1"/>
  <c r="AY382" i="1"/>
  <c r="BJ382" i="1"/>
  <c r="BL382" i="1"/>
  <c r="BM382" i="1"/>
  <c r="BN382" i="1"/>
  <c r="BP382" i="1"/>
  <c r="AM383" i="1"/>
  <c r="AN383" i="1" s="1"/>
  <c r="AO383" i="1"/>
  <c r="AP383" i="1" s="1"/>
  <c r="AV383" i="1"/>
  <c r="AW383" i="1"/>
  <c r="X383" i="1" s="1"/>
  <c r="AX383" i="1"/>
  <c r="AY383" i="1"/>
  <c r="BJ383" i="1"/>
  <c r="BL383" i="1"/>
  <c r="BM383" i="1"/>
  <c r="BN383" i="1"/>
  <c r="BP383" i="1"/>
  <c r="AM384" i="1"/>
  <c r="AN384" i="1" s="1"/>
  <c r="AO384" i="1"/>
  <c r="BA384" i="1" s="1"/>
  <c r="AV384" i="1"/>
  <c r="AW384" i="1"/>
  <c r="X384" i="1" s="1"/>
  <c r="AX384" i="1"/>
  <c r="AY384" i="1"/>
  <c r="BJ384" i="1"/>
  <c r="BL384" i="1"/>
  <c r="BM384" i="1"/>
  <c r="BN384" i="1"/>
  <c r="BP384" i="1"/>
  <c r="AM385" i="1"/>
  <c r="AN385" i="1" s="1"/>
  <c r="AO385" i="1"/>
  <c r="BF385" i="1" s="1"/>
  <c r="AV385" i="1"/>
  <c r="AW385" i="1"/>
  <c r="BK385" i="1" s="1"/>
  <c r="AX385" i="1"/>
  <c r="AY385" i="1"/>
  <c r="BJ385" i="1"/>
  <c r="BL385" i="1"/>
  <c r="BM385" i="1"/>
  <c r="BN385" i="1"/>
  <c r="BP385" i="1"/>
  <c r="AM386" i="1"/>
  <c r="AN386" i="1" s="1"/>
  <c r="AO386" i="1"/>
  <c r="AP386" i="1" s="1"/>
  <c r="AV386" i="1"/>
  <c r="AW386" i="1"/>
  <c r="BK386" i="1" s="1"/>
  <c r="AX386" i="1"/>
  <c r="AY386" i="1"/>
  <c r="BJ386" i="1"/>
  <c r="BL386" i="1"/>
  <c r="BM386" i="1"/>
  <c r="BN386" i="1"/>
  <c r="BP386" i="1"/>
  <c r="AM387" i="1"/>
  <c r="AN387" i="1" s="1"/>
  <c r="AO387" i="1"/>
  <c r="AP387" i="1" s="1"/>
  <c r="AV387" i="1"/>
  <c r="AW387" i="1"/>
  <c r="W387" i="1" s="1"/>
  <c r="AX387" i="1"/>
  <c r="AY387" i="1"/>
  <c r="BJ387" i="1"/>
  <c r="BL387" i="1"/>
  <c r="BM387" i="1"/>
  <c r="BN387" i="1"/>
  <c r="BP387" i="1"/>
  <c r="AM388" i="1"/>
  <c r="AN388" i="1" s="1"/>
  <c r="AO388" i="1"/>
  <c r="AV388" i="1"/>
  <c r="AW388" i="1"/>
  <c r="AX388" i="1"/>
  <c r="AY388" i="1"/>
  <c r="BJ388" i="1"/>
  <c r="BL388" i="1"/>
  <c r="BM388" i="1"/>
  <c r="BN388" i="1"/>
  <c r="BP388" i="1"/>
  <c r="AM389" i="1"/>
  <c r="AN389" i="1" s="1"/>
  <c r="AO389" i="1"/>
  <c r="BF389" i="1" s="1"/>
  <c r="AV389" i="1"/>
  <c r="AW389" i="1"/>
  <c r="AX389" i="1"/>
  <c r="AY389" i="1"/>
  <c r="BJ389" i="1"/>
  <c r="BL389" i="1"/>
  <c r="BM389" i="1"/>
  <c r="BN389" i="1"/>
  <c r="BP389" i="1"/>
  <c r="AM390" i="1"/>
  <c r="AN390" i="1" s="1"/>
  <c r="AO390" i="1"/>
  <c r="AP390" i="1" s="1"/>
  <c r="AV390" i="1"/>
  <c r="AW390" i="1"/>
  <c r="AX390" i="1"/>
  <c r="AY390" i="1"/>
  <c r="BJ390" i="1"/>
  <c r="BL390" i="1"/>
  <c r="BM390" i="1"/>
  <c r="BN390" i="1"/>
  <c r="BP390" i="1"/>
  <c r="AM391" i="1"/>
  <c r="AN391" i="1" s="1"/>
  <c r="AO391" i="1"/>
  <c r="AP391" i="1" s="1"/>
  <c r="AV391" i="1"/>
  <c r="AW391" i="1"/>
  <c r="BK391" i="1" s="1"/>
  <c r="AX391" i="1"/>
  <c r="AY391" i="1"/>
  <c r="BJ391" i="1"/>
  <c r="BL391" i="1"/>
  <c r="BM391" i="1"/>
  <c r="BN391" i="1"/>
  <c r="BP391" i="1"/>
  <c r="AM392" i="1"/>
  <c r="AN392" i="1" s="1"/>
  <c r="AO392" i="1"/>
  <c r="BA392" i="1" s="1"/>
  <c r="AV392" i="1"/>
  <c r="AW392" i="1"/>
  <c r="BK392" i="1" s="1"/>
  <c r="AX392" i="1"/>
  <c r="AY392" i="1"/>
  <c r="BJ392" i="1"/>
  <c r="BL392" i="1"/>
  <c r="BM392" i="1"/>
  <c r="BN392" i="1"/>
  <c r="BP392" i="1"/>
  <c r="AM393" i="1"/>
  <c r="AN393" i="1" s="1"/>
  <c r="AO393" i="1"/>
  <c r="BF393" i="1" s="1"/>
  <c r="AV393" i="1"/>
  <c r="AW393" i="1"/>
  <c r="BK393" i="1" s="1"/>
  <c r="AX393" i="1"/>
  <c r="AY393" i="1"/>
  <c r="BJ393" i="1"/>
  <c r="BL393" i="1"/>
  <c r="BM393" i="1"/>
  <c r="BN393" i="1"/>
  <c r="BP393" i="1"/>
  <c r="AM394" i="1"/>
  <c r="AN394" i="1" s="1"/>
  <c r="AO394" i="1"/>
  <c r="AP394" i="1" s="1"/>
  <c r="AV394" i="1"/>
  <c r="AW394" i="1"/>
  <c r="BK394" i="1" s="1"/>
  <c r="AX394" i="1"/>
  <c r="AY394" i="1"/>
  <c r="BJ394" i="1"/>
  <c r="BL394" i="1"/>
  <c r="BM394" i="1"/>
  <c r="BN394" i="1"/>
  <c r="BP394" i="1"/>
  <c r="AM395" i="1"/>
  <c r="AN395" i="1" s="1"/>
  <c r="AO395" i="1"/>
  <c r="AP395" i="1" s="1"/>
  <c r="AV395" i="1"/>
  <c r="AW395" i="1"/>
  <c r="X395" i="1" s="1"/>
  <c r="AX395" i="1"/>
  <c r="AY395" i="1"/>
  <c r="BJ395" i="1"/>
  <c r="BL395" i="1"/>
  <c r="BM395" i="1"/>
  <c r="BN395" i="1"/>
  <c r="BP395" i="1"/>
  <c r="AM396" i="1"/>
  <c r="AN396" i="1" s="1"/>
  <c r="AO396" i="1"/>
  <c r="AV396" i="1"/>
  <c r="AW396" i="1"/>
  <c r="AX396" i="1"/>
  <c r="AY396" i="1"/>
  <c r="BJ396" i="1"/>
  <c r="BL396" i="1"/>
  <c r="BM396" i="1"/>
  <c r="BN396" i="1"/>
  <c r="BP396" i="1"/>
  <c r="AM397" i="1"/>
  <c r="AN397" i="1" s="1"/>
  <c r="AO397" i="1"/>
  <c r="AP397" i="1" s="1"/>
  <c r="AV397" i="1"/>
  <c r="AW397" i="1"/>
  <c r="BK397" i="1" s="1"/>
  <c r="AX397" i="1"/>
  <c r="AY397" i="1"/>
  <c r="BJ397" i="1"/>
  <c r="BL397" i="1"/>
  <c r="BM397" i="1"/>
  <c r="BN397" i="1"/>
  <c r="BP397" i="1"/>
  <c r="AM398" i="1"/>
  <c r="AN398" i="1" s="1"/>
  <c r="AO398" i="1"/>
  <c r="AP398" i="1" s="1"/>
  <c r="AV398" i="1"/>
  <c r="AW398" i="1"/>
  <c r="W398" i="1" s="1"/>
  <c r="AX398" i="1"/>
  <c r="AY398" i="1"/>
  <c r="BJ398" i="1"/>
  <c r="BL398" i="1"/>
  <c r="BM398" i="1"/>
  <c r="BN398" i="1"/>
  <c r="BP398" i="1"/>
  <c r="AM399" i="1"/>
  <c r="AN399" i="1" s="1"/>
  <c r="AO399" i="1"/>
  <c r="AV399" i="1"/>
  <c r="AW399" i="1"/>
  <c r="BK399" i="1" s="1"/>
  <c r="AX399" i="1"/>
  <c r="AY399" i="1"/>
  <c r="BJ399" i="1"/>
  <c r="BL399" i="1"/>
  <c r="BM399" i="1"/>
  <c r="BN399" i="1"/>
  <c r="BP399" i="1"/>
  <c r="AM400" i="1"/>
  <c r="AN400" i="1" s="1"/>
  <c r="AO400" i="1"/>
  <c r="BA400" i="1" s="1"/>
  <c r="AV400" i="1"/>
  <c r="AW400" i="1"/>
  <c r="AX400" i="1"/>
  <c r="AY400" i="1"/>
  <c r="BJ400" i="1"/>
  <c r="BL400" i="1"/>
  <c r="BM400" i="1"/>
  <c r="BN400" i="1"/>
  <c r="BP400" i="1"/>
  <c r="AM401" i="1"/>
  <c r="AN401" i="1" s="1"/>
  <c r="AO401" i="1"/>
  <c r="AV401" i="1"/>
  <c r="AW401" i="1"/>
  <c r="BK401" i="1" s="1"/>
  <c r="AX401" i="1"/>
  <c r="AY401" i="1"/>
  <c r="BJ401" i="1"/>
  <c r="BL401" i="1"/>
  <c r="BM401" i="1"/>
  <c r="BN401" i="1"/>
  <c r="BP401" i="1"/>
  <c r="AM402" i="1"/>
  <c r="AN402" i="1" s="1"/>
  <c r="AO402" i="1"/>
  <c r="AP402" i="1" s="1"/>
  <c r="AV402" i="1"/>
  <c r="AW402" i="1"/>
  <c r="BK402" i="1" s="1"/>
  <c r="AX402" i="1"/>
  <c r="AY402" i="1"/>
  <c r="BJ402" i="1"/>
  <c r="BL402" i="1"/>
  <c r="BM402" i="1"/>
  <c r="BN402" i="1"/>
  <c r="BP402" i="1"/>
  <c r="AM403" i="1"/>
  <c r="AN403" i="1" s="1"/>
  <c r="AO403" i="1"/>
  <c r="BG403" i="1" s="1"/>
  <c r="AV403" i="1"/>
  <c r="AW403" i="1"/>
  <c r="X403" i="1" s="1"/>
  <c r="AX403" i="1"/>
  <c r="AY403" i="1"/>
  <c r="BJ403" i="1"/>
  <c r="BL403" i="1"/>
  <c r="BM403" i="1"/>
  <c r="BN403" i="1"/>
  <c r="BP403" i="1"/>
  <c r="AM404" i="1"/>
  <c r="AN404" i="1" s="1"/>
  <c r="AO404" i="1"/>
  <c r="AV404" i="1"/>
  <c r="AW404" i="1"/>
  <c r="W404" i="1" s="1"/>
  <c r="AX404" i="1"/>
  <c r="AY404" i="1"/>
  <c r="BJ404" i="1"/>
  <c r="BL404" i="1"/>
  <c r="BM404" i="1"/>
  <c r="BN404" i="1"/>
  <c r="BP404" i="1"/>
  <c r="AM405" i="1"/>
  <c r="AN405" i="1" s="1"/>
  <c r="AO405" i="1"/>
  <c r="AP405" i="1" s="1"/>
  <c r="AV405" i="1"/>
  <c r="AW405" i="1"/>
  <c r="BK405" i="1" s="1"/>
  <c r="AX405" i="1"/>
  <c r="AY405" i="1"/>
  <c r="BJ405" i="1"/>
  <c r="BL405" i="1"/>
  <c r="BM405" i="1"/>
  <c r="BN405" i="1"/>
  <c r="BP405" i="1"/>
  <c r="AM406" i="1"/>
  <c r="AN406" i="1" s="1"/>
  <c r="AO406" i="1"/>
  <c r="AP406" i="1" s="1"/>
  <c r="AV406" i="1"/>
  <c r="AW406" i="1"/>
  <c r="AX406" i="1"/>
  <c r="AY406" i="1"/>
  <c r="BJ406" i="1"/>
  <c r="BL406" i="1"/>
  <c r="BM406" i="1"/>
  <c r="BN406" i="1"/>
  <c r="BP406" i="1"/>
  <c r="AM407" i="1"/>
  <c r="AN407" i="1" s="1"/>
  <c r="AO407" i="1"/>
  <c r="AV407" i="1"/>
  <c r="AW407" i="1"/>
  <c r="AX407" i="1"/>
  <c r="AY407" i="1"/>
  <c r="BJ407" i="1"/>
  <c r="BL407" i="1"/>
  <c r="BM407" i="1"/>
  <c r="BN407" i="1"/>
  <c r="BP407" i="1"/>
  <c r="AM408" i="1"/>
  <c r="AN408" i="1" s="1"/>
  <c r="AO408" i="1"/>
  <c r="BA408" i="1" s="1"/>
  <c r="AV408" i="1"/>
  <c r="AW408" i="1"/>
  <c r="AX408" i="1"/>
  <c r="AY408" i="1"/>
  <c r="BJ408" i="1"/>
  <c r="BL408" i="1"/>
  <c r="BM408" i="1"/>
  <c r="BN408" i="1"/>
  <c r="BP408" i="1"/>
  <c r="AM409" i="1"/>
  <c r="AN409" i="1" s="1"/>
  <c r="AO409" i="1"/>
  <c r="BF409" i="1" s="1"/>
  <c r="AV409" i="1"/>
  <c r="AW409" i="1"/>
  <c r="BK409" i="1" s="1"/>
  <c r="AX409" i="1"/>
  <c r="AY409" i="1"/>
  <c r="BJ409" i="1"/>
  <c r="BL409" i="1"/>
  <c r="BM409" i="1"/>
  <c r="BN409" i="1"/>
  <c r="BP409" i="1"/>
  <c r="AM410" i="1"/>
  <c r="AN410" i="1" s="1"/>
  <c r="AO410" i="1"/>
  <c r="AP410" i="1" s="1"/>
  <c r="AV410" i="1"/>
  <c r="AW410" i="1"/>
  <c r="AX410" i="1"/>
  <c r="AY410" i="1"/>
  <c r="BJ410" i="1"/>
  <c r="BL410" i="1"/>
  <c r="BM410" i="1"/>
  <c r="BN410" i="1"/>
  <c r="BP410" i="1"/>
  <c r="AM411" i="1"/>
  <c r="AN411" i="1" s="1"/>
  <c r="AO411" i="1"/>
  <c r="AV411" i="1"/>
  <c r="AW411" i="1"/>
  <c r="AX411" i="1"/>
  <c r="AY411" i="1"/>
  <c r="BJ411" i="1"/>
  <c r="BL411" i="1"/>
  <c r="BM411" i="1"/>
  <c r="BN411" i="1"/>
  <c r="BP411" i="1"/>
  <c r="AM412" i="1"/>
  <c r="AN412" i="1" s="1"/>
  <c r="AO412" i="1"/>
  <c r="BG412" i="1" s="1"/>
  <c r="AV412" i="1"/>
  <c r="AW412" i="1"/>
  <c r="W412" i="1" s="1"/>
  <c r="AX412" i="1"/>
  <c r="AY412" i="1"/>
  <c r="BJ412" i="1"/>
  <c r="BL412" i="1"/>
  <c r="BM412" i="1"/>
  <c r="BN412" i="1"/>
  <c r="BP412" i="1"/>
  <c r="AM413" i="1"/>
  <c r="AN413" i="1" s="1"/>
  <c r="AO413" i="1"/>
  <c r="BF413" i="1" s="1"/>
  <c r="AV413" i="1"/>
  <c r="AW413" i="1"/>
  <c r="BK413" i="1" s="1"/>
  <c r="AX413" i="1"/>
  <c r="AY413" i="1"/>
  <c r="BJ413" i="1"/>
  <c r="BL413" i="1"/>
  <c r="BM413" i="1"/>
  <c r="BN413" i="1"/>
  <c r="BP413" i="1"/>
  <c r="AM414" i="1"/>
  <c r="AN414" i="1" s="1"/>
  <c r="AO414" i="1"/>
  <c r="AP414" i="1" s="1"/>
  <c r="AV414" i="1"/>
  <c r="AW414" i="1"/>
  <c r="BK414" i="1" s="1"/>
  <c r="AX414" i="1"/>
  <c r="AY414" i="1"/>
  <c r="BJ414" i="1"/>
  <c r="BL414" i="1"/>
  <c r="BM414" i="1"/>
  <c r="BN414" i="1"/>
  <c r="BP414" i="1"/>
  <c r="AM415" i="1"/>
  <c r="AN415" i="1" s="1"/>
  <c r="AO415" i="1"/>
  <c r="AV415" i="1"/>
  <c r="AW415" i="1"/>
  <c r="BK415" i="1" s="1"/>
  <c r="AX415" i="1"/>
  <c r="AY415" i="1"/>
  <c r="BJ415" i="1"/>
  <c r="BL415" i="1"/>
  <c r="BM415" i="1"/>
  <c r="BN415" i="1"/>
  <c r="BP415" i="1"/>
  <c r="AM416" i="1"/>
  <c r="AN416" i="1" s="1"/>
  <c r="AO416" i="1"/>
  <c r="BG416" i="1" s="1"/>
  <c r="AV416" i="1"/>
  <c r="AW416" i="1"/>
  <c r="AX416" i="1"/>
  <c r="AY416" i="1"/>
  <c r="BJ416" i="1"/>
  <c r="BL416" i="1"/>
  <c r="BM416" i="1"/>
  <c r="BN416" i="1"/>
  <c r="BP416" i="1"/>
  <c r="AM417" i="1"/>
  <c r="AN417" i="1" s="1"/>
  <c r="AO417" i="1"/>
  <c r="BF417" i="1" s="1"/>
  <c r="AV417" i="1"/>
  <c r="AW417" i="1"/>
  <c r="BK417" i="1" s="1"/>
  <c r="AX417" i="1"/>
  <c r="AY417" i="1"/>
  <c r="BJ417" i="1"/>
  <c r="BL417" i="1"/>
  <c r="BM417" i="1"/>
  <c r="BN417" i="1"/>
  <c r="BP417" i="1"/>
  <c r="AM418" i="1"/>
  <c r="AN418" i="1" s="1"/>
  <c r="AO418" i="1"/>
  <c r="AP418" i="1" s="1"/>
  <c r="AV418" i="1"/>
  <c r="AW418" i="1"/>
  <c r="BK418" i="1" s="1"/>
  <c r="AX418" i="1"/>
  <c r="AY418" i="1"/>
  <c r="BJ418" i="1"/>
  <c r="BL418" i="1"/>
  <c r="BM418" i="1"/>
  <c r="BN418" i="1"/>
  <c r="BP418" i="1"/>
  <c r="AM419" i="1"/>
  <c r="AN419" i="1" s="1"/>
  <c r="AO419" i="1"/>
  <c r="AV419" i="1"/>
  <c r="AW419" i="1"/>
  <c r="X419" i="1" s="1"/>
  <c r="AX419" i="1"/>
  <c r="AY419" i="1"/>
  <c r="BJ419" i="1"/>
  <c r="BL419" i="1"/>
  <c r="BM419" i="1"/>
  <c r="BN419" i="1"/>
  <c r="BP419" i="1"/>
  <c r="AM420" i="1"/>
  <c r="AN420" i="1" s="1"/>
  <c r="AO420" i="1"/>
  <c r="BG420" i="1" s="1"/>
  <c r="AV420" i="1"/>
  <c r="AW420" i="1"/>
  <c r="AX420" i="1"/>
  <c r="AY420" i="1"/>
  <c r="BJ420" i="1"/>
  <c r="BL420" i="1"/>
  <c r="BM420" i="1"/>
  <c r="BN420" i="1"/>
  <c r="BP420" i="1"/>
  <c r="AM421" i="1"/>
  <c r="AN421" i="1" s="1"/>
  <c r="AO421" i="1"/>
  <c r="BF421" i="1" s="1"/>
  <c r="AV421" i="1"/>
  <c r="AW421" i="1"/>
  <c r="BK421" i="1" s="1"/>
  <c r="AX421" i="1"/>
  <c r="AY421" i="1"/>
  <c r="BJ421" i="1"/>
  <c r="BL421" i="1"/>
  <c r="BM421" i="1"/>
  <c r="BN421" i="1"/>
  <c r="BP421" i="1"/>
  <c r="AM422" i="1"/>
  <c r="AN422" i="1" s="1"/>
  <c r="AO422" i="1"/>
  <c r="AP422" i="1" s="1"/>
  <c r="AV422" i="1"/>
  <c r="AW422" i="1"/>
  <c r="AX422" i="1"/>
  <c r="AY422" i="1"/>
  <c r="BJ422" i="1"/>
  <c r="BL422" i="1"/>
  <c r="BM422" i="1"/>
  <c r="BN422" i="1"/>
  <c r="BP422" i="1"/>
  <c r="AM423" i="1"/>
  <c r="AN423" i="1" s="1"/>
  <c r="AO423" i="1"/>
  <c r="AV423" i="1"/>
  <c r="AW423" i="1"/>
  <c r="AX423" i="1"/>
  <c r="AY423" i="1"/>
  <c r="BJ423" i="1"/>
  <c r="BL423" i="1"/>
  <c r="BM423" i="1"/>
  <c r="BN423" i="1"/>
  <c r="BP423" i="1"/>
  <c r="AM424" i="1"/>
  <c r="AN424" i="1" s="1"/>
  <c r="AO424" i="1"/>
  <c r="BG424" i="1" s="1"/>
  <c r="AV424" i="1"/>
  <c r="AW424" i="1"/>
  <c r="W424" i="1" s="1"/>
  <c r="AX424" i="1"/>
  <c r="AY424" i="1"/>
  <c r="BJ424" i="1"/>
  <c r="BL424" i="1"/>
  <c r="BM424" i="1"/>
  <c r="BN424" i="1"/>
  <c r="BP424" i="1"/>
  <c r="AM425" i="1"/>
  <c r="AN425" i="1" s="1"/>
  <c r="AO425" i="1"/>
  <c r="BF425" i="1" s="1"/>
  <c r="AV425" i="1"/>
  <c r="AW425" i="1"/>
  <c r="BK425" i="1" s="1"/>
  <c r="AX425" i="1"/>
  <c r="AY425" i="1"/>
  <c r="BJ425" i="1"/>
  <c r="BL425" i="1"/>
  <c r="BM425" i="1"/>
  <c r="BN425" i="1"/>
  <c r="BP425" i="1"/>
  <c r="AM426" i="1"/>
  <c r="AN426" i="1" s="1"/>
  <c r="AO426" i="1"/>
  <c r="AP426" i="1" s="1"/>
  <c r="AV426" i="1"/>
  <c r="AW426" i="1"/>
  <c r="AX426" i="1"/>
  <c r="AY426" i="1"/>
  <c r="BJ426" i="1"/>
  <c r="BL426" i="1"/>
  <c r="BM426" i="1"/>
  <c r="BN426" i="1"/>
  <c r="BP426" i="1"/>
  <c r="AM427" i="1"/>
  <c r="AN427" i="1" s="1"/>
  <c r="AO427" i="1"/>
  <c r="AP427" i="1" s="1"/>
  <c r="AV427" i="1"/>
  <c r="AW427" i="1"/>
  <c r="AX427" i="1"/>
  <c r="AY427" i="1"/>
  <c r="BJ427" i="1"/>
  <c r="BL427" i="1"/>
  <c r="BM427" i="1"/>
  <c r="BN427" i="1"/>
  <c r="BP427" i="1"/>
  <c r="AM428" i="1"/>
  <c r="AN428" i="1" s="1"/>
  <c r="AO428" i="1"/>
  <c r="BG428" i="1" s="1"/>
  <c r="AV428" i="1"/>
  <c r="AW428" i="1"/>
  <c r="AX428" i="1"/>
  <c r="AY428" i="1"/>
  <c r="BJ428" i="1"/>
  <c r="BL428" i="1"/>
  <c r="BM428" i="1"/>
  <c r="BN428" i="1"/>
  <c r="BP428" i="1"/>
  <c r="AM429" i="1"/>
  <c r="AN429" i="1" s="1"/>
  <c r="AO429" i="1"/>
  <c r="BF429" i="1" s="1"/>
  <c r="AV429" i="1"/>
  <c r="AW429" i="1"/>
  <c r="BK429" i="1" s="1"/>
  <c r="AX429" i="1"/>
  <c r="AY429" i="1"/>
  <c r="BJ429" i="1"/>
  <c r="BL429" i="1"/>
  <c r="BM429" i="1"/>
  <c r="BN429" i="1"/>
  <c r="BP429" i="1"/>
  <c r="AM430" i="1"/>
  <c r="AN430" i="1" s="1"/>
  <c r="AO430" i="1"/>
  <c r="AP430" i="1" s="1"/>
  <c r="AV430" i="1"/>
  <c r="AW430" i="1"/>
  <c r="BK430" i="1" s="1"/>
  <c r="AX430" i="1"/>
  <c r="AY430" i="1"/>
  <c r="BJ430" i="1"/>
  <c r="BL430" i="1"/>
  <c r="BM430" i="1"/>
  <c r="BN430" i="1"/>
  <c r="BP430" i="1"/>
  <c r="AM431" i="1"/>
  <c r="AN431" i="1" s="1"/>
  <c r="AO431" i="1"/>
  <c r="AP431" i="1" s="1"/>
  <c r="AV431" i="1"/>
  <c r="AW431" i="1"/>
  <c r="BK431" i="1" s="1"/>
  <c r="AX431" i="1"/>
  <c r="AY431" i="1"/>
  <c r="BJ431" i="1"/>
  <c r="BL431" i="1"/>
  <c r="BM431" i="1"/>
  <c r="BN431" i="1"/>
  <c r="BP431" i="1"/>
  <c r="AM432" i="1"/>
  <c r="AN432" i="1" s="1"/>
  <c r="AO432" i="1"/>
  <c r="AP432" i="1" s="1"/>
  <c r="AV432" i="1"/>
  <c r="AW432" i="1"/>
  <c r="AX432" i="1"/>
  <c r="AY432" i="1"/>
  <c r="BJ432" i="1"/>
  <c r="BL432" i="1"/>
  <c r="BM432" i="1"/>
  <c r="BN432" i="1"/>
  <c r="BP432" i="1"/>
  <c r="AM433" i="1"/>
  <c r="AN433" i="1" s="1"/>
  <c r="AO433" i="1"/>
  <c r="BF433" i="1" s="1"/>
  <c r="AV433" i="1"/>
  <c r="AW433" i="1"/>
  <c r="W433" i="1" s="1"/>
  <c r="AX433" i="1"/>
  <c r="AY433" i="1"/>
  <c r="BJ433" i="1"/>
  <c r="BL433" i="1"/>
  <c r="BM433" i="1"/>
  <c r="BN433" i="1"/>
  <c r="BP433" i="1"/>
  <c r="AM434" i="1"/>
  <c r="AN434" i="1" s="1"/>
  <c r="AO434" i="1"/>
  <c r="AP434" i="1" s="1"/>
  <c r="AV434" i="1"/>
  <c r="AW434" i="1"/>
  <c r="BK434" i="1" s="1"/>
  <c r="AX434" i="1"/>
  <c r="AY434" i="1"/>
  <c r="BJ434" i="1"/>
  <c r="BL434" i="1"/>
  <c r="BM434" i="1"/>
  <c r="BN434" i="1"/>
  <c r="BP434" i="1"/>
  <c r="AM435" i="1"/>
  <c r="AN435" i="1" s="1"/>
  <c r="AO435" i="1"/>
  <c r="AP435" i="1" s="1"/>
  <c r="AV435" i="1"/>
  <c r="AW435" i="1"/>
  <c r="X435" i="1" s="1"/>
  <c r="AX435" i="1"/>
  <c r="AY435" i="1"/>
  <c r="BJ435" i="1"/>
  <c r="BL435" i="1"/>
  <c r="BM435" i="1"/>
  <c r="BN435" i="1"/>
  <c r="BP435" i="1"/>
  <c r="AM436" i="1"/>
  <c r="AN436" i="1" s="1"/>
  <c r="AO436" i="1"/>
  <c r="BG436" i="1" s="1"/>
  <c r="AV436" i="1"/>
  <c r="AW436" i="1"/>
  <c r="AX436" i="1"/>
  <c r="AY436" i="1"/>
  <c r="BJ436" i="1"/>
  <c r="BL436" i="1"/>
  <c r="BM436" i="1"/>
  <c r="BN436" i="1"/>
  <c r="BP436" i="1"/>
  <c r="AM437" i="1"/>
  <c r="AN437" i="1" s="1"/>
  <c r="AO437" i="1"/>
  <c r="BF437" i="1" s="1"/>
  <c r="AV437" i="1"/>
  <c r="AW437" i="1"/>
  <c r="BK437" i="1" s="1"/>
  <c r="AX437" i="1"/>
  <c r="AY437" i="1"/>
  <c r="BJ437" i="1"/>
  <c r="BL437" i="1"/>
  <c r="BM437" i="1"/>
  <c r="BN437" i="1"/>
  <c r="BP437" i="1"/>
  <c r="AM438" i="1"/>
  <c r="AN438" i="1" s="1"/>
  <c r="AO438" i="1"/>
  <c r="AP438" i="1" s="1"/>
  <c r="AV438" i="1"/>
  <c r="AW438" i="1"/>
  <c r="AX438" i="1"/>
  <c r="AY438" i="1"/>
  <c r="BJ438" i="1"/>
  <c r="BL438" i="1"/>
  <c r="BM438" i="1"/>
  <c r="BN438" i="1"/>
  <c r="BP438" i="1"/>
  <c r="AM439" i="1"/>
  <c r="AN439" i="1" s="1"/>
  <c r="AO439" i="1"/>
  <c r="AP439" i="1" s="1"/>
  <c r="AV439" i="1"/>
  <c r="AW439" i="1"/>
  <c r="AX439" i="1"/>
  <c r="AY439" i="1"/>
  <c r="BJ439" i="1"/>
  <c r="BL439" i="1"/>
  <c r="BM439" i="1"/>
  <c r="BN439" i="1"/>
  <c r="BP439" i="1"/>
  <c r="AM440" i="1"/>
  <c r="AN440" i="1" s="1"/>
  <c r="AO440" i="1"/>
  <c r="BG440" i="1" s="1"/>
  <c r="AV440" i="1"/>
  <c r="AW440" i="1"/>
  <c r="X440" i="1" s="1"/>
  <c r="AX440" i="1"/>
  <c r="AY440" i="1"/>
  <c r="BJ440" i="1"/>
  <c r="BL440" i="1"/>
  <c r="BM440" i="1"/>
  <c r="BN440" i="1"/>
  <c r="BP440" i="1"/>
  <c r="AM441" i="1"/>
  <c r="AN441" i="1" s="1"/>
  <c r="AO441" i="1"/>
  <c r="BF441" i="1" s="1"/>
  <c r="AV441" i="1"/>
  <c r="AW441" i="1"/>
  <c r="BK441" i="1" s="1"/>
  <c r="AX441" i="1"/>
  <c r="AY441" i="1"/>
  <c r="BJ441" i="1"/>
  <c r="BL441" i="1"/>
  <c r="BM441" i="1"/>
  <c r="BN441" i="1"/>
  <c r="BP441" i="1"/>
  <c r="AM442" i="1"/>
  <c r="AN442" i="1" s="1"/>
  <c r="AO442" i="1"/>
  <c r="AP442" i="1" s="1"/>
  <c r="AV442" i="1"/>
  <c r="AW442" i="1"/>
  <c r="AX442" i="1"/>
  <c r="AY442" i="1"/>
  <c r="BJ442" i="1"/>
  <c r="BL442" i="1"/>
  <c r="BM442" i="1"/>
  <c r="BN442" i="1"/>
  <c r="BP442" i="1"/>
  <c r="AM443" i="1"/>
  <c r="AN443" i="1" s="1"/>
  <c r="AO443" i="1"/>
  <c r="AP443" i="1" s="1"/>
  <c r="AV443" i="1"/>
  <c r="AW443" i="1"/>
  <c r="AX443" i="1"/>
  <c r="AY443" i="1"/>
  <c r="BJ443" i="1"/>
  <c r="BL443" i="1"/>
  <c r="BM443" i="1"/>
  <c r="BN443" i="1"/>
  <c r="BP443" i="1"/>
  <c r="AM444" i="1"/>
  <c r="AN444" i="1" s="1"/>
  <c r="AO444" i="1"/>
  <c r="AP444" i="1" s="1"/>
  <c r="AV444" i="1"/>
  <c r="AW444" i="1"/>
  <c r="AX444" i="1"/>
  <c r="AY444" i="1"/>
  <c r="BJ444" i="1"/>
  <c r="BL444" i="1"/>
  <c r="BM444" i="1"/>
  <c r="BN444" i="1"/>
  <c r="BP444" i="1"/>
  <c r="AM445" i="1"/>
  <c r="AN445" i="1" s="1"/>
  <c r="AO445" i="1"/>
  <c r="BF445" i="1" s="1"/>
  <c r="AV445" i="1"/>
  <c r="AW445" i="1"/>
  <c r="BK445" i="1" s="1"/>
  <c r="AX445" i="1"/>
  <c r="AY445" i="1"/>
  <c r="BJ445" i="1"/>
  <c r="BL445" i="1"/>
  <c r="BM445" i="1"/>
  <c r="BN445" i="1"/>
  <c r="BP445" i="1"/>
  <c r="AM446" i="1"/>
  <c r="AN446" i="1" s="1"/>
  <c r="AO446" i="1"/>
  <c r="BH446" i="1" s="1"/>
  <c r="AV446" i="1"/>
  <c r="AW446" i="1"/>
  <c r="BK446" i="1" s="1"/>
  <c r="AX446" i="1"/>
  <c r="AY446" i="1"/>
  <c r="BJ446" i="1"/>
  <c r="BL446" i="1"/>
  <c r="BM446" i="1"/>
  <c r="BN446" i="1"/>
  <c r="BP446" i="1"/>
  <c r="AM447" i="1"/>
  <c r="AN447" i="1" s="1"/>
  <c r="AO447" i="1"/>
  <c r="BH447" i="1" s="1"/>
  <c r="AV447" i="1"/>
  <c r="AW447" i="1"/>
  <c r="W447" i="1" s="1"/>
  <c r="AX447" i="1"/>
  <c r="AY447" i="1"/>
  <c r="BJ447" i="1"/>
  <c r="BL447" i="1"/>
  <c r="BM447" i="1"/>
  <c r="BN447" i="1"/>
  <c r="BP447" i="1"/>
  <c r="AM448" i="1"/>
  <c r="AN448" i="1" s="1"/>
  <c r="AO448" i="1"/>
  <c r="BH448" i="1" s="1"/>
  <c r="AV448" i="1"/>
  <c r="AW448" i="1"/>
  <c r="AX448" i="1"/>
  <c r="AY448" i="1"/>
  <c r="BJ448" i="1"/>
  <c r="BL448" i="1"/>
  <c r="BM448" i="1"/>
  <c r="BN448" i="1"/>
  <c r="BP448" i="1"/>
  <c r="AM449" i="1"/>
  <c r="AN449" i="1" s="1"/>
  <c r="AO449" i="1"/>
  <c r="BH449" i="1" s="1"/>
  <c r="AV449" i="1"/>
  <c r="AW449" i="1"/>
  <c r="BK449" i="1" s="1"/>
  <c r="AX449" i="1"/>
  <c r="AY449" i="1"/>
  <c r="BJ449" i="1"/>
  <c r="BL449" i="1"/>
  <c r="BM449" i="1"/>
  <c r="BN449" i="1"/>
  <c r="BP449" i="1"/>
  <c r="AM450" i="1"/>
  <c r="AN450" i="1" s="1"/>
  <c r="AO450" i="1"/>
  <c r="BH450" i="1" s="1"/>
  <c r="AV450" i="1"/>
  <c r="AW450" i="1"/>
  <c r="BK450" i="1" s="1"/>
  <c r="AX450" i="1"/>
  <c r="AY450" i="1"/>
  <c r="BJ450" i="1"/>
  <c r="BL450" i="1"/>
  <c r="BM450" i="1"/>
  <c r="BN450" i="1"/>
  <c r="BP450" i="1"/>
  <c r="AM451" i="1"/>
  <c r="AN451" i="1" s="1"/>
  <c r="AO451" i="1"/>
  <c r="BH451" i="1" s="1"/>
  <c r="AV451" i="1"/>
  <c r="AW451" i="1"/>
  <c r="AX451" i="1"/>
  <c r="AY451" i="1"/>
  <c r="BJ451" i="1"/>
  <c r="BL451" i="1"/>
  <c r="BM451" i="1"/>
  <c r="BN451" i="1"/>
  <c r="BP451" i="1"/>
  <c r="AM452" i="1"/>
  <c r="AN452" i="1" s="1"/>
  <c r="AO452" i="1"/>
  <c r="BH452" i="1" s="1"/>
  <c r="AV452" i="1"/>
  <c r="AW452" i="1"/>
  <c r="X452" i="1" s="1"/>
  <c r="AX452" i="1"/>
  <c r="AY452" i="1"/>
  <c r="BJ452" i="1"/>
  <c r="BL452" i="1"/>
  <c r="BM452" i="1"/>
  <c r="BN452" i="1"/>
  <c r="BP452" i="1"/>
  <c r="AM453" i="1"/>
  <c r="AN453" i="1" s="1"/>
  <c r="AO453" i="1"/>
  <c r="AV453" i="1"/>
  <c r="AW453" i="1"/>
  <c r="BK453" i="1" s="1"/>
  <c r="AX453" i="1"/>
  <c r="AY453" i="1"/>
  <c r="BJ453" i="1"/>
  <c r="BL453" i="1"/>
  <c r="BM453" i="1"/>
  <c r="BN453" i="1"/>
  <c r="BP453" i="1"/>
  <c r="AM454" i="1"/>
  <c r="AN454" i="1" s="1"/>
  <c r="AO454" i="1"/>
  <c r="AV454" i="1"/>
  <c r="AW454" i="1"/>
  <c r="BK454" i="1" s="1"/>
  <c r="AX454" i="1"/>
  <c r="AY454" i="1"/>
  <c r="BJ454" i="1"/>
  <c r="BL454" i="1"/>
  <c r="BM454" i="1"/>
  <c r="BN454" i="1"/>
  <c r="BP454" i="1"/>
  <c r="AM455" i="1"/>
  <c r="AN455" i="1" s="1"/>
  <c r="AO455" i="1"/>
  <c r="AV455" i="1"/>
  <c r="AW455" i="1"/>
  <c r="W455" i="1" s="1"/>
  <c r="AX455" i="1"/>
  <c r="AY455" i="1"/>
  <c r="BJ455" i="1"/>
  <c r="BL455" i="1"/>
  <c r="BM455" i="1"/>
  <c r="BN455" i="1"/>
  <c r="BP455" i="1"/>
  <c r="AM456" i="1"/>
  <c r="AN456" i="1" s="1"/>
  <c r="AO456" i="1"/>
  <c r="AV456" i="1"/>
  <c r="AW456" i="1"/>
  <c r="AX456" i="1"/>
  <c r="AY456" i="1"/>
  <c r="BJ456" i="1"/>
  <c r="BL456" i="1"/>
  <c r="BM456" i="1"/>
  <c r="BN456" i="1"/>
  <c r="BP456" i="1"/>
  <c r="AM457" i="1"/>
  <c r="AN457" i="1" s="1"/>
  <c r="AO457" i="1"/>
  <c r="AV457" i="1"/>
  <c r="AW457" i="1"/>
  <c r="BK457" i="1" s="1"/>
  <c r="AX457" i="1"/>
  <c r="AY457" i="1"/>
  <c r="BJ457" i="1"/>
  <c r="BL457" i="1"/>
  <c r="BM457" i="1"/>
  <c r="BN457" i="1"/>
  <c r="BP457" i="1"/>
  <c r="AM458" i="1"/>
  <c r="AN458" i="1" s="1"/>
  <c r="AO458" i="1"/>
  <c r="AV458" i="1"/>
  <c r="AW458" i="1"/>
  <c r="BK458" i="1" s="1"/>
  <c r="AX458" i="1"/>
  <c r="AY458" i="1"/>
  <c r="BJ458" i="1"/>
  <c r="BL458" i="1"/>
  <c r="BM458" i="1"/>
  <c r="BN458" i="1"/>
  <c r="BP458" i="1"/>
  <c r="AM459" i="1"/>
  <c r="AN459" i="1" s="1"/>
  <c r="AO459" i="1"/>
  <c r="AV459" i="1"/>
  <c r="AW459" i="1"/>
  <c r="AX459" i="1"/>
  <c r="AY459" i="1"/>
  <c r="BJ459" i="1"/>
  <c r="BL459" i="1"/>
  <c r="BM459" i="1"/>
  <c r="BN459" i="1"/>
  <c r="BP459" i="1"/>
  <c r="AM460" i="1"/>
  <c r="AN460" i="1" s="1"/>
  <c r="AO460" i="1"/>
  <c r="AV460" i="1"/>
  <c r="AW460" i="1"/>
  <c r="X460" i="1" s="1"/>
  <c r="AX460" i="1"/>
  <c r="AY460" i="1"/>
  <c r="BJ460" i="1"/>
  <c r="BL460" i="1"/>
  <c r="BM460" i="1"/>
  <c r="BN460" i="1"/>
  <c r="BP460" i="1"/>
  <c r="AM461" i="1"/>
  <c r="AN461" i="1" s="1"/>
  <c r="AO461" i="1"/>
  <c r="AV461" i="1"/>
  <c r="AW461" i="1"/>
  <c r="BK461" i="1" s="1"/>
  <c r="AX461" i="1"/>
  <c r="AY461" i="1"/>
  <c r="BJ461" i="1"/>
  <c r="BL461" i="1"/>
  <c r="BM461" i="1"/>
  <c r="BN461" i="1"/>
  <c r="BP461" i="1"/>
  <c r="AM462" i="1"/>
  <c r="AN462" i="1" s="1"/>
  <c r="AO462" i="1"/>
  <c r="AV462" i="1"/>
  <c r="AW462" i="1"/>
  <c r="BK462" i="1" s="1"/>
  <c r="AX462" i="1"/>
  <c r="AY462" i="1"/>
  <c r="BJ462" i="1"/>
  <c r="BL462" i="1"/>
  <c r="BM462" i="1"/>
  <c r="BN462" i="1"/>
  <c r="BP462" i="1"/>
  <c r="AM463" i="1"/>
  <c r="AN463" i="1" s="1"/>
  <c r="AO463" i="1"/>
  <c r="AV463" i="1"/>
  <c r="AW463" i="1"/>
  <c r="W463" i="1" s="1"/>
  <c r="AX463" i="1"/>
  <c r="AY463" i="1"/>
  <c r="BJ463" i="1"/>
  <c r="BL463" i="1"/>
  <c r="BM463" i="1"/>
  <c r="BN463" i="1"/>
  <c r="BP463" i="1"/>
  <c r="AM464" i="1"/>
  <c r="AN464" i="1" s="1"/>
  <c r="AO464" i="1"/>
  <c r="AV464" i="1"/>
  <c r="AW464" i="1"/>
  <c r="AX464" i="1"/>
  <c r="AY464" i="1"/>
  <c r="BJ464" i="1"/>
  <c r="BL464" i="1"/>
  <c r="BM464" i="1"/>
  <c r="BN464" i="1"/>
  <c r="BP464" i="1"/>
  <c r="AM465" i="1"/>
  <c r="AN465" i="1" s="1"/>
  <c r="AO465" i="1"/>
  <c r="AV465" i="1"/>
  <c r="AW465" i="1"/>
  <c r="BK465" i="1" s="1"/>
  <c r="AX465" i="1"/>
  <c r="AY465" i="1"/>
  <c r="BJ465" i="1"/>
  <c r="BL465" i="1"/>
  <c r="BM465" i="1"/>
  <c r="BN465" i="1"/>
  <c r="BP465" i="1"/>
  <c r="AM466" i="1"/>
  <c r="AN466" i="1" s="1"/>
  <c r="AO466" i="1"/>
  <c r="AV466" i="1"/>
  <c r="AW466" i="1"/>
  <c r="BK466" i="1" s="1"/>
  <c r="AX466" i="1"/>
  <c r="AY466" i="1"/>
  <c r="BJ466" i="1"/>
  <c r="BL466" i="1"/>
  <c r="BM466" i="1"/>
  <c r="BN466" i="1"/>
  <c r="BP466" i="1"/>
  <c r="AM467" i="1"/>
  <c r="AN467" i="1" s="1"/>
  <c r="AO467" i="1"/>
  <c r="AV467" i="1"/>
  <c r="AW467" i="1"/>
  <c r="W467" i="1" s="1"/>
  <c r="AX467" i="1"/>
  <c r="AY467" i="1"/>
  <c r="BJ467" i="1"/>
  <c r="BL467" i="1"/>
  <c r="BM467" i="1"/>
  <c r="BN467" i="1"/>
  <c r="BP467" i="1"/>
  <c r="AM468" i="1"/>
  <c r="AN468" i="1" s="1"/>
  <c r="AO468" i="1"/>
  <c r="AV468" i="1"/>
  <c r="AW468" i="1"/>
  <c r="AX468" i="1"/>
  <c r="AY468" i="1"/>
  <c r="BJ468" i="1"/>
  <c r="BL468" i="1"/>
  <c r="BM468" i="1"/>
  <c r="BN468" i="1"/>
  <c r="BP468" i="1"/>
  <c r="AM469" i="1"/>
  <c r="AN469" i="1" s="1"/>
  <c r="AO469" i="1"/>
  <c r="AV469" i="1"/>
  <c r="AW469" i="1"/>
  <c r="BK469" i="1" s="1"/>
  <c r="AX469" i="1"/>
  <c r="AY469" i="1"/>
  <c r="BJ469" i="1"/>
  <c r="BL469" i="1"/>
  <c r="BM469" i="1"/>
  <c r="BN469" i="1"/>
  <c r="BP469" i="1"/>
  <c r="AM470" i="1"/>
  <c r="AN470" i="1" s="1"/>
  <c r="AO470" i="1"/>
  <c r="AV470" i="1"/>
  <c r="AW470" i="1"/>
  <c r="BK470" i="1" s="1"/>
  <c r="AX470" i="1"/>
  <c r="AY470" i="1"/>
  <c r="BJ470" i="1"/>
  <c r="BL470" i="1"/>
  <c r="BM470" i="1"/>
  <c r="BN470" i="1"/>
  <c r="BP470" i="1"/>
  <c r="AM471" i="1"/>
  <c r="AN471" i="1" s="1"/>
  <c r="AO471" i="1"/>
  <c r="AV471" i="1"/>
  <c r="AW471" i="1"/>
  <c r="BK471" i="1" s="1"/>
  <c r="AX471" i="1"/>
  <c r="AY471" i="1"/>
  <c r="BJ471" i="1"/>
  <c r="BL471" i="1"/>
  <c r="BM471" i="1"/>
  <c r="BN471" i="1"/>
  <c r="BP471" i="1"/>
  <c r="AM472" i="1"/>
  <c r="AN472" i="1" s="1"/>
  <c r="AO472" i="1"/>
  <c r="AV472" i="1"/>
  <c r="AW472" i="1"/>
  <c r="W472" i="1" s="1"/>
  <c r="AX472" i="1"/>
  <c r="AY472" i="1"/>
  <c r="BJ472" i="1"/>
  <c r="BL472" i="1"/>
  <c r="BM472" i="1"/>
  <c r="BN472" i="1"/>
  <c r="BP472" i="1"/>
  <c r="AM473" i="1"/>
  <c r="AN473" i="1" s="1"/>
  <c r="AO473" i="1"/>
  <c r="AV473" i="1"/>
  <c r="AW473" i="1"/>
  <c r="BK473" i="1" s="1"/>
  <c r="AX473" i="1"/>
  <c r="AY473" i="1"/>
  <c r="BJ473" i="1"/>
  <c r="BL473" i="1"/>
  <c r="BM473" i="1"/>
  <c r="BN473" i="1"/>
  <c r="BP473" i="1"/>
  <c r="AM474" i="1"/>
  <c r="AN474" i="1" s="1"/>
  <c r="AO474" i="1"/>
  <c r="AV474" i="1"/>
  <c r="AW474" i="1"/>
  <c r="BK474" i="1" s="1"/>
  <c r="AX474" i="1"/>
  <c r="AY474" i="1"/>
  <c r="BJ474" i="1"/>
  <c r="BL474" i="1"/>
  <c r="BM474" i="1"/>
  <c r="BN474" i="1"/>
  <c r="BP474" i="1"/>
  <c r="AM475" i="1"/>
  <c r="AN475" i="1" s="1"/>
  <c r="AO475" i="1"/>
  <c r="AV475" i="1"/>
  <c r="AW475" i="1"/>
  <c r="AX475" i="1"/>
  <c r="AY475" i="1"/>
  <c r="BJ475" i="1"/>
  <c r="BL475" i="1"/>
  <c r="BM475" i="1"/>
  <c r="BN475" i="1"/>
  <c r="BP475" i="1"/>
  <c r="AM476" i="1"/>
  <c r="AN476" i="1" s="1"/>
  <c r="AO476" i="1"/>
  <c r="AV476" i="1"/>
  <c r="AW476" i="1"/>
  <c r="AX476" i="1"/>
  <c r="AY476" i="1"/>
  <c r="BJ476" i="1"/>
  <c r="BL476" i="1"/>
  <c r="BM476" i="1"/>
  <c r="BN476" i="1"/>
  <c r="BP476" i="1"/>
  <c r="AM477" i="1"/>
  <c r="AN477" i="1" s="1"/>
  <c r="AO477" i="1"/>
  <c r="AV477" i="1"/>
  <c r="AW477" i="1"/>
  <c r="BK477" i="1" s="1"/>
  <c r="AX477" i="1"/>
  <c r="AY477" i="1"/>
  <c r="BJ477" i="1"/>
  <c r="BL477" i="1"/>
  <c r="BM477" i="1"/>
  <c r="BN477" i="1"/>
  <c r="BP477" i="1"/>
  <c r="AM478" i="1"/>
  <c r="AN478" i="1" s="1"/>
  <c r="AO478" i="1"/>
  <c r="AV478" i="1"/>
  <c r="AW478" i="1"/>
  <c r="BK478" i="1" s="1"/>
  <c r="AX478" i="1"/>
  <c r="AY478" i="1"/>
  <c r="BJ478" i="1"/>
  <c r="BL478" i="1"/>
  <c r="BM478" i="1"/>
  <c r="BN478" i="1"/>
  <c r="BP478" i="1"/>
  <c r="AM479" i="1"/>
  <c r="AN479" i="1" s="1"/>
  <c r="AO479" i="1"/>
  <c r="AV479" i="1"/>
  <c r="AW479" i="1"/>
  <c r="BK479" i="1" s="1"/>
  <c r="AX479" i="1"/>
  <c r="AY479" i="1"/>
  <c r="BJ479" i="1"/>
  <c r="BL479" i="1"/>
  <c r="BM479" i="1"/>
  <c r="BN479" i="1"/>
  <c r="BP479" i="1"/>
  <c r="AM480" i="1"/>
  <c r="AN480" i="1" s="1"/>
  <c r="AO480" i="1"/>
  <c r="AV480" i="1"/>
  <c r="AW480" i="1"/>
  <c r="AX480" i="1"/>
  <c r="AY480" i="1"/>
  <c r="BJ480" i="1"/>
  <c r="BL480" i="1"/>
  <c r="BM480" i="1"/>
  <c r="BN480" i="1"/>
  <c r="BP480" i="1"/>
  <c r="AM481" i="1"/>
  <c r="AN481" i="1" s="1"/>
  <c r="AO481" i="1"/>
  <c r="AV481" i="1"/>
  <c r="AW481" i="1"/>
  <c r="BK481" i="1" s="1"/>
  <c r="AX481" i="1"/>
  <c r="AY481" i="1"/>
  <c r="BJ481" i="1"/>
  <c r="BL481" i="1"/>
  <c r="BM481" i="1"/>
  <c r="BN481" i="1"/>
  <c r="BP481" i="1"/>
  <c r="AM482" i="1"/>
  <c r="AN482" i="1" s="1"/>
  <c r="AO482" i="1"/>
  <c r="AV482" i="1"/>
  <c r="AW482" i="1"/>
  <c r="BK482" i="1" s="1"/>
  <c r="AX482" i="1"/>
  <c r="AY482" i="1"/>
  <c r="BJ482" i="1"/>
  <c r="BL482" i="1"/>
  <c r="BM482" i="1"/>
  <c r="BN482" i="1"/>
  <c r="BP482" i="1"/>
  <c r="AM483" i="1"/>
  <c r="AN483" i="1" s="1"/>
  <c r="AO483" i="1"/>
  <c r="AV483" i="1"/>
  <c r="AW483" i="1"/>
  <c r="AX483" i="1"/>
  <c r="AY483" i="1"/>
  <c r="BJ483" i="1"/>
  <c r="BL483" i="1"/>
  <c r="BM483" i="1"/>
  <c r="BN483" i="1"/>
  <c r="BP483" i="1"/>
  <c r="AM484" i="1"/>
  <c r="AN484" i="1" s="1"/>
  <c r="AO484" i="1"/>
  <c r="AV484" i="1"/>
  <c r="AW484" i="1"/>
  <c r="W484" i="1" s="1"/>
  <c r="AX484" i="1"/>
  <c r="AY484" i="1"/>
  <c r="BJ484" i="1"/>
  <c r="BL484" i="1"/>
  <c r="BM484" i="1"/>
  <c r="BN484" i="1"/>
  <c r="BP484" i="1"/>
  <c r="AM485" i="1"/>
  <c r="AN485" i="1" s="1"/>
  <c r="AO485" i="1"/>
  <c r="AV485" i="1"/>
  <c r="AW485" i="1"/>
  <c r="BK485" i="1" s="1"/>
  <c r="AX485" i="1"/>
  <c r="AY485" i="1"/>
  <c r="BJ485" i="1"/>
  <c r="BL485" i="1"/>
  <c r="BM485" i="1"/>
  <c r="BN485" i="1"/>
  <c r="BP485" i="1"/>
  <c r="AM486" i="1"/>
  <c r="AN486" i="1" s="1"/>
  <c r="AO486" i="1"/>
  <c r="AV486" i="1"/>
  <c r="AW486" i="1"/>
  <c r="BK486" i="1" s="1"/>
  <c r="AX486" i="1"/>
  <c r="AY486" i="1"/>
  <c r="BJ486" i="1"/>
  <c r="BL486" i="1"/>
  <c r="BM486" i="1"/>
  <c r="BN486" i="1"/>
  <c r="BP486" i="1"/>
  <c r="AM487" i="1"/>
  <c r="AN487" i="1" s="1"/>
  <c r="AO487" i="1"/>
  <c r="AV487" i="1"/>
  <c r="AW487" i="1"/>
  <c r="BK487" i="1" s="1"/>
  <c r="AX487" i="1"/>
  <c r="AY487" i="1"/>
  <c r="BJ487" i="1"/>
  <c r="BL487" i="1"/>
  <c r="BM487" i="1"/>
  <c r="BN487" i="1"/>
  <c r="BP487" i="1"/>
  <c r="AM488" i="1"/>
  <c r="AN488" i="1" s="1"/>
  <c r="AO488" i="1"/>
  <c r="AV488" i="1"/>
  <c r="AW488" i="1"/>
  <c r="W488" i="1" s="1"/>
  <c r="AX488" i="1"/>
  <c r="AY488" i="1"/>
  <c r="BJ488" i="1"/>
  <c r="BL488" i="1"/>
  <c r="BM488" i="1"/>
  <c r="BN488" i="1"/>
  <c r="BP488" i="1"/>
  <c r="AM489" i="1"/>
  <c r="AN489" i="1" s="1"/>
  <c r="AO489" i="1"/>
  <c r="AV489" i="1"/>
  <c r="AW489" i="1"/>
  <c r="BK489" i="1" s="1"/>
  <c r="AX489" i="1"/>
  <c r="AY489" i="1"/>
  <c r="BJ489" i="1"/>
  <c r="BL489" i="1"/>
  <c r="BM489" i="1"/>
  <c r="BN489" i="1"/>
  <c r="BP489" i="1"/>
  <c r="AM490" i="1"/>
  <c r="AN490" i="1" s="1"/>
  <c r="AO490" i="1"/>
  <c r="AV490" i="1"/>
  <c r="AW490" i="1"/>
  <c r="BK490" i="1" s="1"/>
  <c r="AX490" i="1"/>
  <c r="AY490" i="1"/>
  <c r="BJ490" i="1"/>
  <c r="BL490" i="1"/>
  <c r="BM490" i="1"/>
  <c r="BN490" i="1"/>
  <c r="BP490" i="1"/>
  <c r="AM491" i="1"/>
  <c r="AN491" i="1" s="1"/>
  <c r="AO491" i="1"/>
  <c r="AV491" i="1"/>
  <c r="AW491" i="1"/>
  <c r="AX491" i="1"/>
  <c r="AY491" i="1"/>
  <c r="BJ491" i="1"/>
  <c r="BL491" i="1"/>
  <c r="BM491" i="1"/>
  <c r="BN491" i="1"/>
  <c r="BP491" i="1"/>
  <c r="AM492" i="1"/>
  <c r="AN492" i="1" s="1"/>
  <c r="AO492" i="1"/>
  <c r="AV492" i="1"/>
  <c r="AW492" i="1"/>
  <c r="AX492" i="1"/>
  <c r="AY492" i="1"/>
  <c r="BJ492" i="1"/>
  <c r="BL492" i="1"/>
  <c r="BM492" i="1"/>
  <c r="BN492" i="1"/>
  <c r="BP492" i="1"/>
  <c r="AM493" i="1"/>
  <c r="AN493" i="1" s="1"/>
  <c r="AO493" i="1"/>
  <c r="AV493" i="1"/>
  <c r="AW493" i="1"/>
  <c r="BK493" i="1" s="1"/>
  <c r="AX493" i="1"/>
  <c r="AY493" i="1"/>
  <c r="BJ493" i="1"/>
  <c r="BL493" i="1"/>
  <c r="BM493" i="1"/>
  <c r="BN493" i="1"/>
  <c r="BP493" i="1"/>
  <c r="AM494" i="1"/>
  <c r="AN494" i="1" s="1"/>
  <c r="AO494" i="1"/>
  <c r="AV494" i="1"/>
  <c r="AW494" i="1"/>
  <c r="BK494" i="1" s="1"/>
  <c r="AX494" i="1"/>
  <c r="AY494" i="1"/>
  <c r="BJ494" i="1"/>
  <c r="BL494" i="1"/>
  <c r="BM494" i="1"/>
  <c r="BN494" i="1"/>
  <c r="BP494" i="1"/>
  <c r="AM495" i="1"/>
  <c r="AN495" i="1" s="1"/>
  <c r="AO495" i="1"/>
  <c r="AV495" i="1"/>
  <c r="AW495" i="1"/>
  <c r="BK495" i="1" s="1"/>
  <c r="AX495" i="1"/>
  <c r="AY495" i="1"/>
  <c r="BJ495" i="1"/>
  <c r="BL495" i="1"/>
  <c r="BM495" i="1"/>
  <c r="BN495" i="1"/>
  <c r="BP495" i="1"/>
  <c r="AM496" i="1"/>
  <c r="AN496" i="1" s="1"/>
  <c r="AO496" i="1"/>
  <c r="AV496" i="1"/>
  <c r="AW496" i="1"/>
  <c r="AX496" i="1"/>
  <c r="AY496" i="1"/>
  <c r="BJ496" i="1"/>
  <c r="BL496" i="1"/>
  <c r="BM496" i="1"/>
  <c r="BN496" i="1"/>
  <c r="BP496" i="1"/>
  <c r="AM497" i="1"/>
  <c r="AN497" i="1" s="1"/>
  <c r="AO497" i="1"/>
  <c r="AV497" i="1"/>
  <c r="AW497" i="1"/>
  <c r="BK497" i="1" s="1"/>
  <c r="AX497" i="1"/>
  <c r="AY497" i="1"/>
  <c r="BJ497" i="1"/>
  <c r="BL497" i="1"/>
  <c r="BM497" i="1"/>
  <c r="BN497" i="1"/>
  <c r="BP497" i="1"/>
  <c r="AM498" i="1"/>
  <c r="AN498" i="1" s="1"/>
  <c r="AO498" i="1"/>
  <c r="AV498" i="1"/>
  <c r="AW498" i="1"/>
  <c r="BK498" i="1" s="1"/>
  <c r="AX498" i="1"/>
  <c r="AY498" i="1"/>
  <c r="BJ498" i="1"/>
  <c r="BL498" i="1"/>
  <c r="BM498" i="1"/>
  <c r="BN498" i="1"/>
  <c r="BP498" i="1"/>
  <c r="AM499" i="1"/>
  <c r="AN499" i="1" s="1"/>
  <c r="AO499" i="1"/>
  <c r="AV499" i="1"/>
  <c r="AW499" i="1"/>
  <c r="AX499" i="1"/>
  <c r="AY499" i="1"/>
  <c r="BJ499" i="1"/>
  <c r="BL499" i="1"/>
  <c r="BM499" i="1"/>
  <c r="BN499" i="1"/>
  <c r="BP499" i="1"/>
  <c r="AM500" i="1"/>
  <c r="AN500" i="1" s="1"/>
  <c r="AO500" i="1"/>
  <c r="AV500" i="1"/>
  <c r="AW500" i="1"/>
  <c r="W500" i="1" s="1"/>
  <c r="AX500" i="1"/>
  <c r="AY500" i="1"/>
  <c r="BJ500" i="1"/>
  <c r="BL500" i="1"/>
  <c r="BM500" i="1"/>
  <c r="BN500" i="1"/>
  <c r="BP500" i="1"/>
  <c r="AM501" i="1"/>
  <c r="AN501" i="1" s="1"/>
  <c r="AO501" i="1"/>
  <c r="AV501" i="1"/>
  <c r="AW501" i="1"/>
  <c r="BK501" i="1" s="1"/>
  <c r="AX501" i="1"/>
  <c r="AY501" i="1"/>
  <c r="BJ501" i="1"/>
  <c r="BL501" i="1"/>
  <c r="BM501" i="1"/>
  <c r="BN501" i="1"/>
  <c r="BP501" i="1"/>
  <c r="AM502" i="1"/>
  <c r="AN502" i="1" s="1"/>
  <c r="AO502" i="1"/>
  <c r="AV502" i="1"/>
  <c r="AW502" i="1"/>
  <c r="BK502" i="1" s="1"/>
  <c r="AX502" i="1"/>
  <c r="AY502" i="1"/>
  <c r="BJ502" i="1"/>
  <c r="BL502" i="1"/>
  <c r="BM502" i="1"/>
  <c r="BN502" i="1"/>
  <c r="BP502" i="1"/>
  <c r="AM503" i="1"/>
  <c r="AN503" i="1" s="1"/>
  <c r="AO503" i="1"/>
  <c r="AV503" i="1"/>
  <c r="AW503" i="1"/>
  <c r="BK503" i="1" s="1"/>
  <c r="AX503" i="1"/>
  <c r="AY503" i="1"/>
  <c r="BJ503" i="1"/>
  <c r="BL503" i="1"/>
  <c r="BM503" i="1"/>
  <c r="BN503" i="1"/>
  <c r="BP503" i="1"/>
  <c r="AM504" i="1"/>
  <c r="AN504" i="1" s="1"/>
  <c r="AO504" i="1"/>
  <c r="AV504" i="1"/>
  <c r="AW504" i="1"/>
  <c r="W504" i="1" s="1"/>
  <c r="AX504" i="1"/>
  <c r="AY504" i="1"/>
  <c r="BJ504" i="1"/>
  <c r="BL504" i="1"/>
  <c r="BM504" i="1"/>
  <c r="BN504" i="1"/>
  <c r="BP504" i="1"/>
  <c r="AM505" i="1"/>
  <c r="AN505" i="1" s="1"/>
  <c r="AO505" i="1"/>
  <c r="AV505" i="1"/>
  <c r="AW505" i="1"/>
  <c r="BK505" i="1" s="1"/>
  <c r="AX505" i="1"/>
  <c r="AY505" i="1"/>
  <c r="BJ505" i="1"/>
  <c r="BL505" i="1"/>
  <c r="BM505" i="1"/>
  <c r="BN505" i="1"/>
  <c r="BP505" i="1"/>
  <c r="AM506" i="1"/>
  <c r="AN506" i="1" s="1"/>
  <c r="AO506" i="1"/>
  <c r="AV506" i="1"/>
  <c r="AW506" i="1"/>
  <c r="BK506" i="1" s="1"/>
  <c r="AX506" i="1"/>
  <c r="AY506" i="1"/>
  <c r="BJ506" i="1"/>
  <c r="BL506" i="1"/>
  <c r="BM506" i="1"/>
  <c r="BN506" i="1"/>
  <c r="BP506" i="1"/>
  <c r="AM507" i="1"/>
  <c r="AN507" i="1" s="1"/>
  <c r="AO507" i="1"/>
  <c r="AV507" i="1"/>
  <c r="AW507" i="1"/>
  <c r="AX507" i="1"/>
  <c r="AY507" i="1"/>
  <c r="BJ507" i="1"/>
  <c r="BL507" i="1"/>
  <c r="BM507" i="1"/>
  <c r="BN507" i="1"/>
  <c r="BP507" i="1"/>
  <c r="AM508" i="1"/>
  <c r="AN508" i="1" s="1"/>
  <c r="AO508" i="1"/>
  <c r="AV508" i="1"/>
  <c r="AW508" i="1"/>
  <c r="W508" i="1" s="1"/>
  <c r="AX508" i="1"/>
  <c r="AY508" i="1"/>
  <c r="BJ508" i="1"/>
  <c r="BL508" i="1"/>
  <c r="BM508" i="1"/>
  <c r="BN508" i="1"/>
  <c r="BP508" i="1"/>
  <c r="AM509" i="1"/>
  <c r="AN509" i="1" s="1"/>
  <c r="AO509" i="1"/>
  <c r="AV509" i="1"/>
  <c r="AW509" i="1"/>
  <c r="BK509" i="1" s="1"/>
  <c r="AX509" i="1"/>
  <c r="AY509" i="1"/>
  <c r="BJ509" i="1"/>
  <c r="BL509" i="1"/>
  <c r="BM509" i="1"/>
  <c r="BN509" i="1"/>
  <c r="BP509" i="1"/>
  <c r="AM510" i="1"/>
  <c r="AN510" i="1" s="1"/>
  <c r="AO510" i="1"/>
  <c r="AV510" i="1"/>
  <c r="AW510" i="1"/>
  <c r="BK510" i="1" s="1"/>
  <c r="AX510" i="1"/>
  <c r="AY510" i="1"/>
  <c r="BJ510" i="1"/>
  <c r="BL510" i="1"/>
  <c r="BM510" i="1"/>
  <c r="BN510" i="1"/>
  <c r="BP510" i="1"/>
  <c r="AM511" i="1"/>
  <c r="AN511" i="1" s="1"/>
  <c r="AO511" i="1"/>
  <c r="AV511" i="1"/>
  <c r="AW511" i="1"/>
  <c r="BK511" i="1" s="1"/>
  <c r="AX511" i="1"/>
  <c r="AY511" i="1"/>
  <c r="BJ511" i="1"/>
  <c r="BL511" i="1"/>
  <c r="BM511" i="1"/>
  <c r="BN511" i="1"/>
  <c r="BP511" i="1"/>
  <c r="AM512" i="1"/>
  <c r="AN512" i="1" s="1"/>
  <c r="AO512" i="1"/>
  <c r="AV512" i="1"/>
  <c r="AW512" i="1"/>
  <c r="AX512" i="1"/>
  <c r="AY512" i="1"/>
  <c r="BJ512" i="1"/>
  <c r="BL512" i="1"/>
  <c r="BM512" i="1"/>
  <c r="BN512" i="1"/>
  <c r="BP512" i="1"/>
  <c r="AM513" i="1"/>
  <c r="AN513" i="1" s="1"/>
  <c r="AO513" i="1"/>
  <c r="AV513" i="1"/>
  <c r="AW513" i="1"/>
  <c r="BK513" i="1" s="1"/>
  <c r="AX513" i="1"/>
  <c r="AY513" i="1"/>
  <c r="BJ513" i="1"/>
  <c r="BL513" i="1"/>
  <c r="BM513" i="1"/>
  <c r="BN513" i="1"/>
  <c r="BP513" i="1"/>
  <c r="AM514" i="1"/>
  <c r="AN514" i="1" s="1"/>
  <c r="AO514" i="1"/>
  <c r="AV514" i="1"/>
  <c r="AW514" i="1"/>
  <c r="BK514" i="1" s="1"/>
  <c r="AX514" i="1"/>
  <c r="AY514" i="1"/>
  <c r="BJ514" i="1"/>
  <c r="BL514" i="1"/>
  <c r="BM514" i="1"/>
  <c r="BN514" i="1"/>
  <c r="BP514" i="1"/>
  <c r="AM515" i="1"/>
  <c r="AN515" i="1" s="1"/>
  <c r="AO515" i="1"/>
  <c r="AV515" i="1"/>
  <c r="AW515" i="1"/>
  <c r="W515" i="1" s="1"/>
  <c r="AX515" i="1"/>
  <c r="AY515" i="1"/>
  <c r="BJ515" i="1"/>
  <c r="BL515" i="1"/>
  <c r="BM515" i="1"/>
  <c r="BN515" i="1"/>
  <c r="BP515" i="1"/>
  <c r="AM516" i="1"/>
  <c r="AN516" i="1" s="1"/>
  <c r="AO516" i="1"/>
  <c r="AV516" i="1"/>
  <c r="AW516" i="1"/>
  <c r="W516" i="1" s="1"/>
  <c r="AX516" i="1"/>
  <c r="AY516" i="1"/>
  <c r="BJ516" i="1"/>
  <c r="BL516" i="1"/>
  <c r="BM516" i="1"/>
  <c r="BN516" i="1"/>
  <c r="BP516" i="1"/>
  <c r="AM517" i="1"/>
  <c r="AN517" i="1" s="1"/>
  <c r="AO517" i="1"/>
  <c r="AV517" i="1"/>
  <c r="AW517" i="1"/>
  <c r="BK517" i="1" s="1"/>
  <c r="AX517" i="1"/>
  <c r="AY517" i="1"/>
  <c r="BJ517" i="1"/>
  <c r="BL517" i="1"/>
  <c r="BM517" i="1"/>
  <c r="BN517" i="1"/>
  <c r="BP517" i="1"/>
  <c r="AM518" i="1"/>
  <c r="AN518" i="1" s="1"/>
  <c r="AO518" i="1"/>
  <c r="AV518" i="1"/>
  <c r="AW518" i="1"/>
  <c r="BK518" i="1" s="1"/>
  <c r="AX518" i="1"/>
  <c r="AY518" i="1"/>
  <c r="BJ518" i="1"/>
  <c r="BL518" i="1"/>
  <c r="BM518" i="1"/>
  <c r="BN518" i="1"/>
  <c r="BP518" i="1"/>
  <c r="AM519" i="1"/>
  <c r="AN519" i="1" s="1"/>
  <c r="AO519" i="1"/>
  <c r="AV519" i="1"/>
  <c r="AW519" i="1"/>
  <c r="BK519" i="1" s="1"/>
  <c r="AX519" i="1"/>
  <c r="AY519" i="1"/>
  <c r="BJ519" i="1"/>
  <c r="BL519" i="1"/>
  <c r="BM519" i="1"/>
  <c r="BN519" i="1"/>
  <c r="BP519" i="1"/>
  <c r="AM520" i="1"/>
  <c r="AN520" i="1" s="1"/>
  <c r="AO520" i="1"/>
  <c r="AV520" i="1"/>
  <c r="AW520" i="1"/>
  <c r="W520" i="1" s="1"/>
  <c r="AX520" i="1"/>
  <c r="AY520" i="1"/>
  <c r="BJ520" i="1"/>
  <c r="BL520" i="1"/>
  <c r="BM520" i="1"/>
  <c r="BN520" i="1"/>
  <c r="BP520" i="1"/>
  <c r="AM521" i="1"/>
  <c r="AN521" i="1" s="1"/>
  <c r="AO521" i="1"/>
  <c r="AV521" i="1"/>
  <c r="AW521" i="1"/>
  <c r="BK521" i="1" s="1"/>
  <c r="AX521" i="1"/>
  <c r="AY521" i="1"/>
  <c r="BJ521" i="1"/>
  <c r="BL521" i="1"/>
  <c r="BM521" i="1"/>
  <c r="BN521" i="1"/>
  <c r="BP521" i="1"/>
  <c r="AM522" i="1"/>
  <c r="AN522" i="1" s="1"/>
  <c r="AO522" i="1"/>
  <c r="AV522" i="1"/>
  <c r="AW522" i="1"/>
  <c r="BK522" i="1" s="1"/>
  <c r="AX522" i="1"/>
  <c r="AY522" i="1"/>
  <c r="BJ522" i="1"/>
  <c r="BL522" i="1"/>
  <c r="BM522" i="1"/>
  <c r="BN522" i="1"/>
  <c r="BP522" i="1"/>
  <c r="AM523" i="1"/>
  <c r="AN523" i="1" s="1"/>
  <c r="AO523" i="1"/>
  <c r="AV523" i="1"/>
  <c r="AW523" i="1"/>
  <c r="AX523" i="1"/>
  <c r="AY523" i="1"/>
  <c r="BJ523" i="1"/>
  <c r="BL523" i="1"/>
  <c r="BM523" i="1"/>
  <c r="BN523" i="1"/>
  <c r="BP523" i="1"/>
  <c r="AM524" i="1"/>
  <c r="AN524" i="1" s="1"/>
  <c r="AO524" i="1"/>
  <c r="AV524" i="1"/>
  <c r="AW524" i="1"/>
  <c r="AX524" i="1"/>
  <c r="AY524" i="1"/>
  <c r="BJ524" i="1"/>
  <c r="BL524" i="1"/>
  <c r="BM524" i="1"/>
  <c r="BN524" i="1"/>
  <c r="BP524" i="1"/>
  <c r="AM525" i="1"/>
  <c r="AN525" i="1" s="1"/>
  <c r="AO525" i="1"/>
  <c r="AV525" i="1"/>
  <c r="AW525" i="1"/>
  <c r="BK525" i="1" s="1"/>
  <c r="AX525" i="1"/>
  <c r="AY525" i="1"/>
  <c r="BJ525" i="1"/>
  <c r="BL525" i="1"/>
  <c r="BM525" i="1"/>
  <c r="BN525" i="1"/>
  <c r="BP525" i="1"/>
  <c r="AM526" i="1"/>
  <c r="AN526" i="1" s="1"/>
  <c r="AO526" i="1"/>
  <c r="AV526" i="1"/>
  <c r="AW526" i="1"/>
  <c r="BK526" i="1" s="1"/>
  <c r="AX526" i="1"/>
  <c r="AY526" i="1"/>
  <c r="BJ526" i="1"/>
  <c r="BL526" i="1"/>
  <c r="BM526" i="1"/>
  <c r="BN526" i="1"/>
  <c r="BP526" i="1"/>
  <c r="AM527" i="1"/>
  <c r="AN527" i="1" s="1"/>
  <c r="AO527" i="1"/>
  <c r="AV527" i="1"/>
  <c r="AW527" i="1"/>
  <c r="BK527" i="1" s="1"/>
  <c r="AX527" i="1"/>
  <c r="AY527" i="1"/>
  <c r="BJ527" i="1"/>
  <c r="BL527" i="1"/>
  <c r="BM527" i="1"/>
  <c r="BN527" i="1"/>
  <c r="BP527" i="1"/>
  <c r="AM528" i="1"/>
  <c r="AN528" i="1" s="1"/>
  <c r="AO528" i="1"/>
  <c r="AV528" i="1"/>
  <c r="AW528" i="1"/>
  <c r="AX528" i="1"/>
  <c r="AY528" i="1"/>
  <c r="BJ528" i="1"/>
  <c r="BL528" i="1"/>
  <c r="BM528" i="1"/>
  <c r="BN528" i="1"/>
  <c r="BP528" i="1"/>
  <c r="AM529" i="1"/>
  <c r="AN529" i="1" s="1"/>
  <c r="AO529" i="1"/>
  <c r="AV529" i="1"/>
  <c r="AW529" i="1"/>
  <c r="BK529" i="1" s="1"/>
  <c r="AX529" i="1"/>
  <c r="AY529" i="1"/>
  <c r="BJ529" i="1"/>
  <c r="BL529" i="1"/>
  <c r="BM529" i="1"/>
  <c r="BN529" i="1"/>
  <c r="BP529" i="1"/>
  <c r="AM530" i="1"/>
  <c r="AN530" i="1" s="1"/>
  <c r="AO530" i="1"/>
  <c r="AV530" i="1"/>
  <c r="AW530" i="1"/>
  <c r="X530" i="1" s="1"/>
  <c r="AX530" i="1"/>
  <c r="AY530" i="1"/>
  <c r="BJ530" i="1"/>
  <c r="BL530" i="1"/>
  <c r="BM530" i="1"/>
  <c r="BN530" i="1"/>
  <c r="BP530" i="1"/>
  <c r="AM531" i="1"/>
  <c r="AN531" i="1" s="1"/>
  <c r="AO531" i="1"/>
  <c r="AV531" i="1"/>
  <c r="AW531" i="1"/>
  <c r="BK531" i="1" s="1"/>
  <c r="AX531" i="1"/>
  <c r="AY531" i="1"/>
  <c r="BJ531" i="1"/>
  <c r="BL531" i="1"/>
  <c r="BM531" i="1"/>
  <c r="BN531" i="1"/>
  <c r="BP531" i="1"/>
  <c r="AM532" i="1"/>
  <c r="AN532" i="1" s="1"/>
  <c r="AO532" i="1"/>
  <c r="AV532" i="1"/>
  <c r="AW532" i="1"/>
  <c r="W532" i="1" s="1"/>
  <c r="AX532" i="1"/>
  <c r="AY532" i="1"/>
  <c r="BJ532" i="1"/>
  <c r="BL532" i="1"/>
  <c r="BM532" i="1"/>
  <c r="BN532" i="1"/>
  <c r="BP532" i="1"/>
  <c r="AM533" i="1"/>
  <c r="AN533" i="1" s="1"/>
  <c r="AO533" i="1"/>
  <c r="AV533" i="1"/>
  <c r="AW533" i="1"/>
  <c r="BK533" i="1" s="1"/>
  <c r="AX533" i="1"/>
  <c r="AY533" i="1"/>
  <c r="BJ533" i="1"/>
  <c r="BL533" i="1"/>
  <c r="BM533" i="1"/>
  <c r="BN533" i="1"/>
  <c r="BP533" i="1"/>
  <c r="AM534" i="1"/>
  <c r="AN534" i="1" s="1"/>
  <c r="AO534" i="1"/>
  <c r="AV534" i="1"/>
  <c r="AW534" i="1"/>
  <c r="BK534" i="1" s="1"/>
  <c r="AX534" i="1"/>
  <c r="AY534" i="1"/>
  <c r="BJ534" i="1"/>
  <c r="BL534" i="1"/>
  <c r="BM534" i="1"/>
  <c r="BN534" i="1"/>
  <c r="BP534" i="1"/>
  <c r="AM535" i="1"/>
  <c r="AN535" i="1" s="1"/>
  <c r="AO535" i="1"/>
  <c r="AV535" i="1"/>
  <c r="AW535" i="1"/>
  <c r="BK535" i="1" s="1"/>
  <c r="AX535" i="1"/>
  <c r="AY535" i="1"/>
  <c r="BJ535" i="1"/>
  <c r="BL535" i="1"/>
  <c r="BM535" i="1"/>
  <c r="BN535" i="1"/>
  <c r="BP535" i="1"/>
  <c r="AM536" i="1"/>
  <c r="AN536" i="1" s="1"/>
  <c r="AO536" i="1"/>
  <c r="AV536" i="1"/>
  <c r="AW536" i="1"/>
  <c r="W536" i="1" s="1"/>
  <c r="AX536" i="1"/>
  <c r="AY536" i="1"/>
  <c r="BJ536" i="1"/>
  <c r="BL536" i="1"/>
  <c r="BM536" i="1"/>
  <c r="BN536" i="1"/>
  <c r="BP536" i="1"/>
  <c r="AM537" i="1"/>
  <c r="AN537" i="1" s="1"/>
  <c r="AO537" i="1"/>
  <c r="AV537" i="1"/>
  <c r="AW537" i="1"/>
  <c r="BK537" i="1" s="1"/>
  <c r="AX537" i="1"/>
  <c r="AY537" i="1"/>
  <c r="BJ537" i="1"/>
  <c r="BL537" i="1"/>
  <c r="BM537" i="1"/>
  <c r="BN537" i="1"/>
  <c r="BP537" i="1"/>
  <c r="AM538" i="1"/>
  <c r="AN538" i="1" s="1"/>
  <c r="AO538" i="1"/>
  <c r="AV538" i="1"/>
  <c r="AW538" i="1"/>
  <c r="BK538" i="1" s="1"/>
  <c r="AX538" i="1"/>
  <c r="AY538" i="1"/>
  <c r="BJ538" i="1"/>
  <c r="BL538" i="1"/>
  <c r="BM538" i="1"/>
  <c r="BN538" i="1"/>
  <c r="BP538" i="1"/>
  <c r="AM539" i="1"/>
  <c r="AN539" i="1" s="1"/>
  <c r="AO539" i="1"/>
  <c r="AV539" i="1"/>
  <c r="AW539" i="1"/>
  <c r="AX539" i="1"/>
  <c r="AY539" i="1"/>
  <c r="BJ539" i="1"/>
  <c r="BL539" i="1"/>
  <c r="BM539" i="1"/>
  <c r="BN539" i="1"/>
  <c r="BP539" i="1"/>
  <c r="AM540" i="1"/>
  <c r="AN540" i="1" s="1"/>
  <c r="AO540" i="1"/>
  <c r="AV540" i="1"/>
  <c r="AW540" i="1"/>
  <c r="W540" i="1" s="1"/>
  <c r="AX540" i="1"/>
  <c r="AY540" i="1"/>
  <c r="BJ540" i="1"/>
  <c r="BL540" i="1"/>
  <c r="BM540" i="1"/>
  <c r="BN540" i="1"/>
  <c r="BP540" i="1"/>
  <c r="AM541" i="1"/>
  <c r="AN541" i="1" s="1"/>
  <c r="AO541" i="1"/>
  <c r="AV541" i="1"/>
  <c r="AW541" i="1"/>
  <c r="BK541" i="1" s="1"/>
  <c r="AX541" i="1"/>
  <c r="AY541" i="1"/>
  <c r="BJ541" i="1"/>
  <c r="BL541" i="1"/>
  <c r="BM541" i="1"/>
  <c r="BN541" i="1"/>
  <c r="BP541" i="1"/>
  <c r="AM542" i="1"/>
  <c r="AN542" i="1" s="1"/>
  <c r="AO542" i="1"/>
  <c r="AV542" i="1"/>
  <c r="AW542" i="1"/>
  <c r="X542" i="1" s="1"/>
  <c r="AX542" i="1"/>
  <c r="AY542" i="1"/>
  <c r="BJ542" i="1"/>
  <c r="BL542" i="1"/>
  <c r="BM542" i="1"/>
  <c r="BN542" i="1"/>
  <c r="BP542" i="1"/>
  <c r="AM543" i="1"/>
  <c r="AN543" i="1" s="1"/>
  <c r="AO543" i="1"/>
  <c r="AV543" i="1"/>
  <c r="AW543" i="1"/>
  <c r="BK543" i="1" s="1"/>
  <c r="AX543" i="1"/>
  <c r="AY543" i="1"/>
  <c r="BJ543" i="1"/>
  <c r="BL543" i="1"/>
  <c r="BM543" i="1"/>
  <c r="BN543" i="1"/>
  <c r="BP543" i="1"/>
  <c r="AM544" i="1"/>
  <c r="AN544" i="1" s="1"/>
  <c r="AO544" i="1"/>
  <c r="AV544" i="1"/>
  <c r="AW544" i="1"/>
  <c r="AX544" i="1"/>
  <c r="AY544" i="1"/>
  <c r="BJ544" i="1"/>
  <c r="BL544" i="1"/>
  <c r="BM544" i="1"/>
  <c r="BN544" i="1"/>
  <c r="BP544" i="1"/>
  <c r="AM545" i="1"/>
  <c r="AN545" i="1" s="1"/>
  <c r="AO545" i="1"/>
  <c r="AV545" i="1"/>
  <c r="AW545" i="1"/>
  <c r="BK545" i="1" s="1"/>
  <c r="AX545" i="1"/>
  <c r="AY545" i="1"/>
  <c r="BJ545" i="1"/>
  <c r="BL545" i="1"/>
  <c r="BM545" i="1"/>
  <c r="BN545" i="1"/>
  <c r="BP545" i="1"/>
  <c r="AM546" i="1"/>
  <c r="AN546" i="1" s="1"/>
  <c r="AO546" i="1"/>
  <c r="AV546" i="1"/>
  <c r="AW546" i="1"/>
  <c r="BK546" i="1" s="1"/>
  <c r="AX546" i="1"/>
  <c r="AY546" i="1"/>
  <c r="BJ546" i="1"/>
  <c r="BL546" i="1"/>
  <c r="BM546" i="1"/>
  <c r="BN546" i="1"/>
  <c r="BP546" i="1"/>
  <c r="AM547" i="1"/>
  <c r="AN547" i="1" s="1"/>
  <c r="AO547" i="1"/>
  <c r="AV547" i="1"/>
  <c r="AW547" i="1"/>
  <c r="X547" i="1" s="1"/>
  <c r="AX547" i="1"/>
  <c r="AY547" i="1"/>
  <c r="BJ547" i="1"/>
  <c r="BL547" i="1"/>
  <c r="BM547" i="1"/>
  <c r="BN547" i="1"/>
  <c r="BP547" i="1"/>
  <c r="AM548" i="1"/>
  <c r="AN548" i="1" s="1"/>
  <c r="AO548" i="1"/>
  <c r="AV548" i="1"/>
  <c r="AW548" i="1"/>
  <c r="W548" i="1" s="1"/>
  <c r="AX548" i="1"/>
  <c r="AY548" i="1"/>
  <c r="BJ548" i="1"/>
  <c r="BL548" i="1"/>
  <c r="BM548" i="1"/>
  <c r="BN548" i="1"/>
  <c r="BP548" i="1"/>
  <c r="AM549" i="1"/>
  <c r="AN549" i="1" s="1"/>
  <c r="AO549" i="1"/>
  <c r="AV549" i="1"/>
  <c r="AW549" i="1"/>
  <c r="BK549" i="1" s="1"/>
  <c r="AX549" i="1"/>
  <c r="AY549" i="1"/>
  <c r="BJ549" i="1"/>
  <c r="BL549" i="1"/>
  <c r="BM549" i="1"/>
  <c r="BN549" i="1"/>
  <c r="BP549" i="1"/>
  <c r="AM550" i="1"/>
  <c r="AN550" i="1" s="1"/>
  <c r="AO550" i="1"/>
  <c r="AV550" i="1"/>
  <c r="AW550" i="1"/>
  <c r="AX550" i="1"/>
  <c r="AY550" i="1"/>
  <c r="BJ550" i="1"/>
  <c r="BL550" i="1"/>
  <c r="BM550" i="1"/>
  <c r="BN550" i="1"/>
  <c r="BP550" i="1"/>
  <c r="AM551" i="1"/>
  <c r="AN551" i="1" s="1"/>
  <c r="AO551" i="1"/>
  <c r="AV551" i="1"/>
  <c r="AW551" i="1"/>
  <c r="BK551" i="1" s="1"/>
  <c r="AX551" i="1"/>
  <c r="AY551" i="1"/>
  <c r="BJ551" i="1"/>
  <c r="BL551" i="1"/>
  <c r="BM551" i="1"/>
  <c r="BN551" i="1"/>
  <c r="BP551" i="1"/>
  <c r="AM552" i="1"/>
  <c r="AN552" i="1" s="1"/>
  <c r="AO552" i="1"/>
  <c r="AV552" i="1"/>
  <c r="AW552" i="1"/>
  <c r="W552" i="1" s="1"/>
  <c r="AX552" i="1"/>
  <c r="AY552" i="1"/>
  <c r="BJ552" i="1"/>
  <c r="BL552" i="1"/>
  <c r="BM552" i="1"/>
  <c r="BN552" i="1"/>
  <c r="BP552" i="1"/>
  <c r="AM553" i="1"/>
  <c r="AN553" i="1" s="1"/>
  <c r="AO553" i="1"/>
  <c r="AV553" i="1"/>
  <c r="AW553" i="1"/>
  <c r="BK553" i="1" s="1"/>
  <c r="AX553" i="1"/>
  <c r="AY553" i="1"/>
  <c r="BJ553" i="1"/>
  <c r="BL553" i="1"/>
  <c r="BM553" i="1"/>
  <c r="BN553" i="1"/>
  <c r="BP553" i="1"/>
  <c r="AM554" i="1"/>
  <c r="AN554" i="1" s="1"/>
  <c r="AO554" i="1"/>
  <c r="AV554" i="1"/>
  <c r="AW554" i="1"/>
  <c r="BK554" i="1" s="1"/>
  <c r="AX554" i="1"/>
  <c r="AY554" i="1"/>
  <c r="BJ554" i="1"/>
  <c r="BL554" i="1"/>
  <c r="BM554" i="1"/>
  <c r="BN554" i="1"/>
  <c r="BP554" i="1"/>
  <c r="AM555" i="1"/>
  <c r="AN555" i="1" s="1"/>
  <c r="AO555" i="1"/>
  <c r="AV555" i="1"/>
  <c r="AW555" i="1"/>
  <c r="AX555" i="1"/>
  <c r="AY555" i="1"/>
  <c r="BJ555" i="1"/>
  <c r="BL555" i="1"/>
  <c r="BM555" i="1"/>
  <c r="BN555" i="1"/>
  <c r="BP555" i="1"/>
  <c r="AM556" i="1"/>
  <c r="AN556" i="1" s="1"/>
  <c r="AO556" i="1"/>
  <c r="AV556" i="1"/>
  <c r="AW556" i="1"/>
  <c r="AX556" i="1"/>
  <c r="AY556" i="1"/>
  <c r="BJ556" i="1"/>
  <c r="BL556" i="1"/>
  <c r="BM556" i="1"/>
  <c r="BN556" i="1"/>
  <c r="BP556" i="1"/>
  <c r="AM557" i="1"/>
  <c r="AN557" i="1" s="1"/>
  <c r="AO557" i="1"/>
  <c r="AV557" i="1"/>
  <c r="AW557" i="1"/>
  <c r="BK557" i="1" s="1"/>
  <c r="AX557" i="1"/>
  <c r="AY557" i="1"/>
  <c r="BJ557" i="1"/>
  <c r="BL557" i="1"/>
  <c r="BM557" i="1"/>
  <c r="BN557" i="1"/>
  <c r="BP557" i="1"/>
  <c r="AM558" i="1"/>
  <c r="AN558" i="1" s="1"/>
  <c r="AO558" i="1"/>
  <c r="AV558" i="1"/>
  <c r="AW558" i="1"/>
  <c r="X558" i="1" s="1"/>
  <c r="AX558" i="1"/>
  <c r="AY558" i="1"/>
  <c r="BJ558" i="1"/>
  <c r="BL558" i="1"/>
  <c r="BM558" i="1"/>
  <c r="BN558" i="1"/>
  <c r="BP558" i="1"/>
  <c r="AM559" i="1"/>
  <c r="AN559" i="1" s="1"/>
  <c r="AO559" i="1"/>
  <c r="AV559" i="1"/>
  <c r="AW559" i="1"/>
  <c r="BK559" i="1" s="1"/>
  <c r="AX559" i="1"/>
  <c r="AY559" i="1"/>
  <c r="BJ559" i="1"/>
  <c r="BL559" i="1"/>
  <c r="BM559" i="1"/>
  <c r="BN559" i="1"/>
  <c r="BP559" i="1"/>
  <c r="AM560" i="1"/>
  <c r="AN560" i="1" s="1"/>
  <c r="AO560" i="1"/>
  <c r="AV560" i="1"/>
  <c r="AW560" i="1"/>
  <c r="AX560" i="1"/>
  <c r="AY560" i="1"/>
  <c r="BJ560" i="1"/>
  <c r="BL560" i="1"/>
  <c r="BM560" i="1"/>
  <c r="BN560" i="1"/>
  <c r="BP560" i="1"/>
  <c r="AM561" i="1"/>
  <c r="AN561" i="1" s="1"/>
  <c r="AO561" i="1"/>
  <c r="AV561" i="1"/>
  <c r="AW561" i="1"/>
  <c r="BK561" i="1" s="1"/>
  <c r="AX561" i="1"/>
  <c r="AY561" i="1"/>
  <c r="BJ561" i="1"/>
  <c r="BL561" i="1"/>
  <c r="BM561" i="1"/>
  <c r="BN561" i="1"/>
  <c r="BP561" i="1"/>
  <c r="AM562" i="1"/>
  <c r="AN562" i="1" s="1"/>
  <c r="AO562" i="1"/>
  <c r="AV562" i="1"/>
  <c r="AW562" i="1"/>
  <c r="BK562" i="1" s="1"/>
  <c r="AX562" i="1"/>
  <c r="AY562" i="1"/>
  <c r="BJ562" i="1"/>
  <c r="BL562" i="1"/>
  <c r="BM562" i="1"/>
  <c r="BN562" i="1"/>
  <c r="BP562" i="1"/>
  <c r="AM563" i="1"/>
  <c r="AN563" i="1" s="1"/>
  <c r="AO563" i="1"/>
  <c r="AV563" i="1"/>
  <c r="AW563" i="1"/>
  <c r="AX563" i="1"/>
  <c r="AY563" i="1"/>
  <c r="BJ563" i="1"/>
  <c r="BL563" i="1"/>
  <c r="BM563" i="1"/>
  <c r="BN563" i="1"/>
  <c r="BP563" i="1"/>
  <c r="AM564" i="1"/>
  <c r="AN564" i="1" s="1"/>
  <c r="AO564" i="1"/>
  <c r="AV564" i="1"/>
  <c r="AW564" i="1"/>
  <c r="W564" i="1" s="1"/>
  <c r="AX564" i="1"/>
  <c r="AY564" i="1"/>
  <c r="BJ564" i="1"/>
  <c r="BL564" i="1"/>
  <c r="BM564" i="1"/>
  <c r="BN564" i="1"/>
  <c r="BP564" i="1"/>
  <c r="AM565" i="1"/>
  <c r="AN565" i="1" s="1"/>
  <c r="AO565" i="1"/>
  <c r="AV565" i="1"/>
  <c r="AW565" i="1"/>
  <c r="BK565" i="1" s="1"/>
  <c r="AX565" i="1"/>
  <c r="AY565" i="1"/>
  <c r="BJ565" i="1"/>
  <c r="BL565" i="1"/>
  <c r="BM565" i="1"/>
  <c r="BN565" i="1"/>
  <c r="BP565" i="1"/>
  <c r="AM566" i="1"/>
  <c r="AN566" i="1" s="1"/>
  <c r="AO566" i="1"/>
  <c r="AV566" i="1"/>
  <c r="AW566" i="1"/>
  <c r="AX566" i="1"/>
  <c r="AY566" i="1"/>
  <c r="BJ566" i="1"/>
  <c r="BL566" i="1"/>
  <c r="BM566" i="1"/>
  <c r="BN566" i="1"/>
  <c r="BP566" i="1"/>
  <c r="AM567" i="1"/>
  <c r="AN567" i="1" s="1"/>
  <c r="AO567" i="1"/>
  <c r="AV567" i="1"/>
  <c r="AW567" i="1"/>
  <c r="BK567" i="1" s="1"/>
  <c r="AX567" i="1"/>
  <c r="AY567" i="1"/>
  <c r="BJ567" i="1"/>
  <c r="BL567" i="1"/>
  <c r="BM567" i="1"/>
  <c r="BN567" i="1"/>
  <c r="BP567" i="1"/>
  <c r="AM568" i="1"/>
  <c r="AN568" i="1" s="1"/>
  <c r="AO568" i="1"/>
  <c r="AV568" i="1"/>
  <c r="AW568" i="1"/>
  <c r="W568" i="1" s="1"/>
  <c r="AX568" i="1"/>
  <c r="AY568" i="1"/>
  <c r="BJ568" i="1"/>
  <c r="BL568" i="1"/>
  <c r="BM568" i="1"/>
  <c r="BN568" i="1"/>
  <c r="BP568" i="1"/>
  <c r="AM569" i="1"/>
  <c r="AN569" i="1" s="1"/>
  <c r="AO569" i="1"/>
  <c r="AV569" i="1"/>
  <c r="AW569" i="1"/>
  <c r="BK569" i="1" s="1"/>
  <c r="AX569" i="1"/>
  <c r="AY569" i="1"/>
  <c r="BJ569" i="1"/>
  <c r="BL569" i="1"/>
  <c r="BM569" i="1"/>
  <c r="BN569" i="1"/>
  <c r="BP569" i="1"/>
  <c r="AM570" i="1"/>
  <c r="AN570" i="1" s="1"/>
  <c r="AO570" i="1"/>
  <c r="AV570" i="1"/>
  <c r="AW570" i="1"/>
  <c r="BK570" i="1" s="1"/>
  <c r="AX570" i="1"/>
  <c r="AY570" i="1"/>
  <c r="BJ570" i="1"/>
  <c r="BL570" i="1"/>
  <c r="BM570" i="1"/>
  <c r="BN570" i="1"/>
  <c r="BP570" i="1"/>
  <c r="AM571" i="1"/>
  <c r="AN571" i="1" s="1"/>
  <c r="AO571" i="1"/>
  <c r="AV571" i="1"/>
  <c r="AW571" i="1"/>
  <c r="AX571" i="1"/>
  <c r="AY571" i="1"/>
  <c r="BJ571" i="1"/>
  <c r="BL571" i="1"/>
  <c r="BM571" i="1"/>
  <c r="BN571" i="1"/>
  <c r="BP571" i="1"/>
  <c r="AM572" i="1"/>
  <c r="AN572" i="1" s="1"/>
  <c r="AO572" i="1"/>
  <c r="AV572" i="1"/>
  <c r="AW572" i="1"/>
  <c r="W572" i="1" s="1"/>
  <c r="AX572" i="1"/>
  <c r="AY572" i="1"/>
  <c r="BJ572" i="1"/>
  <c r="BL572" i="1"/>
  <c r="BM572" i="1"/>
  <c r="BN572" i="1"/>
  <c r="BP572" i="1"/>
  <c r="AM573" i="1"/>
  <c r="AN573" i="1" s="1"/>
  <c r="AO573" i="1"/>
  <c r="AV573" i="1"/>
  <c r="AW573" i="1"/>
  <c r="BK573" i="1" s="1"/>
  <c r="AX573" i="1"/>
  <c r="AY573" i="1"/>
  <c r="BJ573" i="1"/>
  <c r="BL573" i="1"/>
  <c r="BM573" i="1"/>
  <c r="BN573" i="1"/>
  <c r="BP573" i="1"/>
  <c r="AM574" i="1"/>
  <c r="AN574" i="1" s="1"/>
  <c r="AO574" i="1"/>
  <c r="AV574" i="1"/>
  <c r="AW574" i="1"/>
  <c r="X574" i="1" s="1"/>
  <c r="AX574" i="1"/>
  <c r="AY574" i="1"/>
  <c r="BJ574" i="1"/>
  <c r="BL574" i="1"/>
  <c r="BM574" i="1"/>
  <c r="BN574" i="1"/>
  <c r="BP574" i="1"/>
  <c r="AM575" i="1"/>
  <c r="AN575" i="1" s="1"/>
  <c r="AO575" i="1"/>
  <c r="AV575" i="1"/>
  <c r="AW575" i="1"/>
  <c r="BK575" i="1" s="1"/>
  <c r="AX575" i="1"/>
  <c r="AY575" i="1"/>
  <c r="BJ575" i="1"/>
  <c r="BL575" i="1"/>
  <c r="BM575" i="1"/>
  <c r="BN575" i="1"/>
  <c r="BP575" i="1"/>
  <c r="AM576" i="1"/>
  <c r="AN576" i="1" s="1"/>
  <c r="AO576" i="1"/>
  <c r="AV576" i="1"/>
  <c r="AW576" i="1"/>
  <c r="AX576" i="1"/>
  <c r="AY576" i="1"/>
  <c r="BJ576" i="1"/>
  <c r="BL576" i="1"/>
  <c r="BM576" i="1"/>
  <c r="BN576" i="1"/>
  <c r="BP576" i="1"/>
  <c r="AM577" i="1"/>
  <c r="AN577" i="1" s="1"/>
  <c r="AO577" i="1"/>
  <c r="AV577" i="1"/>
  <c r="AW577" i="1"/>
  <c r="BK577" i="1" s="1"/>
  <c r="AX577" i="1"/>
  <c r="AY577" i="1"/>
  <c r="BJ577" i="1"/>
  <c r="BL577" i="1"/>
  <c r="BM577" i="1"/>
  <c r="BN577" i="1"/>
  <c r="BP577" i="1"/>
  <c r="AM578" i="1"/>
  <c r="AN578" i="1" s="1"/>
  <c r="AO578" i="1"/>
  <c r="AV578" i="1"/>
  <c r="AW578" i="1"/>
  <c r="BK578" i="1" s="1"/>
  <c r="AX578" i="1"/>
  <c r="AY578" i="1"/>
  <c r="BJ578" i="1"/>
  <c r="BL578" i="1"/>
  <c r="BM578" i="1"/>
  <c r="BN578" i="1"/>
  <c r="BP578" i="1"/>
  <c r="AM579" i="1"/>
  <c r="AN579" i="1" s="1"/>
  <c r="AO579" i="1"/>
  <c r="AV579" i="1"/>
  <c r="AW579" i="1"/>
  <c r="AX579" i="1"/>
  <c r="AY579" i="1"/>
  <c r="BJ579" i="1"/>
  <c r="BL579" i="1"/>
  <c r="BM579" i="1"/>
  <c r="BN579" i="1"/>
  <c r="BP579" i="1"/>
  <c r="AM580" i="1"/>
  <c r="AN580" i="1" s="1"/>
  <c r="AO580" i="1"/>
  <c r="AV580" i="1"/>
  <c r="AW580" i="1"/>
  <c r="W580" i="1" s="1"/>
  <c r="AX580" i="1"/>
  <c r="AY580" i="1"/>
  <c r="BJ580" i="1"/>
  <c r="BL580" i="1"/>
  <c r="BM580" i="1"/>
  <c r="BN580" i="1"/>
  <c r="BP580" i="1"/>
  <c r="AM581" i="1"/>
  <c r="AN581" i="1" s="1"/>
  <c r="AO581" i="1"/>
  <c r="AV581" i="1"/>
  <c r="AW581" i="1"/>
  <c r="BK581" i="1" s="1"/>
  <c r="AX581" i="1"/>
  <c r="AY581" i="1"/>
  <c r="BJ581" i="1"/>
  <c r="BL581" i="1"/>
  <c r="BM581" i="1"/>
  <c r="BN581" i="1"/>
  <c r="BP581" i="1"/>
  <c r="AM582" i="1"/>
  <c r="AN582" i="1" s="1"/>
  <c r="AO582" i="1"/>
  <c r="AV582" i="1"/>
  <c r="AW582" i="1"/>
  <c r="AX582" i="1"/>
  <c r="AY582" i="1"/>
  <c r="BJ582" i="1"/>
  <c r="BL582" i="1"/>
  <c r="BM582" i="1"/>
  <c r="BN582" i="1"/>
  <c r="BP582" i="1"/>
  <c r="AM583" i="1"/>
  <c r="AN583" i="1" s="1"/>
  <c r="AO583" i="1"/>
  <c r="AV583" i="1"/>
  <c r="AW583" i="1"/>
  <c r="BK583" i="1" s="1"/>
  <c r="AX583" i="1"/>
  <c r="AY583" i="1"/>
  <c r="BJ583" i="1"/>
  <c r="BL583" i="1"/>
  <c r="BM583" i="1"/>
  <c r="BN583" i="1"/>
  <c r="BP583" i="1"/>
  <c r="AM584" i="1"/>
  <c r="AN584" i="1" s="1"/>
  <c r="AO584" i="1"/>
  <c r="AV584" i="1"/>
  <c r="AW584" i="1"/>
  <c r="W584" i="1" s="1"/>
  <c r="AX584" i="1"/>
  <c r="AY584" i="1"/>
  <c r="BJ584" i="1"/>
  <c r="BL584" i="1"/>
  <c r="BM584" i="1"/>
  <c r="BN584" i="1"/>
  <c r="BP584" i="1"/>
  <c r="AM585" i="1"/>
  <c r="AN585" i="1" s="1"/>
  <c r="AO585" i="1"/>
  <c r="AV585" i="1"/>
  <c r="AW585" i="1"/>
  <c r="BK585" i="1" s="1"/>
  <c r="AX585" i="1"/>
  <c r="AY585" i="1"/>
  <c r="BJ585" i="1"/>
  <c r="BL585" i="1"/>
  <c r="BM585" i="1"/>
  <c r="BN585" i="1"/>
  <c r="BP585" i="1"/>
  <c r="AM586" i="1"/>
  <c r="AN586" i="1" s="1"/>
  <c r="AO586" i="1"/>
  <c r="AV586" i="1"/>
  <c r="AW586" i="1"/>
  <c r="BK586" i="1" s="1"/>
  <c r="AX586" i="1"/>
  <c r="AY586" i="1"/>
  <c r="BJ586" i="1"/>
  <c r="BL586" i="1"/>
  <c r="BM586" i="1"/>
  <c r="BN586" i="1"/>
  <c r="BP586" i="1"/>
  <c r="AM587" i="1"/>
  <c r="AN587" i="1" s="1"/>
  <c r="AO587" i="1"/>
  <c r="AV587" i="1"/>
  <c r="AW587" i="1"/>
  <c r="AX587" i="1"/>
  <c r="AY587" i="1"/>
  <c r="BJ587" i="1"/>
  <c r="BL587" i="1"/>
  <c r="BM587" i="1"/>
  <c r="BN587" i="1"/>
  <c r="BP587" i="1"/>
  <c r="AM588" i="1"/>
  <c r="AN588" i="1" s="1"/>
  <c r="AO588" i="1"/>
  <c r="AV588" i="1"/>
  <c r="AW588" i="1"/>
  <c r="AX588" i="1"/>
  <c r="AY588" i="1"/>
  <c r="BJ588" i="1"/>
  <c r="BL588" i="1"/>
  <c r="BM588" i="1"/>
  <c r="BN588" i="1"/>
  <c r="BP588" i="1"/>
  <c r="AM589" i="1"/>
  <c r="AN589" i="1" s="1"/>
  <c r="AO589" i="1"/>
  <c r="AV589" i="1"/>
  <c r="AW589" i="1"/>
  <c r="BK589" i="1" s="1"/>
  <c r="AX589" i="1"/>
  <c r="AY589" i="1"/>
  <c r="BJ589" i="1"/>
  <c r="BL589" i="1"/>
  <c r="BM589" i="1"/>
  <c r="BN589" i="1"/>
  <c r="BP589" i="1"/>
  <c r="AM590" i="1"/>
  <c r="AN590" i="1" s="1"/>
  <c r="AO590" i="1"/>
  <c r="AV590" i="1"/>
  <c r="AW590" i="1"/>
  <c r="X590" i="1" s="1"/>
  <c r="AX590" i="1"/>
  <c r="AY590" i="1"/>
  <c r="BJ590" i="1"/>
  <c r="BL590" i="1"/>
  <c r="BM590" i="1"/>
  <c r="BN590" i="1"/>
  <c r="BP590" i="1"/>
  <c r="AM591" i="1"/>
  <c r="AN591" i="1" s="1"/>
  <c r="AO591" i="1"/>
  <c r="AV591" i="1"/>
  <c r="AW591" i="1"/>
  <c r="BK591" i="1" s="1"/>
  <c r="AX591" i="1"/>
  <c r="AY591" i="1"/>
  <c r="BJ591" i="1"/>
  <c r="BL591" i="1"/>
  <c r="BM591" i="1"/>
  <c r="BN591" i="1"/>
  <c r="BP591" i="1"/>
  <c r="AM592" i="1"/>
  <c r="AN592" i="1" s="1"/>
  <c r="AO592" i="1"/>
  <c r="AV592" i="1"/>
  <c r="AW592" i="1"/>
  <c r="AX592" i="1"/>
  <c r="AY592" i="1"/>
  <c r="BJ592" i="1"/>
  <c r="BL592" i="1"/>
  <c r="BM592" i="1"/>
  <c r="BN592" i="1"/>
  <c r="BP592" i="1"/>
  <c r="AM593" i="1"/>
  <c r="AN593" i="1" s="1"/>
  <c r="AO593" i="1"/>
  <c r="AV593" i="1"/>
  <c r="AW593" i="1"/>
  <c r="BK593" i="1" s="1"/>
  <c r="AX593" i="1"/>
  <c r="AY593" i="1"/>
  <c r="BJ593" i="1"/>
  <c r="BL593" i="1"/>
  <c r="BM593" i="1"/>
  <c r="BN593" i="1"/>
  <c r="BP593" i="1"/>
  <c r="AM594" i="1"/>
  <c r="AN594" i="1" s="1"/>
  <c r="AO594" i="1"/>
  <c r="AV594" i="1"/>
  <c r="AW594" i="1"/>
  <c r="BK594" i="1" s="1"/>
  <c r="AX594" i="1"/>
  <c r="AY594" i="1"/>
  <c r="BJ594" i="1"/>
  <c r="BL594" i="1"/>
  <c r="BM594" i="1"/>
  <c r="BN594" i="1"/>
  <c r="BP594" i="1"/>
  <c r="AM595" i="1"/>
  <c r="AN595" i="1" s="1"/>
  <c r="AO595" i="1"/>
  <c r="AV595" i="1"/>
  <c r="AW595" i="1"/>
  <c r="AX595" i="1"/>
  <c r="AY595" i="1"/>
  <c r="BJ595" i="1"/>
  <c r="BL595" i="1"/>
  <c r="BM595" i="1"/>
  <c r="BN595" i="1"/>
  <c r="BP595" i="1"/>
  <c r="AM596" i="1"/>
  <c r="AN596" i="1" s="1"/>
  <c r="AO596" i="1"/>
  <c r="AV596" i="1"/>
  <c r="AW596" i="1"/>
  <c r="W596" i="1" s="1"/>
  <c r="AX596" i="1"/>
  <c r="AY596" i="1"/>
  <c r="BJ596" i="1"/>
  <c r="BL596" i="1"/>
  <c r="BM596" i="1"/>
  <c r="BN596" i="1"/>
  <c r="BP596" i="1"/>
  <c r="AM597" i="1"/>
  <c r="AN597" i="1" s="1"/>
  <c r="AO597" i="1"/>
  <c r="AV597" i="1"/>
  <c r="AW597" i="1"/>
  <c r="BK597" i="1" s="1"/>
  <c r="AX597" i="1"/>
  <c r="AY597" i="1"/>
  <c r="BJ597" i="1"/>
  <c r="BL597" i="1"/>
  <c r="BM597" i="1"/>
  <c r="BN597" i="1"/>
  <c r="BP597" i="1"/>
  <c r="AM598" i="1"/>
  <c r="AN598" i="1" s="1"/>
  <c r="AO598" i="1"/>
  <c r="AV598" i="1"/>
  <c r="AW598" i="1"/>
  <c r="AX598" i="1"/>
  <c r="AY598" i="1"/>
  <c r="BJ598" i="1"/>
  <c r="BL598" i="1"/>
  <c r="BM598" i="1"/>
  <c r="BN598" i="1"/>
  <c r="BP598" i="1"/>
  <c r="AM599" i="1"/>
  <c r="AN599" i="1" s="1"/>
  <c r="AO599" i="1"/>
  <c r="AV599" i="1"/>
  <c r="AW599" i="1"/>
  <c r="BK599" i="1" s="1"/>
  <c r="AX599" i="1"/>
  <c r="AY599" i="1"/>
  <c r="BJ599" i="1"/>
  <c r="BL599" i="1"/>
  <c r="BM599" i="1"/>
  <c r="BN599" i="1"/>
  <c r="BP599" i="1"/>
  <c r="AM600" i="1"/>
  <c r="AN600" i="1" s="1"/>
  <c r="AO600" i="1"/>
  <c r="AV600" i="1"/>
  <c r="AW600" i="1"/>
  <c r="W600" i="1" s="1"/>
  <c r="AX600" i="1"/>
  <c r="AY600" i="1"/>
  <c r="BJ600" i="1"/>
  <c r="BL600" i="1"/>
  <c r="BM600" i="1"/>
  <c r="BN600" i="1"/>
  <c r="BP600" i="1"/>
  <c r="AM601" i="1"/>
  <c r="AN601" i="1" s="1"/>
  <c r="AO601" i="1"/>
  <c r="AV601" i="1"/>
  <c r="AW601" i="1"/>
  <c r="BK601" i="1" s="1"/>
  <c r="AX601" i="1"/>
  <c r="AY601" i="1"/>
  <c r="BJ601" i="1"/>
  <c r="BL601" i="1"/>
  <c r="BM601" i="1"/>
  <c r="BN601" i="1"/>
  <c r="BP601" i="1"/>
  <c r="AM602" i="1"/>
  <c r="AN602" i="1" s="1"/>
  <c r="AO602" i="1"/>
  <c r="AV602" i="1"/>
  <c r="AW602" i="1"/>
  <c r="BK602" i="1" s="1"/>
  <c r="AX602" i="1"/>
  <c r="AY602" i="1"/>
  <c r="BJ602" i="1"/>
  <c r="BL602" i="1"/>
  <c r="BM602" i="1"/>
  <c r="BN602" i="1"/>
  <c r="BP602" i="1"/>
  <c r="AM603" i="1"/>
  <c r="AN603" i="1" s="1"/>
  <c r="AO603" i="1"/>
  <c r="AV603" i="1"/>
  <c r="AW603" i="1"/>
  <c r="BK603" i="1" s="1"/>
  <c r="AX603" i="1"/>
  <c r="AY603" i="1"/>
  <c r="BJ603" i="1"/>
  <c r="BL603" i="1"/>
  <c r="BM603" i="1"/>
  <c r="BN603" i="1"/>
  <c r="BP603" i="1"/>
  <c r="AM604" i="1"/>
  <c r="AN604" i="1" s="1"/>
  <c r="AO604" i="1"/>
  <c r="AV604" i="1"/>
  <c r="AW604" i="1"/>
  <c r="W604" i="1" s="1"/>
  <c r="AX604" i="1"/>
  <c r="AY604" i="1"/>
  <c r="BJ604" i="1"/>
  <c r="BL604" i="1"/>
  <c r="BM604" i="1"/>
  <c r="BN604" i="1"/>
  <c r="BP604" i="1"/>
  <c r="AM605" i="1"/>
  <c r="AN605" i="1" s="1"/>
  <c r="AO605" i="1"/>
  <c r="AV605" i="1"/>
  <c r="AW605" i="1"/>
  <c r="BK605" i="1" s="1"/>
  <c r="AX605" i="1"/>
  <c r="AY605" i="1"/>
  <c r="BJ605" i="1"/>
  <c r="BL605" i="1"/>
  <c r="BM605" i="1"/>
  <c r="BN605" i="1"/>
  <c r="BP605" i="1"/>
  <c r="AM606" i="1"/>
  <c r="AN606" i="1" s="1"/>
  <c r="AO606" i="1"/>
  <c r="AV606" i="1"/>
  <c r="AW606" i="1"/>
  <c r="X606" i="1" s="1"/>
  <c r="AX606" i="1"/>
  <c r="AY606" i="1"/>
  <c r="BJ606" i="1"/>
  <c r="BL606" i="1"/>
  <c r="BM606" i="1"/>
  <c r="BN606" i="1"/>
  <c r="BP606" i="1"/>
  <c r="AM607" i="1"/>
  <c r="AN607" i="1" s="1"/>
  <c r="AO607" i="1"/>
  <c r="AV607" i="1"/>
  <c r="AW607" i="1"/>
  <c r="BK607" i="1" s="1"/>
  <c r="AX607" i="1"/>
  <c r="AY607" i="1"/>
  <c r="BJ607" i="1"/>
  <c r="BL607" i="1"/>
  <c r="BM607" i="1"/>
  <c r="BN607" i="1"/>
  <c r="BP607" i="1"/>
  <c r="AM608" i="1"/>
  <c r="AN608" i="1" s="1"/>
  <c r="AO608" i="1"/>
  <c r="AV608" i="1"/>
  <c r="AW608" i="1"/>
  <c r="BK608" i="1" s="1"/>
  <c r="AX608" i="1"/>
  <c r="AY608" i="1"/>
  <c r="BJ608" i="1"/>
  <c r="BL608" i="1"/>
  <c r="BM608" i="1"/>
  <c r="BN608" i="1"/>
  <c r="BP608" i="1"/>
  <c r="AM609" i="1"/>
  <c r="AN609" i="1" s="1"/>
  <c r="AO609" i="1"/>
  <c r="AV609" i="1"/>
  <c r="AW609" i="1"/>
  <c r="BK609" i="1" s="1"/>
  <c r="AX609" i="1"/>
  <c r="AY609" i="1"/>
  <c r="BJ609" i="1"/>
  <c r="BL609" i="1"/>
  <c r="BM609" i="1"/>
  <c r="BN609" i="1"/>
  <c r="BP609" i="1"/>
  <c r="AM610" i="1"/>
  <c r="AN610" i="1" s="1"/>
  <c r="AO610" i="1"/>
  <c r="AV610" i="1"/>
  <c r="AW610" i="1"/>
  <c r="BK610" i="1" s="1"/>
  <c r="AX610" i="1"/>
  <c r="AY610" i="1"/>
  <c r="BJ610" i="1"/>
  <c r="BL610" i="1"/>
  <c r="BM610" i="1"/>
  <c r="BN610" i="1"/>
  <c r="BP610" i="1"/>
  <c r="AM611" i="1"/>
  <c r="AN611" i="1" s="1"/>
  <c r="AO611" i="1"/>
  <c r="AV611" i="1"/>
  <c r="AW611" i="1"/>
  <c r="AX611" i="1"/>
  <c r="AY611" i="1"/>
  <c r="BJ611" i="1"/>
  <c r="BL611" i="1"/>
  <c r="BM611" i="1"/>
  <c r="BN611" i="1"/>
  <c r="BP611" i="1"/>
  <c r="AM612" i="1"/>
  <c r="AN612" i="1" s="1"/>
  <c r="AO612" i="1"/>
  <c r="AV612" i="1"/>
  <c r="AW612" i="1"/>
  <c r="BK612" i="1" s="1"/>
  <c r="AX612" i="1"/>
  <c r="AY612" i="1"/>
  <c r="BJ612" i="1"/>
  <c r="BL612" i="1"/>
  <c r="BM612" i="1"/>
  <c r="BN612" i="1"/>
  <c r="BP612" i="1"/>
  <c r="AM613" i="1"/>
  <c r="AN613" i="1" s="1"/>
  <c r="AO613" i="1"/>
  <c r="AV613" i="1"/>
  <c r="AW613" i="1"/>
  <c r="BK613" i="1" s="1"/>
  <c r="AX613" i="1"/>
  <c r="AY613" i="1"/>
  <c r="BJ613" i="1"/>
  <c r="BL613" i="1"/>
  <c r="BM613" i="1"/>
  <c r="BN613" i="1"/>
  <c r="BP613" i="1"/>
  <c r="AM614" i="1"/>
  <c r="AN614" i="1" s="1"/>
  <c r="AO614" i="1"/>
  <c r="AV614" i="1"/>
  <c r="AW614" i="1"/>
  <c r="AX614" i="1"/>
  <c r="AY614" i="1"/>
  <c r="BJ614" i="1"/>
  <c r="BL614" i="1"/>
  <c r="BM614" i="1"/>
  <c r="BN614" i="1"/>
  <c r="BP614" i="1"/>
  <c r="AM615" i="1"/>
  <c r="AN615" i="1" s="1"/>
  <c r="AO615" i="1"/>
  <c r="AV615" i="1"/>
  <c r="AW615" i="1"/>
  <c r="BK615" i="1" s="1"/>
  <c r="AX615" i="1"/>
  <c r="AY615" i="1"/>
  <c r="BJ615" i="1"/>
  <c r="BL615" i="1"/>
  <c r="BM615" i="1"/>
  <c r="BN615" i="1"/>
  <c r="BP615" i="1"/>
  <c r="AM616" i="1"/>
  <c r="AN616" i="1" s="1"/>
  <c r="AO616" i="1"/>
  <c r="AV616" i="1"/>
  <c r="AW616" i="1"/>
  <c r="BK616" i="1" s="1"/>
  <c r="AX616" i="1"/>
  <c r="AY616" i="1"/>
  <c r="BJ616" i="1"/>
  <c r="BL616" i="1"/>
  <c r="BM616" i="1"/>
  <c r="BN616" i="1"/>
  <c r="BP616" i="1"/>
  <c r="AM617" i="1"/>
  <c r="AN617" i="1" s="1"/>
  <c r="AO617" i="1"/>
  <c r="AV617" i="1"/>
  <c r="AW617" i="1"/>
  <c r="BK617" i="1" s="1"/>
  <c r="AX617" i="1"/>
  <c r="AY617" i="1"/>
  <c r="BJ617" i="1"/>
  <c r="BL617" i="1"/>
  <c r="BM617" i="1"/>
  <c r="BN617" i="1"/>
  <c r="BP617" i="1"/>
  <c r="AM618" i="1"/>
  <c r="AN618" i="1" s="1"/>
  <c r="AO618" i="1"/>
  <c r="AV618" i="1"/>
  <c r="AW618" i="1"/>
  <c r="BK618" i="1" s="1"/>
  <c r="AX618" i="1"/>
  <c r="AY618" i="1"/>
  <c r="BJ618" i="1"/>
  <c r="BL618" i="1"/>
  <c r="BM618" i="1"/>
  <c r="BN618" i="1"/>
  <c r="BP618" i="1"/>
  <c r="AM619" i="1"/>
  <c r="AN619" i="1" s="1"/>
  <c r="AO619" i="1"/>
  <c r="AV619" i="1"/>
  <c r="AW619" i="1"/>
  <c r="AX619" i="1"/>
  <c r="AY619" i="1"/>
  <c r="BJ619" i="1"/>
  <c r="BL619" i="1"/>
  <c r="BM619" i="1"/>
  <c r="BN619" i="1"/>
  <c r="BP619" i="1"/>
  <c r="AM620" i="1"/>
  <c r="AN620" i="1" s="1"/>
  <c r="AO620" i="1"/>
  <c r="AV620" i="1"/>
  <c r="AW620" i="1"/>
  <c r="BK620" i="1" s="1"/>
  <c r="AX620" i="1"/>
  <c r="AY620" i="1"/>
  <c r="BJ620" i="1"/>
  <c r="BL620" i="1"/>
  <c r="BM620" i="1"/>
  <c r="BN620" i="1"/>
  <c r="BP620" i="1"/>
  <c r="AM621" i="1"/>
  <c r="AN621" i="1" s="1"/>
  <c r="AO621" i="1"/>
  <c r="AV621" i="1"/>
  <c r="AW621" i="1"/>
  <c r="BK621" i="1" s="1"/>
  <c r="AX621" i="1"/>
  <c r="AY621" i="1"/>
  <c r="BJ621" i="1"/>
  <c r="BL621" i="1"/>
  <c r="BM621" i="1"/>
  <c r="BN621" i="1"/>
  <c r="BP621" i="1"/>
  <c r="AM622" i="1"/>
  <c r="AN622" i="1" s="1"/>
  <c r="AO622" i="1"/>
  <c r="AV622" i="1"/>
  <c r="AW622" i="1"/>
  <c r="AX622" i="1"/>
  <c r="AY622" i="1"/>
  <c r="BJ622" i="1"/>
  <c r="BL622" i="1"/>
  <c r="BM622" i="1"/>
  <c r="BN622" i="1"/>
  <c r="BP622" i="1"/>
  <c r="AM623" i="1"/>
  <c r="AN623" i="1" s="1"/>
  <c r="AO623" i="1"/>
  <c r="AV623" i="1"/>
  <c r="AW623" i="1"/>
  <c r="BK623" i="1" s="1"/>
  <c r="AX623" i="1"/>
  <c r="AY623" i="1"/>
  <c r="BJ623" i="1"/>
  <c r="BL623" i="1"/>
  <c r="BM623" i="1"/>
  <c r="BN623" i="1"/>
  <c r="BP623" i="1"/>
  <c r="AM624" i="1"/>
  <c r="AN624" i="1" s="1"/>
  <c r="AO624" i="1"/>
  <c r="AV624" i="1"/>
  <c r="AW624" i="1"/>
  <c r="BK624" i="1" s="1"/>
  <c r="AX624" i="1"/>
  <c r="AY624" i="1"/>
  <c r="BJ624" i="1"/>
  <c r="BL624" i="1"/>
  <c r="BM624" i="1"/>
  <c r="BN624" i="1"/>
  <c r="BP624" i="1"/>
  <c r="AM625" i="1"/>
  <c r="AN625" i="1" s="1"/>
  <c r="AO625" i="1"/>
  <c r="AV625" i="1"/>
  <c r="AW625" i="1"/>
  <c r="BK625" i="1" s="1"/>
  <c r="AX625" i="1"/>
  <c r="AY625" i="1"/>
  <c r="BJ625" i="1"/>
  <c r="BL625" i="1"/>
  <c r="BM625" i="1"/>
  <c r="BN625" i="1"/>
  <c r="BP625" i="1"/>
  <c r="AM626" i="1"/>
  <c r="AN626" i="1" s="1"/>
  <c r="AO626" i="1"/>
  <c r="AP626" i="1" s="1"/>
  <c r="AV626" i="1"/>
  <c r="AW626" i="1"/>
  <c r="BK626" i="1" s="1"/>
  <c r="AX626" i="1"/>
  <c r="AY626" i="1"/>
  <c r="BJ626" i="1"/>
  <c r="BL626" i="1"/>
  <c r="BM626" i="1"/>
  <c r="BN626" i="1"/>
  <c r="BP626" i="1"/>
  <c r="AM627" i="1"/>
  <c r="AN627" i="1" s="1"/>
  <c r="AO627" i="1"/>
  <c r="AP627" i="1" s="1"/>
  <c r="AV627" i="1"/>
  <c r="AW627" i="1"/>
  <c r="BK627" i="1" s="1"/>
  <c r="AX627" i="1"/>
  <c r="AY627" i="1"/>
  <c r="BJ627" i="1"/>
  <c r="BL627" i="1"/>
  <c r="BM627" i="1"/>
  <c r="BN627" i="1"/>
  <c r="BP627" i="1"/>
  <c r="AM628" i="1"/>
  <c r="AN628" i="1" s="1"/>
  <c r="AO628" i="1"/>
  <c r="AP628" i="1" s="1"/>
  <c r="AV628" i="1"/>
  <c r="AW628" i="1"/>
  <c r="BK628" i="1" s="1"/>
  <c r="AX628" i="1"/>
  <c r="AY628" i="1"/>
  <c r="BJ628" i="1"/>
  <c r="BL628" i="1"/>
  <c r="BM628" i="1"/>
  <c r="BN628" i="1"/>
  <c r="BP628" i="1"/>
  <c r="AM629" i="1"/>
  <c r="AN629" i="1" s="1"/>
  <c r="AO629" i="1"/>
  <c r="BF629" i="1" s="1"/>
  <c r="AV629" i="1"/>
  <c r="AW629" i="1"/>
  <c r="W629" i="1" s="1"/>
  <c r="AX629" i="1"/>
  <c r="AY629" i="1"/>
  <c r="BJ629" i="1"/>
  <c r="BL629" i="1"/>
  <c r="BM629" i="1"/>
  <c r="BN629" i="1"/>
  <c r="BP629" i="1"/>
  <c r="AM630" i="1"/>
  <c r="AN630" i="1" s="1"/>
  <c r="AO630" i="1"/>
  <c r="AV630" i="1"/>
  <c r="AW630" i="1"/>
  <c r="X630" i="1" s="1"/>
  <c r="AX630" i="1"/>
  <c r="AY630" i="1"/>
  <c r="BJ630" i="1"/>
  <c r="BL630" i="1"/>
  <c r="BM630" i="1"/>
  <c r="BN630" i="1"/>
  <c r="BP630" i="1"/>
  <c r="AM631" i="1"/>
  <c r="AN631" i="1" s="1"/>
  <c r="AO631" i="1"/>
  <c r="AP631" i="1" s="1"/>
  <c r="AV631" i="1"/>
  <c r="AW631" i="1"/>
  <c r="BK631" i="1" s="1"/>
  <c r="AX631" i="1"/>
  <c r="AY631" i="1"/>
  <c r="BJ631" i="1"/>
  <c r="BL631" i="1"/>
  <c r="BM631" i="1"/>
  <c r="BN631" i="1"/>
  <c r="BP631" i="1"/>
  <c r="AM632" i="1"/>
  <c r="AN632" i="1" s="1"/>
  <c r="AO632" i="1"/>
  <c r="AP632" i="1" s="1"/>
  <c r="AV632" i="1"/>
  <c r="AW632" i="1"/>
  <c r="AX632" i="1"/>
  <c r="AY632" i="1"/>
  <c r="BJ632" i="1"/>
  <c r="BL632" i="1"/>
  <c r="BM632" i="1"/>
  <c r="BN632" i="1"/>
  <c r="BP632" i="1"/>
  <c r="AM633" i="1"/>
  <c r="AN633" i="1" s="1"/>
  <c r="AO633" i="1"/>
  <c r="BH633" i="1" s="1"/>
  <c r="AV633" i="1"/>
  <c r="AW633" i="1"/>
  <c r="BK633" i="1" s="1"/>
  <c r="AX633" i="1"/>
  <c r="AY633" i="1"/>
  <c r="BJ633" i="1"/>
  <c r="BL633" i="1"/>
  <c r="BM633" i="1"/>
  <c r="BN633" i="1"/>
  <c r="BP633" i="1"/>
  <c r="AM634" i="1"/>
  <c r="AN634" i="1" s="1"/>
  <c r="AO634" i="1"/>
  <c r="BH634" i="1" s="1"/>
  <c r="AV634" i="1"/>
  <c r="AW634" i="1"/>
  <c r="BK634" i="1" s="1"/>
  <c r="AX634" i="1"/>
  <c r="AY634" i="1"/>
  <c r="BJ634" i="1"/>
  <c r="BL634" i="1"/>
  <c r="BM634" i="1"/>
  <c r="BN634" i="1"/>
  <c r="BP634" i="1"/>
  <c r="AM635" i="1"/>
  <c r="AN635" i="1" s="1"/>
  <c r="AO635" i="1"/>
  <c r="AZ635" i="1" s="1"/>
  <c r="AV635" i="1"/>
  <c r="AW635" i="1"/>
  <c r="W635" i="1" s="1"/>
  <c r="AX635" i="1"/>
  <c r="AY635" i="1"/>
  <c r="BJ635" i="1"/>
  <c r="BL635" i="1"/>
  <c r="BM635" i="1"/>
  <c r="BN635" i="1"/>
  <c r="BP635" i="1"/>
  <c r="AM636" i="1"/>
  <c r="AN636" i="1" s="1"/>
  <c r="AO636" i="1"/>
  <c r="AZ636" i="1" s="1"/>
  <c r="AV636" i="1"/>
  <c r="AW636" i="1"/>
  <c r="BK636" i="1" s="1"/>
  <c r="AX636" i="1"/>
  <c r="AY636" i="1"/>
  <c r="BJ636" i="1"/>
  <c r="BL636" i="1"/>
  <c r="BM636" i="1"/>
  <c r="BN636" i="1"/>
  <c r="BP636" i="1"/>
  <c r="AM637" i="1"/>
  <c r="AN637" i="1" s="1"/>
  <c r="AO637" i="1"/>
  <c r="BH637" i="1" s="1"/>
  <c r="AV637" i="1"/>
  <c r="AW637" i="1"/>
  <c r="BK637" i="1" s="1"/>
  <c r="AX637" i="1"/>
  <c r="AY637" i="1"/>
  <c r="BJ637" i="1"/>
  <c r="BL637" i="1"/>
  <c r="BM637" i="1"/>
  <c r="BN637" i="1"/>
  <c r="BP637" i="1"/>
  <c r="AM638" i="1"/>
  <c r="AN638" i="1" s="1"/>
  <c r="AO638" i="1"/>
  <c r="BH638" i="1" s="1"/>
  <c r="AV638" i="1"/>
  <c r="AW638" i="1"/>
  <c r="X638" i="1" s="1"/>
  <c r="AX638" i="1"/>
  <c r="AY638" i="1"/>
  <c r="BJ638" i="1"/>
  <c r="BL638" i="1"/>
  <c r="BM638" i="1"/>
  <c r="BN638" i="1"/>
  <c r="BP638" i="1"/>
  <c r="AM639" i="1"/>
  <c r="AN639" i="1" s="1"/>
  <c r="AO639" i="1"/>
  <c r="AZ639" i="1" s="1"/>
  <c r="AV639" i="1"/>
  <c r="AW639" i="1"/>
  <c r="BK639" i="1" s="1"/>
  <c r="AX639" i="1"/>
  <c r="AY639" i="1"/>
  <c r="BJ639" i="1"/>
  <c r="BL639" i="1"/>
  <c r="BM639" i="1"/>
  <c r="BN639" i="1"/>
  <c r="BP639" i="1"/>
  <c r="AM640" i="1"/>
  <c r="AN640" i="1" s="1"/>
  <c r="AO640" i="1"/>
  <c r="BH640" i="1" s="1"/>
  <c r="AV640" i="1"/>
  <c r="AW640" i="1"/>
  <c r="AX640" i="1"/>
  <c r="AY640" i="1"/>
  <c r="BJ640" i="1"/>
  <c r="BL640" i="1"/>
  <c r="BM640" i="1"/>
  <c r="BN640" i="1"/>
  <c r="BP640" i="1"/>
  <c r="AM641" i="1"/>
  <c r="AN641" i="1" s="1"/>
  <c r="AO641" i="1"/>
  <c r="BH641" i="1" s="1"/>
  <c r="AV641" i="1"/>
  <c r="AW641" i="1"/>
  <c r="BK641" i="1" s="1"/>
  <c r="AX641" i="1"/>
  <c r="AY641" i="1"/>
  <c r="BJ641" i="1"/>
  <c r="BL641" i="1"/>
  <c r="BM641" i="1"/>
  <c r="BN641" i="1"/>
  <c r="BP641" i="1"/>
  <c r="AM642" i="1"/>
  <c r="AN642" i="1" s="1"/>
  <c r="AO642" i="1"/>
  <c r="BH642" i="1" s="1"/>
  <c r="AV642" i="1"/>
  <c r="AW642" i="1"/>
  <c r="BK642" i="1" s="1"/>
  <c r="AX642" i="1"/>
  <c r="AY642" i="1"/>
  <c r="BJ642" i="1"/>
  <c r="BL642" i="1"/>
  <c r="BM642" i="1"/>
  <c r="BN642" i="1"/>
  <c r="BP642" i="1"/>
  <c r="AM643" i="1"/>
  <c r="AN643" i="1" s="1"/>
  <c r="AO643" i="1"/>
  <c r="BH643" i="1" s="1"/>
  <c r="AV643" i="1"/>
  <c r="AW643" i="1"/>
  <c r="AX643" i="1"/>
  <c r="AY643" i="1"/>
  <c r="BJ643" i="1"/>
  <c r="BL643" i="1"/>
  <c r="BM643" i="1"/>
  <c r="BN643" i="1"/>
  <c r="BP643" i="1"/>
  <c r="AM644" i="1"/>
  <c r="AN644" i="1" s="1"/>
  <c r="AO644" i="1"/>
  <c r="BH644" i="1" s="1"/>
  <c r="AV644" i="1"/>
  <c r="AW644" i="1"/>
  <c r="W644" i="1" s="1"/>
  <c r="AX644" i="1"/>
  <c r="AY644" i="1"/>
  <c r="BJ644" i="1"/>
  <c r="BL644" i="1"/>
  <c r="BM644" i="1"/>
  <c r="BN644" i="1"/>
  <c r="BP644" i="1"/>
  <c r="AM645" i="1"/>
  <c r="AN645" i="1" s="1"/>
  <c r="AO645" i="1"/>
  <c r="BH645" i="1" s="1"/>
  <c r="AV645" i="1"/>
  <c r="AW645" i="1"/>
  <c r="X645" i="1" s="1"/>
  <c r="AX645" i="1"/>
  <c r="AY645" i="1"/>
  <c r="BJ645" i="1"/>
  <c r="BL645" i="1"/>
  <c r="BM645" i="1"/>
  <c r="BN645" i="1"/>
  <c r="BP645" i="1"/>
  <c r="AM646" i="1"/>
  <c r="AN646" i="1" s="1"/>
  <c r="AO646" i="1"/>
  <c r="BH646" i="1" s="1"/>
  <c r="AV646" i="1"/>
  <c r="AW646" i="1"/>
  <c r="AX646" i="1"/>
  <c r="AY646" i="1"/>
  <c r="BJ646" i="1"/>
  <c r="BL646" i="1"/>
  <c r="BM646" i="1"/>
  <c r="BN646" i="1"/>
  <c r="BP646" i="1"/>
  <c r="AM647" i="1"/>
  <c r="AN647" i="1" s="1"/>
  <c r="AO647" i="1"/>
  <c r="BH647" i="1" s="1"/>
  <c r="AV647" i="1"/>
  <c r="AW647" i="1"/>
  <c r="BK647" i="1" s="1"/>
  <c r="AX647" i="1"/>
  <c r="AY647" i="1"/>
  <c r="BJ647" i="1"/>
  <c r="BL647" i="1"/>
  <c r="BM647" i="1"/>
  <c r="BN647" i="1"/>
  <c r="BP647" i="1"/>
  <c r="AM648" i="1"/>
  <c r="AN648" i="1" s="1"/>
  <c r="AO648" i="1"/>
  <c r="AV648" i="1"/>
  <c r="AW648" i="1"/>
  <c r="W648" i="1" s="1"/>
  <c r="AX648" i="1"/>
  <c r="AY648" i="1"/>
  <c r="BJ648" i="1"/>
  <c r="BL648" i="1"/>
  <c r="BM648" i="1"/>
  <c r="BN648" i="1"/>
  <c r="BP648" i="1"/>
  <c r="AM649" i="1"/>
  <c r="AN649" i="1" s="1"/>
  <c r="AO649" i="1"/>
  <c r="BH649" i="1" s="1"/>
  <c r="AV649" i="1"/>
  <c r="AW649" i="1"/>
  <c r="BK649" i="1" s="1"/>
  <c r="AX649" i="1"/>
  <c r="AY649" i="1"/>
  <c r="BJ649" i="1"/>
  <c r="BL649" i="1"/>
  <c r="BM649" i="1"/>
  <c r="BN649" i="1"/>
  <c r="BP649" i="1"/>
  <c r="AM650" i="1"/>
  <c r="AN650" i="1" s="1"/>
  <c r="AO650" i="1"/>
  <c r="BH650" i="1" s="1"/>
  <c r="AV650" i="1"/>
  <c r="AW650" i="1"/>
  <c r="BK650" i="1" s="1"/>
  <c r="AX650" i="1"/>
  <c r="AY650" i="1"/>
  <c r="BJ650" i="1"/>
  <c r="BL650" i="1"/>
  <c r="BM650" i="1"/>
  <c r="BN650" i="1"/>
  <c r="BP650" i="1"/>
  <c r="AM651" i="1"/>
  <c r="AN651" i="1" s="1"/>
  <c r="AO651" i="1"/>
  <c r="BH651" i="1" s="1"/>
  <c r="AV651" i="1"/>
  <c r="AW651" i="1"/>
  <c r="AX651" i="1"/>
  <c r="AY651" i="1"/>
  <c r="BJ651" i="1"/>
  <c r="BL651" i="1"/>
  <c r="BM651" i="1"/>
  <c r="BN651" i="1"/>
  <c r="BP651" i="1"/>
  <c r="AM652" i="1"/>
  <c r="AN652" i="1" s="1"/>
  <c r="AO652" i="1"/>
  <c r="BH652" i="1" s="1"/>
  <c r="AV652" i="1"/>
  <c r="AW652" i="1"/>
  <c r="BK652" i="1" s="1"/>
  <c r="AX652" i="1"/>
  <c r="AY652" i="1"/>
  <c r="BJ652" i="1"/>
  <c r="BL652" i="1"/>
  <c r="BM652" i="1"/>
  <c r="BN652" i="1"/>
  <c r="BP652" i="1"/>
  <c r="AM653" i="1"/>
  <c r="AN653" i="1" s="1"/>
  <c r="AO653" i="1"/>
  <c r="BH653" i="1" s="1"/>
  <c r="AV653" i="1"/>
  <c r="AW653" i="1"/>
  <c r="X653" i="1" s="1"/>
  <c r="AX653" i="1"/>
  <c r="AY653" i="1"/>
  <c r="BJ653" i="1"/>
  <c r="BL653" i="1"/>
  <c r="BM653" i="1"/>
  <c r="BN653" i="1"/>
  <c r="BP653" i="1"/>
  <c r="AM654" i="1"/>
  <c r="AN654" i="1" s="1"/>
  <c r="AO654" i="1"/>
  <c r="BH654" i="1" s="1"/>
  <c r="AV654" i="1"/>
  <c r="AW654" i="1"/>
  <c r="AX654" i="1"/>
  <c r="AY654" i="1"/>
  <c r="BJ654" i="1"/>
  <c r="BL654" i="1"/>
  <c r="BM654" i="1"/>
  <c r="BN654" i="1"/>
  <c r="BP654" i="1"/>
  <c r="AM655" i="1"/>
  <c r="AN655" i="1" s="1"/>
  <c r="AO655" i="1"/>
  <c r="AV655" i="1"/>
  <c r="AW655" i="1"/>
  <c r="BK655" i="1" s="1"/>
  <c r="AX655" i="1"/>
  <c r="AY655" i="1"/>
  <c r="BJ655" i="1"/>
  <c r="BL655" i="1"/>
  <c r="BM655" i="1"/>
  <c r="BN655" i="1"/>
  <c r="BP655" i="1"/>
  <c r="AM656" i="1"/>
  <c r="AN656" i="1" s="1"/>
  <c r="AO656" i="1"/>
  <c r="BH656" i="1" s="1"/>
  <c r="AV656" i="1"/>
  <c r="AW656" i="1"/>
  <c r="AX656" i="1"/>
  <c r="AY656" i="1"/>
  <c r="BJ656" i="1"/>
  <c r="BL656" i="1"/>
  <c r="BM656" i="1"/>
  <c r="BN656" i="1"/>
  <c r="BP656" i="1"/>
  <c r="AM657" i="1"/>
  <c r="AN657" i="1" s="1"/>
  <c r="AO657" i="1"/>
  <c r="BH657" i="1" s="1"/>
  <c r="AV657" i="1"/>
  <c r="AW657" i="1"/>
  <c r="BK657" i="1" s="1"/>
  <c r="AX657" i="1"/>
  <c r="AY657" i="1"/>
  <c r="BJ657" i="1"/>
  <c r="BL657" i="1"/>
  <c r="BM657" i="1"/>
  <c r="BN657" i="1"/>
  <c r="BP657" i="1"/>
  <c r="AM658" i="1"/>
  <c r="AN658" i="1" s="1"/>
  <c r="AO658" i="1"/>
  <c r="AV658" i="1"/>
  <c r="AW658" i="1"/>
  <c r="BK658" i="1" s="1"/>
  <c r="AX658" i="1"/>
  <c r="AY658" i="1"/>
  <c r="BJ658" i="1"/>
  <c r="BL658" i="1"/>
  <c r="BM658" i="1"/>
  <c r="BN658" i="1"/>
  <c r="BP658" i="1"/>
  <c r="AM659" i="1"/>
  <c r="AN659" i="1" s="1"/>
  <c r="AO659" i="1"/>
  <c r="BH659" i="1" s="1"/>
  <c r="AV659" i="1"/>
  <c r="AW659" i="1"/>
  <c r="AX659" i="1"/>
  <c r="AY659" i="1"/>
  <c r="BJ659" i="1"/>
  <c r="BL659" i="1"/>
  <c r="BM659" i="1"/>
  <c r="BN659" i="1"/>
  <c r="BP659" i="1"/>
  <c r="AM660" i="1"/>
  <c r="AN660" i="1" s="1"/>
  <c r="AO660" i="1"/>
  <c r="BH660" i="1" s="1"/>
  <c r="AV660" i="1"/>
  <c r="AW660" i="1"/>
  <c r="BK660" i="1" s="1"/>
  <c r="AX660" i="1"/>
  <c r="AY660" i="1"/>
  <c r="BJ660" i="1"/>
  <c r="BL660" i="1"/>
  <c r="BM660" i="1"/>
  <c r="BN660" i="1"/>
  <c r="BP660" i="1"/>
  <c r="AM661" i="1"/>
  <c r="AN661" i="1" s="1"/>
  <c r="AO661" i="1"/>
  <c r="BH661" i="1" s="1"/>
  <c r="AV661" i="1"/>
  <c r="AW661" i="1"/>
  <c r="X661" i="1" s="1"/>
  <c r="AX661" i="1"/>
  <c r="AY661" i="1"/>
  <c r="BJ661" i="1"/>
  <c r="BL661" i="1"/>
  <c r="BM661" i="1"/>
  <c r="BN661" i="1"/>
  <c r="BP661" i="1"/>
  <c r="AM662" i="1"/>
  <c r="AN662" i="1" s="1"/>
  <c r="AO662" i="1"/>
  <c r="AV662" i="1"/>
  <c r="AW662" i="1"/>
  <c r="X662" i="1" s="1"/>
  <c r="AX662" i="1"/>
  <c r="AY662" i="1"/>
  <c r="BJ662" i="1"/>
  <c r="BL662" i="1"/>
  <c r="BM662" i="1"/>
  <c r="BN662" i="1"/>
  <c r="BP662" i="1"/>
  <c r="AM663" i="1"/>
  <c r="AN663" i="1" s="1"/>
  <c r="AO663" i="1"/>
  <c r="BH663" i="1" s="1"/>
  <c r="AV663" i="1"/>
  <c r="AW663" i="1"/>
  <c r="BK663" i="1" s="1"/>
  <c r="AX663" i="1"/>
  <c r="AY663" i="1"/>
  <c r="BJ663" i="1"/>
  <c r="BL663" i="1"/>
  <c r="BM663" i="1"/>
  <c r="BN663" i="1"/>
  <c r="BP663" i="1"/>
  <c r="AM664" i="1"/>
  <c r="AN664" i="1" s="1"/>
  <c r="AO664" i="1"/>
  <c r="BH664" i="1" s="1"/>
  <c r="AV664" i="1"/>
  <c r="AW664" i="1"/>
  <c r="AX664" i="1"/>
  <c r="AY664" i="1"/>
  <c r="BJ664" i="1"/>
  <c r="BL664" i="1"/>
  <c r="BM664" i="1"/>
  <c r="BN664" i="1"/>
  <c r="BP664" i="1"/>
  <c r="AM665" i="1"/>
  <c r="AN665" i="1" s="1"/>
  <c r="AO665" i="1"/>
  <c r="BH665" i="1" s="1"/>
  <c r="AV665" i="1"/>
  <c r="AW665" i="1"/>
  <c r="W665" i="1" s="1"/>
  <c r="AX665" i="1"/>
  <c r="AY665" i="1"/>
  <c r="BJ665" i="1"/>
  <c r="BL665" i="1"/>
  <c r="BM665" i="1"/>
  <c r="BN665" i="1"/>
  <c r="BP665" i="1"/>
  <c r="AM666" i="1"/>
  <c r="AN666" i="1" s="1"/>
  <c r="AO666" i="1"/>
  <c r="AV666" i="1"/>
  <c r="AW666" i="1"/>
  <c r="W666" i="1" s="1"/>
  <c r="AX666" i="1"/>
  <c r="AY666" i="1"/>
  <c r="BJ666" i="1"/>
  <c r="BL666" i="1"/>
  <c r="BM666" i="1"/>
  <c r="BN666" i="1"/>
  <c r="BP666" i="1"/>
  <c r="AM667" i="1"/>
  <c r="AN667" i="1" s="1"/>
  <c r="AO667" i="1"/>
  <c r="BH667" i="1" s="1"/>
  <c r="AV667" i="1"/>
  <c r="AW667" i="1"/>
  <c r="AX667" i="1"/>
  <c r="AY667" i="1"/>
  <c r="BJ667" i="1"/>
  <c r="BL667" i="1"/>
  <c r="BM667" i="1"/>
  <c r="BN667" i="1"/>
  <c r="BP667" i="1"/>
  <c r="AM668" i="1"/>
  <c r="AN668" i="1" s="1"/>
  <c r="AO668" i="1"/>
  <c r="BH668" i="1" s="1"/>
  <c r="AV668" i="1"/>
  <c r="AW668" i="1"/>
  <c r="X668" i="1" s="1"/>
  <c r="AX668" i="1"/>
  <c r="AY668" i="1"/>
  <c r="BJ668" i="1"/>
  <c r="BL668" i="1"/>
  <c r="BM668" i="1"/>
  <c r="BN668" i="1"/>
  <c r="BP668" i="1"/>
  <c r="AM669" i="1"/>
  <c r="AN669" i="1" s="1"/>
  <c r="AO669" i="1"/>
  <c r="BH669" i="1" s="1"/>
  <c r="AV669" i="1"/>
  <c r="AW669" i="1"/>
  <c r="W669" i="1" s="1"/>
  <c r="AX669" i="1"/>
  <c r="AY669" i="1"/>
  <c r="BJ669" i="1"/>
  <c r="BL669" i="1"/>
  <c r="BM669" i="1"/>
  <c r="BN669" i="1"/>
  <c r="BP669" i="1"/>
  <c r="AM670" i="1"/>
  <c r="AN670" i="1" s="1"/>
  <c r="AO670" i="1"/>
  <c r="BH670" i="1" s="1"/>
  <c r="AV670" i="1"/>
  <c r="AW670" i="1"/>
  <c r="AX670" i="1"/>
  <c r="AY670" i="1"/>
  <c r="BJ670" i="1"/>
  <c r="BL670" i="1"/>
  <c r="BM670" i="1"/>
  <c r="BN670" i="1"/>
  <c r="BP670" i="1"/>
  <c r="AM671" i="1"/>
  <c r="AN671" i="1" s="1"/>
  <c r="AO671" i="1"/>
  <c r="BH671" i="1" s="1"/>
  <c r="AV671" i="1"/>
  <c r="AW671" i="1"/>
  <c r="BK671" i="1" s="1"/>
  <c r="AX671" i="1"/>
  <c r="AY671" i="1"/>
  <c r="BJ671" i="1"/>
  <c r="BL671" i="1"/>
  <c r="BM671" i="1"/>
  <c r="BN671" i="1"/>
  <c r="BP671" i="1"/>
  <c r="AM672" i="1"/>
  <c r="AN672" i="1" s="1"/>
  <c r="AO672" i="1"/>
  <c r="BH672" i="1" s="1"/>
  <c r="AV672" i="1"/>
  <c r="AW672" i="1"/>
  <c r="X672" i="1" s="1"/>
  <c r="AX672" i="1"/>
  <c r="AY672" i="1"/>
  <c r="BJ672" i="1"/>
  <c r="BL672" i="1"/>
  <c r="BM672" i="1"/>
  <c r="BN672" i="1"/>
  <c r="BP672" i="1"/>
  <c r="AM673" i="1"/>
  <c r="AN673" i="1" s="1"/>
  <c r="AO673" i="1"/>
  <c r="AP673" i="1" s="1"/>
  <c r="AV673" i="1"/>
  <c r="AW673" i="1"/>
  <c r="BK673" i="1" s="1"/>
  <c r="AX673" i="1"/>
  <c r="AY673" i="1"/>
  <c r="BJ673" i="1"/>
  <c r="BL673" i="1"/>
  <c r="BM673" i="1"/>
  <c r="BN673" i="1"/>
  <c r="BP673" i="1"/>
  <c r="AM674" i="1"/>
  <c r="AN674" i="1" s="1"/>
  <c r="AO674" i="1"/>
  <c r="AP674" i="1" s="1"/>
  <c r="AV674" i="1"/>
  <c r="AW674" i="1"/>
  <c r="W674" i="1" s="1"/>
  <c r="AX674" i="1"/>
  <c r="AY674" i="1"/>
  <c r="BJ674" i="1"/>
  <c r="BL674" i="1"/>
  <c r="BM674" i="1"/>
  <c r="BN674" i="1"/>
  <c r="BP674" i="1"/>
  <c r="AM675" i="1"/>
  <c r="AN675" i="1" s="1"/>
  <c r="AO675" i="1"/>
  <c r="AP675" i="1" s="1"/>
  <c r="AV675" i="1"/>
  <c r="AW675" i="1"/>
  <c r="AX675" i="1"/>
  <c r="AY675" i="1"/>
  <c r="BJ675" i="1"/>
  <c r="BL675" i="1"/>
  <c r="BM675" i="1"/>
  <c r="BN675" i="1"/>
  <c r="BP675" i="1"/>
  <c r="AM676" i="1"/>
  <c r="AN676" i="1" s="1"/>
  <c r="AO676" i="1"/>
  <c r="BF676" i="1" s="1"/>
  <c r="AV676" i="1"/>
  <c r="AW676" i="1"/>
  <c r="X676" i="1" s="1"/>
  <c r="AX676" i="1"/>
  <c r="AY676" i="1"/>
  <c r="BJ676" i="1"/>
  <c r="BL676" i="1"/>
  <c r="BM676" i="1"/>
  <c r="BN676" i="1"/>
  <c r="BP676" i="1"/>
  <c r="AM677" i="1"/>
  <c r="AN677" i="1" s="1"/>
  <c r="AO677" i="1"/>
  <c r="BG677" i="1" s="1"/>
  <c r="AV677" i="1"/>
  <c r="AW677" i="1"/>
  <c r="BK677" i="1" s="1"/>
  <c r="AX677" i="1"/>
  <c r="AY677" i="1"/>
  <c r="BJ677" i="1"/>
  <c r="BL677" i="1"/>
  <c r="BM677" i="1"/>
  <c r="BN677" i="1"/>
  <c r="BP677" i="1"/>
  <c r="AM678" i="1"/>
  <c r="AN678" i="1" s="1"/>
  <c r="AO678" i="1"/>
  <c r="AP678" i="1" s="1"/>
  <c r="AV678" i="1"/>
  <c r="AW678" i="1"/>
  <c r="X678" i="1" s="1"/>
  <c r="AX678" i="1"/>
  <c r="AY678" i="1"/>
  <c r="BJ678" i="1"/>
  <c r="BL678" i="1"/>
  <c r="BM678" i="1"/>
  <c r="BN678" i="1"/>
  <c r="BP678" i="1"/>
  <c r="AM679" i="1"/>
  <c r="AN679" i="1" s="1"/>
  <c r="AO679" i="1"/>
  <c r="AP679" i="1" s="1"/>
  <c r="AV679" i="1"/>
  <c r="AW679" i="1"/>
  <c r="BK679" i="1" s="1"/>
  <c r="AX679" i="1"/>
  <c r="AY679" i="1"/>
  <c r="BJ679" i="1"/>
  <c r="BL679" i="1"/>
  <c r="BM679" i="1"/>
  <c r="BN679" i="1"/>
  <c r="BP679" i="1"/>
  <c r="AM680" i="1"/>
  <c r="AN680" i="1" s="1"/>
  <c r="AO680" i="1"/>
  <c r="BF680" i="1" s="1"/>
  <c r="AV680" i="1"/>
  <c r="AW680" i="1"/>
  <c r="AX680" i="1"/>
  <c r="AY680" i="1"/>
  <c r="BJ680" i="1"/>
  <c r="BL680" i="1"/>
  <c r="BM680" i="1"/>
  <c r="BN680" i="1"/>
  <c r="BP680" i="1"/>
  <c r="AM681" i="1"/>
  <c r="AN681" i="1" s="1"/>
  <c r="AO681" i="1"/>
  <c r="AP681" i="1" s="1"/>
  <c r="AV681" i="1"/>
  <c r="AW681" i="1"/>
  <c r="BK681" i="1" s="1"/>
  <c r="AX681" i="1"/>
  <c r="AY681" i="1"/>
  <c r="BJ681" i="1"/>
  <c r="BL681" i="1"/>
  <c r="BM681" i="1"/>
  <c r="BN681" i="1"/>
  <c r="BP681" i="1"/>
  <c r="AM682" i="1"/>
  <c r="AN682" i="1" s="1"/>
  <c r="AO682" i="1"/>
  <c r="AP682" i="1" s="1"/>
  <c r="AV682" i="1"/>
  <c r="AW682" i="1"/>
  <c r="BK682" i="1" s="1"/>
  <c r="AX682" i="1"/>
  <c r="AY682" i="1"/>
  <c r="BJ682" i="1"/>
  <c r="BL682" i="1"/>
  <c r="BM682" i="1"/>
  <c r="BN682" i="1"/>
  <c r="BP682" i="1"/>
  <c r="AM683" i="1"/>
  <c r="AN683" i="1" s="1"/>
  <c r="AO683" i="1"/>
  <c r="AP683" i="1" s="1"/>
  <c r="AV683" i="1"/>
  <c r="AW683" i="1"/>
  <c r="BK683" i="1" s="1"/>
  <c r="AX683" i="1"/>
  <c r="AY683" i="1"/>
  <c r="BJ683" i="1"/>
  <c r="BL683" i="1"/>
  <c r="BM683" i="1"/>
  <c r="BN683" i="1"/>
  <c r="BP683" i="1"/>
  <c r="AM684" i="1"/>
  <c r="AN684" i="1" s="1"/>
  <c r="AO684" i="1"/>
  <c r="BF684" i="1" s="1"/>
  <c r="AV684" i="1"/>
  <c r="AW684" i="1"/>
  <c r="AX684" i="1"/>
  <c r="AY684" i="1"/>
  <c r="BJ684" i="1"/>
  <c r="BL684" i="1"/>
  <c r="BM684" i="1"/>
  <c r="BN684" i="1"/>
  <c r="BP684" i="1"/>
  <c r="AM685" i="1"/>
  <c r="AN685" i="1" s="1"/>
  <c r="AO685" i="1"/>
  <c r="BG685" i="1" s="1"/>
  <c r="AV685" i="1"/>
  <c r="AW685" i="1"/>
  <c r="BK685" i="1" s="1"/>
  <c r="AX685" i="1"/>
  <c r="AY685" i="1"/>
  <c r="BJ685" i="1"/>
  <c r="BL685" i="1"/>
  <c r="BM685" i="1"/>
  <c r="BN685" i="1"/>
  <c r="BP685" i="1"/>
  <c r="AM686" i="1"/>
  <c r="AN686" i="1" s="1"/>
  <c r="AO686" i="1"/>
  <c r="AP686" i="1" s="1"/>
  <c r="AV686" i="1"/>
  <c r="AW686" i="1"/>
  <c r="X686" i="1" s="1"/>
  <c r="AX686" i="1"/>
  <c r="AY686" i="1"/>
  <c r="BJ686" i="1"/>
  <c r="BL686" i="1"/>
  <c r="BM686" i="1"/>
  <c r="BN686" i="1"/>
  <c r="BP686" i="1"/>
  <c r="AM687" i="1"/>
  <c r="AN687" i="1" s="1"/>
  <c r="AO687" i="1"/>
  <c r="AP687" i="1" s="1"/>
  <c r="AV687" i="1"/>
  <c r="AW687" i="1"/>
  <c r="AX687" i="1"/>
  <c r="AY687" i="1"/>
  <c r="BJ687" i="1"/>
  <c r="BL687" i="1"/>
  <c r="BM687" i="1"/>
  <c r="BN687" i="1"/>
  <c r="BP687" i="1"/>
  <c r="AM688" i="1"/>
  <c r="AN688" i="1" s="1"/>
  <c r="AO688" i="1"/>
  <c r="BF688" i="1" s="1"/>
  <c r="AV688" i="1"/>
  <c r="AW688" i="1"/>
  <c r="BK688" i="1" s="1"/>
  <c r="AX688" i="1"/>
  <c r="AY688" i="1"/>
  <c r="BJ688" i="1"/>
  <c r="BL688" i="1"/>
  <c r="BM688" i="1"/>
  <c r="BN688" i="1"/>
  <c r="BP688" i="1"/>
  <c r="AM689" i="1"/>
  <c r="AN689" i="1" s="1"/>
  <c r="AO689" i="1"/>
  <c r="AP689" i="1" s="1"/>
  <c r="AV689" i="1"/>
  <c r="AW689" i="1"/>
  <c r="BK689" i="1" s="1"/>
  <c r="AX689" i="1"/>
  <c r="AY689" i="1"/>
  <c r="BJ689" i="1"/>
  <c r="BL689" i="1"/>
  <c r="BM689" i="1"/>
  <c r="BN689" i="1"/>
  <c r="BP689" i="1"/>
  <c r="AM690" i="1"/>
  <c r="AN690" i="1" s="1"/>
  <c r="AO690" i="1"/>
  <c r="AP690" i="1" s="1"/>
  <c r="AV690" i="1"/>
  <c r="AW690" i="1"/>
  <c r="BK690" i="1" s="1"/>
  <c r="AX690" i="1"/>
  <c r="AY690" i="1"/>
  <c r="BJ690" i="1"/>
  <c r="BL690" i="1"/>
  <c r="BM690" i="1"/>
  <c r="BN690" i="1"/>
  <c r="BP690" i="1"/>
  <c r="AM691" i="1"/>
  <c r="AN691" i="1" s="1"/>
  <c r="AO691" i="1"/>
  <c r="AP691" i="1" s="1"/>
  <c r="AV691" i="1"/>
  <c r="AW691" i="1"/>
  <c r="AX691" i="1"/>
  <c r="AY691" i="1"/>
  <c r="BJ691" i="1"/>
  <c r="BL691" i="1"/>
  <c r="BM691" i="1"/>
  <c r="BN691" i="1"/>
  <c r="BP691" i="1"/>
  <c r="AM692" i="1"/>
  <c r="AN692" i="1" s="1"/>
  <c r="AO692" i="1"/>
  <c r="BF692" i="1" s="1"/>
  <c r="AV692" i="1"/>
  <c r="AW692" i="1"/>
  <c r="AX692" i="1"/>
  <c r="AY692" i="1"/>
  <c r="BJ692" i="1"/>
  <c r="BL692" i="1"/>
  <c r="BM692" i="1"/>
  <c r="BN692" i="1"/>
  <c r="BP692" i="1"/>
  <c r="AM693" i="1"/>
  <c r="AN693" i="1" s="1"/>
  <c r="AO693" i="1"/>
  <c r="BG693" i="1" s="1"/>
  <c r="AV693" i="1"/>
  <c r="AW693" i="1"/>
  <c r="BK693" i="1" s="1"/>
  <c r="AX693" i="1"/>
  <c r="AY693" i="1"/>
  <c r="BJ693" i="1"/>
  <c r="BL693" i="1"/>
  <c r="BM693" i="1"/>
  <c r="BN693" i="1"/>
  <c r="BP693" i="1"/>
  <c r="AM694" i="1"/>
  <c r="AN694" i="1" s="1"/>
  <c r="AO694" i="1"/>
  <c r="AP694" i="1" s="1"/>
  <c r="AV694" i="1"/>
  <c r="AW694" i="1"/>
  <c r="W694" i="1" s="1"/>
  <c r="AX694" i="1"/>
  <c r="AY694" i="1"/>
  <c r="BJ694" i="1"/>
  <c r="BL694" i="1"/>
  <c r="BM694" i="1"/>
  <c r="BN694" i="1"/>
  <c r="BP694" i="1"/>
  <c r="AM695" i="1"/>
  <c r="AN695" i="1" s="1"/>
  <c r="AO695" i="1"/>
  <c r="BG695" i="1" s="1"/>
  <c r="AV695" i="1"/>
  <c r="AW695" i="1"/>
  <c r="BK695" i="1" s="1"/>
  <c r="AX695" i="1"/>
  <c r="AY695" i="1"/>
  <c r="BJ695" i="1"/>
  <c r="BL695" i="1"/>
  <c r="BM695" i="1"/>
  <c r="BN695" i="1"/>
  <c r="BP695" i="1"/>
  <c r="AM696" i="1"/>
  <c r="AN696" i="1" s="1"/>
  <c r="AO696" i="1"/>
  <c r="BG696" i="1" s="1"/>
  <c r="AV696" i="1"/>
  <c r="AW696" i="1"/>
  <c r="W696" i="1" s="1"/>
  <c r="AX696" i="1"/>
  <c r="AY696" i="1"/>
  <c r="BJ696" i="1"/>
  <c r="BL696" i="1"/>
  <c r="BM696" i="1"/>
  <c r="BN696" i="1"/>
  <c r="BP696" i="1"/>
  <c r="AM697" i="1"/>
  <c r="AN697" i="1" s="1"/>
  <c r="AO697" i="1"/>
  <c r="BG697" i="1" s="1"/>
  <c r="AV697" i="1"/>
  <c r="AW697" i="1"/>
  <c r="BK697" i="1" s="1"/>
  <c r="AX697" i="1"/>
  <c r="AY697" i="1"/>
  <c r="BJ697" i="1"/>
  <c r="BL697" i="1"/>
  <c r="BM697" i="1"/>
  <c r="BN697" i="1"/>
  <c r="BP697" i="1"/>
  <c r="AM698" i="1"/>
  <c r="AN698" i="1" s="1"/>
  <c r="AO698" i="1"/>
  <c r="AP698" i="1" s="1"/>
  <c r="AV698" i="1"/>
  <c r="AW698" i="1"/>
  <c r="AX698" i="1"/>
  <c r="AY698" i="1"/>
  <c r="BJ698" i="1"/>
  <c r="BL698" i="1"/>
  <c r="BM698" i="1"/>
  <c r="BN698" i="1"/>
  <c r="BP698" i="1"/>
  <c r="AM699" i="1"/>
  <c r="AN699" i="1" s="1"/>
  <c r="AO699" i="1"/>
  <c r="BG699" i="1" s="1"/>
  <c r="AV699" i="1"/>
  <c r="AW699" i="1"/>
  <c r="AX699" i="1"/>
  <c r="AY699" i="1"/>
  <c r="BJ699" i="1"/>
  <c r="BL699" i="1"/>
  <c r="BM699" i="1"/>
  <c r="BN699" i="1"/>
  <c r="BP699" i="1"/>
  <c r="AM700" i="1"/>
  <c r="AN700" i="1" s="1"/>
  <c r="AO700" i="1"/>
  <c r="BG700" i="1" s="1"/>
  <c r="AV700" i="1"/>
  <c r="AW700" i="1"/>
  <c r="BK700" i="1" s="1"/>
  <c r="AX700" i="1"/>
  <c r="AY700" i="1"/>
  <c r="BJ700" i="1"/>
  <c r="BL700" i="1"/>
  <c r="BM700" i="1"/>
  <c r="BN700" i="1"/>
  <c r="BP700" i="1"/>
  <c r="AM701" i="1"/>
  <c r="AN701" i="1" s="1"/>
  <c r="AO701" i="1"/>
  <c r="BG701" i="1" s="1"/>
  <c r="AV701" i="1"/>
  <c r="AW701" i="1"/>
  <c r="X701" i="1" s="1"/>
  <c r="AX701" i="1"/>
  <c r="AY701" i="1"/>
  <c r="BJ701" i="1"/>
  <c r="BL701" i="1"/>
  <c r="BM701" i="1"/>
  <c r="BN701" i="1"/>
  <c r="BP701" i="1"/>
  <c r="AM702" i="1"/>
  <c r="AN702" i="1" s="1"/>
  <c r="AO702" i="1"/>
  <c r="AP702" i="1" s="1"/>
  <c r="AV702" i="1"/>
  <c r="AW702" i="1"/>
  <c r="X702" i="1" s="1"/>
  <c r="AX702" i="1"/>
  <c r="AY702" i="1"/>
  <c r="BJ702" i="1"/>
  <c r="BL702" i="1"/>
  <c r="BM702" i="1"/>
  <c r="BN702" i="1"/>
  <c r="BP702" i="1"/>
  <c r="AM703" i="1"/>
  <c r="AN703" i="1" s="1"/>
  <c r="AO703" i="1"/>
  <c r="BG703" i="1" s="1"/>
  <c r="AV703" i="1"/>
  <c r="AW703" i="1"/>
  <c r="BK703" i="1" s="1"/>
  <c r="AX703" i="1"/>
  <c r="AY703" i="1"/>
  <c r="BJ703" i="1"/>
  <c r="BL703" i="1"/>
  <c r="BM703" i="1"/>
  <c r="BN703" i="1"/>
  <c r="BP703" i="1"/>
  <c r="AM704" i="1"/>
  <c r="AN704" i="1" s="1"/>
  <c r="AO704" i="1"/>
  <c r="BG704" i="1" s="1"/>
  <c r="AV704" i="1"/>
  <c r="AW704" i="1"/>
  <c r="X704" i="1" s="1"/>
  <c r="AX704" i="1"/>
  <c r="AY704" i="1"/>
  <c r="BJ704" i="1"/>
  <c r="BL704" i="1"/>
  <c r="BM704" i="1"/>
  <c r="BN704" i="1"/>
  <c r="BP704" i="1"/>
  <c r="AM705" i="1"/>
  <c r="AN705" i="1" s="1"/>
  <c r="AO705" i="1"/>
  <c r="BG705" i="1" s="1"/>
  <c r="AV705" i="1"/>
  <c r="AW705" i="1"/>
  <c r="BK705" i="1" s="1"/>
  <c r="AX705" i="1"/>
  <c r="AY705" i="1"/>
  <c r="BJ705" i="1"/>
  <c r="BL705" i="1"/>
  <c r="BM705" i="1"/>
  <c r="BN705" i="1"/>
  <c r="BP705" i="1"/>
  <c r="AM706" i="1"/>
  <c r="AN706" i="1" s="1"/>
  <c r="AO706" i="1"/>
  <c r="AP706" i="1" s="1"/>
  <c r="AV706" i="1"/>
  <c r="AW706" i="1"/>
  <c r="BK706" i="1" s="1"/>
  <c r="AX706" i="1"/>
  <c r="AY706" i="1"/>
  <c r="BJ706" i="1"/>
  <c r="BL706" i="1"/>
  <c r="BM706" i="1"/>
  <c r="BN706" i="1"/>
  <c r="BP706" i="1"/>
  <c r="AM707" i="1"/>
  <c r="AN707" i="1" s="1"/>
  <c r="AO707" i="1"/>
  <c r="BG707" i="1" s="1"/>
  <c r="AV707" i="1"/>
  <c r="AW707" i="1"/>
  <c r="AX707" i="1"/>
  <c r="AY707" i="1"/>
  <c r="BJ707" i="1"/>
  <c r="BL707" i="1"/>
  <c r="BM707" i="1"/>
  <c r="BN707" i="1"/>
  <c r="BP707" i="1"/>
  <c r="AM708" i="1"/>
  <c r="AN708" i="1" s="1"/>
  <c r="AO708" i="1"/>
  <c r="BG708" i="1" s="1"/>
  <c r="AV708" i="1"/>
  <c r="AW708" i="1"/>
  <c r="BK708" i="1" s="1"/>
  <c r="AX708" i="1"/>
  <c r="AY708" i="1"/>
  <c r="BJ708" i="1"/>
  <c r="BL708" i="1"/>
  <c r="BM708" i="1"/>
  <c r="BN708" i="1"/>
  <c r="BP708" i="1"/>
  <c r="AM709" i="1"/>
  <c r="AN709" i="1" s="1"/>
  <c r="AO709" i="1"/>
  <c r="BG709" i="1" s="1"/>
  <c r="AV709" i="1"/>
  <c r="AW709" i="1"/>
  <c r="BK709" i="1" s="1"/>
  <c r="AX709" i="1"/>
  <c r="AY709" i="1"/>
  <c r="BJ709" i="1"/>
  <c r="BL709" i="1"/>
  <c r="BM709" i="1"/>
  <c r="BN709" i="1"/>
  <c r="BP709" i="1"/>
  <c r="AM710" i="1"/>
  <c r="AN710" i="1" s="1"/>
  <c r="AO710" i="1"/>
  <c r="AP710" i="1" s="1"/>
  <c r="AR710" i="1"/>
  <c r="AS710" i="1"/>
  <c r="AV710" i="1"/>
  <c r="AW710" i="1"/>
  <c r="W710" i="1" s="1"/>
  <c r="AX710" i="1"/>
  <c r="AY710" i="1"/>
  <c r="BJ710" i="1"/>
  <c r="BL710" i="1"/>
  <c r="BM710" i="1"/>
  <c r="BN710" i="1"/>
  <c r="AM711" i="1"/>
  <c r="AN711" i="1" s="1"/>
  <c r="BC711" i="1" s="1"/>
  <c r="AO711" i="1"/>
  <c r="BF711" i="1" s="1"/>
  <c r="AR711" i="1"/>
  <c r="AS711" i="1"/>
  <c r="AV711" i="1"/>
  <c r="AW711" i="1"/>
  <c r="X711" i="1" s="1"/>
  <c r="AX711" i="1"/>
  <c r="AY711" i="1"/>
  <c r="BJ711" i="1"/>
  <c r="BL711" i="1"/>
  <c r="BM711" i="1"/>
  <c r="BN711" i="1"/>
  <c r="AM712" i="1"/>
  <c r="AN712" i="1" s="1"/>
  <c r="AO712" i="1"/>
  <c r="AR712" i="1"/>
  <c r="AS712" i="1"/>
  <c r="AV712" i="1"/>
  <c r="AW712" i="1"/>
  <c r="AX712" i="1"/>
  <c r="AY712" i="1"/>
  <c r="BJ712" i="1"/>
  <c r="BL712" i="1"/>
  <c r="BM712" i="1"/>
  <c r="BN712" i="1"/>
  <c r="AM713" i="1"/>
  <c r="AN713" i="1" s="1"/>
  <c r="BC713" i="1" s="1"/>
  <c r="AO713" i="1"/>
  <c r="AP713" i="1" s="1"/>
  <c r="AR713" i="1"/>
  <c r="AS713" i="1"/>
  <c r="AV713" i="1"/>
  <c r="AW713" i="1"/>
  <c r="AX713" i="1"/>
  <c r="AY713" i="1"/>
  <c r="BJ713" i="1"/>
  <c r="BL713" i="1"/>
  <c r="BM713" i="1"/>
  <c r="BN713" i="1"/>
  <c r="AM714" i="1"/>
  <c r="AN714" i="1" s="1"/>
  <c r="BC714" i="1" s="1"/>
  <c r="AO714" i="1"/>
  <c r="AP714" i="1" s="1"/>
  <c r="AR714" i="1"/>
  <c r="AS714" i="1"/>
  <c r="AV714" i="1"/>
  <c r="AW714" i="1"/>
  <c r="X714" i="1" s="1"/>
  <c r="AX714" i="1"/>
  <c r="AY714" i="1"/>
  <c r="BJ714" i="1"/>
  <c r="BL714" i="1"/>
  <c r="BM714" i="1"/>
  <c r="BN714" i="1"/>
  <c r="AM715" i="1"/>
  <c r="AO715" i="1"/>
  <c r="AP715" i="1" s="1"/>
  <c r="AR715" i="1"/>
  <c r="AS715" i="1"/>
  <c r="AV715" i="1"/>
  <c r="AW715" i="1"/>
  <c r="BK715" i="1" s="1"/>
  <c r="AX715" i="1"/>
  <c r="AY715" i="1"/>
  <c r="BJ715" i="1"/>
  <c r="BL715" i="1"/>
  <c r="BM715" i="1"/>
  <c r="BN715" i="1"/>
  <c r="AM716" i="1"/>
  <c r="AN716" i="1" s="1"/>
  <c r="BC716" i="1" s="1"/>
  <c r="AO716" i="1"/>
  <c r="BG716" i="1" s="1"/>
  <c r="AR716" i="1"/>
  <c r="AS716" i="1"/>
  <c r="AV716" i="1"/>
  <c r="AW716" i="1"/>
  <c r="W716" i="1" s="1"/>
  <c r="AX716" i="1"/>
  <c r="AY716" i="1"/>
  <c r="BJ716" i="1"/>
  <c r="BL716" i="1"/>
  <c r="BM716" i="1"/>
  <c r="BN716" i="1"/>
  <c r="AM717" i="1"/>
  <c r="AN717" i="1" s="1"/>
  <c r="BC717" i="1" s="1"/>
  <c r="AO717" i="1"/>
  <c r="BG717" i="1" s="1"/>
  <c r="AR717" i="1"/>
  <c r="AS717" i="1"/>
  <c r="AV717" i="1"/>
  <c r="AW717" i="1"/>
  <c r="AX717" i="1"/>
  <c r="AY717" i="1"/>
  <c r="BB717" i="1"/>
  <c r="BJ717" i="1"/>
  <c r="BL717" i="1"/>
  <c r="BM717" i="1"/>
  <c r="BN717" i="1"/>
  <c r="AM718" i="1"/>
  <c r="AN718" i="1" s="1"/>
  <c r="AO718" i="1"/>
  <c r="AP718" i="1" s="1"/>
  <c r="AR718" i="1"/>
  <c r="AS718" i="1"/>
  <c r="AV718" i="1"/>
  <c r="AW718" i="1"/>
  <c r="BK718" i="1" s="1"/>
  <c r="AX718" i="1"/>
  <c r="AY718" i="1"/>
  <c r="BJ718" i="1"/>
  <c r="BL718" i="1"/>
  <c r="BM718" i="1"/>
  <c r="BN718" i="1"/>
  <c r="AM719" i="1"/>
  <c r="AN719" i="1" s="1"/>
  <c r="BC719" i="1" s="1"/>
  <c r="AO719" i="1"/>
  <c r="BA719" i="1" s="1"/>
  <c r="AR719" i="1"/>
  <c r="AS719" i="1"/>
  <c r="AV719" i="1"/>
  <c r="AW719" i="1"/>
  <c r="AX719" i="1"/>
  <c r="AY719" i="1"/>
  <c r="BJ719" i="1"/>
  <c r="BL719" i="1"/>
  <c r="BM719" i="1"/>
  <c r="BN719" i="1"/>
  <c r="AM720" i="1"/>
  <c r="AN720" i="1" s="1"/>
  <c r="AO720" i="1"/>
  <c r="AR720" i="1"/>
  <c r="AS720" i="1"/>
  <c r="AV720" i="1"/>
  <c r="AW720" i="1"/>
  <c r="X720" i="1" s="1"/>
  <c r="AX720" i="1"/>
  <c r="AY720" i="1"/>
  <c r="BJ720" i="1"/>
  <c r="BL720" i="1"/>
  <c r="BM720" i="1"/>
  <c r="BN720" i="1"/>
  <c r="AM721" i="1"/>
  <c r="AO721" i="1"/>
  <c r="AP721" i="1" s="1"/>
  <c r="AR721" i="1"/>
  <c r="AS721" i="1"/>
  <c r="AV721" i="1"/>
  <c r="AW721" i="1"/>
  <c r="BK721" i="1" s="1"/>
  <c r="AX721" i="1"/>
  <c r="AY721" i="1"/>
  <c r="BJ721" i="1"/>
  <c r="BL721" i="1"/>
  <c r="BM721" i="1"/>
  <c r="BN721" i="1"/>
  <c r="AM722" i="1"/>
  <c r="AN722" i="1" s="1"/>
  <c r="BC722" i="1" s="1"/>
  <c r="AO722" i="1"/>
  <c r="AP722" i="1" s="1"/>
  <c r="AR722" i="1"/>
  <c r="AS722" i="1"/>
  <c r="AV722" i="1"/>
  <c r="AW722" i="1"/>
  <c r="BK722" i="1" s="1"/>
  <c r="AX722" i="1"/>
  <c r="AY722" i="1"/>
  <c r="BJ722" i="1"/>
  <c r="BL722" i="1"/>
  <c r="BM722" i="1"/>
  <c r="BN722" i="1"/>
  <c r="AM723" i="1"/>
  <c r="AO723" i="1"/>
  <c r="BA723" i="1" s="1"/>
  <c r="AR723" i="1"/>
  <c r="AS723" i="1"/>
  <c r="AV723" i="1"/>
  <c r="AW723" i="1"/>
  <c r="BK723" i="1" s="1"/>
  <c r="AX723" i="1"/>
  <c r="AY723" i="1"/>
  <c r="BJ723" i="1"/>
  <c r="BL723" i="1"/>
  <c r="BM723" i="1"/>
  <c r="BN723" i="1"/>
  <c r="AM724" i="1"/>
  <c r="AN724" i="1" s="1"/>
  <c r="BC724" i="1" s="1"/>
  <c r="AO724" i="1"/>
  <c r="BG724" i="1" s="1"/>
  <c r="AR724" i="1"/>
  <c r="AS724" i="1"/>
  <c r="AV724" i="1"/>
  <c r="AW724" i="1"/>
  <c r="X724" i="1" s="1"/>
  <c r="AX724" i="1"/>
  <c r="AY724" i="1"/>
  <c r="BJ724" i="1"/>
  <c r="BL724" i="1"/>
  <c r="BM724" i="1"/>
  <c r="BN724" i="1"/>
  <c r="AM725" i="1"/>
  <c r="AN725" i="1" s="1"/>
  <c r="BC725" i="1" s="1"/>
  <c r="AO725" i="1"/>
  <c r="BG725" i="1" s="1"/>
  <c r="AR725" i="1"/>
  <c r="AS725" i="1"/>
  <c r="AV725" i="1"/>
  <c r="AW725" i="1"/>
  <c r="BK725" i="1" s="1"/>
  <c r="AX725" i="1"/>
  <c r="AY725" i="1"/>
  <c r="BJ725" i="1"/>
  <c r="BL725" i="1"/>
  <c r="BM725" i="1"/>
  <c r="BN725" i="1"/>
  <c r="AM726" i="1"/>
  <c r="AN726" i="1" s="1"/>
  <c r="AO726" i="1"/>
  <c r="AP726" i="1" s="1"/>
  <c r="AR726" i="1"/>
  <c r="AS726" i="1"/>
  <c r="AV726" i="1"/>
  <c r="AW726" i="1"/>
  <c r="BK726" i="1" s="1"/>
  <c r="AX726" i="1"/>
  <c r="AY726" i="1"/>
  <c r="BJ726" i="1"/>
  <c r="BL726" i="1"/>
  <c r="BM726" i="1"/>
  <c r="BN726" i="1"/>
  <c r="AM727" i="1"/>
  <c r="AN727" i="1" s="1"/>
  <c r="BC727" i="1" s="1"/>
  <c r="AO727" i="1"/>
  <c r="BA727" i="1" s="1"/>
  <c r="AR727" i="1"/>
  <c r="AS727" i="1"/>
  <c r="AV727" i="1"/>
  <c r="AW727" i="1"/>
  <c r="AX727" i="1"/>
  <c r="AY727" i="1"/>
  <c r="BJ727" i="1"/>
  <c r="BL727" i="1"/>
  <c r="BM727" i="1"/>
  <c r="BN727" i="1"/>
  <c r="AM728" i="1"/>
  <c r="AN728" i="1" s="1"/>
  <c r="BC728" i="1" s="1"/>
  <c r="AO728" i="1"/>
  <c r="BG728" i="1" s="1"/>
  <c r="AR728" i="1"/>
  <c r="AS728" i="1"/>
  <c r="AV728" i="1"/>
  <c r="AW728" i="1"/>
  <c r="W728" i="1" s="1"/>
  <c r="AX728" i="1"/>
  <c r="AY728" i="1"/>
  <c r="BJ728" i="1"/>
  <c r="BL728" i="1"/>
  <c r="BM728" i="1"/>
  <c r="BN728" i="1"/>
  <c r="AM729" i="1"/>
  <c r="AN729" i="1" s="1"/>
  <c r="BC729" i="1" s="1"/>
  <c r="AO729" i="1"/>
  <c r="AR729" i="1"/>
  <c r="AS729" i="1"/>
  <c r="AV729" i="1"/>
  <c r="AW729" i="1"/>
  <c r="BK729" i="1" s="1"/>
  <c r="AX729" i="1"/>
  <c r="AY729" i="1"/>
  <c r="BJ729" i="1"/>
  <c r="BL729" i="1"/>
  <c r="BM729" i="1"/>
  <c r="BN729" i="1"/>
  <c r="AM730" i="1"/>
  <c r="AN730" i="1" s="1"/>
  <c r="BC730" i="1" s="1"/>
  <c r="AO730" i="1"/>
  <c r="AP730" i="1" s="1"/>
  <c r="AR730" i="1"/>
  <c r="AS730" i="1"/>
  <c r="AV730" i="1"/>
  <c r="AW730" i="1"/>
  <c r="W730" i="1" s="1"/>
  <c r="AX730" i="1"/>
  <c r="AY730" i="1"/>
  <c r="BJ730" i="1"/>
  <c r="BL730" i="1"/>
  <c r="BM730" i="1"/>
  <c r="BN730" i="1"/>
  <c r="AM731" i="1"/>
  <c r="AN731" i="1" s="1"/>
  <c r="BC731" i="1" s="1"/>
  <c r="AO731" i="1"/>
  <c r="AP731" i="1" s="1"/>
  <c r="AR731" i="1"/>
  <c r="AS731" i="1"/>
  <c r="AV731" i="1"/>
  <c r="AW731" i="1"/>
  <c r="W731" i="1" s="1"/>
  <c r="AX731" i="1"/>
  <c r="AY731" i="1"/>
  <c r="BJ731" i="1"/>
  <c r="BL731" i="1"/>
  <c r="BM731" i="1"/>
  <c r="BN731" i="1"/>
  <c r="AM732" i="1"/>
  <c r="AN732" i="1" s="1"/>
  <c r="BC732" i="1" s="1"/>
  <c r="AO732" i="1"/>
  <c r="BG732" i="1" s="1"/>
  <c r="AR732" i="1"/>
  <c r="AS732" i="1"/>
  <c r="AV732" i="1"/>
  <c r="AW732" i="1"/>
  <c r="X732" i="1" s="1"/>
  <c r="AX732" i="1"/>
  <c r="AY732" i="1"/>
  <c r="BJ732" i="1"/>
  <c r="BL732" i="1"/>
  <c r="BM732" i="1"/>
  <c r="BN732" i="1"/>
  <c r="AM733" i="1"/>
  <c r="AN733" i="1" s="1"/>
  <c r="BC733" i="1" s="1"/>
  <c r="AO733" i="1"/>
  <c r="AP733" i="1" s="1"/>
  <c r="AR733" i="1"/>
  <c r="AS733" i="1"/>
  <c r="AV733" i="1"/>
  <c r="AW733" i="1"/>
  <c r="BK733" i="1" s="1"/>
  <c r="AX733" i="1"/>
  <c r="AY733" i="1"/>
  <c r="BJ733" i="1"/>
  <c r="BL733" i="1"/>
  <c r="BM733" i="1"/>
  <c r="BN733" i="1"/>
  <c r="AM734" i="1"/>
  <c r="AN734" i="1" s="1"/>
  <c r="BC734" i="1" s="1"/>
  <c r="AO734" i="1"/>
  <c r="AP734" i="1" s="1"/>
  <c r="AR734" i="1"/>
  <c r="AS734" i="1"/>
  <c r="AV734" i="1"/>
  <c r="AW734" i="1"/>
  <c r="BK734" i="1" s="1"/>
  <c r="AX734" i="1"/>
  <c r="AY734" i="1"/>
  <c r="BJ734" i="1"/>
  <c r="BL734" i="1"/>
  <c r="BM734" i="1"/>
  <c r="BN734" i="1"/>
  <c r="AM735" i="1"/>
  <c r="AN735" i="1" s="1"/>
  <c r="AO735" i="1"/>
  <c r="BG735" i="1" s="1"/>
  <c r="AR735" i="1"/>
  <c r="AS735" i="1"/>
  <c r="AV735" i="1"/>
  <c r="AW735" i="1"/>
  <c r="AX735" i="1"/>
  <c r="AY735" i="1"/>
  <c r="BJ735" i="1"/>
  <c r="BL735" i="1"/>
  <c r="BM735" i="1"/>
  <c r="BN735" i="1"/>
  <c r="AM736" i="1"/>
  <c r="AN736" i="1" s="1"/>
  <c r="BC736" i="1" s="1"/>
  <c r="AO736" i="1"/>
  <c r="BG736" i="1" s="1"/>
  <c r="AR736" i="1"/>
  <c r="AS736" i="1"/>
  <c r="AV736" i="1"/>
  <c r="AW736" i="1"/>
  <c r="W736" i="1" s="1"/>
  <c r="AX736" i="1"/>
  <c r="AY736" i="1"/>
  <c r="BJ736" i="1"/>
  <c r="BL736" i="1"/>
  <c r="BM736" i="1"/>
  <c r="BN736" i="1"/>
  <c r="AM737" i="1"/>
  <c r="AN737" i="1" s="1"/>
  <c r="BC737" i="1" s="1"/>
  <c r="AO737" i="1"/>
  <c r="AP737" i="1" s="1"/>
  <c r="AR737" i="1"/>
  <c r="AS737" i="1"/>
  <c r="AV737" i="1"/>
  <c r="AW737" i="1"/>
  <c r="BK737" i="1" s="1"/>
  <c r="AX737" i="1"/>
  <c r="AY737" i="1"/>
  <c r="BJ737" i="1"/>
  <c r="BL737" i="1"/>
  <c r="BM737" i="1"/>
  <c r="BN737" i="1"/>
  <c r="AM738" i="1"/>
  <c r="AN738" i="1" s="1"/>
  <c r="AO738" i="1"/>
  <c r="AR738" i="1"/>
  <c r="AS738" i="1"/>
  <c r="AV738" i="1"/>
  <c r="AW738" i="1"/>
  <c r="BK738" i="1" s="1"/>
  <c r="AX738" i="1"/>
  <c r="AY738" i="1"/>
  <c r="BJ738" i="1"/>
  <c r="BL738" i="1"/>
  <c r="BM738" i="1"/>
  <c r="BN738" i="1"/>
  <c r="AM739" i="1"/>
  <c r="AN739" i="1" s="1"/>
  <c r="AO739" i="1"/>
  <c r="AR739" i="1"/>
  <c r="AS739" i="1"/>
  <c r="AV739" i="1"/>
  <c r="AW739" i="1"/>
  <c r="BK739" i="1" s="1"/>
  <c r="AX739" i="1"/>
  <c r="AY739" i="1"/>
  <c r="BJ739" i="1"/>
  <c r="BL739" i="1"/>
  <c r="BM739" i="1"/>
  <c r="BN739" i="1"/>
  <c r="AM740" i="1"/>
  <c r="AN740" i="1" s="1"/>
  <c r="BC740" i="1" s="1"/>
  <c r="AO740" i="1"/>
  <c r="BG740" i="1" s="1"/>
  <c r="AR740" i="1"/>
  <c r="AS740" i="1"/>
  <c r="AV740" i="1"/>
  <c r="AW740" i="1"/>
  <c r="W740" i="1" s="1"/>
  <c r="AX740" i="1"/>
  <c r="AY740" i="1"/>
  <c r="BJ740" i="1"/>
  <c r="BL740" i="1"/>
  <c r="BM740" i="1"/>
  <c r="BN740" i="1"/>
  <c r="AM741" i="1"/>
  <c r="AN741" i="1" s="1"/>
  <c r="BC741" i="1" s="1"/>
  <c r="AO741" i="1"/>
  <c r="AR741" i="1"/>
  <c r="AS741" i="1"/>
  <c r="AV741" i="1"/>
  <c r="AW741" i="1"/>
  <c r="AX741" i="1"/>
  <c r="AY741" i="1"/>
  <c r="BJ741" i="1"/>
  <c r="BL741" i="1"/>
  <c r="BM741" i="1"/>
  <c r="BN741" i="1"/>
  <c r="AM742" i="1"/>
  <c r="AN742" i="1" s="1"/>
  <c r="BC742" i="1" s="1"/>
  <c r="AO742" i="1"/>
  <c r="AP742" i="1" s="1"/>
  <c r="AR742" i="1"/>
  <c r="AS742" i="1"/>
  <c r="AV742" i="1"/>
  <c r="AW742" i="1"/>
  <c r="BK742" i="1" s="1"/>
  <c r="AX742" i="1"/>
  <c r="AY742" i="1"/>
  <c r="BJ742" i="1"/>
  <c r="BL742" i="1"/>
  <c r="BM742" i="1"/>
  <c r="BN742" i="1"/>
  <c r="AM743" i="1"/>
  <c r="AO743" i="1"/>
  <c r="BA743" i="1" s="1"/>
  <c r="AR743" i="1"/>
  <c r="AS743" i="1"/>
  <c r="AV743" i="1"/>
  <c r="AW743" i="1"/>
  <c r="BK743" i="1" s="1"/>
  <c r="AX743" i="1"/>
  <c r="AY743" i="1"/>
  <c r="BJ743" i="1"/>
  <c r="BL743" i="1"/>
  <c r="BM743" i="1"/>
  <c r="BN743" i="1"/>
  <c r="AM744" i="1"/>
  <c r="AN744" i="1" s="1"/>
  <c r="BC744" i="1" s="1"/>
  <c r="AO744" i="1"/>
  <c r="BG744" i="1" s="1"/>
  <c r="AR744" i="1"/>
  <c r="AS744" i="1"/>
  <c r="AV744" i="1"/>
  <c r="AW744" i="1"/>
  <c r="W744" i="1" s="1"/>
  <c r="AX744" i="1"/>
  <c r="AY744" i="1"/>
  <c r="BJ744" i="1"/>
  <c r="BL744" i="1"/>
  <c r="BM744" i="1"/>
  <c r="BN744" i="1"/>
  <c r="AM745" i="1"/>
  <c r="AN745" i="1" s="1"/>
  <c r="BC745" i="1" s="1"/>
  <c r="AO745" i="1"/>
  <c r="BA745" i="1" s="1"/>
  <c r="AR745" i="1"/>
  <c r="AS745" i="1"/>
  <c r="AV745" i="1"/>
  <c r="AW745" i="1"/>
  <c r="X745" i="1" s="1"/>
  <c r="AX745" i="1"/>
  <c r="AY745" i="1"/>
  <c r="BJ745" i="1"/>
  <c r="BL745" i="1"/>
  <c r="BM745" i="1"/>
  <c r="BN745" i="1"/>
  <c r="AM746" i="1"/>
  <c r="AN746" i="1" s="1"/>
  <c r="BC746" i="1" s="1"/>
  <c r="AO746" i="1"/>
  <c r="AR746" i="1"/>
  <c r="AS746" i="1"/>
  <c r="AV746" i="1"/>
  <c r="AW746" i="1"/>
  <c r="BK746" i="1" s="1"/>
  <c r="AX746" i="1"/>
  <c r="AY746" i="1"/>
  <c r="BJ746" i="1"/>
  <c r="BL746" i="1"/>
  <c r="BM746" i="1"/>
  <c r="BN746" i="1"/>
  <c r="AM747" i="1"/>
  <c r="AN747" i="1" s="1"/>
  <c r="BC747" i="1" s="1"/>
  <c r="AO747" i="1"/>
  <c r="BA747" i="1" s="1"/>
  <c r="AR747" i="1"/>
  <c r="AS747" i="1"/>
  <c r="AV747" i="1"/>
  <c r="AW747" i="1"/>
  <c r="BK747" i="1" s="1"/>
  <c r="AX747" i="1"/>
  <c r="AY747" i="1"/>
  <c r="BJ747" i="1"/>
  <c r="BL747" i="1"/>
  <c r="BM747" i="1"/>
  <c r="BN747" i="1"/>
  <c r="AM748" i="1"/>
  <c r="AN748" i="1" s="1"/>
  <c r="BC748" i="1" s="1"/>
  <c r="AO748" i="1"/>
  <c r="BG748" i="1" s="1"/>
  <c r="AR748" i="1"/>
  <c r="AS748" i="1"/>
  <c r="AV748" i="1"/>
  <c r="AW748" i="1"/>
  <c r="W748" i="1" s="1"/>
  <c r="AX748" i="1"/>
  <c r="AY748" i="1"/>
  <c r="BJ748" i="1"/>
  <c r="BL748" i="1"/>
  <c r="BM748" i="1"/>
  <c r="BN748" i="1"/>
  <c r="AM749" i="1"/>
  <c r="AN749" i="1" s="1"/>
  <c r="BC749" i="1" s="1"/>
  <c r="AO749" i="1"/>
  <c r="AR749" i="1"/>
  <c r="AS749" i="1"/>
  <c r="AV749" i="1"/>
  <c r="AW749" i="1"/>
  <c r="AX749" i="1"/>
  <c r="AY749" i="1"/>
  <c r="BJ749" i="1"/>
  <c r="BL749" i="1"/>
  <c r="BM749" i="1"/>
  <c r="BN749" i="1"/>
  <c r="AM750" i="1"/>
  <c r="AN750" i="1" s="1"/>
  <c r="BC750" i="1" s="1"/>
  <c r="AO750" i="1"/>
  <c r="BG750" i="1" s="1"/>
  <c r="AR750" i="1"/>
  <c r="AS750" i="1"/>
  <c r="AV750" i="1"/>
  <c r="AW750" i="1"/>
  <c r="AX750" i="1"/>
  <c r="AY750" i="1"/>
  <c r="BJ750" i="1"/>
  <c r="BL750" i="1"/>
  <c r="BM750" i="1"/>
  <c r="BN750" i="1"/>
  <c r="AM751" i="1"/>
  <c r="AO751" i="1"/>
  <c r="AR751" i="1"/>
  <c r="AS751" i="1"/>
  <c r="AV751" i="1"/>
  <c r="AW751" i="1"/>
  <c r="BK751" i="1" s="1"/>
  <c r="AX751" i="1"/>
  <c r="AY751" i="1"/>
  <c r="BJ751" i="1"/>
  <c r="BL751" i="1"/>
  <c r="BM751" i="1"/>
  <c r="BN751" i="1"/>
  <c r="AM752" i="1"/>
  <c r="AN752" i="1" s="1"/>
  <c r="BC752" i="1" s="1"/>
  <c r="AO752" i="1"/>
  <c r="BG752" i="1" s="1"/>
  <c r="AR752" i="1"/>
  <c r="AS752" i="1"/>
  <c r="AV752" i="1"/>
  <c r="AW752" i="1"/>
  <c r="BK752" i="1" s="1"/>
  <c r="AX752" i="1"/>
  <c r="AY752" i="1"/>
  <c r="BJ752" i="1"/>
  <c r="BL752" i="1"/>
  <c r="BM752" i="1"/>
  <c r="BN752" i="1"/>
  <c r="AM753" i="1"/>
  <c r="AO753" i="1"/>
  <c r="BF753" i="1" s="1"/>
  <c r="AR753" i="1"/>
  <c r="AS753" i="1"/>
  <c r="AV753" i="1"/>
  <c r="AW753" i="1"/>
  <c r="BK753" i="1" s="1"/>
  <c r="AX753" i="1"/>
  <c r="AY753" i="1"/>
  <c r="BJ753" i="1"/>
  <c r="BL753" i="1"/>
  <c r="BM753" i="1"/>
  <c r="BN753" i="1"/>
  <c r="AM754" i="1"/>
  <c r="AN754" i="1" s="1"/>
  <c r="BC754" i="1" s="1"/>
  <c r="AO754" i="1"/>
  <c r="BG754" i="1" s="1"/>
  <c r="AR754" i="1"/>
  <c r="AS754" i="1"/>
  <c r="AV754" i="1"/>
  <c r="AW754" i="1"/>
  <c r="AX754" i="1"/>
  <c r="AY754" i="1"/>
  <c r="BJ754" i="1"/>
  <c r="BL754" i="1"/>
  <c r="BM754" i="1"/>
  <c r="BN754" i="1"/>
  <c r="AM755" i="1"/>
  <c r="AN755" i="1" s="1"/>
  <c r="BC755" i="1" s="1"/>
  <c r="AO755" i="1"/>
  <c r="AP755" i="1" s="1"/>
  <c r="AR755" i="1"/>
  <c r="AS755" i="1"/>
  <c r="AV755" i="1"/>
  <c r="AW755" i="1"/>
  <c r="AX755" i="1"/>
  <c r="AY755" i="1"/>
  <c r="BJ755" i="1"/>
  <c r="BL755" i="1"/>
  <c r="BM755" i="1"/>
  <c r="BN755" i="1"/>
  <c r="AM756" i="1"/>
  <c r="AN756" i="1" s="1"/>
  <c r="BC756" i="1" s="1"/>
  <c r="AO756" i="1"/>
  <c r="AZ756" i="1" s="1"/>
  <c r="AR756" i="1"/>
  <c r="AS756" i="1"/>
  <c r="AV756" i="1"/>
  <c r="AW756" i="1"/>
  <c r="W756" i="1" s="1"/>
  <c r="AX756" i="1"/>
  <c r="AY756" i="1"/>
  <c r="BJ756" i="1"/>
  <c r="BL756" i="1"/>
  <c r="BM756" i="1"/>
  <c r="BN756" i="1"/>
  <c r="AM757" i="1"/>
  <c r="AN757" i="1" s="1"/>
  <c r="BC757" i="1" s="1"/>
  <c r="AO757" i="1"/>
  <c r="AR757" i="1"/>
  <c r="AS757" i="1"/>
  <c r="AV757" i="1"/>
  <c r="AW757" i="1"/>
  <c r="W757" i="1" s="1"/>
  <c r="AX757" i="1"/>
  <c r="AY757" i="1"/>
  <c r="BJ757" i="1"/>
  <c r="BL757" i="1"/>
  <c r="BM757" i="1"/>
  <c r="BN757" i="1"/>
  <c r="AM758" i="1"/>
  <c r="AN758" i="1" s="1"/>
  <c r="BC758" i="1" s="1"/>
  <c r="AO758" i="1"/>
  <c r="AP758" i="1" s="1"/>
  <c r="AR758" i="1"/>
  <c r="AS758" i="1"/>
  <c r="AV758" i="1"/>
  <c r="AW758" i="1"/>
  <c r="BK758" i="1" s="1"/>
  <c r="AX758" i="1"/>
  <c r="AY758" i="1"/>
  <c r="BJ758" i="1"/>
  <c r="BL758" i="1"/>
  <c r="BM758" i="1"/>
  <c r="BN758" i="1"/>
  <c r="AM759" i="1"/>
  <c r="AN759" i="1" s="1"/>
  <c r="BC759" i="1" s="1"/>
  <c r="AO759" i="1"/>
  <c r="AR759" i="1"/>
  <c r="AS759" i="1"/>
  <c r="AV759" i="1"/>
  <c r="AW759" i="1"/>
  <c r="BK759" i="1" s="1"/>
  <c r="AX759" i="1"/>
  <c r="AY759" i="1"/>
  <c r="BJ759" i="1"/>
  <c r="BL759" i="1"/>
  <c r="BM759" i="1"/>
  <c r="BN759" i="1"/>
  <c r="AM760" i="1"/>
  <c r="AN760" i="1" s="1"/>
  <c r="BC760" i="1" s="1"/>
  <c r="AO760" i="1"/>
  <c r="AP760" i="1" s="1"/>
  <c r="AR760" i="1"/>
  <c r="AS760" i="1"/>
  <c r="AV760" i="1"/>
  <c r="AW760" i="1"/>
  <c r="BK760" i="1" s="1"/>
  <c r="AX760" i="1"/>
  <c r="AY760" i="1"/>
  <c r="BJ760" i="1"/>
  <c r="BL760" i="1"/>
  <c r="BM760" i="1"/>
  <c r="BN760" i="1"/>
  <c r="AM761" i="1"/>
  <c r="AN761" i="1" s="1"/>
  <c r="BC761" i="1" s="1"/>
  <c r="AO761" i="1"/>
  <c r="AR761" i="1"/>
  <c r="AS761" i="1"/>
  <c r="AV761" i="1"/>
  <c r="AW761" i="1"/>
  <c r="X761" i="1" s="1"/>
  <c r="AX761" i="1"/>
  <c r="AY761" i="1"/>
  <c r="BJ761" i="1"/>
  <c r="BL761" i="1"/>
  <c r="BM761" i="1"/>
  <c r="BN761" i="1"/>
  <c r="AM762" i="1"/>
  <c r="AN762" i="1" s="1"/>
  <c r="BC762" i="1" s="1"/>
  <c r="AO762" i="1"/>
  <c r="AP762" i="1" s="1"/>
  <c r="AR762" i="1"/>
  <c r="AS762" i="1"/>
  <c r="AV762" i="1"/>
  <c r="AW762" i="1"/>
  <c r="BK762" i="1" s="1"/>
  <c r="AX762" i="1"/>
  <c r="AY762" i="1"/>
  <c r="BJ762" i="1"/>
  <c r="BL762" i="1"/>
  <c r="BM762" i="1"/>
  <c r="BN762" i="1"/>
  <c r="AM763" i="1"/>
  <c r="AN763" i="1" s="1"/>
  <c r="BC763" i="1" s="1"/>
  <c r="AO763" i="1"/>
  <c r="AP763" i="1" s="1"/>
  <c r="AR763" i="1"/>
  <c r="AS763" i="1"/>
  <c r="AV763" i="1"/>
  <c r="AW763" i="1"/>
  <c r="BK763" i="1" s="1"/>
  <c r="AX763" i="1"/>
  <c r="AY763" i="1"/>
  <c r="BJ763" i="1"/>
  <c r="BL763" i="1"/>
  <c r="BM763" i="1"/>
  <c r="BN763" i="1"/>
  <c r="AM764" i="1"/>
  <c r="AN764" i="1" s="1"/>
  <c r="BC764" i="1" s="1"/>
  <c r="AO764" i="1"/>
  <c r="AP764" i="1" s="1"/>
  <c r="AR764" i="1"/>
  <c r="AS764" i="1"/>
  <c r="AV764" i="1"/>
  <c r="AW764" i="1"/>
  <c r="BK764" i="1" s="1"/>
  <c r="AX764" i="1"/>
  <c r="AY764" i="1"/>
  <c r="BJ764" i="1"/>
  <c r="BL764" i="1"/>
  <c r="BM764" i="1"/>
  <c r="BN764" i="1"/>
  <c r="AM765" i="1"/>
  <c r="AN765" i="1" s="1"/>
  <c r="BC765" i="1" s="1"/>
  <c r="AO765" i="1"/>
  <c r="AP765" i="1" s="1"/>
  <c r="AR765" i="1"/>
  <c r="AS765" i="1"/>
  <c r="AV765" i="1"/>
  <c r="AW765" i="1"/>
  <c r="X765" i="1" s="1"/>
  <c r="AX765" i="1"/>
  <c r="AY765" i="1"/>
  <c r="BJ765" i="1"/>
  <c r="BL765" i="1"/>
  <c r="BM765" i="1"/>
  <c r="BN765" i="1"/>
  <c r="AM766" i="1"/>
  <c r="AN766" i="1" s="1"/>
  <c r="BC766" i="1" s="1"/>
  <c r="AO766" i="1"/>
  <c r="AP766" i="1" s="1"/>
  <c r="AR766" i="1"/>
  <c r="AS766" i="1"/>
  <c r="AV766" i="1"/>
  <c r="AW766" i="1"/>
  <c r="BK766" i="1" s="1"/>
  <c r="AX766" i="1"/>
  <c r="AY766" i="1"/>
  <c r="BJ766" i="1"/>
  <c r="BL766" i="1"/>
  <c r="BM766" i="1"/>
  <c r="BN766" i="1"/>
  <c r="AM767" i="1"/>
  <c r="AN767" i="1" s="1"/>
  <c r="BC767" i="1" s="1"/>
  <c r="AO767" i="1"/>
  <c r="AR767" i="1"/>
  <c r="AS767" i="1"/>
  <c r="AV767" i="1"/>
  <c r="AW767" i="1"/>
  <c r="W767" i="1" s="1"/>
  <c r="AX767" i="1"/>
  <c r="AY767" i="1"/>
  <c r="BJ767" i="1"/>
  <c r="BL767" i="1"/>
  <c r="BM767" i="1"/>
  <c r="BN767" i="1"/>
  <c r="AM768" i="1"/>
  <c r="AN768" i="1" s="1"/>
  <c r="BC768" i="1" s="1"/>
  <c r="AO768" i="1"/>
  <c r="AR768" i="1"/>
  <c r="AS768" i="1"/>
  <c r="AV768" i="1"/>
  <c r="AW768" i="1"/>
  <c r="W768" i="1" s="1"/>
  <c r="AX768" i="1"/>
  <c r="AY768" i="1"/>
  <c r="BJ768" i="1"/>
  <c r="BL768" i="1"/>
  <c r="BM768" i="1"/>
  <c r="BN768" i="1"/>
  <c r="AM769" i="1"/>
  <c r="AN769" i="1" s="1"/>
  <c r="BC769" i="1" s="1"/>
  <c r="AO769" i="1"/>
  <c r="AP769" i="1" s="1"/>
  <c r="AR769" i="1"/>
  <c r="AS769" i="1"/>
  <c r="AV769" i="1"/>
  <c r="AW769" i="1"/>
  <c r="AX769" i="1"/>
  <c r="AY769" i="1"/>
  <c r="BJ769" i="1"/>
  <c r="BL769" i="1"/>
  <c r="BM769" i="1"/>
  <c r="BN769" i="1"/>
  <c r="AM770" i="1"/>
  <c r="AN770" i="1" s="1"/>
  <c r="BC770" i="1" s="1"/>
  <c r="AO770" i="1"/>
  <c r="AP770" i="1" s="1"/>
  <c r="AR770" i="1"/>
  <c r="AS770" i="1"/>
  <c r="AV770" i="1"/>
  <c r="AW770" i="1"/>
  <c r="AX770" i="1"/>
  <c r="AY770" i="1"/>
  <c r="BJ770" i="1"/>
  <c r="BL770" i="1"/>
  <c r="BM770" i="1"/>
  <c r="BN770" i="1"/>
  <c r="AM771" i="1"/>
  <c r="AN771" i="1" s="1"/>
  <c r="BC771" i="1" s="1"/>
  <c r="AO771" i="1"/>
  <c r="AP771" i="1" s="1"/>
  <c r="AR771" i="1"/>
  <c r="AS771" i="1"/>
  <c r="AV771" i="1"/>
  <c r="AW771" i="1"/>
  <c r="BK771" i="1" s="1"/>
  <c r="AX771" i="1"/>
  <c r="AY771" i="1"/>
  <c r="BJ771" i="1"/>
  <c r="BL771" i="1"/>
  <c r="BM771" i="1"/>
  <c r="BN771" i="1"/>
  <c r="AM772" i="1"/>
  <c r="AN772" i="1" s="1"/>
  <c r="BC772" i="1" s="1"/>
  <c r="AO772" i="1"/>
  <c r="AP772" i="1" s="1"/>
  <c r="AR772" i="1"/>
  <c r="AS772" i="1"/>
  <c r="AV772" i="1"/>
  <c r="AW772" i="1"/>
  <c r="BK772" i="1" s="1"/>
  <c r="AX772" i="1"/>
  <c r="AY772" i="1"/>
  <c r="BJ772" i="1"/>
  <c r="BL772" i="1"/>
  <c r="BM772" i="1"/>
  <c r="BN772" i="1"/>
  <c r="AM773" i="1"/>
  <c r="AN773" i="1" s="1"/>
  <c r="BC773" i="1" s="1"/>
  <c r="AO773" i="1"/>
  <c r="AR773" i="1"/>
  <c r="AS773" i="1"/>
  <c r="AV773" i="1"/>
  <c r="AW773" i="1"/>
  <c r="W773" i="1" s="1"/>
  <c r="AX773" i="1"/>
  <c r="AY773" i="1"/>
  <c r="BJ773" i="1"/>
  <c r="BL773" i="1"/>
  <c r="BM773" i="1"/>
  <c r="BN773" i="1"/>
  <c r="AM774" i="1"/>
  <c r="AN774" i="1" s="1"/>
  <c r="AO774" i="1"/>
  <c r="AP774" i="1" s="1"/>
  <c r="AV774" i="1"/>
  <c r="AW774" i="1"/>
  <c r="BK774" i="1" s="1"/>
  <c r="AX774" i="1"/>
  <c r="AY774" i="1"/>
  <c r="BJ774" i="1"/>
  <c r="BL774" i="1"/>
  <c r="BM774" i="1"/>
  <c r="BN774" i="1"/>
  <c r="AM876" i="1"/>
  <c r="AN876" i="1" s="1"/>
  <c r="BC876" i="1" s="1"/>
  <c r="AO876" i="1"/>
  <c r="AR876" i="1"/>
  <c r="AS876" i="1"/>
  <c r="AV876" i="1"/>
  <c r="AW876" i="1"/>
  <c r="BK876" i="1" s="1"/>
  <c r="AX876" i="1"/>
  <c r="AY876" i="1"/>
  <c r="BJ876" i="1"/>
  <c r="BL876" i="1"/>
  <c r="BM876" i="1"/>
  <c r="BN876" i="1"/>
  <c r="AM776" i="1"/>
  <c r="AN776" i="1" s="1"/>
  <c r="AO776" i="1"/>
  <c r="AV776" i="1"/>
  <c r="AW776" i="1"/>
  <c r="BK776" i="1" s="1"/>
  <c r="AX776" i="1"/>
  <c r="AY776" i="1"/>
  <c r="BJ776" i="1"/>
  <c r="BL776" i="1"/>
  <c r="BM776" i="1"/>
  <c r="BN776" i="1"/>
  <c r="AM777" i="1"/>
  <c r="AN777" i="1" s="1"/>
  <c r="AO777" i="1"/>
  <c r="AP777" i="1" s="1"/>
  <c r="AV777" i="1"/>
  <c r="AW777" i="1"/>
  <c r="W777" i="1" s="1"/>
  <c r="AX777" i="1"/>
  <c r="AY777" i="1"/>
  <c r="BJ777" i="1"/>
  <c r="BL777" i="1"/>
  <c r="BM777" i="1"/>
  <c r="BN777" i="1"/>
  <c r="AM778" i="1"/>
  <c r="AN778" i="1" s="1"/>
  <c r="AO778" i="1"/>
  <c r="AP778" i="1" s="1"/>
  <c r="AV778" i="1"/>
  <c r="AW778" i="1"/>
  <c r="BK778" i="1" s="1"/>
  <c r="AX778" i="1"/>
  <c r="AY778" i="1"/>
  <c r="BJ778" i="1"/>
  <c r="BL778" i="1"/>
  <c r="BM778" i="1"/>
  <c r="BN778" i="1"/>
  <c r="AM779" i="1"/>
  <c r="AN779" i="1" s="1"/>
  <c r="AO779" i="1"/>
  <c r="AP779" i="1" s="1"/>
  <c r="AV779" i="1"/>
  <c r="AW779" i="1"/>
  <c r="AX779" i="1"/>
  <c r="AY779" i="1"/>
  <c r="BJ779" i="1"/>
  <c r="BL779" i="1"/>
  <c r="BM779" i="1"/>
  <c r="BN779" i="1"/>
  <c r="AM780" i="1"/>
  <c r="AO780" i="1"/>
  <c r="BH780" i="1" s="1"/>
  <c r="AV780" i="1"/>
  <c r="AW780" i="1"/>
  <c r="W780" i="1" s="1"/>
  <c r="AX780" i="1"/>
  <c r="AY780" i="1"/>
  <c r="BJ780" i="1"/>
  <c r="BL780" i="1"/>
  <c r="BM780" i="1"/>
  <c r="BN780" i="1"/>
  <c r="AM781" i="1"/>
  <c r="AN781" i="1" s="1"/>
  <c r="AO781" i="1"/>
  <c r="BH781" i="1" s="1"/>
  <c r="AV781" i="1"/>
  <c r="AW781" i="1"/>
  <c r="W781" i="1" s="1"/>
  <c r="AX781" i="1"/>
  <c r="AY781" i="1"/>
  <c r="BJ781" i="1"/>
  <c r="BL781" i="1"/>
  <c r="BM781" i="1"/>
  <c r="BN781" i="1"/>
  <c r="AM782" i="1"/>
  <c r="AO782" i="1"/>
  <c r="BF782" i="1" s="1"/>
  <c r="AR782" i="1"/>
  <c r="AV782" i="1"/>
  <c r="AW782" i="1"/>
  <c r="BK782" i="1" s="1"/>
  <c r="AX782" i="1"/>
  <c r="AY782" i="1"/>
  <c r="BJ782" i="1"/>
  <c r="BL782" i="1"/>
  <c r="BM782" i="1"/>
  <c r="BN782" i="1"/>
  <c r="AM783" i="1"/>
  <c r="AO783" i="1"/>
  <c r="AP783" i="1" s="1"/>
  <c r="AV783" i="1"/>
  <c r="AW783" i="1"/>
  <c r="X783" i="1" s="1"/>
  <c r="AX783" i="1"/>
  <c r="AY783" i="1"/>
  <c r="BJ783" i="1"/>
  <c r="BL783" i="1"/>
  <c r="BM783" i="1"/>
  <c r="BN783" i="1"/>
  <c r="AM784" i="1"/>
  <c r="AO784" i="1"/>
  <c r="AV784" i="1"/>
  <c r="AW784" i="1"/>
  <c r="BK784" i="1" s="1"/>
  <c r="AX784" i="1"/>
  <c r="AY784" i="1"/>
  <c r="BJ784" i="1"/>
  <c r="BL784" i="1"/>
  <c r="BM784" i="1"/>
  <c r="BN784" i="1"/>
  <c r="AM785" i="1"/>
  <c r="AO785" i="1"/>
  <c r="AZ785" i="1" s="1"/>
  <c r="AR785" i="1"/>
  <c r="AV785" i="1"/>
  <c r="AW785" i="1"/>
  <c r="AX785" i="1"/>
  <c r="AY785" i="1"/>
  <c r="BJ785" i="1"/>
  <c r="BL785" i="1"/>
  <c r="BM785" i="1"/>
  <c r="BN785" i="1"/>
  <c r="AM786" i="1"/>
  <c r="AO786" i="1"/>
  <c r="AV786" i="1"/>
  <c r="AW786" i="1"/>
  <c r="X786" i="1" s="1"/>
  <c r="AX786" i="1"/>
  <c r="AY786" i="1"/>
  <c r="BJ786" i="1"/>
  <c r="BL786" i="1"/>
  <c r="BM786" i="1"/>
  <c r="BN786" i="1"/>
  <c r="AM787" i="1"/>
  <c r="AN787" i="1" s="1"/>
  <c r="AO787" i="1"/>
  <c r="AP787" i="1" s="1"/>
  <c r="AV787" i="1"/>
  <c r="AW787" i="1"/>
  <c r="AX787" i="1"/>
  <c r="AY787" i="1"/>
  <c r="BJ787" i="1"/>
  <c r="BL787" i="1"/>
  <c r="BM787" i="1"/>
  <c r="BN787" i="1"/>
  <c r="AM788" i="1"/>
  <c r="AO788" i="1"/>
  <c r="AZ788" i="1" s="1"/>
  <c r="AV788" i="1"/>
  <c r="AW788" i="1"/>
  <c r="AX788" i="1"/>
  <c r="AY788" i="1"/>
  <c r="BJ788" i="1"/>
  <c r="BL788" i="1"/>
  <c r="BM788" i="1"/>
  <c r="BN788" i="1"/>
  <c r="AM789" i="1"/>
  <c r="AN789" i="1" s="1"/>
  <c r="AO789" i="1"/>
  <c r="BF789" i="1" s="1"/>
  <c r="AV789" i="1"/>
  <c r="AW789" i="1"/>
  <c r="X789" i="1" s="1"/>
  <c r="AX789" i="1"/>
  <c r="AY789" i="1"/>
  <c r="BJ789" i="1"/>
  <c r="BL789" i="1"/>
  <c r="BM789" i="1"/>
  <c r="BN789" i="1"/>
  <c r="AM790" i="1"/>
  <c r="AO790" i="1"/>
  <c r="BF790" i="1" s="1"/>
  <c r="AV790" i="1"/>
  <c r="AW790" i="1"/>
  <c r="AX790" i="1"/>
  <c r="AY790" i="1"/>
  <c r="BJ790" i="1"/>
  <c r="BL790" i="1"/>
  <c r="BM790" i="1"/>
  <c r="BN790" i="1"/>
  <c r="AM791" i="1"/>
  <c r="AN791" i="1" s="1"/>
  <c r="AO791" i="1"/>
  <c r="BF791" i="1" s="1"/>
  <c r="AV791" i="1"/>
  <c r="AW791" i="1"/>
  <c r="BK791" i="1" s="1"/>
  <c r="AX791" i="1"/>
  <c r="AY791" i="1"/>
  <c r="BJ791" i="1"/>
  <c r="BL791" i="1"/>
  <c r="BM791" i="1"/>
  <c r="BN791" i="1"/>
  <c r="AM792" i="1"/>
  <c r="AN792" i="1" s="1"/>
  <c r="AO792" i="1"/>
  <c r="AZ792" i="1" s="1"/>
  <c r="AV792" i="1"/>
  <c r="AW792" i="1"/>
  <c r="AX792" i="1"/>
  <c r="AY792" i="1"/>
  <c r="BJ792" i="1"/>
  <c r="BL792" i="1"/>
  <c r="BM792" i="1"/>
  <c r="BN792" i="1"/>
  <c r="AM793" i="1"/>
  <c r="AN793" i="1" s="1"/>
  <c r="AO793" i="1"/>
  <c r="AZ793" i="1" s="1"/>
  <c r="AV793" i="1"/>
  <c r="AW793" i="1"/>
  <c r="AX793" i="1"/>
  <c r="AY793" i="1"/>
  <c r="BJ793" i="1"/>
  <c r="BL793" i="1"/>
  <c r="BM793" i="1"/>
  <c r="BN793" i="1"/>
  <c r="AM794" i="1"/>
  <c r="AO794" i="1"/>
  <c r="BF794" i="1" s="1"/>
  <c r="AV794" i="1"/>
  <c r="AW794" i="1"/>
  <c r="AX794" i="1"/>
  <c r="AY794" i="1"/>
  <c r="BJ794" i="1"/>
  <c r="BL794" i="1"/>
  <c r="BM794" i="1"/>
  <c r="BN794" i="1"/>
  <c r="AM795" i="1"/>
  <c r="AN795" i="1" s="1"/>
  <c r="AO795" i="1"/>
  <c r="BF795" i="1" s="1"/>
  <c r="AV795" i="1"/>
  <c r="AW795" i="1"/>
  <c r="W795" i="1" s="1"/>
  <c r="AX795" i="1"/>
  <c r="AY795" i="1"/>
  <c r="BJ795" i="1"/>
  <c r="BL795" i="1"/>
  <c r="BM795" i="1"/>
  <c r="BN795" i="1"/>
  <c r="AM796" i="1"/>
  <c r="AN796" i="1" s="1"/>
  <c r="AO796" i="1"/>
  <c r="AZ796" i="1" s="1"/>
  <c r="AV796" i="1"/>
  <c r="AW796" i="1"/>
  <c r="W796" i="1" s="1"/>
  <c r="AX796" i="1"/>
  <c r="AY796" i="1"/>
  <c r="BJ796" i="1"/>
  <c r="BL796" i="1"/>
  <c r="BM796" i="1"/>
  <c r="BN796" i="1"/>
  <c r="AM797" i="1"/>
  <c r="AN797" i="1" s="1"/>
  <c r="AO797" i="1"/>
  <c r="AZ797" i="1" s="1"/>
  <c r="AV797" i="1"/>
  <c r="AW797" i="1"/>
  <c r="W797" i="1" s="1"/>
  <c r="AX797" i="1"/>
  <c r="AY797" i="1"/>
  <c r="BJ797" i="1"/>
  <c r="BL797" i="1"/>
  <c r="BM797" i="1"/>
  <c r="BN797" i="1"/>
  <c r="AM798" i="1"/>
  <c r="AO798" i="1"/>
  <c r="BF798" i="1" s="1"/>
  <c r="AV798" i="1"/>
  <c r="AW798" i="1"/>
  <c r="AX798" i="1"/>
  <c r="AY798" i="1"/>
  <c r="BJ798" i="1"/>
  <c r="BL798" i="1"/>
  <c r="BM798" i="1"/>
  <c r="BN798" i="1"/>
  <c r="AM799" i="1"/>
  <c r="AN799" i="1" s="1"/>
  <c r="AO799" i="1"/>
  <c r="BF799" i="1" s="1"/>
  <c r="AV799" i="1"/>
  <c r="AW799" i="1"/>
  <c r="BK799" i="1" s="1"/>
  <c r="AX799" i="1"/>
  <c r="AY799" i="1"/>
  <c r="BJ799" i="1"/>
  <c r="BL799" i="1"/>
  <c r="BM799" i="1"/>
  <c r="BN799" i="1"/>
  <c r="AM800" i="1"/>
  <c r="AN800" i="1" s="1"/>
  <c r="AO800" i="1"/>
  <c r="AZ800" i="1" s="1"/>
  <c r="AV800" i="1"/>
  <c r="AW800" i="1"/>
  <c r="W800" i="1" s="1"/>
  <c r="AX800" i="1"/>
  <c r="AY800" i="1"/>
  <c r="BJ800" i="1"/>
  <c r="BL800" i="1"/>
  <c r="BM800" i="1"/>
  <c r="BN800" i="1"/>
  <c r="AM801" i="1"/>
  <c r="AN801" i="1" s="1"/>
  <c r="AO801" i="1"/>
  <c r="AZ801" i="1" s="1"/>
  <c r="AV801" i="1"/>
  <c r="AW801" i="1"/>
  <c r="AX801" i="1"/>
  <c r="AY801" i="1"/>
  <c r="BJ801" i="1"/>
  <c r="BL801" i="1"/>
  <c r="BM801" i="1"/>
  <c r="BN801" i="1"/>
  <c r="AM802" i="1"/>
  <c r="AO802" i="1"/>
  <c r="BF802" i="1" s="1"/>
  <c r="AV802" i="1"/>
  <c r="AW802" i="1"/>
  <c r="AX802" i="1"/>
  <c r="AY802" i="1"/>
  <c r="BJ802" i="1"/>
  <c r="BL802" i="1"/>
  <c r="BM802" i="1"/>
  <c r="BN802" i="1"/>
  <c r="AM803" i="1"/>
  <c r="AN803" i="1" s="1"/>
  <c r="AO803" i="1"/>
  <c r="BF803" i="1" s="1"/>
  <c r="AV803" i="1"/>
  <c r="AW803" i="1"/>
  <c r="BK803" i="1" s="1"/>
  <c r="AX803" i="1"/>
  <c r="AY803" i="1"/>
  <c r="BJ803" i="1"/>
  <c r="BL803" i="1"/>
  <c r="BM803" i="1"/>
  <c r="BN803" i="1"/>
  <c r="AM804" i="1"/>
  <c r="AN804" i="1" s="1"/>
  <c r="AO804" i="1"/>
  <c r="AZ804" i="1" s="1"/>
  <c r="AV804" i="1"/>
  <c r="AW804" i="1"/>
  <c r="BK804" i="1" s="1"/>
  <c r="AX804" i="1"/>
  <c r="AY804" i="1"/>
  <c r="BJ804" i="1"/>
  <c r="BL804" i="1"/>
  <c r="BM804" i="1"/>
  <c r="BN804" i="1"/>
  <c r="AM805" i="1"/>
  <c r="AN805" i="1" s="1"/>
  <c r="AO805" i="1"/>
  <c r="AZ805" i="1" s="1"/>
  <c r="AV805" i="1"/>
  <c r="AW805" i="1"/>
  <c r="BK805" i="1" s="1"/>
  <c r="AX805" i="1"/>
  <c r="AY805" i="1"/>
  <c r="BJ805" i="1"/>
  <c r="BL805" i="1"/>
  <c r="BM805" i="1"/>
  <c r="BN805" i="1"/>
  <c r="AM806" i="1"/>
  <c r="AO806" i="1"/>
  <c r="BF806" i="1" s="1"/>
  <c r="AV806" i="1"/>
  <c r="AW806" i="1"/>
  <c r="BK806" i="1" s="1"/>
  <c r="AX806" i="1"/>
  <c r="AY806" i="1"/>
  <c r="BJ806" i="1"/>
  <c r="BL806" i="1"/>
  <c r="BM806" i="1"/>
  <c r="BN806" i="1"/>
  <c r="AM807" i="1"/>
  <c r="AN807" i="1" s="1"/>
  <c r="AO807" i="1"/>
  <c r="BF807" i="1" s="1"/>
  <c r="AV807" i="1"/>
  <c r="AW807" i="1"/>
  <c r="AX807" i="1"/>
  <c r="AY807" i="1"/>
  <c r="BJ807" i="1"/>
  <c r="BL807" i="1"/>
  <c r="BM807" i="1"/>
  <c r="BN807" i="1"/>
  <c r="AM808" i="1"/>
  <c r="AN808" i="1" s="1"/>
  <c r="AO808" i="1"/>
  <c r="AZ808" i="1" s="1"/>
  <c r="AV808" i="1"/>
  <c r="AW808" i="1"/>
  <c r="X808" i="1" s="1"/>
  <c r="AX808" i="1"/>
  <c r="AY808" i="1"/>
  <c r="BJ808" i="1"/>
  <c r="BL808" i="1"/>
  <c r="BM808" i="1"/>
  <c r="BN808" i="1"/>
  <c r="AM809" i="1"/>
  <c r="AN809" i="1" s="1"/>
  <c r="AO809" i="1"/>
  <c r="AZ809" i="1" s="1"/>
  <c r="AV809" i="1"/>
  <c r="AW809" i="1"/>
  <c r="AX809" i="1"/>
  <c r="AY809" i="1"/>
  <c r="BJ809" i="1"/>
  <c r="BL809" i="1"/>
  <c r="BM809" i="1"/>
  <c r="BN809" i="1"/>
  <c r="AM810" i="1"/>
  <c r="AO810" i="1"/>
  <c r="BF810" i="1" s="1"/>
  <c r="AV810" i="1"/>
  <c r="AW810" i="1"/>
  <c r="AX810" i="1"/>
  <c r="AY810" i="1"/>
  <c r="BJ810" i="1"/>
  <c r="BL810" i="1"/>
  <c r="BM810" i="1"/>
  <c r="BN810" i="1"/>
  <c r="AM811" i="1"/>
  <c r="AN811" i="1" s="1"/>
  <c r="AO811" i="1"/>
  <c r="BF811" i="1" s="1"/>
  <c r="AV811" i="1"/>
  <c r="AW811" i="1"/>
  <c r="BK811" i="1" s="1"/>
  <c r="AX811" i="1"/>
  <c r="AY811" i="1"/>
  <c r="BJ811" i="1"/>
  <c r="BL811" i="1"/>
  <c r="BM811" i="1"/>
  <c r="BN811" i="1"/>
  <c r="AM812" i="1"/>
  <c r="AN812" i="1" s="1"/>
  <c r="AO812" i="1"/>
  <c r="AZ812" i="1" s="1"/>
  <c r="AV812" i="1"/>
  <c r="AW812" i="1"/>
  <c r="BK812" i="1" s="1"/>
  <c r="AX812" i="1"/>
  <c r="AY812" i="1"/>
  <c r="BJ812" i="1"/>
  <c r="BL812" i="1"/>
  <c r="BM812" i="1"/>
  <c r="BN812" i="1"/>
  <c r="AM813" i="1"/>
  <c r="AN813" i="1" s="1"/>
  <c r="AO813" i="1"/>
  <c r="AZ813" i="1" s="1"/>
  <c r="AV813" i="1"/>
  <c r="AW813" i="1"/>
  <c r="BK813" i="1" s="1"/>
  <c r="AX813" i="1"/>
  <c r="AY813" i="1"/>
  <c r="BJ813" i="1"/>
  <c r="BL813" i="1"/>
  <c r="BM813" i="1"/>
  <c r="BN813" i="1"/>
  <c r="AM814" i="1"/>
  <c r="AN814" i="1" s="1"/>
  <c r="AO814" i="1"/>
  <c r="BF814" i="1" s="1"/>
  <c r="AV814" i="1"/>
  <c r="AW814" i="1"/>
  <c r="BK814" i="1" s="1"/>
  <c r="AX814" i="1"/>
  <c r="AY814" i="1"/>
  <c r="BJ814" i="1"/>
  <c r="BL814" i="1"/>
  <c r="BM814" i="1"/>
  <c r="BN814" i="1"/>
  <c r="AM815" i="1"/>
  <c r="AN815" i="1" s="1"/>
  <c r="AO815" i="1"/>
  <c r="BF815" i="1" s="1"/>
  <c r="AV815" i="1"/>
  <c r="AW815" i="1"/>
  <c r="BK815" i="1" s="1"/>
  <c r="AX815" i="1"/>
  <c r="AY815" i="1"/>
  <c r="BJ815" i="1"/>
  <c r="BL815" i="1"/>
  <c r="BM815" i="1"/>
  <c r="BN815" i="1"/>
  <c r="AM816" i="1"/>
  <c r="AN816" i="1" s="1"/>
  <c r="AO816" i="1"/>
  <c r="BF816" i="1" s="1"/>
  <c r="AV816" i="1"/>
  <c r="AW816" i="1"/>
  <c r="BK816" i="1" s="1"/>
  <c r="AX816" i="1"/>
  <c r="AY816" i="1"/>
  <c r="BJ816" i="1"/>
  <c r="BL816" i="1"/>
  <c r="BM816" i="1"/>
  <c r="BN816" i="1"/>
  <c r="AM817" i="1"/>
  <c r="AN817" i="1" s="1"/>
  <c r="AO817" i="1"/>
  <c r="BF817" i="1" s="1"/>
  <c r="AV817" i="1"/>
  <c r="AW817" i="1"/>
  <c r="BK817" i="1" s="1"/>
  <c r="AX817" i="1"/>
  <c r="AY817" i="1"/>
  <c r="BJ817" i="1"/>
  <c r="BL817" i="1"/>
  <c r="BM817" i="1"/>
  <c r="BN817" i="1"/>
  <c r="AM818" i="1"/>
  <c r="AN818" i="1" s="1"/>
  <c r="AO818" i="1"/>
  <c r="BF818" i="1" s="1"/>
  <c r="AV818" i="1"/>
  <c r="AW818" i="1"/>
  <c r="AX818" i="1"/>
  <c r="AY818" i="1"/>
  <c r="BJ818" i="1"/>
  <c r="BL818" i="1"/>
  <c r="BM818" i="1"/>
  <c r="BN818" i="1"/>
  <c r="AM819" i="1"/>
  <c r="AN819" i="1" s="1"/>
  <c r="AO819" i="1"/>
  <c r="BF819" i="1" s="1"/>
  <c r="AV819" i="1"/>
  <c r="AW819" i="1"/>
  <c r="AX819" i="1"/>
  <c r="AY819" i="1"/>
  <c r="BJ819" i="1"/>
  <c r="BL819" i="1"/>
  <c r="BM819" i="1"/>
  <c r="BN819" i="1"/>
  <c r="AM875" i="1"/>
  <c r="AN875" i="1" s="1"/>
  <c r="AO875" i="1"/>
  <c r="BF875" i="1" s="1"/>
  <c r="AV875" i="1"/>
  <c r="AW875" i="1"/>
  <c r="W875" i="1" s="1"/>
  <c r="AX875" i="1"/>
  <c r="AY875" i="1"/>
  <c r="BJ875" i="1"/>
  <c r="BL875" i="1"/>
  <c r="BM875" i="1"/>
  <c r="BN875" i="1"/>
  <c r="AM820" i="1"/>
  <c r="AN820" i="1" s="1"/>
  <c r="AO820" i="1"/>
  <c r="BF820" i="1" s="1"/>
  <c r="AV820" i="1"/>
  <c r="AW820" i="1"/>
  <c r="X820" i="1" s="1"/>
  <c r="AX820" i="1"/>
  <c r="AY820" i="1"/>
  <c r="BJ820" i="1"/>
  <c r="BL820" i="1"/>
  <c r="BM820" i="1"/>
  <c r="BN820" i="1"/>
  <c r="AM821" i="1"/>
  <c r="AN821" i="1" s="1"/>
  <c r="AO821" i="1"/>
  <c r="BF821" i="1" s="1"/>
  <c r="AV821" i="1"/>
  <c r="AW821" i="1"/>
  <c r="AX821" i="1"/>
  <c r="AY821" i="1"/>
  <c r="BJ821" i="1"/>
  <c r="BL821" i="1"/>
  <c r="BM821" i="1"/>
  <c r="BN821" i="1"/>
  <c r="AM822" i="1"/>
  <c r="AN822" i="1" s="1"/>
  <c r="AO822" i="1"/>
  <c r="BF822" i="1" s="1"/>
  <c r="AR822" i="1"/>
  <c r="AV822" i="1"/>
  <c r="AW822" i="1"/>
  <c r="AX822" i="1"/>
  <c r="AY822" i="1"/>
  <c r="BJ822" i="1"/>
  <c r="BL822" i="1"/>
  <c r="BM822" i="1"/>
  <c r="BN822" i="1"/>
  <c r="AM823" i="1"/>
  <c r="AN823" i="1" s="1"/>
  <c r="AO823" i="1"/>
  <c r="BF823" i="1" s="1"/>
  <c r="AV823" i="1"/>
  <c r="AW823" i="1"/>
  <c r="W823" i="1" s="1"/>
  <c r="AX823" i="1"/>
  <c r="AY823" i="1"/>
  <c r="BJ823" i="1"/>
  <c r="BL823" i="1"/>
  <c r="BM823" i="1"/>
  <c r="BN823" i="1"/>
  <c r="AM824" i="1"/>
  <c r="AN824" i="1" s="1"/>
  <c r="AO824" i="1"/>
  <c r="BF824" i="1" s="1"/>
  <c r="AV824" i="1"/>
  <c r="AW824" i="1"/>
  <c r="X824" i="1" s="1"/>
  <c r="AX824" i="1"/>
  <c r="AY824" i="1"/>
  <c r="BJ824" i="1"/>
  <c r="BL824" i="1"/>
  <c r="BM824" i="1"/>
  <c r="BN824" i="1"/>
  <c r="AM825" i="1"/>
  <c r="AN825" i="1" s="1"/>
  <c r="AO825" i="1"/>
  <c r="BF825" i="1" s="1"/>
  <c r="AV825" i="1"/>
  <c r="AW825" i="1"/>
  <c r="AX825" i="1"/>
  <c r="AY825" i="1"/>
  <c r="BJ825" i="1"/>
  <c r="BL825" i="1"/>
  <c r="BM825" i="1"/>
  <c r="BN825" i="1"/>
  <c r="AM826" i="1"/>
  <c r="AN826" i="1" s="1"/>
  <c r="AO826" i="1"/>
  <c r="AP826" i="1" s="1"/>
  <c r="AS826" i="1"/>
  <c r="AV826" i="1"/>
  <c r="AW826" i="1"/>
  <c r="BK826" i="1" s="1"/>
  <c r="AX826" i="1"/>
  <c r="AY826" i="1"/>
  <c r="BJ826" i="1"/>
  <c r="BL826" i="1"/>
  <c r="BM826" i="1"/>
  <c r="BN826" i="1"/>
  <c r="AM827" i="1"/>
  <c r="AN827" i="1" s="1"/>
  <c r="AO827" i="1"/>
  <c r="BF827" i="1" s="1"/>
  <c r="AV827" i="1"/>
  <c r="AW827" i="1"/>
  <c r="BK827" i="1" s="1"/>
  <c r="AX827" i="1"/>
  <c r="AY827" i="1"/>
  <c r="BJ827" i="1"/>
  <c r="BL827" i="1"/>
  <c r="BM827" i="1"/>
  <c r="BN827" i="1"/>
  <c r="AM828" i="1"/>
  <c r="AN828" i="1" s="1"/>
  <c r="AO828" i="1"/>
  <c r="AP828" i="1" s="1"/>
  <c r="AV828" i="1"/>
  <c r="AW828" i="1"/>
  <c r="AX828" i="1"/>
  <c r="AY828" i="1"/>
  <c r="BJ828" i="1"/>
  <c r="BL828" i="1"/>
  <c r="BM828" i="1"/>
  <c r="BN828" i="1"/>
  <c r="AM829" i="1"/>
  <c r="AN829" i="1" s="1"/>
  <c r="AO829" i="1"/>
  <c r="BF829" i="1" s="1"/>
  <c r="AV829" i="1"/>
  <c r="AW829" i="1"/>
  <c r="BK829" i="1" s="1"/>
  <c r="AX829" i="1"/>
  <c r="AY829" i="1"/>
  <c r="BJ829" i="1"/>
  <c r="BL829" i="1"/>
  <c r="BM829" i="1"/>
  <c r="BN829" i="1"/>
  <c r="AM830" i="1"/>
  <c r="AN830" i="1" s="1"/>
  <c r="AO830" i="1"/>
  <c r="AP830" i="1" s="1"/>
  <c r="AV830" i="1"/>
  <c r="AW830" i="1"/>
  <c r="BK830" i="1" s="1"/>
  <c r="AX830" i="1"/>
  <c r="AY830" i="1"/>
  <c r="BJ830" i="1"/>
  <c r="BL830" i="1"/>
  <c r="BM830" i="1"/>
  <c r="BN830" i="1"/>
  <c r="AM831" i="1"/>
  <c r="AN831" i="1" s="1"/>
  <c r="AO831" i="1"/>
  <c r="BF831" i="1" s="1"/>
  <c r="AV831" i="1"/>
  <c r="AW831" i="1"/>
  <c r="X831" i="1" s="1"/>
  <c r="AX831" i="1"/>
  <c r="AY831" i="1"/>
  <c r="BJ831" i="1"/>
  <c r="BL831" i="1"/>
  <c r="BM831" i="1"/>
  <c r="BN831" i="1"/>
  <c r="AM832" i="1"/>
  <c r="AN832" i="1" s="1"/>
  <c r="AO832" i="1"/>
  <c r="AP832" i="1" s="1"/>
  <c r="AV832" i="1"/>
  <c r="AW832" i="1"/>
  <c r="BK832" i="1" s="1"/>
  <c r="AX832" i="1"/>
  <c r="AY832" i="1"/>
  <c r="BJ832" i="1"/>
  <c r="BL832" i="1"/>
  <c r="BM832" i="1"/>
  <c r="BN832" i="1"/>
  <c r="AM833" i="1"/>
  <c r="AN833" i="1" s="1"/>
  <c r="AO833" i="1"/>
  <c r="BF833" i="1" s="1"/>
  <c r="AV833" i="1"/>
  <c r="AW833" i="1"/>
  <c r="BK833" i="1" s="1"/>
  <c r="AX833" i="1"/>
  <c r="AY833" i="1"/>
  <c r="BJ833" i="1"/>
  <c r="BL833" i="1"/>
  <c r="BM833" i="1"/>
  <c r="BN833" i="1"/>
  <c r="AM834" i="1"/>
  <c r="AN834" i="1" s="1"/>
  <c r="AO834" i="1"/>
  <c r="AP834" i="1" s="1"/>
  <c r="AV834" i="1"/>
  <c r="AW834" i="1"/>
  <c r="AX834" i="1"/>
  <c r="AY834" i="1"/>
  <c r="BJ834" i="1"/>
  <c r="BL834" i="1"/>
  <c r="BM834" i="1"/>
  <c r="BN834" i="1"/>
  <c r="AM835" i="1"/>
  <c r="AN835" i="1" s="1"/>
  <c r="AO835" i="1"/>
  <c r="BF835" i="1" s="1"/>
  <c r="AV835" i="1"/>
  <c r="AW835" i="1"/>
  <c r="W835" i="1" s="1"/>
  <c r="AX835" i="1"/>
  <c r="AY835" i="1"/>
  <c r="BJ835" i="1"/>
  <c r="BL835" i="1"/>
  <c r="BM835" i="1"/>
  <c r="BN835" i="1"/>
  <c r="AM836" i="1"/>
  <c r="AN836" i="1" s="1"/>
  <c r="AO836" i="1"/>
  <c r="AP836" i="1" s="1"/>
  <c r="AV836" i="1"/>
  <c r="AW836" i="1"/>
  <c r="X836" i="1" s="1"/>
  <c r="AX836" i="1"/>
  <c r="AY836" i="1"/>
  <c r="BJ836" i="1"/>
  <c r="BL836" i="1"/>
  <c r="BM836" i="1"/>
  <c r="BN836" i="1"/>
  <c r="AM837" i="1"/>
  <c r="AN837" i="1" s="1"/>
  <c r="AO837" i="1"/>
  <c r="BF837" i="1" s="1"/>
  <c r="AV837" i="1"/>
  <c r="AW837" i="1"/>
  <c r="BK837" i="1" s="1"/>
  <c r="AX837" i="1"/>
  <c r="AY837" i="1"/>
  <c r="BJ837" i="1"/>
  <c r="BL837" i="1"/>
  <c r="BM837" i="1"/>
  <c r="BN837" i="1"/>
  <c r="AM838" i="1"/>
  <c r="AN838" i="1" s="1"/>
  <c r="AO838" i="1"/>
  <c r="AP838" i="1" s="1"/>
  <c r="AV838" i="1"/>
  <c r="AW838" i="1"/>
  <c r="BK838" i="1" s="1"/>
  <c r="AX838" i="1"/>
  <c r="AY838" i="1"/>
  <c r="BJ838" i="1"/>
  <c r="BL838" i="1"/>
  <c r="BM838" i="1"/>
  <c r="BN838" i="1"/>
  <c r="AM839" i="1"/>
  <c r="AN839" i="1" s="1"/>
  <c r="AO839" i="1"/>
  <c r="BF839" i="1" s="1"/>
  <c r="AV839" i="1"/>
  <c r="AW839" i="1"/>
  <c r="W839" i="1" s="1"/>
  <c r="AX839" i="1"/>
  <c r="AY839" i="1"/>
  <c r="BJ839" i="1"/>
  <c r="BL839" i="1"/>
  <c r="BM839" i="1"/>
  <c r="BN839" i="1"/>
  <c r="AM840" i="1"/>
  <c r="AN840" i="1" s="1"/>
  <c r="AO840" i="1"/>
  <c r="AP840" i="1" s="1"/>
  <c r="AV840" i="1"/>
  <c r="AW840" i="1"/>
  <c r="BK840" i="1" s="1"/>
  <c r="AX840" i="1"/>
  <c r="AY840" i="1"/>
  <c r="BJ840" i="1"/>
  <c r="BL840" i="1"/>
  <c r="BM840" i="1"/>
  <c r="BN840" i="1"/>
  <c r="AM841" i="1"/>
  <c r="AN841" i="1" s="1"/>
  <c r="AO841" i="1"/>
  <c r="BF841" i="1" s="1"/>
  <c r="AV841" i="1"/>
  <c r="AW841" i="1"/>
  <c r="BK841" i="1" s="1"/>
  <c r="AX841" i="1"/>
  <c r="AY841" i="1"/>
  <c r="BJ841" i="1"/>
  <c r="BL841" i="1"/>
  <c r="BM841" i="1"/>
  <c r="BN841" i="1"/>
  <c r="AM842" i="1"/>
  <c r="AN842" i="1" s="1"/>
  <c r="AO842" i="1"/>
  <c r="AP842" i="1" s="1"/>
  <c r="AV842" i="1"/>
  <c r="AW842" i="1"/>
  <c r="AX842" i="1"/>
  <c r="AY842" i="1"/>
  <c r="BJ842" i="1"/>
  <c r="BL842" i="1"/>
  <c r="BM842" i="1"/>
  <c r="BN842" i="1"/>
  <c r="AM843" i="1"/>
  <c r="AN843" i="1" s="1"/>
  <c r="AO843" i="1"/>
  <c r="BF843" i="1" s="1"/>
  <c r="AR843" i="1"/>
  <c r="AV843" i="1"/>
  <c r="AW843" i="1"/>
  <c r="W843" i="1" s="1"/>
  <c r="AX843" i="1"/>
  <c r="AY843" i="1"/>
  <c r="BJ843" i="1"/>
  <c r="BL843" i="1"/>
  <c r="BM843" i="1"/>
  <c r="BN843" i="1"/>
  <c r="AM844" i="1"/>
  <c r="AN844" i="1" s="1"/>
  <c r="AO844" i="1"/>
  <c r="AP844" i="1" s="1"/>
  <c r="AV844" i="1"/>
  <c r="AW844" i="1"/>
  <c r="BK844" i="1" s="1"/>
  <c r="AX844" i="1"/>
  <c r="AY844" i="1"/>
  <c r="BJ844" i="1"/>
  <c r="BL844" i="1"/>
  <c r="BM844" i="1"/>
  <c r="BN844" i="1"/>
  <c r="AM845" i="1"/>
  <c r="AN845" i="1" s="1"/>
  <c r="AO845" i="1"/>
  <c r="BF845" i="1" s="1"/>
  <c r="AV845" i="1"/>
  <c r="AW845" i="1"/>
  <c r="BK845" i="1" s="1"/>
  <c r="AX845" i="1"/>
  <c r="AY845" i="1"/>
  <c r="BJ845" i="1"/>
  <c r="BL845" i="1"/>
  <c r="BM845" i="1"/>
  <c r="BN845" i="1"/>
  <c r="AM846" i="1"/>
  <c r="AN846" i="1" s="1"/>
  <c r="AO846" i="1"/>
  <c r="AP846" i="1" s="1"/>
  <c r="AV846" i="1"/>
  <c r="AW846" i="1"/>
  <c r="AX846" i="1"/>
  <c r="AY846" i="1"/>
  <c r="BJ846" i="1"/>
  <c r="BL846" i="1"/>
  <c r="BM846" i="1"/>
  <c r="BN846" i="1"/>
  <c r="AM847" i="1"/>
  <c r="AN847" i="1" s="1"/>
  <c r="AO847" i="1"/>
  <c r="BF847" i="1" s="1"/>
  <c r="AV847" i="1"/>
  <c r="AW847" i="1"/>
  <c r="W847" i="1" s="1"/>
  <c r="AX847" i="1"/>
  <c r="AY847" i="1"/>
  <c r="BJ847" i="1"/>
  <c r="BL847" i="1"/>
  <c r="BM847" i="1"/>
  <c r="BN847" i="1"/>
  <c r="AM848" i="1"/>
  <c r="AN848" i="1" s="1"/>
  <c r="AO848" i="1"/>
  <c r="AP848" i="1" s="1"/>
  <c r="AV848" i="1"/>
  <c r="AW848" i="1"/>
  <c r="BK848" i="1" s="1"/>
  <c r="AX848" i="1"/>
  <c r="AY848" i="1"/>
  <c r="BJ848" i="1"/>
  <c r="BL848" i="1"/>
  <c r="BM848" i="1"/>
  <c r="BN848" i="1"/>
  <c r="AM849" i="1"/>
  <c r="AN849" i="1" s="1"/>
  <c r="AO849" i="1"/>
  <c r="BF849" i="1" s="1"/>
  <c r="AV849" i="1"/>
  <c r="AW849" i="1"/>
  <c r="BK849" i="1" s="1"/>
  <c r="AX849" i="1"/>
  <c r="AY849" i="1"/>
  <c r="BJ849" i="1"/>
  <c r="BL849" i="1"/>
  <c r="BM849" i="1"/>
  <c r="BN849" i="1"/>
  <c r="AM850" i="1"/>
  <c r="AN850" i="1" s="1"/>
  <c r="AO850" i="1"/>
  <c r="AP850" i="1" s="1"/>
  <c r="AR850" i="1"/>
  <c r="AS850" i="1"/>
  <c r="AV850" i="1"/>
  <c r="AW850" i="1"/>
  <c r="AX850" i="1"/>
  <c r="AY850" i="1"/>
  <c r="BJ850" i="1"/>
  <c r="BL850" i="1"/>
  <c r="BM850" i="1"/>
  <c r="BN850" i="1"/>
  <c r="AM851" i="1"/>
  <c r="AN851" i="1" s="1"/>
  <c r="AO851" i="1"/>
  <c r="BF851" i="1" s="1"/>
  <c r="AV851" i="1"/>
  <c r="AW851" i="1"/>
  <c r="AX851" i="1"/>
  <c r="AY851" i="1"/>
  <c r="BJ851" i="1"/>
  <c r="BL851" i="1"/>
  <c r="BM851" i="1"/>
  <c r="BN851" i="1"/>
  <c r="AM852" i="1"/>
  <c r="AN852" i="1" s="1"/>
  <c r="AO852" i="1"/>
  <c r="AP852" i="1" s="1"/>
  <c r="AV852" i="1"/>
  <c r="AW852" i="1"/>
  <c r="X852" i="1" s="1"/>
  <c r="AX852" i="1"/>
  <c r="AY852" i="1"/>
  <c r="BJ852" i="1"/>
  <c r="BL852" i="1"/>
  <c r="BM852" i="1"/>
  <c r="BN852" i="1"/>
  <c r="AM853" i="1"/>
  <c r="AN853" i="1" s="1"/>
  <c r="AO853" i="1"/>
  <c r="BF853" i="1" s="1"/>
  <c r="AV853" i="1"/>
  <c r="AW853" i="1"/>
  <c r="BK853" i="1" s="1"/>
  <c r="AX853" i="1"/>
  <c r="AY853" i="1"/>
  <c r="BJ853" i="1"/>
  <c r="BL853" i="1"/>
  <c r="BM853" i="1"/>
  <c r="BN853" i="1"/>
  <c r="AM854" i="1"/>
  <c r="AN854" i="1" s="1"/>
  <c r="AO854" i="1"/>
  <c r="AP854" i="1" s="1"/>
  <c r="AV854" i="1"/>
  <c r="AW854" i="1"/>
  <c r="AX854" i="1"/>
  <c r="AY854" i="1"/>
  <c r="BJ854" i="1"/>
  <c r="BL854" i="1"/>
  <c r="BM854" i="1"/>
  <c r="BN854" i="1"/>
  <c r="AM855" i="1"/>
  <c r="AN855" i="1" s="1"/>
  <c r="AO855" i="1"/>
  <c r="AZ855" i="1" s="1"/>
  <c r="AR855" i="1"/>
  <c r="AS855" i="1"/>
  <c r="AV855" i="1"/>
  <c r="AW855" i="1"/>
  <c r="BK855" i="1" s="1"/>
  <c r="AX855" i="1"/>
  <c r="AY855" i="1"/>
  <c r="BJ855" i="1"/>
  <c r="BL855" i="1"/>
  <c r="BM855" i="1"/>
  <c r="BN855" i="1"/>
  <c r="AM856" i="1"/>
  <c r="AN856" i="1" s="1"/>
  <c r="BC856" i="1" s="1"/>
  <c r="AO856" i="1"/>
  <c r="AP856" i="1" s="1"/>
  <c r="AR856" i="1"/>
  <c r="AS856" i="1"/>
  <c r="AV856" i="1"/>
  <c r="AW856" i="1"/>
  <c r="BK856" i="1" s="1"/>
  <c r="AX856" i="1"/>
  <c r="AY856" i="1"/>
  <c r="BJ856" i="1"/>
  <c r="BL856" i="1"/>
  <c r="BM856" i="1"/>
  <c r="BN856" i="1"/>
  <c r="AM857" i="1"/>
  <c r="AN857" i="1" s="1"/>
  <c r="AO857" i="1"/>
  <c r="BF857" i="1" s="1"/>
  <c r="AV857" i="1"/>
  <c r="AW857" i="1"/>
  <c r="BK857" i="1" s="1"/>
  <c r="AX857" i="1"/>
  <c r="AY857" i="1"/>
  <c r="BJ857" i="1"/>
  <c r="BL857" i="1"/>
  <c r="BM857" i="1"/>
  <c r="BN857" i="1"/>
  <c r="AM858" i="1"/>
  <c r="AN858" i="1" s="1"/>
  <c r="AO858" i="1"/>
  <c r="AP858" i="1" s="1"/>
  <c r="AV858" i="1"/>
  <c r="AW858" i="1"/>
  <c r="BK858" i="1" s="1"/>
  <c r="AX858" i="1"/>
  <c r="AY858" i="1"/>
  <c r="BJ858" i="1"/>
  <c r="BL858" i="1"/>
  <c r="BM858" i="1"/>
  <c r="BN858" i="1"/>
  <c r="AM859" i="1"/>
  <c r="AN859" i="1" s="1"/>
  <c r="AO859" i="1"/>
  <c r="AV859" i="1"/>
  <c r="AW859" i="1"/>
  <c r="AX859" i="1"/>
  <c r="AY859" i="1"/>
  <c r="BJ859" i="1"/>
  <c r="BL859" i="1"/>
  <c r="BM859" i="1"/>
  <c r="BN859" i="1"/>
  <c r="AM860" i="1"/>
  <c r="AN860" i="1" s="1"/>
  <c r="AO860" i="1"/>
  <c r="AP860" i="1" s="1"/>
  <c r="AV860" i="1"/>
  <c r="AW860" i="1"/>
  <c r="AX860" i="1"/>
  <c r="AY860" i="1"/>
  <c r="BJ860" i="1"/>
  <c r="BL860" i="1"/>
  <c r="BM860" i="1"/>
  <c r="BN860" i="1"/>
  <c r="AM861" i="1"/>
  <c r="AN861" i="1" s="1"/>
  <c r="AO861" i="1"/>
  <c r="BF861" i="1" s="1"/>
  <c r="AV861" i="1"/>
  <c r="AW861" i="1"/>
  <c r="W861" i="1" s="1"/>
  <c r="AX861" i="1"/>
  <c r="AY861" i="1"/>
  <c r="BJ861" i="1"/>
  <c r="BL861" i="1"/>
  <c r="BM861" i="1"/>
  <c r="BN861" i="1"/>
  <c r="AM862" i="1"/>
  <c r="AN862" i="1" s="1"/>
  <c r="AO862" i="1"/>
  <c r="AP862" i="1" s="1"/>
  <c r="AR862" i="1"/>
  <c r="AV862" i="1"/>
  <c r="AW862" i="1"/>
  <c r="BK862" i="1" s="1"/>
  <c r="AX862" i="1"/>
  <c r="AY862" i="1"/>
  <c r="BJ862" i="1"/>
  <c r="BL862" i="1"/>
  <c r="BM862" i="1"/>
  <c r="BN862" i="1"/>
  <c r="AM863" i="1"/>
  <c r="AN863" i="1" s="1"/>
  <c r="AO863" i="1"/>
  <c r="AZ863" i="1" s="1"/>
  <c r="AV863" i="1"/>
  <c r="AW863" i="1"/>
  <c r="W863" i="1" s="1"/>
  <c r="AX863" i="1"/>
  <c r="AY863" i="1"/>
  <c r="BJ863" i="1"/>
  <c r="BL863" i="1"/>
  <c r="BM863" i="1"/>
  <c r="BN863" i="1"/>
  <c r="AM864" i="1"/>
  <c r="AN864" i="1" s="1"/>
  <c r="AO864" i="1"/>
  <c r="AP864" i="1" s="1"/>
  <c r="AV864" i="1"/>
  <c r="AW864" i="1"/>
  <c r="W864" i="1" s="1"/>
  <c r="AX864" i="1"/>
  <c r="AY864" i="1"/>
  <c r="BJ864" i="1"/>
  <c r="BL864" i="1"/>
  <c r="BM864" i="1"/>
  <c r="BN864" i="1"/>
  <c r="AM865" i="1"/>
  <c r="AN865" i="1" s="1"/>
  <c r="AO865" i="1"/>
  <c r="BF865" i="1" s="1"/>
  <c r="AV865" i="1"/>
  <c r="AW865" i="1"/>
  <c r="AX865" i="1"/>
  <c r="AY865" i="1"/>
  <c r="BJ865" i="1"/>
  <c r="BL865" i="1"/>
  <c r="BM865" i="1"/>
  <c r="BN865" i="1"/>
  <c r="AM866" i="1"/>
  <c r="AN866" i="1" s="1"/>
  <c r="AO866" i="1"/>
  <c r="AP866" i="1" s="1"/>
  <c r="AV866" i="1"/>
  <c r="AW866" i="1"/>
  <c r="X866" i="1" s="1"/>
  <c r="AX866" i="1"/>
  <c r="AY866" i="1"/>
  <c r="BJ866" i="1"/>
  <c r="BL866" i="1"/>
  <c r="BM866" i="1"/>
  <c r="BN866" i="1"/>
  <c r="AM867" i="1"/>
  <c r="AN867" i="1" s="1"/>
  <c r="AO867" i="1"/>
  <c r="AV867" i="1"/>
  <c r="AW867" i="1"/>
  <c r="BK867" i="1" s="1"/>
  <c r="AX867" i="1"/>
  <c r="AY867" i="1"/>
  <c r="BJ867" i="1"/>
  <c r="BL867" i="1"/>
  <c r="BM867" i="1"/>
  <c r="BN867" i="1"/>
  <c r="AM868" i="1"/>
  <c r="AN868" i="1" s="1"/>
  <c r="AO868" i="1"/>
  <c r="AP868" i="1" s="1"/>
  <c r="AV868" i="1"/>
  <c r="AW868" i="1"/>
  <c r="BK868" i="1" s="1"/>
  <c r="AX868" i="1"/>
  <c r="AY868" i="1"/>
  <c r="BJ868" i="1"/>
  <c r="BL868" i="1"/>
  <c r="BM868" i="1"/>
  <c r="BN868" i="1"/>
  <c r="AM869" i="1"/>
  <c r="AN869" i="1" s="1"/>
  <c r="AO869" i="1"/>
  <c r="BF869" i="1" s="1"/>
  <c r="AV869" i="1"/>
  <c r="AW869" i="1"/>
  <c r="AX869" i="1"/>
  <c r="AY869" i="1"/>
  <c r="BJ869" i="1"/>
  <c r="BL869" i="1"/>
  <c r="BM869" i="1"/>
  <c r="BN869" i="1"/>
  <c r="AM870" i="1"/>
  <c r="AN870" i="1" s="1"/>
  <c r="AO870" i="1"/>
  <c r="AP870" i="1" s="1"/>
  <c r="AV870" i="1"/>
  <c r="AW870" i="1"/>
  <c r="BK870" i="1" s="1"/>
  <c r="AX870" i="1"/>
  <c r="AY870" i="1"/>
  <c r="BJ870" i="1"/>
  <c r="BL870" i="1"/>
  <c r="BM870" i="1"/>
  <c r="BN870" i="1"/>
  <c r="AM871" i="1"/>
  <c r="AN871" i="1" s="1"/>
  <c r="AO871" i="1"/>
  <c r="AZ871" i="1" s="1"/>
  <c r="AV871" i="1"/>
  <c r="AW871" i="1"/>
  <c r="W871" i="1" s="1"/>
  <c r="AX871" i="1"/>
  <c r="AY871" i="1"/>
  <c r="BJ871" i="1"/>
  <c r="BL871" i="1"/>
  <c r="BM871" i="1"/>
  <c r="BN871" i="1"/>
  <c r="BP871" i="1"/>
  <c r="AM872" i="1"/>
  <c r="AN872" i="1" s="1"/>
  <c r="AO872" i="1"/>
  <c r="AP872" i="1" s="1"/>
  <c r="AV872" i="1"/>
  <c r="AW872" i="1"/>
  <c r="W872" i="1" s="1"/>
  <c r="AX872" i="1"/>
  <c r="AY872" i="1"/>
  <c r="BJ872" i="1"/>
  <c r="BL872" i="1"/>
  <c r="BM872" i="1"/>
  <c r="BN872" i="1"/>
  <c r="BP872" i="1"/>
  <c r="AM873" i="1"/>
  <c r="AN873" i="1" s="1"/>
  <c r="AO873" i="1"/>
  <c r="AP873" i="1" s="1"/>
  <c r="AV873" i="1"/>
  <c r="AW873" i="1"/>
  <c r="X873" i="1" s="1"/>
  <c r="AX873" i="1"/>
  <c r="AY873" i="1"/>
  <c r="BJ873" i="1"/>
  <c r="BL873" i="1"/>
  <c r="BM873" i="1"/>
  <c r="BN873" i="1"/>
  <c r="BP873" i="1"/>
  <c r="AM874" i="1"/>
  <c r="AN874" i="1" s="1"/>
  <c r="AO874" i="1"/>
  <c r="AP874" i="1" s="1"/>
  <c r="AV874" i="1"/>
  <c r="AW874" i="1"/>
  <c r="AX874" i="1"/>
  <c r="AY874" i="1"/>
  <c r="BJ874" i="1"/>
  <c r="BL874" i="1"/>
  <c r="BM874" i="1"/>
  <c r="BN874" i="1"/>
  <c r="BP874" i="1"/>
  <c r="AM877" i="1"/>
  <c r="AN877" i="1" s="1"/>
  <c r="AO877" i="1"/>
  <c r="AP877" i="1" s="1"/>
  <c r="AR877" i="1"/>
  <c r="AS877" i="1"/>
  <c r="AV877" i="1"/>
  <c r="AW877" i="1"/>
  <c r="BK877" i="1" s="1"/>
  <c r="AX877" i="1"/>
  <c r="AY877" i="1"/>
  <c r="BJ877" i="1"/>
  <c r="BL877" i="1"/>
  <c r="BM877" i="1"/>
  <c r="BN877" i="1"/>
  <c r="BP877" i="1"/>
  <c r="AM878" i="1"/>
  <c r="AN878" i="1" s="1"/>
  <c r="BC878" i="1" s="1"/>
  <c r="AO878" i="1"/>
  <c r="BA878" i="1" s="1"/>
  <c r="AR878" i="1"/>
  <c r="AS878" i="1"/>
  <c r="AV878" i="1"/>
  <c r="AW878" i="1"/>
  <c r="AX878" i="1"/>
  <c r="AY878" i="1"/>
  <c r="BJ878" i="1"/>
  <c r="BL878" i="1"/>
  <c r="BM878" i="1"/>
  <c r="BN878" i="1"/>
  <c r="BP878" i="1"/>
  <c r="AM879" i="1"/>
  <c r="AN879" i="1" s="1"/>
  <c r="AO879" i="1"/>
  <c r="AZ879" i="1" s="1"/>
  <c r="AR879" i="1"/>
  <c r="AS879" i="1"/>
  <c r="AV879" i="1"/>
  <c r="AW879" i="1"/>
  <c r="BK879" i="1" s="1"/>
  <c r="AX879" i="1"/>
  <c r="AY879" i="1"/>
  <c r="BJ879" i="1"/>
  <c r="BL879" i="1"/>
  <c r="BM879" i="1"/>
  <c r="BN879" i="1"/>
  <c r="BP879" i="1"/>
  <c r="AM880" i="1"/>
  <c r="AO880" i="1"/>
  <c r="AR880" i="1"/>
  <c r="AS880" i="1"/>
  <c r="AV880" i="1"/>
  <c r="AW880" i="1"/>
  <c r="BK880" i="1" s="1"/>
  <c r="AX880" i="1"/>
  <c r="AY880" i="1"/>
  <c r="BJ880" i="1"/>
  <c r="BL880" i="1"/>
  <c r="BM880" i="1"/>
  <c r="BN880" i="1"/>
  <c r="BP880" i="1"/>
  <c r="AM881" i="1"/>
  <c r="AQ881" i="1" s="1"/>
  <c r="AO881" i="1"/>
  <c r="AP881" i="1" s="1"/>
  <c r="AR881" i="1"/>
  <c r="AS881" i="1"/>
  <c r="AV881" i="1"/>
  <c r="AW881" i="1"/>
  <c r="BK881" i="1" s="1"/>
  <c r="AX881" i="1"/>
  <c r="AY881" i="1"/>
  <c r="BJ881" i="1"/>
  <c r="BL881" i="1"/>
  <c r="BM881" i="1"/>
  <c r="BN881" i="1"/>
  <c r="BP881" i="1"/>
  <c r="AM882" i="1"/>
  <c r="AN882" i="1" s="1"/>
  <c r="AO882" i="1"/>
  <c r="AR882" i="1"/>
  <c r="AS882" i="1"/>
  <c r="AV882" i="1"/>
  <c r="AW882" i="1"/>
  <c r="X882" i="1" s="1"/>
  <c r="AX882" i="1"/>
  <c r="AY882" i="1"/>
  <c r="BJ882" i="1"/>
  <c r="BL882" i="1"/>
  <c r="BM882" i="1"/>
  <c r="BN882" i="1"/>
  <c r="BP882" i="1"/>
  <c r="AM883" i="1"/>
  <c r="AO883" i="1"/>
  <c r="BH883" i="1" s="1"/>
  <c r="AR883" i="1"/>
  <c r="AS883" i="1"/>
  <c r="AV883" i="1"/>
  <c r="AW883" i="1"/>
  <c r="BK883" i="1" s="1"/>
  <c r="AX883" i="1"/>
  <c r="AY883" i="1"/>
  <c r="BJ883" i="1"/>
  <c r="BL883" i="1"/>
  <c r="BM883" i="1"/>
  <c r="BN883" i="1"/>
  <c r="BP883" i="1"/>
  <c r="AM884" i="1"/>
  <c r="AN884" i="1" s="1"/>
  <c r="AO884" i="1"/>
  <c r="AP884" i="1" s="1"/>
  <c r="AR884" i="1"/>
  <c r="AS884" i="1"/>
  <c r="AV884" i="1"/>
  <c r="AW884" i="1"/>
  <c r="AX884" i="1"/>
  <c r="AY884" i="1"/>
  <c r="BJ884" i="1"/>
  <c r="BL884" i="1"/>
  <c r="BM884" i="1"/>
  <c r="BN884" i="1"/>
  <c r="BP884" i="1"/>
  <c r="AM885" i="1"/>
  <c r="AQ885" i="1" s="1"/>
  <c r="AO885" i="1"/>
  <c r="AP885" i="1" s="1"/>
  <c r="AR885" i="1"/>
  <c r="AS885" i="1"/>
  <c r="AV885" i="1"/>
  <c r="AW885" i="1"/>
  <c r="BK885" i="1" s="1"/>
  <c r="AX885" i="1"/>
  <c r="AY885" i="1"/>
  <c r="BJ885" i="1"/>
  <c r="BL885" i="1"/>
  <c r="BM885" i="1"/>
  <c r="BN885" i="1"/>
  <c r="BP885" i="1"/>
  <c r="AM886" i="1"/>
  <c r="AQ886" i="1" s="1"/>
  <c r="AO886" i="1"/>
  <c r="BA886" i="1" s="1"/>
  <c r="AR886" i="1"/>
  <c r="AS886" i="1"/>
  <c r="AV886" i="1"/>
  <c r="AW886" i="1"/>
  <c r="W886" i="1" s="1"/>
  <c r="AX886" i="1"/>
  <c r="AY886" i="1"/>
  <c r="BJ886" i="1"/>
  <c r="BL886" i="1"/>
  <c r="BM886" i="1"/>
  <c r="BN886" i="1"/>
  <c r="BP886" i="1"/>
  <c r="AM887" i="1"/>
  <c r="AO887" i="1"/>
  <c r="BH887" i="1" s="1"/>
  <c r="AR887" i="1"/>
  <c r="AS887" i="1"/>
  <c r="AV887" i="1"/>
  <c r="AW887" i="1"/>
  <c r="BK887" i="1" s="1"/>
  <c r="AX887" i="1"/>
  <c r="AY887" i="1"/>
  <c r="BJ887" i="1"/>
  <c r="BL887" i="1"/>
  <c r="BM887" i="1"/>
  <c r="BN887" i="1"/>
  <c r="BP887" i="1"/>
  <c r="AM888" i="1"/>
  <c r="AN888" i="1" s="1"/>
  <c r="BC888" i="1" s="1"/>
  <c r="AO888" i="1"/>
  <c r="BF888" i="1" s="1"/>
  <c r="AR888" i="1"/>
  <c r="AS888" i="1"/>
  <c r="AV888" i="1"/>
  <c r="AW888" i="1"/>
  <c r="BK888" i="1" s="1"/>
  <c r="AX888" i="1"/>
  <c r="AY888" i="1"/>
  <c r="BJ888" i="1"/>
  <c r="BL888" i="1"/>
  <c r="BM888" i="1"/>
  <c r="BN888" i="1"/>
  <c r="BP888" i="1"/>
  <c r="AM889" i="1"/>
  <c r="AQ889" i="1" s="1"/>
  <c r="AO889" i="1"/>
  <c r="AP889" i="1" s="1"/>
  <c r="AR889" i="1"/>
  <c r="AS889" i="1"/>
  <c r="AV889" i="1"/>
  <c r="AW889" i="1"/>
  <c r="AX889" i="1"/>
  <c r="AY889" i="1"/>
  <c r="BJ889" i="1"/>
  <c r="BL889" i="1"/>
  <c r="BM889" i="1"/>
  <c r="BN889" i="1"/>
  <c r="BP889" i="1"/>
  <c r="AM890" i="1"/>
  <c r="AQ890" i="1" s="1"/>
  <c r="AO890" i="1"/>
  <c r="BA890" i="1" s="1"/>
  <c r="AR890" i="1"/>
  <c r="AS890" i="1"/>
  <c r="AV890" i="1"/>
  <c r="AW890" i="1"/>
  <c r="W890" i="1" s="1"/>
  <c r="AX890" i="1"/>
  <c r="AY890" i="1"/>
  <c r="BJ890" i="1"/>
  <c r="BL890" i="1"/>
  <c r="BM890" i="1"/>
  <c r="BN890" i="1"/>
  <c r="BP890" i="1"/>
  <c r="AM891" i="1"/>
  <c r="AQ891" i="1" s="1"/>
  <c r="AO891" i="1"/>
  <c r="BH891" i="1" s="1"/>
  <c r="AR891" i="1"/>
  <c r="AS891" i="1"/>
  <c r="AV891" i="1"/>
  <c r="AW891" i="1"/>
  <c r="W891" i="1" s="1"/>
  <c r="AX891" i="1"/>
  <c r="AY891" i="1"/>
  <c r="BJ891" i="1"/>
  <c r="BL891" i="1"/>
  <c r="BM891" i="1"/>
  <c r="BN891" i="1"/>
  <c r="BP891" i="1"/>
  <c r="AM892" i="1"/>
  <c r="AQ892" i="1" s="1"/>
  <c r="AO892" i="1"/>
  <c r="AZ892" i="1" s="1"/>
  <c r="AR892" i="1"/>
  <c r="AS892" i="1"/>
  <c r="AV892" i="1"/>
  <c r="AW892" i="1"/>
  <c r="BK892" i="1" s="1"/>
  <c r="AX892" i="1"/>
  <c r="AY892" i="1"/>
  <c r="BJ892" i="1"/>
  <c r="BL892" i="1"/>
  <c r="BM892" i="1"/>
  <c r="BN892" i="1"/>
  <c r="BP892" i="1"/>
  <c r="AM893" i="1"/>
  <c r="AO893" i="1"/>
  <c r="BG893" i="1" s="1"/>
  <c r="AR893" i="1"/>
  <c r="AS893" i="1"/>
  <c r="AV893" i="1"/>
  <c r="AW893" i="1"/>
  <c r="AX893" i="1"/>
  <c r="AY893" i="1"/>
  <c r="BJ893" i="1"/>
  <c r="BL893" i="1"/>
  <c r="BM893" i="1"/>
  <c r="BN893" i="1"/>
  <c r="BP893" i="1"/>
  <c r="AM894" i="1"/>
  <c r="AQ894" i="1" s="1"/>
  <c r="AO894" i="1"/>
  <c r="AZ894" i="1" s="1"/>
  <c r="AR894" i="1"/>
  <c r="AS894" i="1"/>
  <c r="AV894" i="1"/>
  <c r="AW894" i="1"/>
  <c r="BK894" i="1" s="1"/>
  <c r="AX894" i="1"/>
  <c r="AY894" i="1"/>
  <c r="BJ894" i="1"/>
  <c r="BL894" i="1"/>
  <c r="BM894" i="1"/>
  <c r="BN894" i="1"/>
  <c r="BP894" i="1"/>
  <c r="AM895" i="1"/>
  <c r="AQ895" i="1" s="1"/>
  <c r="AO895" i="1"/>
  <c r="BH895" i="1" s="1"/>
  <c r="AR895" i="1"/>
  <c r="AS895" i="1"/>
  <c r="AV895" i="1"/>
  <c r="AW895" i="1"/>
  <c r="AX895" i="1"/>
  <c r="AY895" i="1"/>
  <c r="BJ895" i="1"/>
  <c r="BL895" i="1"/>
  <c r="BM895" i="1"/>
  <c r="BN895" i="1"/>
  <c r="BP895" i="1"/>
  <c r="AM896" i="1"/>
  <c r="AN896" i="1" s="1"/>
  <c r="BC896" i="1" s="1"/>
  <c r="AO896" i="1"/>
  <c r="AZ896" i="1" s="1"/>
  <c r="AR896" i="1"/>
  <c r="AS896" i="1"/>
  <c r="AV896" i="1"/>
  <c r="AW896" i="1"/>
  <c r="BK896" i="1" s="1"/>
  <c r="AX896" i="1"/>
  <c r="AY896" i="1"/>
  <c r="BJ896" i="1"/>
  <c r="BL896" i="1"/>
  <c r="BM896" i="1"/>
  <c r="BN896" i="1"/>
  <c r="BP896" i="1"/>
  <c r="AM897" i="1"/>
  <c r="AQ897" i="1" s="1"/>
  <c r="AO897" i="1"/>
  <c r="AP897" i="1" s="1"/>
  <c r="AR897" i="1"/>
  <c r="AS897" i="1"/>
  <c r="AV897" i="1"/>
  <c r="AW897" i="1"/>
  <c r="BK897" i="1" s="1"/>
  <c r="AX897" i="1"/>
  <c r="AY897" i="1"/>
  <c r="BJ897" i="1"/>
  <c r="BL897" i="1"/>
  <c r="BM897" i="1"/>
  <c r="BN897" i="1"/>
  <c r="BP897" i="1"/>
  <c r="AM898" i="1"/>
  <c r="AQ898" i="1" s="1"/>
  <c r="AO898" i="1"/>
  <c r="AZ898" i="1" s="1"/>
  <c r="AR898" i="1"/>
  <c r="AS898" i="1"/>
  <c r="AV898" i="1"/>
  <c r="AW898" i="1"/>
  <c r="BK898" i="1" s="1"/>
  <c r="AX898" i="1"/>
  <c r="AY898" i="1"/>
  <c r="BJ898" i="1"/>
  <c r="BL898" i="1"/>
  <c r="BM898" i="1"/>
  <c r="BN898" i="1"/>
  <c r="BP898" i="1"/>
  <c r="AM899" i="1"/>
  <c r="AN899" i="1" s="1"/>
  <c r="AO899" i="1"/>
  <c r="BH899" i="1" s="1"/>
  <c r="AR899" i="1"/>
  <c r="AS899" i="1"/>
  <c r="AV899" i="1"/>
  <c r="AW899" i="1"/>
  <c r="W899" i="1" s="1"/>
  <c r="AX899" i="1"/>
  <c r="AY899" i="1"/>
  <c r="BJ899" i="1"/>
  <c r="BL899" i="1"/>
  <c r="BM899" i="1"/>
  <c r="BN899" i="1"/>
  <c r="BP899" i="1"/>
  <c r="AM900" i="1"/>
  <c r="AQ900" i="1" s="1"/>
  <c r="AO900" i="1"/>
  <c r="AP900" i="1" s="1"/>
  <c r="AR900" i="1"/>
  <c r="AS900" i="1"/>
  <c r="AV900" i="1"/>
  <c r="AW900" i="1"/>
  <c r="BK900" i="1" s="1"/>
  <c r="AX900" i="1"/>
  <c r="AY900" i="1"/>
  <c r="BJ900" i="1"/>
  <c r="BL900" i="1"/>
  <c r="BM900" i="1"/>
  <c r="BN900" i="1"/>
  <c r="BP900" i="1"/>
  <c r="AM901" i="1"/>
  <c r="AO901" i="1"/>
  <c r="AP901" i="1" s="1"/>
  <c r="AR901" i="1"/>
  <c r="AS901" i="1"/>
  <c r="AV901" i="1"/>
  <c r="AW901" i="1"/>
  <c r="AX901" i="1"/>
  <c r="AY901" i="1"/>
  <c r="BJ901" i="1"/>
  <c r="BL901" i="1"/>
  <c r="BM901" i="1"/>
  <c r="BN901" i="1"/>
  <c r="BP901" i="1"/>
  <c r="AM902" i="1"/>
  <c r="AN902" i="1" s="1"/>
  <c r="BC902" i="1" s="1"/>
  <c r="AO902" i="1"/>
  <c r="BF902" i="1" s="1"/>
  <c r="AR902" i="1"/>
  <c r="AS902" i="1"/>
  <c r="AV902" i="1"/>
  <c r="AW902" i="1"/>
  <c r="X902" i="1" s="1"/>
  <c r="AX902" i="1"/>
  <c r="AY902" i="1"/>
  <c r="BJ902" i="1"/>
  <c r="BL902" i="1"/>
  <c r="BM902" i="1"/>
  <c r="BN902" i="1"/>
  <c r="BP902" i="1"/>
  <c r="AM903" i="1"/>
  <c r="AN903" i="1" s="1"/>
  <c r="AO903" i="1"/>
  <c r="BH903" i="1" s="1"/>
  <c r="AR903" i="1"/>
  <c r="AS903" i="1"/>
  <c r="AV903" i="1"/>
  <c r="AW903" i="1"/>
  <c r="W903" i="1" s="1"/>
  <c r="AX903" i="1"/>
  <c r="AY903" i="1"/>
  <c r="BJ903" i="1"/>
  <c r="BL903" i="1"/>
  <c r="BM903" i="1"/>
  <c r="BN903" i="1"/>
  <c r="BP903" i="1"/>
  <c r="AM904" i="1"/>
  <c r="AO904" i="1"/>
  <c r="AZ904" i="1" s="1"/>
  <c r="AR904" i="1"/>
  <c r="AS904" i="1"/>
  <c r="AV904" i="1"/>
  <c r="AW904" i="1"/>
  <c r="BK904" i="1" s="1"/>
  <c r="AX904" i="1"/>
  <c r="AY904" i="1"/>
  <c r="BJ904" i="1"/>
  <c r="BL904" i="1"/>
  <c r="BM904" i="1"/>
  <c r="BN904" i="1"/>
  <c r="BP904" i="1"/>
  <c r="AM905" i="1"/>
  <c r="AQ905" i="1" s="1"/>
  <c r="AO905" i="1"/>
  <c r="AP905" i="1" s="1"/>
  <c r="AR905" i="1"/>
  <c r="AS905" i="1"/>
  <c r="AV905" i="1"/>
  <c r="AW905" i="1"/>
  <c r="AX905" i="1"/>
  <c r="AY905" i="1"/>
  <c r="BJ905" i="1"/>
  <c r="BL905" i="1"/>
  <c r="BM905" i="1"/>
  <c r="BN905" i="1"/>
  <c r="BP905" i="1"/>
  <c r="AM906" i="1"/>
  <c r="AN906" i="1" s="1"/>
  <c r="AO906" i="1"/>
  <c r="BG906" i="1" s="1"/>
  <c r="AR906" i="1"/>
  <c r="AS906" i="1"/>
  <c r="AV906" i="1"/>
  <c r="AW906" i="1"/>
  <c r="BK906" i="1" s="1"/>
  <c r="AX906" i="1"/>
  <c r="AY906" i="1"/>
  <c r="BJ906" i="1"/>
  <c r="BL906" i="1"/>
  <c r="BM906" i="1"/>
  <c r="BN906" i="1"/>
  <c r="BP906" i="1"/>
  <c r="AM907" i="1"/>
  <c r="AN907" i="1" s="1"/>
  <c r="AO907" i="1"/>
  <c r="BH907" i="1" s="1"/>
  <c r="AR907" i="1"/>
  <c r="AS907" i="1"/>
  <c r="AV907" i="1"/>
  <c r="AW907" i="1"/>
  <c r="BK907" i="1" s="1"/>
  <c r="AX907" i="1"/>
  <c r="AY907" i="1"/>
  <c r="BJ907" i="1"/>
  <c r="BL907" i="1"/>
  <c r="BM907" i="1"/>
  <c r="BN907" i="1"/>
  <c r="BP907" i="1"/>
  <c r="AM908" i="1"/>
  <c r="AO908" i="1"/>
  <c r="AP908" i="1" s="1"/>
  <c r="AR908" i="1"/>
  <c r="AS908" i="1"/>
  <c r="AV908" i="1"/>
  <c r="AW908" i="1"/>
  <c r="AX908" i="1"/>
  <c r="AY908" i="1"/>
  <c r="BJ908" i="1"/>
  <c r="BL908" i="1"/>
  <c r="BM908" i="1"/>
  <c r="BN908" i="1"/>
  <c r="BP908" i="1"/>
  <c r="AM909" i="1"/>
  <c r="AQ909" i="1" s="1"/>
  <c r="AO909" i="1"/>
  <c r="AP909" i="1" s="1"/>
  <c r="AR909" i="1"/>
  <c r="AS909" i="1"/>
  <c r="AV909" i="1"/>
  <c r="AW909" i="1"/>
  <c r="X909" i="1" s="1"/>
  <c r="AX909" i="1"/>
  <c r="AY909" i="1"/>
  <c r="BJ909" i="1"/>
  <c r="BL909" i="1"/>
  <c r="BM909" i="1"/>
  <c r="BN909" i="1"/>
  <c r="BP909" i="1"/>
  <c r="AM910" i="1"/>
  <c r="AQ910" i="1" s="1"/>
  <c r="AO910" i="1"/>
  <c r="AZ910" i="1" s="1"/>
  <c r="AR910" i="1"/>
  <c r="AS910" i="1"/>
  <c r="AV910" i="1"/>
  <c r="AW910" i="1"/>
  <c r="W910" i="1" s="1"/>
  <c r="AX910" i="1"/>
  <c r="AY910" i="1"/>
  <c r="BJ910" i="1"/>
  <c r="BL910" i="1"/>
  <c r="BM910" i="1"/>
  <c r="BN910" i="1"/>
  <c r="BP910" i="1"/>
  <c r="AM911" i="1"/>
  <c r="AN911" i="1" s="1"/>
  <c r="AO911" i="1"/>
  <c r="BH911" i="1" s="1"/>
  <c r="AR911" i="1"/>
  <c r="AS911" i="1"/>
  <c r="AV911" i="1"/>
  <c r="AW911" i="1"/>
  <c r="BK911" i="1" s="1"/>
  <c r="AX911" i="1"/>
  <c r="AY911" i="1"/>
  <c r="BJ911" i="1"/>
  <c r="BL911" i="1"/>
  <c r="BM911" i="1"/>
  <c r="BN911" i="1"/>
  <c r="BP911" i="1"/>
  <c r="AM912" i="1"/>
  <c r="AQ912" i="1" s="1"/>
  <c r="AO912" i="1"/>
  <c r="AP912" i="1" s="1"/>
  <c r="AR912" i="1"/>
  <c r="AS912" i="1"/>
  <c r="AV912" i="1"/>
  <c r="AW912" i="1"/>
  <c r="BK912" i="1" s="1"/>
  <c r="AX912" i="1"/>
  <c r="AY912" i="1"/>
  <c r="BJ912" i="1"/>
  <c r="BL912" i="1"/>
  <c r="BM912" i="1"/>
  <c r="BN912" i="1"/>
  <c r="BP912" i="1"/>
  <c r="AM913" i="1"/>
  <c r="AO913" i="1"/>
  <c r="AP913" i="1" s="1"/>
  <c r="AR913" i="1"/>
  <c r="AS913" i="1"/>
  <c r="AV913" i="1"/>
  <c r="AW913" i="1"/>
  <c r="BK913" i="1" s="1"/>
  <c r="AX913" i="1"/>
  <c r="AY913" i="1"/>
  <c r="BJ913" i="1"/>
  <c r="BL913" i="1"/>
  <c r="BM913" i="1"/>
  <c r="BN913" i="1"/>
  <c r="BP913" i="1"/>
  <c r="AM914" i="1"/>
  <c r="AO914" i="1"/>
  <c r="AZ914" i="1" s="1"/>
  <c r="AR914" i="1"/>
  <c r="AS914" i="1"/>
  <c r="AV914" i="1"/>
  <c r="AW914" i="1"/>
  <c r="W914" i="1" s="1"/>
  <c r="AX914" i="1"/>
  <c r="AY914" i="1"/>
  <c r="BJ914" i="1"/>
  <c r="BL914" i="1"/>
  <c r="BM914" i="1"/>
  <c r="BN914" i="1"/>
  <c r="BP914" i="1"/>
  <c r="AM915" i="1"/>
  <c r="AN915" i="1" s="1"/>
  <c r="AO915" i="1"/>
  <c r="BH915" i="1" s="1"/>
  <c r="AR915" i="1"/>
  <c r="AS915" i="1"/>
  <c r="AV915" i="1"/>
  <c r="AW915" i="1"/>
  <c r="W915" i="1" s="1"/>
  <c r="AX915" i="1"/>
  <c r="AY915" i="1"/>
  <c r="BJ915" i="1"/>
  <c r="BL915" i="1"/>
  <c r="BM915" i="1"/>
  <c r="BN915" i="1"/>
  <c r="BP915" i="1"/>
  <c r="AM916" i="1"/>
  <c r="AN916" i="1" s="1"/>
  <c r="AO916" i="1"/>
  <c r="AR916" i="1"/>
  <c r="AS916" i="1"/>
  <c r="AV916" i="1"/>
  <c r="AW916" i="1"/>
  <c r="AX916" i="1"/>
  <c r="AY916" i="1"/>
  <c r="BJ916" i="1"/>
  <c r="BL916" i="1"/>
  <c r="BM916" i="1"/>
  <c r="BN916" i="1"/>
  <c r="BP916" i="1"/>
  <c r="AM917" i="1"/>
  <c r="AN917" i="1" s="1"/>
  <c r="AO917" i="1"/>
  <c r="AP917" i="1" s="1"/>
  <c r="AR917" i="1"/>
  <c r="AS917" i="1"/>
  <c r="AV917" i="1"/>
  <c r="AW917" i="1"/>
  <c r="BK917" i="1" s="1"/>
  <c r="AX917" i="1"/>
  <c r="AY917" i="1"/>
  <c r="BJ917" i="1"/>
  <c r="BL917" i="1"/>
  <c r="BM917" i="1"/>
  <c r="BN917" i="1"/>
  <c r="BP917" i="1"/>
  <c r="AM918" i="1"/>
  <c r="AQ918" i="1" s="1"/>
  <c r="AO918" i="1"/>
  <c r="BA918" i="1" s="1"/>
  <c r="AR918" i="1"/>
  <c r="AS918" i="1"/>
  <c r="AV918" i="1"/>
  <c r="AW918" i="1"/>
  <c r="BK918" i="1" s="1"/>
  <c r="AX918" i="1"/>
  <c r="AY918" i="1"/>
  <c r="BJ918" i="1"/>
  <c r="BL918" i="1"/>
  <c r="BM918" i="1"/>
  <c r="BN918" i="1"/>
  <c r="BP918" i="1"/>
  <c r="AM919" i="1"/>
  <c r="AO919" i="1"/>
  <c r="BF919" i="1" s="1"/>
  <c r="AR919" i="1"/>
  <c r="AS919" i="1"/>
  <c r="AV919" i="1"/>
  <c r="AW919" i="1"/>
  <c r="BK919" i="1" s="1"/>
  <c r="AX919" i="1"/>
  <c r="AY919" i="1"/>
  <c r="BJ919" i="1"/>
  <c r="BL919" i="1"/>
  <c r="BM919" i="1"/>
  <c r="BN919" i="1"/>
  <c r="BP919" i="1"/>
  <c r="AM920" i="1"/>
  <c r="AQ920" i="1" s="1"/>
  <c r="AO920" i="1"/>
  <c r="AR920" i="1"/>
  <c r="AS920" i="1"/>
  <c r="AV920" i="1"/>
  <c r="AW920" i="1"/>
  <c r="BK920" i="1" s="1"/>
  <c r="AX920" i="1"/>
  <c r="AY920" i="1"/>
  <c r="BJ920" i="1"/>
  <c r="BL920" i="1"/>
  <c r="BM920" i="1"/>
  <c r="BN920" i="1"/>
  <c r="BP920" i="1"/>
  <c r="AM921" i="1"/>
  <c r="AQ921" i="1" s="1"/>
  <c r="AO921" i="1"/>
  <c r="AP921" i="1" s="1"/>
  <c r="AR921" i="1"/>
  <c r="AS921" i="1"/>
  <c r="AV921" i="1"/>
  <c r="AW921" i="1"/>
  <c r="BK921" i="1" s="1"/>
  <c r="AX921" i="1"/>
  <c r="AY921" i="1"/>
  <c r="BJ921" i="1"/>
  <c r="BL921" i="1"/>
  <c r="BM921" i="1"/>
  <c r="BN921" i="1"/>
  <c r="BP921" i="1"/>
  <c r="AM922" i="1"/>
  <c r="AQ922" i="1" s="1"/>
  <c r="AO922" i="1"/>
  <c r="BA922" i="1" s="1"/>
  <c r="AR922" i="1"/>
  <c r="AS922" i="1"/>
  <c r="AV922" i="1"/>
  <c r="AW922" i="1"/>
  <c r="X922" i="1" s="1"/>
  <c r="AX922" i="1"/>
  <c r="AY922" i="1"/>
  <c r="BJ922" i="1"/>
  <c r="BL922" i="1"/>
  <c r="BM922" i="1"/>
  <c r="BN922" i="1"/>
  <c r="BP922" i="1"/>
  <c r="AM923" i="1"/>
  <c r="AQ923" i="1" s="1"/>
  <c r="AO923" i="1"/>
  <c r="BG923" i="1" s="1"/>
  <c r="AR923" i="1"/>
  <c r="AS923" i="1"/>
  <c r="AV923" i="1"/>
  <c r="AW923" i="1"/>
  <c r="AX923" i="1"/>
  <c r="AY923" i="1"/>
  <c r="BJ923" i="1"/>
  <c r="BL923" i="1"/>
  <c r="BM923" i="1"/>
  <c r="BN923" i="1"/>
  <c r="BP923" i="1"/>
  <c r="AM924" i="1"/>
  <c r="AO924" i="1"/>
  <c r="AR924" i="1"/>
  <c r="AS924" i="1"/>
  <c r="AV924" i="1"/>
  <c r="AW924" i="1"/>
  <c r="BK924" i="1" s="1"/>
  <c r="AX924" i="1"/>
  <c r="AY924" i="1"/>
  <c r="BJ924" i="1"/>
  <c r="BL924" i="1"/>
  <c r="BM924" i="1"/>
  <c r="BN924" i="1"/>
  <c r="BP924" i="1"/>
  <c r="AM925" i="1"/>
  <c r="AN925" i="1" s="1"/>
  <c r="BC925" i="1" s="1"/>
  <c r="AO925" i="1"/>
  <c r="AP925" i="1" s="1"/>
  <c r="AR925" i="1"/>
  <c r="AS925" i="1"/>
  <c r="AV925" i="1"/>
  <c r="AW925" i="1"/>
  <c r="W925" i="1" s="1"/>
  <c r="AX925" i="1"/>
  <c r="AY925" i="1"/>
  <c r="BJ925" i="1"/>
  <c r="BL925" i="1"/>
  <c r="BM925" i="1"/>
  <c r="BN925" i="1"/>
  <c r="BP925" i="1"/>
  <c r="AM926" i="1"/>
  <c r="AO926" i="1"/>
  <c r="BA926" i="1" s="1"/>
  <c r="AR926" i="1"/>
  <c r="AS926" i="1"/>
  <c r="AV926" i="1"/>
  <c r="AW926" i="1"/>
  <c r="BK926" i="1" s="1"/>
  <c r="AX926" i="1"/>
  <c r="AY926" i="1"/>
  <c r="BJ926" i="1"/>
  <c r="BL926" i="1"/>
  <c r="BM926" i="1"/>
  <c r="BN926" i="1"/>
  <c r="BP926" i="1"/>
  <c r="AM927" i="1"/>
  <c r="AN927" i="1" s="1"/>
  <c r="AO927" i="1"/>
  <c r="BA927" i="1" s="1"/>
  <c r="AR927" i="1"/>
  <c r="AS927" i="1"/>
  <c r="AV927" i="1"/>
  <c r="AW927" i="1"/>
  <c r="BK927" i="1" s="1"/>
  <c r="AX927" i="1"/>
  <c r="AY927" i="1"/>
  <c r="BJ927" i="1"/>
  <c r="BL927" i="1"/>
  <c r="BM927" i="1"/>
  <c r="BN927" i="1"/>
  <c r="BP927" i="1"/>
  <c r="AM928" i="1"/>
  <c r="AN928" i="1" s="1"/>
  <c r="BC928" i="1" s="1"/>
  <c r="AO928" i="1"/>
  <c r="AZ928" i="1" s="1"/>
  <c r="AR928" i="1"/>
  <c r="AS928" i="1"/>
  <c r="AV928" i="1"/>
  <c r="AW928" i="1"/>
  <c r="BK928" i="1" s="1"/>
  <c r="AX928" i="1"/>
  <c r="AY928" i="1"/>
  <c r="BJ928" i="1"/>
  <c r="BL928" i="1"/>
  <c r="BM928" i="1"/>
  <c r="BN928" i="1"/>
  <c r="BP928" i="1"/>
  <c r="AM929" i="1"/>
  <c r="AQ929" i="1" s="1"/>
  <c r="AO929" i="1"/>
  <c r="AP929" i="1" s="1"/>
  <c r="AR929" i="1"/>
  <c r="AS929" i="1"/>
  <c r="AV929" i="1"/>
  <c r="AW929" i="1"/>
  <c r="BK929" i="1" s="1"/>
  <c r="AX929" i="1"/>
  <c r="AY929" i="1"/>
  <c r="BJ929" i="1"/>
  <c r="BL929" i="1"/>
  <c r="BM929" i="1"/>
  <c r="BN929" i="1"/>
  <c r="BP929" i="1"/>
  <c r="AM930" i="1"/>
  <c r="AO930" i="1"/>
  <c r="AZ930" i="1" s="1"/>
  <c r="AR930" i="1"/>
  <c r="AS930" i="1"/>
  <c r="AV930" i="1"/>
  <c r="AW930" i="1"/>
  <c r="W930" i="1" s="1"/>
  <c r="AX930" i="1"/>
  <c r="AY930" i="1"/>
  <c r="BJ930" i="1"/>
  <c r="BL930" i="1"/>
  <c r="BM930" i="1"/>
  <c r="BN930" i="1"/>
  <c r="BP930" i="1"/>
  <c r="AM931" i="1"/>
  <c r="AN931" i="1" s="1"/>
  <c r="AO931" i="1"/>
  <c r="BH931" i="1" s="1"/>
  <c r="AR931" i="1"/>
  <c r="AS931" i="1"/>
  <c r="AV931" i="1"/>
  <c r="AW931" i="1"/>
  <c r="W931" i="1" s="1"/>
  <c r="AX931" i="1"/>
  <c r="AY931" i="1"/>
  <c r="BJ931" i="1"/>
  <c r="BL931" i="1"/>
  <c r="BM931" i="1"/>
  <c r="BN931" i="1"/>
  <c r="BP931" i="1"/>
  <c r="AM932" i="1"/>
  <c r="AQ932" i="1" s="1"/>
  <c r="AO932" i="1"/>
  <c r="AR932" i="1"/>
  <c r="AS932" i="1"/>
  <c r="AV932" i="1"/>
  <c r="AW932" i="1"/>
  <c r="BK932" i="1" s="1"/>
  <c r="AX932" i="1"/>
  <c r="AY932" i="1"/>
  <c r="BJ932" i="1"/>
  <c r="BL932" i="1"/>
  <c r="BM932" i="1"/>
  <c r="BN932" i="1"/>
  <c r="BP932" i="1"/>
  <c r="AM933" i="1"/>
  <c r="AN933" i="1" s="1"/>
  <c r="AO933" i="1"/>
  <c r="BG933" i="1" s="1"/>
  <c r="AR933" i="1"/>
  <c r="AS933" i="1"/>
  <c r="AV933" i="1"/>
  <c r="AW933" i="1"/>
  <c r="BK933" i="1" s="1"/>
  <c r="AX933" i="1"/>
  <c r="AY933" i="1"/>
  <c r="BJ933" i="1"/>
  <c r="BL933" i="1"/>
  <c r="BM933" i="1"/>
  <c r="BN933" i="1"/>
  <c r="BP933" i="1"/>
  <c r="AM934" i="1"/>
  <c r="AN934" i="1" s="1"/>
  <c r="BC934" i="1" s="1"/>
  <c r="AO934" i="1"/>
  <c r="BA934" i="1" s="1"/>
  <c r="AR934" i="1"/>
  <c r="AS934" i="1"/>
  <c r="AV934" i="1"/>
  <c r="AW934" i="1"/>
  <c r="BK934" i="1" s="1"/>
  <c r="AX934" i="1"/>
  <c r="AY934" i="1"/>
  <c r="BJ934" i="1"/>
  <c r="BL934" i="1"/>
  <c r="BM934" i="1"/>
  <c r="BN934" i="1"/>
  <c r="BP934" i="1"/>
  <c r="AM935" i="1"/>
  <c r="AN935" i="1" s="1"/>
  <c r="AO935" i="1"/>
  <c r="BH935" i="1" s="1"/>
  <c r="AR935" i="1"/>
  <c r="AS935" i="1"/>
  <c r="AV935" i="1"/>
  <c r="AW935" i="1"/>
  <c r="BK935" i="1" s="1"/>
  <c r="AX935" i="1"/>
  <c r="AY935" i="1"/>
  <c r="BJ935" i="1"/>
  <c r="BL935" i="1"/>
  <c r="BM935" i="1"/>
  <c r="BN935" i="1"/>
  <c r="BP935" i="1"/>
  <c r="AM936" i="1"/>
  <c r="AN936" i="1" s="1"/>
  <c r="BC936" i="1" s="1"/>
  <c r="AO936" i="1"/>
  <c r="BF936" i="1" s="1"/>
  <c r="AR936" i="1"/>
  <c r="AS936" i="1"/>
  <c r="AV936" i="1"/>
  <c r="AW936" i="1"/>
  <c r="W936" i="1" s="1"/>
  <c r="AX936" i="1"/>
  <c r="AY936" i="1"/>
  <c r="BJ936" i="1"/>
  <c r="BL936" i="1"/>
  <c r="BM936" i="1"/>
  <c r="BN936" i="1"/>
  <c r="BP936" i="1"/>
  <c r="AM937" i="1"/>
  <c r="AO937" i="1"/>
  <c r="AP937" i="1" s="1"/>
  <c r="AR937" i="1"/>
  <c r="AS937" i="1"/>
  <c r="AV937" i="1"/>
  <c r="AW937" i="1"/>
  <c r="AX937" i="1"/>
  <c r="AY937" i="1"/>
  <c r="BJ937" i="1"/>
  <c r="BL937" i="1"/>
  <c r="BM937" i="1"/>
  <c r="BN937" i="1"/>
  <c r="BP937" i="1"/>
  <c r="AM938" i="1"/>
  <c r="AN938" i="1" s="1"/>
  <c r="AO938" i="1"/>
  <c r="BG938" i="1" s="1"/>
  <c r="AR938" i="1"/>
  <c r="AS938" i="1"/>
  <c r="AV938" i="1"/>
  <c r="AW938" i="1"/>
  <c r="X938" i="1" s="1"/>
  <c r="AX938" i="1"/>
  <c r="AY938" i="1"/>
  <c r="BJ938" i="1"/>
  <c r="BL938" i="1"/>
  <c r="BM938" i="1"/>
  <c r="BN938" i="1"/>
  <c r="BP938" i="1"/>
  <c r="AM939" i="1"/>
  <c r="AN939" i="1" s="1"/>
  <c r="AO939" i="1"/>
  <c r="BH939" i="1" s="1"/>
  <c r="AR939" i="1"/>
  <c r="AS939" i="1"/>
  <c r="AV939" i="1"/>
  <c r="AW939" i="1"/>
  <c r="W939" i="1" s="1"/>
  <c r="AX939" i="1"/>
  <c r="AY939" i="1"/>
  <c r="BJ939" i="1"/>
  <c r="BL939" i="1"/>
  <c r="BM939" i="1"/>
  <c r="BN939" i="1"/>
  <c r="BP939" i="1"/>
  <c r="AM940" i="1"/>
  <c r="AO940" i="1"/>
  <c r="AZ940" i="1" s="1"/>
  <c r="AR940" i="1"/>
  <c r="AS940" i="1"/>
  <c r="AV940" i="1"/>
  <c r="AW940" i="1"/>
  <c r="W940" i="1" s="1"/>
  <c r="AX940" i="1"/>
  <c r="AY940" i="1"/>
  <c r="BJ940" i="1"/>
  <c r="BL940" i="1"/>
  <c r="BM940" i="1"/>
  <c r="BN940" i="1"/>
  <c r="BP940" i="1"/>
  <c r="AM941" i="1"/>
  <c r="AQ941" i="1" s="1"/>
  <c r="AO941" i="1"/>
  <c r="AP941" i="1" s="1"/>
  <c r="AR941" i="1"/>
  <c r="AS941" i="1"/>
  <c r="AV941" i="1"/>
  <c r="AW941" i="1"/>
  <c r="W941" i="1" s="1"/>
  <c r="AX941" i="1"/>
  <c r="AY941" i="1"/>
  <c r="BJ941" i="1"/>
  <c r="BL941" i="1"/>
  <c r="BM941" i="1"/>
  <c r="BN941" i="1"/>
  <c r="BP941" i="1"/>
  <c r="AM942" i="1"/>
  <c r="AQ942" i="1" s="1"/>
  <c r="AO942" i="1"/>
  <c r="AZ942" i="1" s="1"/>
  <c r="AR942" i="1"/>
  <c r="AS942" i="1"/>
  <c r="AV942" i="1"/>
  <c r="AW942" i="1"/>
  <c r="BK942" i="1" s="1"/>
  <c r="AX942" i="1"/>
  <c r="AY942" i="1"/>
  <c r="BJ942" i="1"/>
  <c r="BL942" i="1"/>
  <c r="BM942" i="1"/>
  <c r="BN942" i="1"/>
  <c r="BP942" i="1"/>
  <c r="AM943" i="1"/>
  <c r="AN943" i="1" s="1"/>
  <c r="AO943" i="1"/>
  <c r="BH943" i="1" s="1"/>
  <c r="AR943" i="1"/>
  <c r="AS943" i="1"/>
  <c r="AV943" i="1"/>
  <c r="AW943" i="1"/>
  <c r="BK943" i="1" s="1"/>
  <c r="AX943" i="1"/>
  <c r="AY943" i="1"/>
  <c r="BJ943" i="1"/>
  <c r="BL943" i="1"/>
  <c r="BM943" i="1"/>
  <c r="BN943" i="1"/>
  <c r="BP943" i="1"/>
  <c r="AM944" i="1"/>
  <c r="AQ944" i="1" s="1"/>
  <c r="AO944" i="1"/>
  <c r="AP944" i="1" s="1"/>
  <c r="AR944" i="1"/>
  <c r="AS944" i="1"/>
  <c r="AV944" i="1"/>
  <c r="AW944" i="1"/>
  <c r="BK944" i="1" s="1"/>
  <c r="AX944" i="1"/>
  <c r="AY944" i="1"/>
  <c r="BJ944" i="1"/>
  <c r="BL944" i="1"/>
  <c r="BM944" i="1"/>
  <c r="BN944" i="1"/>
  <c r="BP944" i="1"/>
  <c r="AM945" i="1"/>
  <c r="AN945" i="1" s="1"/>
  <c r="BC945" i="1" s="1"/>
  <c r="AO945" i="1"/>
  <c r="AP945" i="1" s="1"/>
  <c r="AR945" i="1"/>
  <c r="AS945" i="1"/>
  <c r="AV945" i="1"/>
  <c r="AW945" i="1"/>
  <c r="BK945" i="1" s="1"/>
  <c r="AX945" i="1"/>
  <c r="AY945" i="1"/>
  <c r="BJ945" i="1"/>
  <c r="BL945" i="1"/>
  <c r="BM945" i="1"/>
  <c r="BN945" i="1"/>
  <c r="BP945" i="1"/>
  <c r="AM946" i="1"/>
  <c r="AN946" i="1" s="1"/>
  <c r="BC946" i="1" s="1"/>
  <c r="AO946" i="1"/>
  <c r="AZ946" i="1" s="1"/>
  <c r="AR946" i="1"/>
  <c r="AS946" i="1"/>
  <c r="AV946" i="1"/>
  <c r="AW946" i="1"/>
  <c r="X946" i="1" s="1"/>
  <c r="AX946" i="1"/>
  <c r="AY946" i="1"/>
  <c r="BJ946" i="1"/>
  <c r="BL946" i="1"/>
  <c r="BM946" i="1"/>
  <c r="BN946" i="1"/>
  <c r="BP946" i="1"/>
  <c r="AM947" i="1"/>
  <c r="AN947" i="1" s="1"/>
  <c r="AO947" i="1"/>
  <c r="BH947" i="1" s="1"/>
  <c r="AR947" i="1"/>
  <c r="AS947" i="1"/>
  <c r="AV947" i="1"/>
  <c r="AW947" i="1"/>
  <c r="BK947" i="1" s="1"/>
  <c r="AX947" i="1"/>
  <c r="AY947" i="1"/>
  <c r="BJ947" i="1"/>
  <c r="BL947" i="1"/>
  <c r="BM947" i="1"/>
  <c r="BN947" i="1"/>
  <c r="BP947" i="1"/>
  <c r="AM948" i="1"/>
  <c r="AN948" i="1" s="1"/>
  <c r="AO948" i="1"/>
  <c r="AR948" i="1"/>
  <c r="AS948" i="1"/>
  <c r="AV948" i="1"/>
  <c r="AW948" i="1"/>
  <c r="AX948" i="1"/>
  <c r="AY948" i="1"/>
  <c r="BJ948" i="1"/>
  <c r="BL948" i="1"/>
  <c r="BM948" i="1"/>
  <c r="BN948" i="1"/>
  <c r="BP948" i="1"/>
  <c r="AM949" i="1"/>
  <c r="AQ949" i="1" s="1"/>
  <c r="AO949" i="1"/>
  <c r="AP949" i="1" s="1"/>
  <c r="AR949" i="1"/>
  <c r="AS949" i="1"/>
  <c r="AV949" i="1"/>
  <c r="AW949" i="1"/>
  <c r="BK949" i="1" s="1"/>
  <c r="AX949" i="1"/>
  <c r="AY949" i="1"/>
  <c r="BJ949" i="1"/>
  <c r="BL949" i="1"/>
  <c r="BM949" i="1"/>
  <c r="BN949" i="1"/>
  <c r="BP949" i="1"/>
  <c r="AM950" i="1"/>
  <c r="AQ950" i="1" s="1"/>
  <c r="AO950" i="1"/>
  <c r="BA950" i="1" s="1"/>
  <c r="AR950" i="1"/>
  <c r="AS950" i="1"/>
  <c r="AV950" i="1"/>
  <c r="AW950" i="1"/>
  <c r="X950" i="1" s="1"/>
  <c r="AX950" i="1"/>
  <c r="AY950" i="1"/>
  <c r="BJ950" i="1"/>
  <c r="BL950" i="1"/>
  <c r="BM950" i="1"/>
  <c r="BN950" i="1"/>
  <c r="BP950" i="1"/>
  <c r="AM951" i="1"/>
  <c r="AN951" i="1" s="1"/>
  <c r="AO951" i="1"/>
  <c r="BF951" i="1" s="1"/>
  <c r="AR951" i="1"/>
  <c r="AS951" i="1"/>
  <c r="AV951" i="1"/>
  <c r="AW951" i="1"/>
  <c r="AX951" i="1"/>
  <c r="AY951" i="1"/>
  <c r="BJ951" i="1"/>
  <c r="BL951" i="1"/>
  <c r="BM951" i="1"/>
  <c r="BN951" i="1"/>
  <c r="BP951" i="1"/>
  <c r="AM952" i="1"/>
  <c r="AO952" i="1"/>
  <c r="AR952" i="1"/>
  <c r="AS952" i="1"/>
  <c r="AV952" i="1"/>
  <c r="AW952" i="1"/>
  <c r="W952" i="1" s="1"/>
  <c r="AX952" i="1"/>
  <c r="AY952" i="1"/>
  <c r="BJ952" i="1"/>
  <c r="BL952" i="1"/>
  <c r="BM952" i="1"/>
  <c r="BN952" i="1"/>
  <c r="BP952" i="1"/>
  <c r="AM953" i="1"/>
  <c r="AN953" i="1" s="1"/>
  <c r="BC953" i="1" s="1"/>
  <c r="AO953" i="1"/>
  <c r="AP953" i="1" s="1"/>
  <c r="AR953" i="1"/>
  <c r="AS953" i="1"/>
  <c r="AV953" i="1"/>
  <c r="AW953" i="1"/>
  <c r="BK953" i="1" s="1"/>
  <c r="AX953" i="1"/>
  <c r="AY953" i="1"/>
  <c r="BJ953" i="1"/>
  <c r="BL953" i="1"/>
  <c r="BM953" i="1"/>
  <c r="BN953" i="1"/>
  <c r="BP953" i="1"/>
  <c r="AM954" i="1"/>
  <c r="AQ954" i="1" s="1"/>
  <c r="AO954" i="1"/>
  <c r="BA954" i="1" s="1"/>
  <c r="AR954" i="1"/>
  <c r="AS954" i="1"/>
  <c r="AV954" i="1"/>
  <c r="AW954" i="1"/>
  <c r="X954" i="1" s="1"/>
  <c r="AX954" i="1"/>
  <c r="AY954" i="1"/>
  <c r="BJ954" i="1"/>
  <c r="BL954" i="1"/>
  <c r="BM954" i="1"/>
  <c r="BN954" i="1"/>
  <c r="BP954" i="1"/>
  <c r="AM955" i="1"/>
  <c r="AN955" i="1" s="1"/>
  <c r="AO955" i="1"/>
  <c r="BG955" i="1" s="1"/>
  <c r="AR955" i="1"/>
  <c r="AS955" i="1"/>
  <c r="AV955" i="1"/>
  <c r="AW955" i="1"/>
  <c r="W955" i="1" s="1"/>
  <c r="AX955" i="1"/>
  <c r="AY955" i="1"/>
  <c r="BJ955" i="1"/>
  <c r="BL955" i="1"/>
  <c r="BM955" i="1"/>
  <c r="BN955" i="1"/>
  <c r="BP955" i="1"/>
  <c r="AM956" i="1"/>
  <c r="AN956" i="1" s="1"/>
  <c r="BC956" i="1" s="1"/>
  <c r="AO956" i="1"/>
  <c r="AZ956" i="1" s="1"/>
  <c r="AR956" i="1"/>
  <c r="AS956" i="1"/>
  <c r="AV956" i="1"/>
  <c r="AW956" i="1"/>
  <c r="BK956" i="1" s="1"/>
  <c r="AX956" i="1"/>
  <c r="AY956" i="1"/>
  <c r="BJ956" i="1"/>
  <c r="BL956" i="1"/>
  <c r="BM956" i="1"/>
  <c r="BN956" i="1"/>
  <c r="BP956" i="1"/>
  <c r="AM957" i="1"/>
  <c r="AN957" i="1" s="1"/>
  <c r="BC957" i="1" s="1"/>
  <c r="AO957" i="1"/>
  <c r="BG957" i="1" s="1"/>
  <c r="AR957" i="1"/>
  <c r="AS957" i="1"/>
  <c r="AV957" i="1"/>
  <c r="AW957" i="1"/>
  <c r="BK957" i="1" s="1"/>
  <c r="AX957" i="1"/>
  <c r="AY957" i="1"/>
  <c r="BJ957" i="1"/>
  <c r="BL957" i="1"/>
  <c r="BM957" i="1"/>
  <c r="BN957" i="1"/>
  <c r="BP957" i="1"/>
  <c r="AM958" i="1"/>
  <c r="AO958" i="1"/>
  <c r="BA958" i="1" s="1"/>
  <c r="AR958" i="1"/>
  <c r="AS958" i="1"/>
  <c r="AV958" i="1"/>
  <c r="AW958" i="1"/>
  <c r="BK958" i="1" s="1"/>
  <c r="AX958" i="1"/>
  <c r="AY958" i="1"/>
  <c r="BJ958" i="1"/>
  <c r="BL958" i="1"/>
  <c r="BM958" i="1"/>
  <c r="BN958" i="1"/>
  <c r="BP958" i="1"/>
  <c r="AM959" i="1"/>
  <c r="AQ959" i="1" s="1"/>
  <c r="AO959" i="1"/>
  <c r="BH959" i="1" s="1"/>
  <c r="AR959" i="1"/>
  <c r="AS959" i="1"/>
  <c r="AV959" i="1"/>
  <c r="AW959" i="1"/>
  <c r="AX959" i="1"/>
  <c r="AY959" i="1"/>
  <c r="BJ959" i="1"/>
  <c r="BL959" i="1"/>
  <c r="BM959" i="1"/>
  <c r="BN959" i="1"/>
  <c r="BP959" i="1"/>
  <c r="AM960" i="1"/>
  <c r="AN960" i="1" s="1"/>
  <c r="BC960" i="1" s="1"/>
  <c r="AO960" i="1"/>
  <c r="AZ960" i="1" s="1"/>
  <c r="AR960" i="1"/>
  <c r="AS960" i="1"/>
  <c r="AV960" i="1"/>
  <c r="AW960" i="1"/>
  <c r="BK960" i="1" s="1"/>
  <c r="AX960" i="1"/>
  <c r="AY960" i="1"/>
  <c r="BJ960" i="1"/>
  <c r="BL960" i="1"/>
  <c r="BM960" i="1"/>
  <c r="BN960" i="1"/>
  <c r="BP960" i="1"/>
  <c r="AM961" i="1"/>
  <c r="AQ961" i="1" s="1"/>
  <c r="AO961" i="1"/>
  <c r="AP961" i="1" s="1"/>
  <c r="AR961" i="1"/>
  <c r="AS961" i="1"/>
  <c r="AV961" i="1"/>
  <c r="AW961" i="1"/>
  <c r="BK961" i="1" s="1"/>
  <c r="AX961" i="1"/>
  <c r="AY961" i="1"/>
  <c r="BJ961" i="1"/>
  <c r="BL961" i="1"/>
  <c r="BM961" i="1"/>
  <c r="BN961" i="1"/>
  <c r="BP961" i="1"/>
  <c r="AM962" i="1"/>
  <c r="AO962" i="1"/>
  <c r="AZ962" i="1" s="1"/>
  <c r="AR962" i="1"/>
  <c r="AS962" i="1"/>
  <c r="AV962" i="1"/>
  <c r="AW962" i="1"/>
  <c r="BK962" i="1" s="1"/>
  <c r="AX962" i="1"/>
  <c r="AY962" i="1"/>
  <c r="BJ962" i="1"/>
  <c r="BL962" i="1"/>
  <c r="BM962" i="1"/>
  <c r="BN962" i="1"/>
  <c r="BP962" i="1"/>
  <c r="AM963" i="1"/>
  <c r="AQ963" i="1" s="1"/>
  <c r="AO963" i="1"/>
  <c r="BH963" i="1" s="1"/>
  <c r="AR963" i="1"/>
  <c r="AS963" i="1"/>
  <c r="AV963" i="1"/>
  <c r="AW963" i="1"/>
  <c r="AX963" i="1"/>
  <c r="AY963" i="1"/>
  <c r="BJ963" i="1"/>
  <c r="BL963" i="1"/>
  <c r="BM963" i="1"/>
  <c r="BN963" i="1"/>
  <c r="BP963" i="1"/>
  <c r="AM964" i="1"/>
  <c r="AQ964" i="1" s="1"/>
  <c r="AO964" i="1"/>
  <c r="AP964" i="1" s="1"/>
  <c r="AR964" i="1"/>
  <c r="AS964" i="1"/>
  <c r="AV964" i="1"/>
  <c r="AW964" i="1"/>
  <c r="BK964" i="1" s="1"/>
  <c r="AX964" i="1"/>
  <c r="AY964" i="1"/>
  <c r="BJ964" i="1"/>
  <c r="BL964" i="1"/>
  <c r="BM964" i="1"/>
  <c r="BN964" i="1"/>
  <c r="BP964" i="1"/>
  <c r="AM965" i="1"/>
  <c r="AN965" i="1" s="1"/>
  <c r="AO965" i="1"/>
  <c r="AP965" i="1" s="1"/>
  <c r="AR965" i="1"/>
  <c r="AS965" i="1"/>
  <c r="AV965" i="1"/>
  <c r="AW965" i="1"/>
  <c r="BK965" i="1" s="1"/>
  <c r="AX965" i="1"/>
  <c r="AY965" i="1"/>
  <c r="BJ965" i="1"/>
  <c r="BL965" i="1"/>
  <c r="BM965" i="1"/>
  <c r="BN965" i="1"/>
  <c r="BP965" i="1"/>
  <c r="AM966" i="1"/>
  <c r="AN966" i="1" s="1"/>
  <c r="BC966" i="1" s="1"/>
  <c r="AO966" i="1"/>
  <c r="BA966" i="1" s="1"/>
  <c r="AR966" i="1"/>
  <c r="AS966" i="1"/>
  <c r="AV966" i="1"/>
  <c r="AW966" i="1"/>
  <c r="BK966" i="1" s="1"/>
  <c r="AX966" i="1"/>
  <c r="AY966" i="1"/>
  <c r="BJ966" i="1"/>
  <c r="BL966" i="1"/>
  <c r="BM966" i="1"/>
  <c r="BN966" i="1"/>
  <c r="BP966" i="1"/>
  <c r="AM967" i="1"/>
  <c r="AN967" i="1" s="1"/>
  <c r="AO967" i="1"/>
  <c r="BH967" i="1" s="1"/>
  <c r="AR967" i="1"/>
  <c r="AS967" i="1"/>
  <c r="AV967" i="1"/>
  <c r="AW967" i="1"/>
  <c r="BK967" i="1" s="1"/>
  <c r="AX967" i="1"/>
  <c r="AY967" i="1"/>
  <c r="BJ967" i="1"/>
  <c r="BL967" i="1"/>
  <c r="BM967" i="1"/>
  <c r="BN967" i="1"/>
  <c r="BP967" i="1"/>
  <c r="AM968" i="1"/>
  <c r="AN968" i="1" s="1"/>
  <c r="BC968" i="1" s="1"/>
  <c r="AO968" i="1"/>
  <c r="AR968" i="1"/>
  <c r="AS968" i="1"/>
  <c r="AV968" i="1"/>
  <c r="AW968" i="1"/>
  <c r="BK968" i="1" s="1"/>
  <c r="AX968" i="1"/>
  <c r="AY968" i="1"/>
  <c r="BJ968" i="1"/>
  <c r="BL968" i="1"/>
  <c r="BM968" i="1"/>
  <c r="BN968" i="1"/>
  <c r="BP968" i="1"/>
  <c r="AM969" i="1"/>
  <c r="AO969" i="1"/>
  <c r="AP969" i="1" s="1"/>
  <c r="AR969" i="1"/>
  <c r="AS969" i="1"/>
  <c r="AV969" i="1"/>
  <c r="AW969" i="1"/>
  <c r="BK969" i="1" s="1"/>
  <c r="AX969" i="1"/>
  <c r="AY969" i="1"/>
  <c r="BJ969" i="1"/>
  <c r="BL969" i="1"/>
  <c r="BM969" i="1"/>
  <c r="BN969" i="1"/>
  <c r="BP969" i="1"/>
  <c r="AM970" i="1"/>
  <c r="AN970" i="1" s="1"/>
  <c r="AO970" i="1"/>
  <c r="AR970" i="1"/>
  <c r="AS970" i="1"/>
  <c r="AV970" i="1"/>
  <c r="AW970" i="1"/>
  <c r="X970" i="1" s="1"/>
  <c r="AX970" i="1"/>
  <c r="AY970" i="1"/>
  <c r="BJ970" i="1"/>
  <c r="BL970" i="1"/>
  <c r="BM970" i="1"/>
  <c r="BN970" i="1"/>
  <c r="BP970" i="1"/>
  <c r="AM971" i="1"/>
  <c r="AN971" i="1" s="1"/>
  <c r="AO971" i="1"/>
  <c r="BH971" i="1" s="1"/>
  <c r="AR971" i="1"/>
  <c r="AS971" i="1"/>
  <c r="AV971" i="1"/>
  <c r="AW971" i="1"/>
  <c r="W971" i="1" s="1"/>
  <c r="AX971" i="1"/>
  <c r="AY971" i="1"/>
  <c r="BJ971" i="1"/>
  <c r="BL971" i="1"/>
  <c r="BM971" i="1"/>
  <c r="BN971" i="1"/>
  <c r="BP971" i="1"/>
  <c r="AM972" i="1"/>
  <c r="AQ972" i="1" s="1"/>
  <c r="AO972" i="1"/>
  <c r="AZ972" i="1" s="1"/>
  <c r="AR972" i="1"/>
  <c r="AS972" i="1"/>
  <c r="AV972" i="1"/>
  <c r="AW972" i="1"/>
  <c r="AX972" i="1"/>
  <c r="AY972" i="1"/>
  <c r="BJ972" i="1"/>
  <c r="BL972" i="1"/>
  <c r="BM972" i="1"/>
  <c r="BN972" i="1"/>
  <c r="BP972" i="1"/>
  <c r="AM973" i="1"/>
  <c r="AN973" i="1" s="1"/>
  <c r="AO973" i="1"/>
  <c r="AR973" i="1"/>
  <c r="AS973" i="1"/>
  <c r="AV973" i="1"/>
  <c r="AW973" i="1"/>
  <c r="BK973" i="1" s="1"/>
  <c r="AX973" i="1"/>
  <c r="AY973" i="1"/>
  <c r="BJ973" i="1"/>
  <c r="BL973" i="1"/>
  <c r="BM973" i="1"/>
  <c r="BN973" i="1"/>
  <c r="BP973" i="1"/>
  <c r="AM974" i="1"/>
  <c r="AN974" i="1" s="1"/>
  <c r="BC974" i="1" s="1"/>
  <c r="AO974" i="1"/>
  <c r="BH974" i="1" s="1"/>
  <c r="AR974" i="1"/>
  <c r="AS974" i="1"/>
  <c r="AV974" i="1"/>
  <c r="AW974" i="1"/>
  <c r="BK974" i="1" s="1"/>
  <c r="AX974" i="1"/>
  <c r="AY974" i="1"/>
  <c r="BJ974" i="1"/>
  <c r="BL974" i="1"/>
  <c r="BM974" i="1"/>
  <c r="BN974" i="1"/>
  <c r="BP974" i="1"/>
  <c r="AM975" i="1"/>
  <c r="AQ975" i="1" s="1"/>
  <c r="AO975" i="1"/>
  <c r="BG975" i="1" s="1"/>
  <c r="AR975" i="1"/>
  <c r="AS975" i="1"/>
  <c r="AV975" i="1"/>
  <c r="AW975" i="1"/>
  <c r="AX975" i="1"/>
  <c r="AY975" i="1"/>
  <c r="BJ975" i="1"/>
  <c r="BL975" i="1"/>
  <c r="BM975" i="1"/>
  <c r="BN975" i="1"/>
  <c r="BP975" i="1"/>
  <c r="AM976" i="1"/>
  <c r="AN976" i="1" s="1"/>
  <c r="BC976" i="1" s="1"/>
  <c r="AO976" i="1"/>
  <c r="AP976" i="1" s="1"/>
  <c r="AR976" i="1"/>
  <c r="AS976" i="1"/>
  <c r="AV976" i="1"/>
  <c r="AW976" i="1"/>
  <c r="BK976" i="1" s="1"/>
  <c r="AX976" i="1"/>
  <c r="AY976" i="1"/>
  <c r="BJ976" i="1"/>
  <c r="BL976" i="1"/>
  <c r="BM976" i="1"/>
  <c r="BN976" i="1"/>
  <c r="BP976" i="1"/>
  <c r="AM977" i="1"/>
  <c r="AN977" i="1" s="1"/>
  <c r="BC977" i="1" s="1"/>
  <c r="AO977" i="1"/>
  <c r="BH977" i="1" s="1"/>
  <c r="AR977" i="1"/>
  <c r="AS977" i="1"/>
  <c r="AV977" i="1"/>
  <c r="AW977" i="1"/>
  <c r="BK977" i="1" s="1"/>
  <c r="AX977" i="1"/>
  <c r="AY977" i="1"/>
  <c r="BJ977" i="1"/>
  <c r="BL977" i="1"/>
  <c r="BM977" i="1"/>
  <c r="BN977" i="1"/>
  <c r="BP977" i="1"/>
  <c r="AM978" i="1"/>
  <c r="AN978" i="1" s="1"/>
  <c r="BC978" i="1" s="1"/>
  <c r="AO978" i="1"/>
  <c r="BH978" i="1" s="1"/>
  <c r="AR978" i="1"/>
  <c r="AS978" i="1"/>
  <c r="AV978" i="1"/>
  <c r="AW978" i="1"/>
  <c r="BK978" i="1" s="1"/>
  <c r="AX978" i="1"/>
  <c r="AY978" i="1"/>
  <c r="BJ978" i="1"/>
  <c r="BL978" i="1"/>
  <c r="BM978" i="1"/>
  <c r="BN978" i="1"/>
  <c r="BP978" i="1"/>
  <c r="AM979" i="1"/>
  <c r="AQ979" i="1" s="1"/>
  <c r="AO979" i="1"/>
  <c r="BH979" i="1" s="1"/>
  <c r="AR979" i="1"/>
  <c r="AS979" i="1"/>
  <c r="AV979" i="1"/>
  <c r="AW979" i="1"/>
  <c r="W979" i="1" s="1"/>
  <c r="AX979" i="1"/>
  <c r="AY979" i="1"/>
  <c r="BJ979" i="1"/>
  <c r="BL979" i="1"/>
  <c r="BM979" i="1"/>
  <c r="BN979" i="1"/>
  <c r="BP979" i="1"/>
  <c r="AM980" i="1"/>
  <c r="AQ980" i="1" s="1"/>
  <c r="AO980" i="1"/>
  <c r="AR980" i="1"/>
  <c r="AS980" i="1"/>
  <c r="AV980" i="1"/>
  <c r="AW980" i="1"/>
  <c r="W980" i="1" s="1"/>
  <c r="AX980" i="1"/>
  <c r="AY980" i="1"/>
  <c r="BJ980" i="1"/>
  <c r="BL980" i="1"/>
  <c r="BM980" i="1"/>
  <c r="BN980" i="1"/>
  <c r="BP980" i="1"/>
  <c r="AM981" i="1"/>
  <c r="AN981" i="1" s="1"/>
  <c r="BB981" i="1" s="1"/>
  <c r="AO981" i="1"/>
  <c r="BA981" i="1" s="1"/>
  <c r="AR981" i="1"/>
  <c r="AS981" i="1"/>
  <c r="AV981" i="1"/>
  <c r="AW981" i="1"/>
  <c r="AX981" i="1"/>
  <c r="AY981" i="1"/>
  <c r="BJ981" i="1"/>
  <c r="BL981" i="1"/>
  <c r="BM981" i="1"/>
  <c r="BN981" i="1"/>
  <c r="BP981" i="1"/>
  <c r="AM982" i="1"/>
  <c r="AQ982" i="1" s="1"/>
  <c r="AO982" i="1"/>
  <c r="AP982" i="1" s="1"/>
  <c r="AR982" i="1"/>
  <c r="AS982" i="1"/>
  <c r="AV982" i="1"/>
  <c r="AW982" i="1"/>
  <c r="BK982" i="1" s="1"/>
  <c r="AX982" i="1"/>
  <c r="AY982" i="1"/>
  <c r="BJ982" i="1"/>
  <c r="BL982" i="1"/>
  <c r="BM982" i="1"/>
  <c r="BN982" i="1"/>
  <c r="BP982" i="1"/>
  <c r="AM983" i="1"/>
  <c r="AN983" i="1" s="1"/>
  <c r="BB983" i="1" s="1"/>
  <c r="AO983" i="1"/>
  <c r="AR983" i="1"/>
  <c r="AS983" i="1"/>
  <c r="AV983" i="1"/>
  <c r="AW983" i="1"/>
  <c r="BK983" i="1" s="1"/>
  <c r="AX983" i="1"/>
  <c r="AY983" i="1"/>
  <c r="BJ983" i="1"/>
  <c r="BL983" i="1"/>
  <c r="BM983" i="1"/>
  <c r="BN983" i="1"/>
  <c r="BP983" i="1"/>
  <c r="AM984" i="1"/>
  <c r="AN984" i="1" s="1"/>
  <c r="BB984" i="1" s="1"/>
  <c r="AO984" i="1"/>
  <c r="AR984" i="1"/>
  <c r="AS984" i="1"/>
  <c r="AV984" i="1"/>
  <c r="AW984" i="1"/>
  <c r="BK984" i="1" s="1"/>
  <c r="AX984" i="1"/>
  <c r="AY984" i="1"/>
  <c r="BJ984" i="1"/>
  <c r="BL984" i="1"/>
  <c r="BM984" i="1"/>
  <c r="BN984" i="1"/>
  <c r="BP984" i="1"/>
  <c r="AM985" i="1"/>
  <c r="AN985" i="1" s="1"/>
  <c r="BB985" i="1" s="1"/>
  <c r="AO985" i="1"/>
  <c r="BA985" i="1" s="1"/>
  <c r="AR985" i="1"/>
  <c r="AS985" i="1"/>
  <c r="AV985" i="1"/>
  <c r="AW985" i="1"/>
  <c r="BK985" i="1" s="1"/>
  <c r="AX985" i="1"/>
  <c r="AY985" i="1"/>
  <c r="BJ985" i="1"/>
  <c r="BL985" i="1"/>
  <c r="BM985" i="1"/>
  <c r="BN985" i="1"/>
  <c r="BP985" i="1"/>
  <c r="AM986" i="1"/>
  <c r="AQ986" i="1" s="1"/>
  <c r="AO986" i="1"/>
  <c r="AP986" i="1" s="1"/>
  <c r="AR986" i="1"/>
  <c r="AS986" i="1"/>
  <c r="AV986" i="1"/>
  <c r="AW986" i="1"/>
  <c r="BK986" i="1" s="1"/>
  <c r="AX986" i="1"/>
  <c r="AY986" i="1"/>
  <c r="BJ986" i="1"/>
  <c r="BL986" i="1"/>
  <c r="BM986" i="1"/>
  <c r="BN986" i="1"/>
  <c r="BP986" i="1"/>
  <c r="AM987" i="1"/>
  <c r="AN987" i="1" s="1"/>
  <c r="BB987" i="1" s="1"/>
  <c r="AO987" i="1"/>
  <c r="AP987" i="1" s="1"/>
  <c r="AR987" i="1"/>
  <c r="AS987" i="1"/>
  <c r="AV987" i="1"/>
  <c r="AW987" i="1"/>
  <c r="BK987" i="1" s="1"/>
  <c r="AX987" i="1"/>
  <c r="AY987" i="1"/>
  <c r="BJ987" i="1"/>
  <c r="BL987" i="1"/>
  <c r="BM987" i="1"/>
  <c r="BN987" i="1"/>
  <c r="BP987" i="1"/>
  <c r="AM988" i="1"/>
  <c r="AN988" i="1" s="1"/>
  <c r="BB988" i="1" s="1"/>
  <c r="AO988" i="1"/>
  <c r="AP988" i="1" s="1"/>
  <c r="AR988" i="1"/>
  <c r="AS988" i="1"/>
  <c r="AV988" i="1"/>
  <c r="AW988" i="1"/>
  <c r="BK988" i="1" s="1"/>
  <c r="AX988" i="1"/>
  <c r="AY988" i="1"/>
  <c r="BJ988" i="1"/>
  <c r="BL988" i="1"/>
  <c r="BM988" i="1"/>
  <c r="BN988" i="1"/>
  <c r="BP988" i="1"/>
  <c r="AM989" i="1"/>
  <c r="AN989" i="1" s="1"/>
  <c r="BB989" i="1" s="1"/>
  <c r="AO989" i="1"/>
  <c r="BA989" i="1" s="1"/>
  <c r="AR989" i="1"/>
  <c r="AS989" i="1"/>
  <c r="AV989" i="1"/>
  <c r="AW989" i="1"/>
  <c r="BK989" i="1" s="1"/>
  <c r="AX989" i="1"/>
  <c r="AY989" i="1"/>
  <c r="BJ989" i="1"/>
  <c r="BL989" i="1"/>
  <c r="BM989" i="1"/>
  <c r="BN989" i="1"/>
  <c r="BP989" i="1"/>
  <c r="AM990" i="1"/>
  <c r="AQ990" i="1" s="1"/>
  <c r="AO990" i="1"/>
  <c r="AP990" i="1" s="1"/>
  <c r="AR990" i="1"/>
  <c r="AS990" i="1"/>
  <c r="AV990" i="1"/>
  <c r="AW990" i="1"/>
  <c r="BK990" i="1" s="1"/>
  <c r="AX990" i="1"/>
  <c r="AY990" i="1"/>
  <c r="BJ990" i="1"/>
  <c r="BL990" i="1"/>
  <c r="BM990" i="1"/>
  <c r="BN990" i="1"/>
  <c r="BP990" i="1"/>
  <c r="AM991" i="1"/>
  <c r="AN991" i="1" s="1"/>
  <c r="BB991" i="1" s="1"/>
  <c r="AO991" i="1"/>
  <c r="AP991" i="1" s="1"/>
  <c r="AR991" i="1"/>
  <c r="AS991" i="1"/>
  <c r="AV991" i="1"/>
  <c r="AW991" i="1"/>
  <c r="BK991" i="1" s="1"/>
  <c r="AX991" i="1"/>
  <c r="AY991" i="1"/>
  <c r="BJ991" i="1"/>
  <c r="BL991" i="1"/>
  <c r="BM991" i="1"/>
  <c r="BN991" i="1"/>
  <c r="BP991" i="1"/>
  <c r="AM992" i="1"/>
  <c r="AN992" i="1" s="1"/>
  <c r="BB992" i="1" s="1"/>
  <c r="AO992" i="1"/>
  <c r="AP992" i="1" s="1"/>
  <c r="AR992" i="1"/>
  <c r="AS992" i="1"/>
  <c r="AV992" i="1"/>
  <c r="AW992" i="1"/>
  <c r="BK992" i="1" s="1"/>
  <c r="AX992" i="1"/>
  <c r="AY992" i="1"/>
  <c r="BJ992" i="1"/>
  <c r="BL992" i="1"/>
  <c r="BM992" i="1"/>
  <c r="BN992" i="1"/>
  <c r="BP992" i="1"/>
  <c r="AM993" i="1"/>
  <c r="AN993" i="1" s="1"/>
  <c r="BB993" i="1" s="1"/>
  <c r="AO993" i="1"/>
  <c r="BA993" i="1" s="1"/>
  <c r="AR993" i="1"/>
  <c r="AS993" i="1"/>
  <c r="AV993" i="1"/>
  <c r="AW993" i="1"/>
  <c r="BK993" i="1" s="1"/>
  <c r="AX993" i="1"/>
  <c r="AY993" i="1"/>
  <c r="BJ993" i="1"/>
  <c r="BL993" i="1"/>
  <c r="BM993" i="1"/>
  <c r="BN993" i="1"/>
  <c r="BP993" i="1"/>
  <c r="AM994" i="1"/>
  <c r="AQ994" i="1" s="1"/>
  <c r="AO994" i="1"/>
  <c r="AP994" i="1" s="1"/>
  <c r="AR994" i="1"/>
  <c r="AS994" i="1"/>
  <c r="AV994" i="1"/>
  <c r="AW994" i="1"/>
  <c r="BK994" i="1" s="1"/>
  <c r="AX994" i="1"/>
  <c r="AY994" i="1"/>
  <c r="BJ994" i="1"/>
  <c r="BL994" i="1"/>
  <c r="BM994" i="1"/>
  <c r="BN994" i="1"/>
  <c r="BP994" i="1"/>
  <c r="AM995" i="1"/>
  <c r="AN995" i="1" s="1"/>
  <c r="BB995" i="1" s="1"/>
  <c r="AO995" i="1"/>
  <c r="AP995" i="1" s="1"/>
  <c r="AR995" i="1"/>
  <c r="AS995" i="1"/>
  <c r="AV995" i="1"/>
  <c r="AW995" i="1"/>
  <c r="BK995" i="1" s="1"/>
  <c r="AX995" i="1"/>
  <c r="AY995" i="1"/>
  <c r="BJ995" i="1"/>
  <c r="BL995" i="1"/>
  <c r="BM995" i="1"/>
  <c r="BN995" i="1"/>
  <c r="BP995" i="1"/>
  <c r="AM996" i="1"/>
  <c r="AN996" i="1" s="1"/>
  <c r="BB996" i="1" s="1"/>
  <c r="AO996" i="1"/>
  <c r="AP996" i="1" s="1"/>
  <c r="AR996" i="1"/>
  <c r="AS996" i="1"/>
  <c r="AV996" i="1"/>
  <c r="AW996" i="1"/>
  <c r="BK996" i="1" s="1"/>
  <c r="AX996" i="1"/>
  <c r="AY996" i="1"/>
  <c r="BJ996" i="1"/>
  <c r="BL996" i="1"/>
  <c r="BM996" i="1"/>
  <c r="BN996" i="1"/>
  <c r="BP996" i="1"/>
  <c r="AM997" i="1"/>
  <c r="AQ997" i="1" s="1"/>
  <c r="AO997" i="1"/>
  <c r="BA997" i="1" s="1"/>
  <c r="AR997" i="1"/>
  <c r="AS997" i="1"/>
  <c r="AV997" i="1"/>
  <c r="AW997" i="1"/>
  <c r="BK997" i="1" s="1"/>
  <c r="AX997" i="1"/>
  <c r="AY997" i="1"/>
  <c r="BJ997" i="1"/>
  <c r="BL997" i="1"/>
  <c r="BM997" i="1"/>
  <c r="BN997" i="1"/>
  <c r="BP997" i="1"/>
  <c r="AM998" i="1"/>
  <c r="AQ998" i="1" s="1"/>
  <c r="AO998" i="1"/>
  <c r="AP998" i="1" s="1"/>
  <c r="AR998" i="1"/>
  <c r="AS998" i="1"/>
  <c r="AV998" i="1"/>
  <c r="AW998" i="1"/>
  <c r="BK998" i="1" s="1"/>
  <c r="AX998" i="1"/>
  <c r="AY998" i="1"/>
  <c r="BJ998" i="1"/>
  <c r="BL998" i="1"/>
  <c r="BM998" i="1"/>
  <c r="BN998" i="1"/>
  <c r="BP998" i="1"/>
  <c r="AM999" i="1"/>
  <c r="AN999" i="1" s="1"/>
  <c r="BB999" i="1" s="1"/>
  <c r="AO999" i="1"/>
  <c r="AP999" i="1" s="1"/>
  <c r="AR999" i="1"/>
  <c r="AS999" i="1"/>
  <c r="AV999" i="1"/>
  <c r="AW999" i="1"/>
  <c r="BK999" i="1" s="1"/>
  <c r="AX999" i="1"/>
  <c r="AY999" i="1"/>
  <c r="BJ999" i="1"/>
  <c r="BL999" i="1"/>
  <c r="BM999" i="1"/>
  <c r="BN999" i="1"/>
  <c r="BP999" i="1"/>
  <c r="AM1000" i="1"/>
  <c r="AN1000" i="1" s="1"/>
  <c r="BB1000" i="1" s="1"/>
  <c r="AO1000" i="1"/>
  <c r="AP1000" i="1" s="1"/>
  <c r="AR1000" i="1"/>
  <c r="AS1000" i="1"/>
  <c r="AV1000" i="1"/>
  <c r="AW1000" i="1"/>
  <c r="BK1000" i="1" s="1"/>
  <c r="AX1000" i="1"/>
  <c r="AY1000" i="1"/>
  <c r="BJ1000" i="1"/>
  <c r="BL1000" i="1"/>
  <c r="BM1000" i="1"/>
  <c r="BN1000" i="1"/>
  <c r="BP1000" i="1"/>
  <c r="AM1001" i="1"/>
  <c r="AQ1001" i="1" s="1"/>
  <c r="AO1001" i="1"/>
  <c r="BA1001" i="1" s="1"/>
  <c r="AR1001" i="1"/>
  <c r="AS1001" i="1"/>
  <c r="AV1001" i="1"/>
  <c r="AW1001" i="1"/>
  <c r="BK1001" i="1" s="1"/>
  <c r="AX1001" i="1"/>
  <c r="AY1001" i="1"/>
  <c r="BJ1001" i="1"/>
  <c r="BL1001" i="1"/>
  <c r="BM1001" i="1"/>
  <c r="BN1001" i="1"/>
  <c r="BP1001" i="1"/>
  <c r="AM1002" i="1"/>
  <c r="AQ1002" i="1" s="1"/>
  <c r="AO1002" i="1"/>
  <c r="AP1002" i="1" s="1"/>
  <c r="AR1002" i="1"/>
  <c r="AS1002" i="1"/>
  <c r="AV1002" i="1"/>
  <c r="AW1002" i="1"/>
  <c r="BK1002" i="1" s="1"/>
  <c r="AX1002" i="1"/>
  <c r="AY1002" i="1"/>
  <c r="BJ1002" i="1"/>
  <c r="BL1002" i="1"/>
  <c r="BM1002" i="1"/>
  <c r="BN1002" i="1"/>
  <c r="BP1002" i="1"/>
  <c r="AM1003" i="1"/>
  <c r="AN1003" i="1" s="1"/>
  <c r="BB1003" i="1" s="1"/>
  <c r="AO1003" i="1"/>
  <c r="AP1003" i="1" s="1"/>
  <c r="AR1003" i="1"/>
  <c r="AS1003" i="1"/>
  <c r="AV1003" i="1"/>
  <c r="AW1003" i="1"/>
  <c r="BK1003" i="1" s="1"/>
  <c r="AX1003" i="1"/>
  <c r="AY1003" i="1"/>
  <c r="BJ1003" i="1"/>
  <c r="BL1003" i="1"/>
  <c r="BM1003" i="1"/>
  <c r="BN1003" i="1"/>
  <c r="BP1003" i="1"/>
  <c r="AM1004" i="1"/>
  <c r="AN1004" i="1" s="1"/>
  <c r="BB1004" i="1" s="1"/>
  <c r="AO1004" i="1"/>
  <c r="AR1004" i="1"/>
  <c r="AS1004" i="1"/>
  <c r="AV1004" i="1"/>
  <c r="AW1004" i="1"/>
  <c r="BK1004" i="1" s="1"/>
  <c r="AX1004" i="1"/>
  <c r="AY1004" i="1"/>
  <c r="BJ1004" i="1"/>
  <c r="BL1004" i="1"/>
  <c r="BM1004" i="1"/>
  <c r="BN1004" i="1"/>
  <c r="BP1004" i="1"/>
  <c r="AM1005" i="1"/>
  <c r="AQ1005" i="1" s="1"/>
  <c r="AO1005" i="1"/>
  <c r="AP1005" i="1" s="1"/>
  <c r="AR1005" i="1"/>
  <c r="AS1005" i="1"/>
  <c r="AV1005" i="1"/>
  <c r="AW1005" i="1"/>
  <c r="BK1005" i="1" s="1"/>
  <c r="AX1005" i="1"/>
  <c r="AY1005" i="1"/>
  <c r="BJ1005" i="1"/>
  <c r="BL1005" i="1"/>
  <c r="BM1005" i="1"/>
  <c r="BN1005" i="1"/>
  <c r="BP1005" i="1"/>
  <c r="AM1006" i="1"/>
  <c r="AQ1006" i="1" s="1"/>
  <c r="AO1006" i="1"/>
  <c r="BA1006" i="1" s="1"/>
  <c r="AR1006" i="1"/>
  <c r="AS1006" i="1"/>
  <c r="AV1006" i="1"/>
  <c r="AW1006" i="1"/>
  <c r="BK1006" i="1" s="1"/>
  <c r="AX1006" i="1"/>
  <c r="AY1006" i="1"/>
  <c r="BJ1006" i="1"/>
  <c r="BL1006" i="1"/>
  <c r="BM1006" i="1"/>
  <c r="BN1006" i="1"/>
  <c r="BP1006" i="1"/>
  <c r="AM1007" i="1"/>
  <c r="AN1007" i="1" s="1"/>
  <c r="BB1007" i="1" s="1"/>
  <c r="AO1007" i="1"/>
  <c r="AP1007" i="1" s="1"/>
  <c r="AR1007" i="1"/>
  <c r="AS1007" i="1"/>
  <c r="AV1007" i="1"/>
  <c r="AW1007" i="1"/>
  <c r="BK1007" i="1" s="1"/>
  <c r="AX1007" i="1"/>
  <c r="AY1007" i="1"/>
  <c r="BJ1007" i="1"/>
  <c r="BL1007" i="1"/>
  <c r="BM1007" i="1"/>
  <c r="BN1007" i="1"/>
  <c r="BP1007" i="1"/>
  <c r="AM1008" i="1"/>
  <c r="AN1008" i="1" s="1"/>
  <c r="BB1008" i="1" s="1"/>
  <c r="AO1008" i="1"/>
  <c r="AP1008" i="1" s="1"/>
  <c r="AR1008" i="1"/>
  <c r="AS1008" i="1"/>
  <c r="AV1008" i="1"/>
  <c r="AW1008" i="1"/>
  <c r="BK1008" i="1" s="1"/>
  <c r="AX1008" i="1"/>
  <c r="AY1008" i="1"/>
  <c r="BJ1008" i="1"/>
  <c r="BL1008" i="1"/>
  <c r="BM1008" i="1"/>
  <c r="BN1008" i="1"/>
  <c r="BP1008" i="1"/>
  <c r="AM1009" i="1"/>
  <c r="AQ1009" i="1" s="1"/>
  <c r="AO1009" i="1"/>
  <c r="AR1009" i="1"/>
  <c r="AS1009" i="1"/>
  <c r="AV1009" i="1"/>
  <c r="AW1009" i="1"/>
  <c r="AX1009" i="1"/>
  <c r="AY1009" i="1"/>
  <c r="BJ1009" i="1"/>
  <c r="BL1009" i="1"/>
  <c r="BM1009" i="1"/>
  <c r="BN1009" i="1"/>
  <c r="BP1009" i="1"/>
  <c r="AM1010" i="1"/>
  <c r="AQ1010" i="1" s="1"/>
  <c r="AO1010" i="1"/>
  <c r="AR1010" i="1"/>
  <c r="AS1010" i="1"/>
  <c r="AV1010" i="1"/>
  <c r="AW1010" i="1"/>
  <c r="BK1010" i="1" s="1"/>
  <c r="AX1010" i="1"/>
  <c r="AY1010" i="1"/>
  <c r="BJ1010" i="1"/>
  <c r="BL1010" i="1"/>
  <c r="BM1010" i="1"/>
  <c r="BN1010" i="1"/>
  <c r="BP1010" i="1"/>
  <c r="AM1011" i="1"/>
  <c r="AN1011" i="1" s="1"/>
  <c r="BB1011" i="1" s="1"/>
  <c r="AO1011" i="1"/>
  <c r="AP1011" i="1" s="1"/>
  <c r="AR1011" i="1"/>
  <c r="AS1011" i="1"/>
  <c r="AV1011" i="1"/>
  <c r="AW1011" i="1"/>
  <c r="BK1011" i="1" s="1"/>
  <c r="AX1011" i="1"/>
  <c r="AY1011" i="1"/>
  <c r="BJ1011" i="1"/>
  <c r="BL1011" i="1"/>
  <c r="BM1011" i="1"/>
  <c r="BN1011" i="1"/>
  <c r="BP1011" i="1"/>
  <c r="AM1012" i="1"/>
  <c r="AN1012" i="1" s="1"/>
  <c r="BB1012" i="1" s="1"/>
  <c r="AO1012" i="1"/>
  <c r="AP1012" i="1" s="1"/>
  <c r="AR1012" i="1"/>
  <c r="AS1012" i="1"/>
  <c r="AV1012" i="1"/>
  <c r="AW1012" i="1"/>
  <c r="BK1012" i="1" s="1"/>
  <c r="AX1012" i="1"/>
  <c r="AY1012" i="1"/>
  <c r="BJ1012" i="1"/>
  <c r="BL1012" i="1"/>
  <c r="BM1012" i="1"/>
  <c r="BN1012" i="1"/>
  <c r="BP1012" i="1"/>
  <c r="AM1013" i="1"/>
  <c r="AQ1013" i="1" s="1"/>
  <c r="AO1013" i="1"/>
  <c r="AP1013" i="1" s="1"/>
  <c r="AR1013" i="1"/>
  <c r="AS1013" i="1"/>
  <c r="AV1013" i="1"/>
  <c r="AW1013" i="1"/>
  <c r="BK1013" i="1" s="1"/>
  <c r="AX1013" i="1"/>
  <c r="AY1013" i="1"/>
  <c r="BJ1013" i="1"/>
  <c r="BL1013" i="1"/>
  <c r="BM1013" i="1"/>
  <c r="BN1013" i="1"/>
  <c r="BP1013" i="1"/>
  <c r="AM1014" i="1"/>
  <c r="AQ1014" i="1" s="1"/>
  <c r="AO1014" i="1"/>
  <c r="BA1014" i="1" s="1"/>
  <c r="AR1014" i="1"/>
  <c r="AS1014" i="1"/>
  <c r="AV1014" i="1"/>
  <c r="AW1014" i="1"/>
  <c r="BK1014" i="1" s="1"/>
  <c r="AX1014" i="1"/>
  <c r="AY1014" i="1"/>
  <c r="BJ1014" i="1"/>
  <c r="BL1014" i="1"/>
  <c r="BM1014" i="1"/>
  <c r="BN1014" i="1"/>
  <c r="BP1014" i="1"/>
  <c r="AM1015" i="1"/>
  <c r="AQ1015" i="1" s="1"/>
  <c r="AO1015" i="1"/>
  <c r="AP1015" i="1" s="1"/>
  <c r="AR1015" i="1"/>
  <c r="AS1015" i="1"/>
  <c r="AV1015" i="1"/>
  <c r="AW1015" i="1"/>
  <c r="BK1015" i="1" s="1"/>
  <c r="AX1015" i="1"/>
  <c r="AY1015" i="1"/>
  <c r="BJ1015" i="1"/>
  <c r="BL1015" i="1"/>
  <c r="BM1015" i="1"/>
  <c r="BN1015" i="1"/>
  <c r="BP1015" i="1"/>
  <c r="AM1016" i="1"/>
  <c r="AN1016" i="1" s="1"/>
  <c r="BB1016" i="1" s="1"/>
  <c r="AO1016" i="1"/>
  <c r="AP1016" i="1" s="1"/>
  <c r="AR1016" i="1"/>
  <c r="AS1016" i="1"/>
  <c r="AV1016" i="1"/>
  <c r="AW1016" i="1"/>
  <c r="AX1016" i="1"/>
  <c r="AY1016" i="1"/>
  <c r="BJ1016" i="1"/>
  <c r="BL1016" i="1"/>
  <c r="BM1016" i="1"/>
  <c r="BN1016" i="1"/>
  <c r="BP1016" i="1"/>
  <c r="AM1017" i="1"/>
  <c r="AN1017" i="1" s="1"/>
  <c r="BB1017" i="1" s="1"/>
  <c r="AO1017" i="1"/>
  <c r="AP1017" i="1" s="1"/>
  <c r="AR1017" i="1"/>
  <c r="AS1017" i="1"/>
  <c r="AV1017" i="1"/>
  <c r="AW1017" i="1"/>
  <c r="BK1017" i="1" s="1"/>
  <c r="AX1017" i="1"/>
  <c r="AY1017" i="1"/>
  <c r="BJ1017" i="1"/>
  <c r="BL1017" i="1"/>
  <c r="BM1017" i="1"/>
  <c r="BN1017" i="1"/>
  <c r="BP1017" i="1"/>
  <c r="AM1018" i="1"/>
  <c r="AQ1018" i="1" s="1"/>
  <c r="AO1018" i="1"/>
  <c r="AR1018" i="1"/>
  <c r="AS1018" i="1"/>
  <c r="AV1018" i="1"/>
  <c r="AW1018" i="1"/>
  <c r="BK1018" i="1" s="1"/>
  <c r="AX1018" i="1"/>
  <c r="AY1018" i="1"/>
  <c r="BJ1018" i="1"/>
  <c r="BL1018" i="1"/>
  <c r="BM1018" i="1"/>
  <c r="BN1018" i="1"/>
  <c r="BP1018" i="1"/>
  <c r="AM1019" i="1"/>
  <c r="AQ1019" i="1" s="1"/>
  <c r="AO1019" i="1"/>
  <c r="AP1019" i="1" s="1"/>
  <c r="AR1019" i="1"/>
  <c r="AS1019" i="1"/>
  <c r="AV1019" i="1"/>
  <c r="AW1019" i="1"/>
  <c r="BK1019" i="1" s="1"/>
  <c r="AX1019" i="1"/>
  <c r="AY1019" i="1"/>
  <c r="BJ1019" i="1"/>
  <c r="BL1019" i="1"/>
  <c r="BM1019" i="1"/>
  <c r="BN1019" i="1"/>
  <c r="BP1019" i="1"/>
  <c r="AM1020" i="1"/>
  <c r="AN1020" i="1" s="1"/>
  <c r="BB1020" i="1" s="1"/>
  <c r="AO1020" i="1"/>
  <c r="AP1020" i="1" s="1"/>
  <c r="AR1020" i="1"/>
  <c r="AS1020" i="1"/>
  <c r="AV1020" i="1"/>
  <c r="AW1020" i="1"/>
  <c r="BK1020" i="1" s="1"/>
  <c r="AX1020" i="1"/>
  <c r="AY1020" i="1"/>
  <c r="BJ1020" i="1"/>
  <c r="BL1020" i="1"/>
  <c r="BM1020" i="1"/>
  <c r="BN1020" i="1"/>
  <c r="BP1020" i="1"/>
  <c r="AM1021" i="1"/>
  <c r="AN1021" i="1" s="1"/>
  <c r="BB1021" i="1" s="1"/>
  <c r="AO1021" i="1"/>
  <c r="AP1021" i="1" s="1"/>
  <c r="AR1021" i="1"/>
  <c r="AS1021" i="1"/>
  <c r="AV1021" i="1"/>
  <c r="AW1021" i="1"/>
  <c r="BK1021" i="1" s="1"/>
  <c r="AX1021" i="1"/>
  <c r="AY1021" i="1"/>
  <c r="BJ1021" i="1"/>
  <c r="BL1021" i="1"/>
  <c r="BM1021" i="1"/>
  <c r="BN1021" i="1"/>
  <c r="BP1021" i="1"/>
  <c r="AM1022" i="1"/>
  <c r="AQ1022" i="1" s="1"/>
  <c r="AO1022" i="1"/>
  <c r="BA1022" i="1" s="1"/>
  <c r="AR1022" i="1"/>
  <c r="AS1022" i="1"/>
  <c r="AV1022" i="1"/>
  <c r="AW1022" i="1"/>
  <c r="BK1022" i="1" s="1"/>
  <c r="AX1022" i="1"/>
  <c r="AY1022" i="1"/>
  <c r="BJ1022" i="1"/>
  <c r="BL1022" i="1"/>
  <c r="BM1022" i="1"/>
  <c r="BN1022" i="1"/>
  <c r="BP1022" i="1"/>
  <c r="AM1023" i="1"/>
  <c r="AN1023" i="1" s="1"/>
  <c r="BB1023" i="1" s="1"/>
  <c r="AO1023" i="1"/>
  <c r="AP1023" i="1" s="1"/>
  <c r="AR1023" i="1"/>
  <c r="AS1023" i="1"/>
  <c r="AV1023" i="1"/>
  <c r="AW1023" i="1"/>
  <c r="BK1023" i="1" s="1"/>
  <c r="AX1023" i="1"/>
  <c r="AY1023" i="1"/>
  <c r="BJ1023" i="1"/>
  <c r="BL1023" i="1"/>
  <c r="BM1023" i="1"/>
  <c r="BN1023" i="1"/>
  <c r="BP1023" i="1"/>
  <c r="AM1024" i="1"/>
  <c r="AN1024" i="1" s="1"/>
  <c r="BB1024" i="1" s="1"/>
  <c r="AO1024" i="1"/>
  <c r="AP1024" i="1" s="1"/>
  <c r="AR1024" i="1"/>
  <c r="AS1024" i="1"/>
  <c r="AV1024" i="1"/>
  <c r="AW1024" i="1"/>
  <c r="BK1024" i="1" s="1"/>
  <c r="AX1024" i="1"/>
  <c r="AY1024" i="1"/>
  <c r="BJ1024" i="1"/>
  <c r="BL1024" i="1"/>
  <c r="BM1024" i="1"/>
  <c r="BN1024" i="1"/>
  <c r="BP1024" i="1"/>
  <c r="AM1025" i="1"/>
  <c r="AN1025" i="1" s="1"/>
  <c r="BB1025" i="1" s="1"/>
  <c r="AO1025" i="1"/>
  <c r="AP1025" i="1" s="1"/>
  <c r="AR1025" i="1"/>
  <c r="AS1025" i="1"/>
  <c r="AV1025" i="1"/>
  <c r="AW1025" i="1"/>
  <c r="BK1025" i="1" s="1"/>
  <c r="AX1025" i="1"/>
  <c r="AY1025" i="1"/>
  <c r="BJ1025" i="1"/>
  <c r="BL1025" i="1"/>
  <c r="BM1025" i="1"/>
  <c r="BN1025" i="1"/>
  <c r="BP1025" i="1"/>
  <c r="AM1026" i="1"/>
  <c r="AQ1026" i="1" s="1"/>
  <c r="AO1026" i="1"/>
  <c r="AR1026" i="1"/>
  <c r="AS1026" i="1"/>
  <c r="AV1026" i="1"/>
  <c r="AW1026" i="1"/>
  <c r="BK1026" i="1" s="1"/>
  <c r="AX1026" i="1"/>
  <c r="AY1026" i="1"/>
  <c r="BJ1026" i="1"/>
  <c r="BL1026" i="1"/>
  <c r="BM1026" i="1"/>
  <c r="BN1026" i="1"/>
  <c r="BP1026" i="1"/>
  <c r="AM1027" i="1"/>
  <c r="AQ1027" i="1" s="1"/>
  <c r="AO1027" i="1"/>
  <c r="AP1027" i="1" s="1"/>
  <c r="AR1027" i="1"/>
  <c r="AS1027" i="1"/>
  <c r="AV1027" i="1"/>
  <c r="AW1027" i="1"/>
  <c r="AX1027" i="1"/>
  <c r="AY1027" i="1"/>
  <c r="BJ1027" i="1"/>
  <c r="BL1027" i="1"/>
  <c r="BM1027" i="1"/>
  <c r="BN1027" i="1"/>
  <c r="BP1027" i="1"/>
  <c r="AM1028" i="1"/>
  <c r="AN1028" i="1" s="1"/>
  <c r="BB1028" i="1" s="1"/>
  <c r="AO1028" i="1"/>
  <c r="AP1028" i="1" s="1"/>
  <c r="AR1028" i="1"/>
  <c r="AS1028" i="1"/>
  <c r="AV1028" i="1"/>
  <c r="AW1028" i="1"/>
  <c r="AX1028" i="1"/>
  <c r="AY1028" i="1"/>
  <c r="BJ1028" i="1"/>
  <c r="BL1028" i="1"/>
  <c r="BM1028" i="1"/>
  <c r="BN1028" i="1"/>
  <c r="BP1028" i="1"/>
  <c r="AM1029" i="1"/>
  <c r="AQ1029" i="1" s="1"/>
  <c r="AO1029" i="1"/>
  <c r="AP1029" i="1" s="1"/>
  <c r="AR1029" i="1"/>
  <c r="AS1029" i="1"/>
  <c r="AV1029" i="1"/>
  <c r="AW1029" i="1"/>
  <c r="BK1029" i="1" s="1"/>
  <c r="AX1029" i="1"/>
  <c r="AY1029" i="1"/>
  <c r="BJ1029" i="1"/>
  <c r="BL1029" i="1"/>
  <c r="BM1029" i="1"/>
  <c r="BN1029" i="1"/>
  <c r="BP1029" i="1"/>
  <c r="AM1030" i="1"/>
  <c r="AQ1030" i="1" s="1"/>
  <c r="AO1030" i="1"/>
  <c r="BA1030" i="1" s="1"/>
  <c r="AR1030" i="1"/>
  <c r="AS1030" i="1"/>
  <c r="AV1030" i="1"/>
  <c r="AW1030" i="1"/>
  <c r="BK1030" i="1" s="1"/>
  <c r="AX1030" i="1"/>
  <c r="AY1030" i="1"/>
  <c r="BJ1030" i="1"/>
  <c r="BL1030" i="1"/>
  <c r="BM1030" i="1"/>
  <c r="BN1030" i="1"/>
  <c r="BP1030" i="1"/>
  <c r="AM1031" i="1"/>
  <c r="AQ1031" i="1" s="1"/>
  <c r="AO1031" i="1"/>
  <c r="AP1031" i="1" s="1"/>
  <c r="AR1031" i="1"/>
  <c r="AS1031" i="1"/>
  <c r="AV1031" i="1"/>
  <c r="AW1031" i="1"/>
  <c r="BK1031" i="1" s="1"/>
  <c r="AX1031" i="1"/>
  <c r="AY1031" i="1"/>
  <c r="BJ1031" i="1"/>
  <c r="BL1031" i="1"/>
  <c r="BM1031" i="1"/>
  <c r="BN1031" i="1"/>
  <c r="BP1031" i="1"/>
  <c r="AM1032" i="1"/>
  <c r="AN1032" i="1" s="1"/>
  <c r="BB1032" i="1" s="1"/>
  <c r="AO1032" i="1"/>
  <c r="AP1032" i="1" s="1"/>
  <c r="AR1032" i="1"/>
  <c r="AS1032" i="1"/>
  <c r="AV1032" i="1"/>
  <c r="AW1032" i="1"/>
  <c r="BK1032" i="1" s="1"/>
  <c r="AX1032" i="1"/>
  <c r="AY1032" i="1"/>
  <c r="BJ1032" i="1"/>
  <c r="BL1032" i="1"/>
  <c r="BM1032" i="1"/>
  <c r="BN1032" i="1"/>
  <c r="BP1032" i="1"/>
  <c r="AM1033" i="1"/>
  <c r="AQ1033" i="1" s="1"/>
  <c r="AO1033" i="1"/>
  <c r="AP1033" i="1" s="1"/>
  <c r="AR1033" i="1"/>
  <c r="AS1033" i="1"/>
  <c r="AV1033" i="1"/>
  <c r="AW1033" i="1"/>
  <c r="BK1033" i="1" s="1"/>
  <c r="AX1033" i="1"/>
  <c r="AY1033" i="1"/>
  <c r="BJ1033" i="1"/>
  <c r="BL1033" i="1"/>
  <c r="BM1033" i="1"/>
  <c r="BN1033" i="1"/>
  <c r="BP1033" i="1"/>
  <c r="AM1034" i="1"/>
  <c r="AQ1034" i="1" s="1"/>
  <c r="AO1034" i="1"/>
  <c r="AR1034" i="1"/>
  <c r="AS1034" i="1"/>
  <c r="AV1034" i="1"/>
  <c r="AW1034" i="1"/>
  <c r="BK1034" i="1" s="1"/>
  <c r="AX1034" i="1"/>
  <c r="AY1034" i="1"/>
  <c r="BJ1034" i="1"/>
  <c r="BL1034" i="1"/>
  <c r="BM1034" i="1"/>
  <c r="BN1034" i="1"/>
  <c r="BP1034" i="1"/>
  <c r="AM1035" i="1"/>
  <c r="AN1035" i="1" s="1"/>
  <c r="BB1035" i="1" s="1"/>
  <c r="AO1035" i="1"/>
  <c r="AP1035" i="1" s="1"/>
  <c r="AR1035" i="1"/>
  <c r="AS1035" i="1"/>
  <c r="AV1035" i="1"/>
  <c r="AW1035" i="1"/>
  <c r="BK1035" i="1" s="1"/>
  <c r="AX1035" i="1"/>
  <c r="AY1035" i="1"/>
  <c r="BJ1035" i="1"/>
  <c r="BL1035" i="1"/>
  <c r="BM1035" i="1"/>
  <c r="BN1035" i="1"/>
  <c r="BP1035" i="1"/>
  <c r="AM1036" i="1"/>
  <c r="AN1036" i="1" s="1"/>
  <c r="BB1036" i="1" s="1"/>
  <c r="AO1036" i="1"/>
  <c r="AP1036" i="1" s="1"/>
  <c r="AR1036" i="1"/>
  <c r="AS1036" i="1"/>
  <c r="AV1036" i="1"/>
  <c r="AW1036" i="1"/>
  <c r="BK1036" i="1" s="1"/>
  <c r="AX1036" i="1"/>
  <c r="AY1036" i="1"/>
  <c r="BJ1036" i="1"/>
  <c r="BL1036" i="1"/>
  <c r="BM1036" i="1"/>
  <c r="BN1036" i="1"/>
  <c r="BP1036" i="1"/>
  <c r="AM1037" i="1"/>
  <c r="AN1037" i="1" s="1"/>
  <c r="BB1037" i="1" s="1"/>
  <c r="AO1037" i="1"/>
  <c r="AP1037" i="1" s="1"/>
  <c r="AR1037" i="1"/>
  <c r="AS1037" i="1"/>
  <c r="AV1037" i="1"/>
  <c r="AW1037" i="1"/>
  <c r="BK1037" i="1" s="1"/>
  <c r="AX1037" i="1"/>
  <c r="AY1037" i="1"/>
  <c r="BJ1037" i="1"/>
  <c r="BL1037" i="1"/>
  <c r="BM1037" i="1"/>
  <c r="BN1037" i="1"/>
  <c r="BP1037" i="1"/>
  <c r="AM1038" i="1"/>
  <c r="AQ1038" i="1" s="1"/>
  <c r="AO1038" i="1"/>
  <c r="BA1038" i="1" s="1"/>
  <c r="AR1038" i="1"/>
  <c r="AS1038" i="1"/>
  <c r="AV1038" i="1"/>
  <c r="AW1038" i="1"/>
  <c r="BK1038" i="1" s="1"/>
  <c r="AX1038" i="1"/>
  <c r="AY1038" i="1"/>
  <c r="BJ1038" i="1"/>
  <c r="BL1038" i="1"/>
  <c r="BM1038" i="1"/>
  <c r="BN1038" i="1"/>
  <c r="BP1038" i="1"/>
  <c r="AM1039" i="1"/>
  <c r="AN1039" i="1" s="1"/>
  <c r="BB1039" i="1" s="1"/>
  <c r="AO1039" i="1"/>
  <c r="AP1039" i="1" s="1"/>
  <c r="AR1039" i="1"/>
  <c r="AS1039" i="1"/>
  <c r="AV1039" i="1"/>
  <c r="AW1039" i="1"/>
  <c r="BK1039" i="1" s="1"/>
  <c r="AX1039" i="1"/>
  <c r="AY1039" i="1"/>
  <c r="BJ1039" i="1"/>
  <c r="BL1039" i="1"/>
  <c r="BM1039" i="1"/>
  <c r="BN1039" i="1"/>
  <c r="BP1039" i="1"/>
  <c r="AM1040" i="1"/>
  <c r="AN1040" i="1" s="1"/>
  <c r="BB1040" i="1" s="1"/>
  <c r="AO1040" i="1"/>
  <c r="AP1040" i="1" s="1"/>
  <c r="AR1040" i="1"/>
  <c r="AS1040" i="1"/>
  <c r="AV1040" i="1"/>
  <c r="AW1040" i="1"/>
  <c r="BK1040" i="1" s="1"/>
  <c r="AX1040" i="1"/>
  <c r="AY1040" i="1"/>
  <c r="BJ1040" i="1"/>
  <c r="BL1040" i="1"/>
  <c r="BM1040" i="1"/>
  <c r="BN1040" i="1"/>
  <c r="BP1040" i="1"/>
  <c r="AA12" i="1"/>
  <c r="AA13" i="1"/>
  <c r="AA14" i="1"/>
  <c r="AA15" i="1"/>
  <c r="AA16" i="1"/>
  <c r="AA17" i="1"/>
  <c r="W18" i="1"/>
  <c r="X18" i="1"/>
  <c r="AA18" i="1"/>
  <c r="AA19" i="1"/>
  <c r="AA20" i="1"/>
  <c r="X21" i="1"/>
  <c r="AA21" i="1"/>
  <c r="W22" i="1"/>
  <c r="AA22" i="1"/>
  <c r="AA23" i="1"/>
  <c r="AA24" i="1"/>
  <c r="AA25" i="1"/>
  <c r="W26" i="1"/>
  <c r="X26" i="1"/>
  <c r="AA26" i="1"/>
  <c r="AA27" i="1"/>
  <c r="AA28" i="1"/>
  <c r="AA29" i="1"/>
  <c r="AA30" i="1"/>
  <c r="AA31" i="1"/>
  <c r="AA32" i="1"/>
  <c r="AA33" i="1"/>
  <c r="W34" i="1"/>
  <c r="X34" i="1"/>
  <c r="AA34" i="1"/>
  <c r="AA35" i="1"/>
  <c r="AA36" i="1"/>
  <c r="AA37" i="1"/>
  <c r="AA38" i="1"/>
  <c r="AA39" i="1"/>
  <c r="W40" i="1"/>
  <c r="X40" i="1"/>
  <c r="AA40" i="1"/>
  <c r="AA41" i="1"/>
  <c r="W42" i="1"/>
  <c r="AA42" i="1"/>
  <c r="AA43" i="1"/>
  <c r="AA44" i="1"/>
  <c r="AA45" i="1"/>
  <c r="AA46" i="1"/>
  <c r="AA47" i="1"/>
  <c r="W48" i="1"/>
  <c r="X48" i="1"/>
  <c r="AA48" i="1"/>
  <c r="AA49" i="1"/>
  <c r="W50" i="1"/>
  <c r="AA50" i="1"/>
  <c r="AA51" i="1"/>
  <c r="AA52" i="1"/>
  <c r="AA53" i="1"/>
  <c r="AA54" i="1"/>
  <c r="AA55" i="1"/>
  <c r="W56" i="1"/>
  <c r="X56" i="1"/>
  <c r="AA56" i="1"/>
  <c r="AA57" i="1"/>
  <c r="W58" i="1"/>
  <c r="AA58" i="1"/>
  <c r="AA59" i="1"/>
  <c r="AA60" i="1"/>
  <c r="AA61" i="1"/>
  <c r="AA62" i="1"/>
  <c r="AA63" i="1"/>
  <c r="W64" i="1"/>
  <c r="X64" i="1"/>
  <c r="AA64" i="1"/>
  <c r="AA65" i="1"/>
  <c r="W66" i="1"/>
  <c r="AA66" i="1"/>
  <c r="AA67" i="1"/>
  <c r="AA68" i="1"/>
  <c r="AA69" i="1"/>
  <c r="AA70" i="1"/>
  <c r="AA71" i="1"/>
  <c r="W72" i="1"/>
  <c r="X72" i="1"/>
  <c r="AA72" i="1"/>
  <c r="AA73" i="1"/>
  <c r="AA74" i="1"/>
  <c r="X75" i="1"/>
  <c r="AA75" i="1"/>
  <c r="AA76" i="1"/>
  <c r="AA77" i="1"/>
  <c r="AA78" i="1"/>
  <c r="AA79" i="1"/>
  <c r="W80" i="1"/>
  <c r="X80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W96" i="1"/>
  <c r="X96" i="1"/>
  <c r="AA96" i="1"/>
  <c r="AA97" i="1"/>
  <c r="W98" i="1"/>
  <c r="X98" i="1"/>
  <c r="AA98" i="1"/>
  <c r="AA99" i="1"/>
  <c r="AA100" i="1"/>
  <c r="AA101" i="1"/>
  <c r="AA102" i="1"/>
  <c r="AA103" i="1"/>
  <c r="W104" i="1"/>
  <c r="X104" i="1"/>
  <c r="AA104" i="1"/>
  <c r="AA105" i="1"/>
  <c r="W106" i="1"/>
  <c r="X106" i="1"/>
  <c r="AA106" i="1"/>
  <c r="AA107" i="1"/>
  <c r="AA108" i="1"/>
  <c r="AA109" i="1"/>
  <c r="AA110" i="1"/>
  <c r="AA111" i="1"/>
  <c r="W112" i="1"/>
  <c r="X112" i="1"/>
  <c r="AA112" i="1"/>
  <c r="AA113" i="1"/>
  <c r="AA114" i="1"/>
  <c r="X115" i="1"/>
  <c r="AA115" i="1"/>
  <c r="AA116" i="1"/>
  <c r="W117" i="1"/>
  <c r="AA117" i="1"/>
  <c r="AA118" i="1"/>
  <c r="AA119" i="1"/>
  <c r="W120" i="1"/>
  <c r="X120" i="1"/>
  <c r="AA120" i="1"/>
  <c r="AA121" i="1"/>
  <c r="AA122" i="1"/>
  <c r="X123" i="1"/>
  <c r="AA123" i="1"/>
  <c r="AA124" i="1"/>
  <c r="AA125" i="1"/>
  <c r="AA126" i="1"/>
  <c r="AA127" i="1"/>
  <c r="W128" i="1"/>
  <c r="X128" i="1"/>
  <c r="AA128" i="1"/>
  <c r="AA129" i="1"/>
  <c r="AA130" i="1"/>
  <c r="AA131" i="1"/>
  <c r="AA132" i="1"/>
  <c r="AA133" i="1"/>
  <c r="AA134" i="1"/>
  <c r="AA135" i="1"/>
  <c r="W136" i="1"/>
  <c r="X136" i="1"/>
  <c r="AA136" i="1"/>
  <c r="AA137" i="1"/>
  <c r="AA138" i="1"/>
  <c r="AA139" i="1"/>
  <c r="AA140" i="1"/>
  <c r="AA141" i="1"/>
  <c r="AA142" i="1"/>
  <c r="AA143" i="1"/>
  <c r="W144" i="1"/>
  <c r="X144" i="1"/>
  <c r="AA144" i="1"/>
  <c r="AA145" i="1"/>
  <c r="AA146" i="1"/>
  <c r="AA147" i="1"/>
  <c r="AA148" i="1"/>
  <c r="AA149" i="1"/>
  <c r="AA150" i="1"/>
  <c r="AA151" i="1"/>
  <c r="W152" i="1"/>
  <c r="X152" i="1"/>
  <c r="AA152" i="1"/>
  <c r="AA153" i="1"/>
  <c r="AA154" i="1"/>
  <c r="AA155" i="1"/>
  <c r="AA156" i="1"/>
  <c r="AA157" i="1"/>
  <c r="AA158" i="1"/>
  <c r="AA159" i="1"/>
  <c r="W160" i="1"/>
  <c r="X160" i="1"/>
  <c r="AA160" i="1"/>
  <c r="AA161" i="1"/>
  <c r="AA162" i="1"/>
  <c r="AA163" i="1"/>
  <c r="AA164" i="1"/>
  <c r="AA165" i="1"/>
  <c r="AA166" i="1"/>
  <c r="AA167" i="1"/>
  <c r="W168" i="1"/>
  <c r="X168" i="1"/>
  <c r="AA168" i="1"/>
  <c r="AA169" i="1"/>
  <c r="AA170" i="1"/>
  <c r="X171" i="1"/>
  <c r="AA171" i="1"/>
  <c r="AA172" i="1"/>
  <c r="AA173" i="1"/>
  <c r="AA174" i="1"/>
  <c r="AA175" i="1"/>
  <c r="W176" i="1"/>
  <c r="X176" i="1"/>
  <c r="AA176" i="1"/>
  <c r="AA177" i="1"/>
  <c r="AA178" i="1"/>
  <c r="AA179" i="1"/>
  <c r="AA180" i="1"/>
  <c r="AA181" i="1"/>
  <c r="AA182" i="1"/>
  <c r="AA183" i="1"/>
  <c r="W184" i="1"/>
  <c r="X184" i="1"/>
  <c r="AA184" i="1"/>
  <c r="AA185" i="1"/>
  <c r="AA186" i="1"/>
  <c r="X187" i="1"/>
  <c r="AA187" i="1"/>
  <c r="AA188" i="1"/>
  <c r="AA189" i="1"/>
  <c r="AA190" i="1"/>
  <c r="AA191" i="1"/>
  <c r="W192" i="1"/>
  <c r="X192" i="1"/>
  <c r="AA192" i="1"/>
  <c r="AA193" i="1"/>
  <c r="AA194" i="1"/>
  <c r="X195" i="1"/>
  <c r="AA195" i="1"/>
  <c r="AA196" i="1"/>
  <c r="AA197" i="1"/>
  <c r="AA198" i="1"/>
  <c r="AA199" i="1"/>
  <c r="W200" i="1"/>
  <c r="X200" i="1"/>
  <c r="AA200" i="1"/>
  <c r="AA201" i="1"/>
  <c r="AA202" i="1"/>
  <c r="AA203" i="1"/>
  <c r="AA204" i="1"/>
  <c r="AA205" i="1"/>
  <c r="AA206" i="1"/>
  <c r="AA207" i="1"/>
  <c r="W208" i="1"/>
  <c r="X208" i="1"/>
  <c r="AA208" i="1"/>
  <c r="AA209" i="1"/>
  <c r="AA210" i="1"/>
  <c r="AA211" i="1"/>
  <c r="AA212" i="1"/>
  <c r="AA213" i="1"/>
  <c r="AA214" i="1"/>
  <c r="AA215" i="1"/>
  <c r="W216" i="1"/>
  <c r="X216" i="1"/>
  <c r="AA216" i="1"/>
  <c r="AA217" i="1"/>
  <c r="AA218" i="1"/>
  <c r="X219" i="1"/>
  <c r="AA219" i="1"/>
  <c r="AA220" i="1"/>
  <c r="AA221" i="1"/>
  <c r="AA222" i="1"/>
  <c r="AA223" i="1"/>
  <c r="W224" i="1"/>
  <c r="X224" i="1"/>
  <c r="AA224" i="1"/>
  <c r="AA225" i="1"/>
  <c r="AA226" i="1"/>
  <c r="AA227" i="1"/>
  <c r="AA228" i="1"/>
  <c r="AA229" i="1"/>
  <c r="AA230" i="1"/>
  <c r="AA231" i="1"/>
  <c r="W232" i="1"/>
  <c r="X232" i="1"/>
  <c r="AA232" i="1"/>
  <c r="AA233" i="1"/>
  <c r="AA234" i="1"/>
  <c r="AA235" i="1"/>
  <c r="AA236" i="1"/>
  <c r="AA237" i="1"/>
  <c r="AA238" i="1"/>
  <c r="AA239" i="1"/>
  <c r="W240" i="1"/>
  <c r="X240" i="1"/>
  <c r="AA240" i="1"/>
  <c r="AA241" i="1"/>
  <c r="AA242" i="1"/>
  <c r="AA243" i="1"/>
  <c r="AA244" i="1"/>
  <c r="AA245" i="1"/>
  <c r="AA246" i="1"/>
  <c r="AA247" i="1"/>
  <c r="W248" i="1"/>
  <c r="X248" i="1"/>
  <c r="AA248" i="1"/>
  <c r="AA249" i="1"/>
  <c r="AA250" i="1"/>
  <c r="X251" i="1"/>
  <c r="AA251" i="1"/>
  <c r="AA252" i="1"/>
  <c r="AA253" i="1"/>
  <c r="AA254" i="1"/>
  <c r="AA255" i="1"/>
  <c r="W256" i="1"/>
  <c r="X256" i="1"/>
  <c r="AA256" i="1"/>
  <c r="AA257" i="1"/>
  <c r="AA258" i="1"/>
  <c r="AA259" i="1"/>
  <c r="AA260" i="1"/>
  <c r="AA261" i="1"/>
  <c r="AA262" i="1"/>
  <c r="AA263" i="1"/>
  <c r="W264" i="1"/>
  <c r="X264" i="1"/>
  <c r="AA264" i="1"/>
  <c r="AA265" i="1"/>
  <c r="AA266" i="1"/>
  <c r="AA267" i="1"/>
  <c r="AA268" i="1"/>
  <c r="AA269" i="1"/>
  <c r="AA270" i="1"/>
  <c r="X271" i="1"/>
  <c r="AA271" i="1"/>
  <c r="AA272" i="1"/>
  <c r="AA273" i="1"/>
  <c r="AA274" i="1"/>
  <c r="AA275" i="1"/>
  <c r="W276" i="1"/>
  <c r="X276" i="1"/>
  <c r="AA276" i="1"/>
  <c r="AA277" i="1"/>
  <c r="AA278" i="1"/>
  <c r="X279" i="1"/>
  <c r="AA279" i="1"/>
  <c r="AA280" i="1"/>
  <c r="AA281" i="1"/>
  <c r="AA282" i="1"/>
  <c r="AA283" i="1"/>
  <c r="W284" i="1"/>
  <c r="X284" i="1"/>
  <c r="AA284" i="1"/>
  <c r="AA285" i="1"/>
  <c r="AA286" i="1"/>
  <c r="AA287" i="1"/>
  <c r="W288" i="1"/>
  <c r="X288" i="1"/>
  <c r="AA288" i="1"/>
  <c r="AA289" i="1"/>
  <c r="AA290" i="1"/>
  <c r="X291" i="1"/>
  <c r="AA291" i="1"/>
  <c r="AA292" i="1"/>
  <c r="AA293" i="1"/>
  <c r="AA294" i="1"/>
  <c r="AA295" i="1"/>
  <c r="W296" i="1"/>
  <c r="X296" i="1"/>
  <c r="AA296" i="1"/>
  <c r="AA297" i="1"/>
  <c r="AA298" i="1"/>
  <c r="W299" i="1"/>
  <c r="X299" i="1"/>
  <c r="AA299" i="1"/>
  <c r="AA300" i="1"/>
  <c r="AA301" i="1"/>
  <c r="AA302" i="1"/>
  <c r="AA303" i="1"/>
  <c r="W304" i="1"/>
  <c r="X304" i="1"/>
  <c r="AA304" i="1"/>
  <c r="AA305" i="1"/>
  <c r="AA306" i="1"/>
  <c r="AA307" i="1"/>
  <c r="AA308" i="1"/>
  <c r="AA309" i="1"/>
  <c r="AA310" i="1"/>
  <c r="W311" i="1"/>
  <c r="X311" i="1"/>
  <c r="AA311" i="1"/>
  <c r="AA312" i="1"/>
  <c r="AA313" i="1"/>
  <c r="AA314" i="1"/>
  <c r="AA315" i="1"/>
  <c r="W316" i="1"/>
  <c r="X316" i="1"/>
  <c r="AA316" i="1"/>
  <c r="AA317" i="1"/>
  <c r="AA318" i="1"/>
  <c r="W319" i="1"/>
  <c r="X319" i="1"/>
  <c r="AA319" i="1"/>
  <c r="AA320" i="1"/>
  <c r="AA321" i="1"/>
  <c r="AA322" i="1"/>
  <c r="AA323" i="1"/>
  <c r="W324" i="1"/>
  <c r="X324" i="1"/>
  <c r="AA324" i="1"/>
  <c r="AA325" i="1"/>
  <c r="AA326" i="1"/>
  <c r="AA327" i="1"/>
  <c r="AA328" i="1"/>
  <c r="AA329" i="1"/>
  <c r="AA330" i="1"/>
  <c r="AA331" i="1"/>
  <c r="W332" i="1"/>
  <c r="X332" i="1"/>
  <c r="AA332" i="1"/>
  <c r="AA333" i="1"/>
  <c r="AA334" i="1"/>
  <c r="AA335" i="1"/>
  <c r="AA336" i="1"/>
  <c r="AA337" i="1"/>
  <c r="AA338" i="1"/>
  <c r="AA339" i="1"/>
  <c r="W340" i="1"/>
  <c r="X340" i="1"/>
  <c r="AA340" i="1"/>
  <c r="AA341" i="1"/>
  <c r="AA342" i="1"/>
  <c r="AA343" i="1"/>
  <c r="AA344" i="1"/>
  <c r="AA345" i="1"/>
  <c r="AA346" i="1"/>
  <c r="AA347" i="1"/>
  <c r="W348" i="1"/>
  <c r="X348" i="1"/>
  <c r="AA348" i="1"/>
  <c r="AA349" i="1"/>
  <c r="AA350" i="1"/>
  <c r="AA351" i="1"/>
  <c r="AA352" i="1"/>
  <c r="AA353" i="1"/>
  <c r="AA354" i="1"/>
  <c r="AA355" i="1"/>
  <c r="AA356" i="1"/>
  <c r="AA357" i="1"/>
  <c r="W358" i="1"/>
  <c r="X358" i="1"/>
  <c r="AA358" i="1"/>
  <c r="AA359" i="1"/>
  <c r="AA360" i="1"/>
  <c r="W361" i="1"/>
  <c r="X361" i="1"/>
  <c r="AA361" i="1"/>
  <c r="AA362" i="1"/>
  <c r="AA363" i="1"/>
  <c r="AA364" i="1"/>
  <c r="AA365" i="1"/>
  <c r="W366" i="1"/>
  <c r="X366" i="1"/>
  <c r="AA366" i="1"/>
  <c r="AA367" i="1"/>
  <c r="AA368" i="1"/>
  <c r="W369" i="1"/>
  <c r="X369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W382" i="1"/>
  <c r="X382" i="1"/>
  <c r="AA382" i="1"/>
  <c r="AA383" i="1"/>
  <c r="AA384" i="1"/>
  <c r="W385" i="1"/>
  <c r="X385" i="1"/>
  <c r="AA385" i="1"/>
  <c r="AA386" i="1"/>
  <c r="AA387" i="1"/>
  <c r="AA388" i="1"/>
  <c r="AA389" i="1"/>
  <c r="AA390" i="1"/>
  <c r="AA391" i="1"/>
  <c r="AA392" i="1"/>
  <c r="W393" i="1"/>
  <c r="X393" i="1"/>
  <c r="AA393" i="1"/>
  <c r="AA394" i="1"/>
  <c r="AA395" i="1"/>
  <c r="AA396" i="1"/>
  <c r="AA397" i="1"/>
  <c r="AA398" i="1"/>
  <c r="X399" i="1"/>
  <c r="AA399" i="1"/>
  <c r="AA400" i="1"/>
  <c r="AA401" i="1"/>
  <c r="AA402" i="1"/>
  <c r="AA403" i="1"/>
  <c r="AA404" i="1"/>
  <c r="AA405" i="1"/>
  <c r="W406" i="1"/>
  <c r="AA406" i="1"/>
  <c r="AA407" i="1"/>
  <c r="AA408" i="1"/>
  <c r="W409" i="1"/>
  <c r="X409" i="1"/>
  <c r="AA409" i="1"/>
  <c r="AA410" i="1"/>
  <c r="AA411" i="1"/>
  <c r="AA412" i="1"/>
  <c r="AA413" i="1"/>
  <c r="W414" i="1"/>
  <c r="X414" i="1"/>
  <c r="AA414" i="1"/>
  <c r="AA415" i="1"/>
  <c r="AA416" i="1"/>
  <c r="AA417" i="1"/>
  <c r="AA418" i="1"/>
  <c r="AA419" i="1"/>
  <c r="AA420" i="1"/>
  <c r="AA421" i="1"/>
  <c r="W422" i="1"/>
  <c r="AA422" i="1"/>
  <c r="AA423" i="1"/>
  <c r="AA424" i="1"/>
  <c r="W425" i="1"/>
  <c r="X425" i="1"/>
  <c r="AA425" i="1"/>
  <c r="AA426" i="1"/>
  <c r="AA427" i="1"/>
  <c r="AA428" i="1"/>
  <c r="AA429" i="1"/>
  <c r="W430" i="1"/>
  <c r="X430" i="1"/>
  <c r="AA430" i="1"/>
  <c r="AA431" i="1"/>
  <c r="AA432" i="1"/>
  <c r="X433" i="1"/>
  <c r="AA433" i="1"/>
  <c r="AA434" i="1"/>
  <c r="AA435" i="1"/>
  <c r="AA436" i="1"/>
  <c r="AA437" i="1"/>
  <c r="W438" i="1"/>
  <c r="AA438" i="1"/>
  <c r="AA439" i="1"/>
  <c r="AA440" i="1"/>
  <c r="W441" i="1"/>
  <c r="X441" i="1"/>
  <c r="AA441" i="1"/>
  <c r="AA442" i="1"/>
  <c r="AA443" i="1"/>
  <c r="AA444" i="1"/>
  <c r="AA445" i="1"/>
  <c r="W446" i="1"/>
  <c r="AS279" i="28" s="1"/>
  <c r="X446" i="1"/>
  <c r="AA446" i="1"/>
  <c r="AA447" i="1"/>
  <c r="AA448" i="1"/>
  <c r="W449" i="1"/>
  <c r="X449" i="1"/>
  <c r="AA449" i="1"/>
  <c r="AA450" i="1"/>
  <c r="AA451" i="1"/>
  <c r="AA452" i="1"/>
  <c r="AA453" i="1"/>
  <c r="W454" i="1"/>
  <c r="X454" i="1"/>
  <c r="AA454" i="1"/>
  <c r="AA455" i="1"/>
  <c r="AA456" i="1"/>
  <c r="W457" i="1"/>
  <c r="X457" i="1"/>
  <c r="AA457" i="1"/>
  <c r="AA458" i="1"/>
  <c r="AA459" i="1"/>
  <c r="AA460" i="1"/>
  <c r="AA461" i="1"/>
  <c r="W462" i="1"/>
  <c r="X462" i="1"/>
  <c r="AA462" i="1"/>
  <c r="AA463" i="1"/>
  <c r="AA464" i="1"/>
  <c r="W465" i="1"/>
  <c r="X465" i="1"/>
  <c r="AA465" i="1"/>
  <c r="AA466" i="1"/>
  <c r="AA467" i="1"/>
  <c r="AA468" i="1"/>
  <c r="AA469" i="1"/>
  <c r="W470" i="1"/>
  <c r="X470" i="1"/>
  <c r="AA470" i="1"/>
  <c r="AA471" i="1"/>
  <c r="AA472" i="1"/>
  <c r="W473" i="1"/>
  <c r="X473" i="1"/>
  <c r="AA473" i="1"/>
  <c r="AA474" i="1"/>
  <c r="AA475" i="1"/>
  <c r="AA476" i="1"/>
  <c r="AA477" i="1"/>
  <c r="W478" i="1"/>
  <c r="X478" i="1"/>
  <c r="AA478" i="1"/>
  <c r="AA479" i="1"/>
  <c r="AA480" i="1"/>
  <c r="W481" i="1"/>
  <c r="X481" i="1"/>
  <c r="AA481" i="1"/>
  <c r="AA482" i="1"/>
  <c r="AA483" i="1"/>
  <c r="AA484" i="1"/>
  <c r="AA485" i="1"/>
  <c r="W486" i="1"/>
  <c r="X486" i="1"/>
  <c r="AA486" i="1"/>
  <c r="X487" i="1"/>
  <c r="AA487" i="1"/>
  <c r="AA488" i="1"/>
  <c r="W489" i="1"/>
  <c r="X489" i="1"/>
  <c r="AA489" i="1"/>
  <c r="AA490" i="1"/>
  <c r="AA491" i="1"/>
  <c r="AA492" i="1"/>
  <c r="AA493" i="1"/>
  <c r="W494" i="1"/>
  <c r="X494" i="1"/>
  <c r="AA494" i="1"/>
  <c r="AA495" i="1"/>
  <c r="AA496" i="1"/>
  <c r="W497" i="1"/>
  <c r="X497" i="1"/>
  <c r="AA497" i="1"/>
  <c r="AA498" i="1"/>
  <c r="AA499" i="1"/>
  <c r="AA500" i="1"/>
  <c r="AA501" i="1"/>
  <c r="AA502" i="1"/>
  <c r="AA503" i="1"/>
  <c r="AA504" i="1"/>
  <c r="W505" i="1"/>
  <c r="X505" i="1"/>
  <c r="AA505" i="1"/>
  <c r="AA506" i="1"/>
  <c r="AA507" i="1"/>
  <c r="AA508" i="1"/>
  <c r="AA509" i="1"/>
  <c r="AA510" i="1"/>
  <c r="AA511" i="1"/>
  <c r="AA512" i="1"/>
  <c r="W513" i="1"/>
  <c r="X513" i="1"/>
  <c r="AA513" i="1"/>
  <c r="AA514" i="1"/>
  <c r="AA515" i="1"/>
  <c r="AA516" i="1"/>
  <c r="AA517" i="1"/>
  <c r="X518" i="1"/>
  <c r="AA518" i="1"/>
  <c r="AA519" i="1"/>
  <c r="AA520" i="1"/>
  <c r="W521" i="1"/>
  <c r="X521" i="1"/>
  <c r="AA521" i="1"/>
  <c r="AA522" i="1"/>
  <c r="AA523" i="1"/>
  <c r="AA524" i="1"/>
  <c r="AA525" i="1"/>
  <c r="AA526" i="1"/>
  <c r="AA527" i="1"/>
  <c r="AA528" i="1"/>
  <c r="W529" i="1"/>
  <c r="X529" i="1"/>
  <c r="AA529" i="1"/>
  <c r="AA530" i="1"/>
  <c r="AA531" i="1"/>
  <c r="AA532" i="1"/>
  <c r="AA533" i="1"/>
  <c r="AA534" i="1"/>
  <c r="AA535" i="1"/>
  <c r="AA536" i="1"/>
  <c r="W537" i="1"/>
  <c r="X537" i="1"/>
  <c r="AA537" i="1"/>
  <c r="AA538" i="1"/>
  <c r="AA539" i="1"/>
  <c r="AA540" i="1"/>
  <c r="AA541" i="1"/>
  <c r="AA542" i="1"/>
  <c r="AA543" i="1"/>
  <c r="AA544" i="1"/>
  <c r="W545" i="1"/>
  <c r="X545" i="1"/>
  <c r="AA545" i="1"/>
  <c r="AA546" i="1"/>
  <c r="AA547" i="1"/>
  <c r="AA548" i="1"/>
  <c r="AA549" i="1"/>
  <c r="AA550" i="1"/>
  <c r="AA551" i="1"/>
  <c r="AA552" i="1"/>
  <c r="W553" i="1"/>
  <c r="X553" i="1"/>
  <c r="AA553" i="1"/>
  <c r="AA554" i="1"/>
  <c r="AA555" i="1"/>
  <c r="AA556" i="1"/>
  <c r="AA557" i="1"/>
  <c r="AA558" i="1"/>
  <c r="AA559" i="1"/>
  <c r="AA560" i="1"/>
  <c r="W561" i="1"/>
  <c r="X561" i="1"/>
  <c r="AA561" i="1"/>
  <c r="AA562" i="1"/>
  <c r="AA563" i="1"/>
  <c r="AA564" i="1"/>
  <c r="AA565" i="1"/>
  <c r="AA566" i="1"/>
  <c r="AA567" i="1"/>
  <c r="AA568" i="1"/>
  <c r="W569" i="1"/>
  <c r="X569" i="1"/>
  <c r="AA569" i="1"/>
  <c r="AA570" i="1"/>
  <c r="AA571" i="1"/>
  <c r="AA572" i="1"/>
  <c r="AA573" i="1"/>
  <c r="AA574" i="1"/>
  <c r="AA575" i="1"/>
  <c r="AA576" i="1"/>
  <c r="W577" i="1"/>
  <c r="X577" i="1"/>
  <c r="AA577" i="1"/>
  <c r="AA578" i="1"/>
  <c r="AA579" i="1"/>
  <c r="AA580" i="1"/>
  <c r="AA581" i="1"/>
  <c r="AA582" i="1"/>
  <c r="AA583" i="1"/>
  <c r="AA584" i="1"/>
  <c r="W585" i="1"/>
  <c r="X585" i="1"/>
  <c r="AA585" i="1"/>
  <c r="AA586" i="1"/>
  <c r="AA587" i="1"/>
  <c r="AA588" i="1"/>
  <c r="AA589" i="1"/>
  <c r="AA590" i="1"/>
  <c r="AA591" i="1"/>
  <c r="AA592" i="1"/>
  <c r="W593" i="1"/>
  <c r="X593" i="1"/>
  <c r="AA593" i="1"/>
  <c r="AA594" i="1"/>
  <c r="AA595" i="1"/>
  <c r="AA596" i="1"/>
  <c r="AA597" i="1"/>
  <c r="AA598" i="1"/>
  <c r="AA599" i="1"/>
  <c r="AA600" i="1"/>
  <c r="W601" i="1"/>
  <c r="X601" i="1"/>
  <c r="AA601" i="1"/>
  <c r="AA602" i="1"/>
  <c r="AA603" i="1"/>
  <c r="AA604" i="1"/>
  <c r="AA605" i="1"/>
  <c r="AA606" i="1"/>
  <c r="AA607" i="1"/>
  <c r="AA608" i="1"/>
  <c r="W609" i="1"/>
  <c r="X609" i="1"/>
  <c r="AA609" i="1"/>
  <c r="AA610" i="1"/>
  <c r="AA611" i="1"/>
  <c r="AA612" i="1"/>
  <c r="AA613" i="1"/>
  <c r="AA614" i="1"/>
  <c r="AA615" i="1"/>
  <c r="AA616" i="1"/>
  <c r="X617" i="1"/>
  <c r="AA617" i="1"/>
  <c r="AA618" i="1"/>
  <c r="AA619" i="1"/>
  <c r="AA620" i="1"/>
  <c r="AA621" i="1"/>
  <c r="X622" i="1"/>
  <c r="AA622" i="1"/>
  <c r="AA623" i="1"/>
  <c r="AA624" i="1"/>
  <c r="AA625" i="1"/>
  <c r="X626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W646" i="1"/>
  <c r="AA646" i="1"/>
  <c r="AA647" i="1"/>
  <c r="AA648" i="1"/>
  <c r="X649" i="1"/>
  <c r="AA649" i="1"/>
  <c r="AA650" i="1"/>
  <c r="AA651" i="1"/>
  <c r="AA652" i="1"/>
  <c r="AA653" i="1"/>
  <c r="AA654" i="1"/>
  <c r="AA655" i="1"/>
  <c r="AA656" i="1"/>
  <c r="X657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X689" i="1"/>
  <c r="AA689" i="1"/>
  <c r="W690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X705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W720" i="1"/>
  <c r="AA720" i="1"/>
  <c r="AA721" i="1"/>
  <c r="AA722" i="1"/>
  <c r="AA723" i="1"/>
  <c r="W724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876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W788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75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W845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X949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X973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876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75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Y851" i="1" s="1"/>
  <c r="T852" i="1"/>
  <c r="Y852" i="1" s="1"/>
  <c r="T853" i="1"/>
  <c r="Y853" i="1" s="1"/>
  <c r="T854" i="1"/>
  <c r="T855" i="1"/>
  <c r="Y855" i="1" s="1"/>
  <c r="T856" i="1"/>
  <c r="Y856" i="1" s="1"/>
  <c r="T857" i="1"/>
  <c r="Y857" i="1" s="1"/>
  <c r="T858" i="1"/>
  <c r="T859" i="1"/>
  <c r="Y859" i="1" s="1"/>
  <c r="T860" i="1"/>
  <c r="Y860" i="1" s="1"/>
  <c r="T861" i="1"/>
  <c r="Y861" i="1" s="1"/>
  <c r="T862" i="1"/>
  <c r="Z862" i="1" s="1"/>
  <c r="AK862" i="1" s="1"/>
  <c r="T863" i="1"/>
  <c r="Y863" i="1" s="1"/>
  <c r="T864" i="1"/>
  <c r="Y864" i="1" s="1"/>
  <c r="T865" i="1"/>
  <c r="Y865" i="1" s="1"/>
  <c r="T866" i="1"/>
  <c r="Z866" i="1" s="1"/>
  <c r="AK866" i="1" s="1"/>
  <c r="T867" i="1"/>
  <c r="Y867" i="1" s="1"/>
  <c r="T868" i="1"/>
  <c r="Y868" i="1" s="1"/>
  <c r="T869" i="1"/>
  <c r="Y869" i="1" s="1"/>
  <c r="T870" i="1"/>
  <c r="Z870" i="1" s="1"/>
  <c r="AK870" i="1" s="1"/>
  <c r="T871" i="1"/>
  <c r="Y871" i="1" s="1"/>
  <c r="T872" i="1"/>
  <c r="Y872" i="1" s="1"/>
  <c r="AH872" i="1" s="1"/>
  <c r="T873" i="1"/>
  <c r="Y873" i="1" s="1"/>
  <c r="T874" i="1"/>
  <c r="Z874" i="1" s="1"/>
  <c r="T877" i="1"/>
  <c r="Y877" i="1" s="1"/>
  <c r="T878" i="1"/>
  <c r="Y878" i="1" s="1"/>
  <c r="T879" i="1"/>
  <c r="Y879" i="1" s="1"/>
  <c r="T880" i="1"/>
  <c r="Z880" i="1" s="1"/>
  <c r="AK880" i="1" s="1"/>
  <c r="T881" i="1"/>
  <c r="T882" i="1"/>
  <c r="Z882" i="1" s="1"/>
  <c r="AI882" i="1" s="1"/>
  <c r="T883" i="1"/>
  <c r="Y883" i="1" s="1"/>
  <c r="T884" i="1"/>
  <c r="T885" i="1"/>
  <c r="Y885" i="1" s="1"/>
  <c r="T886" i="1"/>
  <c r="Z886" i="1" s="1"/>
  <c r="AI886" i="1" s="1"/>
  <c r="T887" i="1"/>
  <c r="Y887" i="1" s="1"/>
  <c r="T888" i="1"/>
  <c r="T889" i="1"/>
  <c r="Y889" i="1" s="1"/>
  <c r="T890" i="1"/>
  <c r="T891" i="1"/>
  <c r="Z891" i="1" s="1"/>
  <c r="T892" i="1"/>
  <c r="Y892" i="1" s="1"/>
  <c r="T893" i="1"/>
  <c r="Y893" i="1" s="1"/>
  <c r="T894" i="1"/>
  <c r="Y894" i="1" s="1"/>
  <c r="T895" i="1"/>
  <c r="Z895" i="1" s="1"/>
  <c r="T896" i="1"/>
  <c r="Z896" i="1" s="1"/>
  <c r="AK896" i="1" s="1"/>
  <c r="T897" i="1"/>
  <c r="Y897" i="1" s="1"/>
  <c r="T898" i="1"/>
  <c r="Y898" i="1" s="1"/>
  <c r="AG898" i="1" s="1"/>
  <c r="T899" i="1"/>
  <c r="Y899" i="1" s="1"/>
  <c r="T900" i="1"/>
  <c r="Z900" i="1" s="1"/>
  <c r="AK900" i="1" s="1"/>
  <c r="T901" i="1"/>
  <c r="Y901" i="1" s="1"/>
  <c r="AH901" i="1" s="1"/>
  <c r="T902" i="1"/>
  <c r="Y902" i="1" s="1"/>
  <c r="AG902" i="1" s="1"/>
  <c r="T903" i="1"/>
  <c r="Y903" i="1" s="1"/>
  <c r="AF903" i="1" s="1"/>
  <c r="T904" i="1"/>
  <c r="Z904" i="1" s="1"/>
  <c r="T905" i="1"/>
  <c r="Y905" i="1" s="1"/>
  <c r="T906" i="1"/>
  <c r="Y906" i="1" s="1"/>
  <c r="T907" i="1"/>
  <c r="Z907" i="1" s="1"/>
  <c r="T908" i="1"/>
  <c r="Y908" i="1" s="1"/>
  <c r="T909" i="1"/>
  <c r="Y909" i="1" s="1"/>
  <c r="T910" i="1"/>
  <c r="Y910" i="1" s="1"/>
  <c r="T911" i="1"/>
  <c r="Y911" i="1" s="1"/>
  <c r="T912" i="1"/>
  <c r="Y912" i="1" s="1"/>
  <c r="T913" i="1"/>
  <c r="Z913" i="1" s="1"/>
  <c r="T914" i="1"/>
  <c r="Y914" i="1" s="1"/>
  <c r="T915" i="1"/>
  <c r="Y915" i="1" s="1"/>
  <c r="T916" i="1"/>
  <c r="Z916" i="1" s="1"/>
  <c r="T917" i="1"/>
  <c r="Y917" i="1" s="1"/>
  <c r="T918" i="1"/>
  <c r="Y918" i="1" s="1"/>
  <c r="T919" i="1"/>
  <c r="Y919" i="1" s="1"/>
  <c r="T920" i="1"/>
  <c r="Z920" i="1" s="1"/>
  <c r="T921" i="1"/>
  <c r="Y921" i="1" s="1"/>
  <c r="T922" i="1"/>
  <c r="Z922" i="1" s="1"/>
  <c r="AI922" i="1" s="1"/>
  <c r="T923" i="1"/>
  <c r="Y923" i="1" s="1"/>
  <c r="T924" i="1"/>
  <c r="Z924" i="1" s="1"/>
  <c r="T925" i="1"/>
  <c r="Y925" i="1" s="1"/>
  <c r="T926" i="1"/>
  <c r="Y926" i="1" s="1"/>
  <c r="T927" i="1"/>
  <c r="Y927" i="1" s="1"/>
  <c r="T928" i="1"/>
  <c r="Y928" i="1" s="1"/>
  <c r="T929" i="1"/>
  <c r="Y929" i="1" s="1"/>
  <c r="T930" i="1"/>
  <c r="Y930" i="1" s="1"/>
  <c r="T931" i="1"/>
  <c r="Z931" i="1" s="1"/>
  <c r="T932" i="1"/>
  <c r="Y932" i="1" s="1"/>
  <c r="T933" i="1"/>
  <c r="Y933" i="1" s="1"/>
  <c r="T934" i="1"/>
  <c r="Y934" i="1" s="1"/>
  <c r="T935" i="1"/>
  <c r="Y935" i="1" s="1"/>
  <c r="T936" i="1"/>
  <c r="Y936" i="1" s="1"/>
  <c r="T937" i="1"/>
  <c r="Y937" i="1" s="1"/>
  <c r="AG937" i="1" s="1"/>
  <c r="T938" i="1"/>
  <c r="Y938" i="1" s="1"/>
  <c r="T939" i="1"/>
  <c r="Y939" i="1" s="1"/>
  <c r="T940" i="1"/>
  <c r="Y940" i="1" s="1"/>
  <c r="T941" i="1"/>
  <c r="Y941" i="1" s="1"/>
  <c r="T942" i="1"/>
  <c r="Y942" i="1" s="1"/>
  <c r="T943" i="1"/>
  <c r="Y943" i="1" s="1"/>
  <c r="T944" i="1"/>
  <c r="Y944" i="1" s="1"/>
  <c r="T945" i="1"/>
  <c r="Y945" i="1" s="1"/>
  <c r="AG945" i="1" s="1"/>
  <c r="T946" i="1"/>
  <c r="Y946" i="1" s="1"/>
  <c r="T947" i="1"/>
  <c r="Z947" i="1" s="1"/>
  <c r="T948" i="1"/>
  <c r="Y948" i="1" s="1"/>
  <c r="T949" i="1"/>
  <c r="Y949" i="1" s="1"/>
  <c r="T950" i="1"/>
  <c r="Y950" i="1" s="1"/>
  <c r="T951" i="1"/>
  <c r="Y951" i="1" s="1"/>
  <c r="T952" i="1"/>
  <c r="Z952" i="1" s="1"/>
  <c r="T953" i="1"/>
  <c r="Y953" i="1" s="1"/>
  <c r="T954" i="1"/>
  <c r="Y954" i="1" s="1"/>
  <c r="T955" i="1"/>
  <c r="Y955" i="1" s="1"/>
  <c r="T956" i="1"/>
  <c r="Y956" i="1" s="1"/>
  <c r="T957" i="1"/>
  <c r="Y957" i="1" s="1"/>
  <c r="T958" i="1"/>
  <c r="Y958" i="1" s="1"/>
  <c r="T959" i="1"/>
  <c r="Y959" i="1" s="1"/>
  <c r="T960" i="1"/>
  <c r="Y960" i="1" s="1"/>
  <c r="T961" i="1"/>
  <c r="Y961" i="1" s="1"/>
  <c r="T962" i="1"/>
  <c r="Y962" i="1" s="1"/>
  <c r="T963" i="1"/>
  <c r="Y963" i="1" s="1"/>
  <c r="T964" i="1"/>
  <c r="Z964" i="1" s="1"/>
  <c r="AI964" i="1" s="1"/>
  <c r="T965" i="1"/>
  <c r="Z965" i="1" s="1"/>
  <c r="AJ965" i="1" s="1"/>
  <c r="T966" i="1"/>
  <c r="Z966" i="1" s="1"/>
  <c r="T967" i="1"/>
  <c r="Y967" i="1" s="1"/>
  <c r="T968" i="1"/>
  <c r="Y968" i="1" s="1"/>
  <c r="T969" i="1"/>
  <c r="Y969" i="1" s="1"/>
  <c r="T970" i="1"/>
  <c r="Y970" i="1" s="1"/>
  <c r="T971" i="1"/>
  <c r="Y971" i="1" s="1"/>
  <c r="T972" i="1"/>
  <c r="Y972" i="1" s="1"/>
  <c r="T973" i="1"/>
  <c r="Y973" i="1" s="1"/>
  <c r="T974" i="1"/>
  <c r="Y974" i="1" s="1"/>
  <c r="T975" i="1"/>
  <c r="Y975" i="1" s="1"/>
  <c r="T976" i="1"/>
  <c r="Y976" i="1" s="1"/>
  <c r="T977" i="1"/>
  <c r="Y977" i="1" s="1"/>
  <c r="T978" i="1"/>
  <c r="Y978" i="1" s="1"/>
  <c r="T979" i="1"/>
  <c r="Y979" i="1" s="1"/>
  <c r="T980" i="1"/>
  <c r="Y980" i="1" s="1"/>
  <c r="T981" i="1"/>
  <c r="Y981" i="1" s="1"/>
  <c r="T982" i="1"/>
  <c r="Z982" i="1" s="1"/>
  <c r="T983" i="1"/>
  <c r="Y983" i="1" s="1"/>
  <c r="T984" i="1"/>
  <c r="Y984" i="1" s="1"/>
  <c r="T985" i="1"/>
  <c r="Y985" i="1" s="1"/>
  <c r="T986" i="1"/>
  <c r="Y986" i="1" s="1"/>
  <c r="T987" i="1"/>
  <c r="Y987" i="1" s="1"/>
  <c r="T988" i="1"/>
  <c r="Y988" i="1" s="1"/>
  <c r="T989" i="1"/>
  <c r="Z989" i="1" s="1"/>
  <c r="T990" i="1"/>
  <c r="Z990" i="1" s="1"/>
  <c r="T991" i="1"/>
  <c r="Y991" i="1" s="1"/>
  <c r="T992" i="1"/>
  <c r="Y992" i="1" s="1"/>
  <c r="T993" i="1"/>
  <c r="Y993" i="1" s="1"/>
  <c r="T994" i="1"/>
  <c r="Y994" i="1" s="1"/>
  <c r="T995" i="1"/>
  <c r="Y995" i="1" s="1"/>
  <c r="T996" i="1"/>
  <c r="Y996" i="1" s="1"/>
  <c r="T997" i="1"/>
  <c r="Z997" i="1" s="1"/>
  <c r="T998" i="1"/>
  <c r="Z998" i="1" s="1"/>
  <c r="T999" i="1"/>
  <c r="Y999" i="1" s="1"/>
  <c r="T1000" i="1"/>
  <c r="Y1000" i="1" s="1"/>
  <c r="T1001" i="1"/>
  <c r="Y1001" i="1" s="1"/>
  <c r="T1002" i="1"/>
  <c r="Y1002" i="1" s="1"/>
  <c r="T1003" i="1"/>
  <c r="Y1003" i="1" s="1"/>
  <c r="T1004" i="1"/>
  <c r="Y1004" i="1" s="1"/>
  <c r="T1005" i="1"/>
  <c r="Y1005" i="1" s="1"/>
  <c r="T1006" i="1"/>
  <c r="Y1006" i="1" s="1"/>
  <c r="T1007" i="1"/>
  <c r="Y1007" i="1" s="1"/>
  <c r="T1008" i="1"/>
  <c r="Y1008" i="1" s="1"/>
  <c r="T1009" i="1"/>
  <c r="Z1009" i="1" s="1"/>
  <c r="AJ1009" i="1" s="1"/>
  <c r="T1010" i="1"/>
  <c r="Y1010" i="1" s="1"/>
  <c r="T1011" i="1"/>
  <c r="Y1011" i="1" s="1"/>
  <c r="T1012" i="1"/>
  <c r="Y1012" i="1" s="1"/>
  <c r="T1013" i="1"/>
  <c r="Y1013" i="1" s="1"/>
  <c r="T1014" i="1"/>
  <c r="Y1014" i="1" s="1"/>
  <c r="T1015" i="1"/>
  <c r="Y1015" i="1" s="1"/>
  <c r="T1016" i="1"/>
  <c r="Y1016" i="1" s="1"/>
  <c r="T1017" i="1"/>
  <c r="Y1017" i="1" s="1"/>
  <c r="T1018" i="1"/>
  <c r="Y1018" i="1" s="1"/>
  <c r="T1019" i="1"/>
  <c r="Y1019" i="1" s="1"/>
  <c r="T1020" i="1"/>
  <c r="Y1020" i="1" s="1"/>
  <c r="T1021" i="1"/>
  <c r="Y1021" i="1" s="1"/>
  <c r="T1022" i="1"/>
  <c r="Y1022" i="1" s="1"/>
  <c r="T1023" i="1"/>
  <c r="Y1023" i="1" s="1"/>
  <c r="T1024" i="1"/>
  <c r="Y1024" i="1" s="1"/>
  <c r="T1025" i="1"/>
  <c r="Y1025" i="1" s="1"/>
  <c r="T1026" i="1"/>
  <c r="Y1026" i="1" s="1"/>
  <c r="T1027" i="1"/>
  <c r="Y1027" i="1" s="1"/>
  <c r="T1028" i="1"/>
  <c r="Z1028" i="1" s="1"/>
  <c r="AI1028" i="1" s="1"/>
  <c r="T1029" i="1"/>
  <c r="Y1029" i="1" s="1"/>
  <c r="T1030" i="1"/>
  <c r="Y1030" i="1" s="1"/>
  <c r="T1031" i="1"/>
  <c r="Y1031" i="1" s="1"/>
  <c r="T1032" i="1"/>
  <c r="Y1032" i="1" s="1"/>
  <c r="T1033" i="1"/>
  <c r="Y1033" i="1" s="1"/>
  <c r="T1034" i="1"/>
  <c r="Y1034" i="1" s="1"/>
  <c r="T1035" i="1"/>
  <c r="Y1035" i="1" s="1"/>
  <c r="T1036" i="1"/>
  <c r="Y1036" i="1" s="1"/>
  <c r="T1037" i="1"/>
  <c r="Y1037" i="1" s="1"/>
  <c r="T1038" i="1"/>
  <c r="Y1038" i="1" s="1"/>
  <c r="T1039" i="1"/>
  <c r="Y1039" i="1" s="1"/>
  <c r="AH1039" i="1" s="1"/>
  <c r="T1040" i="1"/>
  <c r="Y1040" i="1" s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876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75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876" i="1"/>
  <c r="O855" i="1"/>
  <c r="AD855" i="1" s="1"/>
  <c r="O856" i="1"/>
  <c r="AD856" i="1" s="1"/>
  <c r="O877" i="1"/>
  <c r="O878" i="1"/>
  <c r="AE878" i="1" s="1"/>
  <c r="O879" i="1"/>
  <c r="AD879" i="1" s="1"/>
  <c r="O880" i="1"/>
  <c r="AB880" i="1" s="1"/>
  <c r="O881" i="1"/>
  <c r="AB881" i="1" s="1"/>
  <c r="O882" i="1"/>
  <c r="AC882" i="1" s="1"/>
  <c r="O883" i="1"/>
  <c r="O884" i="1"/>
  <c r="AB884" i="1" s="1"/>
  <c r="O885" i="1"/>
  <c r="O886" i="1"/>
  <c r="AC886" i="1" s="1"/>
  <c r="O887" i="1"/>
  <c r="AC887" i="1" s="1"/>
  <c r="O888" i="1"/>
  <c r="AB888" i="1" s="1"/>
  <c r="O889" i="1"/>
  <c r="O890" i="1"/>
  <c r="AB890" i="1" s="1"/>
  <c r="O891" i="1"/>
  <c r="AC891" i="1" s="1"/>
  <c r="O892" i="1"/>
  <c r="AE892" i="1" s="1"/>
  <c r="O893" i="1"/>
  <c r="AE893" i="1" s="1"/>
  <c r="O894" i="1"/>
  <c r="AE894" i="1" s="1"/>
  <c r="O895" i="1"/>
  <c r="AE895" i="1" s="1"/>
  <c r="O896" i="1"/>
  <c r="AD896" i="1" s="1"/>
  <c r="O897" i="1"/>
  <c r="AE897" i="1" s="1"/>
  <c r="O898" i="1"/>
  <c r="AC898" i="1" s="1"/>
  <c r="O899" i="1"/>
  <c r="AE899" i="1" s="1"/>
  <c r="O900" i="1"/>
  <c r="AD900" i="1" s="1"/>
  <c r="O901" i="1"/>
  <c r="AC901" i="1" s="1"/>
  <c r="O902" i="1"/>
  <c r="AC902" i="1" s="1"/>
  <c r="O903" i="1"/>
  <c r="AC903" i="1" s="1"/>
  <c r="O904" i="1"/>
  <c r="AB904" i="1" s="1"/>
  <c r="O905" i="1"/>
  <c r="AB905" i="1" s="1"/>
  <c r="O906" i="1"/>
  <c r="AC906" i="1" s="1"/>
  <c r="O907" i="1"/>
  <c r="AD907" i="1" s="1"/>
  <c r="O908" i="1"/>
  <c r="AC908" i="1" s="1"/>
  <c r="O909" i="1"/>
  <c r="AB909" i="1" s="1"/>
  <c r="O910" i="1"/>
  <c r="AB910" i="1" s="1"/>
  <c r="O911" i="1"/>
  <c r="AB911" i="1" s="1"/>
  <c r="O912" i="1"/>
  <c r="AE912" i="1" s="1"/>
  <c r="O913" i="1"/>
  <c r="AD913" i="1" s="1"/>
  <c r="O914" i="1"/>
  <c r="AE914" i="1" s="1"/>
  <c r="O915" i="1"/>
  <c r="AB915" i="1" s="1"/>
  <c r="O916" i="1"/>
  <c r="AD916" i="1" s="1"/>
  <c r="O917" i="1"/>
  <c r="AB917" i="1" s="1"/>
  <c r="O918" i="1"/>
  <c r="AB918" i="1" s="1"/>
  <c r="O919" i="1"/>
  <c r="AB919" i="1" s="1"/>
  <c r="O920" i="1"/>
  <c r="AD920" i="1" s="1"/>
  <c r="O921" i="1"/>
  <c r="AC921" i="1" s="1"/>
  <c r="O922" i="1"/>
  <c r="AD922" i="1" s="1"/>
  <c r="O923" i="1"/>
  <c r="AE923" i="1" s="1"/>
  <c r="O924" i="1"/>
  <c r="AD924" i="1" s="1"/>
  <c r="O925" i="1"/>
  <c r="AC925" i="1" s="1"/>
  <c r="O926" i="1"/>
  <c r="AC926" i="1" s="1"/>
  <c r="O927" i="1"/>
  <c r="AC927" i="1" s="1"/>
  <c r="O928" i="1"/>
  <c r="AB928" i="1" s="1"/>
  <c r="O929" i="1"/>
  <c r="AB929" i="1" s="1"/>
  <c r="O930" i="1"/>
  <c r="AC930" i="1" s="1"/>
  <c r="O931" i="1"/>
  <c r="AD931" i="1" s="1"/>
  <c r="O932" i="1"/>
  <c r="AC932" i="1" s="1"/>
  <c r="O933" i="1"/>
  <c r="AB933" i="1" s="1"/>
  <c r="O934" i="1"/>
  <c r="AB934" i="1" s="1"/>
  <c r="O935" i="1"/>
  <c r="AB935" i="1" s="1"/>
  <c r="O936" i="1"/>
  <c r="AE936" i="1" s="1"/>
  <c r="O937" i="1"/>
  <c r="AE937" i="1" s="1"/>
  <c r="O938" i="1"/>
  <c r="AB938" i="1" s="1"/>
  <c r="O939" i="1"/>
  <c r="AC939" i="1" s="1"/>
  <c r="O940" i="1"/>
  <c r="AB940" i="1" s="1"/>
  <c r="O941" i="1"/>
  <c r="AE941" i="1" s="1"/>
  <c r="O942" i="1"/>
  <c r="AB942" i="1" s="1"/>
  <c r="O943" i="1"/>
  <c r="AB943" i="1" s="1"/>
  <c r="O944" i="1"/>
  <c r="AE944" i="1" s="1"/>
  <c r="O945" i="1"/>
  <c r="AC945" i="1" s="1"/>
  <c r="O946" i="1"/>
  <c r="AE946" i="1" s="1"/>
  <c r="O947" i="1"/>
  <c r="AD947" i="1" s="1"/>
  <c r="O948" i="1"/>
  <c r="AC948" i="1" s="1"/>
  <c r="O949" i="1"/>
  <c r="AB949" i="1" s="1"/>
  <c r="O950" i="1"/>
  <c r="AC950" i="1" s="1"/>
  <c r="O951" i="1"/>
  <c r="AB951" i="1" s="1"/>
  <c r="O952" i="1"/>
  <c r="AD952" i="1" s="1"/>
  <c r="O953" i="1"/>
  <c r="AB953" i="1" s="1"/>
  <c r="O954" i="1"/>
  <c r="AB954" i="1" s="1"/>
  <c r="O955" i="1"/>
  <c r="AB955" i="1" s="1"/>
  <c r="O956" i="1"/>
  <c r="AE956" i="1" s="1"/>
  <c r="O957" i="1"/>
  <c r="AB957" i="1" s="1"/>
  <c r="O958" i="1"/>
  <c r="AE958" i="1" s="1"/>
  <c r="O959" i="1"/>
  <c r="AC959" i="1" s="1"/>
  <c r="O960" i="1"/>
  <c r="AB960" i="1" s="1"/>
  <c r="O961" i="1"/>
  <c r="AE961" i="1" s="1"/>
  <c r="O962" i="1"/>
  <c r="AB962" i="1" s="1"/>
  <c r="O963" i="1"/>
  <c r="AE963" i="1" s="1"/>
  <c r="O964" i="1"/>
  <c r="AD964" i="1" s="1"/>
  <c r="O965" i="1"/>
  <c r="AE965" i="1" s="1"/>
  <c r="O966" i="1"/>
  <c r="AD966" i="1" s="1"/>
  <c r="O967" i="1"/>
  <c r="AB967" i="1" s="1"/>
  <c r="O968" i="1"/>
  <c r="AE968" i="1" s="1"/>
  <c r="O969" i="1"/>
  <c r="AC969" i="1" s="1"/>
  <c r="O970" i="1"/>
  <c r="AC970" i="1" s="1"/>
  <c r="O971" i="1"/>
  <c r="AC971" i="1" s="1"/>
  <c r="O972" i="1"/>
  <c r="AB972" i="1" s="1"/>
  <c r="O973" i="1"/>
  <c r="AC973" i="1" s="1"/>
  <c r="O974" i="1"/>
  <c r="AB974" i="1" s="1"/>
  <c r="O975" i="1"/>
  <c r="AB975" i="1" s="1"/>
  <c r="O976" i="1"/>
  <c r="AE976" i="1" s="1"/>
  <c r="O977" i="1"/>
  <c r="AB977" i="1" s="1"/>
  <c r="O978" i="1"/>
  <c r="AB978" i="1" s="1"/>
  <c r="O979" i="1"/>
  <c r="AE979" i="1" s="1"/>
  <c r="O980" i="1"/>
  <c r="AE980" i="1" s="1"/>
  <c r="O981" i="1"/>
  <c r="AC981" i="1" s="1"/>
  <c r="O982" i="1"/>
  <c r="AD982" i="1" s="1"/>
  <c r="O983" i="1"/>
  <c r="AC983" i="1" s="1"/>
  <c r="O984" i="1"/>
  <c r="AC984" i="1" s="1"/>
  <c r="O985" i="1"/>
  <c r="AE985" i="1" s="1"/>
  <c r="O986" i="1"/>
  <c r="AE986" i="1" s="1"/>
  <c r="O987" i="1"/>
  <c r="AE987" i="1" s="1"/>
  <c r="O988" i="1"/>
  <c r="AE988" i="1" s="1"/>
  <c r="O989" i="1"/>
  <c r="AD989" i="1" s="1"/>
  <c r="O990" i="1"/>
  <c r="AD990" i="1" s="1"/>
  <c r="O991" i="1"/>
  <c r="AC991" i="1" s="1"/>
  <c r="O992" i="1"/>
  <c r="AC992" i="1" s="1"/>
  <c r="O993" i="1"/>
  <c r="AB993" i="1" s="1"/>
  <c r="O994" i="1"/>
  <c r="AB994" i="1" s="1"/>
  <c r="O995" i="1"/>
  <c r="AE995" i="1" s="1"/>
  <c r="O996" i="1"/>
  <c r="AE996" i="1" s="1"/>
  <c r="O997" i="1"/>
  <c r="AD997" i="1" s="1"/>
  <c r="O998" i="1"/>
  <c r="AD998" i="1" s="1"/>
  <c r="O999" i="1"/>
  <c r="AC999" i="1" s="1"/>
  <c r="O1000" i="1"/>
  <c r="AC1000" i="1" s="1"/>
  <c r="O1001" i="1"/>
  <c r="AB1001" i="1" s="1"/>
  <c r="O1002" i="1"/>
  <c r="AB1002" i="1" s="1"/>
  <c r="O1003" i="1"/>
  <c r="AB1003" i="1" s="1"/>
  <c r="O1004" i="1"/>
  <c r="AC1004" i="1" s="1"/>
  <c r="O1005" i="1"/>
  <c r="AB1005" i="1" s="1"/>
  <c r="O1006" i="1"/>
  <c r="AC1006" i="1" s="1"/>
  <c r="O1007" i="1"/>
  <c r="AB1007" i="1" s="1"/>
  <c r="O1008" i="1"/>
  <c r="AC1008" i="1" s="1"/>
  <c r="O1009" i="1"/>
  <c r="AE1009" i="1" s="1"/>
  <c r="O1010" i="1"/>
  <c r="AB1010" i="1" s="1"/>
  <c r="O1011" i="1"/>
  <c r="AE1011" i="1" s="1"/>
  <c r="O1012" i="1"/>
  <c r="AE1012" i="1" s="1"/>
  <c r="O1013" i="1"/>
  <c r="AC1013" i="1" s="1"/>
  <c r="O1014" i="1"/>
  <c r="AC1014" i="1" s="1"/>
  <c r="O1015" i="1"/>
  <c r="AC1015" i="1" s="1"/>
  <c r="O1016" i="1"/>
  <c r="AC1016" i="1" s="1"/>
  <c r="O1017" i="1"/>
  <c r="AB1017" i="1" s="1"/>
  <c r="O1018" i="1"/>
  <c r="AB1018" i="1" s="1"/>
  <c r="O1019" i="1"/>
  <c r="AB1019" i="1" s="1"/>
  <c r="O1020" i="1"/>
  <c r="AC1020" i="1" s="1"/>
  <c r="O1021" i="1"/>
  <c r="AB1021" i="1" s="1"/>
  <c r="O1022" i="1"/>
  <c r="AC1022" i="1" s="1"/>
  <c r="O1023" i="1"/>
  <c r="AB1023" i="1" s="1"/>
  <c r="O1024" i="1"/>
  <c r="AC1024" i="1" s="1"/>
  <c r="O1025" i="1"/>
  <c r="AE1025" i="1" s="1"/>
  <c r="O1026" i="1"/>
  <c r="AB1026" i="1" s="1"/>
  <c r="O1027" i="1"/>
  <c r="AE1027" i="1" s="1"/>
  <c r="O1028" i="1"/>
  <c r="AE1028" i="1" s="1"/>
  <c r="O1029" i="1"/>
  <c r="AC1029" i="1" s="1"/>
  <c r="O1030" i="1"/>
  <c r="AC1030" i="1" s="1"/>
  <c r="O1031" i="1"/>
  <c r="AC1031" i="1" s="1"/>
  <c r="O1032" i="1"/>
  <c r="AC1032" i="1" s="1"/>
  <c r="O1033" i="1"/>
  <c r="AB1033" i="1" s="1"/>
  <c r="O1034" i="1"/>
  <c r="AB1034" i="1" s="1"/>
  <c r="O1035" i="1"/>
  <c r="AB1035" i="1" s="1"/>
  <c r="O1036" i="1"/>
  <c r="AC1036" i="1" s="1"/>
  <c r="O1037" i="1"/>
  <c r="AB1037" i="1" s="1"/>
  <c r="O1038" i="1"/>
  <c r="AC1038" i="1" s="1"/>
  <c r="O1039" i="1"/>
  <c r="AB1039" i="1" s="1"/>
  <c r="O1040" i="1"/>
  <c r="AC1040" i="1" s="1"/>
  <c r="AS191" i="28" l="1"/>
  <c r="AS167" i="28"/>
  <c r="AS89" i="28"/>
  <c r="AS47" i="28"/>
  <c r="AS206" i="28"/>
  <c r="AS55" i="28"/>
  <c r="AS250" i="28"/>
  <c r="AS40" i="28"/>
  <c r="W679" i="1"/>
  <c r="X615" i="1"/>
  <c r="X671" i="1"/>
  <c r="X447" i="1"/>
  <c r="W503" i="1"/>
  <c r="X695" i="1"/>
  <c r="X631" i="1"/>
  <c r="W519" i="1"/>
  <c r="X335" i="1"/>
  <c r="X567" i="1"/>
  <c r="X543" i="1"/>
  <c r="X155" i="1"/>
  <c r="X728" i="1"/>
  <c r="X722" i="1"/>
  <c r="W567" i="1"/>
  <c r="X463" i="1"/>
  <c r="X431" i="1"/>
  <c r="X91" i="1"/>
  <c r="W586" i="1"/>
  <c r="W671" i="1"/>
  <c r="X599" i="1"/>
  <c r="W583" i="1"/>
  <c r="W543" i="1"/>
  <c r="X471" i="1"/>
  <c r="X718" i="1"/>
  <c r="W471" i="1"/>
  <c r="X647" i="1"/>
  <c r="W695" i="1"/>
  <c r="X591" i="1"/>
  <c r="X575" i="1"/>
  <c r="X511" i="1"/>
  <c r="W479" i="1"/>
  <c r="W399" i="1"/>
  <c r="W647" i="1"/>
  <c r="W591" i="1"/>
  <c r="X551" i="1"/>
  <c r="W511" i="1"/>
  <c r="X415" i="1"/>
  <c r="X351" i="1"/>
  <c r="W335" i="1"/>
  <c r="W607" i="1"/>
  <c r="AS369" i="28" s="1"/>
  <c r="W351" i="1"/>
  <c r="W434" i="1"/>
  <c r="X38" i="1"/>
  <c r="W498" i="1"/>
  <c r="W38" i="1"/>
  <c r="W386" i="1"/>
  <c r="X307" i="1"/>
  <c r="X690" i="1"/>
  <c r="X482" i="1"/>
  <c r="W70" i="1"/>
  <c r="X14" i="1"/>
  <c r="W610" i="1"/>
  <c r="W578" i="1"/>
  <c r="X634" i="1"/>
  <c r="W14" i="1"/>
  <c r="W562" i="1"/>
  <c r="W634" i="1"/>
  <c r="W466" i="1"/>
  <c r="W642" i="1"/>
  <c r="X586" i="1"/>
  <c r="X554" i="1"/>
  <c r="W538" i="1"/>
  <c r="X22" i="1"/>
  <c r="X928" i="1"/>
  <c r="X526" i="1"/>
  <c r="X888" i="1"/>
  <c r="W526" i="1"/>
  <c r="W502" i="1"/>
  <c r="W904" i="1"/>
  <c r="X502" i="1"/>
  <c r="W662" i="1"/>
  <c r="X1000" i="1"/>
  <c r="X534" i="1"/>
  <c r="X510" i="1"/>
  <c r="X858" i="1"/>
  <c r="W518" i="1"/>
  <c r="X920" i="1"/>
  <c r="W849" i="1"/>
  <c r="X952" i="1"/>
  <c r="W534" i="1"/>
  <c r="W510" i="1"/>
  <c r="X663" i="1"/>
  <c r="W631" i="1"/>
  <c r="AS394" i="28" s="1"/>
  <c r="W615" i="1"/>
  <c r="X519" i="1"/>
  <c r="X479" i="1"/>
  <c r="W431" i="1"/>
  <c r="W421" i="1"/>
  <c r="AS261" i="28" s="1"/>
  <c r="W415" i="1"/>
  <c r="W722" i="1"/>
  <c r="W718" i="1"/>
  <c r="X639" i="1"/>
  <c r="W599" i="1"/>
  <c r="W575" i="1"/>
  <c r="W551" i="1"/>
  <c r="X527" i="1"/>
  <c r="W487" i="1"/>
  <c r="X455" i="1"/>
  <c r="X391" i="1"/>
  <c r="X375" i="1"/>
  <c r="X343" i="1"/>
  <c r="X327" i="1"/>
  <c r="X703" i="1"/>
  <c r="X655" i="1"/>
  <c r="W639" i="1"/>
  <c r="X623" i="1"/>
  <c r="X559" i="1"/>
  <c r="X535" i="1"/>
  <c r="W527" i="1"/>
  <c r="X495" i="1"/>
  <c r="W391" i="1"/>
  <c r="W375" i="1"/>
  <c r="W343" i="1"/>
  <c r="X272" i="1"/>
  <c r="X83" i="1"/>
  <c r="W703" i="1"/>
  <c r="X679" i="1"/>
  <c r="W655" i="1"/>
  <c r="W623" i="1"/>
  <c r="X607" i="1"/>
  <c r="X583" i="1"/>
  <c r="W559" i="1"/>
  <c r="W535" i="1"/>
  <c r="X503" i="1"/>
  <c r="W495" i="1"/>
  <c r="W272" i="1"/>
  <c r="X99" i="1"/>
  <c r="AS62" i="28" s="1"/>
  <c r="W477" i="1"/>
  <c r="W894" i="1"/>
  <c r="X733" i="1"/>
  <c r="X613" i="1"/>
  <c r="W857" i="1"/>
  <c r="X445" i="1"/>
  <c r="X578" i="1"/>
  <c r="W565" i="1"/>
  <c r="X514" i="1"/>
  <c r="X466" i="1"/>
  <c r="AS293" i="28" s="1"/>
  <c r="X394" i="1"/>
  <c r="X565" i="1"/>
  <c r="X829" i="1"/>
  <c r="X791" i="1"/>
  <c r="X776" i="1"/>
  <c r="W493" i="1"/>
  <c r="W365" i="1"/>
  <c r="W509" i="1"/>
  <c r="W295" i="1"/>
  <c r="X421" i="1"/>
  <c r="X833" i="1"/>
  <c r="W617" i="1"/>
  <c r="X737" i="1"/>
  <c r="X838" i="1"/>
  <c r="X780" i="1"/>
  <c r="W743" i="1"/>
  <c r="W737" i="1"/>
  <c r="X673" i="1"/>
  <c r="W657" i="1"/>
  <c r="X625" i="1"/>
  <c r="W673" i="1"/>
  <c r="X641" i="1"/>
  <c r="X633" i="1"/>
  <c r="W625" i="1"/>
  <c r="W751" i="1"/>
  <c r="X729" i="1"/>
  <c r="W641" i="1"/>
  <c r="W633" i="1"/>
  <c r="X885" i="1"/>
  <c r="W841" i="1"/>
  <c r="W689" i="1"/>
  <c r="X665" i="1"/>
  <c r="W649" i="1"/>
  <c r="X627" i="1"/>
  <c r="W934" i="1"/>
  <c r="X541" i="1"/>
  <c r="W525" i="1"/>
  <c r="X453" i="1"/>
  <c r="X942" i="1"/>
  <c r="W79" i="1"/>
  <c r="W554" i="1"/>
  <c r="W541" i="1"/>
  <c r="X498" i="1"/>
  <c r="W482" i="1"/>
  <c r="W453" i="1"/>
  <c r="X386" i="1"/>
  <c r="W362" i="1"/>
  <c r="W322" i="1"/>
  <c r="X303" i="1"/>
  <c r="W613" i="1"/>
  <c r="W966" i="1"/>
  <c r="W621" i="1"/>
  <c r="X589" i="1"/>
  <c r="W958" i="1"/>
  <c r="W917" i="1"/>
  <c r="W876" i="1"/>
  <c r="X752" i="1"/>
  <c r="X602" i="1"/>
  <c r="W589" i="1"/>
  <c r="W514" i="1"/>
  <c r="X437" i="1"/>
  <c r="X331" i="1"/>
  <c r="X682" i="1"/>
  <c r="W645" i="1"/>
  <c r="X610" i="1"/>
  <c r="W437" i="1"/>
  <c r="X365" i="1"/>
  <c r="X113" i="1"/>
  <c r="BK828" i="1"/>
  <c r="W828" i="1"/>
  <c r="BK790" i="1"/>
  <c r="W790" i="1"/>
  <c r="BK667" i="1"/>
  <c r="W667" i="1"/>
  <c r="X667" i="1"/>
  <c r="BK619" i="1"/>
  <c r="W619" i="1"/>
  <c r="X619" i="1"/>
  <c r="BK587" i="1"/>
  <c r="W587" i="1"/>
  <c r="X587" i="1"/>
  <c r="BK579" i="1"/>
  <c r="X579" i="1"/>
  <c r="BK483" i="1"/>
  <c r="X483" i="1"/>
  <c r="AS310" i="28" s="1"/>
  <c r="BK379" i="1"/>
  <c r="W379" i="1"/>
  <c r="W331" i="1"/>
  <c r="BK680" i="1"/>
  <c r="W680" i="1"/>
  <c r="BK260" i="1"/>
  <c r="W260" i="1"/>
  <c r="X260" i="1"/>
  <c r="BK252" i="1"/>
  <c r="W252" i="1"/>
  <c r="X252" i="1"/>
  <c r="BK212" i="1"/>
  <c r="W212" i="1"/>
  <c r="AS134" i="28" s="1"/>
  <c r="X212" i="1"/>
  <c r="X148" i="1"/>
  <c r="W148" i="1"/>
  <c r="AS93" i="28" s="1"/>
  <c r="X116" i="1"/>
  <c r="W116" i="1"/>
  <c r="W84" i="1"/>
  <c r="X84" i="1"/>
  <c r="W76" i="1"/>
  <c r="X76" i="1"/>
  <c r="W68" i="1"/>
  <c r="X68" i="1"/>
  <c r="BK12" i="1"/>
  <c r="W12" i="1"/>
  <c r="X12" i="1"/>
  <c r="X721" i="1"/>
  <c r="X339" i="1"/>
  <c r="X814" i="1"/>
  <c r="W721" i="1"/>
  <c r="W683" i="1"/>
  <c r="W339" i="1"/>
  <c r="X172" i="1"/>
  <c r="AS108" i="28" s="1"/>
  <c r="W140" i="1"/>
  <c r="W87" i="1"/>
  <c r="X23" i="1"/>
  <c r="BK905" i="1"/>
  <c r="X905" i="1"/>
  <c r="BK779" i="1"/>
  <c r="W779" i="1"/>
  <c r="BK727" i="1"/>
  <c r="W727" i="1"/>
  <c r="BK675" i="1"/>
  <c r="W675" i="1"/>
  <c r="BK443" i="1"/>
  <c r="W443" i="1"/>
  <c r="X443" i="1"/>
  <c r="BK347" i="1"/>
  <c r="X347" i="1"/>
  <c r="W627" i="1"/>
  <c r="BK948" i="1"/>
  <c r="W948" i="1"/>
  <c r="BK916" i="1"/>
  <c r="W916" i="1"/>
  <c r="BK884" i="1"/>
  <c r="W884" i="1"/>
  <c r="BB728" i="1"/>
  <c r="BD728" i="1" s="1"/>
  <c r="BK717" i="1"/>
  <c r="W717" i="1"/>
  <c r="X717" i="1"/>
  <c r="BK352" i="1"/>
  <c r="W352" i="1"/>
  <c r="X352" i="1"/>
  <c r="BK344" i="1"/>
  <c r="W344" i="1"/>
  <c r="X344" i="1"/>
  <c r="BK336" i="1"/>
  <c r="W336" i="1"/>
  <c r="X336" i="1"/>
  <c r="W328" i="1"/>
  <c r="X328" i="1"/>
  <c r="BK180" i="1"/>
  <c r="W180" i="1"/>
  <c r="X180" i="1"/>
  <c r="BK164" i="1"/>
  <c r="W164" i="1"/>
  <c r="X164" i="1"/>
  <c r="BK132" i="1"/>
  <c r="W132" i="1"/>
  <c r="X132" i="1"/>
  <c r="X140" i="1"/>
  <c r="W688" i="1"/>
  <c r="X204" i="1"/>
  <c r="X60" i="1"/>
  <c r="W531" i="1"/>
  <c r="X315" i="1"/>
  <c r="X236" i="1"/>
  <c r="BK818" i="1"/>
  <c r="X818" i="1"/>
  <c r="BK798" i="1"/>
  <c r="X798" i="1"/>
  <c r="BK699" i="1"/>
  <c r="X699" i="1"/>
  <c r="W699" i="1"/>
  <c r="BK659" i="1"/>
  <c r="W659" i="1"/>
  <c r="BK595" i="1"/>
  <c r="W595" i="1"/>
  <c r="X595" i="1"/>
  <c r="AS364" i="28" s="1"/>
  <c r="BK571" i="1"/>
  <c r="W571" i="1"/>
  <c r="X571" i="1"/>
  <c r="BK563" i="1"/>
  <c r="W563" i="1"/>
  <c r="X563" i="1"/>
  <c r="BK555" i="1"/>
  <c r="X555" i="1"/>
  <c r="BK547" i="1"/>
  <c r="W547" i="1"/>
  <c r="BK539" i="1"/>
  <c r="W539" i="1"/>
  <c r="X539" i="1"/>
  <c r="BK523" i="1"/>
  <c r="W523" i="1"/>
  <c r="X523" i="1"/>
  <c r="BK507" i="1"/>
  <c r="X507" i="1"/>
  <c r="W507" i="1"/>
  <c r="BK499" i="1"/>
  <c r="X499" i="1"/>
  <c r="BK491" i="1"/>
  <c r="X491" i="1"/>
  <c r="AS309" i="28" s="1"/>
  <c r="W491" i="1"/>
  <c r="BK475" i="1"/>
  <c r="W475" i="1"/>
  <c r="X475" i="1"/>
  <c r="BK467" i="1"/>
  <c r="X467" i="1"/>
  <c r="W451" i="1"/>
  <c r="X451" i="1"/>
  <c r="BK411" i="1"/>
  <c r="X411" i="1"/>
  <c r="W411" i="1"/>
  <c r="BK355" i="1"/>
  <c r="X355" i="1"/>
  <c r="W308" i="1"/>
  <c r="X308" i="1"/>
  <c r="AS195" i="28" s="1"/>
  <c r="W119" i="1"/>
  <c r="AS67" i="28" s="1"/>
  <c r="X119" i="1"/>
  <c r="W111" i="1"/>
  <c r="X111" i="1"/>
  <c r="BK1028" i="1"/>
  <c r="W1028" i="1"/>
  <c r="BK908" i="1"/>
  <c r="X908" i="1"/>
  <c r="W320" i="1"/>
  <c r="AS203" i="28" s="1"/>
  <c r="X320" i="1"/>
  <c r="BK244" i="1"/>
  <c r="W244" i="1"/>
  <c r="AS160" i="28" s="1"/>
  <c r="X244" i="1"/>
  <c r="BK228" i="1"/>
  <c r="W228" i="1"/>
  <c r="X228" i="1"/>
  <c r="AS145" i="28" s="1"/>
  <c r="BK220" i="1"/>
  <c r="W220" i="1"/>
  <c r="X220" i="1"/>
  <c r="BK188" i="1"/>
  <c r="W188" i="1"/>
  <c r="X188" i="1"/>
  <c r="W44" i="1"/>
  <c r="X44" i="1"/>
  <c r="X531" i="1"/>
  <c r="W483" i="1"/>
  <c r="W964" i="1"/>
  <c r="W832" i="1"/>
  <c r="X603" i="1"/>
  <c r="W555" i="1"/>
  <c r="X323" i="1"/>
  <c r="X268" i="1"/>
  <c r="W236" i="1"/>
  <c r="BK719" i="1"/>
  <c r="W719" i="1"/>
  <c r="X719" i="1"/>
  <c r="BK707" i="1"/>
  <c r="W707" i="1"/>
  <c r="X707" i="1"/>
  <c r="BK651" i="1"/>
  <c r="W651" i="1"/>
  <c r="X651" i="1"/>
  <c r="BK643" i="1"/>
  <c r="W643" i="1"/>
  <c r="X643" i="1"/>
  <c r="BK635" i="1"/>
  <c r="X635" i="1"/>
  <c r="BK611" i="1"/>
  <c r="W611" i="1"/>
  <c r="X611" i="1"/>
  <c r="BK515" i="1"/>
  <c r="X515" i="1"/>
  <c r="W459" i="1"/>
  <c r="X459" i="1"/>
  <c r="AS291" i="28" s="1"/>
  <c r="BK427" i="1"/>
  <c r="W427" i="1"/>
  <c r="X427" i="1"/>
  <c r="BK103" i="1"/>
  <c r="X103" i="1"/>
  <c r="W103" i="1"/>
  <c r="BK95" i="1"/>
  <c r="W95" i="1"/>
  <c r="X95" i="1"/>
  <c r="BK15" i="1"/>
  <c r="X15" i="1"/>
  <c r="BK972" i="1"/>
  <c r="W972" i="1"/>
  <c r="BK874" i="1"/>
  <c r="W874" i="1"/>
  <c r="BK196" i="1"/>
  <c r="W196" i="1"/>
  <c r="X196" i="1"/>
  <c r="BK156" i="1"/>
  <c r="W156" i="1"/>
  <c r="X156" i="1"/>
  <c r="W124" i="1"/>
  <c r="X124" i="1"/>
  <c r="BK52" i="1"/>
  <c r="X52" i="1"/>
  <c r="W579" i="1"/>
  <c r="W806" i="1"/>
  <c r="W499" i="1"/>
  <c r="W347" i="1"/>
  <c r="W172" i="1"/>
  <c r="X675" i="1"/>
  <c r="X659" i="1"/>
  <c r="W603" i="1"/>
  <c r="X379" i="1"/>
  <c r="W355" i="1"/>
  <c r="W268" i="1"/>
  <c r="AS173" i="28" s="1"/>
  <c r="W817" i="1"/>
  <c r="W682" i="1"/>
  <c r="X658" i="1"/>
  <c r="W637" i="1"/>
  <c r="W581" i="1"/>
  <c r="X546" i="1"/>
  <c r="X533" i="1"/>
  <c r="W517" i="1"/>
  <c r="W501" i="1"/>
  <c r="W485" i="1"/>
  <c r="W469" i="1"/>
  <c r="AS297" i="28" s="1"/>
  <c r="X402" i="1"/>
  <c r="W394" i="1"/>
  <c r="W357" i="1"/>
  <c r="W280" i="1"/>
  <c r="X30" i="1"/>
  <c r="X744" i="1"/>
  <c r="X738" i="1"/>
  <c r="X581" i="1"/>
  <c r="X557" i="1"/>
  <c r="X357" i="1"/>
  <c r="W738" i="1"/>
  <c r="W626" i="1"/>
  <c r="X605" i="1"/>
  <c r="W602" i="1"/>
  <c r="W557" i="1"/>
  <c r="X458" i="1"/>
  <c r="X1018" i="1"/>
  <c r="X706" i="1"/>
  <c r="X693" i="1"/>
  <c r="X685" i="1"/>
  <c r="X677" i="1"/>
  <c r="X666" i="1"/>
  <c r="W658" i="1"/>
  <c r="X650" i="1"/>
  <c r="AS399" i="28" s="1"/>
  <c r="W605" i="1"/>
  <c r="AS373" i="28" s="1"/>
  <c r="X594" i="1"/>
  <c r="X570" i="1"/>
  <c r="X549" i="1"/>
  <c r="AS336" i="28" s="1"/>
  <c r="W546" i="1"/>
  <c r="W533" i="1"/>
  <c r="W458" i="1"/>
  <c r="W402" i="1"/>
  <c r="X397" i="1"/>
  <c r="X381" i="1"/>
  <c r="W30" i="1"/>
  <c r="X637" i="1"/>
  <c r="X517" i="1"/>
  <c r="X501" i="1"/>
  <c r="X469" i="1"/>
  <c r="W445" i="1"/>
  <c r="X280" i="1"/>
  <c r="W732" i="1"/>
  <c r="X709" i="1"/>
  <c r="W706" i="1"/>
  <c r="W693" i="1"/>
  <c r="W685" i="1"/>
  <c r="W677" i="1"/>
  <c r="X669" i="1"/>
  <c r="W661" i="1"/>
  <c r="W650" i="1"/>
  <c r="X618" i="1"/>
  <c r="X597" i="1"/>
  <c r="W594" i="1"/>
  <c r="X573" i="1"/>
  <c r="W570" i="1"/>
  <c r="W549" i="1"/>
  <c r="X522" i="1"/>
  <c r="X506" i="1"/>
  <c r="X490" i="1"/>
  <c r="X474" i="1"/>
  <c r="X461" i="1"/>
  <c r="X450" i="1"/>
  <c r="X418" i="1"/>
  <c r="X405" i="1"/>
  <c r="W397" i="1"/>
  <c r="W381" i="1"/>
  <c r="AS245" i="28" s="1"/>
  <c r="X312" i="1"/>
  <c r="AS205" i="28" s="1"/>
  <c r="X300" i="1"/>
  <c r="X292" i="1"/>
  <c r="W62" i="1"/>
  <c r="X485" i="1"/>
  <c r="W772" i="1"/>
  <c r="W709" i="1"/>
  <c r="W653" i="1"/>
  <c r="X642" i="1"/>
  <c r="X621" i="1"/>
  <c r="W618" i="1"/>
  <c r="W597" i="1"/>
  <c r="W573" i="1"/>
  <c r="X562" i="1"/>
  <c r="X538" i="1"/>
  <c r="X525" i="1"/>
  <c r="W522" i="1"/>
  <c r="X509" i="1"/>
  <c r="W506" i="1"/>
  <c r="X493" i="1"/>
  <c r="W490" i="1"/>
  <c r="X477" i="1"/>
  <c r="W474" i="1"/>
  <c r="W461" i="1"/>
  <c r="W450" i="1"/>
  <c r="X434" i="1"/>
  <c r="W418" i="1"/>
  <c r="W405" i="1"/>
  <c r="X362" i="1"/>
  <c r="W292" i="1"/>
  <c r="BK530" i="1"/>
  <c r="W530" i="1"/>
  <c r="BK807" i="1"/>
  <c r="X807" i="1"/>
  <c r="BK566" i="1"/>
  <c r="W566" i="1"/>
  <c r="AS345" i="28" s="1"/>
  <c r="X566" i="1"/>
  <c r="BK550" i="1"/>
  <c r="W550" i="1"/>
  <c r="X550" i="1"/>
  <c r="BK630" i="1"/>
  <c r="W630" i="1"/>
  <c r="BK614" i="1"/>
  <c r="W614" i="1"/>
  <c r="X614" i="1"/>
  <c r="BK846" i="1"/>
  <c r="X846" i="1"/>
  <c r="BK959" i="1"/>
  <c r="W959" i="1"/>
  <c r="BK951" i="1"/>
  <c r="W951" i="1"/>
  <c r="BK895" i="1"/>
  <c r="W895" i="1"/>
  <c r="BK854" i="1"/>
  <c r="X854" i="1"/>
  <c r="BK686" i="1"/>
  <c r="W686" i="1"/>
  <c r="BK622" i="1"/>
  <c r="W622" i="1"/>
  <c r="BK558" i="1"/>
  <c r="W558" i="1"/>
  <c r="BK901" i="1"/>
  <c r="X901" i="1"/>
  <c r="BK606" i="1"/>
  <c r="W606" i="1"/>
  <c r="BK542" i="1"/>
  <c r="W542" i="1"/>
  <c r="BK598" i="1"/>
  <c r="W598" i="1"/>
  <c r="X598" i="1"/>
  <c r="BK1027" i="1"/>
  <c r="X1027" i="1"/>
  <c r="BK963" i="1"/>
  <c r="W963" i="1"/>
  <c r="BK860" i="1"/>
  <c r="X860" i="1"/>
  <c r="BK654" i="1"/>
  <c r="W654" i="1"/>
  <c r="X654" i="1"/>
  <c r="BK590" i="1"/>
  <c r="W590" i="1"/>
  <c r="BK646" i="1"/>
  <c r="X646" i="1"/>
  <c r="BK582" i="1"/>
  <c r="W582" i="1"/>
  <c r="X582" i="1"/>
  <c r="BK842" i="1"/>
  <c r="X842" i="1"/>
  <c r="BK702" i="1"/>
  <c r="W702" i="1"/>
  <c r="BK638" i="1"/>
  <c r="W638" i="1"/>
  <c r="BK574" i="1"/>
  <c r="W574" i="1"/>
  <c r="W813" i="1"/>
  <c r="BK354" i="1"/>
  <c r="BK783" i="1"/>
  <c r="W1040" i="1"/>
  <c r="W1012" i="1"/>
  <c r="X988" i="1"/>
  <c r="X972" i="1"/>
  <c r="X964" i="1"/>
  <c r="W960" i="1"/>
  <c r="W956" i="1"/>
  <c r="X948" i="1"/>
  <c r="W932" i="1"/>
  <c r="W924" i="1"/>
  <c r="X916" i="1"/>
  <c r="X904" i="1"/>
  <c r="W896" i="1"/>
  <c r="W892" i="1"/>
  <c r="X884" i="1"/>
  <c r="X874" i="1"/>
  <c r="W783" i="1"/>
  <c r="X996" i="1"/>
  <c r="W976" i="1"/>
  <c r="X968" i="1"/>
  <c r="X944" i="1"/>
  <c r="W928" i="1"/>
  <c r="W920" i="1"/>
  <c r="X912" i="1"/>
  <c r="W908" i="1"/>
  <c r="W888" i="1"/>
  <c r="X880" i="1"/>
  <c r="BB744" i="1"/>
  <c r="BD744" i="1" s="1"/>
  <c r="X992" i="1"/>
  <c r="X960" i="1"/>
  <c r="X956" i="1"/>
  <c r="W944" i="1"/>
  <c r="X932" i="1"/>
  <c r="X924" i="1"/>
  <c r="W912" i="1"/>
  <c r="X896" i="1"/>
  <c r="X892" i="1"/>
  <c r="W880" i="1"/>
  <c r="BB736" i="1"/>
  <c r="BD736" i="1" s="1"/>
  <c r="X1002" i="1"/>
  <c r="X978" i="1"/>
  <c r="X966" i="1"/>
  <c r="X958" i="1"/>
  <c r="W954" i="1"/>
  <c r="W938" i="1"/>
  <c r="W926" i="1"/>
  <c r="X894" i="1"/>
  <c r="W13" i="1"/>
  <c r="X1034" i="1"/>
  <c r="W1014" i="1"/>
  <c r="W986" i="1"/>
  <c r="W974" i="1"/>
  <c r="W970" i="1"/>
  <c r="W942" i="1"/>
  <c r="X918" i="1"/>
  <c r="X872" i="1"/>
  <c r="X700" i="1"/>
  <c r="X994" i="1"/>
  <c r="X926" i="1"/>
  <c r="W922" i="1"/>
  <c r="W918" i="1"/>
  <c r="X13" i="1"/>
  <c r="W965" i="1"/>
  <c r="X977" i="1"/>
  <c r="BG734" i="1"/>
  <c r="X959" i="1"/>
  <c r="X951" i="1"/>
  <c r="W911" i="1"/>
  <c r="X907" i="1"/>
  <c r="X895" i="1"/>
  <c r="X779" i="1"/>
  <c r="W778" i="1"/>
  <c r="X876" i="1"/>
  <c r="W774" i="1"/>
  <c r="X772" i="1"/>
  <c r="X766" i="1"/>
  <c r="W761" i="1"/>
  <c r="X758" i="1"/>
  <c r="X751" i="1"/>
  <c r="X696" i="1"/>
  <c r="X17" i="1"/>
  <c r="BB741" i="1"/>
  <c r="BD741" i="1" s="1"/>
  <c r="BB734" i="1"/>
  <c r="BD734" i="1" s="1"/>
  <c r="W1023" i="1"/>
  <c r="X1011" i="1"/>
  <c r="X983" i="1"/>
  <c r="X967" i="1"/>
  <c r="W947" i="1"/>
  <c r="X935" i="1"/>
  <c r="X887" i="1"/>
  <c r="X879" i="1"/>
  <c r="X777" i="1"/>
  <c r="W776" i="1"/>
  <c r="X773" i="1"/>
  <c r="W765" i="1"/>
  <c r="X762" i="1"/>
  <c r="X753" i="1"/>
  <c r="W752" i="1"/>
  <c r="X747" i="1"/>
  <c r="W708" i="1"/>
  <c r="W309" i="1"/>
  <c r="W967" i="1"/>
  <c r="W935" i="1"/>
  <c r="X927" i="1"/>
  <c r="W919" i="1"/>
  <c r="X911" i="1"/>
  <c r="W887" i="1"/>
  <c r="W883" i="1"/>
  <c r="W879" i="1"/>
  <c r="X781" i="1"/>
  <c r="X778" i="1"/>
  <c r="X774" i="1"/>
  <c r="W753" i="1"/>
  <c r="W747" i="1"/>
  <c r="W672" i="1"/>
  <c r="W85" i="1"/>
  <c r="BK600" i="1"/>
  <c r="X600" i="1"/>
  <c r="BK592" i="1"/>
  <c r="X592" i="1"/>
  <c r="BK560" i="1"/>
  <c r="X560" i="1"/>
  <c r="BK552" i="1"/>
  <c r="X552" i="1"/>
  <c r="BK524" i="1"/>
  <c r="X524" i="1"/>
  <c r="BK520" i="1"/>
  <c r="X520" i="1"/>
  <c r="BK492" i="1"/>
  <c r="X492" i="1"/>
  <c r="BK488" i="1"/>
  <c r="X488" i="1"/>
  <c r="BK480" i="1"/>
  <c r="X480" i="1"/>
  <c r="BK468" i="1"/>
  <c r="X468" i="1"/>
  <c r="BK448" i="1"/>
  <c r="X448" i="1"/>
  <c r="BK444" i="1"/>
  <c r="X444" i="1"/>
  <c r="W444" i="1"/>
  <c r="X985" i="1"/>
  <c r="X965" i="1"/>
  <c r="W957" i="1"/>
  <c r="X953" i="1"/>
  <c r="W933" i="1"/>
  <c r="X917" i="1"/>
  <c r="W913" i="1"/>
  <c r="W877" i="1"/>
  <c r="W868" i="1"/>
  <c r="W862" i="1"/>
  <c r="X857" i="1"/>
  <c r="W856" i="1"/>
  <c r="X849" i="1"/>
  <c r="W848" i="1"/>
  <c r="X845" i="1"/>
  <c r="W844" i="1"/>
  <c r="X841" i="1"/>
  <c r="W840" i="1"/>
  <c r="X832" i="1"/>
  <c r="W831" i="1"/>
  <c r="X828" i="1"/>
  <c r="W827" i="1"/>
  <c r="X817" i="1"/>
  <c r="W816" i="1"/>
  <c r="X813" i="1"/>
  <c r="W812" i="1"/>
  <c r="X806" i="1"/>
  <c r="W805" i="1"/>
  <c r="X797" i="1"/>
  <c r="X795" i="1"/>
  <c r="X790" i="1"/>
  <c r="X736" i="1"/>
  <c r="X688" i="1"/>
  <c r="W652" i="1"/>
  <c r="W468" i="1"/>
  <c r="AS296" i="28" s="1"/>
  <c r="W317" i="1"/>
  <c r="W65" i="1"/>
  <c r="X61" i="1"/>
  <c r="BB750" i="1"/>
  <c r="BD750" i="1" s="1"/>
  <c r="BB731" i="1"/>
  <c r="BD731" i="1" s="1"/>
  <c r="BK596" i="1"/>
  <c r="X596" i="1"/>
  <c r="BK576" i="1"/>
  <c r="X576" i="1"/>
  <c r="BK556" i="1"/>
  <c r="X556" i="1"/>
  <c r="BK548" i="1"/>
  <c r="X548" i="1"/>
  <c r="BK496" i="1"/>
  <c r="X496" i="1"/>
  <c r="BK472" i="1"/>
  <c r="X472" i="1"/>
  <c r="BK460" i="1"/>
  <c r="W460" i="1"/>
  <c r="BK452" i="1"/>
  <c r="W452" i="1"/>
  <c r="BK400" i="1"/>
  <c r="W400" i="1"/>
  <c r="X400" i="1"/>
  <c r="BK376" i="1"/>
  <c r="X376" i="1"/>
  <c r="AS231" i="28" s="1"/>
  <c r="BK372" i="1"/>
  <c r="X372" i="1"/>
  <c r="BK341" i="1"/>
  <c r="X341" i="1"/>
  <c r="W341" i="1"/>
  <c r="BK337" i="1"/>
  <c r="W337" i="1"/>
  <c r="BK333" i="1"/>
  <c r="X333" i="1"/>
  <c r="W333" i="1"/>
  <c r="BK329" i="1"/>
  <c r="W329" i="1"/>
  <c r="X325" i="1"/>
  <c r="W325" i="1"/>
  <c r="W321" i="1"/>
  <c r="X321" i="1"/>
  <c r="W313" i="1"/>
  <c r="X313" i="1"/>
  <c r="AS209" i="28" s="1"/>
  <c r="W305" i="1"/>
  <c r="X305" i="1"/>
  <c r="W297" i="1"/>
  <c r="AS198" i="28" s="1"/>
  <c r="X297" i="1"/>
  <c r="BK289" i="1"/>
  <c r="W289" i="1"/>
  <c r="BK285" i="1"/>
  <c r="W285" i="1"/>
  <c r="X285" i="1"/>
  <c r="BK281" i="1"/>
  <c r="X281" i="1"/>
  <c r="W281" i="1"/>
  <c r="BK277" i="1"/>
  <c r="X277" i="1"/>
  <c r="BK273" i="1"/>
  <c r="W273" i="1"/>
  <c r="BK269" i="1"/>
  <c r="W269" i="1"/>
  <c r="X269" i="1"/>
  <c r="BK265" i="1"/>
  <c r="X265" i="1"/>
  <c r="W265" i="1"/>
  <c r="BK261" i="1"/>
  <c r="X261" i="1"/>
  <c r="BK257" i="1"/>
  <c r="W257" i="1"/>
  <c r="BK253" i="1"/>
  <c r="W253" i="1"/>
  <c r="X253" i="1"/>
  <c r="BK249" i="1"/>
  <c r="X249" i="1"/>
  <c r="W249" i="1"/>
  <c r="BK245" i="1"/>
  <c r="X245" i="1"/>
  <c r="BK241" i="1"/>
  <c r="W241" i="1"/>
  <c r="BK237" i="1"/>
  <c r="W237" i="1"/>
  <c r="X237" i="1"/>
  <c r="BK233" i="1"/>
  <c r="X233" i="1"/>
  <c r="W233" i="1"/>
  <c r="BK229" i="1"/>
  <c r="X229" i="1"/>
  <c r="BK225" i="1"/>
  <c r="W225" i="1"/>
  <c r="BK221" i="1"/>
  <c r="W221" i="1"/>
  <c r="X221" i="1"/>
  <c r="BK217" i="1"/>
  <c r="X217" i="1"/>
  <c r="W217" i="1"/>
  <c r="BK213" i="1"/>
  <c r="X213" i="1"/>
  <c r="BK209" i="1"/>
  <c r="W209" i="1"/>
  <c r="AS135" i="28" s="1"/>
  <c r="BK205" i="1"/>
  <c r="W205" i="1"/>
  <c r="X205" i="1"/>
  <c r="BK201" i="1"/>
  <c r="X201" i="1"/>
  <c r="AS126" i="28" s="1"/>
  <c r="W201" i="1"/>
  <c r="AS127" i="28" s="1"/>
  <c r="BK197" i="1"/>
  <c r="X197" i="1"/>
  <c r="BK193" i="1"/>
  <c r="W193" i="1"/>
  <c r="BK189" i="1"/>
  <c r="W189" i="1"/>
  <c r="AS116" i="28" s="1"/>
  <c r="X189" i="1"/>
  <c r="BK185" i="1"/>
  <c r="X185" i="1"/>
  <c r="W185" i="1"/>
  <c r="BK181" i="1"/>
  <c r="X181" i="1"/>
  <c r="BK177" i="1"/>
  <c r="W177" i="1"/>
  <c r="BK173" i="1"/>
  <c r="W173" i="1"/>
  <c r="X173" i="1"/>
  <c r="BK169" i="1"/>
  <c r="X169" i="1"/>
  <c r="W169" i="1"/>
  <c r="BK165" i="1"/>
  <c r="X165" i="1"/>
  <c r="BK161" i="1"/>
  <c r="W161" i="1"/>
  <c r="W157" i="1"/>
  <c r="X157" i="1"/>
  <c r="BK153" i="1"/>
  <c r="X153" i="1"/>
  <c r="W153" i="1"/>
  <c r="BK149" i="1"/>
  <c r="X149" i="1"/>
  <c r="BK145" i="1"/>
  <c r="W145" i="1"/>
  <c r="BK141" i="1"/>
  <c r="W141" i="1"/>
  <c r="X141" i="1"/>
  <c r="BK137" i="1"/>
  <c r="X137" i="1"/>
  <c r="W137" i="1"/>
  <c r="BK133" i="1"/>
  <c r="X133" i="1"/>
  <c r="BK129" i="1"/>
  <c r="W129" i="1"/>
  <c r="W125" i="1"/>
  <c r="X125" i="1"/>
  <c r="BK121" i="1"/>
  <c r="X121" i="1"/>
  <c r="W121" i="1"/>
  <c r="BK109" i="1"/>
  <c r="W109" i="1"/>
  <c r="X109" i="1"/>
  <c r="BK101" i="1"/>
  <c r="X101" i="1"/>
  <c r="W101" i="1"/>
  <c r="BK73" i="1"/>
  <c r="W73" i="1"/>
  <c r="X73" i="1"/>
  <c r="X69" i="1"/>
  <c r="W69" i="1"/>
  <c r="W57" i="1"/>
  <c r="AS33" i="28" s="1"/>
  <c r="X57" i="1"/>
  <c r="BK53" i="1"/>
  <c r="X53" i="1"/>
  <c r="W53" i="1"/>
  <c r="BK49" i="1"/>
  <c r="X49" i="1"/>
  <c r="BK45" i="1"/>
  <c r="W45" i="1"/>
  <c r="BK41" i="1"/>
  <c r="W41" i="1"/>
  <c r="X41" i="1"/>
  <c r="BK37" i="1"/>
  <c r="X37" i="1"/>
  <c r="BK33" i="1"/>
  <c r="X33" i="1"/>
  <c r="BK29" i="1"/>
  <c r="X29" i="1"/>
  <c r="BK25" i="1"/>
  <c r="X25" i="1"/>
  <c r="BK21" i="1"/>
  <c r="W21" i="1"/>
  <c r="BK644" i="1"/>
  <c r="X644" i="1"/>
  <c r="BK588" i="1"/>
  <c r="X588" i="1"/>
  <c r="BK584" i="1"/>
  <c r="X584" i="1"/>
  <c r="BK580" i="1"/>
  <c r="X580" i="1"/>
  <c r="BK564" i="1"/>
  <c r="X564" i="1"/>
  <c r="BK532" i="1"/>
  <c r="X532" i="1"/>
  <c r="BK528" i="1"/>
  <c r="X528" i="1"/>
  <c r="BK516" i="1"/>
  <c r="X516" i="1"/>
  <c r="BK512" i="1"/>
  <c r="X512" i="1"/>
  <c r="BK484" i="1"/>
  <c r="X484" i="1"/>
  <c r="BK476" i="1"/>
  <c r="X476" i="1"/>
  <c r="BK428" i="1"/>
  <c r="W428" i="1"/>
  <c r="X428" i="1"/>
  <c r="BK424" i="1"/>
  <c r="X424" i="1"/>
  <c r="BK412" i="1"/>
  <c r="X412" i="1"/>
  <c r="BK408" i="1"/>
  <c r="W408" i="1"/>
  <c r="X408" i="1"/>
  <c r="BK388" i="1"/>
  <c r="X388" i="1"/>
  <c r="W388" i="1"/>
  <c r="W1025" i="1"/>
  <c r="X1013" i="1"/>
  <c r="W977" i="1"/>
  <c r="W973" i="1"/>
  <c r="X969" i="1"/>
  <c r="W921" i="1"/>
  <c r="W901" i="1"/>
  <c r="W885" i="1"/>
  <c r="W881" i="1"/>
  <c r="X867" i="1"/>
  <c r="X861" i="1"/>
  <c r="W860" i="1"/>
  <c r="W858" i="1"/>
  <c r="X855" i="1"/>
  <c r="W854" i="1"/>
  <c r="X847" i="1"/>
  <c r="W846" i="1"/>
  <c r="X843" i="1"/>
  <c r="W842" i="1"/>
  <c r="X839" i="1"/>
  <c r="W838" i="1"/>
  <c r="X835" i="1"/>
  <c r="W833" i="1"/>
  <c r="X830" i="1"/>
  <c r="W829" i="1"/>
  <c r="X826" i="1"/>
  <c r="W818" i="1"/>
  <c r="X815" i="1"/>
  <c r="W814" i="1"/>
  <c r="X811" i="1"/>
  <c r="W807" i="1"/>
  <c r="X804" i="1"/>
  <c r="X799" i="1"/>
  <c r="W798" i="1"/>
  <c r="W791" i="1"/>
  <c r="X784" i="1"/>
  <c r="W700" i="1"/>
  <c r="W668" i="1"/>
  <c r="X660" i="1"/>
  <c r="X636" i="1"/>
  <c r="X628" i="1"/>
  <c r="X624" i="1"/>
  <c r="X620" i="1"/>
  <c r="X616" i="1"/>
  <c r="X612" i="1"/>
  <c r="X608" i="1"/>
  <c r="W588" i="1"/>
  <c r="W556" i="1"/>
  <c r="W524" i="1"/>
  <c r="AS328" i="28" s="1"/>
  <c r="W492" i="1"/>
  <c r="AS311" i="28" s="1"/>
  <c r="W476" i="1"/>
  <c r="X329" i="1"/>
  <c r="W301" i="1"/>
  <c r="W89" i="1"/>
  <c r="W49" i="1"/>
  <c r="X45" i="1"/>
  <c r="AS25" i="28" s="1"/>
  <c r="BK692" i="1"/>
  <c r="W692" i="1"/>
  <c r="BK676" i="1"/>
  <c r="W676" i="1"/>
  <c r="BK604" i="1"/>
  <c r="X604" i="1"/>
  <c r="BK572" i="1"/>
  <c r="X572" i="1"/>
  <c r="BK568" i="1"/>
  <c r="X568" i="1"/>
  <c r="BK544" i="1"/>
  <c r="X544" i="1"/>
  <c r="BK540" i="1"/>
  <c r="X540" i="1"/>
  <c r="BK536" i="1"/>
  <c r="X536" i="1"/>
  <c r="BK508" i="1"/>
  <c r="X508" i="1"/>
  <c r="BK504" i="1"/>
  <c r="X504" i="1"/>
  <c r="BK500" i="1"/>
  <c r="X500" i="1"/>
  <c r="BK464" i="1"/>
  <c r="X464" i="1"/>
  <c r="AS292" i="28" s="1"/>
  <c r="BK456" i="1"/>
  <c r="X456" i="1"/>
  <c r="BK440" i="1"/>
  <c r="W440" i="1"/>
  <c r="X1029" i="1"/>
  <c r="X957" i="1"/>
  <c r="X933" i="1"/>
  <c r="X877" i="1"/>
  <c r="X868" i="1"/>
  <c r="W867" i="1"/>
  <c r="X864" i="1"/>
  <c r="X862" i="1"/>
  <c r="X856" i="1"/>
  <c r="W855" i="1"/>
  <c r="X848" i="1"/>
  <c r="X844" i="1"/>
  <c r="X840" i="1"/>
  <c r="W830" i="1"/>
  <c r="X827" i="1"/>
  <c r="W826" i="1"/>
  <c r="AS69" i="28" s="1"/>
  <c r="X816" i="1"/>
  <c r="W815" i="1"/>
  <c r="X812" i="1"/>
  <c r="W811" i="1"/>
  <c r="W808" i="1"/>
  <c r="X805" i="1"/>
  <c r="W804" i="1"/>
  <c r="W799" i="1"/>
  <c r="W784" i="1"/>
  <c r="W704" i="1"/>
  <c r="X692" i="1"/>
  <c r="W660" i="1"/>
  <c r="X652" i="1"/>
  <c r="AS397" i="28" s="1"/>
  <c r="W636" i="1"/>
  <c r="W628" i="1"/>
  <c r="W624" i="1"/>
  <c r="W620" i="1"/>
  <c r="W616" i="1"/>
  <c r="W612" i="1"/>
  <c r="W608" i="1"/>
  <c r="W592" i="1"/>
  <c r="W576" i="1"/>
  <c r="AS354" i="28" s="1"/>
  <c r="W560" i="1"/>
  <c r="AS348" i="28" s="1"/>
  <c r="W544" i="1"/>
  <c r="W528" i="1"/>
  <c r="W512" i="1"/>
  <c r="W496" i="1"/>
  <c r="W480" i="1"/>
  <c r="W464" i="1"/>
  <c r="AS295" i="28" s="1"/>
  <c r="W456" i="1"/>
  <c r="W448" i="1"/>
  <c r="AS284" i="28" s="1"/>
  <c r="W293" i="1"/>
  <c r="X289" i="1"/>
  <c r="W261" i="1"/>
  <c r="X257" i="1"/>
  <c r="W229" i="1"/>
  <c r="X225" i="1"/>
  <c r="W197" i="1"/>
  <c r="X193" i="1"/>
  <c r="W165" i="1"/>
  <c r="X161" i="1"/>
  <c r="W133" i="1"/>
  <c r="X129" i="1"/>
  <c r="W93" i="1"/>
  <c r="AS54" i="28" s="1"/>
  <c r="X998" i="1"/>
  <c r="X990" i="1"/>
  <c r="BA12" i="1"/>
  <c r="BK864" i="1"/>
  <c r="BK447" i="1"/>
  <c r="BK99" i="1"/>
  <c r="AZ12" i="1"/>
  <c r="BK795" i="1"/>
  <c r="BK653" i="1"/>
  <c r="BK808" i="1"/>
  <c r="BK459" i="1"/>
  <c r="BK871" i="1"/>
  <c r="BK463" i="1"/>
  <c r="BK936" i="1"/>
  <c r="BK716" i="1"/>
  <c r="BK694" i="1"/>
  <c r="BK730" i="1"/>
  <c r="BK732" i="1"/>
  <c r="BK714" i="1"/>
  <c r="BK666" i="1"/>
  <c r="BK872" i="1"/>
  <c r="BK767" i="1"/>
  <c r="BK740" i="1"/>
  <c r="BK678" i="1"/>
  <c r="BK368" i="1"/>
  <c r="BK451" i="1"/>
  <c r="BK645" i="1"/>
  <c r="BK455" i="1"/>
  <c r="BK797" i="1"/>
  <c r="BK661" i="1"/>
  <c r="BK665" i="1"/>
  <c r="BK662" i="1"/>
  <c r="BK433" i="1"/>
  <c r="BA913" i="1"/>
  <c r="BG747" i="1"/>
  <c r="BA753" i="1"/>
  <c r="BG742" i="1"/>
  <c r="BK893" i="1"/>
  <c r="W893" i="1"/>
  <c r="X859" i="1"/>
  <c r="W859" i="1"/>
  <c r="X810" i="1"/>
  <c r="W810" i="1"/>
  <c r="BK802" i="1"/>
  <c r="W802" i="1"/>
  <c r="X802" i="1"/>
  <c r="BK801" i="1"/>
  <c r="W801" i="1"/>
  <c r="BK794" i="1"/>
  <c r="X794" i="1"/>
  <c r="BK735" i="1"/>
  <c r="X735" i="1"/>
  <c r="BK684" i="1"/>
  <c r="W684" i="1"/>
  <c r="BK674" i="1"/>
  <c r="X674" i="1"/>
  <c r="BK670" i="1"/>
  <c r="X670" i="1"/>
  <c r="BK632" i="1"/>
  <c r="X632" i="1"/>
  <c r="W632" i="1"/>
  <c r="X906" i="1"/>
  <c r="W873" i="1"/>
  <c r="X871" i="1"/>
  <c r="W714" i="1"/>
  <c r="W670" i="1"/>
  <c r="W354" i="1"/>
  <c r="X198" i="1"/>
  <c r="W114" i="1"/>
  <c r="X67" i="1"/>
  <c r="BK941" i="1"/>
  <c r="X941" i="1"/>
  <c r="BK937" i="1"/>
  <c r="W937" i="1"/>
  <c r="BK923" i="1"/>
  <c r="W923" i="1"/>
  <c r="X851" i="1"/>
  <c r="W851" i="1"/>
  <c r="BK793" i="1"/>
  <c r="X793" i="1"/>
  <c r="W793" i="1"/>
  <c r="BK792" i="1"/>
  <c r="W792" i="1"/>
  <c r="X792" i="1"/>
  <c r="BK786" i="1"/>
  <c r="X785" i="1"/>
  <c r="W785" i="1"/>
  <c r="BK749" i="1"/>
  <c r="W749" i="1"/>
  <c r="X749" i="1"/>
  <c r="BK724" i="1"/>
  <c r="BK698" i="1"/>
  <c r="W698" i="1"/>
  <c r="X698" i="1"/>
  <c r="BK664" i="1"/>
  <c r="X664" i="1"/>
  <c r="BK648" i="1"/>
  <c r="X648" i="1"/>
  <c r="BK640" i="1"/>
  <c r="X640" i="1"/>
  <c r="W640" i="1"/>
  <c r="BK436" i="1"/>
  <c r="W436" i="1"/>
  <c r="BK426" i="1"/>
  <c r="W426" i="1"/>
  <c r="X426" i="1"/>
  <c r="BK420" i="1"/>
  <c r="X420" i="1"/>
  <c r="W420" i="1"/>
  <c r="BK410" i="1"/>
  <c r="X410" i="1"/>
  <c r="W396" i="1"/>
  <c r="X396" i="1"/>
  <c r="AS257" i="28" s="1"/>
  <c r="BK384" i="1"/>
  <c r="W384" i="1"/>
  <c r="X310" i="1"/>
  <c r="W310" i="1"/>
  <c r="AS202" i="28" s="1"/>
  <c r="BK290" i="1"/>
  <c r="X290" i="1"/>
  <c r="BK286" i="1"/>
  <c r="X286" i="1"/>
  <c r="AS187" i="28" s="1"/>
  <c r="W286" i="1"/>
  <c r="BK282" i="1"/>
  <c r="W282" i="1"/>
  <c r="X282" i="1"/>
  <c r="BK278" i="1"/>
  <c r="W278" i="1"/>
  <c r="BK262" i="1"/>
  <c r="W262" i="1"/>
  <c r="BK250" i="1"/>
  <c r="W250" i="1"/>
  <c r="X250" i="1"/>
  <c r="BK246" i="1"/>
  <c r="W246" i="1"/>
  <c r="BK234" i="1"/>
  <c r="W234" i="1"/>
  <c r="X234" i="1"/>
  <c r="AS148" i="28" s="1"/>
  <c r="BK230" i="1"/>
  <c r="W230" i="1"/>
  <c r="BK226" i="1"/>
  <c r="X226" i="1"/>
  <c r="BK222" i="1"/>
  <c r="X222" i="1"/>
  <c r="W222" i="1"/>
  <c r="BK218" i="1"/>
  <c r="W218" i="1"/>
  <c r="X218" i="1"/>
  <c r="BK214" i="1"/>
  <c r="W214" i="1"/>
  <c r="BK210" i="1"/>
  <c r="X210" i="1"/>
  <c r="BK166" i="1"/>
  <c r="W166" i="1"/>
  <c r="BK162" i="1"/>
  <c r="X162" i="1"/>
  <c r="BK158" i="1"/>
  <c r="X158" i="1"/>
  <c r="W158" i="1"/>
  <c r="BK138" i="1"/>
  <c r="W138" i="1"/>
  <c r="X138" i="1"/>
  <c r="BK134" i="1"/>
  <c r="W134" i="1"/>
  <c r="AS83" i="28" s="1"/>
  <c r="W122" i="1"/>
  <c r="AS76" i="28" s="1"/>
  <c r="X122" i="1"/>
  <c r="BK110" i="1"/>
  <c r="X110" i="1"/>
  <c r="W110" i="1"/>
  <c r="AS73" i="28" s="1"/>
  <c r="W107" i="1"/>
  <c r="X107" i="1"/>
  <c r="BK97" i="1"/>
  <c r="X97" i="1"/>
  <c r="AS64" i="28" s="1"/>
  <c r="X90" i="1"/>
  <c r="W90" i="1"/>
  <c r="X78" i="1"/>
  <c r="W78" i="1"/>
  <c r="BK74" i="1"/>
  <c r="W74" i="1"/>
  <c r="W71" i="1"/>
  <c r="X71" i="1"/>
  <c r="X59" i="1"/>
  <c r="AS35" i="28" s="1"/>
  <c r="W59" i="1"/>
  <c r="W55" i="1"/>
  <c r="AS27" i="28" s="1"/>
  <c r="X55" i="1"/>
  <c r="BK51" i="1"/>
  <c r="W51" i="1"/>
  <c r="BK47" i="1"/>
  <c r="X47" i="1"/>
  <c r="BK43" i="1"/>
  <c r="X43" i="1"/>
  <c r="W43" i="1"/>
  <c r="BK35" i="1"/>
  <c r="X35" i="1"/>
  <c r="W35" i="1"/>
  <c r="BK31" i="1"/>
  <c r="W31" i="1"/>
  <c r="AN913" i="1"/>
  <c r="BC913" i="1" s="1"/>
  <c r="AQ913" i="1"/>
  <c r="BK910" i="1"/>
  <c r="BK878" i="1"/>
  <c r="X878" i="1"/>
  <c r="W878" i="1"/>
  <c r="X803" i="1"/>
  <c r="W803" i="1"/>
  <c r="AS357" i="28" s="1"/>
  <c r="W769" i="1"/>
  <c r="X769" i="1"/>
  <c r="BK750" i="1"/>
  <c r="X750" i="1"/>
  <c r="W750" i="1"/>
  <c r="BB742" i="1"/>
  <c r="BD742" i="1" s="1"/>
  <c r="BK741" i="1"/>
  <c r="W741" i="1"/>
  <c r="X741" i="1"/>
  <c r="BK701" i="1"/>
  <c r="W701" i="1"/>
  <c r="BK423" i="1"/>
  <c r="X423" i="1"/>
  <c r="W423" i="1"/>
  <c r="BK398" i="1"/>
  <c r="X398" i="1"/>
  <c r="BK396" i="1"/>
  <c r="BK390" i="1"/>
  <c r="W390" i="1"/>
  <c r="BK387" i="1"/>
  <c r="X387" i="1"/>
  <c r="BK371" i="1"/>
  <c r="W371" i="1"/>
  <c r="BK364" i="1"/>
  <c r="X364" i="1"/>
  <c r="BK360" i="1"/>
  <c r="X360" i="1"/>
  <c r="W360" i="1"/>
  <c r="AS226" i="28" s="1"/>
  <c r="BK350" i="1"/>
  <c r="W350" i="1"/>
  <c r="X350" i="1"/>
  <c r="X326" i="1"/>
  <c r="W326" i="1"/>
  <c r="X318" i="1"/>
  <c r="W318" i="1"/>
  <c r="X314" i="1"/>
  <c r="W314" i="1"/>
  <c r="X294" i="1"/>
  <c r="W294" i="1"/>
  <c r="BK242" i="1"/>
  <c r="X242" i="1"/>
  <c r="W202" i="1"/>
  <c r="X202" i="1"/>
  <c r="BK154" i="1"/>
  <c r="W154" i="1"/>
  <c r="X154" i="1"/>
  <c r="BK150" i="1"/>
  <c r="W150" i="1"/>
  <c r="X893" i="1"/>
  <c r="W866" i="1"/>
  <c r="W786" i="1"/>
  <c r="W678" i="1"/>
  <c r="X436" i="1"/>
  <c r="X404" i="1"/>
  <c r="X390" i="1"/>
  <c r="W306" i="1"/>
  <c r="W290" i="1"/>
  <c r="X278" i="1"/>
  <c r="X246" i="1"/>
  <c r="AS156" i="28" s="1"/>
  <c r="W226" i="1"/>
  <c r="X214" i="1"/>
  <c r="W194" i="1"/>
  <c r="AS124" i="28" s="1"/>
  <c r="X182" i="1"/>
  <c r="W162" i="1"/>
  <c r="AS99" i="28" s="1"/>
  <c r="X150" i="1"/>
  <c r="W130" i="1"/>
  <c r="X118" i="1"/>
  <c r="W97" i="1"/>
  <c r="X94" i="1"/>
  <c r="X82" i="1"/>
  <c r="W63" i="1"/>
  <c r="X51" i="1"/>
  <c r="X900" i="1"/>
  <c r="W900" i="1"/>
  <c r="BK866" i="1"/>
  <c r="BK865" i="1"/>
  <c r="X865" i="1"/>
  <c r="W865" i="1"/>
  <c r="BK859" i="1"/>
  <c r="BK834" i="1"/>
  <c r="X834" i="1"/>
  <c r="BK810" i="1"/>
  <c r="BK809" i="1"/>
  <c r="W809" i="1"/>
  <c r="X809" i="1"/>
  <c r="BK800" i="1"/>
  <c r="X800" i="1"/>
  <c r="BK731" i="1"/>
  <c r="X731" i="1"/>
  <c r="BK713" i="1"/>
  <c r="X713" i="1"/>
  <c r="W713" i="1"/>
  <c r="W712" i="1"/>
  <c r="X712" i="1"/>
  <c r="BK711" i="1"/>
  <c r="W711" i="1"/>
  <c r="BK710" i="1"/>
  <c r="X710" i="1"/>
  <c r="BK691" i="1"/>
  <c r="X691" i="1"/>
  <c r="BK687" i="1"/>
  <c r="X687" i="1"/>
  <c r="BK656" i="1"/>
  <c r="W656" i="1"/>
  <c r="BK629" i="1"/>
  <c r="X629" i="1"/>
  <c r="BK442" i="1"/>
  <c r="X442" i="1"/>
  <c r="BK439" i="1"/>
  <c r="W439" i="1"/>
  <c r="AS276" i="28" s="1"/>
  <c r="X417" i="1"/>
  <c r="W417" i="1"/>
  <c r="BK407" i="1"/>
  <c r="W407" i="1"/>
  <c r="BK404" i="1"/>
  <c r="BK378" i="1"/>
  <c r="X378" i="1"/>
  <c r="BK374" i="1"/>
  <c r="W374" i="1"/>
  <c r="X374" i="1"/>
  <c r="BK356" i="1"/>
  <c r="W356" i="1"/>
  <c r="X356" i="1"/>
  <c r="BK346" i="1"/>
  <c r="X346" i="1"/>
  <c r="X302" i="1"/>
  <c r="W302" i="1"/>
  <c r="X298" i="1"/>
  <c r="W298" i="1"/>
  <c r="BK274" i="1"/>
  <c r="X274" i="1"/>
  <c r="BK270" i="1"/>
  <c r="X270" i="1"/>
  <c r="W270" i="1"/>
  <c r="BK266" i="1"/>
  <c r="W266" i="1"/>
  <c r="X266" i="1"/>
  <c r="AS179" i="28" s="1"/>
  <c r="BK258" i="1"/>
  <c r="X258" i="1"/>
  <c r="BK254" i="1"/>
  <c r="X254" i="1"/>
  <c r="AS163" i="28" s="1"/>
  <c r="W254" i="1"/>
  <c r="BK238" i="1"/>
  <c r="X238" i="1"/>
  <c r="W238" i="1"/>
  <c r="X206" i="1"/>
  <c r="W206" i="1"/>
  <c r="X190" i="1"/>
  <c r="W190" i="1"/>
  <c r="W186" i="1"/>
  <c r="X186" i="1"/>
  <c r="BK178" i="1"/>
  <c r="X178" i="1"/>
  <c r="BK174" i="1"/>
  <c r="X174" i="1"/>
  <c r="W174" i="1"/>
  <c r="BK170" i="1"/>
  <c r="W170" i="1"/>
  <c r="AS107" i="28" s="1"/>
  <c r="X170" i="1"/>
  <c r="BK146" i="1"/>
  <c r="X146" i="1"/>
  <c r="AS92" i="28" s="1"/>
  <c r="BK142" i="1"/>
  <c r="X142" i="1"/>
  <c r="W142" i="1"/>
  <c r="X126" i="1"/>
  <c r="W126" i="1"/>
  <c r="AS79" i="28" s="1"/>
  <c r="X910" i="1"/>
  <c r="W882" i="1"/>
  <c r="W834" i="1"/>
  <c r="X801" i="1"/>
  <c r="W794" i="1"/>
  <c r="AS305" i="28" s="1"/>
  <c r="W735" i="1"/>
  <c r="X681" i="1"/>
  <c r="W664" i="1"/>
  <c r="X656" i="1"/>
  <c r="W442" i="1"/>
  <c r="AS285" i="28" s="1"/>
  <c r="X439" i="1"/>
  <c r="W410" i="1"/>
  <c r="X407" i="1"/>
  <c r="X368" i="1"/>
  <c r="W100" i="1"/>
  <c r="X86" i="1"/>
  <c r="X74" i="1"/>
  <c r="X31" i="1"/>
  <c r="AN914" i="1"/>
  <c r="BC914" i="1" s="1"/>
  <c r="AQ914" i="1"/>
  <c r="W27" i="1"/>
  <c r="W19" i="1"/>
  <c r="W15" i="1"/>
  <c r="BA84" i="1"/>
  <c r="AZ883" i="1"/>
  <c r="BP732" i="1"/>
  <c r="BF894" i="1"/>
  <c r="BG891" i="1"/>
  <c r="BP870" i="1"/>
  <c r="BG901" i="1"/>
  <c r="BA703" i="1"/>
  <c r="BA701" i="1"/>
  <c r="BP724" i="1"/>
  <c r="BF1028" i="1"/>
  <c r="BF1025" i="1"/>
  <c r="BA1024" i="1"/>
  <c r="BA1017" i="1"/>
  <c r="AZ915" i="1"/>
  <c r="AT913" i="1"/>
  <c r="AU913" i="1" s="1"/>
  <c r="AZ778" i="1"/>
  <c r="BA41" i="1"/>
  <c r="BA38" i="1"/>
  <c r="AZ971" i="1"/>
  <c r="AZ947" i="1"/>
  <c r="AZ944" i="1"/>
  <c r="BP862" i="1"/>
  <c r="AZ780" i="1"/>
  <c r="BP780" i="1"/>
  <c r="BF903" i="1"/>
  <c r="W949" i="1"/>
  <c r="X943" i="1"/>
  <c r="X936" i="1"/>
  <c r="X767" i="1"/>
  <c r="W766" i="1"/>
  <c r="X763" i="1"/>
  <c r="W762" i="1"/>
  <c r="X759" i="1"/>
  <c r="W758" i="1"/>
  <c r="X739" i="1"/>
  <c r="X725" i="1"/>
  <c r="BF980" i="1"/>
  <c r="BA980" i="1"/>
  <c r="BK108" i="1"/>
  <c r="W108" i="1"/>
  <c r="X108" i="1"/>
  <c r="AP108" i="1"/>
  <c r="AZ108" i="1"/>
  <c r="BK105" i="1"/>
  <c r="W105" i="1"/>
  <c r="X105" i="1"/>
  <c r="BK102" i="1"/>
  <c r="X102" i="1"/>
  <c r="W92" i="1"/>
  <c r="X92" i="1"/>
  <c r="W88" i="1"/>
  <c r="X88" i="1"/>
  <c r="W81" i="1"/>
  <c r="X81" i="1"/>
  <c r="W77" i="1"/>
  <c r="AS43" i="28" s="1"/>
  <c r="X77" i="1"/>
  <c r="BK54" i="1"/>
  <c r="X54" i="1"/>
  <c r="AS28" i="28" s="1"/>
  <c r="BK46" i="1"/>
  <c r="X46" i="1"/>
  <c r="BK42" i="1"/>
  <c r="X42" i="1"/>
  <c r="BK39" i="1"/>
  <c r="W39" i="1"/>
  <c r="W36" i="1"/>
  <c r="X36" i="1"/>
  <c r="W32" i="1"/>
  <c r="X32" i="1"/>
  <c r="BK28" i="1"/>
  <c r="W28" i="1"/>
  <c r="X28" i="1"/>
  <c r="AS14" i="28" s="1"/>
  <c r="BK24" i="1"/>
  <c r="W24" i="1"/>
  <c r="X24" i="1"/>
  <c r="BK20" i="1"/>
  <c r="W20" i="1"/>
  <c r="X20" i="1"/>
  <c r="BK16" i="1"/>
  <c r="W16" i="1"/>
  <c r="X16" i="1"/>
  <c r="W943" i="1"/>
  <c r="X764" i="1"/>
  <c r="W763" i="1"/>
  <c r="X760" i="1"/>
  <c r="W759" i="1"/>
  <c r="X740" i="1"/>
  <c r="W739" i="1"/>
  <c r="X726" i="1"/>
  <c r="W725" i="1"/>
  <c r="X716" i="1"/>
  <c r="W663" i="1"/>
  <c r="AP983" i="1"/>
  <c r="BA983" i="1"/>
  <c r="BG882" i="1"/>
  <c r="AZ882" i="1"/>
  <c r="BK291" i="1"/>
  <c r="W291" i="1"/>
  <c r="AS182" i="28" s="1"/>
  <c r="BH291" i="1"/>
  <c r="BG291" i="1"/>
  <c r="BK287" i="1"/>
  <c r="W287" i="1"/>
  <c r="BK283" i="1"/>
  <c r="W283" i="1"/>
  <c r="BK279" i="1"/>
  <c r="W279" i="1"/>
  <c r="BK275" i="1"/>
  <c r="W275" i="1"/>
  <c r="BK271" i="1"/>
  <c r="W271" i="1"/>
  <c r="BK267" i="1"/>
  <c r="W267" i="1"/>
  <c r="AS172" i="28" s="1"/>
  <c r="BK263" i="1"/>
  <c r="W263" i="1"/>
  <c r="BK259" i="1"/>
  <c r="W259" i="1"/>
  <c r="BK255" i="1"/>
  <c r="W255" i="1"/>
  <c r="BK251" i="1"/>
  <c r="W251" i="1"/>
  <c r="AS159" i="28" s="1"/>
  <c r="BK247" i="1"/>
  <c r="W247" i="1"/>
  <c r="BK243" i="1"/>
  <c r="W243" i="1"/>
  <c r="BK239" i="1"/>
  <c r="W239" i="1"/>
  <c r="BK235" i="1"/>
  <c r="W235" i="1"/>
  <c r="AS149" i="28" s="1"/>
  <c r="BK231" i="1"/>
  <c r="W231" i="1"/>
  <c r="BK227" i="1"/>
  <c r="W227" i="1"/>
  <c r="BK223" i="1"/>
  <c r="W223" i="1"/>
  <c r="AS138" i="28" s="1"/>
  <c r="BK219" i="1"/>
  <c r="W219" i="1"/>
  <c r="AS144" i="28" s="1"/>
  <c r="BK215" i="1"/>
  <c r="W215" i="1"/>
  <c r="BK211" i="1"/>
  <c r="W211" i="1"/>
  <c r="BK207" i="1"/>
  <c r="W207" i="1"/>
  <c r="BK203" i="1"/>
  <c r="W203" i="1"/>
  <c r="AS129" i="28" s="1"/>
  <c r="BK199" i="1"/>
  <c r="W199" i="1"/>
  <c r="AS131" i="28" s="1"/>
  <c r="BK195" i="1"/>
  <c r="W195" i="1"/>
  <c r="BK191" i="1"/>
  <c r="W191" i="1"/>
  <c r="BK187" i="1"/>
  <c r="W187" i="1"/>
  <c r="AS118" i="28" s="1"/>
  <c r="BK183" i="1"/>
  <c r="W183" i="1"/>
  <c r="BK179" i="1"/>
  <c r="W179" i="1"/>
  <c r="BK175" i="1"/>
  <c r="W175" i="1"/>
  <c r="BK171" i="1"/>
  <c r="W171" i="1"/>
  <c r="BK167" i="1"/>
  <c r="W167" i="1"/>
  <c r="BK163" i="1"/>
  <c r="W163" i="1"/>
  <c r="AS104" i="28" s="1"/>
  <c r="BK159" i="1"/>
  <c r="W159" i="1"/>
  <c r="BK151" i="1"/>
  <c r="W151" i="1"/>
  <c r="BK147" i="1"/>
  <c r="W147" i="1"/>
  <c r="BK143" i="1"/>
  <c r="W143" i="1"/>
  <c r="BK139" i="1"/>
  <c r="W139" i="1"/>
  <c r="BK135" i="1"/>
  <c r="W135" i="1"/>
  <c r="AS85" i="28" s="1"/>
  <c r="BK131" i="1"/>
  <c r="W131" i="1"/>
  <c r="BK127" i="1"/>
  <c r="W127" i="1"/>
  <c r="AS74" i="28" s="1"/>
  <c r="BK123" i="1"/>
  <c r="W123" i="1"/>
  <c r="BK115" i="1"/>
  <c r="W115" i="1"/>
  <c r="W929" i="1"/>
  <c r="W764" i="1"/>
  <c r="W760" i="1"/>
  <c r="X757" i="1"/>
  <c r="X743" i="1"/>
  <c r="X727" i="1"/>
  <c r="W726" i="1"/>
  <c r="X697" i="1"/>
  <c r="X683" i="1"/>
  <c r="X680" i="1"/>
  <c r="BH927" i="1"/>
  <c r="AZ927" i="1"/>
  <c r="BA882" i="1"/>
  <c r="BK342" i="1"/>
  <c r="X342" i="1"/>
  <c r="BF342" i="1"/>
  <c r="BH342" i="1"/>
  <c r="BK338" i="1"/>
  <c r="X338" i="1"/>
  <c r="BK334" i="1"/>
  <c r="X334" i="1"/>
  <c r="BK330" i="1"/>
  <c r="X330" i="1"/>
  <c r="AP952" i="1"/>
  <c r="AZ952" i="1"/>
  <c r="BK438" i="1"/>
  <c r="X438" i="1"/>
  <c r="BK435" i="1"/>
  <c r="W435" i="1"/>
  <c r="AS272" i="28" s="1"/>
  <c r="BK432" i="1"/>
  <c r="W432" i="1"/>
  <c r="X432" i="1"/>
  <c r="AS268" i="28" s="1"/>
  <c r="W429" i="1"/>
  <c r="X429" i="1"/>
  <c r="BK422" i="1"/>
  <c r="X422" i="1"/>
  <c r="BK419" i="1"/>
  <c r="W419" i="1"/>
  <c r="BK416" i="1"/>
  <c r="W416" i="1"/>
  <c r="X416" i="1"/>
  <c r="W413" i="1"/>
  <c r="X413" i="1"/>
  <c r="BK406" i="1"/>
  <c r="X406" i="1"/>
  <c r="BK403" i="1"/>
  <c r="W403" i="1"/>
  <c r="W401" i="1"/>
  <c r="AS248" i="28" s="1"/>
  <c r="X401" i="1"/>
  <c r="BK395" i="1"/>
  <c r="W395" i="1"/>
  <c r="W392" i="1"/>
  <c r="X392" i="1"/>
  <c r="BK389" i="1"/>
  <c r="W389" i="1"/>
  <c r="X389" i="1"/>
  <c r="AS241" i="28" s="1"/>
  <c r="BK383" i="1"/>
  <c r="W383" i="1"/>
  <c r="W380" i="1"/>
  <c r="X380" i="1"/>
  <c r="BK377" i="1"/>
  <c r="W377" i="1"/>
  <c r="X377" i="1"/>
  <c r="BK373" i="1"/>
  <c r="W373" i="1"/>
  <c r="X373" i="1"/>
  <c r="BK370" i="1"/>
  <c r="X370" i="1"/>
  <c r="BK367" i="1"/>
  <c r="W367" i="1"/>
  <c r="BK363" i="1"/>
  <c r="W363" i="1"/>
  <c r="BK359" i="1"/>
  <c r="W359" i="1"/>
  <c r="BK353" i="1"/>
  <c r="W353" i="1"/>
  <c r="X353" i="1"/>
  <c r="BK349" i="1"/>
  <c r="W349" i="1"/>
  <c r="X349" i="1"/>
  <c r="BK345" i="1"/>
  <c r="W345" i="1"/>
  <c r="X345" i="1"/>
  <c r="BP767" i="1"/>
  <c r="AT943" i="1"/>
  <c r="AU943" i="1" s="1"/>
  <c r="AZ772" i="1"/>
  <c r="AN944" i="1"/>
  <c r="BH50" i="1"/>
  <c r="BF43" i="1"/>
  <c r="AP903" i="1"/>
  <c r="BP772" i="1"/>
  <c r="BA360" i="1"/>
  <c r="BF344" i="1"/>
  <c r="BA342" i="1"/>
  <c r="BG285" i="1"/>
  <c r="BG282" i="1"/>
  <c r="BH166" i="1"/>
  <c r="BH147" i="1"/>
  <c r="BH140" i="1"/>
  <c r="AP84" i="1"/>
  <c r="BG962" i="1"/>
  <c r="BF952" i="1"/>
  <c r="BF911" i="1"/>
  <c r="AZ766" i="1"/>
  <c r="BP716" i="1"/>
  <c r="BA353" i="1"/>
  <c r="BF181" i="1"/>
  <c r="BH174" i="1"/>
  <c r="BA167" i="1"/>
  <c r="BK1009" i="1"/>
  <c r="W1009" i="1"/>
  <c r="AP1009" i="1"/>
  <c r="BF1009" i="1"/>
  <c r="AQ924" i="1"/>
  <c r="AN924" i="1"/>
  <c r="BK909" i="1"/>
  <c r="W909" i="1"/>
  <c r="BK903" i="1"/>
  <c r="X903" i="1"/>
  <c r="BK796" i="1"/>
  <c r="X796" i="1"/>
  <c r="BK789" i="1"/>
  <c r="W789" i="1"/>
  <c r="BK788" i="1"/>
  <c r="X788" i="1"/>
  <c r="W787" i="1"/>
  <c r="AS246" i="28" s="1"/>
  <c r="X787" i="1"/>
  <c r="W782" i="1"/>
  <c r="AS196" i="28" s="1"/>
  <c r="X782" i="1"/>
  <c r="W746" i="1"/>
  <c r="X746" i="1"/>
  <c r="BK745" i="1"/>
  <c r="W745" i="1"/>
  <c r="BK1016" i="1"/>
  <c r="X1016" i="1"/>
  <c r="AP1004" i="1"/>
  <c r="BA1004" i="1"/>
  <c r="BK889" i="1"/>
  <c r="W889" i="1"/>
  <c r="BK886" i="1"/>
  <c r="X886" i="1"/>
  <c r="BK825" i="1"/>
  <c r="W825" i="1"/>
  <c r="X825" i="1"/>
  <c r="BK824" i="1"/>
  <c r="W824" i="1"/>
  <c r="BK823" i="1"/>
  <c r="X823" i="1"/>
  <c r="BK822" i="1"/>
  <c r="W822" i="1"/>
  <c r="X822" i="1"/>
  <c r="BK821" i="1"/>
  <c r="W821" i="1"/>
  <c r="X821" i="1"/>
  <c r="BK820" i="1"/>
  <c r="W820" i="1"/>
  <c r="BK875" i="1"/>
  <c r="X875" i="1"/>
  <c r="BK819" i="1"/>
  <c r="W819" i="1"/>
  <c r="X819" i="1"/>
  <c r="BK748" i="1"/>
  <c r="X748" i="1"/>
  <c r="AP984" i="1"/>
  <c r="BA984" i="1"/>
  <c r="BK981" i="1"/>
  <c r="W981" i="1"/>
  <c r="BK950" i="1"/>
  <c r="W950" i="1"/>
  <c r="BK925" i="1"/>
  <c r="X925" i="1"/>
  <c r="AQ919" i="1"/>
  <c r="AN919" i="1"/>
  <c r="BC919" i="1" s="1"/>
  <c r="AN901" i="1"/>
  <c r="BB901" i="1" s="1"/>
  <c r="AQ901" i="1"/>
  <c r="W853" i="1"/>
  <c r="X853" i="1"/>
  <c r="BK852" i="1"/>
  <c r="W852" i="1"/>
  <c r="BK850" i="1"/>
  <c r="W850" i="1"/>
  <c r="X850" i="1"/>
  <c r="W837" i="1"/>
  <c r="X837" i="1"/>
  <c r="BK836" i="1"/>
  <c r="W836" i="1"/>
  <c r="AP757" i="1"/>
  <c r="AZ757" i="1"/>
  <c r="BK756" i="1"/>
  <c r="X756" i="1"/>
  <c r="BK755" i="1"/>
  <c r="W755" i="1"/>
  <c r="X755" i="1"/>
  <c r="BK754" i="1"/>
  <c r="W754" i="1"/>
  <c r="X754" i="1"/>
  <c r="BG970" i="1"/>
  <c r="BA970" i="1"/>
  <c r="BK940" i="1"/>
  <c r="X940" i="1"/>
  <c r="AZ920" i="1"/>
  <c r="AP920" i="1"/>
  <c r="BK902" i="1"/>
  <c r="W902" i="1"/>
  <c r="BA902" i="1"/>
  <c r="AZ902" i="1"/>
  <c r="W870" i="1"/>
  <c r="X870" i="1"/>
  <c r="W869" i="1"/>
  <c r="X869" i="1"/>
  <c r="BK863" i="1"/>
  <c r="X863" i="1"/>
  <c r="AP773" i="1"/>
  <c r="AZ773" i="1"/>
  <c r="W771" i="1"/>
  <c r="X771" i="1"/>
  <c r="BK770" i="1"/>
  <c r="W770" i="1"/>
  <c r="X770" i="1"/>
  <c r="BK768" i="1"/>
  <c r="X768" i="1"/>
  <c r="BF70" i="1"/>
  <c r="BA29" i="1"/>
  <c r="X742" i="1"/>
  <c r="X734" i="1"/>
  <c r="W733" i="1"/>
  <c r="X730" i="1"/>
  <c r="W729" i="1"/>
  <c r="W705" i="1"/>
  <c r="W697" i="1"/>
  <c r="X694" i="1"/>
  <c r="W681" i="1"/>
  <c r="AN1009" i="1"/>
  <c r="BB1009" i="1" s="1"/>
  <c r="AN1006" i="1"/>
  <c r="AQ985" i="1"/>
  <c r="BA971" i="1"/>
  <c r="AP971" i="1"/>
  <c r="BG915" i="1"/>
  <c r="AP915" i="1"/>
  <c r="BG883" i="1"/>
  <c r="AP883" i="1"/>
  <c r="BP773" i="1"/>
  <c r="BP771" i="1"/>
  <c r="BB748" i="1"/>
  <c r="BD748" i="1" s="1"/>
  <c r="BG715" i="1"/>
  <c r="AZ660" i="1"/>
  <c r="AZ627" i="1"/>
  <c r="BA440" i="1"/>
  <c r="BA291" i="1"/>
  <c r="BG284" i="1"/>
  <c r="BH195" i="1"/>
  <c r="BF185" i="1"/>
  <c r="BA179" i="1"/>
  <c r="BA140" i="1"/>
  <c r="W742" i="1"/>
  <c r="W734" i="1"/>
  <c r="X723" i="1"/>
  <c r="X715" i="1"/>
  <c r="AN949" i="1"/>
  <c r="BC949" i="1" s="1"/>
  <c r="BG947" i="1"/>
  <c r="AP947" i="1"/>
  <c r="AT903" i="1"/>
  <c r="AU903" i="1" s="1"/>
  <c r="AN891" i="1"/>
  <c r="BB891" i="1" s="1"/>
  <c r="W723" i="1"/>
  <c r="W715" i="1"/>
  <c r="X708" i="1"/>
  <c r="W691" i="1"/>
  <c r="W687" i="1"/>
  <c r="X684" i="1"/>
  <c r="BA1003" i="1"/>
  <c r="AT900" i="1"/>
  <c r="AU900" i="1" s="1"/>
  <c r="AT754" i="1"/>
  <c r="BA693" i="1"/>
  <c r="AZ659" i="1"/>
  <c r="AZ628" i="1"/>
  <c r="BA385" i="1"/>
  <c r="BA366" i="1"/>
  <c r="BG290" i="1"/>
  <c r="BG287" i="1"/>
  <c r="BF208" i="1"/>
  <c r="BH194" i="1"/>
  <c r="BH178" i="1"/>
  <c r="BH162" i="1"/>
  <c r="BF151" i="1"/>
  <c r="BF124" i="1"/>
  <c r="AZ100" i="1"/>
  <c r="AZ98" i="1"/>
  <c r="BF68" i="1"/>
  <c r="AQ902" i="1"/>
  <c r="BA895" i="1"/>
  <c r="AQ884" i="1"/>
  <c r="AQ882" i="1"/>
  <c r="BP854" i="1"/>
  <c r="AZ762" i="1"/>
  <c r="BA715" i="1"/>
  <c r="BG670" i="1"/>
  <c r="AZ631" i="1"/>
  <c r="BF147" i="1"/>
  <c r="BH144" i="1"/>
  <c r="BH87" i="1"/>
  <c r="BA70" i="1"/>
  <c r="BA68" i="1"/>
  <c r="BF47" i="1"/>
  <c r="BA36" i="1"/>
  <c r="BA33" i="1"/>
  <c r="BF960" i="1"/>
  <c r="AP933" i="1"/>
  <c r="AN932" i="1"/>
  <c r="BC932" i="1" s="1"/>
  <c r="AN929" i="1"/>
  <c r="BC929" i="1" s="1"/>
  <c r="AT928" i="1"/>
  <c r="BG911" i="1"/>
  <c r="AP911" i="1"/>
  <c r="AN910" i="1"/>
  <c r="BC910" i="1" s="1"/>
  <c r="AT901" i="1"/>
  <c r="BG899" i="1"/>
  <c r="AT892" i="1"/>
  <c r="BI892" i="1" s="1"/>
  <c r="BF785" i="1"/>
  <c r="BF780" i="1"/>
  <c r="AP780" i="1"/>
  <c r="AT760" i="1"/>
  <c r="AT759" i="1"/>
  <c r="AT758" i="1"/>
  <c r="BI758" i="1" s="1"/>
  <c r="BP757" i="1"/>
  <c r="BP753" i="1"/>
  <c r="AT748" i="1"/>
  <c r="BG687" i="1"/>
  <c r="BG672" i="1"/>
  <c r="BF639" i="1"/>
  <c r="BF628" i="1"/>
  <c r="BF627" i="1"/>
  <c r="AZ626" i="1"/>
  <c r="BF440" i="1"/>
  <c r="AP440" i="1"/>
  <c r="BA424" i="1"/>
  <c r="BG422" i="1"/>
  <c r="BA373" i="1"/>
  <c r="BA356" i="1"/>
  <c r="BA352" i="1"/>
  <c r="BA178" i="1"/>
  <c r="BA175" i="1"/>
  <c r="BF169" i="1"/>
  <c r="AZ167" i="1"/>
  <c r="BA162" i="1"/>
  <c r="BF159" i="1"/>
  <c r="BG134" i="1"/>
  <c r="BA131" i="1"/>
  <c r="AZ104" i="1"/>
  <c r="BA77" i="1"/>
  <c r="BH74" i="1"/>
  <c r="BG753" i="1"/>
  <c r="AP753" i="1"/>
  <c r="AT713" i="1"/>
  <c r="AU713" i="1" s="1"/>
  <c r="AT711" i="1"/>
  <c r="BI711" i="1" s="1"/>
  <c r="BF360" i="1"/>
  <c r="AP360" i="1"/>
  <c r="AN1014" i="1"/>
  <c r="BB1014" i="1" s="1"/>
  <c r="AZ967" i="1"/>
  <c r="AT965" i="1"/>
  <c r="AU965" i="1" s="1"/>
  <c r="AT960" i="1"/>
  <c r="BF959" i="1"/>
  <c r="AN909" i="1"/>
  <c r="BG898" i="1"/>
  <c r="BG886" i="1"/>
  <c r="BF804" i="1"/>
  <c r="BF792" i="1"/>
  <c r="BF788" i="1"/>
  <c r="BA45" i="1"/>
  <c r="BH21" i="1"/>
  <c r="BF18" i="1"/>
  <c r="Z1025" i="1"/>
  <c r="AJ1025" i="1" s="1"/>
  <c r="Z1017" i="1"/>
  <c r="AJ1017" i="1" s="1"/>
  <c r="AQ1024" i="1"/>
  <c r="AQ927" i="1"/>
  <c r="AQ879" i="1"/>
  <c r="BF878" i="1"/>
  <c r="AZ869" i="1"/>
  <c r="AZ861" i="1"/>
  <c r="AZ857" i="1"/>
  <c r="AP739" i="1"/>
  <c r="BA739" i="1"/>
  <c r="Y965" i="1"/>
  <c r="Z957" i="1"/>
  <c r="AJ957" i="1" s="1"/>
  <c r="Z941" i="1"/>
  <c r="BA1037" i="1"/>
  <c r="BA1035" i="1"/>
  <c r="BF1015" i="1"/>
  <c r="BA1013" i="1"/>
  <c r="AN1013" i="1"/>
  <c r="BB1013" i="1" s="1"/>
  <c r="BF1011" i="1"/>
  <c r="AQ984" i="1"/>
  <c r="BF983" i="1"/>
  <c r="AQ983" i="1"/>
  <c r="BA982" i="1"/>
  <c r="AT976" i="1"/>
  <c r="AU976" i="1" s="1"/>
  <c r="BB968" i="1"/>
  <c r="BD968" i="1" s="1"/>
  <c r="BA959" i="1"/>
  <c r="AT957" i="1"/>
  <c r="AT952" i="1"/>
  <c r="AU952" i="1" s="1"/>
  <c r="AZ939" i="1"/>
  <c r="BG935" i="1"/>
  <c r="AT933" i="1"/>
  <c r="AU933" i="1" s="1"/>
  <c r="BF931" i="1"/>
  <c r="BA898" i="1"/>
  <c r="AZ895" i="1"/>
  <c r="AN895" i="1"/>
  <c r="AP893" i="1"/>
  <c r="AN892" i="1"/>
  <c r="BC892" i="1" s="1"/>
  <c r="BF887" i="1"/>
  <c r="AZ886" i="1"/>
  <c r="AN886" i="1"/>
  <c r="BC886" i="1" s="1"/>
  <c r="AZ873" i="1"/>
  <c r="BF809" i="1"/>
  <c r="BP785" i="1"/>
  <c r="BP784" i="1"/>
  <c r="AZ781" i="1"/>
  <c r="AT876" i="1"/>
  <c r="AU876" i="1" s="1"/>
  <c r="BG749" i="1"/>
  <c r="BA749" i="1"/>
  <c r="AP747" i="1"/>
  <c r="BF747" i="1"/>
  <c r="AT746" i="1"/>
  <c r="AN743" i="1"/>
  <c r="BC743" i="1" s="1"/>
  <c r="AP768" i="1"/>
  <c r="AZ768" i="1"/>
  <c r="AP729" i="1"/>
  <c r="BG729" i="1"/>
  <c r="BG723" i="1"/>
  <c r="AP723" i="1"/>
  <c r="BF723" i="1"/>
  <c r="BA1036" i="1"/>
  <c r="AN1029" i="1"/>
  <c r="BB1029" i="1" s="1"/>
  <c r="BA1025" i="1"/>
  <c r="AT1024" i="1"/>
  <c r="BF999" i="1"/>
  <c r="BF988" i="1"/>
  <c r="AT986" i="1"/>
  <c r="AU986" i="1" s="1"/>
  <c r="BA967" i="1"/>
  <c r="AP967" i="1"/>
  <c r="BF966" i="1"/>
  <c r="AT964" i="1"/>
  <c r="AU964" i="1" s="1"/>
  <c r="AN963" i="1"/>
  <c r="BB963" i="1" s="1"/>
  <c r="AN961" i="1"/>
  <c r="AZ938" i="1"/>
  <c r="BG930" i="1"/>
  <c r="AN912" i="1"/>
  <c r="AN900" i="1"/>
  <c r="AP896" i="1"/>
  <c r="BF895" i="1"/>
  <c r="AN889" i="1"/>
  <c r="AT888" i="1"/>
  <c r="BI888" i="1" s="1"/>
  <c r="BP866" i="1"/>
  <c r="BP858" i="1"/>
  <c r="BF826" i="1"/>
  <c r="BP826" i="1"/>
  <c r="BF800" i="1"/>
  <c r="BF796" i="1"/>
  <c r="AZ777" i="1"/>
  <c r="AP776" i="1"/>
  <c r="BP776" i="1"/>
  <c r="AP761" i="1"/>
  <c r="AZ761" i="1"/>
  <c r="AP756" i="1"/>
  <c r="BP756" i="1"/>
  <c r="BF31" i="1"/>
  <c r="AT730" i="1"/>
  <c r="AT721" i="1"/>
  <c r="AU721" i="1" s="1"/>
  <c r="AT719" i="1"/>
  <c r="AU719" i="1" s="1"/>
  <c r="BF703" i="1"/>
  <c r="AP703" i="1"/>
  <c r="BA672" i="1"/>
  <c r="BA668" i="1"/>
  <c r="AZ651" i="1"/>
  <c r="AZ632" i="1"/>
  <c r="BG443" i="1"/>
  <c r="BG435" i="1"/>
  <c r="BG427" i="1"/>
  <c r="BA405" i="1"/>
  <c r="BG375" i="1"/>
  <c r="BA364" i="1"/>
  <c r="BA362" i="1"/>
  <c r="BA358" i="1"/>
  <c r="AZ208" i="1"/>
  <c r="BF197" i="1"/>
  <c r="BA183" i="1"/>
  <c r="AZ181" i="1"/>
  <c r="AZ179" i="1"/>
  <c r="BF157" i="1"/>
  <c r="BA155" i="1"/>
  <c r="BA129" i="1"/>
  <c r="BA117" i="1"/>
  <c r="BA92" i="1"/>
  <c r="BG89" i="1"/>
  <c r="BA82" i="1"/>
  <c r="BH71" i="1"/>
  <c r="BH29" i="1"/>
  <c r="BF12" i="1"/>
  <c r="BP781" i="1"/>
  <c r="AT766" i="1"/>
  <c r="BI766" i="1" s="1"/>
  <c r="AT765" i="1"/>
  <c r="AT732" i="1"/>
  <c r="AT714" i="1"/>
  <c r="AU714" i="1" s="1"/>
  <c r="BF701" i="1"/>
  <c r="AP701" i="1"/>
  <c r="BG691" i="1"/>
  <c r="BG683" i="1"/>
  <c r="BG675" i="1"/>
  <c r="BA671" i="1"/>
  <c r="AZ667" i="1"/>
  <c r="AZ652" i="1"/>
  <c r="AZ643" i="1"/>
  <c r="BF631" i="1"/>
  <c r="BA436" i="1"/>
  <c r="BG431" i="1"/>
  <c r="BA389" i="1"/>
  <c r="BG382" i="1"/>
  <c r="BA363" i="1"/>
  <c r="BF346" i="1"/>
  <c r="BA303" i="1"/>
  <c r="BG301" i="1"/>
  <c r="BG292" i="1"/>
  <c r="BH190" i="1"/>
  <c r="BA187" i="1"/>
  <c r="BA166" i="1"/>
  <c r="BA163" i="1"/>
  <c r="BH156" i="1"/>
  <c r="BH136" i="1"/>
  <c r="BF122" i="1"/>
  <c r="AZ96" i="1"/>
  <c r="BF66" i="1"/>
  <c r="BA51" i="1"/>
  <c r="BA44" i="1"/>
  <c r="BA42" i="1"/>
  <c r="BH40" i="1"/>
  <c r="BA30" i="1"/>
  <c r="AZ29" i="1"/>
  <c r="BF26" i="1"/>
  <c r="BA23" i="1"/>
  <c r="AT1038" i="1"/>
  <c r="AU1038" i="1" s="1"/>
  <c r="AQ1037" i="1"/>
  <c r="AT1036" i="1"/>
  <c r="BA1029" i="1"/>
  <c r="BA1028" i="1"/>
  <c r="BA1011" i="1"/>
  <c r="BA1009" i="1"/>
  <c r="BA996" i="1"/>
  <c r="BF987" i="1"/>
  <c r="AT962" i="1"/>
  <c r="AU962" i="1" s="1"/>
  <c r="BA961" i="1"/>
  <c r="AQ960" i="1"/>
  <c r="BA945" i="1"/>
  <c r="BA931" i="1"/>
  <c r="BG926" i="1"/>
  <c r="BG918" i="1"/>
  <c r="BF899" i="1"/>
  <c r="AT896" i="1"/>
  <c r="AU896" i="1" s="1"/>
  <c r="Z976" i="1"/>
  <c r="AI976" i="1" s="1"/>
  <c r="BF1039" i="1"/>
  <c r="BF1036" i="1"/>
  <c r="AQ1036" i="1"/>
  <c r="BF1035" i="1"/>
  <c r="AQ1035" i="1"/>
  <c r="AN1033" i="1"/>
  <c r="BB1033" i="1" s="1"/>
  <c r="AN1030" i="1"/>
  <c r="BB1030" i="1" s="1"/>
  <c r="AN1027" i="1"/>
  <c r="BF1004" i="1"/>
  <c r="AQ1004" i="1"/>
  <c r="BF1003" i="1"/>
  <c r="AQ1003" i="1"/>
  <c r="BA1002" i="1"/>
  <c r="AN1002" i="1"/>
  <c r="BB1002" i="1" s="1"/>
  <c r="AN997" i="1"/>
  <c r="BB997" i="1" s="1"/>
  <c r="BA992" i="1"/>
  <c r="AN986" i="1"/>
  <c r="AQ968" i="1"/>
  <c r="AP960" i="1"/>
  <c r="BB957" i="1"/>
  <c r="BD957" i="1" s="1"/>
  <c r="AQ957" i="1"/>
  <c r="BG950" i="1"/>
  <c r="AN950" i="1"/>
  <c r="BC950" i="1" s="1"/>
  <c r="BG941" i="1"/>
  <c r="AN941" i="1"/>
  <c r="BG939" i="1"/>
  <c r="AP939" i="1"/>
  <c r="BA938" i="1"/>
  <c r="AQ938" i="1"/>
  <c r="BA937" i="1"/>
  <c r="AT935" i="1"/>
  <c r="AU935" i="1" s="1"/>
  <c r="BG922" i="1"/>
  <c r="AN922" i="1"/>
  <c r="BC922" i="1" s="1"/>
  <c r="AQ916" i="1"/>
  <c r="BA889" i="1"/>
  <c r="AT880" i="1"/>
  <c r="AU880" i="1" s="1"/>
  <c r="BP868" i="1"/>
  <c r="AZ865" i="1"/>
  <c r="BF812" i="1"/>
  <c r="AZ787" i="1"/>
  <c r="AZ764" i="1"/>
  <c r="AZ755" i="1"/>
  <c r="BP755" i="1"/>
  <c r="BA725" i="1"/>
  <c r="BP725" i="1"/>
  <c r="AT724" i="1"/>
  <c r="BI724" i="1" s="1"/>
  <c r="AT716" i="1"/>
  <c r="BI716" i="1" s="1"/>
  <c r="BA705" i="1"/>
  <c r="BG679" i="1"/>
  <c r="Y1028" i="1"/>
  <c r="AG1028" i="1" s="1"/>
  <c r="Z972" i="1"/>
  <c r="AI972" i="1" s="1"/>
  <c r="AN1038" i="1"/>
  <c r="BB1038" i="1" s="1"/>
  <c r="AN1019" i="1"/>
  <c r="BB1019" i="1" s="1"/>
  <c r="BF1017" i="1"/>
  <c r="AQ1017" i="1"/>
  <c r="AN1005" i="1"/>
  <c r="BB1005" i="1" s="1"/>
  <c r="AN980" i="1"/>
  <c r="BF971" i="1"/>
  <c r="AP957" i="1"/>
  <c r="AN942" i="1"/>
  <c r="BC942" i="1" s="1"/>
  <c r="AN923" i="1"/>
  <c r="AT920" i="1"/>
  <c r="AT911" i="1"/>
  <c r="AU911" i="1" s="1"/>
  <c r="AT899" i="1"/>
  <c r="AU899" i="1" s="1"/>
  <c r="AT893" i="1"/>
  <c r="AN890" i="1"/>
  <c r="BG885" i="1"/>
  <c r="AN885" i="1"/>
  <c r="BC885" i="1" s="1"/>
  <c r="BG877" i="1"/>
  <c r="BF873" i="1"/>
  <c r="AP869" i="1"/>
  <c r="AP861" i="1"/>
  <c r="BF808" i="1"/>
  <c r="BB773" i="1"/>
  <c r="BD773" i="1" s="1"/>
  <c r="AT770" i="1"/>
  <c r="AU770" i="1" s="1"/>
  <c r="AT769" i="1"/>
  <c r="BI769" i="1" s="1"/>
  <c r="BP768" i="1"/>
  <c r="AT764" i="1"/>
  <c r="BP761" i="1"/>
  <c r="AT756" i="1"/>
  <c r="AU756" i="1" s="1"/>
  <c r="BP752" i="1"/>
  <c r="BG745" i="1"/>
  <c r="AT743" i="1"/>
  <c r="AU743" i="1" s="1"/>
  <c r="BF737" i="1"/>
  <c r="BF729" i="1"/>
  <c r="BF715" i="1"/>
  <c r="BP712" i="1"/>
  <c r="BF687" i="1"/>
  <c r="BG686" i="1"/>
  <c r="BF672" i="1"/>
  <c r="AP672" i="1"/>
  <c r="BF671" i="1"/>
  <c r="AP671" i="1"/>
  <c r="BG668" i="1"/>
  <c r="AZ644" i="1"/>
  <c r="AT877" i="1"/>
  <c r="AP857" i="1"/>
  <c r="BP777" i="1"/>
  <c r="BB756" i="1"/>
  <c r="BD756" i="1" s="1"/>
  <c r="AT753" i="1"/>
  <c r="BI753" i="1" s="1"/>
  <c r="AN753" i="1"/>
  <c r="BC753" i="1" s="1"/>
  <c r="AT752" i="1"/>
  <c r="AU752" i="1" s="1"/>
  <c r="BP744" i="1"/>
  <c r="BP720" i="1"/>
  <c r="BF668" i="1"/>
  <c r="AP668" i="1"/>
  <c r="BF667" i="1"/>
  <c r="AP667" i="1"/>
  <c r="BF660" i="1"/>
  <c r="AP660" i="1"/>
  <c r="BF659" i="1"/>
  <c r="AP659" i="1"/>
  <c r="BF652" i="1"/>
  <c r="AP652" i="1"/>
  <c r="BF651" i="1"/>
  <c r="AP651" i="1"/>
  <c r="BH17" i="1"/>
  <c r="BF14" i="1"/>
  <c r="BG439" i="1"/>
  <c r="BA432" i="1"/>
  <c r="BG430" i="1"/>
  <c r="BA428" i="1"/>
  <c r="BG398" i="1"/>
  <c r="BA393" i="1"/>
  <c r="BA359" i="1"/>
  <c r="BF348" i="1"/>
  <c r="BG296" i="1"/>
  <c r="BG288" i="1"/>
  <c r="BG283" i="1"/>
  <c r="BF191" i="1"/>
  <c r="BF189" i="1"/>
  <c r="BH182" i="1"/>
  <c r="BF165" i="1"/>
  <c r="BH158" i="1"/>
  <c r="BA157" i="1"/>
  <c r="BA151" i="1"/>
  <c r="BH148" i="1"/>
  <c r="BA136" i="1"/>
  <c r="AZ110" i="1"/>
  <c r="AZ106" i="1"/>
  <c r="AZ102" i="1"/>
  <c r="BA93" i="1"/>
  <c r="BA91" i="1"/>
  <c r="BH83" i="1"/>
  <c r="BA81" i="1"/>
  <c r="BH69" i="1"/>
  <c r="BH65" i="1"/>
  <c r="BA49" i="1"/>
  <c r="AZ33" i="1"/>
  <c r="BF443" i="1"/>
  <c r="BA381" i="1"/>
  <c r="BG373" i="1"/>
  <c r="AP373" i="1"/>
  <c r="BA361" i="1"/>
  <c r="BA354" i="1"/>
  <c r="BF352" i="1"/>
  <c r="AP352" i="1"/>
  <c r="BF340" i="1"/>
  <c r="BG300" i="1"/>
  <c r="BG293" i="1"/>
  <c r="BA290" i="1"/>
  <c r="BH206" i="1"/>
  <c r="BA203" i="1"/>
  <c r="AZ197" i="1"/>
  <c r="BF193" i="1"/>
  <c r="BH186" i="1"/>
  <c r="BA174" i="1"/>
  <c r="AZ155" i="1"/>
  <c r="BH152" i="1"/>
  <c r="BF128" i="1"/>
  <c r="BA123" i="1"/>
  <c r="BA121" i="1"/>
  <c r="BF112" i="1"/>
  <c r="BA88" i="1"/>
  <c r="AZ44" i="1"/>
  <c r="AZ41" i="1"/>
  <c r="BF39" i="1"/>
  <c r="BH34" i="1"/>
  <c r="BF436" i="1"/>
  <c r="AP436" i="1"/>
  <c r="BF364" i="1"/>
  <c r="AP364" i="1"/>
  <c r="BF363" i="1"/>
  <c r="AP363" i="1"/>
  <c r="BF356" i="1"/>
  <c r="AP356" i="1"/>
  <c r="BH157" i="1"/>
  <c r="BA24" i="1"/>
  <c r="BF22" i="1"/>
  <c r="BH13" i="1"/>
  <c r="BH648" i="1"/>
  <c r="AZ648" i="1"/>
  <c r="BA1039" i="1"/>
  <c r="BA1032" i="1"/>
  <c r="AT1031" i="1"/>
  <c r="BF1023" i="1"/>
  <c r="BA1021" i="1"/>
  <c r="BA1019" i="1"/>
  <c r="AT1012" i="1"/>
  <c r="AQ1011" i="1"/>
  <c r="BF1007" i="1"/>
  <c r="BA1005" i="1"/>
  <c r="BA999" i="1"/>
  <c r="AT991" i="1"/>
  <c r="AU991" i="1" s="1"/>
  <c r="BA990" i="1"/>
  <c r="BA987" i="1"/>
  <c r="BF976" i="1"/>
  <c r="AT973" i="1"/>
  <c r="AU973" i="1" s="1"/>
  <c r="AT969" i="1"/>
  <c r="AU969" i="1" s="1"/>
  <c r="AZ966" i="1"/>
  <c r="BG954" i="1"/>
  <c r="BG949" i="1"/>
  <c r="AZ934" i="1"/>
  <c r="AQ931" i="1"/>
  <c r="AT925" i="1"/>
  <c r="BG917" i="1"/>
  <c r="AQ915" i="1"/>
  <c r="BG909" i="1"/>
  <c r="BG907" i="1"/>
  <c r="BG890" i="1"/>
  <c r="BA881" i="1"/>
  <c r="AZ878" i="1"/>
  <c r="BP860" i="1"/>
  <c r="BF813" i="1"/>
  <c r="BF805" i="1"/>
  <c r="BF801" i="1"/>
  <c r="BP788" i="1"/>
  <c r="BB772" i="1"/>
  <c r="BD772" i="1" s="1"/>
  <c r="BP770" i="1"/>
  <c r="BP760" i="1"/>
  <c r="BF745" i="1"/>
  <c r="BA737" i="1"/>
  <c r="AT736" i="1"/>
  <c r="BI736" i="1" s="1"/>
  <c r="AT722" i="1"/>
  <c r="BF721" i="1"/>
  <c r="BG698" i="1"/>
  <c r="BA695" i="1"/>
  <c r="BG690" i="1"/>
  <c r="BG688" i="1"/>
  <c r="BA681" i="1"/>
  <c r="BG676" i="1"/>
  <c r="BF675" i="1"/>
  <c r="BG674" i="1"/>
  <c r="BA670" i="1"/>
  <c r="AZ663" i="1"/>
  <c r="AZ656" i="1"/>
  <c r="BH655" i="1"/>
  <c r="AZ655" i="1"/>
  <c r="BH635" i="1"/>
  <c r="AP635" i="1"/>
  <c r="BF635" i="1"/>
  <c r="W1039" i="1"/>
  <c r="W1030" i="1"/>
  <c r="Z1005" i="1"/>
  <c r="AJ1005" i="1" s="1"/>
  <c r="W984" i="1"/>
  <c r="Z933" i="1"/>
  <c r="BA1040" i="1"/>
  <c r="BA1033" i="1"/>
  <c r="BA1027" i="1"/>
  <c r="AQ1025" i="1"/>
  <c r="AT1016" i="1"/>
  <c r="AU1016" i="1" s="1"/>
  <c r="AT1014" i="1"/>
  <c r="BA1000" i="1"/>
  <c r="AT992" i="1"/>
  <c r="AU992" i="1" s="1"/>
  <c r="BA988" i="1"/>
  <c r="BB974" i="1"/>
  <c r="BD974" i="1" s="1"/>
  <c r="AZ970" i="1"/>
  <c r="BG967" i="1"/>
  <c r="BA963" i="1"/>
  <c r="BA962" i="1"/>
  <c r="BF958" i="1"/>
  <c r="AZ950" i="1"/>
  <c r="AQ948" i="1"/>
  <c r="AT945" i="1"/>
  <c r="BF926" i="1"/>
  <c r="AZ912" i="1"/>
  <c r="BA899" i="1"/>
  <c r="AT887" i="1"/>
  <c r="AQ877" i="1"/>
  <c r="BP864" i="1"/>
  <c r="BF797" i="1"/>
  <c r="BF793" i="1"/>
  <c r="BF787" i="1"/>
  <c r="BP778" i="1"/>
  <c r="AZ774" i="1"/>
  <c r="BB769" i="1"/>
  <c r="BD769" i="1" s="1"/>
  <c r="BP766" i="1"/>
  <c r="BB757" i="1"/>
  <c r="BD757" i="1" s="1"/>
  <c r="BP749" i="1"/>
  <c r="BP740" i="1"/>
  <c r="BA731" i="1"/>
  <c r="BG727" i="1"/>
  <c r="BA709" i="1"/>
  <c r="BF679" i="1"/>
  <c r="BG678" i="1"/>
  <c r="X1032" i="1"/>
  <c r="Y1009" i="1"/>
  <c r="AG1009" i="1" s="1"/>
  <c r="W1007" i="1"/>
  <c r="X976" i="1"/>
  <c r="X974" i="1"/>
  <c r="W968" i="1"/>
  <c r="X934" i="1"/>
  <c r="W927" i="1"/>
  <c r="X919" i="1"/>
  <c r="BF1031" i="1"/>
  <c r="AT1023" i="1"/>
  <c r="AU1023" i="1" s="1"/>
  <c r="BA1020" i="1"/>
  <c r="BA1015" i="1"/>
  <c r="BF1012" i="1"/>
  <c r="BA1008" i="1"/>
  <c r="AN1001" i="1"/>
  <c r="BF996" i="1"/>
  <c r="AQ996" i="1"/>
  <c r="BF995" i="1"/>
  <c r="AQ992" i="1"/>
  <c r="BF991" i="1"/>
  <c r="BF979" i="1"/>
  <c r="AN979" i="1"/>
  <c r="BC979" i="1" s="1"/>
  <c r="AZ975" i="1"/>
  <c r="AN975" i="1"/>
  <c r="BC975" i="1" s="1"/>
  <c r="BG971" i="1"/>
  <c r="BF967" i="1"/>
  <c r="AT967" i="1"/>
  <c r="AZ959" i="1"/>
  <c r="AN959" i="1"/>
  <c r="BA953" i="1"/>
  <c r="AQ945" i="1"/>
  <c r="BB936" i="1"/>
  <c r="BD936" i="1" s="1"/>
  <c r="AT932" i="1"/>
  <c r="BA930" i="1"/>
  <c r="AT924" i="1"/>
  <c r="BA921" i="1"/>
  <c r="AN921" i="1"/>
  <c r="AZ918" i="1"/>
  <c r="AT917" i="1"/>
  <c r="AZ906" i="1"/>
  <c r="BF904" i="1"/>
  <c r="AN904" i="1"/>
  <c r="BC904" i="1" s="1"/>
  <c r="BG903" i="1"/>
  <c r="AN897" i="1"/>
  <c r="BC897" i="1" s="1"/>
  <c r="AQ888" i="1"/>
  <c r="AT881" i="1"/>
  <c r="AU881" i="1" s="1"/>
  <c r="AP865" i="1"/>
  <c r="BP856" i="1"/>
  <c r="AT855" i="1"/>
  <c r="AU855" i="1" s="1"/>
  <c r="AZ783" i="1"/>
  <c r="BP783" i="1"/>
  <c r="AN783" i="1"/>
  <c r="BF781" i="1"/>
  <c r="AP781" i="1"/>
  <c r="AT772" i="1"/>
  <c r="AU772" i="1" s="1"/>
  <c r="AZ771" i="1"/>
  <c r="AZ769" i="1"/>
  <c r="BP765" i="1"/>
  <c r="BP762" i="1"/>
  <c r="AT761" i="1"/>
  <c r="BI761" i="1" s="1"/>
  <c r="AZ758" i="1"/>
  <c r="BB749" i="1"/>
  <c r="BD749" i="1" s="1"/>
  <c r="AP749" i="1"/>
  <c r="AT740" i="1"/>
  <c r="BI740" i="1" s="1"/>
  <c r="BG737" i="1"/>
  <c r="BA729" i="1"/>
  <c r="AT728" i="1"/>
  <c r="AU728" i="1" s="1"/>
  <c r="AT727" i="1"/>
  <c r="AU727" i="1" s="1"/>
  <c r="BA717" i="1"/>
  <c r="BF713" i="1"/>
  <c r="BA707" i="1"/>
  <c r="BA689" i="1"/>
  <c r="BG684" i="1"/>
  <c r="BF683" i="1"/>
  <c r="BG682" i="1"/>
  <c r="BG680" i="1"/>
  <c r="BA673" i="1"/>
  <c r="BA669" i="1"/>
  <c r="AZ664" i="1"/>
  <c r="AZ647" i="1"/>
  <c r="BF644" i="1"/>
  <c r="AP644" i="1"/>
  <c r="BF643" i="1"/>
  <c r="AP643" i="1"/>
  <c r="AZ640" i="1"/>
  <c r="BH636" i="1"/>
  <c r="AP636" i="1"/>
  <c r="BF636" i="1"/>
  <c r="BG434" i="1"/>
  <c r="BF431" i="1"/>
  <c r="BG387" i="1"/>
  <c r="BG385" i="1"/>
  <c r="AP385" i="1"/>
  <c r="BA377" i="1"/>
  <c r="BG374" i="1"/>
  <c r="BA369" i="1"/>
  <c r="BF359" i="1"/>
  <c r="AP359" i="1"/>
  <c r="BH346" i="1"/>
  <c r="AZ355" i="1"/>
  <c r="AP355" i="1"/>
  <c r="BF355" i="1"/>
  <c r="BA304" i="1"/>
  <c r="BG304" i="1"/>
  <c r="BA444" i="1"/>
  <c r="BF427" i="1"/>
  <c r="BA416" i="1"/>
  <c r="BG414" i="1"/>
  <c r="BG393" i="1"/>
  <c r="AP393" i="1"/>
  <c r="BG370" i="1"/>
  <c r="BG367" i="1"/>
  <c r="BA355" i="1"/>
  <c r="BA350" i="1"/>
  <c r="AZ349" i="1"/>
  <c r="BA349" i="1"/>
  <c r="BA346" i="1"/>
  <c r="BA306" i="1"/>
  <c r="BG306" i="1"/>
  <c r="BG294" i="1"/>
  <c r="BA365" i="1"/>
  <c r="BA357" i="1"/>
  <c r="BA308" i="1"/>
  <c r="BG308" i="1"/>
  <c r="BH295" i="1"/>
  <c r="BG295" i="1"/>
  <c r="BF155" i="1"/>
  <c r="BG131" i="1"/>
  <c r="BF100" i="1"/>
  <c r="BG92" i="1"/>
  <c r="AP92" i="1"/>
  <c r="BH91" i="1"/>
  <c r="AP91" i="1"/>
  <c r="BG88" i="1"/>
  <c r="AP88" i="1"/>
  <c r="BH77" i="1"/>
  <c r="AZ40" i="1"/>
  <c r="BF27" i="1"/>
  <c r="AZ23" i="1"/>
  <c r="BF163" i="1"/>
  <c r="BF131" i="1"/>
  <c r="BF104" i="1"/>
  <c r="AP98" i="1"/>
  <c r="BG82" i="1"/>
  <c r="AP82" i="1"/>
  <c r="BG77" i="1"/>
  <c r="AP77" i="1"/>
  <c r="BH36" i="1"/>
  <c r="BG208" i="1"/>
  <c r="BF201" i="1"/>
  <c r="AZ193" i="1"/>
  <c r="AZ185" i="1"/>
  <c r="AZ183" i="1"/>
  <c r="BA182" i="1"/>
  <c r="BF177" i="1"/>
  <c r="AZ175" i="1"/>
  <c r="BH170" i="1"/>
  <c r="AZ163" i="1"/>
  <c r="BA152" i="1"/>
  <c r="BA144" i="1"/>
  <c r="AZ123" i="1"/>
  <c r="BF109" i="1"/>
  <c r="BF105" i="1"/>
  <c r="AP102" i="1"/>
  <c r="BA94" i="1"/>
  <c r="BA80" i="1"/>
  <c r="BA75" i="1"/>
  <c r="BA74" i="1"/>
  <c r="BH72" i="1"/>
  <c r="AZ49" i="1"/>
  <c r="BA37" i="1"/>
  <c r="AZ36" i="1"/>
  <c r="BA20" i="1"/>
  <c r="BA16" i="1"/>
  <c r="AZ14" i="1"/>
  <c r="BA13" i="1"/>
  <c r="AF1012" i="1"/>
  <c r="AH1012" i="1"/>
  <c r="AF996" i="1"/>
  <c r="AH996" i="1"/>
  <c r="AF988" i="1"/>
  <c r="AH988" i="1"/>
  <c r="AF980" i="1"/>
  <c r="AH980" i="1"/>
  <c r="AF976" i="1"/>
  <c r="AH976" i="1"/>
  <c r="AF968" i="1"/>
  <c r="AH968" i="1"/>
  <c r="AF956" i="1"/>
  <c r="AH956" i="1"/>
  <c r="AF1025" i="1"/>
  <c r="AG1025" i="1"/>
  <c r="AH1025" i="1"/>
  <c r="AF985" i="1"/>
  <c r="AH985" i="1"/>
  <c r="AG985" i="1"/>
  <c r="AF961" i="1"/>
  <c r="AH961" i="1"/>
  <c r="AG961" i="1"/>
  <c r="Y904" i="1"/>
  <c r="AF904" i="1" s="1"/>
  <c r="Z885" i="1"/>
  <c r="AK885" i="1" s="1"/>
  <c r="Z877" i="1"/>
  <c r="AP888" i="1"/>
  <c r="AN883" i="1"/>
  <c r="BC883" i="1" s="1"/>
  <c r="AQ883" i="1"/>
  <c r="AN880" i="1"/>
  <c r="AQ880" i="1"/>
  <c r="BH879" i="1"/>
  <c r="AP879" i="1"/>
  <c r="BG879" i="1"/>
  <c r="BA879" i="1"/>
  <c r="BK861" i="1"/>
  <c r="BF859" i="1"/>
  <c r="AP859" i="1"/>
  <c r="Z1033" i="1"/>
  <c r="AK1033" i="1" s="1"/>
  <c r="Z1021" i="1"/>
  <c r="AK1021" i="1" s="1"/>
  <c r="Z988" i="1"/>
  <c r="AJ988" i="1" s="1"/>
  <c r="Y964" i="1"/>
  <c r="AG964" i="1" s="1"/>
  <c r="Z960" i="1"/>
  <c r="AI960" i="1" s="1"/>
  <c r="Z956" i="1"/>
  <c r="AI956" i="1" s="1"/>
  <c r="Y952" i="1"/>
  <c r="AH952" i="1" s="1"/>
  <c r="Z937" i="1"/>
  <c r="AI937" i="1" s="1"/>
  <c r="Z936" i="1"/>
  <c r="AK936" i="1" s="1"/>
  <c r="Y920" i="1"/>
  <c r="AF920" i="1" s="1"/>
  <c r="Y870" i="1"/>
  <c r="AG870" i="1" s="1"/>
  <c r="AT1040" i="1"/>
  <c r="AU1040" i="1" s="1"/>
  <c r="AT1039" i="1"/>
  <c r="AU1039" i="1" s="1"/>
  <c r="AT1032" i="1"/>
  <c r="BA1023" i="1"/>
  <c r="AT1022" i="1"/>
  <c r="AU1022" i="1" s="1"/>
  <c r="AQ1021" i="1"/>
  <c r="AT1020" i="1"/>
  <c r="BA1016" i="1"/>
  <c r="AT1008" i="1"/>
  <c r="AU1008" i="1" s="1"/>
  <c r="AT1007" i="1"/>
  <c r="AU1007" i="1" s="1"/>
  <c r="AT1000" i="1"/>
  <c r="AT999" i="1"/>
  <c r="AU999" i="1" s="1"/>
  <c r="BA995" i="1"/>
  <c r="AT994" i="1"/>
  <c r="AU994" i="1" s="1"/>
  <c r="AQ993" i="1"/>
  <c r="AQ989" i="1"/>
  <c r="AT988" i="1"/>
  <c r="AU988" i="1" s="1"/>
  <c r="AT987" i="1"/>
  <c r="AU987" i="1" s="1"/>
  <c r="AQ981" i="1"/>
  <c r="AT980" i="1"/>
  <c r="AZ979" i="1"/>
  <c r="AT978" i="1"/>
  <c r="AU978" i="1" s="1"/>
  <c r="AQ973" i="1"/>
  <c r="AT971" i="1"/>
  <c r="AU971" i="1" s="1"/>
  <c r="AT970" i="1"/>
  <c r="AU970" i="1" s="1"/>
  <c r="AQ967" i="1"/>
  <c r="AT959" i="1"/>
  <c r="AU959" i="1" s="1"/>
  <c r="AZ958" i="1"/>
  <c r="AQ956" i="1"/>
  <c r="AQ955" i="1"/>
  <c r="AQ953" i="1"/>
  <c r="BK952" i="1"/>
  <c r="AQ951" i="1"/>
  <c r="AT949" i="1"/>
  <c r="AU949" i="1" s="1"/>
  <c r="AQ947" i="1"/>
  <c r="AQ946" i="1"/>
  <c r="BG943" i="1"/>
  <c r="AT936" i="1"/>
  <c r="AU936" i="1" s="1"/>
  <c r="BF935" i="1"/>
  <c r="AT930" i="1"/>
  <c r="AU930" i="1" s="1"/>
  <c r="BA929" i="1"/>
  <c r="BG925" i="1"/>
  <c r="AZ922" i="1"/>
  <c r="AQ917" i="1"/>
  <c r="AT912" i="1"/>
  <c r="AU912" i="1" s="1"/>
  <c r="AQ911" i="1"/>
  <c r="AT909" i="1"/>
  <c r="AU909" i="1" s="1"/>
  <c r="BF907" i="1"/>
  <c r="AT907" i="1"/>
  <c r="AU907" i="1" s="1"/>
  <c r="AT905" i="1"/>
  <c r="AT904" i="1"/>
  <c r="AU904" i="1" s="1"/>
  <c r="AQ899" i="1"/>
  <c r="AT895" i="1"/>
  <c r="AU895" i="1" s="1"/>
  <c r="AN887" i="1"/>
  <c r="AQ887" i="1"/>
  <c r="BF863" i="1"/>
  <c r="AP863" i="1"/>
  <c r="AZ859" i="1"/>
  <c r="Z1037" i="1"/>
  <c r="AK1037" i="1" s="1"/>
  <c r="Z1012" i="1"/>
  <c r="Z996" i="1"/>
  <c r="AI996" i="1" s="1"/>
  <c r="Z993" i="1"/>
  <c r="AK993" i="1" s="1"/>
  <c r="Y989" i="1"/>
  <c r="AF989" i="1" s="1"/>
  <c r="Z985" i="1"/>
  <c r="AJ985" i="1" s="1"/>
  <c r="Z980" i="1"/>
  <c r="AI980" i="1" s="1"/>
  <c r="Z968" i="1"/>
  <c r="AI968" i="1" s="1"/>
  <c r="Z961" i="1"/>
  <c r="AJ961" i="1" s="1"/>
  <c r="Z953" i="1"/>
  <c r="AK953" i="1" s="1"/>
  <c r="Z944" i="1"/>
  <c r="AJ944" i="1" s="1"/>
  <c r="Y924" i="1"/>
  <c r="AF924" i="1" s="1"/>
  <c r="Z912" i="1"/>
  <c r="AI912" i="1" s="1"/>
  <c r="Z901" i="1"/>
  <c r="AQ1040" i="1"/>
  <c r="BF1033" i="1"/>
  <c r="BA1031" i="1"/>
  <c r="AT1030" i="1"/>
  <c r="AU1030" i="1" s="1"/>
  <c r="AT1028" i="1"/>
  <c r="AU1028" i="1" s="1"/>
  <c r="BF1027" i="1"/>
  <c r="BF1020" i="1"/>
  <c r="AQ1020" i="1"/>
  <c r="BF1019" i="1"/>
  <c r="AT1015" i="1"/>
  <c r="BA1012" i="1"/>
  <c r="AQ1008" i="1"/>
  <c r="AT1002" i="1"/>
  <c r="AU1002" i="1" s="1"/>
  <c r="AQ1000" i="1"/>
  <c r="AQ999" i="1"/>
  <c r="BA998" i="1"/>
  <c r="BA991" i="1"/>
  <c r="AQ988" i="1"/>
  <c r="AQ987" i="1"/>
  <c r="BA986" i="1"/>
  <c r="AQ974" i="1"/>
  <c r="AQ970" i="1"/>
  <c r="BA969" i="1"/>
  <c r="AQ966" i="1"/>
  <c r="BG965" i="1"/>
  <c r="AQ965" i="1"/>
  <c r="BG963" i="1"/>
  <c r="AT963" i="1"/>
  <c r="BB956" i="1"/>
  <c r="BD956" i="1" s="1"/>
  <c r="BF944" i="1"/>
  <c r="AT944" i="1"/>
  <c r="AU944" i="1" s="1"/>
  <c r="BF943" i="1"/>
  <c r="AQ943" i="1"/>
  <c r="AT941" i="1"/>
  <c r="BF939" i="1"/>
  <c r="AT939" i="1"/>
  <c r="AU939" i="1" s="1"/>
  <c r="AT937" i="1"/>
  <c r="AU937" i="1" s="1"/>
  <c r="AQ936" i="1"/>
  <c r="BA935" i="1"/>
  <c r="BF928" i="1"/>
  <c r="AQ928" i="1"/>
  <c r="BB925" i="1"/>
  <c r="BD925" i="1" s="1"/>
  <c r="AQ925" i="1"/>
  <c r="BF920" i="1"/>
  <c r="BF912" i="1"/>
  <c r="BA907" i="1"/>
  <c r="AQ907" i="1"/>
  <c r="AT906" i="1"/>
  <c r="AU906" i="1" s="1"/>
  <c r="AQ904" i="1"/>
  <c r="BA903" i="1"/>
  <c r="AT898" i="1"/>
  <c r="AU898" i="1" s="1"/>
  <c r="BA897" i="1"/>
  <c r="AZ890" i="1"/>
  <c r="AT879" i="1"/>
  <c r="AU879" i="1" s="1"/>
  <c r="BK869" i="1"/>
  <c r="BF867" i="1"/>
  <c r="AP867" i="1"/>
  <c r="Z1001" i="1"/>
  <c r="AK1001" i="1" s="1"/>
  <c r="Y997" i="1"/>
  <c r="AF997" i="1" s="1"/>
  <c r="Z977" i="1"/>
  <c r="AK977" i="1" s="1"/>
  <c r="Z949" i="1"/>
  <c r="Y916" i="1"/>
  <c r="AF916" i="1" s="1"/>
  <c r="Y913" i="1"/>
  <c r="AH913" i="1" s="1"/>
  <c r="Z897" i="1"/>
  <c r="AN1022" i="1"/>
  <c r="BA1007" i="1"/>
  <c r="AT1006" i="1"/>
  <c r="AU1006" i="1" s="1"/>
  <c r="AT1004" i="1"/>
  <c r="AU1004" i="1" s="1"/>
  <c r="AT1003" i="1"/>
  <c r="AT996" i="1"/>
  <c r="AU996" i="1" s="1"/>
  <c r="AT995" i="1"/>
  <c r="AU995" i="1" s="1"/>
  <c r="BA994" i="1"/>
  <c r="AN994" i="1"/>
  <c r="AT984" i="1"/>
  <c r="AU984" i="1" s="1"/>
  <c r="AT983" i="1"/>
  <c r="AU983" i="1" s="1"/>
  <c r="BG979" i="1"/>
  <c r="AT979" i="1"/>
  <c r="AT977" i="1"/>
  <c r="AU977" i="1" s="1"/>
  <c r="AQ976" i="1"/>
  <c r="AT968" i="1"/>
  <c r="AU968" i="1" s="1"/>
  <c r="AN964" i="1"/>
  <c r="BF963" i="1"/>
  <c r="BG958" i="1"/>
  <c r="AT956" i="1"/>
  <c r="AZ954" i="1"/>
  <c r="AN954" i="1"/>
  <c r="BC954" i="1" s="1"/>
  <c r="AP943" i="1"/>
  <c r="BA939" i="1"/>
  <c r="AQ939" i="1"/>
  <c r="AT938" i="1"/>
  <c r="AU938" i="1" s="1"/>
  <c r="AZ935" i="1"/>
  <c r="AP935" i="1"/>
  <c r="BF934" i="1"/>
  <c r="AQ934" i="1"/>
  <c r="AQ933" i="1"/>
  <c r="BG931" i="1"/>
  <c r="AT931" i="1"/>
  <c r="AU931" i="1" s="1"/>
  <c r="AP928" i="1"/>
  <c r="BF927" i="1"/>
  <c r="AT927" i="1"/>
  <c r="AZ926" i="1"/>
  <c r="AT919" i="1"/>
  <c r="AU919" i="1" s="1"/>
  <c r="AN918" i="1"/>
  <c r="BC918" i="1" s="1"/>
  <c r="AZ907" i="1"/>
  <c r="AP907" i="1"/>
  <c r="BA906" i="1"/>
  <c r="AQ906" i="1"/>
  <c r="BA905" i="1"/>
  <c r="AZ903" i="1"/>
  <c r="AQ903" i="1"/>
  <c r="BF896" i="1"/>
  <c r="AQ896" i="1"/>
  <c r="BA894" i="1"/>
  <c r="BG894" i="1"/>
  <c r="AN893" i="1"/>
  <c r="BC893" i="1" s="1"/>
  <c r="AQ893" i="1"/>
  <c r="AZ888" i="1"/>
  <c r="AZ880" i="1"/>
  <c r="BF880" i="1"/>
  <c r="BF879" i="1"/>
  <c r="AQ878" i="1"/>
  <c r="BK873" i="1"/>
  <c r="AP871" i="1"/>
  <c r="BF871" i="1"/>
  <c r="AZ867" i="1"/>
  <c r="BF855" i="1"/>
  <c r="AP855" i="1"/>
  <c r="BK851" i="1"/>
  <c r="BK843" i="1"/>
  <c r="BK835" i="1"/>
  <c r="AT885" i="1"/>
  <c r="AT882" i="1"/>
  <c r="AU882" i="1" s="1"/>
  <c r="BK847" i="1"/>
  <c r="BK839" i="1"/>
  <c r="BK831" i="1"/>
  <c r="BH789" i="1"/>
  <c r="AZ789" i="1"/>
  <c r="BP789" i="1"/>
  <c r="AZ779" i="1"/>
  <c r="BP779" i="1"/>
  <c r="AZ776" i="1"/>
  <c r="AT771" i="1"/>
  <c r="AU771" i="1" s="1"/>
  <c r="AP767" i="1"/>
  <c r="AZ767" i="1"/>
  <c r="AZ765" i="1"/>
  <c r="AZ763" i="1"/>
  <c r="AZ760" i="1"/>
  <c r="AT755" i="1"/>
  <c r="AU755" i="1" s="1"/>
  <c r="BF743" i="1"/>
  <c r="AP743" i="1"/>
  <c r="AP876" i="1"/>
  <c r="BP876" i="1"/>
  <c r="BP774" i="1"/>
  <c r="BP769" i="1"/>
  <c r="BB768" i="1"/>
  <c r="BD768" i="1" s="1"/>
  <c r="BB765" i="1"/>
  <c r="BD765" i="1" s="1"/>
  <c r="BB760" i="1"/>
  <c r="BD760" i="1" s="1"/>
  <c r="AP759" i="1"/>
  <c r="BP759" i="1"/>
  <c r="BP758" i="1"/>
  <c r="BG751" i="1"/>
  <c r="AP751" i="1"/>
  <c r="BG741" i="1"/>
  <c r="BF741" i="1"/>
  <c r="BP741" i="1"/>
  <c r="AP741" i="1"/>
  <c r="BG878" i="1"/>
  <c r="BH787" i="1"/>
  <c r="BP787" i="1"/>
  <c r="BH785" i="1"/>
  <c r="AP785" i="1"/>
  <c r="AZ876" i="1"/>
  <c r="AZ770" i="1"/>
  <c r="AT767" i="1"/>
  <c r="BB764" i="1"/>
  <c r="BD764" i="1" s="1"/>
  <c r="BP763" i="1"/>
  <c r="AZ759" i="1"/>
  <c r="BA751" i="1"/>
  <c r="AN751" i="1"/>
  <c r="BC751" i="1" s="1"/>
  <c r="AT747" i="1"/>
  <c r="AU747" i="1" s="1"/>
  <c r="BB746" i="1"/>
  <c r="BD746" i="1" s="1"/>
  <c r="BA741" i="1"/>
  <c r="AN785" i="1"/>
  <c r="BP764" i="1"/>
  <c r="BB761" i="1"/>
  <c r="BD761" i="1" s="1"/>
  <c r="BB747" i="1"/>
  <c r="BD747" i="1" s="1"/>
  <c r="BG731" i="1"/>
  <c r="BP728" i="1"/>
  <c r="AT726" i="1"/>
  <c r="BI726" i="1" s="1"/>
  <c r="BB725" i="1"/>
  <c r="BD725" i="1" s="1"/>
  <c r="AP725" i="1"/>
  <c r="BG721" i="1"/>
  <c r="BG720" i="1"/>
  <c r="BG718" i="1"/>
  <c r="BB716" i="1"/>
  <c r="BD716" i="1" s="1"/>
  <c r="BB714" i="1"/>
  <c r="BD714" i="1" s="1"/>
  <c r="BA713" i="1"/>
  <c r="AT712" i="1"/>
  <c r="BI712" i="1" s="1"/>
  <c r="BA711" i="1"/>
  <c r="AT710" i="1"/>
  <c r="AU710" i="1" s="1"/>
  <c r="BA697" i="1"/>
  <c r="BF695" i="1"/>
  <c r="AP695" i="1"/>
  <c r="BF693" i="1"/>
  <c r="AP693" i="1"/>
  <c r="BG671" i="1"/>
  <c r="BF670" i="1"/>
  <c r="AP670" i="1"/>
  <c r="BF656" i="1"/>
  <c r="AP656" i="1"/>
  <c r="BF655" i="1"/>
  <c r="AP655" i="1"/>
  <c r="BF640" i="1"/>
  <c r="AP640" i="1"/>
  <c r="BH639" i="1"/>
  <c r="AP639" i="1"/>
  <c r="BG739" i="1"/>
  <c r="BF731" i="1"/>
  <c r="BP717" i="1"/>
  <c r="BB713" i="1"/>
  <c r="BD713" i="1" s="1"/>
  <c r="BG689" i="1"/>
  <c r="BG681" i="1"/>
  <c r="BG673" i="1"/>
  <c r="BG669" i="1"/>
  <c r="BP786" i="1"/>
  <c r="AT773" i="1"/>
  <c r="BI773" i="1" s="1"/>
  <c r="AT768" i="1"/>
  <c r="AU768" i="1" s="1"/>
  <c r="AT763" i="1"/>
  <c r="AU763" i="1" s="1"/>
  <c r="AT762" i="1"/>
  <c r="AT757" i="1"/>
  <c r="BF739" i="1"/>
  <c r="AT738" i="1"/>
  <c r="AU738" i="1" s="1"/>
  <c r="AT737" i="1"/>
  <c r="BP736" i="1"/>
  <c r="AT735" i="1"/>
  <c r="AU735" i="1" s="1"/>
  <c r="AT734" i="1"/>
  <c r="BI734" i="1" s="1"/>
  <c r="BA733" i="1"/>
  <c r="BG726" i="1"/>
  <c r="BB722" i="1"/>
  <c r="BD722" i="1" s="1"/>
  <c r="BA721" i="1"/>
  <c r="AN721" i="1"/>
  <c r="BC721" i="1" s="1"/>
  <c r="AT720" i="1"/>
  <c r="AU720" i="1" s="1"/>
  <c r="AT718" i="1"/>
  <c r="AU718" i="1" s="1"/>
  <c r="AP717" i="1"/>
  <c r="BG713" i="1"/>
  <c r="BG712" i="1"/>
  <c r="BG710" i="1"/>
  <c r="BG706" i="1"/>
  <c r="BA699" i="1"/>
  <c r="BG692" i="1"/>
  <c r="BF691" i="1"/>
  <c r="BF689" i="1"/>
  <c r="BA685" i="1"/>
  <c r="BF681" i="1"/>
  <c r="BA677" i="1"/>
  <c r="BF673" i="1"/>
  <c r="BF669" i="1"/>
  <c r="AP669" i="1"/>
  <c r="BF664" i="1"/>
  <c r="AP664" i="1"/>
  <c r="BF663" i="1"/>
  <c r="AP663" i="1"/>
  <c r="BF648" i="1"/>
  <c r="AP648" i="1"/>
  <c r="BF647" i="1"/>
  <c r="AP647" i="1"/>
  <c r="BF632" i="1"/>
  <c r="AP630" i="1"/>
  <c r="AZ630" i="1"/>
  <c r="BG444" i="1"/>
  <c r="BF439" i="1"/>
  <c r="BG432" i="1"/>
  <c r="BF428" i="1"/>
  <c r="AP428" i="1"/>
  <c r="BG426" i="1"/>
  <c r="BA420" i="1"/>
  <c r="BG418" i="1"/>
  <c r="BA412" i="1"/>
  <c r="BG410" i="1"/>
  <c r="BG402" i="1"/>
  <c r="BG395" i="1"/>
  <c r="BG391" i="1"/>
  <c r="BG386" i="1"/>
  <c r="BG381" i="1"/>
  <c r="AP381" i="1"/>
  <c r="BG379" i="1"/>
  <c r="BG369" i="1"/>
  <c r="AP369" i="1"/>
  <c r="BF366" i="1"/>
  <c r="AP366" i="1"/>
  <c r="BF362" i="1"/>
  <c r="AP362" i="1"/>
  <c r="BF358" i="1"/>
  <c r="AP358" i="1"/>
  <c r="BF354" i="1"/>
  <c r="AP354" i="1"/>
  <c r="BH349" i="1"/>
  <c r="AZ342" i="1"/>
  <c r="AZ341" i="1"/>
  <c r="BA341" i="1"/>
  <c r="AZ340" i="1"/>
  <c r="BH297" i="1"/>
  <c r="BA297" i="1"/>
  <c r="BF444" i="1"/>
  <c r="BF432" i="1"/>
  <c r="BA397" i="1"/>
  <c r="BG389" i="1"/>
  <c r="AP389" i="1"/>
  <c r="BG377" i="1"/>
  <c r="AP377" i="1"/>
  <c r="BF365" i="1"/>
  <c r="AP365" i="1"/>
  <c r="BF361" i="1"/>
  <c r="AP361" i="1"/>
  <c r="BF357" i="1"/>
  <c r="AP357" i="1"/>
  <c r="BF353" i="1"/>
  <c r="AP353" i="1"/>
  <c r="BF349" i="1"/>
  <c r="BH302" i="1"/>
  <c r="BG302" i="1"/>
  <c r="BH298" i="1"/>
  <c r="BG298" i="1"/>
  <c r="BG438" i="1"/>
  <c r="BF435" i="1"/>
  <c r="BG406" i="1"/>
  <c r="BG394" i="1"/>
  <c r="BG390" i="1"/>
  <c r="BG383" i="1"/>
  <c r="BG378" i="1"/>
  <c r="BG371" i="1"/>
  <c r="BG351" i="1"/>
  <c r="BH345" i="1"/>
  <c r="AZ345" i="1"/>
  <c r="AZ344" i="1"/>
  <c r="BG328" i="1"/>
  <c r="BG326" i="1"/>
  <c r="BG324" i="1"/>
  <c r="BG322" i="1"/>
  <c r="BG320" i="1"/>
  <c r="BG318" i="1"/>
  <c r="BG316" i="1"/>
  <c r="BG314" i="1"/>
  <c r="BG312" i="1"/>
  <c r="BG310" i="1"/>
  <c r="BG299" i="1"/>
  <c r="BA205" i="1"/>
  <c r="AZ205" i="1"/>
  <c r="BF199" i="1"/>
  <c r="AZ199" i="1"/>
  <c r="BH171" i="1"/>
  <c r="BA171" i="1"/>
  <c r="BA207" i="1"/>
  <c r="BF205" i="1"/>
  <c r="AZ202" i="1"/>
  <c r="BH202" i="1"/>
  <c r="AZ201" i="1"/>
  <c r="BA199" i="1"/>
  <c r="BF195" i="1"/>
  <c r="AZ195" i="1"/>
  <c r="BA194" i="1"/>
  <c r="BA289" i="1"/>
  <c r="BA286" i="1"/>
  <c r="AZ198" i="1"/>
  <c r="BA198" i="1"/>
  <c r="BA173" i="1"/>
  <c r="BF173" i="1"/>
  <c r="BA161" i="1"/>
  <c r="BF161" i="1"/>
  <c r="BA296" i="1"/>
  <c r="BA295" i="1"/>
  <c r="BA294" i="1"/>
  <c r="BA293" i="1"/>
  <c r="BA292" i="1"/>
  <c r="BH204" i="1"/>
  <c r="BH198" i="1"/>
  <c r="AZ191" i="1"/>
  <c r="BH191" i="1"/>
  <c r="BA190" i="1"/>
  <c r="BH179" i="1"/>
  <c r="AZ177" i="1"/>
  <c r="BF175" i="1"/>
  <c r="AZ169" i="1"/>
  <c r="AZ165" i="1"/>
  <c r="AZ157" i="1"/>
  <c r="BA156" i="1"/>
  <c r="BH151" i="1"/>
  <c r="BA148" i="1"/>
  <c r="BA147" i="1"/>
  <c r="BG132" i="1"/>
  <c r="BF108" i="1"/>
  <c r="AP106" i="1"/>
  <c r="BF101" i="1"/>
  <c r="BH80" i="1"/>
  <c r="BH75" i="1"/>
  <c r="BF74" i="1"/>
  <c r="AP74" i="1"/>
  <c r="BF41" i="1"/>
  <c r="BH19" i="1"/>
  <c r="BH12" i="1"/>
  <c r="AP110" i="1"/>
  <c r="BF96" i="1"/>
  <c r="BH94" i="1"/>
  <c r="AP94" i="1"/>
  <c r="BH93" i="1"/>
  <c r="AP93" i="1"/>
  <c r="BG80" i="1"/>
  <c r="BG75" i="1"/>
  <c r="AP75" i="1"/>
  <c r="BH66" i="1"/>
  <c r="BH51" i="1"/>
  <c r="BH45" i="1"/>
  <c r="BH27" i="1"/>
  <c r="BH24" i="1"/>
  <c r="BA125" i="1"/>
  <c r="BF118" i="1"/>
  <c r="BF97" i="1"/>
  <c r="BA78" i="1"/>
  <c r="BG74" i="1"/>
  <c r="BF72" i="1"/>
  <c r="BH67" i="1"/>
  <c r="BF64" i="1"/>
  <c r="BG62" i="1"/>
  <c r="BG60" i="1"/>
  <c r="AZ51" i="1"/>
  <c r="AZ45" i="1"/>
  <c r="BF35" i="1"/>
  <c r="AZ32" i="1"/>
  <c r="BA28" i="1"/>
  <c r="AZ27" i="1"/>
  <c r="BH25" i="1"/>
  <c r="AZ24" i="1"/>
  <c r="AZ18" i="1"/>
  <c r="BH15" i="1"/>
  <c r="AF1040" i="1"/>
  <c r="AH1040" i="1"/>
  <c r="AG1040" i="1"/>
  <c r="AF1036" i="1"/>
  <c r="AH1036" i="1"/>
  <c r="AG1036" i="1"/>
  <c r="AF1032" i="1"/>
  <c r="AH1032" i="1"/>
  <c r="AG1032" i="1"/>
  <c r="AF1024" i="1"/>
  <c r="AH1024" i="1"/>
  <c r="AG1024" i="1"/>
  <c r="AF1020" i="1"/>
  <c r="AH1020" i="1"/>
  <c r="AG1020" i="1"/>
  <c r="AF1016" i="1"/>
  <c r="AH1016" i="1"/>
  <c r="AG1016" i="1"/>
  <c r="AF1008" i="1"/>
  <c r="AH1008" i="1"/>
  <c r="AG1008" i="1"/>
  <c r="AF1004" i="1"/>
  <c r="AH1004" i="1"/>
  <c r="AG1004" i="1"/>
  <c r="AF1000" i="1"/>
  <c r="AH1000" i="1"/>
  <c r="AG1000" i="1"/>
  <c r="AF992" i="1"/>
  <c r="AH992" i="1"/>
  <c r="AG992" i="1"/>
  <c r="AF984" i="1"/>
  <c r="AH984" i="1"/>
  <c r="AG984" i="1"/>
  <c r="AF972" i="1"/>
  <c r="AG972" i="1"/>
  <c r="AH972" i="1"/>
  <c r="AF960" i="1"/>
  <c r="AG960" i="1"/>
  <c r="AH960" i="1"/>
  <c r="AI952" i="1"/>
  <c r="AK952" i="1"/>
  <c r="AH948" i="1"/>
  <c r="AG948" i="1"/>
  <c r="AF948" i="1"/>
  <c r="AF944" i="1"/>
  <c r="AG944" i="1"/>
  <c r="AH944" i="1"/>
  <c r="AF940" i="1"/>
  <c r="AG940" i="1"/>
  <c r="AH940" i="1"/>
  <c r="AF936" i="1"/>
  <c r="AG936" i="1"/>
  <c r="AH936" i="1"/>
  <c r="AG932" i="1"/>
  <c r="AH932" i="1"/>
  <c r="AF932" i="1"/>
  <c r="AF928" i="1"/>
  <c r="AG928" i="1"/>
  <c r="AH928" i="1"/>
  <c r="AK924" i="1"/>
  <c r="AJ924" i="1"/>
  <c r="AI920" i="1"/>
  <c r="AJ920" i="1"/>
  <c r="AK920" i="1"/>
  <c r="AI916" i="1"/>
  <c r="AJ916" i="1"/>
  <c r="AK916" i="1"/>
  <c r="AF912" i="1"/>
  <c r="AG912" i="1"/>
  <c r="AH912" i="1"/>
  <c r="AG908" i="1"/>
  <c r="AH908" i="1"/>
  <c r="AF908" i="1"/>
  <c r="AI904" i="1"/>
  <c r="AK904" i="1"/>
  <c r="AJ904" i="1"/>
  <c r="AH1035" i="1"/>
  <c r="AG1035" i="1"/>
  <c r="AH1031" i="1"/>
  <c r="AG1031" i="1"/>
  <c r="AH1027" i="1"/>
  <c r="AG1027" i="1"/>
  <c r="AH1023" i="1"/>
  <c r="AG1023" i="1"/>
  <c r="AH1019" i="1"/>
  <c r="AG1019" i="1"/>
  <c r="AH1015" i="1"/>
  <c r="AG1015" i="1"/>
  <c r="AH1011" i="1"/>
  <c r="AG1011" i="1"/>
  <c r="AH1007" i="1"/>
  <c r="AG1007" i="1"/>
  <c r="AH1003" i="1"/>
  <c r="AG1003" i="1"/>
  <c r="AH999" i="1"/>
  <c r="AG999" i="1"/>
  <c r="AH995" i="1"/>
  <c r="AG995" i="1"/>
  <c r="AH991" i="1"/>
  <c r="AG991" i="1"/>
  <c r="AH987" i="1"/>
  <c r="AG987" i="1"/>
  <c r="AH983" i="1"/>
  <c r="AG983" i="1"/>
  <c r="AH979" i="1"/>
  <c r="AG979" i="1"/>
  <c r="AH975" i="1"/>
  <c r="AG975" i="1"/>
  <c r="AH971" i="1"/>
  <c r="AG971" i="1"/>
  <c r="AH967" i="1"/>
  <c r="AG967" i="1"/>
  <c r="AH963" i="1"/>
  <c r="AG963" i="1"/>
  <c r="AH959" i="1"/>
  <c r="AG959" i="1"/>
  <c r="AH955" i="1"/>
  <c r="AG955" i="1"/>
  <c r="AH951" i="1"/>
  <c r="AF951" i="1"/>
  <c r="AG951" i="1"/>
  <c r="AJ947" i="1"/>
  <c r="AK947" i="1"/>
  <c r="AI947" i="1"/>
  <c r="AF943" i="1"/>
  <c r="AG943" i="1"/>
  <c r="AF939" i="1"/>
  <c r="AG939" i="1"/>
  <c r="AF935" i="1"/>
  <c r="AG935" i="1"/>
  <c r="AJ931" i="1"/>
  <c r="AK931" i="1"/>
  <c r="AI931" i="1"/>
  <c r="AF927" i="1"/>
  <c r="AG927" i="1"/>
  <c r="AF923" i="1"/>
  <c r="AG923" i="1"/>
  <c r="AH919" i="1"/>
  <c r="AF919" i="1"/>
  <c r="AG919" i="1"/>
  <c r="AH915" i="1"/>
  <c r="AF915" i="1"/>
  <c r="AG915" i="1"/>
  <c r="AF911" i="1"/>
  <c r="AG911" i="1"/>
  <c r="AJ907" i="1"/>
  <c r="AK907" i="1"/>
  <c r="AI907" i="1"/>
  <c r="AF899" i="1"/>
  <c r="AG899" i="1"/>
  <c r="AK895" i="1"/>
  <c r="AI895" i="1"/>
  <c r="AJ895" i="1"/>
  <c r="AH887" i="1"/>
  <c r="AF887" i="1"/>
  <c r="AG887" i="1"/>
  <c r="AH883" i="1"/>
  <c r="AF883" i="1"/>
  <c r="AG883" i="1"/>
  <c r="AH1038" i="1"/>
  <c r="AG1038" i="1"/>
  <c r="AF1038" i="1"/>
  <c r="AH1034" i="1"/>
  <c r="AF1034" i="1"/>
  <c r="AG1034" i="1"/>
  <c r="AH1030" i="1"/>
  <c r="AG1030" i="1"/>
  <c r="AF1030" i="1"/>
  <c r="AH1026" i="1"/>
  <c r="AF1026" i="1"/>
  <c r="AG1026" i="1"/>
  <c r="AH1022" i="1"/>
  <c r="AG1022" i="1"/>
  <c r="AF1022" i="1"/>
  <c r="AH1018" i="1"/>
  <c r="AF1018" i="1"/>
  <c r="AG1018" i="1"/>
  <c r="AH1014" i="1"/>
  <c r="AG1014" i="1"/>
  <c r="AF1014" i="1"/>
  <c r="AH1010" i="1"/>
  <c r="AF1010" i="1"/>
  <c r="AG1010" i="1"/>
  <c r="AH1006" i="1"/>
  <c r="AG1006" i="1"/>
  <c r="AF1006" i="1"/>
  <c r="AH1002" i="1"/>
  <c r="AF1002" i="1"/>
  <c r="AG1002" i="1"/>
  <c r="AI998" i="1"/>
  <c r="AJ998" i="1"/>
  <c r="AK998" i="1"/>
  <c r="AF994" i="1"/>
  <c r="AG994" i="1"/>
  <c r="AH994" i="1"/>
  <c r="AI990" i="1"/>
  <c r="AJ990" i="1"/>
  <c r="AK990" i="1"/>
  <c r="AH986" i="1"/>
  <c r="AF986" i="1"/>
  <c r="AG986" i="1"/>
  <c r="AI982" i="1"/>
  <c r="AJ982" i="1"/>
  <c r="AK982" i="1"/>
  <c r="AH978" i="1"/>
  <c r="AF978" i="1"/>
  <c r="AG978" i="1"/>
  <c r="AH974" i="1"/>
  <c r="AF974" i="1"/>
  <c r="AG974" i="1"/>
  <c r="AH970" i="1"/>
  <c r="AG970" i="1"/>
  <c r="AF970" i="1"/>
  <c r="AI966" i="1"/>
  <c r="AJ966" i="1"/>
  <c r="AK966" i="1"/>
  <c r="AH962" i="1"/>
  <c r="AF962" i="1"/>
  <c r="AG962" i="1"/>
  <c r="AH958" i="1"/>
  <c r="AF958" i="1"/>
  <c r="AG958" i="1"/>
  <c r="AH954" i="1"/>
  <c r="AF954" i="1"/>
  <c r="AG954" i="1"/>
  <c r="AG950" i="1"/>
  <c r="AH950" i="1"/>
  <c r="AF950" i="1"/>
  <c r="AF946" i="1"/>
  <c r="AG946" i="1"/>
  <c r="AH946" i="1"/>
  <c r="AF942" i="1"/>
  <c r="AG942" i="1"/>
  <c r="AH942" i="1"/>
  <c r="AF938" i="1"/>
  <c r="AG938" i="1"/>
  <c r="AH938" i="1"/>
  <c r="AF934" i="1"/>
  <c r="AG934" i="1"/>
  <c r="AH934" i="1"/>
  <c r="AG930" i="1"/>
  <c r="AH930" i="1"/>
  <c r="AF930" i="1"/>
  <c r="AG926" i="1"/>
  <c r="AH926" i="1"/>
  <c r="AF926" i="1"/>
  <c r="AF918" i="1"/>
  <c r="AG918" i="1"/>
  <c r="AH918" i="1"/>
  <c r="AF914" i="1"/>
  <c r="AG914" i="1"/>
  <c r="AH914" i="1"/>
  <c r="AF910" i="1"/>
  <c r="AG910" i="1"/>
  <c r="AH910" i="1"/>
  <c r="AG906" i="1"/>
  <c r="AH906" i="1"/>
  <c r="AF906" i="1"/>
  <c r="AH894" i="1"/>
  <c r="AF894" i="1"/>
  <c r="AG894" i="1"/>
  <c r="AF1037" i="1"/>
  <c r="AG1037" i="1"/>
  <c r="AH1037" i="1"/>
  <c r="AF1033" i="1"/>
  <c r="AG1033" i="1"/>
  <c r="AH1033" i="1"/>
  <c r="AG1029" i="1"/>
  <c r="AH1029" i="1"/>
  <c r="AF1029" i="1"/>
  <c r="AF1021" i="1"/>
  <c r="AG1021" i="1"/>
  <c r="AH1021" i="1"/>
  <c r="AF1017" i="1"/>
  <c r="AG1017" i="1"/>
  <c r="AH1017" i="1"/>
  <c r="AG1013" i="1"/>
  <c r="AH1013" i="1"/>
  <c r="AF1013" i="1"/>
  <c r="AF1005" i="1"/>
  <c r="AG1005" i="1"/>
  <c r="AH1005" i="1"/>
  <c r="AF1001" i="1"/>
  <c r="AG1001" i="1"/>
  <c r="AH1001" i="1"/>
  <c r="AJ997" i="1"/>
  <c r="AI997" i="1"/>
  <c r="AF993" i="1"/>
  <c r="AG993" i="1"/>
  <c r="AH993" i="1"/>
  <c r="AJ989" i="1"/>
  <c r="AI989" i="1"/>
  <c r="AG981" i="1"/>
  <c r="AH981" i="1"/>
  <c r="AF981" i="1"/>
  <c r="AF977" i="1"/>
  <c r="AG977" i="1"/>
  <c r="AH977" i="1"/>
  <c r="AG973" i="1"/>
  <c r="AH973" i="1"/>
  <c r="AF973" i="1"/>
  <c r="AG969" i="1"/>
  <c r="AH969" i="1"/>
  <c r="AF969" i="1"/>
  <c r="AF957" i="1"/>
  <c r="AG957" i="1"/>
  <c r="AH957" i="1"/>
  <c r="AF953" i="1"/>
  <c r="AG953" i="1"/>
  <c r="AH953" i="1"/>
  <c r="AF949" i="1"/>
  <c r="AH949" i="1"/>
  <c r="AH933" i="1"/>
  <c r="AG933" i="1"/>
  <c r="AH929" i="1"/>
  <c r="AG929" i="1"/>
  <c r="AH925" i="1"/>
  <c r="AG925" i="1"/>
  <c r="AH921" i="1"/>
  <c r="AG921" i="1"/>
  <c r="AH917" i="1"/>
  <c r="AG917" i="1"/>
  <c r="AJ913" i="1"/>
  <c r="AK913" i="1"/>
  <c r="AI913" i="1"/>
  <c r="AH909" i="1"/>
  <c r="AG909" i="1"/>
  <c r="AH905" i="1"/>
  <c r="AG905" i="1"/>
  <c r="AH897" i="1"/>
  <c r="AG897" i="1"/>
  <c r="AH893" i="1"/>
  <c r="AG893" i="1"/>
  <c r="AH885" i="1"/>
  <c r="AG885" i="1"/>
  <c r="AC889" i="1"/>
  <c r="AB889" i="1"/>
  <c r="AC877" i="1"/>
  <c r="AB877" i="1"/>
  <c r="AD831" i="1"/>
  <c r="AE831" i="1"/>
  <c r="AB831" i="1"/>
  <c r="AC831" i="1"/>
  <c r="AC760" i="1"/>
  <c r="AD760" i="1"/>
  <c r="AE760" i="1"/>
  <c r="AB760" i="1"/>
  <c r="AC744" i="1"/>
  <c r="AD744" i="1"/>
  <c r="AE744" i="1"/>
  <c r="AB744" i="1"/>
  <c r="AD732" i="1"/>
  <c r="AE732" i="1"/>
  <c r="AB732" i="1"/>
  <c r="AC732" i="1"/>
  <c r="AE716" i="1"/>
  <c r="AB716" i="1"/>
  <c r="AC716" i="1"/>
  <c r="AD716" i="1"/>
  <c r="AJ891" i="1"/>
  <c r="AI891" i="1"/>
  <c r="AH879" i="1"/>
  <c r="AG879" i="1"/>
  <c r="AF879" i="1"/>
  <c r="AH873" i="1"/>
  <c r="AG873" i="1"/>
  <c r="AF873" i="1"/>
  <c r="AH869" i="1"/>
  <c r="AG869" i="1"/>
  <c r="AF869" i="1"/>
  <c r="AH865" i="1"/>
  <c r="AG865" i="1"/>
  <c r="AF865" i="1"/>
  <c r="AH861" i="1"/>
  <c r="AG861" i="1"/>
  <c r="AF861" i="1"/>
  <c r="AH857" i="1"/>
  <c r="AG857" i="1"/>
  <c r="AF857" i="1"/>
  <c r="AH853" i="1"/>
  <c r="AG853" i="1"/>
  <c r="AF853" i="1"/>
  <c r="Y849" i="1"/>
  <c r="Z849" i="1"/>
  <c r="Y845" i="1"/>
  <c r="Z845" i="1"/>
  <c r="Z841" i="1"/>
  <c r="Y841" i="1"/>
  <c r="AH841" i="1" s="1"/>
  <c r="Y837" i="1"/>
  <c r="AH837" i="1" s="1"/>
  <c r="Z837" i="1"/>
  <c r="Z833" i="1"/>
  <c r="Y833" i="1"/>
  <c r="AH833" i="1" s="1"/>
  <c r="Y829" i="1"/>
  <c r="AH829" i="1" s="1"/>
  <c r="Z829" i="1"/>
  <c r="Y825" i="1"/>
  <c r="AH825" i="1" s="1"/>
  <c r="Z825" i="1"/>
  <c r="Y821" i="1"/>
  <c r="AH821" i="1" s="1"/>
  <c r="Z821" i="1"/>
  <c r="Y818" i="1"/>
  <c r="AH818" i="1" s="1"/>
  <c r="Z818" i="1"/>
  <c r="Z814" i="1"/>
  <c r="Y814" i="1"/>
  <c r="AH814" i="1" s="1"/>
  <c r="Z810" i="1"/>
  <c r="Y810" i="1"/>
  <c r="AH810" i="1" s="1"/>
  <c r="Z806" i="1"/>
  <c r="Y806" i="1"/>
  <c r="AH806" i="1" s="1"/>
  <c r="Z802" i="1"/>
  <c r="Y802" i="1"/>
  <c r="AH802" i="1" s="1"/>
  <c r="Y798" i="1"/>
  <c r="AH798" i="1" s="1"/>
  <c r="Z798" i="1"/>
  <c r="Z794" i="1"/>
  <c r="Y794" i="1"/>
  <c r="AH794" i="1" s="1"/>
  <c r="Y790" i="1"/>
  <c r="AH790" i="1" s="1"/>
  <c r="Z790" i="1"/>
  <c r="Z786" i="1"/>
  <c r="Y786" i="1"/>
  <c r="AH786" i="1" s="1"/>
  <c r="Y782" i="1"/>
  <c r="AH782" i="1" s="1"/>
  <c r="Z782" i="1"/>
  <c r="Z778" i="1"/>
  <c r="Y778" i="1"/>
  <c r="AH778" i="1" s="1"/>
  <c r="Y774" i="1"/>
  <c r="AH774" i="1" s="1"/>
  <c r="Z774" i="1"/>
  <c r="Z770" i="1"/>
  <c r="Y770" i="1"/>
  <c r="AH770" i="1" s="1"/>
  <c r="Y766" i="1"/>
  <c r="AH766" i="1" s="1"/>
  <c r="Z766" i="1"/>
  <c r="Z762" i="1"/>
  <c r="Y762" i="1"/>
  <c r="AH762" i="1" s="1"/>
  <c r="Z758" i="1"/>
  <c r="Y758" i="1"/>
  <c r="AH758" i="1" s="1"/>
  <c r="Y754" i="1"/>
  <c r="AH754" i="1" s="1"/>
  <c r="Z754" i="1"/>
  <c r="Y750" i="1"/>
  <c r="AH750" i="1" s="1"/>
  <c r="Z750" i="1"/>
  <c r="Y746" i="1"/>
  <c r="AH746" i="1" s="1"/>
  <c r="Z746" i="1"/>
  <c r="Z742" i="1"/>
  <c r="Y742" i="1"/>
  <c r="AH742" i="1" s="1"/>
  <c r="Y738" i="1"/>
  <c r="AH738" i="1" s="1"/>
  <c r="Z738" i="1"/>
  <c r="Y734" i="1"/>
  <c r="AH734" i="1" s="1"/>
  <c r="Z734" i="1"/>
  <c r="Y730" i="1"/>
  <c r="AH730" i="1" s="1"/>
  <c r="Z730" i="1"/>
  <c r="Z726" i="1"/>
  <c r="Y726" i="1"/>
  <c r="Y722" i="1"/>
  <c r="AH722" i="1" s="1"/>
  <c r="Z722" i="1"/>
  <c r="Y718" i="1"/>
  <c r="AH718" i="1" s="1"/>
  <c r="Z718" i="1"/>
  <c r="Y714" i="1"/>
  <c r="AH714" i="1" s="1"/>
  <c r="Z714" i="1"/>
  <c r="Y710" i="1"/>
  <c r="AH710" i="1" s="1"/>
  <c r="Z710" i="1"/>
  <c r="Y706" i="1"/>
  <c r="AH706" i="1" s="1"/>
  <c r="Z706" i="1"/>
  <c r="Y702" i="1"/>
  <c r="AH702" i="1" s="1"/>
  <c r="Z702" i="1"/>
  <c r="Z698" i="1"/>
  <c r="Y698" i="1"/>
  <c r="AH698" i="1" s="1"/>
  <c r="Y694" i="1"/>
  <c r="Z694" i="1"/>
  <c r="Z690" i="1"/>
  <c r="Y690" i="1"/>
  <c r="Z686" i="1"/>
  <c r="AK686" i="1" s="1"/>
  <c r="Y686" i="1"/>
  <c r="Z682" i="1"/>
  <c r="AK682" i="1" s="1"/>
  <c r="Y682" i="1"/>
  <c r="Z678" i="1"/>
  <c r="AK678" i="1" s="1"/>
  <c r="Y678" i="1"/>
  <c r="Z674" i="1"/>
  <c r="AK674" i="1" s="1"/>
  <c r="Y674" i="1"/>
  <c r="Z670" i="1"/>
  <c r="AK670" i="1" s="1"/>
  <c r="Y670" i="1"/>
  <c r="Z666" i="1"/>
  <c r="AK666" i="1" s="1"/>
  <c r="Y666" i="1"/>
  <c r="Z662" i="1"/>
  <c r="AK662" i="1" s="1"/>
  <c r="Y662" i="1"/>
  <c r="Z658" i="1"/>
  <c r="AK658" i="1" s="1"/>
  <c r="Y658" i="1"/>
  <c r="Y654" i="1"/>
  <c r="Z654" i="1"/>
  <c r="AK654" i="1" s="1"/>
  <c r="Y650" i="1"/>
  <c r="Z650" i="1"/>
  <c r="AK650" i="1" s="1"/>
  <c r="Z646" i="1"/>
  <c r="AI646" i="1" s="1"/>
  <c r="Y646" i="1"/>
  <c r="Z642" i="1"/>
  <c r="AI642" i="1" s="1"/>
  <c r="Y642" i="1"/>
  <c r="Z638" i="1"/>
  <c r="AI638" i="1" s="1"/>
  <c r="Y638" i="1"/>
  <c r="Z634" i="1"/>
  <c r="AI634" i="1" s="1"/>
  <c r="Y634" i="1"/>
  <c r="Z630" i="1"/>
  <c r="AI630" i="1" s="1"/>
  <c r="Y630" i="1"/>
  <c r="Z626" i="1"/>
  <c r="AI626" i="1" s="1"/>
  <c r="Y626" i="1"/>
  <c r="Z622" i="1"/>
  <c r="AI622" i="1" s="1"/>
  <c r="Y622" i="1"/>
  <c r="Z618" i="1"/>
  <c r="AI618" i="1" s="1"/>
  <c r="Y618" i="1"/>
  <c r="Z614" i="1"/>
  <c r="AI614" i="1" s="1"/>
  <c r="Y614" i="1"/>
  <c r="Y610" i="1"/>
  <c r="AF610" i="1" s="1"/>
  <c r="Z610" i="1"/>
  <c r="Y606" i="1"/>
  <c r="Z606" i="1"/>
  <c r="Y602" i="1"/>
  <c r="Z602" i="1"/>
  <c r="Z598" i="1"/>
  <c r="Y598" i="1"/>
  <c r="Y594" i="1"/>
  <c r="Z594" i="1"/>
  <c r="Z590" i="1"/>
  <c r="Y590" i="1"/>
  <c r="Z586" i="1"/>
  <c r="Y586" i="1"/>
  <c r="Z582" i="1"/>
  <c r="Y582" i="1"/>
  <c r="Z578" i="1"/>
  <c r="Y578" i="1"/>
  <c r="Y574" i="1"/>
  <c r="Z574" i="1"/>
  <c r="Z570" i="1"/>
  <c r="Y570" i="1"/>
  <c r="Y566" i="1"/>
  <c r="Z566" i="1"/>
  <c r="Z562" i="1"/>
  <c r="Y562" i="1"/>
  <c r="Y558" i="1"/>
  <c r="Z558" i="1"/>
  <c r="Y554" i="1"/>
  <c r="Z554" i="1"/>
  <c r="Z550" i="1"/>
  <c r="Y550" i="1"/>
  <c r="Y546" i="1"/>
  <c r="Z546" i="1"/>
  <c r="Y542" i="1"/>
  <c r="Z542" i="1"/>
  <c r="Y538" i="1"/>
  <c r="Z538" i="1"/>
  <c r="Y534" i="1"/>
  <c r="Z534" i="1"/>
  <c r="Y530" i="1"/>
  <c r="Z530" i="1"/>
  <c r="Y526" i="1"/>
  <c r="Z526" i="1"/>
  <c r="Y522" i="1"/>
  <c r="Z522" i="1"/>
  <c r="Y518" i="1"/>
  <c r="Z518" i="1"/>
  <c r="Y514" i="1"/>
  <c r="Z514" i="1"/>
  <c r="Y510" i="1"/>
  <c r="Z510" i="1"/>
  <c r="Z506" i="1"/>
  <c r="Y506" i="1"/>
  <c r="Y502" i="1"/>
  <c r="Z502" i="1"/>
  <c r="Y498" i="1"/>
  <c r="Z498" i="1"/>
  <c r="Y494" i="1"/>
  <c r="Z494" i="1"/>
  <c r="Y490" i="1"/>
  <c r="Z490" i="1"/>
  <c r="Y486" i="1"/>
  <c r="Z486" i="1"/>
  <c r="Y482" i="1"/>
  <c r="Z482" i="1"/>
  <c r="Z478" i="1"/>
  <c r="Y478" i="1"/>
  <c r="Y474" i="1"/>
  <c r="Z474" i="1"/>
  <c r="Y470" i="1"/>
  <c r="Z470" i="1"/>
  <c r="Y466" i="1"/>
  <c r="Z466" i="1"/>
  <c r="Z462" i="1"/>
  <c r="Y462" i="1"/>
  <c r="Y458" i="1"/>
  <c r="Z458" i="1"/>
  <c r="Z454" i="1"/>
  <c r="Y454" i="1"/>
  <c r="Y450" i="1"/>
  <c r="Z450" i="1"/>
  <c r="Z446" i="1"/>
  <c r="Y446" i="1"/>
  <c r="Y442" i="1"/>
  <c r="Z442" i="1"/>
  <c r="Z438" i="1"/>
  <c r="Y438" i="1"/>
  <c r="Y434" i="1"/>
  <c r="Z434" i="1"/>
  <c r="Z430" i="1"/>
  <c r="Y430" i="1"/>
  <c r="Y426" i="1"/>
  <c r="Z426" i="1"/>
  <c r="Z422" i="1"/>
  <c r="Y422" i="1"/>
  <c r="Z418" i="1"/>
  <c r="Y418" i="1"/>
  <c r="Y414" i="1"/>
  <c r="AF414" i="1" s="1"/>
  <c r="Z414" i="1"/>
  <c r="Y410" i="1"/>
  <c r="Z410" i="1"/>
  <c r="Y406" i="1"/>
  <c r="Z406" i="1"/>
  <c r="Z402" i="1"/>
  <c r="Y402" i="1"/>
  <c r="Y398" i="1"/>
  <c r="Z398" i="1"/>
  <c r="Z394" i="1"/>
  <c r="Y394" i="1"/>
  <c r="Y390" i="1"/>
  <c r="Z390" i="1"/>
  <c r="Z386" i="1"/>
  <c r="Y386" i="1"/>
  <c r="Y382" i="1"/>
  <c r="Z382" i="1"/>
  <c r="Y378" i="1"/>
  <c r="Z378" i="1"/>
  <c r="Y374" i="1"/>
  <c r="Z374" i="1"/>
  <c r="Y370" i="1"/>
  <c r="Z370" i="1"/>
  <c r="Z366" i="1"/>
  <c r="Y366" i="1"/>
  <c r="Z362" i="1"/>
  <c r="Y362" i="1"/>
  <c r="Y358" i="1"/>
  <c r="Z358" i="1"/>
  <c r="Y354" i="1"/>
  <c r="Z354" i="1"/>
  <c r="Y350" i="1"/>
  <c r="Z350" i="1"/>
  <c r="Y346" i="1"/>
  <c r="Z346" i="1"/>
  <c r="Y342" i="1"/>
  <c r="Z342" i="1"/>
  <c r="Y338" i="1"/>
  <c r="Z338" i="1"/>
  <c r="Y334" i="1"/>
  <c r="Z334" i="1"/>
  <c r="Y330" i="1"/>
  <c r="Z330" i="1"/>
  <c r="Y326" i="1"/>
  <c r="AF326" i="1" s="1"/>
  <c r="Z326" i="1"/>
  <c r="Y322" i="1"/>
  <c r="AG322" i="1" s="1"/>
  <c r="Z322" i="1"/>
  <c r="Y318" i="1"/>
  <c r="AF318" i="1" s="1"/>
  <c r="Z318" i="1"/>
  <c r="Y314" i="1"/>
  <c r="AF314" i="1" s="1"/>
  <c r="Z314" i="1"/>
  <c r="Z310" i="1"/>
  <c r="Y310" i="1"/>
  <c r="AF310" i="1" s="1"/>
  <c r="Y306" i="1"/>
  <c r="AF306" i="1" s="1"/>
  <c r="Z306" i="1"/>
  <c r="Y302" i="1"/>
  <c r="AF302" i="1" s="1"/>
  <c r="Z302" i="1"/>
  <c r="Y298" i="1"/>
  <c r="AF298" i="1" s="1"/>
  <c r="Z298" i="1"/>
  <c r="Z294" i="1"/>
  <c r="Y294" i="1"/>
  <c r="Y290" i="1"/>
  <c r="AF290" i="1" s="1"/>
  <c r="Z290" i="1"/>
  <c r="Y286" i="1"/>
  <c r="AF286" i="1" s="1"/>
  <c r="Z286" i="1"/>
  <c r="Y282" i="1"/>
  <c r="AF282" i="1" s="1"/>
  <c r="Z282" i="1"/>
  <c r="Z278" i="1"/>
  <c r="Y278" i="1"/>
  <c r="AF278" i="1" s="1"/>
  <c r="Y274" i="1"/>
  <c r="AF274" i="1" s="1"/>
  <c r="Z274" i="1"/>
  <c r="Y270" i="1"/>
  <c r="AF270" i="1" s="1"/>
  <c r="Z270" i="1"/>
  <c r="Z266" i="1"/>
  <c r="Y266" i="1"/>
  <c r="AF266" i="1" s="1"/>
  <c r="Y262" i="1"/>
  <c r="AF262" i="1" s="1"/>
  <c r="Z262" i="1"/>
  <c r="Z258" i="1"/>
  <c r="Y258" i="1"/>
  <c r="AF258" i="1" s="1"/>
  <c r="Y254" i="1"/>
  <c r="AF254" i="1" s="1"/>
  <c r="Z254" i="1"/>
  <c r="Z250" i="1"/>
  <c r="Y250" i="1"/>
  <c r="AF250" i="1" s="1"/>
  <c r="Y246" i="1"/>
  <c r="AF246" i="1" s="1"/>
  <c r="Z246" i="1"/>
  <c r="Z242" i="1"/>
  <c r="Y242" i="1"/>
  <c r="AF242" i="1" s="1"/>
  <c r="Z238" i="1"/>
  <c r="Y238" i="1"/>
  <c r="AF238" i="1" s="1"/>
  <c r="Z234" i="1"/>
  <c r="Y234" i="1"/>
  <c r="AF234" i="1" s="1"/>
  <c r="Z230" i="1"/>
  <c r="Y230" i="1"/>
  <c r="Y226" i="1"/>
  <c r="AF226" i="1" s="1"/>
  <c r="Z226" i="1"/>
  <c r="Z222" i="1"/>
  <c r="Y222" i="1"/>
  <c r="AF222" i="1" s="1"/>
  <c r="Y218" i="1"/>
  <c r="AF218" i="1" s="1"/>
  <c r="Z218" i="1"/>
  <c r="Y214" i="1"/>
  <c r="AF214" i="1" s="1"/>
  <c r="Z214" i="1"/>
  <c r="Y210" i="1"/>
  <c r="AF210" i="1" s="1"/>
  <c r="Z210" i="1"/>
  <c r="Y206" i="1"/>
  <c r="AF206" i="1" s="1"/>
  <c r="Z206" i="1"/>
  <c r="Y202" i="1"/>
  <c r="AF202" i="1" s="1"/>
  <c r="Z202" i="1"/>
  <c r="Z198" i="1"/>
  <c r="Y198" i="1"/>
  <c r="AF198" i="1" s="1"/>
  <c r="Y194" i="1"/>
  <c r="Z194" i="1"/>
  <c r="Z190" i="1"/>
  <c r="Y190" i="1"/>
  <c r="AF190" i="1" s="1"/>
  <c r="Y186" i="1"/>
  <c r="AG186" i="1" s="1"/>
  <c r="Z186" i="1"/>
  <c r="Y182" i="1"/>
  <c r="AG182" i="1" s="1"/>
  <c r="Z182" i="1"/>
  <c r="Y178" i="1"/>
  <c r="AH178" i="1" s="1"/>
  <c r="Z178" i="1"/>
  <c r="Y174" i="1"/>
  <c r="AH174" i="1" s="1"/>
  <c r="Z174" i="1"/>
  <c r="Y170" i="1"/>
  <c r="AH170" i="1" s="1"/>
  <c r="Z170" i="1"/>
  <c r="Y166" i="1"/>
  <c r="AH166" i="1" s="1"/>
  <c r="Z166" i="1"/>
  <c r="Z162" i="1"/>
  <c r="Y162" i="1"/>
  <c r="AH162" i="1" s="1"/>
  <c r="Y158" i="1"/>
  <c r="AH158" i="1" s="1"/>
  <c r="Z158" i="1"/>
  <c r="Y154" i="1"/>
  <c r="AH154" i="1" s="1"/>
  <c r="Z154" i="1"/>
  <c r="Y150" i="1"/>
  <c r="AH150" i="1" s="1"/>
  <c r="Z150" i="1"/>
  <c r="Z146" i="1"/>
  <c r="Y146" i="1"/>
  <c r="AH146" i="1" s="1"/>
  <c r="Z142" i="1"/>
  <c r="Y142" i="1"/>
  <c r="AH142" i="1" s="1"/>
  <c r="Z138" i="1"/>
  <c r="Y138" i="1"/>
  <c r="AH138" i="1" s="1"/>
  <c r="Y134" i="1"/>
  <c r="AH134" i="1" s="1"/>
  <c r="Z134" i="1"/>
  <c r="Z130" i="1"/>
  <c r="Y130" i="1"/>
  <c r="AH130" i="1" s="1"/>
  <c r="Y126" i="1"/>
  <c r="AH126" i="1" s="1"/>
  <c r="Z126" i="1"/>
  <c r="Z122" i="1"/>
  <c r="Y122" i="1"/>
  <c r="AH122" i="1" s="1"/>
  <c r="Y118" i="1"/>
  <c r="AH118" i="1" s="1"/>
  <c r="Z118" i="1"/>
  <c r="Z114" i="1"/>
  <c r="Y114" i="1"/>
  <c r="AH114" i="1" s="1"/>
  <c r="Y110" i="1"/>
  <c r="AH110" i="1" s="1"/>
  <c r="Z110" i="1"/>
  <c r="Y106" i="1"/>
  <c r="Z106" i="1"/>
  <c r="Z102" i="1"/>
  <c r="Y102" i="1"/>
  <c r="Z98" i="1"/>
  <c r="Y98" i="1"/>
  <c r="Z94" i="1"/>
  <c r="AK94" i="1" s="1"/>
  <c r="Y94" i="1"/>
  <c r="Y90" i="1"/>
  <c r="Z90" i="1"/>
  <c r="AI90" i="1" s="1"/>
  <c r="Y86" i="1"/>
  <c r="Z86" i="1"/>
  <c r="AI86" i="1" s="1"/>
  <c r="Y82" i="1"/>
  <c r="Z82" i="1"/>
  <c r="AI82" i="1" s="1"/>
  <c r="Y78" i="1"/>
  <c r="Z78" i="1"/>
  <c r="AI78" i="1" s="1"/>
  <c r="Y74" i="1"/>
  <c r="Z74" i="1"/>
  <c r="AI74" i="1" s="1"/>
  <c r="Z70" i="1"/>
  <c r="Y70" i="1"/>
  <c r="Z66" i="1"/>
  <c r="Y66" i="1"/>
  <c r="Y62" i="1"/>
  <c r="Z62" i="1"/>
  <c r="Z58" i="1"/>
  <c r="Y58" i="1"/>
  <c r="Y54" i="1"/>
  <c r="Z54" i="1"/>
  <c r="Z50" i="1"/>
  <c r="Y50" i="1"/>
  <c r="Z46" i="1"/>
  <c r="Y46" i="1"/>
  <c r="Y42" i="1"/>
  <c r="Z42" i="1"/>
  <c r="Z38" i="1"/>
  <c r="Y38" i="1"/>
  <c r="Z34" i="1"/>
  <c r="Y34" i="1"/>
  <c r="Y30" i="1"/>
  <c r="Z30" i="1"/>
  <c r="Z26" i="1"/>
  <c r="Y26" i="1"/>
  <c r="Y22" i="1"/>
  <c r="Z22" i="1"/>
  <c r="Y18" i="1"/>
  <c r="AF18" i="1" s="1"/>
  <c r="Z18" i="1"/>
  <c r="Z14" i="1"/>
  <c r="Y14" i="1"/>
  <c r="AF14" i="1" s="1"/>
  <c r="AB1040" i="1"/>
  <c r="AE1039" i="1"/>
  <c r="AB1038" i="1"/>
  <c r="AE1037" i="1"/>
  <c r="AB1036" i="1"/>
  <c r="AE1035" i="1"/>
  <c r="AE1034" i="1"/>
  <c r="AE1033" i="1"/>
  <c r="AB1032" i="1"/>
  <c r="AB1031" i="1"/>
  <c r="AB1030" i="1"/>
  <c r="AB1029" i="1"/>
  <c r="AD1028" i="1"/>
  <c r="AD1027" i="1"/>
  <c r="Z1027" i="1"/>
  <c r="AE1026" i="1"/>
  <c r="AD1025" i="1"/>
  <c r="AB1024" i="1"/>
  <c r="AE1023" i="1"/>
  <c r="AB1022" i="1"/>
  <c r="AE1021" i="1"/>
  <c r="AB1020" i="1"/>
  <c r="AE1019" i="1"/>
  <c r="AE1018" i="1"/>
  <c r="AE1017" i="1"/>
  <c r="AB1016" i="1"/>
  <c r="AB1015" i="1"/>
  <c r="AB1014" i="1"/>
  <c r="AB1013" i="1"/>
  <c r="AD1012" i="1"/>
  <c r="AD1011" i="1"/>
  <c r="Z1011" i="1"/>
  <c r="AE1010" i="1"/>
  <c r="AD1009" i="1"/>
  <c r="AB1008" i="1"/>
  <c r="AE1007" i="1"/>
  <c r="AB1006" i="1"/>
  <c r="AE1005" i="1"/>
  <c r="AB1004" i="1"/>
  <c r="AE1003" i="1"/>
  <c r="AE1002" i="1"/>
  <c r="AE1001" i="1"/>
  <c r="AB1000" i="1"/>
  <c r="AB999" i="1"/>
  <c r="AC998" i="1"/>
  <c r="Y998" i="1"/>
  <c r="AC997" i="1"/>
  <c r="AD996" i="1"/>
  <c r="AD995" i="1"/>
  <c r="Z995" i="1"/>
  <c r="AE994" i="1"/>
  <c r="AE993" i="1"/>
  <c r="AB992" i="1"/>
  <c r="AB991" i="1"/>
  <c r="AC990" i="1"/>
  <c r="Y990" i="1"/>
  <c r="AC989" i="1"/>
  <c r="AD988" i="1"/>
  <c r="AD987" i="1"/>
  <c r="Z987" i="1"/>
  <c r="AD986" i="1"/>
  <c r="Z986" i="1"/>
  <c r="AD985" i="1"/>
  <c r="AB984" i="1"/>
  <c r="AB983" i="1"/>
  <c r="AC982" i="1"/>
  <c r="Y982" i="1"/>
  <c r="AB981" i="1"/>
  <c r="AD980" i="1"/>
  <c r="AD979" i="1"/>
  <c r="Z979" i="1"/>
  <c r="AE978" i="1"/>
  <c r="AE977" i="1"/>
  <c r="AD976" i="1"/>
  <c r="AE975" i="1"/>
  <c r="AE974" i="1"/>
  <c r="AB973" i="1"/>
  <c r="AE972" i="1"/>
  <c r="AB971" i="1"/>
  <c r="AB970" i="1"/>
  <c r="AB969" i="1"/>
  <c r="AD968" i="1"/>
  <c r="AE967" i="1"/>
  <c r="AC966" i="1"/>
  <c r="Y966" i="1"/>
  <c r="AD965" i="1"/>
  <c r="AC964" i="1"/>
  <c r="AD963" i="1"/>
  <c r="Z963" i="1"/>
  <c r="AE962" i="1"/>
  <c r="AD961" i="1"/>
  <c r="AE960" i="1"/>
  <c r="AB959" i="1"/>
  <c r="AD958" i="1"/>
  <c r="Z958" i="1"/>
  <c r="AE957" i="1"/>
  <c r="AD956" i="1"/>
  <c r="AE955" i="1"/>
  <c r="AE954" i="1"/>
  <c r="AE953" i="1"/>
  <c r="AC952" i="1"/>
  <c r="AE951" i="1"/>
  <c r="AB950" i="1"/>
  <c r="AE949" i="1"/>
  <c r="AB948" i="1"/>
  <c r="AC947" i="1"/>
  <c r="Y947" i="1"/>
  <c r="AF947" i="1" s="1"/>
  <c r="AD946" i="1"/>
  <c r="Z946" i="1"/>
  <c r="AB945" i="1"/>
  <c r="AD944" i="1"/>
  <c r="AE943" i="1"/>
  <c r="AE942" i="1"/>
  <c r="AD941" i="1"/>
  <c r="AE940" i="1"/>
  <c r="AB939" i="1"/>
  <c r="AE938" i="1"/>
  <c r="AD937" i="1"/>
  <c r="AD936" i="1"/>
  <c r="AE935" i="1"/>
  <c r="AE934" i="1"/>
  <c r="AE933" i="1"/>
  <c r="AB932" i="1"/>
  <c r="AC931" i="1"/>
  <c r="Y931" i="1"/>
  <c r="AH931" i="1" s="1"/>
  <c r="AB930" i="1"/>
  <c r="AE929" i="1"/>
  <c r="AE928" i="1"/>
  <c r="AB927" i="1"/>
  <c r="AB926" i="1"/>
  <c r="AB925" i="1"/>
  <c r="AC924" i="1"/>
  <c r="AD923" i="1"/>
  <c r="Z923" i="1"/>
  <c r="AC922" i="1"/>
  <c r="Y922" i="1"/>
  <c r="AB921" i="1"/>
  <c r="AC920" i="1"/>
  <c r="AE919" i="1"/>
  <c r="AE918" i="1"/>
  <c r="AE917" i="1"/>
  <c r="AC916" i="1"/>
  <c r="AE915" i="1"/>
  <c r="AD914" i="1"/>
  <c r="Z914" i="1"/>
  <c r="AI914" i="1" s="1"/>
  <c r="AC913" i="1"/>
  <c r="AD912" i="1"/>
  <c r="AE911" i="1"/>
  <c r="AE910" i="1"/>
  <c r="AE909" i="1"/>
  <c r="AB908" i="1"/>
  <c r="AC907" i="1"/>
  <c r="Y907" i="1"/>
  <c r="AH907" i="1" s="1"/>
  <c r="AB906" i="1"/>
  <c r="AE905" i="1"/>
  <c r="AD904" i="1"/>
  <c r="AB903" i="1"/>
  <c r="AD902" i="1"/>
  <c r="AE901" i="1"/>
  <c r="AB900" i="1"/>
  <c r="AD899" i="1"/>
  <c r="Z899" i="1"/>
  <c r="AE898" i="1"/>
  <c r="Z898" i="1"/>
  <c r="AI898" i="1" s="1"/>
  <c r="AD897" i="1"/>
  <c r="AC895" i="1"/>
  <c r="Y895" i="1"/>
  <c r="AH895" i="1" s="1"/>
  <c r="AB894" i="1"/>
  <c r="Y891" i="1"/>
  <c r="AE889" i="1"/>
  <c r="AE888" i="1"/>
  <c r="AD886" i="1"/>
  <c r="Y886" i="1"/>
  <c r="AE881" i="1"/>
  <c r="Z872" i="1"/>
  <c r="AI872" i="1" s="1"/>
  <c r="Z869" i="1"/>
  <c r="Z860" i="1"/>
  <c r="AI860" i="1" s="1"/>
  <c r="Z856" i="1"/>
  <c r="AI856" i="1" s="1"/>
  <c r="Z852" i="1"/>
  <c r="AI852" i="1" s="1"/>
  <c r="AB885" i="1"/>
  <c r="AE885" i="1"/>
  <c r="AB768" i="1"/>
  <c r="AC768" i="1"/>
  <c r="AD768" i="1"/>
  <c r="AE768" i="1"/>
  <c r="AE752" i="1"/>
  <c r="AB752" i="1"/>
  <c r="AC752" i="1"/>
  <c r="AD752" i="1"/>
  <c r="AE736" i="1"/>
  <c r="AB736" i="1"/>
  <c r="AC736" i="1"/>
  <c r="AD736" i="1"/>
  <c r="AB724" i="1"/>
  <c r="AC724" i="1"/>
  <c r="AD724" i="1"/>
  <c r="AE724" i="1"/>
  <c r="AE720" i="1"/>
  <c r="AB720" i="1"/>
  <c r="AC720" i="1"/>
  <c r="AD720" i="1"/>
  <c r="AC892" i="1"/>
  <c r="AB892" i="1"/>
  <c r="AD884" i="1"/>
  <c r="AC884" i="1"/>
  <c r="AE876" i="1"/>
  <c r="AB876" i="1"/>
  <c r="AC876" i="1"/>
  <c r="AD876" i="1"/>
  <c r="AC763" i="1"/>
  <c r="AD763" i="1"/>
  <c r="AE763" i="1"/>
  <c r="AB763" i="1"/>
  <c r="AD747" i="1"/>
  <c r="AE747" i="1"/>
  <c r="AB747" i="1"/>
  <c r="AC747" i="1"/>
  <c r="AE735" i="1"/>
  <c r="AB735" i="1"/>
  <c r="AC735" i="1"/>
  <c r="AD735" i="1"/>
  <c r="AB723" i="1"/>
  <c r="AC723" i="1"/>
  <c r="AD723" i="1"/>
  <c r="AE723" i="1"/>
  <c r="AB715" i="1"/>
  <c r="AC715" i="1"/>
  <c r="AD715" i="1"/>
  <c r="AE715" i="1"/>
  <c r="AB711" i="1"/>
  <c r="AC711" i="1"/>
  <c r="AD711" i="1"/>
  <c r="AE711" i="1"/>
  <c r="Z890" i="1"/>
  <c r="AI890" i="1" s="1"/>
  <c r="Y890" i="1"/>
  <c r="AG878" i="1"/>
  <c r="AF878" i="1"/>
  <c r="AG872" i="1"/>
  <c r="AF872" i="1"/>
  <c r="AG868" i="1"/>
  <c r="AF868" i="1"/>
  <c r="AG864" i="1"/>
  <c r="AF864" i="1"/>
  <c r="AG860" i="1"/>
  <c r="AF860" i="1"/>
  <c r="AG856" i="1"/>
  <c r="AF856" i="1"/>
  <c r="AG852" i="1"/>
  <c r="AF852" i="1"/>
  <c r="Y848" i="1"/>
  <c r="Z848" i="1"/>
  <c r="Y844" i="1"/>
  <c r="Z844" i="1"/>
  <c r="AI844" i="1" s="1"/>
  <c r="Z840" i="1"/>
  <c r="AI840" i="1" s="1"/>
  <c r="Y840" i="1"/>
  <c r="Y836" i="1"/>
  <c r="Z836" i="1"/>
  <c r="AI836" i="1" s="1"/>
  <c r="Z832" i="1"/>
  <c r="AI832" i="1" s="1"/>
  <c r="Y832" i="1"/>
  <c r="Z828" i="1"/>
  <c r="Y828" i="1"/>
  <c r="Z824" i="1"/>
  <c r="Y824" i="1"/>
  <c r="Z820" i="1"/>
  <c r="Y820" i="1"/>
  <c r="Y817" i="1"/>
  <c r="Z817" i="1"/>
  <c r="Y813" i="1"/>
  <c r="Z813" i="1"/>
  <c r="Y809" i="1"/>
  <c r="Z809" i="1"/>
  <c r="Y805" i="1"/>
  <c r="Z805" i="1"/>
  <c r="Y801" i="1"/>
  <c r="Z801" i="1"/>
  <c r="Z797" i="1"/>
  <c r="Y797" i="1"/>
  <c r="Y793" i="1"/>
  <c r="Z793" i="1"/>
  <c r="Z789" i="1"/>
  <c r="Y789" i="1"/>
  <c r="Y785" i="1"/>
  <c r="Z785" i="1"/>
  <c r="Z781" i="1"/>
  <c r="Y781" i="1"/>
  <c r="Y777" i="1"/>
  <c r="Z777" i="1"/>
  <c r="Z773" i="1"/>
  <c r="Y773" i="1"/>
  <c r="Y769" i="1"/>
  <c r="Z769" i="1"/>
  <c r="Z765" i="1"/>
  <c r="Y765" i="1"/>
  <c r="Y761" i="1"/>
  <c r="Z761" i="1"/>
  <c r="Y757" i="1"/>
  <c r="Z757" i="1"/>
  <c r="Y753" i="1"/>
  <c r="Z753" i="1"/>
  <c r="Z749" i="1"/>
  <c r="Y749" i="1"/>
  <c r="Y745" i="1"/>
  <c r="Z745" i="1"/>
  <c r="Y741" i="1"/>
  <c r="Z741" i="1"/>
  <c r="Y737" i="1"/>
  <c r="Z737" i="1"/>
  <c r="Z733" i="1"/>
  <c r="Y733" i="1"/>
  <c r="Y729" i="1"/>
  <c r="Z729" i="1"/>
  <c r="Y725" i="1"/>
  <c r="Z725" i="1"/>
  <c r="Y721" i="1"/>
  <c r="Z721" i="1"/>
  <c r="Y717" i="1"/>
  <c r="Z717" i="1"/>
  <c r="Y713" i="1"/>
  <c r="Z713" i="1"/>
  <c r="Z709" i="1"/>
  <c r="AK709" i="1" s="1"/>
  <c r="Y709" i="1"/>
  <c r="Y705" i="1"/>
  <c r="Z705" i="1"/>
  <c r="AK705" i="1" s="1"/>
  <c r="Y701" i="1"/>
  <c r="Z701" i="1"/>
  <c r="AK701" i="1" s="1"/>
  <c r="Y697" i="1"/>
  <c r="AF697" i="1" s="1"/>
  <c r="Z697" i="1"/>
  <c r="Z693" i="1"/>
  <c r="Y693" i="1"/>
  <c r="AF693" i="1" s="1"/>
  <c r="Y689" i="1"/>
  <c r="AF689" i="1" s="1"/>
  <c r="Z689" i="1"/>
  <c r="Y685" i="1"/>
  <c r="AF685" i="1" s="1"/>
  <c r="Z685" i="1"/>
  <c r="Y681" i="1"/>
  <c r="AF681" i="1" s="1"/>
  <c r="Z681" i="1"/>
  <c r="Y677" i="1"/>
  <c r="AF677" i="1" s="1"/>
  <c r="Z677" i="1"/>
  <c r="Y673" i="1"/>
  <c r="AF673" i="1" s="1"/>
  <c r="Z673" i="1"/>
  <c r="Y669" i="1"/>
  <c r="AF669" i="1" s="1"/>
  <c r="Z669" i="1"/>
  <c r="Y665" i="1"/>
  <c r="AF665" i="1" s="1"/>
  <c r="Z665" i="1"/>
  <c r="Y661" i="1"/>
  <c r="AF661" i="1" s="1"/>
  <c r="Z661" i="1"/>
  <c r="Z657" i="1"/>
  <c r="Y657" i="1"/>
  <c r="AF657" i="1" s="1"/>
  <c r="Y653" i="1"/>
  <c r="Z653" i="1"/>
  <c r="Y649" i="1"/>
  <c r="AF649" i="1" s="1"/>
  <c r="Z649" i="1"/>
  <c r="Y645" i="1"/>
  <c r="AF645" i="1" s="1"/>
  <c r="Z645" i="1"/>
  <c r="Z641" i="1"/>
  <c r="Y641" i="1"/>
  <c r="AF641" i="1" s="1"/>
  <c r="Z637" i="1"/>
  <c r="Y637" i="1"/>
  <c r="AF637" i="1" s="1"/>
  <c r="Z633" i="1"/>
  <c r="Y633" i="1"/>
  <c r="AF633" i="1" s="1"/>
  <c r="Z629" i="1"/>
  <c r="Y629" i="1"/>
  <c r="AF629" i="1" s="1"/>
  <c r="Z625" i="1"/>
  <c r="Y625" i="1"/>
  <c r="AF625" i="1" s="1"/>
  <c r="Z621" i="1"/>
  <c r="Y621" i="1"/>
  <c r="AF621" i="1" s="1"/>
  <c r="Z617" i="1"/>
  <c r="Y617" i="1"/>
  <c r="AF617" i="1" s="1"/>
  <c r="Z613" i="1"/>
  <c r="Y613" i="1"/>
  <c r="AF613" i="1" s="1"/>
  <c r="Y609" i="1"/>
  <c r="Z609" i="1"/>
  <c r="Y605" i="1"/>
  <c r="Z605" i="1"/>
  <c r="AI605" i="1" s="1"/>
  <c r="Z601" i="1"/>
  <c r="AJ601" i="1" s="1"/>
  <c r="Y601" i="1"/>
  <c r="Y597" i="1"/>
  <c r="Z597" i="1"/>
  <c r="AJ597" i="1" s="1"/>
  <c r="Z593" i="1"/>
  <c r="AJ593" i="1" s="1"/>
  <c r="Y593" i="1"/>
  <c r="Y589" i="1"/>
  <c r="Z589" i="1"/>
  <c r="AJ589" i="1" s="1"/>
  <c r="Y585" i="1"/>
  <c r="Z585" i="1"/>
  <c r="AJ585" i="1" s="1"/>
  <c r="Y581" i="1"/>
  <c r="Z581" i="1"/>
  <c r="AJ581" i="1" s="1"/>
  <c r="Y577" i="1"/>
  <c r="Z577" i="1"/>
  <c r="AJ577" i="1" s="1"/>
  <c r="Y573" i="1"/>
  <c r="Z573" i="1"/>
  <c r="AJ573" i="1" s="1"/>
  <c r="Y569" i="1"/>
  <c r="Z569" i="1"/>
  <c r="AJ569" i="1" s="1"/>
  <c r="Y565" i="1"/>
  <c r="Z565" i="1"/>
  <c r="AJ565" i="1" s="1"/>
  <c r="Y561" i="1"/>
  <c r="Z561" i="1"/>
  <c r="AJ561" i="1" s="1"/>
  <c r="Y557" i="1"/>
  <c r="Z557" i="1"/>
  <c r="AJ557" i="1" s="1"/>
  <c r="Y553" i="1"/>
  <c r="Z553" i="1"/>
  <c r="AJ553" i="1" s="1"/>
  <c r="Y549" i="1"/>
  <c r="Z549" i="1"/>
  <c r="AJ549" i="1" s="1"/>
  <c r="Z545" i="1"/>
  <c r="AJ545" i="1" s="1"/>
  <c r="Y545" i="1"/>
  <c r="Y541" i="1"/>
  <c r="Z541" i="1"/>
  <c r="AJ541" i="1" s="1"/>
  <c r="Y537" i="1"/>
  <c r="Z537" i="1"/>
  <c r="AJ537" i="1" s="1"/>
  <c r="Y533" i="1"/>
  <c r="Z533" i="1"/>
  <c r="AJ533" i="1" s="1"/>
  <c r="Y529" i="1"/>
  <c r="Z529" i="1"/>
  <c r="AJ529" i="1" s="1"/>
  <c r="Y525" i="1"/>
  <c r="Z525" i="1"/>
  <c r="AJ525" i="1" s="1"/>
  <c r="Y521" i="1"/>
  <c r="Z521" i="1"/>
  <c r="AJ521" i="1" s="1"/>
  <c r="Z517" i="1"/>
  <c r="AJ517" i="1" s="1"/>
  <c r="Y517" i="1"/>
  <c r="Z513" i="1"/>
  <c r="AJ513" i="1" s="1"/>
  <c r="Y513" i="1"/>
  <c r="Z509" i="1"/>
  <c r="Y509" i="1"/>
  <c r="Y505" i="1"/>
  <c r="Z505" i="1"/>
  <c r="AJ505" i="1" s="1"/>
  <c r="Y501" i="1"/>
  <c r="Z501" i="1"/>
  <c r="AJ501" i="1" s="1"/>
  <c r="Y497" i="1"/>
  <c r="Z497" i="1"/>
  <c r="AJ497" i="1" s="1"/>
  <c r="Y493" i="1"/>
  <c r="Z493" i="1"/>
  <c r="AJ493" i="1" s="1"/>
  <c r="Y489" i="1"/>
  <c r="Z489" i="1"/>
  <c r="AJ489" i="1" s="1"/>
  <c r="Y485" i="1"/>
  <c r="Z485" i="1"/>
  <c r="AJ485" i="1" s="1"/>
  <c r="Y481" i="1"/>
  <c r="Z481" i="1"/>
  <c r="AJ481" i="1" s="1"/>
  <c r="Z477" i="1"/>
  <c r="AK477" i="1" s="1"/>
  <c r="Y477" i="1"/>
  <c r="Y473" i="1"/>
  <c r="Z473" i="1"/>
  <c r="Y469" i="1"/>
  <c r="Z469" i="1"/>
  <c r="AK469" i="1" s="1"/>
  <c r="Y465" i="1"/>
  <c r="Z465" i="1"/>
  <c r="Y461" i="1"/>
  <c r="Z461" i="1"/>
  <c r="AK461" i="1" s="1"/>
  <c r="Y457" i="1"/>
  <c r="Z457" i="1"/>
  <c r="AJ457" i="1" s="1"/>
  <c r="Y453" i="1"/>
  <c r="Z453" i="1"/>
  <c r="AK453" i="1" s="1"/>
  <c r="Y449" i="1"/>
  <c r="Z449" i="1"/>
  <c r="AK449" i="1" s="1"/>
  <c r="Y445" i="1"/>
  <c r="Z445" i="1"/>
  <c r="AK445" i="1" s="1"/>
  <c r="Y441" i="1"/>
  <c r="Z441" i="1"/>
  <c r="AI441" i="1" s="1"/>
  <c r="Y437" i="1"/>
  <c r="Z437" i="1"/>
  <c r="AK437" i="1" s="1"/>
  <c r="Y433" i="1"/>
  <c r="Z433" i="1"/>
  <c r="AK433" i="1" s="1"/>
  <c r="Y429" i="1"/>
  <c r="Z429" i="1"/>
  <c r="AK429" i="1" s="1"/>
  <c r="Y425" i="1"/>
  <c r="Z425" i="1"/>
  <c r="AK425" i="1" s="1"/>
  <c r="Y421" i="1"/>
  <c r="Z421" i="1"/>
  <c r="AK421" i="1" s="1"/>
  <c r="Y417" i="1"/>
  <c r="Z417" i="1"/>
  <c r="AI417" i="1" s="1"/>
  <c r="Z413" i="1"/>
  <c r="Y413" i="1"/>
  <c r="Y409" i="1"/>
  <c r="Z409" i="1"/>
  <c r="Z405" i="1"/>
  <c r="Y405" i="1"/>
  <c r="Y401" i="1"/>
  <c r="Z401" i="1"/>
  <c r="Z397" i="1"/>
  <c r="Y397" i="1"/>
  <c r="Y393" i="1"/>
  <c r="Z393" i="1"/>
  <c r="Z389" i="1"/>
  <c r="Y389" i="1"/>
  <c r="Y385" i="1"/>
  <c r="Z385" i="1"/>
  <c r="Z381" i="1"/>
  <c r="Y381" i="1"/>
  <c r="Z377" i="1"/>
  <c r="AK377" i="1" s="1"/>
  <c r="Y377" i="1"/>
  <c r="Z373" i="1"/>
  <c r="AK373" i="1" s="1"/>
  <c r="Y373" i="1"/>
  <c r="Z369" i="1"/>
  <c r="AK369" i="1" s="1"/>
  <c r="Y369" i="1"/>
  <c r="Z365" i="1"/>
  <c r="AK365" i="1" s="1"/>
  <c r="Y365" i="1"/>
  <c r="Z361" i="1"/>
  <c r="AK361" i="1" s="1"/>
  <c r="Y361" i="1"/>
  <c r="Y357" i="1"/>
  <c r="Z357" i="1"/>
  <c r="AK357" i="1" s="1"/>
  <c r="Y353" i="1"/>
  <c r="Z353" i="1"/>
  <c r="AK353" i="1" s="1"/>
  <c r="Y349" i="1"/>
  <c r="Z349" i="1"/>
  <c r="AK349" i="1" s="1"/>
  <c r="Y345" i="1"/>
  <c r="Z345" i="1"/>
  <c r="AK345" i="1" s="1"/>
  <c r="Y341" i="1"/>
  <c r="Z341" i="1"/>
  <c r="AK341" i="1" s="1"/>
  <c r="Y337" i="1"/>
  <c r="Z337" i="1"/>
  <c r="AK337" i="1" s="1"/>
  <c r="Y333" i="1"/>
  <c r="Z333" i="1"/>
  <c r="AK333" i="1" s="1"/>
  <c r="Y329" i="1"/>
  <c r="Z329" i="1"/>
  <c r="AK329" i="1" s="1"/>
  <c r="Z325" i="1"/>
  <c r="Y325" i="1"/>
  <c r="Z321" i="1"/>
  <c r="AI321" i="1" s="1"/>
  <c r="Y321" i="1"/>
  <c r="Y317" i="1"/>
  <c r="Z317" i="1"/>
  <c r="AI317" i="1" s="1"/>
  <c r="Y313" i="1"/>
  <c r="Z313" i="1"/>
  <c r="AI313" i="1" s="1"/>
  <c r="Y309" i="1"/>
  <c r="Z309" i="1"/>
  <c r="AI309" i="1" s="1"/>
  <c r="Z305" i="1"/>
  <c r="AI305" i="1" s="1"/>
  <c r="Y305" i="1"/>
  <c r="Y301" i="1"/>
  <c r="Z301" i="1"/>
  <c r="AI301" i="1" s="1"/>
  <c r="Y297" i="1"/>
  <c r="Z297" i="1"/>
  <c r="AI297" i="1" s="1"/>
  <c r="Y293" i="1"/>
  <c r="Z293" i="1"/>
  <c r="AI293" i="1" s="1"/>
  <c r="Z289" i="1"/>
  <c r="AI289" i="1" s="1"/>
  <c r="Y289" i="1"/>
  <c r="Y285" i="1"/>
  <c r="Z285" i="1"/>
  <c r="AI285" i="1" s="1"/>
  <c r="Y281" i="1"/>
  <c r="Z281" i="1"/>
  <c r="AI281" i="1" s="1"/>
  <c r="Z277" i="1"/>
  <c r="AK277" i="1" s="1"/>
  <c r="Y277" i="1"/>
  <c r="Y273" i="1"/>
  <c r="Z273" i="1"/>
  <c r="AK273" i="1" s="1"/>
  <c r="Z269" i="1"/>
  <c r="AK269" i="1" s="1"/>
  <c r="Y269" i="1"/>
  <c r="Z265" i="1"/>
  <c r="AK265" i="1" s="1"/>
  <c r="Y265" i="1"/>
  <c r="Z261" i="1"/>
  <c r="AK261" i="1" s="1"/>
  <c r="Y261" i="1"/>
  <c r="Z257" i="1"/>
  <c r="AK257" i="1" s="1"/>
  <c r="Y257" i="1"/>
  <c r="Z253" i="1"/>
  <c r="AK253" i="1" s="1"/>
  <c r="Y253" i="1"/>
  <c r="Z249" i="1"/>
  <c r="AK249" i="1" s="1"/>
  <c r="Y249" i="1"/>
  <c r="Z245" i="1"/>
  <c r="AK245" i="1" s="1"/>
  <c r="Y245" i="1"/>
  <c r="Z241" i="1"/>
  <c r="AK241" i="1" s="1"/>
  <c r="Y241" i="1"/>
  <c r="Z237" i="1"/>
  <c r="AK237" i="1" s="1"/>
  <c r="Y237" i="1"/>
  <c r="Z233" i="1"/>
  <c r="AK233" i="1" s="1"/>
  <c r="Y233" i="1"/>
  <c r="Z229" i="1"/>
  <c r="AK229" i="1" s="1"/>
  <c r="Y229" i="1"/>
  <c r="Y225" i="1"/>
  <c r="Z225" i="1"/>
  <c r="Z221" i="1"/>
  <c r="AK221" i="1" s="1"/>
  <c r="Y221" i="1"/>
  <c r="Z217" i="1"/>
  <c r="AI217" i="1" s="1"/>
  <c r="Y217" i="1"/>
  <c r="Z213" i="1"/>
  <c r="AI213" i="1" s="1"/>
  <c r="Y213" i="1"/>
  <c r="Z209" i="1"/>
  <c r="AI209" i="1" s="1"/>
  <c r="Y209" i="1"/>
  <c r="Y205" i="1"/>
  <c r="Z205" i="1"/>
  <c r="AI205" i="1" s="1"/>
  <c r="Y201" i="1"/>
  <c r="Z201" i="1"/>
  <c r="AI201" i="1" s="1"/>
  <c r="Z197" i="1"/>
  <c r="AK197" i="1" s="1"/>
  <c r="Y197" i="1"/>
  <c r="Y193" i="1"/>
  <c r="Z193" i="1"/>
  <c r="AJ193" i="1" s="1"/>
  <c r="Z189" i="1"/>
  <c r="AK189" i="1" s="1"/>
  <c r="Y189" i="1"/>
  <c r="Y185" i="1"/>
  <c r="Z185" i="1"/>
  <c r="AJ185" i="1" s="1"/>
  <c r="Z181" i="1"/>
  <c r="AK181" i="1" s="1"/>
  <c r="Y181" i="1"/>
  <c r="Z177" i="1"/>
  <c r="AK177" i="1" s="1"/>
  <c r="Y177" i="1"/>
  <c r="Z173" i="1"/>
  <c r="Y173" i="1"/>
  <c r="Y169" i="1"/>
  <c r="Z169" i="1"/>
  <c r="AK169" i="1" s="1"/>
  <c r="Y165" i="1"/>
  <c r="Z165" i="1"/>
  <c r="AK165" i="1" s="1"/>
  <c r="Y161" i="1"/>
  <c r="Z161" i="1"/>
  <c r="AK161" i="1" s="1"/>
  <c r="Z157" i="1"/>
  <c r="AK157" i="1" s="1"/>
  <c r="Y157" i="1"/>
  <c r="Y153" i="1"/>
  <c r="Z153" i="1"/>
  <c r="AK153" i="1" s="1"/>
  <c r="Z149" i="1"/>
  <c r="AK149" i="1" s="1"/>
  <c r="Y149" i="1"/>
  <c r="Y145" i="1"/>
  <c r="Z145" i="1"/>
  <c r="AK145" i="1" s="1"/>
  <c r="Y141" i="1"/>
  <c r="Z141" i="1"/>
  <c r="AK141" i="1" s="1"/>
  <c r="Z137" i="1"/>
  <c r="AK137" i="1" s="1"/>
  <c r="Y137" i="1"/>
  <c r="Z133" i="1"/>
  <c r="AK133" i="1" s="1"/>
  <c r="Y133" i="1"/>
  <c r="Y129" i="1"/>
  <c r="Z129" i="1"/>
  <c r="AK129" i="1" s="1"/>
  <c r="Z125" i="1"/>
  <c r="AK125" i="1" s="1"/>
  <c r="Y125" i="1"/>
  <c r="Y121" i="1"/>
  <c r="Z121" i="1"/>
  <c r="AK121" i="1" s="1"/>
  <c r="Z117" i="1"/>
  <c r="AK117" i="1" s="1"/>
  <c r="Y117" i="1"/>
  <c r="Y113" i="1"/>
  <c r="Z113" i="1"/>
  <c r="AK113" i="1" s="1"/>
  <c r="Z109" i="1"/>
  <c r="AK109" i="1" s="1"/>
  <c r="Y109" i="1"/>
  <c r="Z105" i="1"/>
  <c r="AK105" i="1" s="1"/>
  <c r="Y105" i="1"/>
  <c r="Z101" i="1"/>
  <c r="AI101" i="1" s="1"/>
  <c r="Y101" i="1"/>
  <c r="Z97" i="1"/>
  <c r="Y97" i="1"/>
  <c r="Y93" i="1"/>
  <c r="AF93" i="1" s="1"/>
  <c r="Z93" i="1"/>
  <c r="Z89" i="1"/>
  <c r="Y89" i="1"/>
  <c r="AH89" i="1" s="1"/>
  <c r="Z85" i="1"/>
  <c r="Y85" i="1"/>
  <c r="AH85" i="1" s="1"/>
  <c r="Z81" i="1"/>
  <c r="Y81" i="1"/>
  <c r="AH81" i="1" s="1"/>
  <c r="Z77" i="1"/>
  <c r="Y77" i="1"/>
  <c r="AH77" i="1" s="1"/>
  <c r="Z73" i="1"/>
  <c r="Y73" i="1"/>
  <c r="AH73" i="1" s="1"/>
  <c r="Z69" i="1"/>
  <c r="Y69" i="1"/>
  <c r="Z65" i="1"/>
  <c r="Y65" i="1"/>
  <c r="Y61" i="1"/>
  <c r="Z61" i="1"/>
  <c r="Z57" i="1"/>
  <c r="Y57" i="1"/>
  <c r="Y53" i="1"/>
  <c r="Z53" i="1"/>
  <c r="Z49" i="1"/>
  <c r="Y49" i="1"/>
  <c r="Z45" i="1"/>
  <c r="Y45" i="1"/>
  <c r="Y41" i="1"/>
  <c r="Z41" i="1"/>
  <c r="Z37" i="1"/>
  <c r="Y37" i="1"/>
  <c r="Z33" i="1"/>
  <c r="Y33" i="1"/>
  <c r="Y29" i="1"/>
  <c r="Z29" i="1"/>
  <c r="Z25" i="1"/>
  <c r="Y25" i="1"/>
  <c r="Y21" i="1"/>
  <c r="Z21" i="1"/>
  <c r="Y17" i="1"/>
  <c r="Z17" i="1"/>
  <c r="Z13" i="1"/>
  <c r="Y13" i="1"/>
  <c r="AE1040" i="1"/>
  <c r="AD1039" i="1"/>
  <c r="Z1039" i="1"/>
  <c r="AE1038" i="1"/>
  <c r="AD1037" i="1"/>
  <c r="AE1036" i="1"/>
  <c r="AD1035" i="1"/>
  <c r="Z1035" i="1"/>
  <c r="AD1034" i="1"/>
  <c r="Z1034" i="1"/>
  <c r="AD1033" i="1"/>
  <c r="AE1032" i="1"/>
  <c r="AE1031" i="1"/>
  <c r="AE1030" i="1"/>
  <c r="AE1029" i="1"/>
  <c r="AC1028" i="1"/>
  <c r="AC1027" i="1"/>
  <c r="AD1026" i="1"/>
  <c r="Z1026" i="1"/>
  <c r="AC1025" i="1"/>
  <c r="AE1024" i="1"/>
  <c r="AD1023" i="1"/>
  <c r="Z1023" i="1"/>
  <c r="AE1022" i="1"/>
  <c r="AD1021" i="1"/>
  <c r="AE1020" i="1"/>
  <c r="AD1019" i="1"/>
  <c r="Z1019" i="1"/>
  <c r="AD1018" i="1"/>
  <c r="Z1018" i="1"/>
  <c r="AD1017" i="1"/>
  <c r="AE1016" i="1"/>
  <c r="AE1015" i="1"/>
  <c r="AE1014" i="1"/>
  <c r="AE1013" i="1"/>
  <c r="AC1012" i="1"/>
  <c r="AC1011" i="1"/>
  <c r="AD1010" i="1"/>
  <c r="Z1010" i="1"/>
  <c r="AC1009" i="1"/>
  <c r="AE1008" i="1"/>
  <c r="AD1007" i="1"/>
  <c r="Z1007" i="1"/>
  <c r="AE1006" i="1"/>
  <c r="AD1005" i="1"/>
  <c r="AE1004" i="1"/>
  <c r="AD1003" i="1"/>
  <c r="Z1003" i="1"/>
  <c r="AD1002" i="1"/>
  <c r="Z1002" i="1"/>
  <c r="AD1001" i="1"/>
  <c r="AE1000" i="1"/>
  <c r="AE999" i="1"/>
  <c r="AB998" i="1"/>
  <c r="AB997" i="1"/>
  <c r="AC996" i="1"/>
  <c r="AC995" i="1"/>
  <c r="AD994" i="1"/>
  <c r="Z994" i="1"/>
  <c r="AD993" i="1"/>
  <c r="AE992" i="1"/>
  <c r="AE991" i="1"/>
  <c r="AB990" i="1"/>
  <c r="AB989" i="1"/>
  <c r="AC988" i="1"/>
  <c r="AC987" i="1"/>
  <c r="AC986" i="1"/>
  <c r="AC985" i="1"/>
  <c r="AE984" i="1"/>
  <c r="AE983" i="1"/>
  <c r="AB982" i="1"/>
  <c r="AE981" i="1"/>
  <c r="AC980" i="1"/>
  <c r="AC979" i="1"/>
  <c r="AD978" i="1"/>
  <c r="Z978" i="1"/>
  <c r="AD977" i="1"/>
  <c r="AC976" i="1"/>
  <c r="AD975" i="1"/>
  <c r="Z975" i="1"/>
  <c r="AD974" i="1"/>
  <c r="Z974" i="1"/>
  <c r="AE973" i="1"/>
  <c r="AD972" i="1"/>
  <c r="AE971" i="1"/>
  <c r="AE970" i="1"/>
  <c r="AE969" i="1"/>
  <c r="AC968" i="1"/>
  <c r="AD967" i="1"/>
  <c r="Z967" i="1"/>
  <c r="AB966" i="1"/>
  <c r="AC965" i="1"/>
  <c r="AB964" i="1"/>
  <c r="AC963" i="1"/>
  <c r="AD962" i="1"/>
  <c r="Z962" i="1"/>
  <c r="AC961" i="1"/>
  <c r="AD960" i="1"/>
  <c r="AE959" i="1"/>
  <c r="AC958" i="1"/>
  <c r="AD957" i="1"/>
  <c r="AC956" i="1"/>
  <c r="AD955" i="1"/>
  <c r="Z955" i="1"/>
  <c r="AD954" i="1"/>
  <c r="Z954" i="1"/>
  <c r="AD953" i="1"/>
  <c r="AB952" i="1"/>
  <c r="AD951" i="1"/>
  <c r="Z951" i="1"/>
  <c r="AE950" i="1"/>
  <c r="AD949" i="1"/>
  <c r="AE948" i="1"/>
  <c r="AB947" i="1"/>
  <c r="AC946" i="1"/>
  <c r="AE945" i="1"/>
  <c r="AC944" i="1"/>
  <c r="AD943" i="1"/>
  <c r="Z943" i="1"/>
  <c r="AD942" i="1"/>
  <c r="Z942" i="1"/>
  <c r="AJ942" i="1" s="1"/>
  <c r="AC941" i="1"/>
  <c r="AD940" i="1"/>
  <c r="Z940" i="1"/>
  <c r="AI940" i="1" s="1"/>
  <c r="AE939" i="1"/>
  <c r="AD938" i="1"/>
  <c r="Z938" i="1"/>
  <c r="AK938" i="1" s="1"/>
  <c r="AC937" i="1"/>
  <c r="AC936" i="1"/>
  <c r="AD935" i="1"/>
  <c r="Z935" i="1"/>
  <c r="AD934" i="1"/>
  <c r="Z934" i="1"/>
  <c r="AI934" i="1" s="1"/>
  <c r="AD933" i="1"/>
  <c r="AE932" i="1"/>
  <c r="AB931" i="1"/>
  <c r="AE930" i="1"/>
  <c r="AD929" i="1"/>
  <c r="Z929" i="1"/>
  <c r="AD928" i="1"/>
  <c r="Z928" i="1"/>
  <c r="AI928" i="1" s="1"/>
  <c r="AE927" i="1"/>
  <c r="AE926" i="1"/>
  <c r="AE925" i="1"/>
  <c r="AB924" i="1"/>
  <c r="AC923" i="1"/>
  <c r="AB922" i="1"/>
  <c r="AE921" i="1"/>
  <c r="AB920" i="1"/>
  <c r="AD919" i="1"/>
  <c r="Z919" i="1"/>
  <c r="AD918" i="1"/>
  <c r="Z918" i="1"/>
  <c r="AI918" i="1" s="1"/>
  <c r="AD917" i="1"/>
  <c r="Z917" i="1"/>
  <c r="AB916" i="1"/>
  <c r="AD915" i="1"/>
  <c r="Z915" i="1"/>
  <c r="AC914" i="1"/>
  <c r="AB913" i="1"/>
  <c r="AC912" i="1"/>
  <c r="AD911" i="1"/>
  <c r="Z911" i="1"/>
  <c r="AD910" i="1"/>
  <c r="Z910" i="1"/>
  <c r="AI910" i="1" s="1"/>
  <c r="AD909" i="1"/>
  <c r="Z909" i="1"/>
  <c r="AE908" i="1"/>
  <c r="AB907" i="1"/>
  <c r="AE906" i="1"/>
  <c r="AD905" i="1"/>
  <c r="Z905" i="1"/>
  <c r="AC904" i="1"/>
  <c r="AG903" i="1"/>
  <c r="AH902" i="1"/>
  <c r="AB902" i="1"/>
  <c r="AD901" i="1"/>
  <c r="AC899" i="1"/>
  <c r="AD898" i="1"/>
  <c r="AC897" i="1"/>
  <c r="AE896" i="1"/>
  <c r="Y896" i="1"/>
  <c r="AB895" i="1"/>
  <c r="AD893" i="1"/>
  <c r="Z893" i="1"/>
  <c r="AD892" i="1"/>
  <c r="AD889" i="1"/>
  <c r="AD885" i="1"/>
  <c r="Z883" i="1"/>
  <c r="Y882" i="1"/>
  <c r="AH878" i="1"/>
  <c r="Z878" i="1"/>
  <c r="AI878" i="1" s="1"/>
  <c r="AE877" i="1"/>
  <c r="Y874" i="1"/>
  <c r="Z873" i="1"/>
  <c r="Z863" i="1"/>
  <c r="AH860" i="1"/>
  <c r="AH856" i="1"/>
  <c r="AH852" i="1"/>
  <c r="AC855" i="1"/>
  <c r="AE855" i="1"/>
  <c r="AB855" i="1"/>
  <c r="AD764" i="1"/>
  <c r="AE764" i="1"/>
  <c r="AB764" i="1"/>
  <c r="AC764" i="1"/>
  <c r="AB756" i="1"/>
  <c r="AC756" i="1"/>
  <c r="AD756" i="1"/>
  <c r="AE756" i="1"/>
  <c r="AB740" i="1"/>
  <c r="AC740" i="1"/>
  <c r="AD740" i="1"/>
  <c r="AE740" i="1"/>
  <c r="AC728" i="1"/>
  <c r="AD728" i="1"/>
  <c r="AE728" i="1"/>
  <c r="AB728" i="1"/>
  <c r="AE712" i="1"/>
  <c r="AB712" i="1"/>
  <c r="AC712" i="1"/>
  <c r="AD712" i="1"/>
  <c r="AC771" i="1"/>
  <c r="AD771" i="1"/>
  <c r="AE771" i="1"/>
  <c r="AB771" i="1"/>
  <c r="AC759" i="1"/>
  <c r="AD759" i="1"/>
  <c r="AE759" i="1"/>
  <c r="AB759" i="1"/>
  <c r="AC743" i="1"/>
  <c r="AD743" i="1"/>
  <c r="AE743" i="1"/>
  <c r="AB743" i="1"/>
  <c r="AE891" i="1"/>
  <c r="AD891" i="1"/>
  <c r="AB887" i="1"/>
  <c r="AE887" i="1"/>
  <c r="AB883" i="1"/>
  <c r="AE883" i="1"/>
  <c r="AC879" i="1"/>
  <c r="AB879" i="1"/>
  <c r="AD770" i="1"/>
  <c r="AE770" i="1"/>
  <c r="AB770" i="1"/>
  <c r="AC770" i="1"/>
  <c r="AB766" i="1"/>
  <c r="AC766" i="1"/>
  <c r="AD766" i="1"/>
  <c r="AE766" i="1"/>
  <c r="AD762" i="1"/>
  <c r="AE762" i="1"/>
  <c r="AB762" i="1"/>
  <c r="AC762" i="1"/>
  <c r="AD758" i="1"/>
  <c r="AE758" i="1"/>
  <c r="AB758" i="1"/>
  <c r="AC758" i="1"/>
  <c r="AC754" i="1"/>
  <c r="AD754" i="1"/>
  <c r="AE754" i="1"/>
  <c r="AB754" i="1"/>
  <c r="AB750" i="1"/>
  <c r="AC750" i="1"/>
  <c r="AD750" i="1"/>
  <c r="AE750" i="1"/>
  <c r="AE746" i="1"/>
  <c r="AB746" i="1"/>
  <c r="AC746" i="1"/>
  <c r="AD746" i="1"/>
  <c r="AD742" i="1"/>
  <c r="AE742" i="1"/>
  <c r="AB742" i="1"/>
  <c r="AC742" i="1"/>
  <c r="AC738" i="1"/>
  <c r="AD738" i="1"/>
  <c r="AE738" i="1"/>
  <c r="AB738" i="1"/>
  <c r="AB734" i="1"/>
  <c r="AC734" i="1"/>
  <c r="AD734" i="1"/>
  <c r="AE734" i="1"/>
  <c r="AE730" i="1"/>
  <c r="AB730" i="1"/>
  <c r="AC730" i="1"/>
  <c r="AD730" i="1"/>
  <c r="AD726" i="1"/>
  <c r="AE726" i="1"/>
  <c r="AB726" i="1"/>
  <c r="AC726" i="1"/>
  <c r="AC722" i="1"/>
  <c r="AD722" i="1"/>
  <c r="AE722" i="1"/>
  <c r="AB722" i="1"/>
  <c r="AC718" i="1"/>
  <c r="AD718" i="1"/>
  <c r="AE718" i="1"/>
  <c r="AB718" i="1"/>
  <c r="AC714" i="1"/>
  <c r="AD714" i="1"/>
  <c r="AE714" i="1"/>
  <c r="AB714" i="1"/>
  <c r="AC710" i="1"/>
  <c r="AD710" i="1"/>
  <c r="AE710" i="1"/>
  <c r="AB710" i="1"/>
  <c r="AH889" i="1"/>
  <c r="AG889" i="1"/>
  <c r="Z881" i="1"/>
  <c r="Y881" i="1"/>
  <c r="AF881" i="1" s="1"/>
  <c r="AH877" i="1"/>
  <c r="AG877" i="1"/>
  <c r="AH871" i="1"/>
  <c r="AG871" i="1"/>
  <c r="AH867" i="1"/>
  <c r="AG867" i="1"/>
  <c r="AH863" i="1"/>
  <c r="AG863" i="1"/>
  <c r="AH859" i="1"/>
  <c r="AG859" i="1"/>
  <c r="AH855" i="1"/>
  <c r="AG855" i="1"/>
  <c r="AH851" i="1"/>
  <c r="AG851" i="1"/>
  <c r="Y847" i="1"/>
  <c r="AF847" i="1" s="1"/>
  <c r="Z847" i="1"/>
  <c r="Y843" i="1"/>
  <c r="AF843" i="1" s="1"/>
  <c r="Z843" i="1"/>
  <c r="Z839" i="1"/>
  <c r="Y839" i="1"/>
  <c r="AF839" i="1" s="1"/>
  <c r="Y835" i="1"/>
  <c r="AF835" i="1" s="1"/>
  <c r="Z835" i="1"/>
  <c r="Z831" i="1"/>
  <c r="Y831" i="1"/>
  <c r="AF831" i="1" s="1"/>
  <c r="Y827" i="1"/>
  <c r="Z827" i="1"/>
  <c r="AJ827" i="1" s="1"/>
  <c r="Y823" i="1"/>
  <c r="Z823" i="1"/>
  <c r="AJ823" i="1" s="1"/>
  <c r="Y875" i="1"/>
  <c r="Z875" i="1"/>
  <c r="AJ875" i="1" s="1"/>
  <c r="Z816" i="1"/>
  <c r="AJ816" i="1" s="1"/>
  <c r="Y816" i="1"/>
  <c r="Z812" i="1"/>
  <c r="AJ812" i="1" s="1"/>
  <c r="Y812" i="1"/>
  <c r="Z808" i="1"/>
  <c r="AJ808" i="1" s="1"/>
  <c r="Y808" i="1"/>
  <c r="Z804" i="1"/>
  <c r="AJ804" i="1" s="1"/>
  <c r="Y804" i="1"/>
  <c r="Y800" i="1"/>
  <c r="Z800" i="1"/>
  <c r="AJ800" i="1" s="1"/>
  <c r="Z796" i="1"/>
  <c r="AJ796" i="1" s="1"/>
  <c r="Y796" i="1"/>
  <c r="Y792" i="1"/>
  <c r="Z792" i="1"/>
  <c r="AJ792" i="1" s="1"/>
  <c r="Z788" i="1"/>
  <c r="AJ788" i="1" s="1"/>
  <c r="Y788" i="1"/>
  <c r="Y784" i="1"/>
  <c r="Z784" i="1"/>
  <c r="AJ784" i="1" s="1"/>
  <c r="Z780" i="1"/>
  <c r="AJ780" i="1" s="1"/>
  <c r="Y780" i="1"/>
  <c r="Y776" i="1"/>
  <c r="Z776" i="1"/>
  <c r="AJ776" i="1" s="1"/>
  <c r="Z772" i="1"/>
  <c r="AJ772" i="1" s="1"/>
  <c r="Y772" i="1"/>
  <c r="Y768" i="1"/>
  <c r="Z768" i="1"/>
  <c r="AJ768" i="1" s="1"/>
  <c r="Z764" i="1"/>
  <c r="AJ764" i="1" s="1"/>
  <c r="Y764" i="1"/>
  <c r="Y760" i="1"/>
  <c r="Z760" i="1"/>
  <c r="Y756" i="1"/>
  <c r="AF756" i="1" s="1"/>
  <c r="Z756" i="1"/>
  <c r="Y752" i="1"/>
  <c r="AF752" i="1" s="1"/>
  <c r="Z752" i="1"/>
  <c r="Z748" i="1"/>
  <c r="Y748" i="1"/>
  <c r="AF748" i="1" s="1"/>
  <c r="Y744" i="1"/>
  <c r="AF744" i="1" s="1"/>
  <c r="Z744" i="1"/>
  <c r="Y740" i="1"/>
  <c r="AF740" i="1" s="1"/>
  <c r="Z740" i="1"/>
  <c r="Y736" i="1"/>
  <c r="AF736" i="1" s="1"/>
  <c r="Z736" i="1"/>
  <c r="Z732" i="1"/>
  <c r="Y732" i="1"/>
  <c r="AF732" i="1" s="1"/>
  <c r="Y728" i="1"/>
  <c r="AF728" i="1" s="1"/>
  <c r="Z728" i="1"/>
  <c r="Y724" i="1"/>
  <c r="AF724" i="1" s="1"/>
  <c r="Z724" i="1"/>
  <c r="Y720" i="1"/>
  <c r="AF720" i="1" s="1"/>
  <c r="Z720" i="1"/>
  <c r="Y716" i="1"/>
  <c r="AF716" i="1" s="1"/>
  <c r="Z716" i="1"/>
  <c r="Y712" i="1"/>
  <c r="AF712" i="1" s="1"/>
  <c r="Z712" i="1"/>
  <c r="Z708" i="1"/>
  <c r="Y708" i="1"/>
  <c r="AF708" i="1" s="1"/>
  <c r="Y704" i="1"/>
  <c r="AF704" i="1" s="1"/>
  <c r="Z704" i="1"/>
  <c r="Y700" i="1"/>
  <c r="AF700" i="1" s="1"/>
  <c r="Z700" i="1"/>
  <c r="Y696" i="1"/>
  <c r="Z696" i="1"/>
  <c r="AJ696" i="1" s="1"/>
  <c r="Y692" i="1"/>
  <c r="Z692" i="1"/>
  <c r="AI692" i="1" s="1"/>
  <c r="Y688" i="1"/>
  <c r="Z688" i="1"/>
  <c r="AI688" i="1" s="1"/>
  <c r="Y684" i="1"/>
  <c r="Z684" i="1"/>
  <c r="AI684" i="1" s="1"/>
  <c r="Y680" i="1"/>
  <c r="Z680" i="1"/>
  <c r="AI680" i="1" s="1"/>
  <c r="Y676" i="1"/>
  <c r="Z676" i="1"/>
  <c r="AI676" i="1" s="1"/>
  <c r="Y672" i="1"/>
  <c r="Z672" i="1"/>
  <c r="AI672" i="1" s="1"/>
  <c r="Y668" i="1"/>
  <c r="Z668" i="1"/>
  <c r="AI668" i="1" s="1"/>
  <c r="Y664" i="1"/>
  <c r="Z664" i="1"/>
  <c r="AI664" i="1" s="1"/>
  <c r="Y660" i="1"/>
  <c r="Z660" i="1"/>
  <c r="AI660" i="1" s="1"/>
  <c r="Y656" i="1"/>
  <c r="Z656" i="1"/>
  <c r="AI656" i="1" s="1"/>
  <c r="Z652" i="1"/>
  <c r="AI652" i="1" s="1"/>
  <c r="Y652" i="1"/>
  <c r="Y648" i="1"/>
  <c r="Z648" i="1"/>
  <c r="AI648" i="1" s="1"/>
  <c r="Y644" i="1"/>
  <c r="Z644" i="1"/>
  <c r="AI644" i="1" s="1"/>
  <c r="Y640" i="1"/>
  <c r="Z640" i="1"/>
  <c r="AI640" i="1" s="1"/>
  <c r="Y636" i="1"/>
  <c r="Z636" i="1"/>
  <c r="AI636" i="1" s="1"/>
  <c r="Y632" i="1"/>
  <c r="Z632" i="1"/>
  <c r="AI632" i="1" s="1"/>
  <c r="Y628" i="1"/>
  <c r="Z628" i="1"/>
  <c r="AI628" i="1" s="1"/>
  <c r="Y624" i="1"/>
  <c r="Z624" i="1"/>
  <c r="AI624" i="1" s="1"/>
  <c r="Y620" i="1"/>
  <c r="Z620" i="1"/>
  <c r="AI620" i="1" s="1"/>
  <c r="Y616" i="1"/>
  <c r="Z616" i="1"/>
  <c r="AI616" i="1" s="1"/>
  <c r="Y612" i="1"/>
  <c r="Z612" i="1"/>
  <c r="AI612" i="1" s="1"/>
  <c r="Y608" i="1"/>
  <c r="Z608" i="1"/>
  <c r="AK608" i="1" s="1"/>
  <c r="Y604" i="1"/>
  <c r="Z604" i="1"/>
  <c r="AK604" i="1" s="1"/>
  <c r="Y600" i="1"/>
  <c r="AH600" i="1" s="1"/>
  <c r="Z600" i="1"/>
  <c r="AI600" i="1" s="1"/>
  <c r="Z596" i="1"/>
  <c r="AI596" i="1" s="1"/>
  <c r="Y596" i="1"/>
  <c r="AH596" i="1" s="1"/>
  <c r="Y592" i="1"/>
  <c r="AH592" i="1" s="1"/>
  <c r="Z592" i="1"/>
  <c r="AI592" i="1" s="1"/>
  <c r="Y588" i="1"/>
  <c r="Z588" i="1"/>
  <c r="AI588" i="1" s="1"/>
  <c r="Y584" i="1"/>
  <c r="Z584" i="1"/>
  <c r="AI584" i="1" s="1"/>
  <c r="Y580" i="1"/>
  <c r="Z580" i="1"/>
  <c r="AI580" i="1" s="1"/>
  <c r="Z576" i="1"/>
  <c r="AJ576" i="1" s="1"/>
  <c r="Y576" i="1"/>
  <c r="Y572" i="1"/>
  <c r="Z572" i="1"/>
  <c r="AJ572" i="1" s="1"/>
  <c r="Z568" i="1"/>
  <c r="AJ568" i="1" s="1"/>
  <c r="Y568" i="1"/>
  <c r="Y564" i="1"/>
  <c r="Z564" i="1"/>
  <c r="AJ564" i="1" s="1"/>
  <c r="Z560" i="1"/>
  <c r="AJ560" i="1" s="1"/>
  <c r="Y560" i="1"/>
  <c r="Y556" i="1"/>
  <c r="AH556" i="1" s="1"/>
  <c r="Z556" i="1"/>
  <c r="AI556" i="1" s="1"/>
  <c r="Y552" i="1"/>
  <c r="AH552" i="1" s="1"/>
  <c r="Z552" i="1"/>
  <c r="AI552" i="1" s="1"/>
  <c r="Z548" i="1"/>
  <c r="AI548" i="1" s="1"/>
  <c r="Y548" i="1"/>
  <c r="AH548" i="1" s="1"/>
  <c r="Y544" i="1"/>
  <c r="AH544" i="1" s="1"/>
  <c r="Z544" i="1"/>
  <c r="AI544" i="1" s="1"/>
  <c r="Y540" i="1"/>
  <c r="AH540" i="1" s="1"/>
  <c r="Z540" i="1"/>
  <c r="AI540" i="1" s="1"/>
  <c r="Y536" i="1"/>
  <c r="AH536" i="1" s="1"/>
  <c r="Z536" i="1"/>
  <c r="AI536" i="1" s="1"/>
  <c r="Y532" i="1"/>
  <c r="AH532" i="1" s="1"/>
  <c r="Z532" i="1"/>
  <c r="AI532" i="1" s="1"/>
  <c r="Y528" i="1"/>
  <c r="AH528" i="1" s="1"/>
  <c r="Z528" i="1"/>
  <c r="AI528" i="1" s="1"/>
  <c r="Y524" i="1"/>
  <c r="AH524" i="1" s="1"/>
  <c r="Z524" i="1"/>
  <c r="AI524" i="1" s="1"/>
  <c r="Y520" i="1"/>
  <c r="AH520" i="1" s="1"/>
  <c r="Z520" i="1"/>
  <c r="AI520" i="1" s="1"/>
  <c r="Y516" i="1"/>
  <c r="AH516" i="1" s="1"/>
  <c r="Z516" i="1"/>
  <c r="AI516" i="1" s="1"/>
  <c r="Y512" i="1"/>
  <c r="AH512" i="1" s="1"/>
  <c r="Z512" i="1"/>
  <c r="AI512" i="1" s="1"/>
  <c r="Y508" i="1"/>
  <c r="AH508" i="1" s="1"/>
  <c r="Z508" i="1"/>
  <c r="AI508" i="1" s="1"/>
  <c r="Z504" i="1"/>
  <c r="AI504" i="1" s="1"/>
  <c r="Y504" i="1"/>
  <c r="AH504" i="1" s="1"/>
  <c r="Y500" i="1"/>
  <c r="AH500" i="1" s="1"/>
  <c r="Z500" i="1"/>
  <c r="AI500" i="1" s="1"/>
  <c r="Y496" i="1"/>
  <c r="AH496" i="1" s="1"/>
  <c r="Z496" i="1"/>
  <c r="AI496" i="1" s="1"/>
  <c r="Y492" i="1"/>
  <c r="AH492" i="1" s="1"/>
  <c r="Z492" i="1"/>
  <c r="AI492" i="1" s="1"/>
  <c r="Y488" i="1"/>
  <c r="AH488" i="1" s="1"/>
  <c r="Z488" i="1"/>
  <c r="AI488" i="1" s="1"/>
  <c r="Y484" i="1"/>
  <c r="AH484" i="1" s="1"/>
  <c r="Z484" i="1"/>
  <c r="AI484" i="1" s="1"/>
  <c r="Z480" i="1"/>
  <c r="AI480" i="1" s="1"/>
  <c r="Y480" i="1"/>
  <c r="Y476" i="1"/>
  <c r="AH476" i="1" s="1"/>
  <c r="Z476" i="1"/>
  <c r="AI476" i="1" s="1"/>
  <c r="Y472" i="1"/>
  <c r="AH472" i="1" s="1"/>
  <c r="Z472" i="1"/>
  <c r="AI472" i="1" s="1"/>
  <c r="Y468" i="1"/>
  <c r="AH468" i="1" s="1"/>
  <c r="Z468" i="1"/>
  <c r="AI468" i="1" s="1"/>
  <c r="Z464" i="1"/>
  <c r="AI464" i="1" s="1"/>
  <c r="Y464" i="1"/>
  <c r="AH464" i="1" s="1"/>
  <c r="Y460" i="1"/>
  <c r="AH460" i="1" s="1"/>
  <c r="Z460" i="1"/>
  <c r="AI460" i="1" s="1"/>
  <c r="Z456" i="1"/>
  <c r="AI456" i="1" s="1"/>
  <c r="Y456" i="1"/>
  <c r="AH456" i="1" s="1"/>
  <c r="Y452" i="1"/>
  <c r="AH452" i="1" s="1"/>
  <c r="Z452" i="1"/>
  <c r="AI452" i="1" s="1"/>
  <c r="Z448" i="1"/>
  <c r="AI448" i="1" s="1"/>
  <c r="Y448" i="1"/>
  <c r="AH448" i="1" s="1"/>
  <c r="Y444" i="1"/>
  <c r="AH444" i="1" s="1"/>
  <c r="Z444" i="1"/>
  <c r="AI444" i="1" s="1"/>
  <c r="Z440" i="1"/>
  <c r="AI440" i="1" s="1"/>
  <c r="Y440" i="1"/>
  <c r="AH440" i="1" s="1"/>
  <c r="Y436" i="1"/>
  <c r="AH436" i="1" s="1"/>
  <c r="Z436" i="1"/>
  <c r="AI436" i="1" s="1"/>
  <c r="Z432" i="1"/>
  <c r="AI432" i="1" s="1"/>
  <c r="Y432" i="1"/>
  <c r="AH432" i="1" s="1"/>
  <c r="Y428" i="1"/>
  <c r="AH428" i="1" s="1"/>
  <c r="Z428" i="1"/>
  <c r="AI428" i="1" s="1"/>
  <c r="Z424" i="1"/>
  <c r="AI424" i="1" s="1"/>
  <c r="Y424" i="1"/>
  <c r="AH424" i="1" s="1"/>
  <c r="Z420" i="1"/>
  <c r="Y420" i="1"/>
  <c r="Z416" i="1"/>
  <c r="AK416" i="1" s="1"/>
  <c r="Y416" i="1"/>
  <c r="AG416" i="1" s="1"/>
  <c r="Z412" i="1"/>
  <c r="AJ412" i="1" s="1"/>
  <c r="Y412" i="1"/>
  <c r="Y408" i="1"/>
  <c r="Z408" i="1"/>
  <c r="AK408" i="1" s="1"/>
  <c r="Y404" i="1"/>
  <c r="Z404" i="1"/>
  <c r="AJ404" i="1" s="1"/>
  <c r="Y400" i="1"/>
  <c r="Z400" i="1"/>
  <c r="AK400" i="1" s="1"/>
  <c r="Y396" i="1"/>
  <c r="Z396" i="1"/>
  <c r="AK396" i="1" s="1"/>
  <c r="Y392" i="1"/>
  <c r="Z392" i="1"/>
  <c r="AK392" i="1" s="1"/>
  <c r="Y388" i="1"/>
  <c r="Z388" i="1"/>
  <c r="AK388" i="1" s="1"/>
  <c r="Y384" i="1"/>
  <c r="Z384" i="1"/>
  <c r="AK384" i="1" s="1"/>
  <c r="Y380" i="1"/>
  <c r="Z380" i="1"/>
  <c r="AK380" i="1" s="1"/>
  <c r="Y376" i="1"/>
  <c r="Z376" i="1"/>
  <c r="AK376" i="1" s="1"/>
  <c r="Y372" i="1"/>
  <c r="Z372" i="1"/>
  <c r="AK372" i="1" s="1"/>
  <c r="Y368" i="1"/>
  <c r="Z368" i="1"/>
  <c r="AK368" i="1" s="1"/>
  <c r="Y364" i="1"/>
  <c r="Z364" i="1"/>
  <c r="AK364" i="1" s="1"/>
  <c r="Z360" i="1"/>
  <c r="AK360" i="1" s="1"/>
  <c r="Y360" i="1"/>
  <c r="Y356" i="1"/>
  <c r="Z356" i="1"/>
  <c r="AK356" i="1" s="1"/>
  <c r="Z352" i="1"/>
  <c r="AK352" i="1" s="1"/>
  <c r="Y352" i="1"/>
  <c r="Y348" i="1"/>
  <c r="Z348" i="1"/>
  <c r="AK348" i="1" s="1"/>
  <c r="Z344" i="1"/>
  <c r="AK344" i="1" s="1"/>
  <c r="Y344" i="1"/>
  <c r="Y340" i="1"/>
  <c r="Z340" i="1"/>
  <c r="AK340" i="1" s="1"/>
  <c r="Z336" i="1"/>
  <c r="AK336" i="1" s="1"/>
  <c r="Y336" i="1"/>
  <c r="Y332" i="1"/>
  <c r="Z332" i="1"/>
  <c r="AK332" i="1" s="1"/>
  <c r="Y328" i="1"/>
  <c r="AG328" i="1" s="1"/>
  <c r="Z328" i="1"/>
  <c r="Y324" i="1"/>
  <c r="Z324" i="1"/>
  <c r="Z320" i="1"/>
  <c r="Y320" i="1"/>
  <c r="AH320" i="1" s="1"/>
  <c r="Y316" i="1"/>
  <c r="AH316" i="1" s="1"/>
  <c r="Z316" i="1"/>
  <c r="Y312" i="1"/>
  <c r="AH312" i="1" s="1"/>
  <c r="Z312" i="1"/>
  <c r="Y308" i="1"/>
  <c r="AH308" i="1" s="1"/>
  <c r="Z308" i="1"/>
  <c r="Z304" i="1"/>
  <c r="Y304" i="1"/>
  <c r="AH304" i="1" s="1"/>
  <c r="Y300" i="1"/>
  <c r="AH300" i="1" s="1"/>
  <c r="Z300" i="1"/>
  <c r="Y296" i="1"/>
  <c r="AH296" i="1" s="1"/>
  <c r="Z296" i="1"/>
  <c r="Y292" i="1"/>
  <c r="AH292" i="1" s="1"/>
  <c r="Z292" i="1"/>
  <c r="Z288" i="1"/>
  <c r="Y288" i="1"/>
  <c r="AH288" i="1" s="1"/>
  <c r="Y284" i="1"/>
  <c r="Z284" i="1"/>
  <c r="Y280" i="1"/>
  <c r="AH280" i="1" s="1"/>
  <c r="Z280" i="1"/>
  <c r="Z276" i="1"/>
  <c r="Y276" i="1"/>
  <c r="AH276" i="1" s="1"/>
  <c r="Y272" i="1"/>
  <c r="AH272" i="1" s="1"/>
  <c r="Z272" i="1"/>
  <c r="Y268" i="1"/>
  <c r="AH268" i="1" s="1"/>
  <c r="Z268" i="1"/>
  <c r="Z264" i="1"/>
  <c r="Y264" i="1"/>
  <c r="AH264" i="1" s="1"/>
  <c r="Y260" i="1"/>
  <c r="AH260" i="1" s="1"/>
  <c r="Z260" i="1"/>
  <c r="Z256" i="1"/>
  <c r="Y256" i="1"/>
  <c r="AH256" i="1" s="1"/>
  <c r="Y252" i="1"/>
  <c r="AH252" i="1" s="1"/>
  <c r="Z252" i="1"/>
  <c r="Z248" i="1"/>
  <c r="Y248" i="1"/>
  <c r="AH248" i="1" s="1"/>
  <c r="Y244" i="1"/>
  <c r="AH244" i="1" s="1"/>
  <c r="Z244" i="1"/>
  <c r="Z240" i="1"/>
  <c r="Y240" i="1"/>
  <c r="AH240" i="1" s="1"/>
  <c r="Z236" i="1"/>
  <c r="Y236" i="1"/>
  <c r="AH236" i="1" s="1"/>
  <c r="Z232" i="1"/>
  <c r="Y232" i="1"/>
  <c r="AH232" i="1" s="1"/>
  <c r="Y228" i="1"/>
  <c r="AH228" i="1" s="1"/>
  <c r="Z228" i="1"/>
  <c r="Y224" i="1"/>
  <c r="AH224" i="1" s="1"/>
  <c r="Z224" i="1"/>
  <c r="Y220" i="1"/>
  <c r="AH220" i="1" s="1"/>
  <c r="Z220" i="1"/>
  <c r="Y216" i="1"/>
  <c r="AH216" i="1" s="1"/>
  <c r="Z216" i="1"/>
  <c r="Y212" i="1"/>
  <c r="AH212" i="1" s="1"/>
  <c r="Z212" i="1"/>
  <c r="Y208" i="1"/>
  <c r="AH208" i="1" s="1"/>
  <c r="Z208" i="1"/>
  <c r="Z204" i="1"/>
  <c r="Y204" i="1"/>
  <c r="AH204" i="1" s="1"/>
  <c r="Y200" i="1"/>
  <c r="AH200" i="1" s="1"/>
  <c r="Z200" i="1"/>
  <c r="Y196" i="1"/>
  <c r="AH196" i="1" s="1"/>
  <c r="Z196" i="1"/>
  <c r="Y192" i="1"/>
  <c r="AH192" i="1" s="1"/>
  <c r="Z192" i="1"/>
  <c r="Y188" i="1"/>
  <c r="AH188" i="1" s="1"/>
  <c r="Z188" i="1"/>
  <c r="Y184" i="1"/>
  <c r="AH184" i="1" s="1"/>
  <c r="Z184" i="1"/>
  <c r="Y180" i="1"/>
  <c r="AF180" i="1" s="1"/>
  <c r="Z180" i="1"/>
  <c r="Y176" i="1"/>
  <c r="AF176" i="1" s="1"/>
  <c r="Z176" i="1"/>
  <c r="Z172" i="1"/>
  <c r="Y172" i="1"/>
  <c r="AF172" i="1" s="1"/>
  <c r="Y168" i="1"/>
  <c r="AF168" i="1" s="1"/>
  <c r="Z168" i="1"/>
  <c r="Y164" i="1"/>
  <c r="AF164" i="1" s="1"/>
  <c r="Z164" i="1"/>
  <c r="Y160" i="1"/>
  <c r="AF160" i="1" s="1"/>
  <c r="Z160" i="1"/>
  <c r="Z156" i="1"/>
  <c r="Y156" i="1"/>
  <c r="AF156" i="1" s="1"/>
  <c r="Y152" i="1"/>
  <c r="AF152" i="1" s="1"/>
  <c r="Z152" i="1"/>
  <c r="Z148" i="1"/>
  <c r="Y148" i="1"/>
  <c r="AF148" i="1" s="1"/>
  <c r="Y144" i="1"/>
  <c r="AF144" i="1" s="1"/>
  <c r="Z144" i="1"/>
  <c r="Y140" i="1"/>
  <c r="AF140" i="1" s="1"/>
  <c r="Z140" i="1"/>
  <c r="Y136" i="1"/>
  <c r="AF136" i="1" s="1"/>
  <c r="Z136" i="1"/>
  <c r="Z132" i="1"/>
  <c r="Y132" i="1"/>
  <c r="AF132" i="1" s="1"/>
  <c r="Y128" i="1"/>
  <c r="AF128" i="1" s="1"/>
  <c r="Z128" i="1"/>
  <c r="Z124" i="1"/>
  <c r="Y124" i="1"/>
  <c r="AF124" i="1" s="1"/>
  <c r="Y120" i="1"/>
  <c r="AF120" i="1" s="1"/>
  <c r="Z120" i="1"/>
  <c r="Z116" i="1"/>
  <c r="Y116" i="1"/>
  <c r="AF116" i="1" s="1"/>
  <c r="Y112" i="1"/>
  <c r="AF112" i="1" s="1"/>
  <c r="Z112" i="1"/>
  <c r="Z108" i="1"/>
  <c r="Y108" i="1"/>
  <c r="AF108" i="1" s="1"/>
  <c r="Z104" i="1"/>
  <c r="Y104" i="1"/>
  <c r="AF104" i="1" s="1"/>
  <c r="Z100" i="1"/>
  <c r="Y100" i="1"/>
  <c r="AF100" i="1" s="1"/>
  <c r="Z96" i="1"/>
  <c r="Y96" i="1"/>
  <c r="AF96" i="1" s="1"/>
  <c r="Y92" i="1"/>
  <c r="Z92" i="1"/>
  <c r="AJ92" i="1" s="1"/>
  <c r="Z88" i="1"/>
  <c r="AI88" i="1" s="1"/>
  <c r="Y88" i="1"/>
  <c r="Z84" i="1"/>
  <c r="AJ84" i="1" s="1"/>
  <c r="Y84" i="1"/>
  <c r="Z80" i="1"/>
  <c r="AI80" i="1" s="1"/>
  <c r="Y80" i="1"/>
  <c r="Z76" i="1"/>
  <c r="AJ76" i="1" s="1"/>
  <c r="Y76" i="1"/>
  <c r="Z72" i="1"/>
  <c r="AI72" i="1" s="1"/>
  <c r="Y72" i="1"/>
  <c r="Z68" i="1"/>
  <c r="AI68" i="1" s="1"/>
  <c r="Y68" i="1"/>
  <c r="Z64" i="1"/>
  <c r="AI64" i="1" s="1"/>
  <c r="Y64" i="1"/>
  <c r="Y60" i="1"/>
  <c r="Z60" i="1"/>
  <c r="AI60" i="1" s="1"/>
  <c r="Z56" i="1"/>
  <c r="AI56" i="1" s="1"/>
  <c r="Y56" i="1"/>
  <c r="Z52" i="1"/>
  <c r="Y52" i="1"/>
  <c r="Y48" i="1"/>
  <c r="Z48" i="1"/>
  <c r="Z44" i="1"/>
  <c r="Y44" i="1"/>
  <c r="Y40" i="1"/>
  <c r="Z40" i="1"/>
  <c r="Z36" i="1"/>
  <c r="Y36" i="1"/>
  <c r="Z32" i="1"/>
  <c r="Y32" i="1"/>
  <c r="Y28" i="1"/>
  <c r="Z28" i="1"/>
  <c r="Z24" i="1"/>
  <c r="Y24" i="1"/>
  <c r="Y20" i="1"/>
  <c r="Z20" i="1"/>
  <c r="Y16" i="1"/>
  <c r="Z16" i="1"/>
  <c r="Y12" i="1"/>
  <c r="Z12" i="1"/>
  <c r="AD1040" i="1"/>
  <c r="Z1040" i="1"/>
  <c r="AI1040" i="1" s="1"/>
  <c r="AC1039" i="1"/>
  <c r="AD1038" i="1"/>
  <c r="Z1038" i="1"/>
  <c r="AC1037" i="1"/>
  <c r="AD1036" i="1"/>
  <c r="Z1036" i="1"/>
  <c r="AI1036" i="1" s="1"/>
  <c r="AC1035" i="1"/>
  <c r="AC1034" i="1"/>
  <c r="AC1033" i="1"/>
  <c r="AD1032" i="1"/>
  <c r="Z1032" i="1"/>
  <c r="AI1032" i="1" s="1"/>
  <c r="AD1031" i="1"/>
  <c r="Z1031" i="1"/>
  <c r="AD1030" i="1"/>
  <c r="Z1030" i="1"/>
  <c r="AD1029" i="1"/>
  <c r="Z1029" i="1"/>
  <c r="AK1029" i="1" s="1"/>
  <c r="AB1028" i="1"/>
  <c r="AB1027" i="1"/>
  <c r="AC1026" i="1"/>
  <c r="AB1025" i="1"/>
  <c r="AD1024" i="1"/>
  <c r="Z1024" i="1"/>
  <c r="AI1024" i="1" s="1"/>
  <c r="AC1023" i="1"/>
  <c r="AD1022" i="1"/>
  <c r="Z1022" i="1"/>
  <c r="AC1021" i="1"/>
  <c r="AD1020" i="1"/>
  <c r="Z1020" i="1"/>
  <c r="AI1020" i="1" s="1"/>
  <c r="AC1019" i="1"/>
  <c r="AC1018" i="1"/>
  <c r="AC1017" i="1"/>
  <c r="AD1016" i="1"/>
  <c r="Z1016" i="1"/>
  <c r="AI1016" i="1" s="1"/>
  <c r="AD1015" i="1"/>
  <c r="Z1015" i="1"/>
  <c r="AD1014" i="1"/>
  <c r="Z1014" i="1"/>
  <c r="AD1013" i="1"/>
  <c r="Z1013" i="1"/>
  <c r="AK1013" i="1" s="1"/>
  <c r="AG1012" i="1"/>
  <c r="AB1012" i="1"/>
  <c r="AB1011" i="1"/>
  <c r="AC1010" i="1"/>
  <c r="AB1009" i="1"/>
  <c r="AD1008" i="1"/>
  <c r="Z1008" i="1"/>
  <c r="AI1008" i="1" s="1"/>
  <c r="AC1007" i="1"/>
  <c r="AD1006" i="1"/>
  <c r="Z1006" i="1"/>
  <c r="AC1005" i="1"/>
  <c r="AD1004" i="1"/>
  <c r="Z1004" i="1"/>
  <c r="AI1004" i="1" s="1"/>
  <c r="AC1003" i="1"/>
  <c r="AC1002" i="1"/>
  <c r="AC1001" i="1"/>
  <c r="AD1000" i="1"/>
  <c r="Z1000" i="1"/>
  <c r="AI1000" i="1" s="1"/>
  <c r="AD999" i="1"/>
  <c r="Z999" i="1"/>
  <c r="AE998" i="1"/>
  <c r="AE997" i="1"/>
  <c r="AG996" i="1"/>
  <c r="AB996" i="1"/>
  <c r="AB995" i="1"/>
  <c r="AC994" i="1"/>
  <c r="AC993" i="1"/>
  <c r="AD992" i="1"/>
  <c r="Z992" i="1"/>
  <c r="AI992" i="1" s="1"/>
  <c r="AD991" i="1"/>
  <c r="Z991" i="1"/>
  <c r="AE990" i="1"/>
  <c r="AE989" i="1"/>
  <c r="AG988" i="1"/>
  <c r="AB988" i="1"/>
  <c r="AB987" i="1"/>
  <c r="AB986" i="1"/>
  <c r="AB985" i="1"/>
  <c r="AD984" i="1"/>
  <c r="Z984" i="1"/>
  <c r="AI984" i="1" s="1"/>
  <c r="AD983" i="1"/>
  <c r="Z983" i="1"/>
  <c r="AE982" i="1"/>
  <c r="AD981" i="1"/>
  <c r="Z981" i="1"/>
  <c r="AK981" i="1" s="1"/>
  <c r="AG980" i="1"/>
  <c r="AB980" i="1"/>
  <c r="AB979" i="1"/>
  <c r="AC978" i="1"/>
  <c r="AC977" i="1"/>
  <c r="AG976" i="1"/>
  <c r="AB976" i="1"/>
  <c r="AC975" i="1"/>
  <c r="AC974" i="1"/>
  <c r="AD973" i="1"/>
  <c r="Z973" i="1"/>
  <c r="AK973" i="1" s="1"/>
  <c r="AC972" i="1"/>
  <c r="AD971" i="1"/>
  <c r="Z971" i="1"/>
  <c r="AD970" i="1"/>
  <c r="Z970" i="1"/>
  <c r="AD969" i="1"/>
  <c r="Z969" i="1"/>
  <c r="AK969" i="1" s="1"/>
  <c r="AG968" i="1"/>
  <c r="AB968" i="1"/>
  <c r="AC967" i="1"/>
  <c r="AE966" i="1"/>
  <c r="AB965" i="1"/>
  <c r="AE964" i="1"/>
  <c r="AB963" i="1"/>
  <c r="AC962" i="1"/>
  <c r="AB961" i="1"/>
  <c r="AC960" i="1"/>
  <c r="AD959" i="1"/>
  <c r="Z959" i="1"/>
  <c r="AB958" i="1"/>
  <c r="AC957" i="1"/>
  <c r="AG956" i="1"/>
  <c r="AB956" i="1"/>
  <c r="AC955" i="1"/>
  <c r="AC954" i="1"/>
  <c r="AC953" i="1"/>
  <c r="AE952" i="1"/>
  <c r="AC951" i="1"/>
  <c r="AD950" i="1"/>
  <c r="Z950" i="1"/>
  <c r="AI950" i="1" s="1"/>
  <c r="AC949" i="1"/>
  <c r="AD948" i="1"/>
  <c r="Z948" i="1"/>
  <c r="AE947" i="1"/>
  <c r="AB946" i="1"/>
  <c r="AD945" i="1"/>
  <c r="Z945" i="1"/>
  <c r="AB944" i="1"/>
  <c r="AC943" i="1"/>
  <c r="AC942" i="1"/>
  <c r="AB941" i="1"/>
  <c r="AC940" i="1"/>
  <c r="AD939" i="1"/>
  <c r="Z939" i="1"/>
  <c r="AC938" i="1"/>
  <c r="AB937" i="1"/>
  <c r="AB936" i="1"/>
  <c r="AC935" i="1"/>
  <c r="AC934" i="1"/>
  <c r="AC933" i="1"/>
  <c r="AD932" i="1"/>
  <c r="Z932" i="1"/>
  <c r="AI932" i="1" s="1"/>
  <c r="AE931" i="1"/>
  <c r="AD930" i="1"/>
  <c r="Z930" i="1"/>
  <c r="AI930" i="1" s="1"/>
  <c r="AC929" i="1"/>
  <c r="AC928" i="1"/>
  <c r="AD927" i="1"/>
  <c r="Z927" i="1"/>
  <c r="AD926" i="1"/>
  <c r="Z926" i="1"/>
  <c r="AI926" i="1" s="1"/>
  <c r="AD925" i="1"/>
  <c r="Z925" i="1"/>
  <c r="AE924" i="1"/>
  <c r="AB923" i="1"/>
  <c r="AE922" i="1"/>
  <c r="AD921" i="1"/>
  <c r="Z921" i="1"/>
  <c r="AE920" i="1"/>
  <c r="AC919" i="1"/>
  <c r="AC918" i="1"/>
  <c r="AC917" i="1"/>
  <c r="AE916" i="1"/>
  <c r="AC915" i="1"/>
  <c r="AB914" i="1"/>
  <c r="AE913" i="1"/>
  <c r="AB912" i="1"/>
  <c r="AC911" i="1"/>
  <c r="AC910" i="1"/>
  <c r="AC909" i="1"/>
  <c r="AD908" i="1"/>
  <c r="Z908" i="1"/>
  <c r="AI908" i="1" s="1"/>
  <c r="AE907" i="1"/>
  <c r="AD906" i="1"/>
  <c r="Z906" i="1"/>
  <c r="AI906" i="1" s="1"/>
  <c r="AC905" i="1"/>
  <c r="AE903" i="1"/>
  <c r="Z903" i="1"/>
  <c r="AF902" i="1"/>
  <c r="AB901" i="1"/>
  <c r="AE900" i="1"/>
  <c r="Y900" i="1"/>
  <c r="AB899" i="1"/>
  <c r="AH898" i="1"/>
  <c r="AB898" i="1"/>
  <c r="AB897" i="1"/>
  <c r="AJ896" i="1"/>
  <c r="AC896" i="1"/>
  <c r="AD894" i="1"/>
  <c r="Z894" i="1"/>
  <c r="AI894" i="1" s="1"/>
  <c r="AC893" i="1"/>
  <c r="AK891" i="1"/>
  <c r="AB891" i="1"/>
  <c r="Z887" i="1"/>
  <c r="AC885" i="1"/>
  <c r="AD883" i="1"/>
  <c r="Y880" i="1"/>
  <c r="Z879" i="1"/>
  <c r="AD877" i="1"/>
  <c r="Z867" i="1"/>
  <c r="AH864" i="1"/>
  <c r="Z864" i="1"/>
  <c r="AI864" i="1" s="1"/>
  <c r="Y862" i="1"/>
  <c r="Z861" i="1"/>
  <c r="Z859" i="1"/>
  <c r="Z857" i="1"/>
  <c r="Z855" i="1"/>
  <c r="Z853" i="1"/>
  <c r="Z851" i="1"/>
  <c r="AD881" i="1"/>
  <c r="AC881" i="1"/>
  <c r="AD772" i="1"/>
  <c r="AE772" i="1"/>
  <c r="AB772" i="1"/>
  <c r="AC772" i="1"/>
  <c r="AD748" i="1"/>
  <c r="AE748" i="1"/>
  <c r="AB748" i="1"/>
  <c r="AC748" i="1"/>
  <c r="AD888" i="1"/>
  <c r="AC888" i="1"/>
  <c r="AE880" i="1"/>
  <c r="AD880" i="1"/>
  <c r="AE767" i="1"/>
  <c r="AB767" i="1"/>
  <c r="AC767" i="1"/>
  <c r="AD767" i="1"/>
  <c r="AB755" i="1"/>
  <c r="AC755" i="1"/>
  <c r="AD755" i="1"/>
  <c r="AE755" i="1"/>
  <c r="AE751" i="1"/>
  <c r="AB751" i="1"/>
  <c r="AC751" i="1"/>
  <c r="AD751" i="1"/>
  <c r="AB739" i="1"/>
  <c r="AC739" i="1"/>
  <c r="AD739" i="1"/>
  <c r="AE739" i="1"/>
  <c r="AD731" i="1"/>
  <c r="AE731" i="1"/>
  <c r="AB731" i="1"/>
  <c r="AC731" i="1"/>
  <c r="AC727" i="1"/>
  <c r="AD727" i="1"/>
  <c r="AE727" i="1"/>
  <c r="AB727" i="1"/>
  <c r="AB719" i="1"/>
  <c r="AC719" i="1"/>
  <c r="AD719" i="1"/>
  <c r="AE719" i="1"/>
  <c r="AD890" i="1"/>
  <c r="AC890" i="1"/>
  <c r="AB886" i="1"/>
  <c r="AE886" i="1"/>
  <c r="AE882" i="1"/>
  <c r="AD882" i="1"/>
  <c r="AC878" i="1"/>
  <c r="AB878" i="1"/>
  <c r="AC856" i="1"/>
  <c r="AE856" i="1"/>
  <c r="AB856" i="1"/>
  <c r="AD773" i="1"/>
  <c r="AE773" i="1"/>
  <c r="AB773" i="1"/>
  <c r="AC773" i="1"/>
  <c r="AB769" i="1"/>
  <c r="AC769" i="1"/>
  <c r="AD769" i="1"/>
  <c r="AE769" i="1"/>
  <c r="AD765" i="1"/>
  <c r="AE765" i="1"/>
  <c r="AB765" i="1"/>
  <c r="AC765" i="1"/>
  <c r="AB761" i="1"/>
  <c r="AC761" i="1"/>
  <c r="AD761" i="1"/>
  <c r="AE761" i="1"/>
  <c r="AB757" i="1"/>
  <c r="AC757" i="1"/>
  <c r="AD757" i="1"/>
  <c r="AE757" i="1"/>
  <c r="AE753" i="1"/>
  <c r="AB753" i="1"/>
  <c r="AC753" i="1"/>
  <c r="AD753" i="1"/>
  <c r="AD749" i="1"/>
  <c r="AE749" i="1"/>
  <c r="AB749" i="1"/>
  <c r="AC749" i="1"/>
  <c r="AC745" i="1"/>
  <c r="AD745" i="1"/>
  <c r="AE745" i="1"/>
  <c r="AB745" i="1"/>
  <c r="AB741" i="1"/>
  <c r="AC741" i="1"/>
  <c r="AD741" i="1"/>
  <c r="AE741" i="1"/>
  <c r="AE737" i="1"/>
  <c r="AB737" i="1"/>
  <c r="AC737" i="1"/>
  <c r="AD737" i="1"/>
  <c r="AD733" i="1"/>
  <c r="AE733" i="1"/>
  <c r="AB733" i="1"/>
  <c r="AC733" i="1"/>
  <c r="AC729" i="1"/>
  <c r="AD729" i="1"/>
  <c r="AE729" i="1"/>
  <c r="AB729" i="1"/>
  <c r="AB725" i="1"/>
  <c r="AC725" i="1"/>
  <c r="AD725" i="1"/>
  <c r="AE725" i="1"/>
  <c r="AE721" i="1"/>
  <c r="AB721" i="1"/>
  <c r="AC721" i="1"/>
  <c r="AD721" i="1"/>
  <c r="AE717" i="1"/>
  <c r="AB717" i="1"/>
  <c r="AC717" i="1"/>
  <c r="AD717" i="1"/>
  <c r="AE713" i="1"/>
  <c r="AB713" i="1"/>
  <c r="AC713" i="1"/>
  <c r="AD713" i="1"/>
  <c r="AG892" i="1"/>
  <c r="AF892" i="1"/>
  <c r="Z888" i="1"/>
  <c r="Y888" i="1"/>
  <c r="Z884" i="1"/>
  <c r="Y884" i="1"/>
  <c r="AI880" i="1"/>
  <c r="AJ880" i="1"/>
  <c r="AI874" i="1"/>
  <c r="AJ874" i="1"/>
  <c r="AI870" i="1"/>
  <c r="AJ870" i="1"/>
  <c r="AI866" i="1"/>
  <c r="AJ866" i="1"/>
  <c r="AI862" i="1"/>
  <c r="AJ862" i="1"/>
  <c r="Y858" i="1"/>
  <c r="Z858" i="1"/>
  <c r="Y854" i="1"/>
  <c r="Z854" i="1"/>
  <c r="Z850" i="1"/>
  <c r="Y850" i="1"/>
  <c r="Y846" i="1"/>
  <c r="Z846" i="1"/>
  <c r="Y842" i="1"/>
  <c r="Z842" i="1"/>
  <c r="Y838" i="1"/>
  <c r="Z838" i="1"/>
  <c r="AI838" i="1" s="1"/>
  <c r="Y834" i="1"/>
  <c r="Z834" i="1"/>
  <c r="AI834" i="1" s="1"/>
  <c r="Y830" i="1"/>
  <c r="Z830" i="1"/>
  <c r="Z826" i="1"/>
  <c r="AI826" i="1" s="1"/>
  <c r="Y826" i="1"/>
  <c r="Z822" i="1"/>
  <c r="AJ822" i="1" s="1"/>
  <c r="Y822" i="1"/>
  <c r="Z819" i="1"/>
  <c r="AK819" i="1" s="1"/>
  <c r="Y819" i="1"/>
  <c r="Y815" i="1"/>
  <c r="Z815" i="1"/>
  <c r="AJ815" i="1" s="1"/>
  <c r="Y811" i="1"/>
  <c r="Z811" i="1"/>
  <c r="AJ811" i="1" s="1"/>
  <c r="Y807" i="1"/>
  <c r="Z807" i="1"/>
  <c r="AJ807" i="1" s="1"/>
  <c r="Y803" i="1"/>
  <c r="Z803" i="1"/>
  <c r="AJ803" i="1" s="1"/>
  <c r="Y799" i="1"/>
  <c r="Z799" i="1"/>
  <c r="AJ799" i="1" s="1"/>
  <c r="Y795" i="1"/>
  <c r="Z795" i="1"/>
  <c r="AJ795" i="1" s="1"/>
  <c r="Y791" i="1"/>
  <c r="Z791" i="1"/>
  <c r="AJ791" i="1" s="1"/>
  <c r="Y787" i="1"/>
  <c r="Z787" i="1"/>
  <c r="AJ787" i="1" s="1"/>
  <c r="Y783" i="1"/>
  <c r="Z783" i="1"/>
  <c r="AJ783" i="1" s="1"/>
  <c r="Y779" i="1"/>
  <c r="Z779" i="1"/>
  <c r="AJ779" i="1" s="1"/>
  <c r="Y876" i="1"/>
  <c r="Z876" i="1"/>
  <c r="AJ876" i="1" s="1"/>
  <c r="Y771" i="1"/>
  <c r="Z771" i="1"/>
  <c r="AJ771" i="1" s="1"/>
  <c r="Y767" i="1"/>
  <c r="Z767" i="1"/>
  <c r="AJ767" i="1" s="1"/>
  <c r="Y763" i="1"/>
  <c r="Z763" i="1"/>
  <c r="AJ763" i="1" s="1"/>
  <c r="Y759" i="1"/>
  <c r="Z759" i="1"/>
  <c r="AJ759" i="1" s="1"/>
  <c r="Y755" i="1"/>
  <c r="Z755" i="1"/>
  <c r="AJ755" i="1" s="1"/>
  <c r="Y751" i="1"/>
  <c r="Z751" i="1"/>
  <c r="AJ751" i="1" s="1"/>
  <c r="Z747" i="1"/>
  <c r="Y747" i="1"/>
  <c r="Y743" i="1"/>
  <c r="Z743" i="1"/>
  <c r="AJ743" i="1" s="1"/>
  <c r="Y739" i="1"/>
  <c r="Z739" i="1"/>
  <c r="AJ739" i="1" s="1"/>
  <c r="Y735" i="1"/>
  <c r="Z735" i="1"/>
  <c r="AJ735" i="1" s="1"/>
  <c r="Z731" i="1"/>
  <c r="Y731" i="1"/>
  <c r="Y727" i="1"/>
  <c r="Z727" i="1"/>
  <c r="AJ727" i="1" s="1"/>
  <c r="Y723" i="1"/>
  <c r="Z723" i="1"/>
  <c r="AJ723" i="1" s="1"/>
  <c r="Y719" i="1"/>
  <c r="Z719" i="1"/>
  <c r="AI719" i="1" s="1"/>
  <c r="Y715" i="1"/>
  <c r="Z715" i="1"/>
  <c r="Y711" i="1"/>
  <c r="Z711" i="1"/>
  <c r="AI711" i="1" s="1"/>
  <c r="Y707" i="1"/>
  <c r="Z707" i="1"/>
  <c r="AI707" i="1" s="1"/>
  <c r="Z703" i="1"/>
  <c r="AI703" i="1" s="1"/>
  <c r="Y703" i="1"/>
  <c r="Y699" i="1"/>
  <c r="Z699" i="1"/>
  <c r="AI699" i="1" s="1"/>
  <c r="Y695" i="1"/>
  <c r="AF695" i="1" s="1"/>
  <c r="Z695" i="1"/>
  <c r="Y691" i="1"/>
  <c r="AH691" i="1" s="1"/>
  <c r="Z691" i="1"/>
  <c r="Y687" i="1"/>
  <c r="AH687" i="1" s="1"/>
  <c r="Z687" i="1"/>
  <c r="Y683" i="1"/>
  <c r="AH683" i="1" s="1"/>
  <c r="Z683" i="1"/>
  <c r="Y679" i="1"/>
  <c r="AH679" i="1" s="1"/>
  <c r="Z679" i="1"/>
  <c r="Y675" i="1"/>
  <c r="AH675" i="1" s="1"/>
  <c r="Z675" i="1"/>
  <c r="Y671" i="1"/>
  <c r="AH671" i="1" s="1"/>
  <c r="Z671" i="1"/>
  <c r="Y667" i="1"/>
  <c r="AH667" i="1" s="1"/>
  <c r="Z667" i="1"/>
  <c r="Y663" i="1"/>
  <c r="AH663" i="1" s="1"/>
  <c r="Z663" i="1"/>
  <c r="Y659" i="1"/>
  <c r="AH659" i="1" s="1"/>
  <c r="Z659" i="1"/>
  <c r="Y655" i="1"/>
  <c r="AH655" i="1" s="1"/>
  <c r="Z655" i="1"/>
  <c r="Y651" i="1"/>
  <c r="AH651" i="1" s="1"/>
  <c r="Z651" i="1"/>
  <c r="Z647" i="1"/>
  <c r="Y647" i="1"/>
  <c r="AH647" i="1" s="1"/>
  <c r="Z643" i="1"/>
  <c r="Y643" i="1"/>
  <c r="AH643" i="1" s="1"/>
  <c r="Z639" i="1"/>
  <c r="Y639" i="1"/>
  <c r="AH639" i="1" s="1"/>
  <c r="Z635" i="1"/>
  <c r="Y635" i="1"/>
  <c r="AH635" i="1" s="1"/>
  <c r="Z631" i="1"/>
  <c r="Y631" i="1"/>
  <c r="AH631" i="1" s="1"/>
  <c r="Z627" i="1"/>
  <c r="Y627" i="1"/>
  <c r="AH627" i="1" s="1"/>
  <c r="Z623" i="1"/>
  <c r="Y623" i="1"/>
  <c r="AH623" i="1" s="1"/>
  <c r="Z619" i="1"/>
  <c r="Y619" i="1"/>
  <c r="AH619" i="1" s="1"/>
  <c r="Z615" i="1"/>
  <c r="Y615" i="1"/>
  <c r="AH615" i="1" s="1"/>
  <c r="Z611" i="1"/>
  <c r="Y611" i="1"/>
  <c r="AH611" i="1" s="1"/>
  <c r="Y607" i="1"/>
  <c r="AF607" i="1" s="1"/>
  <c r="Z607" i="1"/>
  <c r="Y603" i="1"/>
  <c r="AF603" i="1" s="1"/>
  <c r="Z603" i="1"/>
  <c r="Z599" i="1"/>
  <c r="Y599" i="1"/>
  <c r="Y595" i="1"/>
  <c r="Z595" i="1"/>
  <c r="Z591" i="1"/>
  <c r="Y591" i="1"/>
  <c r="Z587" i="1"/>
  <c r="Y587" i="1"/>
  <c r="Z583" i="1"/>
  <c r="Y583" i="1"/>
  <c r="Y579" i="1"/>
  <c r="Z579" i="1"/>
  <c r="Z575" i="1"/>
  <c r="Y575" i="1"/>
  <c r="AH575" i="1" s="1"/>
  <c r="Y571" i="1"/>
  <c r="AH571" i="1" s="1"/>
  <c r="Z571" i="1"/>
  <c r="Z567" i="1"/>
  <c r="Y567" i="1"/>
  <c r="AH567" i="1" s="1"/>
  <c r="Y563" i="1"/>
  <c r="AH563" i="1" s="1"/>
  <c r="Z563" i="1"/>
  <c r="Z559" i="1"/>
  <c r="Y559" i="1"/>
  <c r="AH559" i="1" s="1"/>
  <c r="Y555" i="1"/>
  <c r="Z555" i="1"/>
  <c r="Y551" i="1"/>
  <c r="Z551" i="1"/>
  <c r="Y547" i="1"/>
  <c r="Z547" i="1"/>
  <c r="Z543" i="1"/>
  <c r="Y543" i="1"/>
  <c r="Z539" i="1"/>
  <c r="Y539" i="1"/>
  <c r="Z535" i="1"/>
  <c r="Y535" i="1"/>
  <c r="Z531" i="1"/>
  <c r="Y531" i="1"/>
  <c r="Z527" i="1"/>
  <c r="Y527" i="1"/>
  <c r="Z523" i="1"/>
  <c r="Y523" i="1"/>
  <c r="Z519" i="1"/>
  <c r="Y519" i="1"/>
  <c r="Y515" i="1"/>
  <c r="Z515" i="1"/>
  <c r="Y511" i="1"/>
  <c r="Z511" i="1"/>
  <c r="Y507" i="1"/>
  <c r="Z507" i="1"/>
  <c r="Y503" i="1"/>
  <c r="Z503" i="1"/>
  <c r="Y499" i="1"/>
  <c r="Z499" i="1"/>
  <c r="Y495" i="1"/>
  <c r="Z495" i="1"/>
  <c r="Y491" i="1"/>
  <c r="Z491" i="1"/>
  <c r="Y487" i="1"/>
  <c r="Z487" i="1"/>
  <c r="Y483" i="1"/>
  <c r="Z483" i="1"/>
  <c r="Y479" i="1"/>
  <c r="Z479" i="1"/>
  <c r="Y475" i="1"/>
  <c r="Z475" i="1"/>
  <c r="Z471" i="1"/>
  <c r="Y471" i="1"/>
  <c r="Y467" i="1"/>
  <c r="Z467" i="1"/>
  <c r="Y463" i="1"/>
  <c r="Z463" i="1"/>
  <c r="Z459" i="1"/>
  <c r="Y459" i="1"/>
  <c r="Y455" i="1"/>
  <c r="Z455" i="1"/>
  <c r="Z451" i="1"/>
  <c r="Y451" i="1"/>
  <c r="Y447" i="1"/>
  <c r="Z447" i="1"/>
  <c r="Z443" i="1"/>
  <c r="Y443" i="1"/>
  <c r="Y439" i="1"/>
  <c r="Z439" i="1"/>
  <c r="Z435" i="1"/>
  <c r="Y435" i="1"/>
  <c r="Y431" i="1"/>
  <c r="Z431" i="1"/>
  <c r="Z427" i="1"/>
  <c r="Y427" i="1"/>
  <c r="Y423" i="1"/>
  <c r="Z423" i="1"/>
  <c r="Y419" i="1"/>
  <c r="AH419" i="1" s="1"/>
  <c r="Z419" i="1"/>
  <c r="AI419" i="1" s="1"/>
  <c r="Y415" i="1"/>
  <c r="Z415" i="1"/>
  <c r="Y411" i="1"/>
  <c r="AF411" i="1" s="1"/>
  <c r="Z411" i="1"/>
  <c r="AI411" i="1" s="1"/>
  <c r="Z407" i="1"/>
  <c r="AI407" i="1" s="1"/>
  <c r="Y407" i="1"/>
  <c r="AG407" i="1" s="1"/>
  <c r="Y403" i="1"/>
  <c r="AG403" i="1" s="1"/>
  <c r="Z403" i="1"/>
  <c r="AI403" i="1" s="1"/>
  <c r="Z399" i="1"/>
  <c r="AI399" i="1" s="1"/>
  <c r="Y399" i="1"/>
  <c r="AH399" i="1" s="1"/>
  <c r="Y395" i="1"/>
  <c r="AH395" i="1" s="1"/>
  <c r="Z395" i="1"/>
  <c r="AI395" i="1" s="1"/>
  <c r="Z391" i="1"/>
  <c r="AI391" i="1" s="1"/>
  <c r="Y391" i="1"/>
  <c r="AH391" i="1" s="1"/>
  <c r="Y387" i="1"/>
  <c r="AH387" i="1" s="1"/>
  <c r="Z387" i="1"/>
  <c r="AI387" i="1" s="1"/>
  <c r="Z383" i="1"/>
  <c r="Y383" i="1"/>
  <c r="AH383" i="1" s="1"/>
  <c r="Z379" i="1"/>
  <c r="Y379" i="1"/>
  <c r="AH379" i="1" s="1"/>
  <c r="Z375" i="1"/>
  <c r="Y375" i="1"/>
  <c r="AH375" i="1" s="1"/>
  <c r="Z371" i="1"/>
  <c r="Y371" i="1"/>
  <c r="AH371" i="1" s="1"/>
  <c r="Z367" i="1"/>
  <c r="Y367" i="1"/>
  <c r="Z363" i="1"/>
  <c r="Y363" i="1"/>
  <c r="AH363" i="1" s="1"/>
  <c r="Z359" i="1"/>
  <c r="Y359" i="1"/>
  <c r="AH359" i="1" s="1"/>
  <c r="Y355" i="1"/>
  <c r="AH355" i="1" s="1"/>
  <c r="Z355" i="1"/>
  <c r="Y351" i="1"/>
  <c r="AH351" i="1" s="1"/>
  <c r="Z351" i="1"/>
  <c r="Y347" i="1"/>
  <c r="AH347" i="1" s="1"/>
  <c r="Z347" i="1"/>
  <c r="Y343" i="1"/>
  <c r="AH343" i="1" s="1"/>
  <c r="Z343" i="1"/>
  <c r="Y339" i="1"/>
  <c r="AH339" i="1" s="1"/>
  <c r="Z339" i="1"/>
  <c r="Y335" i="1"/>
  <c r="AH335" i="1" s="1"/>
  <c r="Z335" i="1"/>
  <c r="Y331" i="1"/>
  <c r="AH331" i="1" s="1"/>
  <c r="Z331" i="1"/>
  <c r="Y327" i="1"/>
  <c r="AH327" i="1" s="1"/>
  <c r="Z327" i="1"/>
  <c r="Y323" i="1"/>
  <c r="Z323" i="1"/>
  <c r="AJ323" i="1" s="1"/>
  <c r="Y319" i="1"/>
  <c r="Z319" i="1"/>
  <c r="AK319" i="1" s="1"/>
  <c r="Z315" i="1"/>
  <c r="AK315" i="1" s="1"/>
  <c r="Y315" i="1"/>
  <c r="Y311" i="1"/>
  <c r="Z311" i="1"/>
  <c r="AK311" i="1" s="1"/>
  <c r="Y307" i="1"/>
  <c r="Z307" i="1"/>
  <c r="AK307" i="1" s="1"/>
  <c r="Y303" i="1"/>
  <c r="Z303" i="1"/>
  <c r="AK303" i="1" s="1"/>
  <c r="Z299" i="1"/>
  <c r="AK299" i="1" s="1"/>
  <c r="Y299" i="1"/>
  <c r="Y295" i="1"/>
  <c r="Z295" i="1"/>
  <c r="AK295" i="1" s="1"/>
  <c r="Y291" i="1"/>
  <c r="Z291" i="1"/>
  <c r="AK291" i="1" s="1"/>
  <c r="Y287" i="1"/>
  <c r="Z287" i="1"/>
  <c r="AK287" i="1" s="1"/>
  <c r="Z283" i="1"/>
  <c r="AK283" i="1" s="1"/>
  <c r="Y283" i="1"/>
  <c r="Y279" i="1"/>
  <c r="Z279" i="1"/>
  <c r="AK279" i="1" s="1"/>
  <c r="Y275" i="1"/>
  <c r="Z275" i="1"/>
  <c r="AK275" i="1" s="1"/>
  <c r="Y271" i="1"/>
  <c r="Z271" i="1"/>
  <c r="Y267" i="1"/>
  <c r="Z267" i="1"/>
  <c r="AK267" i="1" s="1"/>
  <c r="Y263" i="1"/>
  <c r="Z263" i="1"/>
  <c r="AK263" i="1" s="1"/>
  <c r="Y259" i="1"/>
  <c r="Z259" i="1"/>
  <c r="AK259" i="1" s="1"/>
  <c r="Y255" i="1"/>
  <c r="Z255" i="1"/>
  <c r="AK255" i="1" s="1"/>
  <c r="Y251" i="1"/>
  <c r="Z251" i="1"/>
  <c r="AK251" i="1" s="1"/>
  <c r="Y247" i="1"/>
  <c r="Z247" i="1"/>
  <c r="AK247" i="1" s="1"/>
  <c r="Y243" i="1"/>
  <c r="Z243" i="1"/>
  <c r="AK243" i="1" s="1"/>
  <c r="Y239" i="1"/>
  <c r="Z239" i="1"/>
  <c r="AK239" i="1" s="1"/>
  <c r="Y235" i="1"/>
  <c r="Z235" i="1"/>
  <c r="AK235" i="1" s="1"/>
  <c r="Y231" i="1"/>
  <c r="Z231" i="1"/>
  <c r="AK231" i="1" s="1"/>
  <c r="Z227" i="1"/>
  <c r="AK227" i="1" s="1"/>
  <c r="Y227" i="1"/>
  <c r="Y223" i="1"/>
  <c r="Z223" i="1"/>
  <c r="AK223" i="1" s="1"/>
  <c r="Y219" i="1"/>
  <c r="Z219" i="1"/>
  <c r="AK219" i="1" s="1"/>
  <c r="Y215" i="1"/>
  <c r="Z215" i="1"/>
  <c r="AK215" i="1" s="1"/>
  <c r="Y211" i="1"/>
  <c r="Z211" i="1"/>
  <c r="AK211" i="1" s="1"/>
  <c r="Y207" i="1"/>
  <c r="Z207" i="1"/>
  <c r="AK207" i="1" s="1"/>
  <c r="Y203" i="1"/>
  <c r="Z203" i="1"/>
  <c r="AK203" i="1" s="1"/>
  <c r="Z199" i="1"/>
  <c r="AK199" i="1" s="1"/>
  <c r="Y199" i="1"/>
  <c r="Y195" i="1"/>
  <c r="Z195" i="1"/>
  <c r="AK195" i="1" s="1"/>
  <c r="Z191" i="1"/>
  <c r="AK191" i="1" s="1"/>
  <c r="Y191" i="1"/>
  <c r="Y187" i="1"/>
  <c r="Z187" i="1"/>
  <c r="AK187" i="1" s="1"/>
  <c r="Y183" i="1"/>
  <c r="Z183" i="1"/>
  <c r="AJ183" i="1" s="1"/>
  <c r="Y179" i="1"/>
  <c r="Z179" i="1"/>
  <c r="AI179" i="1" s="1"/>
  <c r="Y175" i="1"/>
  <c r="Z175" i="1"/>
  <c r="AI175" i="1" s="1"/>
  <c r="Y171" i="1"/>
  <c r="Z171" i="1"/>
  <c r="AI171" i="1" s="1"/>
  <c r="Z167" i="1"/>
  <c r="AI167" i="1" s="1"/>
  <c r="Y167" i="1"/>
  <c r="Y163" i="1"/>
  <c r="Z163" i="1"/>
  <c r="AI163" i="1" s="1"/>
  <c r="Y159" i="1"/>
  <c r="Z159" i="1"/>
  <c r="AI159" i="1" s="1"/>
  <c r="Y155" i="1"/>
  <c r="Z155" i="1"/>
  <c r="AI155" i="1" s="1"/>
  <c r="Y151" i="1"/>
  <c r="Z151" i="1"/>
  <c r="AI151" i="1" s="1"/>
  <c r="Y147" i="1"/>
  <c r="Z147" i="1"/>
  <c r="AI147" i="1" s="1"/>
  <c r="Z143" i="1"/>
  <c r="AI143" i="1" s="1"/>
  <c r="Y143" i="1"/>
  <c r="Y139" i="1"/>
  <c r="Z139" i="1"/>
  <c r="AI139" i="1" s="1"/>
  <c r="Y135" i="1"/>
  <c r="Z135" i="1"/>
  <c r="AI135" i="1" s="1"/>
  <c r="Y131" i="1"/>
  <c r="Z131" i="1"/>
  <c r="AI131" i="1" s="1"/>
  <c r="Z127" i="1"/>
  <c r="AI127" i="1" s="1"/>
  <c r="Y127" i="1"/>
  <c r="Y123" i="1"/>
  <c r="Z123" i="1"/>
  <c r="AI123" i="1" s="1"/>
  <c r="Z119" i="1"/>
  <c r="AI119" i="1" s="1"/>
  <c r="Y119" i="1"/>
  <c r="Y115" i="1"/>
  <c r="Z115" i="1"/>
  <c r="AI115" i="1" s="1"/>
  <c r="Z111" i="1"/>
  <c r="AI111" i="1" s="1"/>
  <c r="Y111" i="1"/>
  <c r="Y107" i="1"/>
  <c r="Z107" i="1"/>
  <c r="AI107" i="1" s="1"/>
  <c r="Z103" i="1"/>
  <c r="Y103" i="1"/>
  <c r="Z99" i="1"/>
  <c r="Y99" i="1"/>
  <c r="Z95" i="1"/>
  <c r="Y95" i="1"/>
  <c r="Z91" i="1"/>
  <c r="Y91" i="1"/>
  <c r="AG91" i="1" s="1"/>
  <c r="Z87" i="1"/>
  <c r="Y87" i="1"/>
  <c r="AF87" i="1" s="1"/>
  <c r="Z83" i="1"/>
  <c r="Y83" i="1"/>
  <c r="AF83" i="1" s="1"/>
  <c r="Z79" i="1"/>
  <c r="Y79" i="1"/>
  <c r="Z75" i="1"/>
  <c r="Y75" i="1"/>
  <c r="AF75" i="1" s="1"/>
  <c r="Z71" i="1"/>
  <c r="Y71" i="1"/>
  <c r="AF71" i="1" s="1"/>
  <c r="Z67" i="1"/>
  <c r="Y67" i="1"/>
  <c r="AF67" i="1" s="1"/>
  <c r="Z63" i="1"/>
  <c r="Y63" i="1"/>
  <c r="AF63" i="1" s="1"/>
  <c r="Y59" i="1"/>
  <c r="AF59" i="1" s="1"/>
  <c r="Z59" i="1"/>
  <c r="Z55" i="1"/>
  <c r="Y55" i="1"/>
  <c r="AF55" i="1" s="1"/>
  <c r="Z51" i="1"/>
  <c r="Y51" i="1"/>
  <c r="Z47" i="1"/>
  <c r="Y47" i="1"/>
  <c r="AF47" i="1" s="1"/>
  <c r="Y43" i="1"/>
  <c r="Z43" i="1"/>
  <c r="Z39" i="1"/>
  <c r="Y39" i="1"/>
  <c r="AF39" i="1" s="1"/>
  <c r="Z35" i="1"/>
  <c r="Y35" i="1"/>
  <c r="AF35" i="1" s="1"/>
  <c r="Y31" i="1"/>
  <c r="AF31" i="1" s="1"/>
  <c r="Z31" i="1"/>
  <c r="Z27" i="1"/>
  <c r="Y27" i="1"/>
  <c r="Y23" i="1"/>
  <c r="Z23" i="1"/>
  <c r="Y19" i="1"/>
  <c r="Z19" i="1"/>
  <c r="AK19" i="1" s="1"/>
  <c r="Y15" i="1"/>
  <c r="Z15" i="1"/>
  <c r="AK15" i="1" s="1"/>
  <c r="AI1009" i="1"/>
  <c r="AI965" i="1"/>
  <c r="AE904" i="1"/>
  <c r="AD903" i="1"/>
  <c r="AE902" i="1"/>
  <c r="Z902" i="1"/>
  <c r="AI902" i="1" s="1"/>
  <c r="AG901" i="1"/>
  <c r="AJ900" i="1"/>
  <c r="AC900" i="1"/>
  <c r="AF898" i="1"/>
  <c r="AB896" i="1"/>
  <c r="AD895" i="1"/>
  <c r="AC894" i="1"/>
  <c r="AB893" i="1"/>
  <c r="AH892" i="1"/>
  <c r="Z892" i="1"/>
  <c r="AE890" i="1"/>
  <c r="Z889" i="1"/>
  <c r="AD887" i="1"/>
  <c r="AE884" i="1"/>
  <c r="AC883" i="1"/>
  <c r="AB882" i="1"/>
  <c r="AC880" i="1"/>
  <c r="AE879" i="1"/>
  <c r="AD878" i="1"/>
  <c r="AK874" i="1"/>
  <c r="Z871" i="1"/>
  <c r="AH868" i="1"/>
  <c r="Z868" i="1"/>
  <c r="AK868" i="1" s="1"/>
  <c r="Y866" i="1"/>
  <c r="Z865" i="1"/>
  <c r="AQ1028" i="1"/>
  <c r="AP1026" i="1"/>
  <c r="BF1026" i="1"/>
  <c r="AQ1012" i="1"/>
  <c r="AP1010" i="1"/>
  <c r="BF1010" i="1"/>
  <c r="AP997" i="1"/>
  <c r="BF997" i="1"/>
  <c r="AQ995" i="1"/>
  <c r="AP981" i="1"/>
  <c r="BF981" i="1"/>
  <c r="AQ969" i="1"/>
  <c r="AN969" i="1"/>
  <c r="BC969" i="1" s="1"/>
  <c r="AZ968" i="1"/>
  <c r="AP968" i="1"/>
  <c r="BC965" i="1"/>
  <c r="BB965" i="1"/>
  <c r="BH955" i="1"/>
  <c r="BA955" i="1"/>
  <c r="BF955" i="1"/>
  <c r="AP955" i="1"/>
  <c r="AZ955" i="1"/>
  <c r="BC948" i="1"/>
  <c r="BB948" i="1"/>
  <c r="BC938" i="1"/>
  <c r="BB938" i="1"/>
  <c r="AQ930" i="1"/>
  <c r="AN930" i="1"/>
  <c r="AN920" i="1"/>
  <c r="BC920" i="1" s="1"/>
  <c r="BA910" i="1"/>
  <c r="BG910" i="1"/>
  <c r="BF910" i="1"/>
  <c r="BC884" i="1"/>
  <c r="BB884" i="1"/>
  <c r="BC877" i="1"/>
  <c r="BB877" i="1"/>
  <c r="BF1040" i="1"/>
  <c r="AQ1039" i="1"/>
  <c r="AP1038" i="1"/>
  <c r="BF1038" i="1"/>
  <c r="BF1037" i="1"/>
  <c r="AT1035" i="1"/>
  <c r="AU1035" i="1" s="1"/>
  <c r="AT1034" i="1"/>
  <c r="AN1031" i="1"/>
  <c r="BB1031" i="1" s="1"/>
  <c r="BA1026" i="1"/>
  <c r="AN1026" i="1"/>
  <c r="BB1026" i="1" s="1"/>
  <c r="BF1024" i="1"/>
  <c r="AQ1023" i="1"/>
  <c r="AP1022" i="1"/>
  <c r="BF1022" i="1"/>
  <c r="BF1021" i="1"/>
  <c r="AT1019" i="1"/>
  <c r="AU1019" i="1" s="1"/>
  <c r="AT1018" i="1"/>
  <c r="AU1018" i="1" s="1"/>
  <c r="AN1015" i="1"/>
  <c r="BB1015" i="1" s="1"/>
  <c r="BA1010" i="1"/>
  <c r="AN1010" i="1"/>
  <c r="BB1010" i="1" s="1"/>
  <c r="BF1008" i="1"/>
  <c r="AQ1007" i="1"/>
  <c r="AP1006" i="1"/>
  <c r="BF1006" i="1"/>
  <c r="BF1005" i="1"/>
  <c r="AP1001" i="1"/>
  <c r="BF1001" i="1"/>
  <c r="BF1000" i="1"/>
  <c r="AN998" i="1"/>
  <c r="AT990" i="1"/>
  <c r="AU990" i="1" s="1"/>
  <c r="AP985" i="1"/>
  <c r="BF985" i="1"/>
  <c r="BF984" i="1"/>
  <c r="AN982" i="1"/>
  <c r="BB982" i="1" s="1"/>
  <c r="X980" i="1"/>
  <c r="BK980" i="1"/>
  <c r="AQ977" i="1"/>
  <c r="BH951" i="1"/>
  <c r="AZ951" i="1"/>
  <c r="BA951" i="1"/>
  <c r="AP951" i="1"/>
  <c r="BG951" i="1"/>
  <c r="AQ940" i="1"/>
  <c r="AN940" i="1"/>
  <c r="BC940" i="1" s="1"/>
  <c r="AQ926" i="1"/>
  <c r="AN926" i="1"/>
  <c r="BC926" i="1" s="1"/>
  <c r="BG914" i="1"/>
  <c r="BA914" i="1"/>
  <c r="BC882" i="1"/>
  <c r="BB882" i="1"/>
  <c r="AP1034" i="1"/>
  <c r="BF1034" i="1"/>
  <c r="AP1018" i="1"/>
  <c r="BF1018" i="1"/>
  <c r="AP989" i="1"/>
  <c r="BF989" i="1"/>
  <c r="AZ980" i="1"/>
  <c r="BH980" i="1"/>
  <c r="AP980" i="1"/>
  <c r="BG980" i="1"/>
  <c r="BB977" i="1"/>
  <c r="BD977" i="1" s="1"/>
  <c r="BH976" i="1"/>
  <c r="BA976" i="1"/>
  <c r="AZ976" i="1"/>
  <c r="BH975" i="1"/>
  <c r="BF975" i="1"/>
  <c r="BA975" i="1"/>
  <c r="BH973" i="1"/>
  <c r="AP973" i="1"/>
  <c r="BC970" i="1"/>
  <c r="BB970" i="1"/>
  <c r="AQ962" i="1"/>
  <c r="AN962" i="1"/>
  <c r="AN952" i="1"/>
  <c r="BC952" i="1" s="1"/>
  <c r="BA942" i="1"/>
  <c r="BG942" i="1"/>
  <c r="BF942" i="1"/>
  <c r="AQ937" i="1"/>
  <c r="AN937" i="1"/>
  <c r="BC937" i="1" s="1"/>
  <c r="AZ936" i="1"/>
  <c r="AP936" i="1"/>
  <c r="AQ935" i="1"/>
  <c r="BC933" i="1"/>
  <c r="BB933" i="1"/>
  <c r="BH923" i="1"/>
  <c r="BA923" i="1"/>
  <c r="BF923" i="1"/>
  <c r="AP923" i="1"/>
  <c r="AZ923" i="1"/>
  <c r="BC917" i="1"/>
  <c r="BB917" i="1"/>
  <c r="BC916" i="1"/>
  <c r="BB916" i="1"/>
  <c r="BC906" i="1"/>
  <c r="BB906" i="1"/>
  <c r="BC855" i="1"/>
  <c r="BB855" i="1"/>
  <c r="BA1034" i="1"/>
  <c r="AN1034" i="1"/>
  <c r="BB1034" i="1" s="1"/>
  <c r="BF1032" i="1"/>
  <c r="AQ1032" i="1"/>
  <c r="AP1030" i="1"/>
  <c r="BF1030" i="1"/>
  <c r="BF1029" i="1"/>
  <c r="AT1027" i="1"/>
  <c r="AU1027" i="1" s="1"/>
  <c r="AT1026" i="1"/>
  <c r="AU1026" i="1" s="1"/>
  <c r="BA1018" i="1"/>
  <c r="AN1018" i="1"/>
  <c r="BF1016" i="1"/>
  <c r="AQ1016" i="1"/>
  <c r="AP1014" i="1"/>
  <c r="BF1014" i="1"/>
  <c r="BF1013" i="1"/>
  <c r="AT1011" i="1"/>
  <c r="AU1011" i="1" s="1"/>
  <c r="AT1010" i="1"/>
  <c r="AU1010" i="1" s="1"/>
  <c r="AT998" i="1"/>
  <c r="AP993" i="1"/>
  <c r="BF993" i="1"/>
  <c r="BF992" i="1"/>
  <c r="AQ991" i="1"/>
  <c r="AN990" i="1"/>
  <c r="BB990" i="1" s="1"/>
  <c r="AT982" i="1"/>
  <c r="AU982" i="1" s="1"/>
  <c r="AQ978" i="1"/>
  <c r="BB978" i="1"/>
  <c r="BD978" i="1" s="1"/>
  <c r="BG976" i="1"/>
  <c r="BC973" i="1"/>
  <c r="BB973" i="1"/>
  <c r="AN972" i="1"/>
  <c r="BC972" i="1" s="1"/>
  <c r="AQ971" i="1"/>
  <c r="BF968" i="1"/>
  <c r="AQ958" i="1"/>
  <c r="AN958" i="1"/>
  <c r="BC958" i="1" s="1"/>
  <c r="AQ952" i="1"/>
  <c r="AT951" i="1"/>
  <c r="BG946" i="1"/>
  <c r="BA946" i="1"/>
  <c r="BB945" i="1"/>
  <c r="BD945" i="1" s="1"/>
  <c r="BH919" i="1"/>
  <c r="AZ919" i="1"/>
  <c r="BA919" i="1"/>
  <c r="AP919" i="1"/>
  <c r="BG919" i="1"/>
  <c r="AT972" i="1"/>
  <c r="BI972" i="1" s="1"/>
  <c r="BG966" i="1"/>
  <c r="BB953" i="1"/>
  <c r="BD953" i="1" s="1"/>
  <c r="BA947" i="1"/>
  <c r="AZ943" i="1"/>
  <c r="AT940" i="1"/>
  <c r="AU940" i="1" s="1"/>
  <c r="BG934" i="1"/>
  <c r="BA915" i="1"/>
  <c r="AZ911" i="1"/>
  <c r="AT908" i="1"/>
  <c r="BI908" i="1" s="1"/>
  <c r="AN908" i="1"/>
  <c r="BC908" i="1" s="1"/>
  <c r="AN905" i="1"/>
  <c r="BC905" i="1" s="1"/>
  <c r="AP904" i="1"/>
  <c r="BG902" i="1"/>
  <c r="AN898" i="1"/>
  <c r="AN894" i="1"/>
  <c r="AZ891" i="1"/>
  <c r="AP891" i="1"/>
  <c r="BB888" i="1"/>
  <c r="BD888" i="1" s="1"/>
  <c r="BG887" i="1"/>
  <c r="AP887" i="1"/>
  <c r="BA883" i="1"/>
  <c r="AN881" i="1"/>
  <c r="BC881" i="1" s="1"/>
  <c r="AP880" i="1"/>
  <c r="AT856" i="1"/>
  <c r="BI856" i="1" s="1"/>
  <c r="AZ853" i="1"/>
  <c r="AP853" i="1"/>
  <c r="BP852" i="1"/>
  <c r="AZ851" i="1"/>
  <c r="AP851" i="1"/>
  <c r="BP850" i="1"/>
  <c r="AZ849" i="1"/>
  <c r="AP849" i="1"/>
  <c r="BP848" i="1"/>
  <c r="AZ847" i="1"/>
  <c r="AP847" i="1"/>
  <c r="BP846" i="1"/>
  <c r="AZ845" i="1"/>
  <c r="AP845" i="1"/>
  <c r="BP844" i="1"/>
  <c r="AZ843" i="1"/>
  <c r="AP843" i="1"/>
  <c r="BP842" i="1"/>
  <c r="AZ841" i="1"/>
  <c r="AP841" i="1"/>
  <c r="BP840" i="1"/>
  <c r="AZ839" i="1"/>
  <c r="AP839" i="1"/>
  <c r="BP838" i="1"/>
  <c r="AZ837" i="1"/>
  <c r="AP837" i="1"/>
  <c r="BP836" i="1"/>
  <c r="AZ835" i="1"/>
  <c r="AP835" i="1"/>
  <c r="BP834" i="1"/>
  <c r="AZ833" i="1"/>
  <c r="AP833" i="1"/>
  <c r="BP832" i="1"/>
  <c r="AZ831" i="1"/>
  <c r="AP831" i="1"/>
  <c r="BP830" i="1"/>
  <c r="AZ829" i="1"/>
  <c r="AP829" i="1"/>
  <c r="BP828" i="1"/>
  <c r="AZ827" i="1"/>
  <c r="AP827" i="1"/>
  <c r="AP824" i="1"/>
  <c r="BP824" i="1"/>
  <c r="AP822" i="1"/>
  <c r="BP822" i="1"/>
  <c r="AP820" i="1"/>
  <c r="BP820" i="1"/>
  <c r="AP819" i="1"/>
  <c r="BP819" i="1"/>
  <c r="AP817" i="1"/>
  <c r="BP817" i="1"/>
  <c r="AP815" i="1"/>
  <c r="BP815" i="1"/>
  <c r="BH812" i="1"/>
  <c r="AP812" i="1"/>
  <c r="BP812" i="1"/>
  <c r="BH808" i="1"/>
  <c r="AP808" i="1"/>
  <c r="BP808" i="1"/>
  <c r="BH804" i="1"/>
  <c r="AP804" i="1"/>
  <c r="BP804" i="1"/>
  <c r="BH800" i="1"/>
  <c r="AP800" i="1"/>
  <c r="BP800" i="1"/>
  <c r="BH796" i="1"/>
  <c r="AP796" i="1"/>
  <c r="BP796" i="1"/>
  <c r="BH792" i="1"/>
  <c r="AP792" i="1"/>
  <c r="BP792" i="1"/>
  <c r="BH788" i="1"/>
  <c r="AP788" i="1"/>
  <c r="BC739" i="1"/>
  <c r="BB739" i="1"/>
  <c r="BH811" i="1"/>
  <c r="AP811" i="1"/>
  <c r="BP811" i="1"/>
  <c r="BH807" i="1"/>
  <c r="AP807" i="1"/>
  <c r="BP807" i="1"/>
  <c r="BH803" i="1"/>
  <c r="AP803" i="1"/>
  <c r="BP803" i="1"/>
  <c r="BH799" i="1"/>
  <c r="AP799" i="1"/>
  <c r="BP799" i="1"/>
  <c r="BH795" i="1"/>
  <c r="AP795" i="1"/>
  <c r="BP795" i="1"/>
  <c r="BH791" i="1"/>
  <c r="AP791" i="1"/>
  <c r="BP791" i="1"/>
  <c r="AN788" i="1"/>
  <c r="BH786" i="1"/>
  <c r="AP786" i="1"/>
  <c r="BF786" i="1"/>
  <c r="BK785" i="1"/>
  <c r="BH784" i="1"/>
  <c r="AP784" i="1"/>
  <c r="BF784" i="1"/>
  <c r="BH783" i="1"/>
  <c r="BF783" i="1"/>
  <c r="BK777" i="1"/>
  <c r="BC738" i="1"/>
  <c r="BB738" i="1"/>
  <c r="AT961" i="1"/>
  <c r="AT955" i="1"/>
  <c r="AU955" i="1" s="1"/>
  <c r="AT954" i="1"/>
  <c r="AU954" i="1" s="1"/>
  <c r="AT929" i="1"/>
  <c r="AT923" i="1"/>
  <c r="AU923" i="1" s="1"/>
  <c r="AT922" i="1"/>
  <c r="AU922" i="1" s="1"/>
  <c r="AQ908" i="1"/>
  <c r="AT897" i="1"/>
  <c r="BF891" i="1"/>
  <c r="AT891" i="1"/>
  <c r="AU891" i="1" s="1"/>
  <c r="AT890" i="1"/>
  <c r="BA887" i="1"/>
  <c r="BF852" i="1"/>
  <c r="BF850" i="1"/>
  <c r="BF848" i="1"/>
  <c r="BF846" i="1"/>
  <c r="BF844" i="1"/>
  <c r="BF842" i="1"/>
  <c r="BF840" i="1"/>
  <c r="BF838" i="1"/>
  <c r="BF836" i="1"/>
  <c r="BF834" i="1"/>
  <c r="BF832" i="1"/>
  <c r="BF830" i="1"/>
  <c r="BF828" i="1"/>
  <c r="AP825" i="1"/>
  <c r="AZ825" i="1"/>
  <c r="AP823" i="1"/>
  <c r="AZ823" i="1"/>
  <c r="AP821" i="1"/>
  <c r="AZ821" i="1"/>
  <c r="AP875" i="1"/>
  <c r="AZ875" i="1"/>
  <c r="AP818" i="1"/>
  <c r="AZ818" i="1"/>
  <c r="AP816" i="1"/>
  <c r="AZ816" i="1"/>
  <c r="BH814" i="1"/>
  <c r="AP814" i="1"/>
  <c r="AZ814" i="1"/>
  <c r="AZ811" i="1"/>
  <c r="BH810" i="1"/>
  <c r="AP810" i="1"/>
  <c r="BP810" i="1"/>
  <c r="AZ807" i="1"/>
  <c r="BH806" i="1"/>
  <c r="AP806" i="1"/>
  <c r="BP806" i="1"/>
  <c r="AZ803" i="1"/>
  <c r="BH802" i="1"/>
  <c r="AP802" i="1"/>
  <c r="BP802" i="1"/>
  <c r="AZ799" i="1"/>
  <c r="BH798" i="1"/>
  <c r="AP798" i="1"/>
  <c r="BP798" i="1"/>
  <c r="AZ795" i="1"/>
  <c r="BH794" i="1"/>
  <c r="AP794" i="1"/>
  <c r="BP794" i="1"/>
  <c r="AZ791" i="1"/>
  <c r="BH790" i="1"/>
  <c r="AP790" i="1"/>
  <c r="BP790" i="1"/>
  <c r="BK787" i="1"/>
  <c r="AZ786" i="1"/>
  <c r="AN786" i="1"/>
  <c r="AZ784" i="1"/>
  <c r="AN784" i="1"/>
  <c r="AN782" i="1"/>
  <c r="BK781" i="1"/>
  <c r="AT1037" i="1"/>
  <c r="AU1037" i="1" s="1"/>
  <c r="AT1033" i="1"/>
  <c r="AU1033" i="1" s="1"/>
  <c r="AT1029" i="1"/>
  <c r="AT1025" i="1"/>
  <c r="AU1025" i="1" s="1"/>
  <c r="AT1021" i="1"/>
  <c r="AU1021" i="1" s="1"/>
  <c r="AT1017" i="1"/>
  <c r="AU1017" i="1" s="1"/>
  <c r="AT1013" i="1"/>
  <c r="AU1013" i="1" s="1"/>
  <c r="AT1009" i="1"/>
  <c r="AU1009" i="1" s="1"/>
  <c r="AT1005" i="1"/>
  <c r="AU1005" i="1" s="1"/>
  <c r="BF1002" i="1"/>
  <c r="AT1001" i="1"/>
  <c r="AU1001" i="1" s="1"/>
  <c r="BF998" i="1"/>
  <c r="AT997" i="1"/>
  <c r="AU997" i="1" s="1"/>
  <c r="BF994" i="1"/>
  <c r="AT993" i="1"/>
  <c r="BF990" i="1"/>
  <c r="AT989" i="1"/>
  <c r="AU989" i="1" s="1"/>
  <c r="BF986" i="1"/>
  <c r="AT985" i="1"/>
  <c r="AU985" i="1" s="1"/>
  <c r="BF982" i="1"/>
  <c r="AT981" i="1"/>
  <c r="AU981" i="1" s="1"/>
  <c r="BA979" i="1"/>
  <c r="AP977" i="1"/>
  <c r="AT975" i="1"/>
  <c r="AU975" i="1" s="1"/>
  <c r="AT974" i="1"/>
  <c r="AZ963" i="1"/>
  <c r="AP963" i="1"/>
  <c r="BB960" i="1"/>
  <c r="BD960" i="1" s="1"/>
  <c r="BG959" i="1"/>
  <c r="AP959" i="1"/>
  <c r="AT953" i="1"/>
  <c r="AU953" i="1" s="1"/>
  <c r="BF950" i="1"/>
  <c r="AT948" i="1"/>
  <c r="BF947" i="1"/>
  <c r="AT947" i="1"/>
  <c r="AU947" i="1" s="1"/>
  <c r="BB946" i="1"/>
  <c r="BD946" i="1" s="1"/>
  <c r="AT946" i="1"/>
  <c r="BA943" i="1"/>
  <c r="AZ931" i="1"/>
  <c r="AP931" i="1"/>
  <c r="BB928" i="1"/>
  <c r="BD928" i="1" s="1"/>
  <c r="BG927" i="1"/>
  <c r="AP927" i="1"/>
  <c r="AT921" i="1"/>
  <c r="AU921" i="1" s="1"/>
  <c r="BF918" i="1"/>
  <c r="AT916" i="1"/>
  <c r="BI916" i="1" s="1"/>
  <c r="BF915" i="1"/>
  <c r="AT915" i="1"/>
  <c r="AU915" i="1" s="1"/>
  <c r="AT914" i="1"/>
  <c r="AU914" i="1" s="1"/>
  <c r="BA911" i="1"/>
  <c r="AZ899" i="1"/>
  <c r="AP899" i="1"/>
  <c r="BB896" i="1"/>
  <c r="BD896" i="1" s="1"/>
  <c r="BG895" i="1"/>
  <c r="AP895" i="1"/>
  <c r="BA891" i="1"/>
  <c r="AT889" i="1"/>
  <c r="AZ887" i="1"/>
  <c r="BF886" i="1"/>
  <c r="AT884" i="1"/>
  <c r="AU884" i="1" s="1"/>
  <c r="BF883" i="1"/>
  <c r="AT883" i="1"/>
  <c r="AU883" i="1" s="1"/>
  <c r="BF874" i="1"/>
  <c r="BF872" i="1"/>
  <c r="BF870" i="1"/>
  <c r="BF868" i="1"/>
  <c r="BF866" i="1"/>
  <c r="BF864" i="1"/>
  <c r="BF862" i="1"/>
  <c r="BF860" i="1"/>
  <c r="BF858" i="1"/>
  <c r="BF856" i="1"/>
  <c r="BF854" i="1"/>
  <c r="AT850" i="1"/>
  <c r="AU850" i="1" s="1"/>
  <c r="BH813" i="1"/>
  <c r="AP813" i="1"/>
  <c r="BP813" i="1"/>
  <c r="AZ810" i="1"/>
  <c r="AN810" i="1"/>
  <c r="BH809" i="1"/>
  <c r="AP809" i="1"/>
  <c r="BP809" i="1"/>
  <c r="AZ806" i="1"/>
  <c r="AN806" i="1"/>
  <c r="BH805" i="1"/>
  <c r="AP805" i="1"/>
  <c r="BP805" i="1"/>
  <c r="AZ802" i="1"/>
  <c r="AN802" i="1"/>
  <c r="BH801" i="1"/>
  <c r="AP801" i="1"/>
  <c r="BP801" i="1"/>
  <c r="AZ798" i="1"/>
  <c r="AN798" i="1"/>
  <c r="BH797" i="1"/>
  <c r="AP797" i="1"/>
  <c r="BP797" i="1"/>
  <c r="AZ794" i="1"/>
  <c r="AN794" i="1"/>
  <c r="BH793" i="1"/>
  <c r="AP793" i="1"/>
  <c r="BP793" i="1"/>
  <c r="AZ790" i="1"/>
  <c r="AN790" i="1"/>
  <c r="AP789" i="1"/>
  <c r="AN780" i="1"/>
  <c r="BH782" i="1"/>
  <c r="AP782" i="1"/>
  <c r="BH777" i="1"/>
  <c r="BF777" i="1"/>
  <c r="BK773" i="1"/>
  <c r="BH773" i="1"/>
  <c r="BF773" i="1"/>
  <c r="BB770" i="1"/>
  <c r="BD770" i="1" s="1"/>
  <c r="BK769" i="1"/>
  <c r="BH769" i="1"/>
  <c r="BF769" i="1"/>
  <c r="BB766" i="1"/>
  <c r="BD766" i="1" s="1"/>
  <c r="BK765" i="1"/>
  <c r="BH765" i="1"/>
  <c r="BF765" i="1"/>
  <c r="BB762" i="1"/>
  <c r="BD762" i="1" s="1"/>
  <c r="BK761" i="1"/>
  <c r="BH761" i="1"/>
  <c r="BF761" i="1"/>
  <c r="BB758" i="1"/>
  <c r="BD758" i="1" s="1"/>
  <c r="BK757" i="1"/>
  <c r="BH757" i="1"/>
  <c r="BF757" i="1"/>
  <c r="AT750" i="1"/>
  <c r="BB740" i="1"/>
  <c r="BD740" i="1" s="1"/>
  <c r="AT739" i="1"/>
  <c r="AU739" i="1" s="1"/>
  <c r="BB730" i="1"/>
  <c r="BD730" i="1" s="1"/>
  <c r="BC726" i="1"/>
  <c r="BB726" i="1"/>
  <c r="BF719" i="1"/>
  <c r="BG719" i="1"/>
  <c r="AP719" i="1"/>
  <c r="BP814" i="1"/>
  <c r="AZ782" i="1"/>
  <c r="BP782" i="1"/>
  <c r="BK780" i="1"/>
  <c r="BH778" i="1"/>
  <c r="BF778" i="1"/>
  <c r="BB876" i="1"/>
  <c r="BD876" i="1" s="1"/>
  <c r="BH774" i="1"/>
  <c r="BF774" i="1"/>
  <c r="BB771" i="1"/>
  <c r="BD771" i="1" s="1"/>
  <c r="BH770" i="1"/>
  <c r="BF770" i="1"/>
  <c r="BB767" i="1"/>
  <c r="BD767" i="1" s="1"/>
  <c r="BH766" i="1"/>
  <c r="BF766" i="1"/>
  <c r="BB763" i="1"/>
  <c r="BD763" i="1" s="1"/>
  <c r="BH762" i="1"/>
  <c r="BF762" i="1"/>
  <c r="BB759" i="1"/>
  <c r="BD759" i="1" s="1"/>
  <c r="BH758" i="1"/>
  <c r="BF758" i="1"/>
  <c r="BB755" i="1"/>
  <c r="BD755" i="1" s="1"/>
  <c r="BB754" i="1"/>
  <c r="BD754" i="1" s="1"/>
  <c r="BF751" i="1"/>
  <c r="BF749" i="1"/>
  <c r="BP748" i="1"/>
  <c r="AT745" i="1"/>
  <c r="AU745" i="1" s="1"/>
  <c r="BB745" i="1"/>
  <c r="BD745" i="1" s="1"/>
  <c r="AT744" i="1"/>
  <c r="BI744" i="1" s="1"/>
  <c r="BG743" i="1"/>
  <c r="AT742" i="1"/>
  <c r="AU742" i="1" s="1"/>
  <c r="BB733" i="1"/>
  <c r="BD733" i="1" s="1"/>
  <c r="AT729" i="1"/>
  <c r="BB729" i="1"/>
  <c r="BD729" i="1" s="1"/>
  <c r="BF727" i="1"/>
  <c r="AP727" i="1"/>
  <c r="BB724" i="1"/>
  <c r="BD724" i="1" s="1"/>
  <c r="BH779" i="1"/>
  <c r="BF779" i="1"/>
  <c r="BH876" i="1"/>
  <c r="BF876" i="1"/>
  <c r="BH771" i="1"/>
  <c r="BF771" i="1"/>
  <c r="BH767" i="1"/>
  <c r="BF767" i="1"/>
  <c r="BH763" i="1"/>
  <c r="BF763" i="1"/>
  <c r="BH759" i="1"/>
  <c r="BF759" i="1"/>
  <c r="BH755" i="1"/>
  <c r="BF755" i="1"/>
  <c r="AP746" i="1"/>
  <c r="BG746" i="1"/>
  <c r="BK744" i="1"/>
  <c r="BB737" i="1"/>
  <c r="BD737" i="1" s="1"/>
  <c r="BF735" i="1"/>
  <c r="AP735" i="1"/>
  <c r="BG733" i="1"/>
  <c r="BF733" i="1"/>
  <c r="BK728" i="1"/>
  <c r="AN723" i="1"/>
  <c r="BC723" i="1" s="1"/>
  <c r="BK720" i="1"/>
  <c r="BC712" i="1"/>
  <c r="BB712" i="1"/>
  <c r="BC710" i="1"/>
  <c r="BB710" i="1"/>
  <c r="BH776" i="1"/>
  <c r="BF776" i="1"/>
  <c r="BH772" i="1"/>
  <c r="BF772" i="1"/>
  <c r="BH768" i="1"/>
  <c r="BF768" i="1"/>
  <c r="BH764" i="1"/>
  <c r="BF764" i="1"/>
  <c r="BH760" i="1"/>
  <c r="BF760" i="1"/>
  <c r="BH756" i="1"/>
  <c r="BF756" i="1"/>
  <c r="BB752" i="1"/>
  <c r="BD752" i="1" s="1"/>
  <c r="AP745" i="1"/>
  <c r="BP745" i="1"/>
  <c r="AP738" i="1"/>
  <c r="BG738" i="1"/>
  <c r="BK736" i="1"/>
  <c r="BA735" i="1"/>
  <c r="BC735" i="1"/>
  <c r="BB735" i="1"/>
  <c r="BP733" i="1"/>
  <c r="BB732" i="1"/>
  <c r="BD732" i="1" s="1"/>
  <c r="BC720" i="1"/>
  <c r="BB720" i="1"/>
  <c r="BC718" i="1"/>
  <c r="BB718" i="1"/>
  <c r="AT731" i="1"/>
  <c r="AU731" i="1" s="1"/>
  <c r="BB727" i="1"/>
  <c r="BD727" i="1" s="1"/>
  <c r="BF725" i="1"/>
  <c r="AT723" i="1"/>
  <c r="BB719" i="1"/>
  <c r="BD719" i="1" s="1"/>
  <c r="BF717" i="1"/>
  <c r="AT715" i="1"/>
  <c r="AN715" i="1"/>
  <c r="BC715" i="1" s="1"/>
  <c r="BB711" i="1"/>
  <c r="BD711" i="1" s="1"/>
  <c r="AP711" i="1"/>
  <c r="BF709" i="1"/>
  <c r="AP709" i="1"/>
  <c r="BF705" i="1"/>
  <c r="AP705" i="1"/>
  <c r="BK704" i="1"/>
  <c r="BF697" i="1"/>
  <c r="AP697" i="1"/>
  <c r="BK696" i="1"/>
  <c r="BF677" i="1"/>
  <c r="AP677" i="1"/>
  <c r="BH658" i="1"/>
  <c r="AP658" i="1"/>
  <c r="AZ658" i="1"/>
  <c r="BF658" i="1"/>
  <c r="BG711" i="1"/>
  <c r="BK669" i="1"/>
  <c r="BH662" i="1"/>
  <c r="AP662" i="1"/>
  <c r="AZ662" i="1"/>
  <c r="BF662" i="1"/>
  <c r="AT751" i="1"/>
  <c r="AT749" i="1"/>
  <c r="AU749" i="1" s="1"/>
  <c r="AT741" i="1"/>
  <c r="AU741" i="1" s="1"/>
  <c r="BP737" i="1"/>
  <c r="AT733" i="1"/>
  <c r="BG730" i="1"/>
  <c r="BP729" i="1"/>
  <c r="AT725" i="1"/>
  <c r="AU725" i="1" s="1"/>
  <c r="BG722" i="1"/>
  <c r="BP721" i="1"/>
  <c r="AT717" i="1"/>
  <c r="AU717" i="1" s="1"/>
  <c r="BG714" i="1"/>
  <c r="BP713" i="1"/>
  <c r="BK712" i="1"/>
  <c r="BF707" i="1"/>
  <c r="AP707" i="1"/>
  <c r="BG702" i="1"/>
  <c r="BF699" i="1"/>
  <c r="AP699" i="1"/>
  <c r="BG694" i="1"/>
  <c r="BF685" i="1"/>
  <c r="AP685" i="1"/>
  <c r="BK672" i="1"/>
  <c r="BK668" i="1"/>
  <c r="BH666" i="1"/>
  <c r="AP666" i="1"/>
  <c r="AZ666" i="1"/>
  <c r="BF666" i="1"/>
  <c r="AZ665" i="1"/>
  <c r="AP665" i="1"/>
  <c r="AZ661" i="1"/>
  <c r="AP661" i="1"/>
  <c r="AZ657" i="1"/>
  <c r="AP657" i="1"/>
  <c r="BF654" i="1"/>
  <c r="AZ653" i="1"/>
  <c r="AP653" i="1"/>
  <c r="BF650" i="1"/>
  <c r="AZ649" i="1"/>
  <c r="AP649" i="1"/>
  <c r="BF646" i="1"/>
  <c r="AZ645" i="1"/>
  <c r="AP645" i="1"/>
  <c r="BF642" i="1"/>
  <c r="AZ641" i="1"/>
  <c r="AP641" i="1"/>
  <c r="BF638" i="1"/>
  <c r="AZ637" i="1"/>
  <c r="AP637" i="1"/>
  <c r="BF634" i="1"/>
  <c r="AZ633" i="1"/>
  <c r="AP633" i="1"/>
  <c r="BF630" i="1"/>
  <c r="AZ629" i="1"/>
  <c r="AP629" i="1"/>
  <c r="BF626" i="1"/>
  <c r="BG442" i="1"/>
  <c r="AZ654" i="1"/>
  <c r="AP654" i="1"/>
  <c r="AZ650" i="1"/>
  <c r="AP650" i="1"/>
  <c r="AZ646" i="1"/>
  <c r="AP646" i="1"/>
  <c r="AZ642" i="1"/>
  <c r="AP642" i="1"/>
  <c r="AZ638" i="1"/>
  <c r="AP638" i="1"/>
  <c r="AZ634" i="1"/>
  <c r="AP634" i="1"/>
  <c r="BF665" i="1"/>
  <c r="BF661" i="1"/>
  <c r="BF657" i="1"/>
  <c r="BF653" i="1"/>
  <c r="BF649" i="1"/>
  <c r="BF645" i="1"/>
  <c r="BF641" i="1"/>
  <c r="BF637" i="1"/>
  <c r="BF633" i="1"/>
  <c r="BF424" i="1"/>
  <c r="AP424" i="1"/>
  <c r="BF420" i="1"/>
  <c r="AP420" i="1"/>
  <c r="BF416" i="1"/>
  <c r="AP416" i="1"/>
  <c r="BF412" i="1"/>
  <c r="AP412" i="1"/>
  <c r="AP403" i="1"/>
  <c r="BF403" i="1"/>
  <c r="BF401" i="1"/>
  <c r="BG401" i="1"/>
  <c r="AP392" i="1"/>
  <c r="BF392" i="1"/>
  <c r="BG392" i="1"/>
  <c r="AP384" i="1"/>
  <c r="BF384" i="1"/>
  <c r="BG384" i="1"/>
  <c r="AP376" i="1"/>
  <c r="BF376" i="1"/>
  <c r="BG376" i="1"/>
  <c r="AP368" i="1"/>
  <c r="BF368" i="1"/>
  <c r="BG368" i="1"/>
  <c r="AP423" i="1"/>
  <c r="BF423" i="1"/>
  <c r="AP419" i="1"/>
  <c r="BF419" i="1"/>
  <c r="AP415" i="1"/>
  <c r="BF415" i="1"/>
  <c r="AP411" i="1"/>
  <c r="BF411" i="1"/>
  <c r="AP404" i="1"/>
  <c r="BF404" i="1"/>
  <c r="BG404" i="1"/>
  <c r="AP396" i="1"/>
  <c r="BF396" i="1"/>
  <c r="BG396" i="1"/>
  <c r="BG445" i="1"/>
  <c r="BG441" i="1"/>
  <c r="BG437" i="1"/>
  <c r="BG433" i="1"/>
  <c r="BG429" i="1"/>
  <c r="BG425" i="1"/>
  <c r="BG423" i="1"/>
  <c r="BG421" i="1"/>
  <c r="BG419" i="1"/>
  <c r="BG417" i="1"/>
  <c r="BG415" i="1"/>
  <c r="BG413" i="1"/>
  <c r="BG411" i="1"/>
  <c r="BG409" i="1"/>
  <c r="AP407" i="1"/>
  <c r="BF407" i="1"/>
  <c r="BF405" i="1"/>
  <c r="BG405" i="1"/>
  <c r="BA404" i="1"/>
  <c r="AP399" i="1"/>
  <c r="BF399" i="1"/>
  <c r="BF397" i="1"/>
  <c r="BG397" i="1"/>
  <c r="BA396" i="1"/>
  <c r="AP388" i="1"/>
  <c r="BF388" i="1"/>
  <c r="BG388" i="1"/>
  <c r="AP380" i="1"/>
  <c r="BF380" i="1"/>
  <c r="BG380" i="1"/>
  <c r="AP372" i="1"/>
  <c r="BF372" i="1"/>
  <c r="BG372" i="1"/>
  <c r="BA445" i="1"/>
  <c r="AP445" i="1"/>
  <c r="BA441" i="1"/>
  <c r="AP441" i="1"/>
  <c r="BA437" i="1"/>
  <c r="AP437" i="1"/>
  <c r="BA433" i="1"/>
  <c r="AP433" i="1"/>
  <c r="BA429" i="1"/>
  <c r="AP429" i="1"/>
  <c r="BA425" i="1"/>
  <c r="AP425" i="1"/>
  <c r="BA421" i="1"/>
  <c r="AP421" i="1"/>
  <c r="BA417" i="1"/>
  <c r="AP417" i="1"/>
  <c r="BA413" i="1"/>
  <c r="AP413" i="1"/>
  <c r="BA409" i="1"/>
  <c r="AP409" i="1"/>
  <c r="AP408" i="1"/>
  <c r="BF408" i="1"/>
  <c r="BG408" i="1"/>
  <c r="BG407" i="1"/>
  <c r="BA401" i="1"/>
  <c r="AP401" i="1"/>
  <c r="AP400" i="1"/>
  <c r="BF400" i="1"/>
  <c r="BG400" i="1"/>
  <c r="BG399" i="1"/>
  <c r="BA388" i="1"/>
  <c r="BA380" i="1"/>
  <c r="BA372" i="1"/>
  <c r="BF395" i="1"/>
  <c r="BF391" i="1"/>
  <c r="BF387" i="1"/>
  <c r="BF383" i="1"/>
  <c r="BF379" i="1"/>
  <c r="BF375" i="1"/>
  <c r="BF371" i="1"/>
  <c r="BF367" i="1"/>
  <c r="BG366" i="1"/>
  <c r="BG365" i="1"/>
  <c r="BG364" i="1"/>
  <c r="BG363" i="1"/>
  <c r="BG362" i="1"/>
  <c r="BG361" i="1"/>
  <c r="BG360" i="1"/>
  <c r="BG359" i="1"/>
  <c r="BG358" i="1"/>
  <c r="BG357" i="1"/>
  <c r="BG356" i="1"/>
  <c r="BG355" i="1"/>
  <c r="BG354" i="1"/>
  <c r="BG353" i="1"/>
  <c r="BG352" i="1"/>
  <c r="BH350" i="1"/>
  <c r="AZ348" i="1"/>
  <c r="BF345" i="1"/>
  <c r="BH341" i="1"/>
  <c r="BF350" i="1"/>
  <c r="BF341" i="1"/>
  <c r="BG303" i="1"/>
  <c r="BA302" i="1"/>
  <c r="BA301" i="1"/>
  <c r="BA300" i="1"/>
  <c r="BA299" i="1"/>
  <c r="BA298" i="1"/>
  <c r="BF207" i="1"/>
  <c r="BF203" i="1"/>
  <c r="BF187" i="1"/>
  <c r="BF171" i="1"/>
  <c r="BK125" i="1"/>
  <c r="BK117" i="1"/>
  <c r="AP159" i="1"/>
  <c r="BH159" i="1"/>
  <c r="AP158" i="1"/>
  <c r="BF158" i="1"/>
  <c r="AZ143" i="1"/>
  <c r="BF143" i="1"/>
  <c r="AZ115" i="1"/>
  <c r="BF115" i="1"/>
  <c r="AZ207" i="1"/>
  <c r="AZ203" i="1"/>
  <c r="BA202" i="1"/>
  <c r="BH199" i="1"/>
  <c r="AZ189" i="1"/>
  <c r="AZ187" i="1"/>
  <c r="BA186" i="1"/>
  <c r="BH183" i="1"/>
  <c r="AZ173" i="1"/>
  <c r="AZ171" i="1"/>
  <c r="BA170" i="1"/>
  <c r="BH167" i="1"/>
  <c r="AZ161" i="1"/>
  <c r="AZ159" i="1"/>
  <c r="AZ158" i="1"/>
  <c r="BK157" i="1"/>
  <c r="BA143" i="1"/>
  <c r="AZ139" i="1"/>
  <c r="BF139" i="1"/>
  <c r="BK113" i="1"/>
  <c r="AP111" i="1"/>
  <c r="AZ111" i="1"/>
  <c r="BF111" i="1"/>
  <c r="BA139" i="1"/>
  <c r="BG135" i="1"/>
  <c r="BG133" i="1"/>
  <c r="BF127" i="1"/>
  <c r="AZ127" i="1"/>
  <c r="BK119" i="1"/>
  <c r="AZ119" i="1"/>
  <c r="BF119" i="1"/>
  <c r="BA113" i="1"/>
  <c r="BF107" i="1"/>
  <c r="BF103" i="1"/>
  <c r="BF99" i="1"/>
  <c r="BF95" i="1"/>
  <c r="BG90" i="1"/>
  <c r="AP85" i="1"/>
  <c r="BA85" i="1"/>
  <c r="BH81" i="1"/>
  <c r="AZ76" i="1"/>
  <c r="BG76" i="1"/>
  <c r="BH58" i="1"/>
  <c r="BA58" i="1"/>
  <c r="BH56" i="1"/>
  <c r="BA56" i="1"/>
  <c r="BH54" i="1"/>
  <c r="BA54" i="1"/>
  <c r="BF48" i="1"/>
  <c r="BH48" i="1"/>
  <c r="BK111" i="1"/>
  <c r="AZ107" i="1"/>
  <c r="AZ103" i="1"/>
  <c r="AZ99" i="1"/>
  <c r="AZ95" i="1"/>
  <c r="BA90" i="1"/>
  <c r="AP90" i="1"/>
  <c r="AP83" i="1"/>
  <c r="BA83" i="1"/>
  <c r="BG81" i="1"/>
  <c r="BG78" i="1"/>
  <c r="AP78" i="1"/>
  <c r="BA61" i="1"/>
  <c r="BG58" i="1"/>
  <c r="BG56" i="1"/>
  <c r="BG54" i="1"/>
  <c r="BH52" i="1"/>
  <c r="AZ48" i="1"/>
  <c r="AP89" i="1"/>
  <c r="BA89" i="1"/>
  <c r="BG86" i="1"/>
  <c r="AP79" i="1"/>
  <c r="BG79" i="1"/>
  <c r="BH76" i="1"/>
  <c r="BH59" i="1"/>
  <c r="BA59" i="1"/>
  <c r="BH57" i="1"/>
  <c r="BA57" i="1"/>
  <c r="BH55" i="1"/>
  <c r="BA55" i="1"/>
  <c r="BH53" i="1"/>
  <c r="BA53" i="1"/>
  <c r="AZ109" i="1"/>
  <c r="AZ105" i="1"/>
  <c r="BK104" i="1"/>
  <c r="AZ101" i="1"/>
  <c r="BK100" i="1"/>
  <c r="AZ97" i="1"/>
  <c r="BK96" i="1"/>
  <c r="AP87" i="1"/>
  <c r="BA87" i="1"/>
  <c r="BA86" i="1"/>
  <c r="AP86" i="1"/>
  <c r="BH85" i="1"/>
  <c r="BG84" i="1"/>
  <c r="BA79" i="1"/>
  <c r="BA76" i="1"/>
  <c r="AP76" i="1"/>
  <c r="BA63" i="1"/>
  <c r="BG59" i="1"/>
  <c r="BG57" i="1"/>
  <c r="BG55" i="1"/>
  <c r="BG53" i="1"/>
  <c r="BA46" i="1"/>
  <c r="BH49" i="1"/>
  <c r="BH44" i="1"/>
  <c r="AZ37" i="1"/>
  <c r="BH33" i="1"/>
  <c r="AZ28" i="1"/>
  <c r="BH23" i="1"/>
  <c r="AZ20" i="1"/>
  <c r="AZ16" i="1"/>
  <c r="BA15" i="1"/>
  <c r="BH37" i="1"/>
  <c r="BH32" i="1"/>
  <c r="BH28" i="1"/>
  <c r="BH20" i="1"/>
  <c r="BH16" i="1"/>
  <c r="BC971" i="1"/>
  <c r="BB971" i="1"/>
  <c r="BH948" i="1"/>
  <c r="BA948" i="1"/>
  <c r="BG948" i="1"/>
  <c r="BC947" i="1"/>
  <c r="BB947" i="1"/>
  <c r="BC939" i="1"/>
  <c r="BB939" i="1"/>
  <c r="BH932" i="1"/>
  <c r="BA932" i="1"/>
  <c r="BG932" i="1"/>
  <c r="BH924" i="1"/>
  <c r="BA924" i="1"/>
  <c r="BG924" i="1"/>
  <c r="BC899" i="1"/>
  <c r="BB899" i="1"/>
  <c r="W1032" i="1"/>
  <c r="W1027" i="1"/>
  <c r="W1018" i="1"/>
  <c r="W1013" i="1"/>
  <c r="X1006" i="1"/>
  <c r="W1000" i="1"/>
  <c r="W996" i="1"/>
  <c r="X993" i="1"/>
  <c r="W988" i="1"/>
  <c r="W985" i="1"/>
  <c r="X955" i="1"/>
  <c r="W953" i="1"/>
  <c r="X945" i="1"/>
  <c r="W907" i="1"/>
  <c r="AZ1040" i="1"/>
  <c r="AZ1038" i="1"/>
  <c r="AZ1033" i="1"/>
  <c r="AZ1031" i="1"/>
  <c r="AZ1027" i="1"/>
  <c r="AZ1023" i="1"/>
  <c r="AZ1021" i="1"/>
  <c r="AZ1019" i="1"/>
  <c r="AZ1017" i="1"/>
  <c r="AZ1015" i="1"/>
  <c r="AZ1013" i="1"/>
  <c r="AZ1011" i="1"/>
  <c r="AZ1010" i="1"/>
  <c r="AZ1008" i="1"/>
  <c r="AZ1006" i="1"/>
  <c r="AZ1005" i="1"/>
  <c r="AZ1001" i="1"/>
  <c r="AZ1000" i="1"/>
  <c r="AZ999" i="1"/>
  <c r="AZ997" i="1"/>
  <c r="AZ995" i="1"/>
  <c r="AZ991" i="1"/>
  <c r="AZ990" i="1"/>
  <c r="AZ987" i="1"/>
  <c r="AZ985" i="1"/>
  <c r="AZ981" i="1"/>
  <c r="BK979" i="1"/>
  <c r="BA974" i="1"/>
  <c r="BH970" i="1"/>
  <c r="AP970" i="1"/>
  <c r="AT966" i="1"/>
  <c r="BH965" i="1"/>
  <c r="AZ965" i="1"/>
  <c r="BF965" i="1"/>
  <c r="BH962" i="1"/>
  <c r="AP962" i="1"/>
  <c r="BH957" i="1"/>
  <c r="AZ957" i="1"/>
  <c r="BF957" i="1"/>
  <c r="BH954" i="1"/>
  <c r="AP954" i="1"/>
  <c r="AT950" i="1"/>
  <c r="BH949" i="1"/>
  <c r="AZ949" i="1"/>
  <c r="BF949" i="1"/>
  <c r="BH946" i="1"/>
  <c r="AP946" i="1"/>
  <c r="AT942" i="1"/>
  <c r="BH941" i="1"/>
  <c r="AZ941" i="1"/>
  <c r="BF941" i="1"/>
  <c r="BH938" i="1"/>
  <c r="AP938" i="1"/>
  <c r="BB934" i="1"/>
  <c r="BD934" i="1" s="1"/>
  <c r="AT934" i="1"/>
  <c r="BH933" i="1"/>
  <c r="AZ933" i="1"/>
  <c r="BF933" i="1"/>
  <c r="BH930" i="1"/>
  <c r="AP930" i="1"/>
  <c r="AT926" i="1"/>
  <c r="BH925" i="1"/>
  <c r="AZ925" i="1"/>
  <c r="BF925" i="1"/>
  <c r="BH922" i="1"/>
  <c r="AP922" i="1"/>
  <c r="AT918" i="1"/>
  <c r="BH917" i="1"/>
  <c r="AZ917" i="1"/>
  <c r="BF917" i="1"/>
  <c r="BH914" i="1"/>
  <c r="AP914" i="1"/>
  <c r="AT910" i="1"/>
  <c r="BH909" i="1"/>
  <c r="AZ909" i="1"/>
  <c r="BF909" i="1"/>
  <c r="BH906" i="1"/>
  <c r="AP906" i="1"/>
  <c r="BB902" i="1"/>
  <c r="BD902" i="1" s="1"/>
  <c r="AT902" i="1"/>
  <c r="BH901" i="1"/>
  <c r="AZ901" i="1"/>
  <c r="BF901" i="1"/>
  <c r="BH898" i="1"/>
  <c r="AP898" i="1"/>
  <c r="AT894" i="1"/>
  <c r="BH893" i="1"/>
  <c r="AZ893" i="1"/>
  <c r="BF893" i="1"/>
  <c r="BH890" i="1"/>
  <c r="AP890" i="1"/>
  <c r="AT886" i="1"/>
  <c r="BH885" i="1"/>
  <c r="AZ885" i="1"/>
  <c r="BF885" i="1"/>
  <c r="BH882" i="1"/>
  <c r="AP882" i="1"/>
  <c r="BB878" i="1"/>
  <c r="BD878" i="1" s="1"/>
  <c r="AT878" i="1"/>
  <c r="BH877" i="1"/>
  <c r="AZ877" i="1"/>
  <c r="BF877" i="1"/>
  <c r="BH873" i="1"/>
  <c r="BA873" i="1"/>
  <c r="BG873" i="1"/>
  <c r="BH871" i="1"/>
  <c r="BA871" i="1"/>
  <c r="BG871" i="1"/>
  <c r="BH869" i="1"/>
  <c r="BA869" i="1"/>
  <c r="BG869" i="1"/>
  <c r="BH867" i="1"/>
  <c r="BA867" i="1"/>
  <c r="BG867" i="1"/>
  <c r="BH865" i="1"/>
  <c r="BA865" i="1"/>
  <c r="BG865" i="1"/>
  <c r="BH863" i="1"/>
  <c r="BA863" i="1"/>
  <c r="BG863" i="1"/>
  <c r="BH861" i="1"/>
  <c r="BA861" i="1"/>
  <c r="BG861" i="1"/>
  <c r="BH859" i="1"/>
  <c r="BA859" i="1"/>
  <c r="BG859" i="1"/>
  <c r="BH857" i="1"/>
  <c r="BA857" i="1"/>
  <c r="BG857" i="1"/>
  <c r="BB856" i="1"/>
  <c r="BD856" i="1" s="1"/>
  <c r="BH855" i="1"/>
  <c r="BA855" i="1"/>
  <c r="BG855" i="1"/>
  <c r="BH853" i="1"/>
  <c r="BA853" i="1"/>
  <c r="BG853" i="1"/>
  <c r="BH851" i="1"/>
  <c r="BA851" i="1"/>
  <c r="BG851" i="1"/>
  <c r="BH849" i="1"/>
  <c r="BA849" i="1"/>
  <c r="BG849" i="1"/>
  <c r="BH847" i="1"/>
  <c r="BA847" i="1"/>
  <c r="BG847" i="1"/>
  <c r="BH845" i="1"/>
  <c r="BA845" i="1"/>
  <c r="BG845" i="1"/>
  <c r="BH843" i="1"/>
  <c r="BA843" i="1"/>
  <c r="BG843" i="1"/>
  <c r="BH841" i="1"/>
  <c r="BA841" i="1"/>
  <c r="BG841" i="1"/>
  <c r="BH839" i="1"/>
  <c r="BA839" i="1"/>
  <c r="BG839" i="1"/>
  <c r="BH837" i="1"/>
  <c r="BA837" i="1"/>
  <c r="BG837" i="1"/>
  <c r="BH835" i="1"/>
  <c r="BA835" i="1"/>
  <c r="BG835" i="1"/>
  <c r="BH833" i="1"/>
  <c r="BA833" i="1"/>
  <c r="BG833" i="1"/>
  <c r="BH831" i="1"/>
  <c r="BA831" i="1"/>
  <c r="BG831" i="1"/>
  <c r="BH829" i="1"/>
  <c r="BA829" i="1"/>
  <c r="BG829" i="1"/>
  <c r="BH827" i="1"/>
  <c r="BA827" i="1"/>
  <c r="BG827" i="1"/>
  <c r="BH825" i="1"/>
  <c r="BA825" i="1"/>
  <c r="BG825" i="1"/>
  <c r="BH823" i="1"/>
  <c r="BA823" i="1"/>
  <c r="BG823" i="1"/>
  <c r="BH821" i="1"/>
  <c r="BA821" i="1"/>
  <c r="BG821" i="1"/>
  <c r="BH875" i="1"/>
  <c r="BA875" i="1"/>
  <c r="BG875" i="1"/>
  <c r="BH818" i="1"/>
  <c r="BA818" i="1"/>
  <c r="BG818" i="1"/>
  <c r="BH816" i="1"/>
  <c r="BA816" i="1"/>
  <c r="BG816" i="1"/>
  <c r="BH916" i="1"/>
  <c r="BA916" i="1"/>
  <c r="BG916" i="1"/>
  <c r="BC907" i="1"/>
  <c r="BB907" i="1"/>
  <c r="X1036" i="1"/>
  <c r="W1034" i="1"/>
  <c r="X1033" i="1"/>
  <c r="X1031" i="1"/>
  <c r="W1029" i="1"/>
  <c r="W1016" i="1"/>
  <c r="X1015" i="1"/>
  <c r="W1011" i="1"/>
  <c r="W1002" i="1"/>
  <c r="X997" i="1"/>
  <c r="W994" i="1"/>
  <c r="X991" i="1"/>
  <c r="X989" i="1"/>
  <c r="W983" i="1"/>
  <c r="W969" i="1"/>
  <c r="X962" i="1"/>
  <c r="W906" i="1"/>
  <c r="X898" i="1"/>
  <c r="AZ1036" i="1"/>
  <c r="AZ1034" i="1"/>
  <c r="AZ1030" i="1"/>
  <c r="AZ1028" i="1"/>
  <c r="AZ1025" i="1"/>
  <c r="AZ1020" i="1"/>
  <c r="AZ1018" i="1"/>
  <c r="AZ1016" i="1"/>
  <c r="AZ1014" i="1"/>
  <c r="AZ1012" i="1"/>
  <c r="AZ1009" i="1"/>
  <c r="AZ1007" i="1"/>
  <c r="AZ1004" i="1"/>
  <c r="AZ1003" i="1"/>
  <c r="AZ1002" i="1"/>
  <c r="AZ998" i="1"/>
  <c r="AZ996" i="1"/>
  <c r="AZ994" i="1"/>
  <c r="AZ993" i="1"/>
  <c r="AZ992" i="1"/>
  <c r="AZ989" i="1"/>
  <c r="AZ988" i="1"/>
  <c r="AZ986" i="1"/>
  <c r="AZ984" i="1"/>
  <c r="AZ983" i="1"/>
  <c r="AZ982" i="1"/>
  <c r="BG978" i="1"/>
  <c r="BA978" i="1"/>
  <c r="BK975" i="1"/>
  <c r="BG974" i="1"/>
  <c r="BB966" i="1"/>
  <c r="BD966" i="1" s="1"/>
  <c r="AT958" i="1"/>
  <c r="W1038" i="1"/>
  <c r="X1037" i="1"/>
  <c r="W1036" i="1"/>
  <c r="X1035" i="1"/>
  <c r="W1033" i="1"/>
  <c r="W1031" i="1"/>
  <c r="X1026" i="1"/>
  <c r="X1024" i="1"/>
  <c r="W1022" i="1"/>
  <c r="X1021" i="1"/>
  <c r="W1020" i="1"/>
  <c r="X1019" i="1"/>
  <c r="W1017" i="1"/>
  <c r="W1015" i="1"/>
  <c r="X1010" i="1"/>
  <c r="X1008" i="1"/>
  <c r="W1006" i="1"/>
  <c r="X1005" i="1"/>
  <c r="W1004" i="1"/>
  <c r="X1003" i="1"/>
  <c r="W1001" i="1"/>
  <c r="W999" i="1"/>
  <c r="W997" i="1"/>
  <c r="W995" i="1"/>
  <c r="W993" i="1"/>
  <c r="W991" i="1"/>
  <c r="W989" i="1"/>
  <c r="W987" i="1"/>
  <c r="X982" i="1"/>
  <c r="W978" i="1"/>
  <c r="X975" i="1"/>
  <c r="W962" i="1"/>
  <c r="X961" i="1"/>
  <c r="W946" i="1"/>
  <c r="W945" i="1"/>
  <c r="W898" i="1"/>
  <c r="W897" i="1"/>
  <c r="BH1040" i="1"/>
  <c r="BC1040" i="1"/>
  <c r="BD1040" i="1" s="1"/>
  <c r="BH1039" i="1"/>
  <c r="BC1039" i="1"/>
  <c r="BD1039" i="1" s="1"/>
  <c r="BH1038" i="1"/>
  <c r="BH1037" i="1"/>
  <c r="BC1037" i="1"/>
  <c r="BD1037" i="1" s="1"/>
  <c r="BH1036" i="1"/>
  <c r="BC1036" i="1"/>
  <c r="BD1036" i="1" s="1"/>
  <c r="BH1035" i="1"/>
  <c r="BC1035" i="1"/>
  <c r="BD1035" i="1" s="1"/>
  <c r="BH1034" i="1"/>
  <c r="BH1033" i="1"/>
  <c r="BH1032" i="1"/>
  <c r="BC1032" i="1"/>
  <c r="BD1032" i="1" s="1"/>
  <c r="BH1031" i="1"/>
  <c r="BH1030" i="1"/>
  <c r="BH1029" i="1"/>
  <c r="BH1028" i="1"/>
  <c r="BC1028" i="1"/>
  <c r="BD1028" i="1" s="1"/>
  <c r="BH1027" i="1"/>
  <c r="BH1026" i="1"/>
  <c r="BH1025" i="1"/>
  <c r="BC1025" i="1"/>
  <c r="BD1025" i="1" s="1"/>
  <c r="BH1024" i="1"/>
  <c r="BC1024" i="1"/>
  <c r="BD1024" i="1" s="1"/>
  <c r="BH1023" i="1"/>
  <c r="BC1023" i="1"/>
  <c r="BD1023" i="1" s="1"/>
  <c r="BH1022" i="1"/>
  <c r="BH1021" i="1"/>
  <c r="BC1021" i="1"/>
  <c r="BD1021" i="1" s="1"/>
  <c r="BH1020" i="1"/>
  <c r="BC1020" i="1"/>
  <c r="BD1020" i="1" s="1"/>
  <c r="BH1019" i="1"/>
  <c r="BH1018" i="1"/>
  <c r="BH1017" i="1"/>
  <c r="BC1017" i="1"/>
  <c r="BD1017" i="1" s="1"/>
  <c r="BH1016" i="1"/>
  <c r="BC1016" i="1"/>
  <c r="BD1016" i="1" s="1"/>
  <c r="BH1015" i="1"/>
  <c r="BH1014" i="1"/>
  <c r="BH1013" i="1"/>
  <c r="BH1012" i="1"/>
  <c r="BC1012" i="1"/>
  <c r="BD1012" i="1" s="1"/>
  <c r="BH1011" i="1"/>
  <c r="BC1011" i="1"/>
  <c r="BD1011" i="1" s="1"/>
  <c r="BH1010" i="1"/>
  <c r="BH1009" i="1"/>
  <c r="BH1008" i="1"/>
  <c r="BC1008" i="1"/>
  <c r="BD1008" i="1" s="1"/>
  <c r="BH1007" i="1"/>
  <c r="BC1007" i="1"/>
  <c r="BD1007" i="1" s="1"/>
  <c r="BH1006" i="1"/>
  <c r="BH1005" i="1"/>
  <c r="BH1004" i="1"/>
  <c r="BC1004" i="1"/>
  <c r="BD1004" i="1" s="1"/>
  <c r="BH1003" i="1"/>
  <c r="BC1003" i="1"/>
  <c r="BD1003" i="1" s="1"/>
  <c r="BH1002" i="1"/>
  <c r="BH1001" i="1"/>
  <c r="BH1000" i="1"/>
  <c r="BC1000" i="1"/>
  <c r="BD1000" i="1" s="1"/>
  <c r="BH999" i="1"/>
  <c r="BC999" i="1"/>
  <c r="BD999" i="1" s="1"/>
  <c r="BH998" i="1"/>
  <c r="BH997" i="1"/>
  <c r="BH996" i="1"/>
  <c r="BC996" i="1"/>
  <c r="BD996" i="1" s="1"/>
  <c r="BH995" i="1"/>
  <c r="BC995" i="1"/>
  <c r="BD995" i="1" s="1"/>
  <c r="BH994" i="1"/>
  <c r="BH993" i="1"/>
  <c r="BC993" i="1"/>
  <c r="BD993" i="1" s="1"/>
  <c r="BH992" i="1"/>
  <c r="BC992" i="1"/>
  <c r="BD992" i="1" s="1"/>
  <c r="BH991" i="1"/>
  <c r="BC991" i="1"/>
  <c r="BD991" i="1" s="1"/>
  <c r="BH990" i="1"/>
  <c r="BH989" i="1"/>
  <c r="BC989" i="1"/>
  <c r="BD989" i="1" s="1"/>
  <c r="BH988" i="1"/>
  <c r="BC988" i="1"/>
  <c r="BD988" i="1" s="1"/>
  <c r="BH987" i="1"/>
  <c r="BC987" i="1"/>
  <c r="BD987" i="1" s="1"/>
  <c r="BH986" i="1"/>
  <c r="BH985" i="1"/>
  <c r="BC985" i="1"/>
  <c r="BD985" i="1" s="1"/>
  <c r="BH984" i="1"/>
  <c r="BC984" i="1"/>
  <c r="BD984" i="1" s="1"/>
  <c r="BH983" i="1"/>
  <c r="BC983" i="1"/>
  <c r="BD983" i="1" s="1"/>
  <c r="BH982" i="1"/>
  <c r="BH981" i="1"/>
  <c r="BC981" i="1"/>
  <c r="BD981" i="1" s="1"/>
  <c r="AP979" i="1"/>
  <c r="BF978" i="1"/>
  <c r="AZ978" i="1"/>
  <c r="BG977" i="1"/>
  <c r="BA977" i="1"/>
  <c r="BB976" i="1"/>
  <c r="BD976" i="1" s="1"/>
  <c r="AP975" i="1"/>
  <c r="BF974" i="1"/>
  <c r="AZ974" i="1"/>
  <c r="BG973" i="1"/>
  <c r="BA973" i="1"/>
  <c r="BK970" i="1"/>
  <c r="BF970" i="1"/>
  <c r="BG969" i="1"/>
  <c r="BH968" i="1"/>
  <c r="BA968" i="1"/>
  <c r="BG968" i="1"/>
  <c r="BC967" i="1"/>
  <c r="BB967" i="1"/>
  <c r="AZ964" i="1"/>
  <c r="BF962" i="1"/>
  <c r="BG961" i="1"/>
  <c r="BH960" i="1"/>
  <c r="BA960" i="1"/>
  <c r="BG960" i="1"/>
  <c r="BK954" i="1"/>
  <c r="BF954" i="1"/>
  <c r="BG953" i="1"/>
  <c r="BH952" i="1"/>
  <c r="BA952" i="1"/>
  <c r="BG952" i="1"/>
  <c r="BC951" i="1"/>
  <c r="BB951" i="1"/>
  <c r="AZ948" i="1"/>
  <c r="BK946" i="1"/>
  <c r="BF946" i="1"/>
  <c r="BG945" i="1"/>
  <c r="BH944" i="1"/>
  <c r="BA944" i="1"/>
  <c r="BG944" i="1"/>
  <c r="BC943" i="1"/>
  <c r="BB943" i="1"/>
  <c r="BK938" i="1"/>
  <c r="BF938" i="1"/>
  <c r="BG937" i="1"/>
  <c r="BH936" i="1"/>
  <c r="BA936" i="1"/>
  <c r="BG936" i="1"/>
  <c r="BC935" i="1"/>
  <c r="BB935" i="1"/>
  <c r="AZ932" i="1"/>
  <c r="BK930" i="1"/>
  <c r="BF930" i="1"/>
  <c r="BG929" i="1"/>
  <c r="BH928" i="1"/>
  <c r="BA928" i="1"/>
  <c r="BG928" i="1"/>
  <c r="BC927" i="1"/>
  <c r="BB927" i="1"/>
  <c r="AZ924" i="1"/>
  <c r="BK922" i="1"/>
  <c r="BF922" i="1"/>
  <c r="BG921" i="1"/>
  <c r="BH920" i="1"/>
  <c r="BA920" i="1"/>
  <c r="BG920" i="1"/>
  <c r="AZ916" i="1"/>
  <c r="BK914" i="1"/>
  <c r="BF914" i="1"/>
  <c r="BG913" i="1"/>
  <c r="BH912" i="1"/>
  <c r="BA912" i="1"/>
  <c r="BG912" i="1"/>
  <c r="BC911" i="1"/>
  <c r="BB911" i="1"/>
  <c r="AZ908" i="1"/>
  <c r="BF906" i="1"/>
  <c r="BG905" i="1"/>
  <c r="BH904" i="1"/>
  <c r="BA904" i="1"/>
  <c r="BG904" i="1"/>
  <c r="BC903" i="1"/>
  <c r="BB903" i="1"/>
  <c r="AZ900" i="1"/>
  <c r="BF898" i="1"/>
  <c r="BG897" i="1"/>
  <c r="BH896" i="1"/>
  <c r="BA896" i="1"/>
  <c r="BG896" i="1"/>
  <c r="BK890" i="1"/>
  <c r="BF890" i="1"/>
  <c r="BG889" i="1"/>
  <c r="BH888" i="1"/>
  <c r="BA888" i="1"/>
  <c r="BG888" i="1"/>
  <c r="AZ884" i="1"/>
  <c r="BK882" i="1"/>
  <c r="BF882" i="1"/>
  <c r="BG881" i="1"/>
  <c r="BH880" i="1"/>
  <c r="BA880" i="1"/>
  <c r="BG880" i="1"/>
  <c r="BC879" i="1"/>
  <c r="BB879" i="1"/>
  <c r="AZ874" i="1"/>
  <c r="AZ872" i="1"/>
  <c r="AZ870" i="1"/>
  <c r="BP869" i="1"/>
  <c r="AZ868" i="1"/>
  <c r="BP867" i="1"/>
  <c r="AZ866" i="1"/>
  <c r="BP865" i="1"/>
  <c r="AZ864" i="1"/>
  <c r="BP863" i="1"/>
  <c r="AZ862" i="1"/>
  <c r="BP861" i="1"/>
  <c r="AZ860" i="1"/>
  <c r="BP859" i="1"/>
  <c r="AZ858" i="1"/>
  <c r="BP857" i="1"/>
  <c r="AZ856" i="1"/>
  <c r="BP855" i="1"/>
  <c r="AZ854" i="1"/>
  <c r="BP853" i="1"/>
  <c r="AZ852" i="1"/>
  <c r="BP851" i="1"/>
  <c r="AZ850" i="1"/>
  <c r="BP849" i="1"/>
  <c r="AZ848" i="1"/>
  <c r="BP847" i="1"/>
  <c r="AZ846" i="1"/>
  <c r="BP845" i="1"/>
  <c r="AZ844" i="1"/>
  <c r="BP843" i="1"/>
  <c r="AZ842" i="1"/>
  <c r="BP841" i="1"/>
  <c r="AZ840" i="1"/>
  <c r="BP839" i="1"/>
  <c r="AZ838" i="1"/>
  <c r="BP837" i="1"/>
  <c r="AZ836" i="1"/>
  <c r="BP835" i="1"/>
  <c r="AZ834" i="1"/>
  <c r="BP833" i="1"/>
  <c r="AZ832" i="1"/>
  <c r="BP831" i="1"/>
  <c r="AZ830" i="1"/>
  <c r="BP829" i="1"/>
  <c r="AZ828" i="1"/>
  <c r="BP827" i="1"/>
  <c r="AZ826" i="1"/>
  <c r="BP825" i="1"/>
  <c r="AZ824" i="1"/>
  <c r="BP823" i="1"/>
  <c r="AZ822" i="1"/>
  <c r="BP821" i="1"/>
  <c r="AZ820" i="1"/>
  <c r="BP875" i="1"/>
  <c r="AZ819" i="1"/>
  <c r="BP818" i="1"/>
  <c r="AZ817" i="1"/>
  <c r="BP816" i="1"/>
  <c r="AZ815" i="1"/>
  <c r="BH754" i="1"/>
  <c r="AZ754" i="1"/>
  <c r="BF754" i="1"/>
  <c r="AP754" i="1"/>
  <c r="BA754" i="1"/>
  <c r="BP754" i="1"/>
  <c r="BH972" i="1"/>
  <c r="BA972" i="1"/>
  <c r="BG972" i="1"/>
  <c r="BH956" i="1"/>
  <c r="BA956" i="1"/>
  <c r="BG956" i="1"/>
  <c r="BC955" i="1"/>
  <c r="BB955" i="1"/>
  <c r="BH940" i="1"/>
  <c r="BA940" i="1"/>
  <c r="BG940" i="1"/>
  <c r="BH892" i="1"/>
  <c r="BA892" i="1"/>
  <c r="BG892" i="1"/>
  <c r="X1038" i="1"/>
  <c r="X1022" i="1"/>
  <c r="X1020" i="1"/>
  <c r="X1017" i="1"/>
  <c r="X1004" i="1"/>
  <c r="X1001" i="1"/>
  <c r="X999" i="1"/>
  <c r="W998" i="1"/>
  <c r="X995" i="1"/>
  <c r="W992" i="1"/>
  <c r="W990" i="1"/>
  <c r="X987" i="1"/>
  <c r="X971" i="1"/>
  <c r="W905" i="1"/>
  <c r="X899" i="1"/>
  <c r="X897" i="1"/>
  <c r="AZ1039" i="1"/>
  <c r="AZ1037" i="1"/>
  <c r="AZ1035" i="1"/>
  <c r="AZ1032" i="1"/>
  <c r="AZ1029" i="1"/>
  <c r="AZ1026" i="1"/>
  <c r="AZ1024" i="1"/>
  <c r="AZ1022" i="1"/>
  <c r="X1040" i="1"/>
  <c r="X1039" i="1"/>
  <c r="W1037" i="1"/>
  <c r="W1035" i="1"/>
  <c r="X1030" i="1"/>
  <c r="X1028" i="1"/>
  <c r="W1026" i="1"/>
  <c r="X1025" i="1"/>
  <c r="W1024" i="1"/>
  <c r="X1023" i="1"/>
  <c r="W1021" i="1"/>
  <c r="W1019" i="1"/>
  <c r="X1014" i="1"/>
  <c r="X1012" i="1"/>
  <c r="W1010" i="1"/>
  <c r="X1009" i="1"/>
  <c r="W1008" i="1"/>
  <c r="X1007" i="1"/>
  <c r="W1005" i="1"/>
  <c r="W1003" i="1"/>
  <c r="X986" i="1"/>
  <c r="X984" i="1"/>
  <c r="W982" i="1"/>
  <c r="X981" i="1"/>
  <c r="X979" i="1"/>
  <c r="W975" i="1"/>
  <c r="X963" i="1"/>
  <c r="W961" i="1"/>
  <c r="X947" i="1"/>
  <c r="X939" i="1"/>
  <c r="X937" i="1"/>
  <c r="X931" i="1"/>
  <c r="X930" i="1"/>
  <c r="X929" i="1"/>
  <c r="X923" i="1"/>
  <c r="X921" i="1"/>
  <c r="X915" i="1"/>
  <c r="X914" i="1"/>
  <c r="X913" i="1"/>
  <c r="X891" i="1"/>
  <c r="X890" i="1"/>
  <c r="X889" i="1"/>
  <c r="X883" i="1"/>
  <c r="X881" i="1"/>
  <c r="BG1040" i="1"/>
  <c r="BG1039" i="1"/>
  <c r="BG1038" i="1"/>
  <c r="BG1037" i="1"/>
  <c r="BG1036" i="1"/>
  <c r="BG1035" i="1"/>
  <c r="BG1034" i="1"/>
  <c r="BG1033" i="1"/>
  <c r="BG1032" i="1"/>
  <c r="BG1031" i="1"/>
  <c r="BG1030" i="1"/>
  <c r="BG1029" i="1"/>
  <c r="BG1028" i="1"/>
  <c r="BG1027" i="1"/>
  <c r="BG1026" i="1"/>
  <c r="BG1025" i="1"/>
  <c r="BG1024" i="1"/>
  <c r="BG1023" i="1"/>
  <c r="BG1022" i="1"/>
  <c r="BG1021" i="1"/>
  <c r="BG1020" i="1"/>
  <c r="BG1019" i="1"/>
  <c r="BG1018" i="1"/>
  <c r="BG1017" i="1"/>
  <c r="BG1016" i="1"/>
  <c r="BG1015" i="1"/>
  <c r="BG1014" i="1"/>
  <c r="BG1013" i="1"/>
  <c r="BG1012" i="1"/>
  <c r="BG1011" i="1"/>
  <c r="BG1010" i="1"/>
  <c r="BG1009" i="1"/>
  <c r="BG1008" i="1"/>
  <c r="BG1007" i="1"/>
  <c r="BG1006" i="1"/>
  <c r="BG1005" i="1"/>
  <c r="BG1004" i="1"/>
  <c r="BG1003" i="1"/>
  <c r="BG1002" i="1"/>
  <c r="BG1001" i="1"/>
  <c r="BG1000" i="1"/>
  <c r="BG999" i="1"/>
  <c r="BG998" i="1"/>
  <c r="BG997" i="1"/>
  <c r="BG996" i="1"/>
  <c r="BG995" i="1"/>
  <c r="BG994" i="1"/>
  <c r="BG993" i="1"/>
  <c r="BG992" i="1"/>
  <c r="BG991" i="1"/>
  <c r="BG990" i="1"/>
  <c r="BG989" i="1"/>
  <c r="BG988" i="1"/>
  <c r="BG987" i="1"/>
  <c r="BG986" i="1"/>
  <c r="BG985" i="1"/>
  <c r="BG984" i="1"/>
  <c r="BG983" i="1"/>
  <c r="BG982" i="1"/>
  <c r="BG981" i="1"/>
  <c r="AP978" i="1"/>
  <c r="BF977" i="1"/>
  <c r="AZ977" i="1"/>
  <c r="AP974" i="1"/>
  <c r="BF973" i="1"/>
  <c r="AZ973" i="1"/>
  <c r="BF972" i="1"/>
  <c r="AP972" i="1"/>
  <c r="BK971" i="1"/>
  <c r="BH969" i="1"/>
  <c r="AZ969" i="1"/>
  <c r="BF969" i="1"/>
  <c r="BH966" i="1"/>
  <c r="AP966" i="1"/>
  <c r="BA965" i="1"/>
  <c r="BF964" i="1"/>
  <c r="BH961" i="1"/>
  <c r="AZ961" i="1"/>
  <c r="BF961" i="1"/>
  <c r="BH958" i="1"/>
  <c r="AP958" i="1"/>
  <c r="BA957" i="1"/>
  <c r="BF956" i="1"/>
  <c r="AP956" i="1"/>
  <c r="BK955" i="1"/>
  <c r="BH953" i="1"/>
  <c r="AZ953" i="1"/>
  <c r="BF953" i="1"/>
  <c r="BH950" i="1"/>
  <c r="AP950" i="1"/>
  <c r="BA949" i="1"/>
  <c r="BF948" i="1"/>
  <c r="AP948" i="1"/>
  <c r="BH945" i="1"/>
  <c r="AZ945" i="1"/>
  <c r="BF945" i="1"/>
  <c r="BH942" i="1"/>
  <c r="AP942" i="1"/>
  <c r="BA941" i="1"/>
  <c r="BF940" i="1"/>
  <c r="AP940" i="1"/>
  <c r="BK939" i="1"/>
  <c r="BH937" i="1"/>
  <c r="AZ937" i="1"/>
  <c r="BF937" i="1"/>
  <c r="BH934" i="1"/>
  <c r="AP934" i="1"/>
  <c r="BA933" i="1"/>
  <c r="BF932" i="1"/>
  <c r="AP932" i="1"/>
  <c r="BK931" i="1"/>
  <c r="BH929" i="1"/>
  <c r="AZ929" i="1"/>
  <c r="BF929" i="1"/>
  <c r="BH926" i="1"/>
  <c r="AP926" i="1"/>
  <c r="BA925" i="1"/>
  <c r="BF924" i="1"/>
  <c r="AP924" i="1"/>
  <c r="BH921" i="1"/>
  <c r="AZ921" i="1"/>
  <c r="BF921" i="1"/>
  <c r="BH918" i="1"/>
  <c r="AP918" i="1"/>
  <c r="BA917" i="1"/>
  <c r="BF916" i="1"/>
  <c r="AP916" i="1"/>
  <c r="BK915" i="1"/>
  <c r="BH913" i="1"/>
  <c r="AZ913" i="1"/>
  <c r="BF913" i="1"/>
  <c r="BH910" i="1"/>
  <c r="AP910" i="1"/>
  <c r="BA909" i="1"/>
  <c r="BF908" i="1"/>
  <c r="BH905" i="1"/>
  <c r="AZ905" i="1"/>
  <c r="BF905" i="1"/>
  <c r="BH902" i="1"/>
  <c r="AP902" i="1"/>
  <c r="BA901" i="1"/>
  <c r="BF900" i="1"/>
  <c r="BK899" i="1"/>
  <c r="BH897" i="1"/>
  <c r="AZ897" i="1"/>
  <c r="BF897" i="1"/>
  <c r="BH894" i="1"/>
  <c r="AP894" i="1"/>
  <c r="BA893" i="1"/>
  <c r="BF892" i="1"/>
  <c r="AP892" i="1"/>
  <c r="BK891" i="1"/>
  <c r="BH889" i="1"/>
  <c r="AZ889" i="1"/>
  <c r="BF889" i="1"/>
  <c r="BH886" i="1"/>
  <c r="AP886" i="1"/>
  <c r="BA885" i="1"/>
  <c r="BF884" i="1"/>
  <c r="BH881" i="1"/>
  <c r="AZ881" i="1"/>
  <c r="BF881" i="1"/>
  <c r="BH878" i="1"/>
  <c r="AP878" i="1"/>
  <c r="BA877" i="1"/>
  <c r="BH874" i="1"/>
  <c r="BA874" i="1"/>
  <c r="BG874" i="1"/>
  <c r="BH872" i="1"/>
  <c r="BA872" i="1"/>
  <c r="BG872" i="1"/>
  <c r="BH870" i="1"/>
  <c r="BA870" i="1"/>
  <c r="BG870" i="1"/>
  <c r="BH868" i="1"/>
  <c r="BA868" i="1"/>
  <c r="BG868" i="1"/>
  <c r="BH866" i="1"/>
  <c r="BA866" i="1"/>
  <c r="BG866" i="1"/>
  <c r="BH864" i="1"/>
  <c r="BA864" i="1"/>
  <c r="BG864" i="1"/>
  <c r="BH862" i="1"/>
  <c r="BA862" i="1"/>
  <c r="BG862" i="1"/>
  <c r="BH860" i="1"/>
  <c r="BA860" i="1"/>
  <c r="BG860" i="1"/>
  <c r="BH858" i="1"/>
  <c r="BA858" i="1"/>
  <c r="BG858" i="1"/>
  <c r="BH856" i="1"/>
  <c r="BA856" i="1"/>
  <c r="BG856" i="1"/>
  <c r="BH854" i="1"/>
  <c r="BA854" i="1"/>
  <c r="BG854" i="1"/>
  <c r="BH852" i="1"/>
  <c r="BA852" i="1"/>
  <c r="BG852" i="1"/>
  <c r="BH850" i="1"/>
  <c r="BA850" i="1"/>
  <c r="BG850" i="1"/>
  <c r="BH848" i="1"/>
  <c r="BA848" i="1"/>
  <c r="BG848" i="1"/>
  <c r="BH846" i="1"/>
  <c r="BA846" i="1"/>
  <c r="BG846" i="1"/>
  <c r="BH844" i="1"/>
  <c r="BA844" i="1"/>
  <c r="BG844" i="1"/>
  <c r="BH842" i="1"/>
  <c r="BA842" i="1"/>
  <c r="BG842" i="1"/>
  <c r="BH840" i="1"/>
  <c r="BA840" i="1"/>
  <c r="BG840" i="1"/>
  <c r="BH838" i="1"/>
  <c r="BA838" i="1"/>
  <c r="BG838" i="1"/>
  <c r="BH836" i="1"/>
  <c r="BA836" i="1"/>
  <c r="BG836" i="1"/>
  <c r="BH834" i="1"/>
  <c r="BA834" i="1"/>
  <c r="BG834" i="1"/>
  <c r="BH832" i="1"/>
  <c r="BA832" i="1"/>
  <c r="BG832" i="1"/>
  <c r="BH830" i="1"/>
  <c r="BA830" i="1"/>
  <c r="BG830" i="1"/>
  <c r="BH828" i="1"/>
  <c r="BA828" i="1"/>
  <c r="BG828" i="1"/>
  <c r="BH826" i="1"/>
  <c r="BA826" i="1"/>
  <c r="BG826" i="1"/>
  <c r="BH824" i="1"/>
  <c r="BA824" i="1"/>
  <c r="BG824" i="1"/>
  <c r="BH822" i="1"/>
  <c r="BA822" i="1"/>
  <c r="BG822" i="1"/>
  <c r="BH820" i="1"/>
  <c r="BA820" i="1"/>
  <c r="BG820" i="1"/>
  <c r="BH819" i="1"/>
  <c r="BA819" i="1"/>
  <c r="BG819" i="1"/>
  <c r="BH817" i="1"/>
  <c r="BA817" i="1"/>
  <c r="BG817" i="1"/>
  <c r="BH815" i="1"/>
  <c r="BA815" i="1"/>
  <c r="BG815" i="1"/>
  <c r="BH964" i="1"/>
  <c r="BA964" i="1"/>
  <c r="BG964" i="1"/>
  <c r="BC931" i="1"/>
  <c r="BB931" i="1"/>
  <c r="BC915" i="1"/>
  <c r="BB915" i="1"/>
  <c r="BH908" i="1"/>
  <c r="BA908" i="1"/>
  <c r="BG908" i="1"/>
  <c r="BH900" i="1"/>
  <c r="BA900" i="1"/>
  <c r="BG900" i="1"/>
  <c r="BH884" i="1"/>
  <c r="BA884" i="1"/>
  <c r="BG884" i="1"/>
  <c r="BH750" i="1"/>
  <c r="AZ750" i="1"/>
  <c r="BF750" i="1"/>
  <c r="AP750" i="1"/>
  <c r="BA750" i="1"/>
  <c r="BP750" i="1"/>
  <c r="BH752" i="1"/>
  <c r="AZ752" i="1"/>
  <c r="BH748" i="1"/>
  <c r="AZ748" i="1"/>
  <c r="BP746" i="1"/>
  <c r="BH744" i="1"/>
  <c r="AZ744" i="1"/>
  <c r="BP742" i="1"/>
  <c r="BH740" i="1"/>
  <c r="AZ740" i="1"/>
  <c r="BP738" i="1"/>
  <c r="BH736" i="1"/>
  <c r="AZ736" i="1"/>
  <c r="BP734" i="1"/>
  <c r="BH732" i="1"/>
  <c r="AZ732" i="1"/>
  <c r="BP730" i="1"/>
  <c r="BH728" i="1"/>
  <c r="AZ728" i="1"/>
  <c r="BP726" i="1"/>
  <c r="BH724" i="1"/>
  <c r="AZ724" i="1"/>
  <c r="BP722" i="1"/>
  <c r="BH720" i="1"/>
  <c r="AZ720" i="1"/>
  <c r="BP718" i="1"/>
  <c r="BH716" i="1"/>
  <c r="AZ716" i="1"/>
  <c r="BP714" i="1"/>
  <c r="BI714" i="1"/>
  <c r="BH712" i="1"/>
  <c r="AZ712" i="1"/>
  <c r="BP710" i="1"/>
  <c r="BH708" i="1"/>
  <c r="AZ708" i="1"/>
  <c r="BH704" i="1"/>
  <c r="AZ704" i="1"/>
  <c r="BH700" i="1"/>
  <c r="AZ700" i="1"/>
  <c r="BH696" i="1"/>
  <c r="AZ696" i="1"/>
  <c r="BH692" i="1"/>
  <c r="AZ692" i="1"/>
  <c r="BA691" i="1"/>
  <c r="BH688" i="1"/>
  <c r="AZ688" i="1"/>
  <c r="BA687" i="1"/>
  <c r="BH684" i="1"/>
  <c r="AZ684" i="1"/>
  <c r="BA683" i="1"/>
  <c r="BH680" i="1"/>
  <c r="AZ680" i="1"/>
  <c r="BA679" i="1"/>
  <c r="BH676" i="1"/>
  <c r="AZ676" i="1"/>
  <c r="BA675" i="1"/>
  <c r="BF752" i="1"/>
  <c r="BH751" i="1"/>
  <c r="AZ751" i="1"/>
  <c r="BF748" i="1"/>
  <c r="BH747" i="1"/>
  <c r="AZ747" i="1"/>
  <c r="BA746" i="1"/>
  <c r="BF744" i="1"/>
  <c r="BH743" i="1"/>
  <c r="AZ743" i="1"/>
  <c r="BA742" i="1"/>
  <c r="BF740" i="1"/>
  <c r="BH739" i="1"/>
  <c r="AZ739" i="1"/>
  <c r="BA738" i="1"/>
  <c r="BF736" i="1"/>
  <c r="BH735" i="1"/>
  <c r="AZ735" i="1"/>
  <c r="BA734" i="1"/>
  <c r="BF732" i="1"/>
  <c r="BH731" i="1"/>
  <c r="AZ731" i="1"/>
  <c r="BA730" i="1"/>
  <c r="BF728" i="1"/>
  <c r="BH727" i="1"/>
  <c r="AZ727" i="1"/>
  <c r="BA726" i="1"/>
  <c r="BF724" i="1"/>
  <c r="BH723" i="1"/>
  <c r="AZ723" i="1"/>
  <c r="BA722" i="1"/>
  <c r="BF720" i="1"/>
  <c r="BH719" i="1"/>
  <c r="AZ719" i="1"/>
  <c r="BA718" i="1"/>
  <c r="BD717" i="1"/>
  <c r="BF716" i="1"/>
  <c r="BH715" i="1"/>
  <c r="AZ715" i="1"/>
  <c r="BA714" i="1"/>
  <c r="BF712" i="1"/>
  <c r="BH711" i="1"/>
  <c r="AZ711" i="1"/>
  <c r="BA710" i="1"/>
  <c r="BF708" i="1"/>
  <c r="BH707" i="1"/>
  <c r="AZ707" i="1"/>
  <c r="BA706" i="1"/>
  <c r="BF704" i="1"/>
  <c r="BH703" i="1"/>
  <c r="AZ703" i="1"/>
  <c r="BA702" i="1"/>
  <c r="BF700" i="1"/>
  <c r="BH699" i="1"/>
  <c r="AZ699" i="1"/>
  <c r="BA698" i="1"/>
  <c r="BF696" i="1"/>
  <c r="BH695" i="1"/>
  <c r="AZ695" i="1"/>
  <c r="BA694" i="1"/>
  <c r="BH691" i="1"/>
  <c r="AZ691" i="1"/>
  <c r="BA690" i="1"/>
  <c r="BH687" i="1"/>
  <c r="AZ687" i="1"/>
  <c r="BA686" i="1"/>
  <c r="BH683" i="1"/>
  <c r="AZ683" i="1"/>
  <c r="BA682" i="1"/>
  <c r="BH679" i="1"/>
  <c r="AZ679" i="1"/>
  <c r="BA678" i="1"/>
  <c r="BH675" i="1"/>
  <c r="AZ675" i="1"/>
  <c r="BA674" i="1"/>
  <c r="BH746" i="1"/>
  <c r="AZ746" i="1"/>
  <c r="BH742" i="1"/>
  <c r="AZ742" i="1"/>
  <c r="BH738" i="1"/>
  <c r="AZ738" i="1"/>
  <c r="BH734" i="1"/>
  <c r="AZ734" i="1"/>
  <c r="BH730" i="1"/>
  <c r="AZ730" i="1"/>
  <c r="BH726" i="1"/>
  <c r="AZ726" i="1"/>
  <c r="BH722" i="1"/>
  <c r="AZ722" i="1"/>
  <c r="BH718" i="1"/>
  <c r="AZ718" i="1"/>
  <c r="BH714" i="1"/>
  <c r="AZ714" i="1"/>
  <c r="BH710" i="1"/>
  <c r="AZ710" i="1"/>
  <c r="BH706" i="1"/>
  <c r="AZ706" i="1"/>
  <c r="BH702" i="1"/>
  <c r="AZ702" i="1"/>
  <c r="BH698" i="1"/>
  <c r="AZ698" i="1"/>
  <c r="BH694" i="1"/>
  <c r="AZ694" i="1"/>
  <c r="BH690" i="1"/>
  <c r="AZ690" i="1"/>
  <c r="BH686" i="1"/>
  <c r="AZ686" i="1"/>
  <c r="BH682" i="1"/>
  <c r="AZ682" i="1"/>
  <c r="BH678" i="1"/>
  <c r="AZ678" i="1"/>
  <c r="BH674" i="1"/>
  <c r="AZ674" i="1"/>
  <c r="BG814" i="1"/>
  <c r="BA814" i="1"/>
  <c r="BG813" i="1"/>
  <c r="BA813" i="1"/>
  <c r="BG812" i="1"/>
  <c r="BA812" i="1"/>
  <c r="BG811" i="1"/>
  <c r="BA811" i="1"/>
  <c r="BG810" i="1"/>
  <c r="BA810" i="1"/>
  <c r="BG809" i="1"/>
  <c r="BA809" i="1"/>
  <c r="BG808" i="1"/>
  <c r="BA808" i="1"/>
  <c r="BG807" i="1"/>
  <c r="BA807" i="1"/>
  <c r="BG806" i="1"/>
  <c r="BA806" i="1"/>
  <c r="BG805" i="1"/>
  <c r="BA805" i="1"/>
  <c r="BG804" i="1"/>
  <c r="BA804" i="1"/>
  <c r="BG803" i="1"/>
  <c r="BA803" i="1"/>
  <c r="BG802" i="1"/>
  <c r="BA802" i="1"/>
  <c r="BG801" i="1"/>
  <c r="BA801" i="1"/>
  <c r="BG800" i="1"/>
  <c r="BA800" i="1"/>
  <c r="BG799" i="1"/>
  <c r="BA799" i="1"/>
  <c r="BG798" i="1"/>
  <c r="BA798" i="1"/>
  <c r="BG797" i="1"/>
  <c r="BA797" i="1"/>
  <c r="BG796" i="1"/>
  <c r="BA796" i="1"/>
  <c r="BG795" i="1"/>
  <c r="BA795" i="1"/>
  <c r="BG794" i="1"/>
  <c r="BA794" i="1"/>
  <c r="BG793" i="1"/>
  <c r="BA793" i="1"/>
  <c r="BG792" i="1"/>
  <c r="BA792" i="1"/>
  <c r="BG791" i="1"/>
  <c r="BA791" i="1"/>
  <c r="BG790" i="1"/>
  <c r="BA790" i="1"/>
  <c r="BG789" i="1"/>
  <c r="BA789" i="1"/>
  <c r="BG788" i="1"/>
  <c r="BA788" i="1"/>
  <c r="BG787" i="1"/>
  <c r="BA787" i="1"/>
  <c r="BG786" i="1"/>
  <c r="BA786" i="1"/>
  <c r="BG785" i="1"/>
  <c r="BA785" i="1"/>
  <c r="BG784" i="1"/>
  <c r="BA784" i="1"/>
  <c r="BG783" i="1"/>
  <c r="BA783" i="1"/>
  <c r="BG782" i="1"/>
  <c r="BA782" i="1"/>
  <c r="BG781" i="1"/>
  <c r="BA781" i="1"/>
  <c r="BG780" i="1"/>
  <c r="BA780" i="1"/>
  <c r="BG779" i="1"/>
  <c r="BA779" i="1"/>
  <c r="BG778" i="1"/>
  <c r="BA778" i="1"/>
  <c r="BG777" i="1"/>
  <c r="BA777" i="1"/>
  <c r="BG776" i="1"/>
  <c r="BA776" i="1"/>
  <c r="BG876" i="1"/>
  <c r="BA876" i="1"/>
  <c r="BG774" i="1"/>
  <c r="BA774" i="1"/>
  <c r="BG773" i="1"/>
  <c r="BA773" i="1"/>
  <c r="BG772" i="1"/>
  <c r="BA772" i="1"/>
  <c r="BG771" i="1"/>
  <c r="BA771" i="1"/>
  <c r="BG770" i="1"/>
  <c r="BA770" i="1"/>
  <c r="BG769" i="1"/>
  <c r="BA769" i="1"/>
  <c r="BG768" i="1"/>
  <c r="BA768" i="1"/>
  <c r="BG767" i="1"/>
  <c r="BA767" i="1"/>
  <c r="BG766" i="1"/>
  <c r="BA766" i="1"/>
  <c r="BG765" i="1"/>
  <c r="BA765" i="1"/>
  <c r="BG764" i="1"/>
  <c r="BA764" i="1"/>
  <c r="BG763" i="1"/>
  <c r="BA763" i="1"/>
  <c r="BG762" i="1"/>
  <c r="BA762" i="1"/>
  <c r="BG761" i="1"/>
  <c r="BA761" i="1"/>
  <c r="BG760" i="1"/>
  <c r="BA760" i="1"/>
  <c r="BG759" i="1"/>
  <c r="BA759" i="1"/>
  <c r="BG758" i="1"/>
  <c r="BA758" i="1"/>
  <c r="BG757" i="1"/>
  <c r="BA757" i="1"/>
  <c r="BG756" i="1"/>
  <c r="BA756" i="1"/>
  <c r="BG755" i="1"/>
  <c r="BA755" i="1"/>
  <c r="BH753" i="1"/>
  <c r="AZ753" i="1"/>
  <c r="BA752" i="1"/>
  <c r="AP752" i="1"/>
  <c r="BP751" i="1"/>
  <c r="BH749" i="1"/>
  <c r="AZ749" i="1"/>
  <c r="BA748" i="1"/>
  <c r="AP748" i="1"/>
  <c r="BP747" i="1"/>
  <c r="BF746" i="1"/>
  <c r="BH745" i="1"/>
  <c r="AZ745" i="1"/>
  <c r="BA744" i="1"/>
  <c r="AP744" i="1"/>
  <c r="BP743" i="1"/>
  <c r="BF742" i="1"/>
  <c r="BH741" i="1"/>
  <c r="AZ741" i="1"/>
  <c r="BA740" i="1"/>
  <c r="AP740" i="1"/>
  <c r="BP739" i="1"/>
  <c r="BF738" i="1"/>
  <c r="BH737" i="1"/>
  <c r="AZ737" i="1"/>
  <c r="BA736" i="1"/>
  <c r="AP736" i="1"/>
  <c r="BP735" i="1"/>
  <c r="BF734" i="1"/>
  <c r="BH733" i="1"/>
  <c r="AZ733" i="1"/>
  <c r="BA732" i="1"/>
  <c r="AP732" i="1"/>
  <c r="BP731" i="1"/>
  <c r="BF730" i="1"/>
  <c r="BH729" i="1"/>
  <c r="AZ729" i="1"/>
  <c r="BA728" i="1"/>
  <c r="AP728" i="1"/>
  <c r="BP727" i="1"/>
  <c r="BF726" i="1"/>
  <c r="BH725" i="1"/>
  <c r="AZ725" i="1"/>
  <c r="BA724" i="1"/>
  <c r="AP724" i="1"/>
  <c r="BP723" i="1"/>
  <c r="BF722" i="1"/>
  <c r="BH721" i="1"/>
  <c r="AZ721" i="1"/>
  <c r="BA720" i="1"/>
  <c r="AP720" i="1"/>
  <c r="BP719" i="1"/>
  <c r="BF718" i="1"/>
  <c r="BH717" i="1"/>
  <c r="AZ717" i="1"/>
  <c r="BA716" i="1"/>
  <c r="AP716" i="1"/>
  <c r="BP715" i="1"/>
  <c r="BF714" i="1"/>
  <c r="BH713" i="1"/>
  <c r="AZ713" i="1"/>
  <c r="BA712" i="1"/>
  <c r="AP712" i="1"/>
  <c r="BP711" i="1"/>
  <c r="BF710" i="1"/>
  <c r="BH709" i="1"/>
  <c r="AZ709" i="1"/>
  <c r="BA708" i="1"/>
  <c r="AP708" i="1"/>
  <c r="BF706" i="1"/>
  <c r="BH705" i="1"/>
  <c r="AZ705" i="1"/>
  <c r="BA704" i="1"/>
  <c r="AP704" i="1"/>
  <c r="BF702" i="1"/>
  <c r="BH701" i="1"/>
  <c r="AZ701" i="1"/>
  <c r="BA700" i="1"/>
  <c r="AP700" i="1"/>
  <c r="BF698" i="1"/>
  <c r="BH697" i="1"/>
  <c r="AZ697" i="1"/>
  <c r="BA696" i="1"/>
  <c r="AP696" i="1"/>
  <c r="BF694" i="1"/>
  <c r="BH693" i="1"/>
  <c r="AZ693" i="1"/>
  <c r="BA692" i="1"/>
  <c r="AP692" i="1"/>
  <c r="BF690" i="1"/>
  <c r="BH689" i="1"/>
  <c r="AZ689" i="1"/>
  <c r="BA688" i="1"/>
  <c r="AP688" i="1"/>
  <c r="BF686" i="1"/>
  <c r="BH685" i="1"/>
  <c r="AZ685" i="1"/>
  <c r="BA684" i="1"/>
  <c r="AP684" i="1"/>
  <c r="BF682" i="1"/>
  <c r="BH681" i="1"/>
  <c r="AZ681" i="1"/>
  <c r="BA680" i="1"/>
  <c r="AP680" i="1"/>
  <c r="BF678" i="1"/>
  <c r="BH677" i="1"/>
  <c r="AZ677" i="1"/>
  <c r="BA676" i="1"/>
  <c r="AP676" i="1"/>
  <c r="BF674" i="1"/>
  <c r="BH673" i="1"/>
  <c r="AZ673" i="1"/>
  <c r="AZ672" i="1"/>
  <c r="AZ671" i="1"/>
  <c r="AZ670" i="1"/>
  <c r="AZ669" i="1"/>
  <c r="AZ668" i="1"/>
  <c r="BH625" i="1"/>
  <c r="AP625" i="1"/>
  <c r="AZ625" i="1"/>
  <c r="BF625" i="1"/>
  <c r="BA625" i="1"/>
  <c r="BG625" i="1"/>
  <c r="BH621" i="1"/>
  <c r="AP621" i="1"/>
  <c r="AZ621" i="1"/>
  <c r="BF621" i="1"/>
  <c r="BA621" i="1"/>
  <c r="BG621" i="1"/>
  <c r="BH617" i="1"/>
  <c r="AP617" i="1"/>
  <c r="AZ617" i="1"/>
  <c r="BF617" i="1"/>
  <c r="BA617" i="1"/>
  <c r="BG617" i="1"/>
  <c r="BH613" i="1"/>
  <c r="AP613" i="1"/>
  <c r="AZ613" i="1"/>
  <c r="BF613" i="1"/>
  <c r="BA613" i="1"/>
  <c r="BG613" i="1"/>
  <c r="BH609" i="1"/>
  <c r="AP609" i="1"/>
  <c r="AZ609" i="1"/>
  <c r="BF609" i="1"/>
  <c r="BA609" i="1"/>
  <c r="BG609" i="1"/>
  <c r="BH605" i="1"/>
  <c r="AP605" i="1"/>
  <c r="AZ605" i="1"/>
  <c r="BF605" i="1"/>
  <c r="BA605" i="1"/>
  <c r="BG605" i="1"/>
  <c r="BH601" i="1"/>
  <c r="AP601" i="1"/>
  <c r="AZ601" i="1"/>
  <c r="BF601" i="1"/>
  <c r="BA601" i="1"/>
  <c r="BG601" i="1"/>
  <c r="BH597" i="1"/>
  <c r="AP597" i="1"/>
  <c r="AZ597" i="1"/>
  <c r="BF597" i="1"/>
  <c r="BA597" i="1"/>
  <c r="BG597" i="1"/>
  <c r="BH593" i="1"/>
  <c r="AP593" i="1"/>
  <c r="AZ593" i="1"/>
  <c r="BF593" i="1"/>
  <c r="BA593" i="1"/>
  <c r="BG593" i="1"/>
  <c r="BH589" i="1"/>
  <c r="AP589" i="1"/>
  <c r="AZ589" i="1"/>
  <c r="BF589" i="1"/>
  <c r="BA589" i="1"/>
  <c r="BG589" i="1"/>
  <c r="BH585" i="1"/>
  <c r="AP585" i="1"/>
  <c r="AZ585" i="1"/>
  <c r="BF585" i="1"/>
  <c r="BA585" i="1"/>
  <c r="BG585" i="1"/>
  <c r="BH581" i="1"/>
  <c r="AP581" i="1"/>
  <c r="AZ581" i="1"/>
  <c r="BF581" i="1"/>
  <c r="BA581" i="1"/>
  <c r="BG581" i="1"/>
  <c r="BH577" i="1"/>
  <c r="AP577" i="1"/>
  <c r="AZ577" i="1"/>
  <c r="BF577" i="1"/>
  <c r="BA577" i="1"/>
  <c r="BG577" i="1"/>
  <c r="BH573" i="1"/>
  <c r="AP573" i="1"/>
  <c r="AZ573" i="1"/>
  <c r="BF573" i="1"/>
  <c r="BA573" i="1"/>
  <c r="BG573" i="1"/>
  <c r="BH569" i="1"/>
  <c r="AP569" i="1"/>
  <c r="AZ569" i="1"/>
  <c r="BF569" i="1"/>
  <c r="BA569" i="1"/>
  <c r="BG569" i="1"/>
  <c r="BH565" i="1"/>
  <c r="AP565" i="1"/>
  <c r="AZ565" i="1"/>
  <c r="BF565" i="1"/>
  <c r="BA565" i="1"/>
  <c r="BG565" i="1"/>
  <c r="BH561" i="1"/>
  <c r="AP561" i="1"/>
  <c r="AZ561" i="1"/>
  <c r="BF561" i="1"/>
  <c r="BA561" i="1"/>
  <c r="BG561" i="1"/>
  <c r="BH557" i="1"/>
  <c r="AP557" i="1"/>
  <c r="AZ557" i="1"/>
  <c r="BF557" i="1"/>
  <c r="BA557" i="1"/>
  <c r="BG557" i="1"/>
  <c r="BH553" i="1"/>
  <c r="AP553" i="1"/>
  <c r="AZ553" i="1"/>
  <c r="BF553" i="1"/>
  <c r="BA553" i="1"/>
  <c r="BG553" i="1"/>
  <c r="BH549" i="1"/>
  <c r="AP549" i="1"/>
  <c r="AZ549" i="1"/>
  <c r="BF549" i="1"/>
  <c r="BA549" i="1"/>
  <c r="BG549" i="1"/>
  <c r="BH545" i="1"/>
  <c r="AP545" i="1"/>
  <c r="AZ545" i="1"/>
  <c r="BF545" i="1"/>
  <c r="BA545" i="1"/>
  <c r="BG545" i="1"/>
  <c r="BH541" i="1"/>
  <c r="AP541" i="1"/>
  <c r="AZ541" i="1"/>
  <c r="BF541" i="1"/>
  <c r="BA541" i="1"/>
  <c r="BG541" i="1"/>
  <c r="BH537" i="1"/>
  <c r="AP537" i="1"/>
  <c r="AZ537" i="1"/>
  <c r="BF537" i="1"/>
  <c r="BA537" i="1"/>
  <c r="BG537" i="1"/>
  <c r="BH533" i="1"/>
  <c r="AP533" i="1"/>
  <c r="AZ533" i="1"/>
  <c r="BF533" i="1"/>
  <c r="BA533" i="1"/>
  <c r="BG533" i="1"/>
  <c r="BH529" i="1"/>
  <c r="AP529" i="1"/>
  <c r="AZ529" i="1"/>
  <c r="BF529" i="1"/>
  <c r="BA529" i="1"/>
  <c r="BG529" i="1"/>
  <c r="BH525" i="1"/>
  <c r="AP525" i="1"/>
  <c r="AZ525" i="1"/>
  <c r="BF525" i="1"/>
  <c r="BA525" i="1"/>
  <c r="BG525" i="1"/>
  <c r="BH523" i="1"/>
  <c r="AP523" i="1"/>
  <c r="AZ523" i="1"/>
  <c r="BF523" i="1"/>
  <c r="BA523" i="1"/>
  <c r="BG523" i="1"/>
  <c r="BH519" i="1"/>
  <c r="AP519" i="1"/>
  <c r="AZ519" i="1"/>
  <c r="BF519" i="1"/>
  <c r="BA519" i="1"/>
  <c r="BG519" i="1"/>
  <c r="BH515" i="1"/>
  <c r="AP515" i="1"/>
  <c r="AZ515" i="1"/>
  <c r="BF515" i="1"/>
  <c r="BA515" i="1"/>
  <c r="BG515" i="1"/>
  <c r="BH511" i="1"/>
  <c r="AP511" i="1"/>
  <c r="AZ511" i="1"/>
  <c r="BF511" i="1"/>
  <c r="BA511" i="1"/>
  <c r="BG511" i="1"/>
  <c r="BH507" i="1"/>
  <c r="AP507" i="1"/>
  <c r="AZ507" i="1"/>
  <c r="BF507" i="1"/>
  <c r="BA507" i="1"/>
  <c r="BG507" i="1"/>
  <c r="BH503" i="1"/>
  <c r="AP503" i="1"/>
  <c r="AZ503" i="1"/>
  <c r="BF503" i="1"/>
  <c r="BA503" i="1"/>
  <c r="BG503" i="1"/>
  <c r="BH499" i="1"/>
  <c r="AP499" i="1"/>
  <c r="AZ499" i="1"/>
  <c r="BF499" i="1"/>
  <c r="BA499" i="1"/>
  <c r="BG499" i="1"/>
  <c r="BH495" i="1"/>
  <c r="AP495" i="1"/>
  <c r="AZ495" i="1"/>
  <c r="BF495" i="1"/>
  <c r="BA495" i="1"/>
  <c r="BG495" i="1"/>
  <c r="BH491" i="1"/>
  <c r="AP491" i="1"/>
  <c r="AZ491" i="1"/>
  <c r="BF491" i="1"/>
  <c r="BA491" i="1"/>
  <c r="BG491" i="1"/>
  <c r="BH487" i="1"/>
  <c r="AP487" i="1"/>
  <c r="AZ487" i="1"/>
  <c r="BF487" i="1"/>
  <c r="BA487" i="1"/>
  <c r="BG487" i="1"/>
  <c r="BH483" i="1"/>
  <c r="AP483" i="1"/>
  <c r="AZ483" i="1"/>
  <c r="BF483" i="1"/>
  <c r="BA483" i="1"/>
  <c r="BG483" i="1"/>
  <c r="BH479" i="1"/>
  <c r="AP479" i="1"/>
  <c r="AZ479" i="1"/>
  <c r="BF479" i="1"/>
  <c r="BA479" i="1"/>
  <c r="BG479" i="1"/>
  <c r="BH475" i="1"/>
  <c r="AP475" i="1"/>
  <c r="AZ475" i="1"/>
  <c r="BF475" i="1"/>
  <c r="BA475" i="1"/>
  <c r="BG475" i="1"/>
  <c r="BH471" i="1"/>
  <c r="AP471" i="1"/>
  <c r="AZ471" i="1"/>
  <c r="BF471" i="1"/>
  <c r="BA471" i="1"/>
  <c r="BG471" i="1"/>
  <c r="BH467" i="1"/>
  <c r="AP467" i="1"/>
  <c r="AZ467" i="1"/>
  <c r="BF467" i="1"/>
  <c r="BA467" i="1"/>
  <c r="BG467" i="1"/>
  <c r="BH463" i="1"/>
  <c r="AP463" i="1"/>
  <c r="AZ463" i="1"/>
  <c r="BF463" i="1"/>
  <c r="BA463" i="1"/>
  <c r="BG463" i="1"/>
  <c r="BH459" i="1"/>
  <c r="AP459" i="1"/>
  <c r="AZ459" i="1"/>
  <c r="BF459" i="1"/>
  <c r="BA459" i="1"/>
  <c r="BG459" i="1"/>
  <c r="BH455" i="1"/>
  <c r="AP455" i="1"/>
  <c r="AZ455" i="1"/>
  <c r="BF455" i="1"/>
  <c r="BA455" i="1"/>
  <c r="BG455" i="1"/>
  <c r="BG667" i="1"/>
  <c r="BA667" i="1"/>
  <c r="BG666" i="1"/>
  <c r="BA666" i="1"/>
  <c r="BG665" i="1"/>
  <c r="BA665" i="1"/>
  <c r="BG664" i="1"/>
  <c r="BA664" i="1"/>
  <c r="BG663" i="1"/>
  <c r="BA663" i="1"/>
  <c r="BG662" i="1"/>
  <c r="BA662" i="1"/>
  <c r="BG661" i="1"/>
  <c r="BA661" i="1"/>
  <c r="BG660" i="1"/>
  <c r="BA660" i="1"/>
  <c r="BG659" i="1"/>
  <c r="BA659" i="1"/>
  <c r="BG658" i="1"/>
  <c r="BA658" i="1"/>
  <c r="BG657" i="1"/>
  <c r="BA657" i="1"/>
  <c r="BG656" i="1"/>
  <c r="BA656" i="1"/>
  <c r="BG655" i="1"/>
  <c r="BA655" i="1"/>
  <c r="BG654" i="1"/>
  <c r="BA654" i="1"/>
  <c r="BG653" i="1"/>
  <c r="BA653" i="1"/>
  <c r="BG652" i="1"/>
  <c r="BA652" i="1"/>
  <c r="BG651" i="1"/>
  <c r="BA651" i="1"/>
  <c r="BG650" i="1"/>
  <c r="BA650" i="1"/>
  <c r="BG649" i="1"/>
  <c r="BA649" i="1"/>
  <c r="BG648" i="1"/>
  <c r="BA648" i="1"/>
  <c r="BG647" i="1"/>
  <c r="BA647" i="1"/>
  <c r="BG646" i="1"/>
  <c r="BA646" i="1"/>
  <c r="BG645" i="1"/>
  <c r="BA645" i="1"/>
  <c r="BG644" i="1"/>
  <c r="BA644" i="1"/>
  <c r="BG643" i="1"/>
  <c r="BA643" i="1"/>
  <c r="BG642" i="1"/>
  <c r="BA642" i="1"/>
  <c r="BG641" i="1"/>
  <c r="BA641" i="1"/>
  <c r="BG640" i="1"/>
  <c r="BA640" i="1"/>
  <c r="BG639" i="1"/>
  <c r="BA639" i="1"/>
  <c r="BG638" i="1"/>
  <c r="BA638" i="1"/>
  <c r="BG637" i="1"/>
  <c r="BA637" i="1"/>
  <c r="BG636" i="1"/>
  <c r="BA636" i="1"/>
  <c r="BG635" i="1"/>
  <c r="BA635" i="1"/>
  <c r="BG634" i="1"/>
  <c r="BA634" i="1"/>
  <c r="BG633" i="1"/>
  <c r="BA633" i="1"/>
  <c r="BH632" i="1"/>
  <c r="BA632" i="1"/>
  <c r="BG632" i="1"/>
  <c r="BH630" i="1"/>
  <c r="BA630" i="1"/>
  <c r="BG630" i="1"/>
  <c r="BH628" i="1"/>
  <c r="BA628" i="1"/>
  <c r="BG628" i="1"/>
  <c r="BH626" i="1"/>
  <c r="BA626" i="1"/>
  <c r="BG626" i="1"/>
  <c r="BH622" i="1"/>
  <c r="AP622" i="1"/>
  <c r="AZ622" i="1"/>
  <c r="BF622" i="1"/>
  <c r="BA622" i="1"/>
  <c r="BG622" i="1"/>
  <c r="BH618" i="1"/>
  <c r="AP618" i="1"/>
  <c r="AZ618" i="1"/>
  <c r="BF618" i="1"/>
  <c r="BA618" i="1"/>
  <c r="BG618" i="1"/>
  <c r="BH614" i="1"/>
  <c r="AP614" i="1"/>
  <c r="AZ614" i="1"/>
  <c r="BF614" i="1"/>
  <c r="BA614" i="1"/>
  <c r="BG614" i="1"/>
  <c r="BH610" i="1"/>
  <c r="AP610" i="1"/>
  <c r="AZ610" i="1"/>
  <c r="BF610" i="1"/>
  <c r="BA610" i="1"/>
  <c r="BG610" i="1"/>
  <c r="BH606" i="1"/>
  <c r="AP606" i="1"/>
  <c r="AZ606" i="1"/>
  <c r="BF606" i="1"/>
  <c r="BA606" i="1"/>
  <c r="BG606" i="1"/>
  <c r="BH602" i="1"/>
  <c r="AP602" i="1"/>
  <c r="AZ602" i="1"/>
  <c r="BF602" i="1"/>
  <c r="BA602" i="1"/>
  <c r="BG602" i="1"/>
  <c r="BH598" i="1"/>
  <c r="AP598" i="1"/>
  <c r="AZ598" i="1"/>
  <c r="BF598" i="1"/>
  <c r="BA598" i="1"/>
  <c r="BG598" i="1"/>
  <c r="BH594" i="1"/>
  <c r="AP594" i="1"/>
  <c r="AZ594" i="1"/>
  <c r="BF594" i="1"/>
  <c r="BA594" i="1"/>
  <c r="BG594" i="1"/>
  <c r="BH590" i="1"/>
  <c r="AP590" i="1"/>
  <c r="AZ590" i="1"/>
  <c r="BF590" i="1"/>
  <c r="BA590" i="1"/>
  <c r="BG590" i="1"/>
  <c r="BH586" i="1"/>
  <c r="AP586" i="1"/>
  <c r="AZ586" i="1"/>
  <c r="BF586" i="1"/>
  <c r="BA586" i="1"/>
  <c r="BG586" i="1"/>
  <c r="BH582" i="1"/>
  <c r="AP582" i="1"/>
  <c r="AZ582" i="1"/>
  <c r="BF582" i="1"/>
  <c r="BA582" i="1"/>
  <c r="BG582" i="1"/>
  <c r="BH578" i="1"/>
  <c r="AP578" i="1"/>
  <c r="AZ578" i="1"/>
  <c r="BF578" i="1"/>
  <c r="BA578" i="1"/>
  <c r="BG578" i="1"/>
  <c r="BH574" i="1"/>
  <c r="AP574" i="1"/>
  <c r="AZ574" i="1"/>
  <c r="BF574" i="1"/>
  <c r="BA574" i="1"/>
  <c r="BG574" i="1"/>
  <c r="BH570" i="1"/>
  <c r="AP570" i="1"/>
  <c r="AZ570" i="1"/>
  <c r="BF570" i="1"/>
  <c r="BA570" i="1"/>
  <c r="BG570" i="1"/>
  <c r="BH566" i="1"/>
  <c r="AP566" i="1"/>
  <c r="AZ566" i="1"/>
  <c r="BF566" i="1"/>
  <c r="BA566" i="1"/>
  <c r="BG566" i="1"/>
  <c r="BH562" i="1"/>
  <c r="AP562" i="1"/>
  <c r="AZ562" i="1"/>
  <c r="BF562" i="1"/>
  <c r="BA562" i="1"/>
  <c r="BG562" i="1"/>
  <c r="BH558" i="1"/>
  <c r="AP558" i="1"/>
  <c r="AZ558" i="1"/>
  <c r="BF558" i="1"/>
  <c r="BA558" i="1"/>
  <c r="BG558" i="1"/>
  <c r="BH554" i="1"/>
  <c r="AP554" i="1"/>
  <c r="AZ554" i="1"/>
  <c r="BF554" i="1"/>
  <c r="BA554" i="1"/>
  <c r="BG554" i="1"/>
  <c r="BH550" i="1"/>
  <c r="AP550" i="1"/>
  <c r="AZ550" i="1"/>
  <c r="BF550" i="1"/>
  <c r="BA550" i="1"/>
  <c r="BG550" i="1"/>
  <c r="BH546" i="1"/>
  <c r="AP546" i="1"/>
  <c r="AZ546" i="1"/>
  <c r="BF546" i="1"/>
  <c r="BA546" i="1"/>
  <c r="BG546" i="1"/>
  <c r="BH542" i="1"/>
  <c r="AP542" i="1"/>
  <c r="AZ542" i="1"/>
  <c r="BF542" i="1"/>
  <c r="BA542" i="1"/>
  <c r="BG542" i="1"/>
  <c r="BH538" i="1"/>
  <c r="AP538" i="1"/>
  <c r="AZ538" i="1"/>
  <c r="BF538" i="1"/>
  <c r="BA538" i="1"/>
  <c r="BG538" i="1"/>
  <c r="BH534" i="1"/>
  <c r="AP534" i="1"/>
  <c r="AZ534" i="1"/>
  <c r="BF534" i="1"/>
  <c r="BA534" i="1"/>
  <c r="BG534" i="1"/>
  <c r="BH530" i="1"/>
  <c r="AP530" i="1"/>
  <c r="AZ530" i="1"/>
  <c r="BF530" i="1"/>
  <c r="BA530" i="1"/>
  <c r="BG530" i="1"/>
  <c r="BH526" i="1"/>
  <c r="AP526" i="1"/>
  <c r="AZ526" i="1"/>
  <c r="BF526" i="1"/>
  <c r="BA526" i="1"/>
  <c r="BG526" i="1"/>
  <c r="BH522" i="1"/>
  <c r="AP522" i="1"/>
  <c r="AZ522" i="1"/>
  <c r="BF522" i="1"/>
  <c r="BA522" i="1"/>
  <c r="BG522" i="1"/>
  <c r="BH518" i="1"/>
  <c r="AP518" i="1"/>
  <c r="AZ518" i="1"/>
  <c r="BF518" i="1"/>
  <c r="BA518" i="1"/>
  <c r="BG518" i="1"/>
  <c r="BH514" i="1"/>
  <c r="AP514" i="1"/>
  <c r="AZ514" i="1"/>
  <c r="BF514" i="1"/>
  <c r="BA514" i="1"/>
  <c r="BG514" i="1"/>
  <c r="BH510" i="1"/>
  <c r="AP510" i="1"/>
  <c r="AZ510" i="1"/>
  <c r="BF510" i="1"/>
  <c r="BA510" i="1"/>
  <c r="BG510" i="1"/>
  <c r="BH506" i="1"/>
  <c r="AP506" i="1"/>
  <c r="AZ506" i="1"/>
  <c r="BF506" i="1"/>
  <c r="BA506" i="1"/>
  <c r="BG506" i="1"/>
  <c r="BH502" i="1"/>
  <c r="AP502" i="1"/>
  <c r="AZ502" i="1"/>
  <c r="BF502" i="1"/>
  <c r="BA502" i="1"/>
  <c r="BG502" i="1"/>
  <c r="BH498" i="1"/>
  <c r="AP498" i="1"/>
  <c r="AZ498" i="1"/>
  <c r="BF498" i="1"/>
  <c r="BA498" i="1"/>
  <c r="BG498" i="1"/>
  <c r="BH494" i="1"/>
  <c r="AP494" i="1"/>
  <c r="AZ494" i="1"/>
  <c r="BF494" i="1"/>
  <c r="BA494" i="1"/>
  <c r="BG494" i="1"/>
  <c r="BH490" i="1"/>
  <c r="AP490" i="1"/>
  <c r="AZ490" i="1"/>
  <c r="BF490" i="1"/>
  <c r="BA490" i="1"/>
  <c r="BG490" i="1"/>
  <c r="BH486" i="1"/>
  <c r="AP486" i="1"/>
  <c r="AZ486" i="1"/>
  <c r="BF486" i="1"/>
  <c r="BA486" i="1"/>
  <c r="BG486" i="1"/>
  <c r="BH482" i="1"/>
  <c r="AP482" i="1"/>
  <c r="AZ482" i="1"/>
  <c r="BF482" i="1"/>
  <c r="BA482" i="1"/>
  <c r="BG482" i="1"/>
  <c r="BH478" i="1"/>
  <c r="AP478" i="1"/>
  <c r="AZ478" i="1"/>
  <c r="BF478" i="1"/>
  <c r="BA478" i="1"/>
  <c r="BG478" i="1"/>
  <c r="BH474" i="1"/>
  <c r="AP474" i="1"/>
  <c r="AZ474" i="1"/>
  <c r="BF474" i="1"/>
  <c r="BA474" i="1"/>
  <c r="BG474" i="1"/>
  <c r="BH470" i="1"/>
  <c r="AP470" i="1"/>
  <c r="AZ470" i="1"/>
  <c r="BF470" i="1"/>
  <c r="BA470" i="1"/>
  <c r="BG470" i="1"/>
  <c r="BH466" i="1"/>
  <c r="AP466" i="1"/>
  <c r="AZ466" i="1"/>
  <c r="BF466" i="1"/>
  <c r="BA466" i="1"/>
  <c r="BG466" i="1"/>
  <c r="BH462" i="1"/>
  <c r="AP462" i="1"/>
  <c r="AZ462" i="1"/>
  <c r="BF462" i="1"/>
  <c r="BA462" i="1"/>
  <c r="BG462" i="1"/>
  <c r="BH458" i="1"/>
  <c r="AP458" i="1"/>
  <c r="AZ458" i="1"/>
  <c r="BF458" i="1"/>
  <c r="BA458" i="1"/>
  <c r="BG458" i="1"/>
  <c r="BH454" i="1"/>
  <c r="AP454" i="1"/>
  <c r="AZ454" i="1"/>
  <c r="BF454" i="1"/>
  <c r="BA454" i="1"/>
  <c r="BG454" i="1"/>
  <c r="BH623" i="1"/>
  <c r="AP623" i="1"/>
  <c r="AZ623" i="1"/>
  <c r="BF623" i="1"/>
  <c r="BA623" i="1"/>
  <c r="BG623" i="1"/>
  <c r="BH619" i="1"/>
  <c r="AP619" i="1"/>
  <c r="AZ619" i="1"/>
  <c r="BF619" i="1"/>
  <c r="BA619" i="1"/>
  <c r="BG619" i="1"/>
  <c r="BH615" i="1"/>
  <c r="AP615" i="1"/>
  <c r="AZ615" i="1"/>
  <c r="BF615" i="1"/>
  <c r="BA615" i="1"/>
  <c r="BG615" i="1"/>
  <c r="BH611" i="1"/>
  <c r="AP611" i="1"/>
  <c r="AZ611" i="1"/>
  <c r="BF611" i="1"/>
  <c r="BA611" i="1"/>
  <c r="BG611" i="1"/>
  <c r="BH607" i="1"/>
  <c r="AP607" i="1"/>
  <c r="AZ607" i="1"/>
  <c r="BF607" i="1"/>
  <c r="BA607" i="1"/>
  <c r="BG607" i="1"/>
  <c r="BH603" i="1"/>
  <c r="AP603" i="1"/>
  <c r="AZ603" i="1"/>
  <c r="BF603" i="1"/>
  <c r="BA603" i="1"/>
  <c r="BG603" i="1"/>
  <c r="BH599" i="1"/>
  <c r="AP599" i="1"/>
  <c r="AZ599" i="1"/>
  <c r="BF599" i="1"/>
  <c r="BA599" i="1"/>
  <c r="BG599" i="1"/>
  <c r="BH595" i="1"/>
  <c r="AP595" i="1"/>
  <c r="AZ595" i="1"/>
  <c r="BF595" i="1"/>
  <c r="BA595" i="1"/>
  <c r="BG595" i="1"/>
  <c r="BH591" i="1"/>
  <c r="AP591" i="1"/>
  <c r="AZ591" i="1"/>
  <c r="BF591" i="1"/>
  <c r="BA591" i="1"/>
  <c r="BG591" i="1"/>
  <c r="BH587" i="1"/>
  <c r="AP587" i="1"/>
  <c r="AZ587" i="1"/>
  <c r="BF587" i="1"/>
  <c r="BA587" i="1"/>
  <c r="BG587" i="1"/>
  <c r="BH583" i="1"/>
  <c r="AP583" i="1"/>
  <c r="AZ583" i="1"/>
  <c r="BF583" i="1"/>
  <c r="BA583" i="1"/>
  <c r="BG583" i="1"/>
  <c r="BH579" i="1"/>
  <c r="AP579" i="1"/>
  <c r="AZ579" i="1"/>
  <c r="BF579" i="1"/>
  <c r="BA579" i="1"/>
  <c r="BG579" i="1"/>
  <c r="BH575" i="1"/>
  <c r="AP575" i="1"/>
  <c r="AZ575" i="1"/>
  <c r="BF575" i="1"/>
  <c r="BA575" i="1"/>
  <c r="BG575" i="1"/>
  <c r="BH571" i="1"/>
  <c r="AP571" i="1"/>
  <c r="AZ571" i="1"/>
  <c r="BF571" i="1"/>
  <c r="BA571" i="1"/>
  <c r="BG571" i="1"/>
  <c r="BH567" i="1"/>
  <c r="AP567" i="1"/>
  <c r="AZ567" i="1"/>
  <c r="BF567" i="1"/>
  <c r="BA567" i="1"/>
  <c r="BG567" i="1"/>
  <c r="BH563" i="1"/>
  <c r="AP563" i="1"/>
  <c r="AZ563" i="1"/>
  <c r="BF563" i="1"/>
  <c r="BA563" i="1"/>
  <c r="BG563" i="1"/>
  <c r="BH559" i="1"/>
  <c r="AP559" i="1"/>
  <c r="AZ559" i="1"/>
  <c r="BF559" i="1"/>
  <c r="BA559" i="1"/>
  <c r="BG559" i="1"/>
  <c r="BH555" i="1"/>
  <c r="AP555" i="1"/>
  <c r="AZ555" i="1"/>
  <c r="BF555" i="1"/>
  <c r="BA555" i="1"/>
  <c r="BG555" i="1"/>
  <c r="BH551" i="1"/>
  <c r="AP551" i="1"/>
  <c r="AZ551" i="1"/>
  <c r="BF551" i="1"/>
  <c r="BA551" i="1"/>
  <c r="BG551" i="1"/>
  <c r="BH547" i="1"/>
  <c r="AP547" i="1"/>
  <c r="AZ547" i="1"/>
  <c r="BF547" i="1"/>
  <c r="BA547" i="1"/>
  <c r="BG547" i="1"/>
  <c r="BH543" i="1"/>
  <c r="AP543" i="1"/>
  <c r="AZ543" i="1"/>
  <c r="BF543" i="1"/>
  <c r="BA543" i="1"/>
  <c r="BG543" i="1"/>
  <c r="BH539" i="1"/>
  <c r="AP539" i="1"/>
  <c r="AZ539" i="1"/>
  <c r="BF539" i="1"/>
  <c r="BA539" i="1"/>
  <c r="BG539" i="1"/>
  <c r="BH535" i="1"/>
  <c r="AP535" i="1"/>
  <c r="AZ535" i="1"/>
  <c r="BF535" i="1"/>
  <c r="BA535" i="1"/>
  <c r="BG535" i="1"/>
  <c r="BH531" i="1"/>
  <c r="AP531" i="1"/>
  <c r="AZ531" i="1"/>
  <c r="BF531" i="1"/>
  <c r="BA531" i="1"/>
  <c r="BG531" i="1"/>
  <c r="BH527" i="1"/>
  <c r="AP527" i="1"/>
  <c r="AZ527" i="1"/>
  <c r="BF527" i="1"/>
  <c r="BA527" i="1"/>
  <c r="BG527" i="1"/>
  <c r="BH521" i="1"/>
  <c r="AP521" i="1"/>
  <c r="AZ521" i="1"/>
  <c r="BF521" i="1"/>
  <c r="BA521" i="1"/>
  <c r="BG521" i="1"/>
  <c r="BH517" i="1"/>
  <c r="AP517" i="1"/>
  <c r="AZ517" i="1"/>
  <c r="BF517" i="1"/>
  <c r="BA517" i="1"/>
  <c r="BG517" i="1"/>
  <c r="BH513" i="1"/>
  <c r="AP513" i="1"/>
  <c r="AZ513" i="1"/>
  <c r="BF513" i="1"/>
  <c r="BA513" i="1"/>
  <c r="BG513" i="1"/>
  <c r="BH509" i="1"/>
  <c r="AP509" i="1"/>
  <c r="AZ509" i="1"/>
  <c r="BF509" i="1"/>
  <c r="BA509" i="1"/>
  <c r="BG509" i="1"/>
  <c r="BH505" i="1"/>
  <c r="AP505" i="1"/>
  <c r="AZ505" i="1"/>
  <c r="BF505" i="1"/>
  <c r="BA505" i="1"/>
  <c r="BG505" i="1"/>
  <c r="BH501" i="1"/>
  <c r="AP501" i="1"/>
  <c r="AZ501" i="1"/>
  <c r="BF501" i="1"/>
  <c r="BA501" i="1"/>
  <c r="BG501" i="1"/>
  <c r="BH497" i="1"/>
  <c r="AP497" i="1"/>
  <c r="AZ497" i="1"/>
  <c r="BF497" i="1"/>
  <c r="BA497" i="1"/>
  <c r="BG497" i="1"/>
  <c r="BH493" i="1"/>
  <c r="AP493" i="1"/>
  <c r="AZ493" i="1"/>
  <c r="BF493" i="1"/>
  <c r="BA493" i="1"/>
  <c r="BG493" i="1"/>
  <c r="BH489" i="1"/>
  <c r="AP489" i="1"/>
  <c r="AZ489" i="1"/>
  <c r="BF489" i="1"/>
  <c r="BA489" i="1"/>
  <c r="BG489" i="1"/>
  <c r="BH485" i="1"/>
  <c r="AP485" i="1"/>
  <c r="AZ485" i="1"/>
  <c r="BF485" i="1"/>
  <c r="BA485" i="1"/>
  <c r="BG485" i="1"/>
  <c r="BH481" i="1"/>
  <c r="AP481" i="1"/>
  <c r="AZ481" i="1"/>
  <c r="BF481" i="1"/>
  <c r="BA481" i="1"/>
  <c r="BG481" i="1"/>
  <c r="BH477" i="1"/>
  <c r="AP477" i="1"/>
  <c r="AZ477" i="1"/>
  <c r="BF477" i="1"/>
  <c r="BA477" i="1"/>
  <c r="BG477" i="1"/>
  <c r="BH473" i="1"/>
  <c r="AP473" i="1"/>
  <c r="AZ473" i="1"/>
  <c r="BF473" i="1"/>
  <c r="BA473" i="1"/>
  <c r="BG473" i="1"/>
  <c r="BH469" i="1"/>
  <c r="AP469" i="1"/>
  <c r="AZ469" i="1"/>
  <c r="BF469" i="1"/>
  <c r="BA469" i="1"/>
  <c r="BG469" i="1"/>
  <c r="BH465" i="1"/>
  <c r="AP465" i="1"/>
  <c r="AZ465" i="1"/>
  <c r="BF465" i="1"/>
  <c r="BA465" i="1"/>
  <c r="BG465" i="1"/>
  <c r="BH461" i="1"/>
  <c r="AP461" i="1"/>
  <c r="AZ461" i="1"/>
  <c r="BF461" i="1"/>
  <c r="BA461" i="1"/>
  <c r="BG461" i="1"/>
  <c r="BH457" i="1"/>
  <c r="AP457" i="1"/>
  <c r="AZ457" i="1"/>
  <c r="BF457" i="1"/>
  <c r="BA457" i="1"/>
  <c r="BG457" i="1"/>
  <c r="BH453" i="1"/>
  <c r="AP453" i="1"/>
  <c r="AZ453" i="1"/>
  <c r="BF453" i="1"/>
  <c r="BA453" i="1"/>
  <c r="BG453" i="1"/>
  <c r="BH631" i="1"/>
  <c r="BA631" i="1"/>
  <c r="BG631" i="1"/>
  <c r="BH629" i="1"/>
  <c r="BA629" i="1"/>
  <c r="BG629" i="1"/>
  <c r="BH627" i="1"/>
  <c r="BA627" i="1"/>
  <c r="BG627" i="1"/>
  <c r="BH624" i="1"/>
  <c r="AP624" i="1"/>
  <c r="AZ624" i="1"/>
  <c r="BF624" i="1"/>
  <c r="BA624" i="1"/>
  <c r="BG624" i="1"/>
  <c r="BH620" i="1"/>
  <c r="AP620" i="1"/>
  <c r="AZ620" i="1"/>
  <c r="BF620" i="1"/>
  <c r="BA620" i="1"/>
  <c r="BG620" i="1"/>
  <c r="BH616" i="1"/>
  <c r="AP616" i="1"/>
  <c r="AZ616" i="1"/>
  <c r="BF616" i="1"/>
  <c r="BA616" i="1"/>
  <c r="BG616" i="1"/>
  <c r="BH612" i="1"/>
  <c r="AP612" i="1"/>
  <c r="AZ612" i="1"/>
  <c r="BF612" i="1"/>
  <c r="BA612" i="1"/>
  <c r="BG612" i="1"/>
  <c r="BH608" i="1"/>
  <c r="AP608" i="1"/>
  <c r="AZ608" i="1"/>
  <c r="BF608" i="1"/>
  <c r="BA608" i="1"/>
  <c r="BG608" i="1"/>
  <c r="BH604" i="1"/>
  <c r="AP604" i="1"/>
  <c r="AZ604" i="1"/>
  <c r="BF604" i="1"/>
  <c r="BA604" i="1"/>
  <c r="BG604" i="1"/>
  <c r="BH600" i="1"/>
  <c r="AP600" i="1"/>
  <c r="AZ600" i="1"/>
  <c r="BF600" i="1"/>
  <c r="BA600" i="1"/>
  <c r="BG600" i="1"/>
  <c r="BH596" i="1"/>
  <c r="AP596" i="1"/>
  <c r="AZ596" i="1"/>
  <c r="BF596" i="1"/>
  <c r="BA596" i="1"/>
  <c r="BG596" i="1"/>
  <c r="BH592" i="1"/>
  <c r="AP592" i="1"/>
  <c r="AZ592" i="1"/>
  <c r="BF592" i="1"/>
  <c r="BA592" i="1"/>
  <c r="BG592" i="1"/>
  <c r="BH588" i="1"/>
  <c r="AP588" i="1"/>
  <c r="AZ588" i="1"/>
  <c r="BF588" i="1"/>
  <c r="BA588" i="1"/>
  <c r="BG588" i="1"/>
  <c r="BH584" i="1"/>
  <c r="AP584" i="1"/>
  <c r="AZ584" i="1"/>
  <c r="BF584" i="1"/>
  <c r="BA584" i="1"/>
  <c r="BG584" i="1"/>
  <c r="BH580" i="1"/>
  <c r="AP580" i="1"/>
  <c r="AZ580" i="1"/>
  <c r="BF580" i="1"/>
  <c r="BA580" i="1"/>
  <c r="BG580" i="1"/>
  <c r="BH576" i="1"/>
  <c r="AP576" i="1"/>
  <c r="AZ576" i="1"/>
  <c r="BF576" i="1"/>
  <c r="BA576" i="1"/>
  <c r="BG576" i="1"/>
  <c r="BH572" i="1"/>
  <c r="AP572" i="1"/>
  <c r="AZ572" i="1"/>
  <c r="BF572" i="1"/>
  <c r="BA572" i="1"/>
  <c r="BG572" i="1"/>
  <c r="BH568" i="1"/>
  <c r="AP568" i="1"/>
  <c r="AZ568" i="1"/>
  <c r="BF568" i="1"/>
  <c r="BA568" i="1"/>
  <c r="BG568" i="1"/>
  <c r="BH564" i="1"/>
  <c r="AP564" i="1"/>
  <c r="AZ564" i="1"/>
  <c r="BF564" i="1"/>
  <c r="BA564" i="1"/>
  <c r="BG564" i="1"/>
  <c r="BH560" i="1"/>
  <c r="AP560" i="1"/>
  <c r="AZ560" i="1"/>
  <c r="BF560" i="1"/>
  <c r="BA560" i="1"/>
  <c r="BG560" i="1"/>
  <c r="BH556" i="1"/>
  <c r="AP556" i="1"/>
  <c r="AZ556" i="1"/>
  <c r="BF556" i="1"/>
  <c r="BA556" i="1"/>
  <c r="BG556" i="1"/>
  <c r="BH552" i="1"/>
  <c r="AP552" i="1"/>
  <c r="AZ552" i="1"/>
  <c r="BF552" i="1"/>
  <c r="BA552" i="1"/>
  <c r="BG552" i="1"/>
  <c r="BH548" i="1"/>
  <c r="AP548" i="1"/>
  <c r="AZ548" i="1"/>
  <c r="BF548" i="1"/>
  <c r="BA548" i="1"/>
  <c r="BG548" i="1"/>
  <c r="BH544" i="1"/>
  <c r="AP544" i="1"/>
  <c r="AZ544" i="1"/>
  <c r="BF544" i="1"/>
  <c r="BA544" i="1"/>
  <c r="BG544" i="1"/>
  <c r="BH540" i="1"/>
  <c r="AP540" i="1"/>
  <c r="AZ540" i="1"/>
  <c r="BF540" i="1"/>
  <c r="BA540" i="1"/>
  <c r="BG540" i="1"/>
  <c r="BH536" i="1"/>
  <c r="AP536" i="1"/>
  <c r="AZ536" i="1"/>
  <c r="BF536" i="1"/>
  <c r="BA536" i="1"/>
  <c r="BG536" i="1"/>
  <c r="BH532" i="1"/>
  <c r="AP532" i="1"/>
  <c r="AZ532" i="1"/>
  <c r="BF532" i="1"/>
  <c r="BA532" i="1"/>
  <c r="BG532" i="1"/>
  <c r="BH528" i="1"/>
  <c r="AP528" i="1"/>
  <c r="AZ528" i="1"/>
  <c r="BF528" i="1"/>
  <c r="BA528" i="1"/>
  <c r="BG528" i="1"/>
  <c r="BH524" i="1"/>
  <c r="AP524" i="1"/>
  <c r="AZ524" i="1"/>
  <c r="BF524" i="1"/>
  <c r="BA524" i="1"/>
  <c r="BG524" i="1"/>
  <c r="BH520" i="1"/>
  <c r="AP520" i="1"/>
  <c r="AZ520" i="1"/>
  <c r="BF520" i="1"/>
  <c r="BA520" i="1"/>
  <c r="BG520" i="1"/>
  <c r="BH516" i="1"/>
  <c r="AP516" i="1"/>
  <c r="AZ516" i="1"/>
  <c r="BF516" i="1"/>
  <c r="BA516" i="1"/>
  <c r="BG516" i="1"/>
  <c r="BH512" i="1"/>
  <c r="AP512" i="1"/>
  <c r="AZ512" i="1"/>
  <c r="BF512" i="1"/>
  <c r="BA512" i="1"/>
  <c r="BG512" i="1"/>
  <c r="BH508" i="1"/>
  <c r="AP508" i="1"/>
  <c r="AZ508" i="1"/>
  <c r="BF508" i="1"/>
  <c r="BA508" i="1"/>
  <c r="BG508" i="1"/>
  <c r="BH504" i="1"/>
  <c r="AP504" i="1"/>
  <c r="AZ504" i="1"/>
  <c r="BF504" i="1"/>
  <c r="BA504" i="1"/>
  <c r="BG504" i="1"/>
  <c r="BH500" i="1"/>
  <c r="AP500" i="1"/>
  <c r="AZ500" i="1"/>
  <c r="BF500" i="1"/>
  <c r="BA500" i="1"/>
  <c r="BG500" i="1"/>
  <c r="BH496" i="1"/>
  <c r="AP496" i="1"/>
  <c r="AZ496" i="1"/>
  <c r="BF496" i="1"/>
  <c r="BA496" i="1"/>
  <c r="BG496" i="1"/>
  <c r="BH492" i="1"/>
  <c r="AP492" i="1"/>
  <c r="AZ492" i="1"/>
  <c r="BF492" i="1"/>
  <c r="BA492" i="1"/>
  <c r="BG492" i="1"/>
  <c r="BH488" i="1"/>
  <c r="AP488" i="1"/>
  <c r="AZ488" i="1"/>
  <c r="BF488" i="1"/>
  <c r="BA488" i="1"/>
  <c r="BG488" i="1"/>
  <c r="BH484" i="1"/>
  <c r="AP484" i="1"/>
  <c r="AZ484" i="1"/>
  <c r="BF484" i="1"/>
  <c r="BA484" i="1"/>
  <c r="BG484" i="1"/>
  <c r="BH480" i="1"/>
  <c r="AP480" i="1"/>
  <c r="AZ480" i="1"/>
  <c r="BF480" i="1"/>
  <c r="BA480" i="1"/>
  <c r="BG480" i="1"/>
  <c r="BH476" i="1"/>
  <c r="AP476" i="1"/>
  <c r="AZ476" i="1"/>
  <c r="BF476" i="1"/>
  <c r="BA476" i="1"/>
  <c r="BG476" i="1"/>
  <c r="BH472" i="1"/>
  <c r="AP472" i="1"/>
  <c r="AZ472" i="1"/>
  <c r="BF472" i="1"/>
  <c r="BA472" i="1"/>
  <c r="BG472" i="1"/>
  <c r="BH468" i="1"/>
  <c r="AP468" i="1"/>
  <c r="AZ468" i="1"/>
  <c r="BF468" i="1"/>
  <c r="BA468" i="1"/>
  <c r="BG468" i="1"/>
  <c r="BH464" i="1"/>
  <c r="AP464" i="1"/>
  <c r="AZ464" i="1"/>
  <c r="BF464" i="1"/>
  <c r="BA464" i="1"/>
  <c r="BG464" i="1"/>
  <c r="BH460" i="1"/>
  <c r="AP460" i="1"/>
  <c r="AZ460" i="1"/>
  <c r="BF460" i="1"/>
  <c r="BA460" i="1"/>
  <c r="BG460" i="1"/>
  <c r="BH456" i="1"/>
  <c r="AP456" i="1"/>
  <c r="AZ456" i="1"/>
  <c r="BF456" i="1"/>
  <c r="BA456" i="1"/>
  <c r="BG456" i="1"/>
  <c r="BG452" i="1"/>
  <c r="BA452" i="1"/>
  <c r="BG451" i="1"/>
  <c r="BA451" i="1"/>
  <c r="BG450" i="1"/>
  <c r="BA450" i="1"/>
  <c r="BG449" i="1"/>
  <c r="BA449" i="1"/>
  <c r="BG448" i="1"/>
  <c r="BA448" i="1"/>
  <c r="BG447" i="1"/>
  <c r="BA447" i="1"/>
  <c r="BG446" i="1"/>
  <c r="BA446" i="1"/>
  <c r="AZ444" i="1"/>
  <c r="BH444" i="1"/>
  <c r="BA443" i="1"/>
  <c r="AZ440" i="1"/>
  <c r="BH440" i="1"/>
  <c r="BA439" i="1"/>
  <c r="AZ436" i="1"/>
  <c r="BH436" i="1"/>
  <c r="BA435" i="1"/>
  <c r="AZ432" i="1"/>
  <c r="BH432" i="1"/>
  <c r="BA431" i="1"/>
  <c r="AZ428" i="1"/>
  <c r="BH428" i="1"/>
  <c r="BA427" i="1"/>
  <c r="AZ424" i="1"/>
  <c r="BH424" i="1"/>
  <c r="BA423" i="1"/>
  <c r="AZ420" i="1"/>
  <c r="BH420" i="1"/>
  <c r="BA419" i="1"/>
  <c r="AZ416" i="1"/>
  <c r="BH416" i="1"/>
  <c r="BA415" i="1"/>
  <c r="AZ412" i="1"/>
  <c r="BH412" i="1"/>
  <c r="BA411" i="1"/>
  <c r="AZ408" i="1"/>
  <c r="BH408" i="1"/>
  <c r="BA407" i="1"/>
  <c r="AZ404" i="1"/>
  <c r="BH404" i="1"/>
  <c r="BA403" i="1"/>
  <c r="AZ400" i="1"/>
  <c r="BH400" i="1"/>
  <c r="BA399" i="1"/>
  <c r="AZ396" i="1"/>
  <c r="BH396" i="1"/>
  <c r="BA395" i="1"/>
  <c r="AZ392" i="1"/>
  <c r="BH392" i="1"/>
  <c r="BA391" i="1"/>
  <c r="AZ388" i="1"/>
  <c r="BH388" i="1"/>
  <c r="BA387" i="1"/>
  <c r="AZ384" i="1"/>
  <c r="BH384" i="1"/>
  <c r="BA383" i="1"/>
  <c r="AZ380" i="1"/>
  <c r="BH380" i="1"/>
  <c r="BA379" i="1"/>
  <c r="AZ376" i="1"/>
  <c r="BH376" i="1"/>
  <c r="BA375" i="1"/>
  <c r="AZ372" i="1"/>
  <c r="BH372" i="1"/>
  <c r="BA371" i="1"/>
  <c r="AZ368" i="1"/>
  <c r="BH368" i="1"/>
  <c r="BA367" i="1"/>
  <c r="BF452" i="1"/>
  <c r="AZ452" i="1"/>
  <c r="AP452" i="1"/>
  <c r="BF451" i="1"/>
  <c r="AZ451" i="1"/>
  <c r="AP451" i="1"/>
  <c r="BF450" i="1"/>
  <c r="AZ450" i="1"/>
  <c r="AP450" i="1"/>
  <c r="BF449" i="1"/>
  <c r="AZ449" i="1"/>
  <c r="AP449" i="1"/>
  <c r="BF448" i="1"/>
  <c r="AZ448" i="1"/>
  <c r="AP448" i="1"/>
  <c r="BF447" i="1"/>
  <c r="AZ447" i="1"/>
  <c r="AP447" i="1"/>
  <c r="BF446" i="1"/>
  <c r="AZ446" i="1"/>
  <c r="AP446" i="1"/>
  <c r="AZ443" i="1"/>
  <c r="BH443" i="1"/>
  <c r="BA442" i="1"/>
  <c r="AZ439" i="1"/>
  <c r="BH439" i="1"/>
  <c r="BA438" i="1"/>
  <c r="AZ435" i="1"/>
  <c r="BH435" i="1"/>
  <c r="BA434" i="1"/>
  <c r="AZ431" i="1"/>
  <c r="BH431" i="1"/>
  <c r="BA430" i="1"/>
  <c r="AZ427" i="1"/>
  <c r="BH427" i="1"/>
  <c r="BA426" i="1"/>
  <c r="AZ423" i="1"/>
  <c r="BH423" i="1"/>
  <c r="BA422" i="1"/>
  <c r="AZ419" i="1"/>
  <c r="BH419" i="1"/>
  <c r="BA418" i="1"/>
  <c r="AZ415" i="1"/>
  <c r="BH415" i="1"/>
  <c r="BA414" i="1"/>
  <c r="AZ411" i="1"/>
  <c r="BH411" i="1"/>
  <c r="BA410" i="1"/>
  <c r="AZ407" i="1"/>
  <c r="BH407" i="1"/>
  <c r="BA406" i="1"/>
  <c r="AZ403" i="1"/>
  <c r="BH403" i="1"/>
  <c r="BA402" i="1"/>
  <c r="AZ399" i="1"/>
  <c r="BH399" i="1"/>
  <c r="BA398" i="1"/>
  <c r="AZ395" i="1"/>
  <c r="BH395" i="1"/>
  <c r="BA394" i="1"/>
  <c r="AZ391" i="1"/>
  <c r="BH391" i="1"/>
  <c r="BA390" i="1"/>
  <c r="AZ387" i="1"/>
  <c r="BH387" i="1"/>
  <c r="BA386" i="1"/>
  <c r="AZ383" i="1"/>
  <c r="BH383" i="1"/>
  <c r="BA382" i="1"/>
  <c r="AZ379" i="1"/>
  <c r="BH379" i="1"/>
  <c r="BA378" i="1"/>
  <c r="AZ375" i="1"/>
  <c r="BH375" i="1"/>
  <c r="BA374" i="1"/>
  <c r="AZ371" i="1"/>
  <c r="BH371" i="1"/>
  <c r="BA370" i="1"/>
  <c r="AZ367" i="1"/>
  <c r="BH367" i="1"/>
  <c r="AZ442" i="1"/>
  <c r="BH442" i="1"/>
  <c r="AZ438" i="1"/>
  <c r="BH438" i="1"/>
  <c r="AZ434" i="1"/>
  <c r="BH434" i="1"/>
  <c r="AZ430" i="1"/>
  <c r="BH430" i="1"/>
  <c r="AZ426" i="1"/>
  <c r="BH426" i="1"/>
  <c r="AZ422" i="1"/>
  <c r="BH422" i="1"/>
  <c r="AZ418" i="1"/>
  <c r="BH418" i="1"/>
  <c r="AZ414" i="1"/>
  <c r="BH414" i="1"/>
  <c r="AZ410" i="1"/>
  <c r="BH410" i="1"/>
  <c r="AZ406" i="1"/>
  <c r="BH406" i="1"/>
  <c r="AZ402" i="1"/>
  <c r="BH402" i="1"/>
  <c r="AZ398" i="1"/>
  <c r="BH398" i="1"/>
  <c r="AZ394" i="1"/>
  <c r="BH394" i="1"/>
  <c r="AZ390" i="1"/>
  <c r="BH390" i="1"/>
  <c r="AZ386" i="1"/>
  <c r="BH386" i="1"/>
  <c r="AZ382" i="1"/>
  <c r="BH382" i="1"/>
  <c r="AZ378" i="1"/>
  <c r="BH378" i="1"/>
  <c r="AZ374" i="1"/>
  <c r="BH374" i="1"/>
  <c r="AZ370" i="1"/>
  <c r="BH370" i="1"/>
  <c r="AZ445" i="1"/>
  <c r="BH445" i="1"/>
  <c r="BF442" i="1"/>
  <c r="AZ441" i="1"/>
  <c r="BH441" i="1"/>
  <c r="BF438" i="1"/>
  <c r="AZ437" i="1"/>
  <c r="BH437" i="1"/>
  <c r="BF434" i="1"/>
  <c r="AZ433" i="1"/>
  <c r="BH433" i="1"/>
  <c r="BF430" i="1"/>
  <c r="AZ429" i="1"/>
  <c r="BH429" i="1"/>
  <c r="BF426" i="1"/>
  <c r="AZ425" i="1"/>
  <c r="BH425" i="1"/>
  <c r="BF422" i="1"/>
  <c r="AZ421" i="1"/>
  <c r="BH421" i="1"/>
  <c r="BF418" i="1"/>
  <c r="AZ417" i="1"/>
  <c r="BH417" i="1"/>
  <c r="BF414" i="1"/>
  <c r="AZ413" i="1"/>
  <c r="BH413" i="1"/>
  <c r="BF410" i="1"/>
  <c r="AZ409" i="1"/>
  <c r="BH409" i="1"/>
  <c r="BF406" i="1"/>
  <c r="AZ405" i="1"/>
  <c r="BH405" i="1"/>
  <c r="BF402" i="1"/>
  <c r="AZ401" i="1"/>
  <c r="BH401" i="1"/>
  <c r="BF398" i="1"/>
  <c r="AZ397" i="1"/>
  <c r="BH397" i="1"/>
  <c r="BF394" i="1"/>
  <c r="AZ393" i="1"/>
  <c r="BH393" i="1"/>
  <c r="BF390" i="1"/>
  <c r="AZ389" i="1"/>
  <c r="BH389" i="1"/>
  <c r="BF386" i="1"/>
  <c r="AZ385" i="1"/>
  <c r="BH385" i="1"/>
  <c r="BF382" i="1"/>
  <c r="AZ381" i="1"/>
  <c r="BH381" i="1"/>
  <c r="BF378" i="1"/>
  <c r="AZ377" i="1"/>
  <c r="BH377" i="1"/>
  <c r="BF374" i="1"/>
  <c r="AZ373" i="1"/>
  <c r="BH373" i="1"/>
  <c r="BF370" i="1"/>
  <c r="AZ369" i="1"/>
  <c r="BH369" i="1"/>
  <c r="BH366" i="1"/>
  <c r="BH365" i="1"/>
  <c r="BH364" i="1"/>
  <c r="BH363" i="1"/>
  <c r="BH362" i="1"/>
  <c r="BH361" i="1"/>
  <c r="BH360" i="1"/>
  <c r="BH359" i="1"/>
  <c r="BH358" i="1"/>
  <c r="BH357" i="1"/>
  <c r="BH356" i="1"/>
  <c r="BH355" i="1"/>
  <c r="BH354" i="1"/>
  <c r="BH353" i="1"/>
  <c r="BH352" i="1"/>
  <c r="BH351" i="1"/>
  <c r="AP350" i="1"/>
  <c r="BG350" i="1"/>
  <c r="BH348" i="1"/>
  <c r="BF347" i="1"/>
  <c r="AP346" i="1"/>
  <c r="BG346" i="1"/>
  <c r="BH344" i="1"/>
  <c r="BF343" i="1"/>
  <c r="AP342" i="1"/>
  <c r="BG342" i="1"/>
  <c r="BH340" i="1"/>
  <c r="BF339" i="1"/>
  <c r="BK327" i="1"/>
  <c r="BK325" i="1"/>
  <c r="BK323" i="1"/>
  <c r="BK321" i="1"/>
  <c r="BK319" i="1"/>
  <c r="BK317" i="1"/>
  <c r="BK315" i="1"/>
  <c r="BK313" i="1"/>
  <c r="BK311" i="1"/>
  <c r="BK309" i="1"/>
  <c r="BK307" i="1"/>
  <c r="BK305" i="1"/>
  <c r="BK303" i="1"/>
  <c r="AP347" i="1"/>
  <c r="BG347" i="1"/>
  <c r="AP343" i="1"/>
  <c r="BG343" i="1"/>
  <c r="AP339" i="1"/>
  <c r="BG339" i="1"/>
  <c r="BH338" i="1"/>
  <c r="AP338" i="1"/>
  <c r="AZ338" i="1"/>
  <c r="BF338" i="1"/>
  <c r="BH337" i="1"/>
  <c r="AP337" i="1"/>
  <c r="AZ337" i="1"/>
  <c r="BF337" i="1"/>
  <c r="BH336" i="1"/>
  <c r="AP336" i="1"/>
  <c r="AZ336" i="1"/>
  <c r="BF336" i="1"/>
  <c r="BH335" i="1"/>
  <c r="AP335" i="1"/>
  <c r="AZ335" i="1"/>
  <c r="BF335" i="1"/>
  <c r="BH334" i="1"/>
  <c r="AP334" i="1"/>
  <c r="AZ334" i="1"/>
  <c r="BF334" i="1"/>
  <c r="BH333" i="1"/>
  <c r="AP333" i="1"/>
  <c r="AZ333" i="1"/>
  <c r="BF333" i="1"/>
  <c r="BH332" i="1"/>
  <c r="AP332" i="1"/>
  <c r="AZ332" i="1"/>
  <c r="BF332" i="1"/>
  <c r="BH331" i="1"/>
  <c r="AP331" i="1"/>
  <c r="AZ331" i="1"/>
  <c r="BF331" i="1"/>
  <c r="BH330" i="1"/>
  <c r="AP330" i="1"/>
  <c r="AZ330" i="1"/>
  <c r="BF330" i="1"/>
  <c r="BH329" i="1"/>
  <c r="AP329" i="1"/>
  <c r="AZ329" i="1"/>
  <c r="BF329" i="1"/>
  <c r="BH327" i="1"/>
  <c r="AP327" i="1"/>
  <c r="AZ327" i="1"/>
  <c r="BF327" i="1"/>
  <c r="BH325" i="1"/>
  <c r="AP325" i="1"/>
  <c r="AZ325" i="1"/>
  <c r="BF325" i="1"/>
  <c r="BH323" i="1"/>
  <c r="AP323" i="1"/>
  <c r="AZ323" i="1"/>
  <c r="BF323" i="1"/>
  <c r="BH321" i="1"/>
  <c r="AP321" i="1"/>
  <c r="AZ321" i="1"/>
  <c r="BF321" i="1"/>
  <c r="BH319" i="1"/>
  <c r="AP319" i="1"/>
  <c r="AZ319" i="1"/>
  <c r="BF319" i="1"/>
  <c r="BH317" i="1"/>
  <c r="AP317" i="1"/>
  <c r="AZ317" i="1"/>
  <c r="BF317" i="1"/>
  <c r="BH315" i="1"/>
  <c r="AP315" i="1"/>
  <c r="AZ315" i="1"/>
  <c r="BF315" i="1"/>
  <c r="BH313" i="1"/>
  <c r="AP313" i="1"/>
  <c r="AZ313" i="1"/>
  <c r="BF313" i="1"/>
  <c r="BH311" i="1"/>
  <c r="AP311" i="1"/>
  <c r="AZ311" i="1"/>
  <c r="BF311" i="1"/>
  <c r="BH309" i="1"/>
  <c r="AP309" i="1"/>
  <c r="AZ309" i="1"/>
  <c r="BF309" i="1"/>
  <c r="BH307" i="1"/>
  <c r="AP307" i="1"/>
  <c r="AZ307" i="1"/>
  <c r="BF307" i="1"/>
  <c r="BH305" i="1"/>
  <c r="AP305" i="1"/>
  <c r="AZ305" i="1"/>
  <c r="BF305" i="1"/>
  <c r="BK302" i="1"/>
  <c r="BK301" i="1"/>
  <c r="BK300" i="1"/>
  <c r="BK299" i="1"/>
  <c r="BK298" i="1"/>
  <c r="BK297" i="1"/>
  <c r="BK296" i="1"/>
  <c r="BK295" i="1"/>
  <c r="BK294" i="1"/>
  <c r="BK293" i="1"/>
  <c r="BF351" i="1"/>
  <c r="BA351" i="1"/>
  <c r="AP348" i="1"/>
  <c r="BG348" i="1"/>
  <c r="AP344" i="1"/>
  <c r="BG344" i="1"/>
  <c r="AP340" i="1"/>
  <c r="BG340" i="1"/>
  <c r="BG338" i="1"/>
  <c r="BG337" i="1"/>
  <c r="BG336" i="1"/>
  <c r="BG335" i="1"/>
  <c r="BG334" i="1"/>
  <c r="BG333" i="1"/>
  <c r="BG332" i="1"/>
  <c r="BG331" i="1"/>
  <c r="BG330" i="1"/>
  <c r="BG329" i="1"/>
  <c r="BK328" i="1"/>
  <c r="BK326" i="1"/>
  <c r="BK324" i="1"/>
  <c r="BK322" i="1"/>
  <c r="BK320" i="1"/>
  <c r="BK318" i="1"/>
  <c r="BK316" i="1"/>
  <c r="BK314" i="1"/>
  <c r="BK312" i="1"/>
  <c r="BK310" i="1"/>
  <c r="BK308" i="1"/>
  <c r="BK306" i="1"/>
  <c r="BK304" i="1"/>
  <c r="AZ351" i="1"/>
  <c r="AP349" i="1"/>
  <c r="BG349" i="1"/>
  <c r="BH347" i="1"/>
  <c r="BA347" i="1"/>
  <c r="AP345" i="1"/>
  <c r="BG345" i="1"/>
  <c r="BH343" i="1"/>
  <c r="BA343" i="1"/>
  <c r="AP341" i="1"/>
  <c r="BG341" i="1"/>
  <c r="BH339" i="1"/>
  <c r="BA339" i="1"/>
  <c r="BH328" i="1"/>
  <c r="AP328" i="1"/>
  <c r="AZ328" i="1"/>
  <c r="BF328" i="1"/>
  <c r="BG327" i="1"/>
  <c r="BH326" i="1"/>
  <c r="AP326" i="1"/>
  <c r="AZ326" i="1"/>
  <c r="BF326" i="1"/>
  <c r="BG325" i="1"/>
  <c r="BH324" i="1"/>
  <c r="AP324" i="1"/>
  <c r="AZ324" i="1"/>
  <c r="BF324" i="1"/>
  <c r="BG323" i="1"/>
  <c r="BH322" i="1"/>
  <c r="AP322" i="1"/>
  <c r="AZ322" i="1"/>
  <c r="BF322" i="1"/>
  <c r="BG321" i="1"/>
  <c r="BH320" i="1"/>
  <c r="AP320" i="1"/>
  <c r="AZ320" i="1"/>
  <c r="BF320" i="1"/>
  <c r="BG319" i="1"/>
  <c r="BH318" i="1"/>
  <c r="AP318" i="1"/>
  <c r="AZ318" i="1"/>
  <c r="BF318" i="1"/>
  <c r="BG317" i="1"/>
  <c r="BH316" i="1"/>
  <c r="AP316" i="1"/>
  <c r="AZ316" i="1"/>
  <c r="BF316" i="1"/>
  <c r="BG315" i="1"/>
  <c r="BH314" i="1"/>
  <c r="AP314" i="1"/>
  <c r="AZ314" i="1"/>
  <c r="BF314" i="1"/>
  <c r="BG313" i="1"/>
  <c r="BH312" i="1"/>
  <c r="AP312" i="1"/>
  <c r="AZ312" i="1"/>
  <c r="BF312" i="1"/>
  <c r="BG311" i="1"/>
  <c r="BH310" i="1"/>
  <c r="AP310" i="1"/>
  <c r="AZ310" i="1"/>
  <c r="BF310" i="1"/>
  <c r="BG309" i="1"/>
  <c r="BH308" i="1"/>
  <c r="AP308" i="1"/>
  <c r="AZ308" i="1"/>
  <c r="BF308" i="1"/>
  <c r="BG307" i="1"/>
  <c r="BH306" i="1"/>
  <c r="AP306" i="1"/>
  <c r="AZ306" i="1"/>
  <c r="BF306" i="1"/>
  <c r="BG305" i="1"/>
  <c r="BH304" i="1"/>
  <c r="AP304" i="1"/>
  <c r="AZ304" i="1"/>
  <c r="BF304" i="1"/>
  <c r="BH289" i="1"/>
  <c r="AP289" i="1"/>
  <c r="AZ289" i="1"/>
  <c r="BF289" i="1"/>
  <c r="BH288" i="1"/>
  <c r="AP288" i="1"/>
  <c r="AZ288" i="1"/>
  <c r="BF288" i="1"/>
  <c r="BH287" i="1"/>
  <c r="AP287" i="1"/>
  <c r="AZ287" i="1"/>
  <c r="BF287" i="1"/>
  <c r="BH286" i="1"/>
  <c r="AP286" i="1"/>
  <c r="AZ286" i="1"/>
  <c r="BF286" i="1"/>
  <c r="BH285" i="1"/>
  <c r="AP285" i="1"/>
  <c r="AZ285" i="1"/>
  <c r="BF285" i="1"/>
  <c r="BH284" i="1"/>
  <c r="AP284" i="1"/>
  <c r="AZ284" i="1"/>
  <c r="BF284" i="1"/>
  <c r="BH283" i="1"/>
  <c r="AP283" i="1"/>
  <c r="AZ283" i="1"/>
  <c r="BF283" i="1"/>
  <c r="BH282" i="1"/>
  <c r="AP282" i="1"/>
  <c r="AZ282" i="1"/>
  <c r="BF282" i="1"/>
  <c r="BH280" i="1"/>
  <c r="AP280" i="1"/>
  <c r="AZ280" i="1"/>
  <c r="BF280" i="1"/>
  <c r="BA280" i="1"/>
  <c r="BG280" i="1"/>
  <c r="BH278" i="1"/>
  <c r="AP278" i="1"/>
  <c r="AZ278" i="1"/>
  <c r="BF278" i="1"/>
  <c r="BA278" i="1"/>
  <c r="BG278" i="1"/>
  <c r="BF303" i="1"/>
  <c r="AZ303" i="1"/>
  <c r="AP303" i="1"/>
  <c r="BF302" i="1"/>
  <c r="AZ302" i="1"/>
  <c r="AP302" i="1"/>
  <c r="BF301" i="1"/>
  <c r="AZ301" i="1"/>
  <c r="AP301" i="1"/>
  <c r="BF300" i="1"/>
  <c r="AZ300" i="1"/>
  <c r="AP300" i="1"/>
  <c r="BF299" i="1"/>
  <c r="AZ299" i="1"/>
  <c r="AP299" i="1"/>
  <c r="BF298" i="1"/>
  <c r="AZ298" i="1"/>
  <c r="AP298" i="1"/>
  <c r="BF297" i="1"/>
  <c r="AZ297" i="1"/>
  <c r="AP297" i="1"/>
  <c r="BF296" i="1"/>
  <c r="AZ296" i="1"/>
  <c r="AP296" i="1"/>
  <c r="BF295" i="1"/>
  <c r="AZ295" i="1"/>
  <c r="AP295" i="1"/>
  <c r="BF294" i="1"/>
  <c r="AZ294" i="1"/>
  <c r="AP294" i="1"/>
  <c r="BF293" i="1"/>
  <c r="AZ293" i="1"/>
  <c r="AP293" i="1"/>
  <c r="BF292" i="1"/>
  <c r="AZ292" i="1"/>
  <c r="AP292" i="1"/>
  <c r="BF291" i="1"/>
  <c r="AZ291" i="1"/>
  <c r="AP291" i="1"/>
  <c r="BF290" i="1"/>
  <c r="AZ290" i="1"/>
  <c r="AP290" i="1"/>
  <c r="BH281" i="1"/>
  <c r="AP281" i="1"/>
  <c r="AZ281" i="1"/>
  <c r="BF281" i="1"/>
  <c r="BA281" i="1"/>
  <c r="BG281" i="1"/>
  <c r="BH279" i="1"/>
  <c r="AP279" i="1"/>
  <c r="AZ279" i="1"/>
  <c r="BF279" i="1"/>
  <c r="BA279" i="1"/>
  <c r="BG279" i="1"/>
  <c r="BH277" i="1"/>
  <c r="AP277" i="1"/>
  <c r="AZ277" i="1"/>
  <c r="BF277" i="1"/>
  <c r="BA277" i="1"/>
  <c r="BG277" i="1"/>
  <c r="BH276" i="1"/>
  <c r="AP276" i="1"/>
  <c r="AZ276" i="1"/>
  <c r="BF276" i="1"/>
  <c r="BA276" i="1"/>
  <c r="BG276" i="1"/>
  <c r="BH275" i="1"/>
  <c r="AP275" i="1"/>
  <c r="AZ275" i="1"/>
  <c r="BF275" i="1"/>
  <c r="BA275" i="1"/>
  <c r="BG275" i="1"/>
  <c r="BH274" i="1"/>
  <c r="AP274" i="1"/>
  <c r="AZ274" i="1"/>
  <c r="BF274" i="1"/>
  <c r="BA274" i="1"/>
  <c r="BG274" i="1"/>
  <c r="BH273" i="1"/>
  <c r="AP273" i="1"/>
  <c r="AZ273" i="1"/>
  <c r="BF273" i="1"/>
  <c r="BA273" i="1"/>
  <c r="BG273" i="1"/>
  <c r="BH272" i="1"/>
  <c r="AP272" i="1"/>
  <c r="AZ272" i="1"/>
  <c r="BF272" i="1"/>
  <c r="BA272" i="1"/>
  <c r="BG272" i="1"/>
  <c r="BH271" i="1"/>
  <c r="AP271" i="1"/>
  <c r="AZ271" i="1"/>
  <c r="BF271" i="1"/>
  <c r="BA271" i="1"/>
  <c r="BG271" i="1"/>
  <c r="BH270" i="1"/>
  <c r="AP270" i="1"/>
  <c r="AZ270" i="1"/>
  <c r="BF270" i="1"/>
  <c r="BA270" i="1"/>
  <c r="BG270" i="1"/>
  <c r="BH269" i="1"/>
  <c r="AP269" i="1"/>
  <c r="AZ269" i="1"/>
  <c r="BF269" i="1"/>
  <c r="BA269" i="1"/>
  <c r="BG269" i="1"/>
  <c r="BH268" i="1"/>
  <c r="AP268" i="1"/>
  <c r="AZ268" i="1"/>
  <c r="BF268" i="1"/>
  <c r="BA268" i="1"/>
  <c r="BG268" i="1"/>
  <c r="BH267" i="1"/>
  <c r="AP267" i="1"/>
  <c r="AZ267" i="1"/>
  <c r="BF267" i="1"/>
  <c r="BA267" i="1"/>
  <c r="BG267" i="1"/>
  <c r="BH266" i="1"/>
  <c r="AP266" i="1"/>
  <c r="AZ266" i="1"/>
  <c r="BF266" i="1"/>
  <c r="BA266" i="1"/>
  <c r="BG266" i="1"/>
  <c r="BH265" i="1"/>
  <c r="AP265" i="1"/>
  <c r="AZ265" i="1"/>
  <c r="BF265" i="1"/>
  <c r="BA265" i="1"/>
  <c r="BG265" i="1"/>
  <c r="BH264" i="1"/>
  <c r="AP264" i="1"/>
  <c r="AZ264" i="1"/>
  <c r="BF264" i="1"/>
  <c r="BA264" i="1"/>
  <c r="BG264" i="1"/>
  <c r="BH263" i="1"/>
  <c r="AP263" i="1"/>
  <c r="AZ263" i="1"/>
  <c r="BF263" i="1"/>
  <c r="BA263" i="1"/>
  <c r="BG263" i="1"/>
  <c r="BH262" i="1"/>
  <c r="AP262" i="1"/>
  <c r="AZ262" i="1"/>
  <c r="BF262" i="1"/>
  <c r="BA262" i="1"/>
  <c r="BG262" i="1"/>
  <c r="BH261" i="1"/>
  <c r="AP261" i="1"/>
  <c r="AZ261" i="1"/>
  <c r="BF261" i="1"/>
  <c r="BA261" i="1"/>
  <c r="BG261" i="1"/>
  <c r="BH260" i="1"/>
  <c r="AP260" i="1"/>
  <c r="AZ260" i="1"/>
  <c r="BF260" i="1"/>
  <c r="BA260" i="1"/>
  <c r="BG260" i="1"/>
  <c r="BH259" i="1"/>
  <c r="AP259" i="1"/>
  <c r="AZ259" i="1"/>
  <c r="BF259" i="1"/>
  <c r="BA259" i="1"/>
  <c r="BG259" i="1"/>
  <c r="BH258" i="1"/>
  <c r="AP258" i="1"/>
  <c r="AZ258" i="1"/>
  <c r="BF258" i="1"/>
  <c r="BA258" i="1"/>
  <c r="BG258" i="1"/>
  <c r="BH257" i="1"/>
  <c r="AP257" i="1"/>
  <c r="AZ257" i="1"/>
  <c r="BF257" i="1"/>
  <c r="BA257" i="1"/>
  <c r="BG257" i="1"/>
  <c r="BH256" i="1"/>
  <c r="AP256" i="1"/>
  <c r="AZ256" i="1"/>
  <c r="BF256" i="1"/>
  <c r="BA256" i="1"/>
  <c r="BG256" i="1"/>
  <c r="BH255" i="1"/>
  <c r="AP255" i="1"/>
  <c r="AZ255" i="1"/>
  <c r="BF255" i="1"/>
  <c r="BA255" i="1"/>
  <c r="BG255" i="1"/>
  <c r="BH254" i="1"/>
  <c r="AP254" i="1"/>
  <c r="AZ254" i="1"/>
  <c r="BF254" i="1"/>
  <c r="BA254" i="1"/>
  <c r="BG254" i="1"/>
  <c r="BH253" i="1"/>
  <c r="AP253" i="1"/>
  <c r="AZ253" i="1"/>
  <c r="BF253" i="1"/>
  <c r="BA253" i="1"/>
  <c r="BG253" i="1"/>
  <c r="BH252" i="1"/>
  <c r="AP252" i="1"/>
  <c r="AZ252" i="1"/>
  <c r="BF252" i="1"/>
  <c r="BA252" i="1"/>
  <c r="BG252" i="1"/>
  <c r="BH251" i="1"/>
  <c r="AP251" i="1"/>
  <c r="AZ251" i="1"/>
  <c r="BF251" i="1"/>
  <c r="BA251" i="1"/>
  <c r="BG251" i="1"/>
  <c r="BH250" i="1"/>
  <c r="AP250" i="1"/>
  <c r="AZ250" i="1"/>
  <c r="BF250" i="1"/>
  <c r="BA250" i="1"/>
  <c r="BG250" i="1"/>
  <c r="BH249" i="1"/>
  <c r="AP249" i="1"/>
  <c r="AZ249" i="1"/>
  <c r="BF249" i="1"/>
  <c r="BA249" i="1"/>
  <c r="BG249" i="1"/>
  <c r="BH248" i="1"/>
  <c r="AP248" i="1"/>
  <c r="AZ248" i="1"/>
  <c r="BF248" i="1"/>
  <c r="BA248" i="1"/>
  <c r="BG248" i="1"/>
  <c r="BH247" i="1"/>
  <c r="AP247" i="1"/>
  <c r="AZ247" i="1"/>
  <c r="BF247" i="1"/>
  <c r="BA247" i="1"/>
  <c r="BG247" i="1"/>
  <c r="BH246" i="1"/>
  <c r="AP246" i="1"/>
  <c r="AZ246" i="1"/>
  <c r="BF246" i="1"/>
  <c r="BA246" i="1"/>
  <c r="BG246" i="1"/>
  <c r="BH245" i="1"/>
  <c r="AP245" i="1"/>
  <c r="AZ245" i="1"/>
  <c r="BF245" i="1"/>
  <c r="BA245" i="1"/>
  <c r="BG245" i="1"/>
  <c r="BH244" i="1"/>
  <c r="AP244" i="1"/>
  <c r="AZ244" i="1"/>
  <c r="BF244" i="1"/>
  <c r="BA244" i="1"/>
  <c r="BG244" i="1"/>
  <c r="BH243" i="1"/>
  <c r="AP243" i="1"/>
  <c r="AZ243" i="1"/>
  <c r="BF243" i="1"/>
  <c r="BA243" i="1"/>
  <c r="BG243" i="1"/>
  <c r="BH242" i="1"/>
  <c r="AP242" i="1"/>
  <c r="AZ242" i="1"/>
  <c r="BF242" i="1"/>
  <c r="BA242" i="1"/>
  <c r="BG242" i="1"/>
  <c r="BH241" i="1"/>
  <c r="AP241" i="1"/>
  <c r="AZ241" i="1"/>
  <c r="BF241" i="1"/>
  <c r="BA241" i="1"/>
  <c r="BG241" i="1"/>
  <c r="BH240" i="1"/>
  <c r="AP240" i="1"/>
  <c r="AZ240" i="1"/>
  <c r="BF240" i="1"/>
  <c r="BA240" i="1"/>
  <c r="BG240" i="1"/>
  <c r="BH239" i="1"/>
  <c r="AP239" i="1"/>
  <c r="AZ239" i="1"/>
  <c r="BF239" i="1"/>
  <c r="BA239" i="1"/>
  <c r="BG239" i="1"/>
  <c r="BH238" i="1"/>
  <c r="AP238" i="1"/>
  <c r="AZ238" i="1"/>
  <c r="BF238" i="1"/>
  <c r="BA238" i="1"/>
  <c r="BG238" i="1"/>
  <c r="BH237" i="1"/>
  <c r="AP237" i="1"/>
  <c r="AZ237" i="1"/>
  <c r="BF237" i="1"/>
  <c r="BA237" i="1"/>
  <c r="BG237" i="1"/>
  <c r="BH236" i="1"/>
  <c r="AP236" i="1"/>
  <c r="AZ236" i="1"/>
  <c r="BF236" i="1"/>
  <c r="BA236" i="1"/>
  <c r="BG236" i="1"/>
  <c r="BH235" i="1"/>
  <c r="AP235" i="1"/>
  <c r="AZ235" i="1"/>
  <c r="BF235" i="1"/>
  <c r="BA235" i="1"/>
  <c r="BG235" i="1"/>
  <c r="BH234" i="1"/>
  <c r="AP234" i="1"/>
  <c r="AZ234" i="1"/>
  <c r="BF234" i="1"/>
  <c r="BA234" i="1"/>
  <c r="BG234" i="1"/>
  <c r="BH233" i="1"/>
  <c r="AP233" i="1"/>
  <c r="AZ233" i="1"/>
  <c r="BF233" i="1"/>
  <c r="BA233" i="1"/>
  <c r="BG233" i="1"/>
  <c r="BH232" i="1"/>
  <c r="AP232" i="1"/>
  <c r="AZ232" i="1"/>
  <c r="BF232" i="1"/>
  <c r="BA232" i="1"/>
  <c r="BG232" i="1"/>
  <c r="BH231" i="1"/>
  <c r="AP231" i="1"/>
  <c r="AZ231" i="1"/>
  <c r="BF231" i="1"/>
  <c r="BA231" i="1"/>
  <c r="BG231" i="1"/>
  <c r="BH230" i="1"/>
  <c r="AP230" i="1"/>
  <c r="AZ230" i="1"/>
  <c r="BF230" i="1"/>
  <c r="BA230" i="1"/>
  <c r="BG230" i="1"/>
  <c r="BH229" i="1"/>
  <c r="AP229" i="1"/>
  <c r="AZ229" i="1"/>
  <c r="BF229" i="1"/>
  <c r="BA229" i="1"/>
  <c r="BG229" i="1"/>
  <c r="BH228" i="1"/>
  <c r="AP228" i="1"/>
  <c r="AZ228" i="1"/>
  <c r="BF228" i="1"/>
  <c r="BA228" i="1"/>
  <c r="BG228" i="1"/>
  <c r="BH227" i="1"/>
  <c r="AP227" i="1"/>
  <c r="AZ227" i="1"/>
  <c r="BF227" i="1"/>
  <c r="BA227" i="1"/>
  <c r="BG227" i="1"/>
  <c r="BG226" i="1"/>
  <c r="BA226" i="1"/>
  <c r="BG225" i="1"/>
  <c r="BA225" i="1"/>
  <c r="BG224" i="1"/>
  <c r="BA224" i="1"/>
  <c r="BG223" i="1"/>
  <c r="BA223" i="1"/>
  <c r="BG222" i="1"/>
  <c r="BA222" i="1"/>
  <c r="BG221" i="1"/>
  <c r="BA221" i="1"/>
  <c r="BG220" i="1"/>
  <c r="BA220" i="1"/>
  <c r="BG219" i="1"/>
  <c r="BA219" i="1"/>
  <c r="BG218" i="1"/>
  <c r="BA218" i="1"/>
  <c r="BG217" i="1"/>
  <c r="BA217" i="1"/>
  <c r="BG216" i="1"/>
  <c r="BA216" i="1"/>
  <c r="BG215" i="1"/>
  <c r="BA215" i="1"/>
  <c r="BG214" i="1"/>
  <c r="BA214" i="1"/>
  <c r="BG213" i="1"/>
  <c r="BA213" i="1"/>
  <c r="BG212" i="1"/>
  <c r="BA212" i="1"/>
  <c r="BG211" i="1"/>
  <c r="BA211" i="1"/>
  <c r="BG210" i="1"/>
  <c r="BA210" i="1"/>
  <c r="BG209" i="1"/>
  <c r="BA209" i="1"/>
  <c r="AP206" i="1"/>
  <c r="BG206" i="1"/>
  <c r="AZ206" i="1"/>
  <c r="BF206" i="1"/>
  <c r="AP204" i="1"/>
  <c r="BG204" i="1"/>
  <c r="AZ204" i="1"/>
  <c r="BF204" i="1"/>
  <c r="AN202" i="1"/>
  <c r="BK190" i="1"/>
  <c r="AP188" i="1"/>
  <c r="BG188" i="1"/>
  <c r="BA188" i="1"/>
  <c r="BH188" i="1"/>
  <c r="AZ188" i="1"/>
  <c r="BF188" i="1"/>
  <c r="AN186" i="1"/>
  <c r="BF226" i="1"/>
  <c r="AZ226" i="1"/>
  <c r="AP226" i="1"/>
  <c r="BF225" i="1"/>
  <c r="AZ225" i="1"/>
  <c r="AP225" i="1"/>
  <c r="BF224" i="1"/>
  <c r="AZ224" i="1"/>
  <c r="AP224" i="1"/>
  <c r="BF223" i="1"/>
  <c r="AZ223" i="1"/>
  <c r="AP223" i="1"/>
  <c r="BF222" i="1"/>
  <c r="AZ222" i="1"/>
  <c r="AP222" i="1"/>
  <c r="BF221" i="1"/>
  <c r="AZ221" i="1"/>
  <c r="AP221" i="1"/>
  <c r="BF220" i="1"/>
  <c r="AZ220" i="1"/>
  <c r="AP220" i="1"/>
  <c r="BF219" i="1"/>
  <c r="AZ219" i="1"/>
  <c r="AP219" i="1"/>
  <c r="BF218" i="1"/>
  <c r="AZ218" i="1"/>
  <c r="AP218" i="1"/>
  <c r="BF217" i="1"/>
  <c r="AZ217" i="1"/>
  <c r="AP217" i="1"/>
  <c r="BF216" i="1"/>
  <c r="AZ216" i="1"/>
  <c r="AP216" i="1"/>
  <c r="BF215" i="1"/>
  <c r="AZ215" i="1"/>
  <c r="AP215" i="1"/>
  <c r="BF214" i="1"/>
  <c r="AZ214" i="1"/>
  <c r="AP214" i="1"/>
  <c r="BF213" i="1"/>
  <c r="AZ213" i="1"/>
  <c r="AP213" i="1"/>
  <c r="BF212" i="1"/>
  <c r="AZ212" i="1"/>
  <c r="AP212" i="1"/>
  <c r="BF211" i="1"/>
  <c r="AZ211" i="1"/>
  <c r="AP211" i="1"/>
  <c r="BF210" i="1"/>
  <c r="AZ210" i="1"/>
  <c r="AP210" i="1"/>
  <c r="BF209" i="1"/>
  <c r="AZ209" i="1"/>
  <c r="AP209" i="1"/>
  <c r="AP208" i="1"/>
  <c r="BH208" i="1"/>
  <c r="AN206" i="1"/>
  <c r="BK194" i="1"/>
  <c r="AP192" i="1"/>
  <c r="BG192" i="1"/>
  <c r="BA192" i="1"/>
  <c r="BH192" i="1"/>
  <c r="AZ192" i="1"/>
  <c r="BF192" i="1"/>
  <c r="AN190" i="1"/>
  <c r="BK198" i="1"/>
  <c r="AP196" i="1"/>
  <c r="BG196" i="1"/>
  <c r="BA196" i="1"/>
  <c r="BH196" i="1"/>
  <c r="AZ196" i="1"/>
  <c r="BF196" i="1"/>
  <c r="AN194" i="1"/>
  <c r="BK182" i="1"/>
  <c r="AP180" i="1"/>
  <c r="BG180" i="1"/>
  <c r="BA180" i="1"/>
  <c r="BH180" i="1"/>
  <c r="AZ180" i="1"/>
  <c r="BF180" i="1"/>
  <c r="BK206" i="1"/>
  <c r="BK204" i="1"/>
  <c r="BK202" i="1"/>
  <c r="AP200" i="1"/>
  <c r="BG200" i="1"/>
  <c r="BA200" i="1"/>
  <c r="BH200" i="1"/>
  <c r="AZ200" i="1"/>
  <c r="BF200" i="1"/>
  <c r="AN198" i="1"/>
  <c r="BK186" i="1"/>
  <c r="AP184" i="1"/>
  <c r="BG184" i="1"/>
  <c r="BA184" i="1"/>
  <c r="BH184" i="1"/>
  <c r="AZ184" i="1"/>
  <c r="BF184" i="1"/>
  <c r="AN182" i="1"/>
  <c r="AP207" i="1"/>
  <c r="BG207" i="1"/>
  <c r="BH205" i="1"/>
  <c r="AP203" i="1"/>
  <c r="BG203" i="1"/>
  <c r="BH201" i="1"/>
  <c r="AP199" i="1"/>
  <c r="BG199" i="1"/>
  <c r="BH197" i="1"/>
  <c r="AP195" i="1"/>
  <c r="BG195" i="1"/>
  <c r="BH193" i="1"/>
  <c r="AP191" i="1"/>
  <c r="BG191" i="1"/>
  <c r="BH189" i="1"/>
  <c r="AP187" i="1"/>
  <c r="BG187" i="1"/>
  <c r="BH185" i="1"/>
  <c r="AP183" i="1"/>
  <c r="BG183" i="1"/>
  <c r="BH181" i="1"/>
  <c r="AP179" i="1"/>
  <c r="BG179" i="1"/>
  <c r="BH177" i="1"/>
  <c r="BF176" i="1"/>
  <c r="AP175" i="1"/>
  <c r="BG175" i="1"/>
  <c r="BH173" i="1"/>
  <c r="BF172" i="1"/>
  <c r="AP171" i="1"/>
  <c r="BG171" i="1"/>
  <c r="BH169" i="1"/>
  <c r="BF168" i="1"/>
  <c r="AP167" i="1"/>
  <c r="BG167" i="1"/>
  <c r="BH165" i="1"/>
  <c r="BF164" i="1"/>
  <c r="AP163" i="1"/>
  <c r="BG163" i="1"/>
  <c r="BH161" i="1"/>
  <c r="BF160" i="1"/>
  <c r="AN155" i="1"/>
  <c r="AP176" i="1"/>
  <c r="BG176" i="1"/>
  <c r="AP172" i="1"/>
  <c r="BG172" i="1"/>
  <c r="AP168" i="1"/>
  <c r="BG168" i="1"/>
  <c r="AP164" i="1"/>
  <c r="BG164" i="1"/>
  <c r="AP160" i="1"/>
  <c r="BG160" i="1"/>
  <c r="AP154" i="1"/>
  <c r="BG154" i="1"/>
  <c r="BA154" i="1"/>
  <c r="BH154" i="1"/>
  <c r="BK148" i="1"/>
  <c r="AP205" i="1"/>
  <c r="BG205" i="1"/>
  <c r="BF202" i="1"/>
  <c r="AP201" i="1"/>
  <c r="BG201" i="1"/>
  <c r="BF198" i="1"/>
  <c r="AP197" i="1"/>
  <c r="BG197" i="1"/>
  <c r="BF194" i="1"/>
  <c r="AP193" i="1"/>
  <c r="BG193" i="1"/>
  <c r="BF190" i="1"/>
  <c r="AP189" i="1"/>
  <c r="BG189" i="1"/>
  <c r="BF186" i="1"/>
  <c r="AP185" i="1"/>
  <c r="BG185" i="1"/>
  <c r="BF182" i="1"/>
  <c r="AP181" i="1"/>
  <c r="BG181" i="1"/>
  <c r="BF178" i="1"/>
  <c r="AP177" i="1"/>
  <c r="BG177" i="1"/>
  <c r="BF174" i="1"/>
  <c r="AP173" i="1"/>
  <c r="BG173" i="1"/>
  <c r="BF170" i="1"/>
  <c r="AP169" i="1"/>
  <c r="BG169" i="1"/>
  <c r="BF166" i="1"/>
  <c r="AP165" i="1"/>
  <c r="BG165" i="1"/>
  <c r="BF162" i="1"/>
  <c r="AP161" i="1"/>
  <c r="BG161" i="1"/>
  <c r="BK155" i="1"/>
  <c r="BF154" i="1"/>
  <c r="AP153" i="1"/>
  <c r="BG153" i="1"/>
  <c r="AZ153" i="1"/>
  <c r="BF153" i="1"/>
  <c r="BA153" i="1"/>
  <c r="BH153" i="1"/>
  <c r="AP150" i="1"/>
  <c r="BG150" i="1"/>
  <c r="AZ150" i="1"/>
  <c r="BF150" i="1"/>
  <c r="BA150" i="1"/>
  <c r="BH150" i="1"/>
  <c r="AN148" i="1"/>
  <c r="AP146" i="1"/>
  <c r="BG146" i="1"/>
  <c r="AZ146" i="1"/>
  <c r="BF146" i="1"/>
  <c r="BA146" i="1"/>
  <c r="BH146" i="1"/>
  <c r="AP202" i="1"/>
  <c r="BG202" i="1"/>
  <c r="AP198" i="1"/>
  <c r="BG198" i="1"/>
  <c r="AP194" i="1"/>
  <c r="BG194" i="1"/>
  <c r="AP190" i="1"/>
  <c r="BG190" i="1"/>
  <c r="AP186" i="1"/>
  <c r="BG186" i="1"/>
  <c r="AP182" i="1"/>
  <c r="BG182" i="1"/>
  <c r="AP178" i="1"/>
  <c r="BG178" i="1"/>
  <c r="BH176" i="1"/>
  <c r="BA176" i="1"/>
  <c r="AP174" i="1"/>
  <c r="BG174" i="1"/>
  <c r="BH172" i="1"/>
  <c r="BA172" i="1"/>
  <c r="AP170" i="1"/>
  <c r="BG170" i="1"/>
  <c r="BH168" i="1"/>
  <c r="BA168" i="1"/>
  <c r="AP166" i="1"/>
  <c r="BG166" i="1"/>
  <c r="BH164" i="1"/>
  <c r="BA164" i="1"/>
  <c r="AP162" i="1"/>
  <c r="BG162" i="1"/>
  <c r="BH160" i="1"/>
  <c r="BA160" i="1"/>
  <c r="BG159" i="1"/>
  <c r="BG158" i="1"/>
  <c r="BG157" i="1"/>
  <c r="BF156" i="1"/>
  <c r="AP155" i="1"/>
  <c r="BG155" i="1"/>
  <c r="BF152" i="1"/>
  <c r="AP151" i="1"/>
  <c r="BG151" i="1"/>
  <c r="BH149" i="1"/>
  <c r="BA149" i="1"/>
  <c r="BF148" i="1"/>
  <c r="AP147" i="1"/>
  <c r="BG147" i="1"/>
  <c r="BH145" i="1"/>
  <c r="BA145" i="1"/>
  <c r="BF144" i="1"/>
  <c r="AP143" i="1"/>
  <c r="BG143" i="1"/>
  <c r="BH141" i="1"/>
  <c r="BA141" i="1"/>
  <c r="BF140" i="1"/>
  <c r="AP139" i="1"/>
  <c r="BG139" i="1"/>
  <c r="BH137" i="1"/>
  <c r="BA137" i="1"/>
  <c r="BF136" i="1"/>
  <c r="BK130" i="1"/>
  <c r="AP130" i="1"/>
  <c r="BG130" i="1"/>
  <c r="BH130" i="1"/>
  <c r="AZ130" i="1"/>
  <c r="BK120" i="1"/>
  <c r="AP120" i="1"/>
  <c r="BG120" i="1"/>
  <c r="BH120" i="1"/>
  <c r="AZ120" i="1"/>
  <c r="BK114" i="1"/>
  <c r="AP114" i="1"/>
  <c r="BG114" i="1"/>
  <c r="BH114" i="1"/>
  <c r="AZ114" i="1"/>
  <c r="AP156" i="1"/>
  <c r="BG156" i="1"/>
  <c r="AP152" i="1"/>
  <c r="BG152" i="1"/>
  <c r="BF149" i="1"/>
  <c r="AP148" i="1"/>
  <c r="BG148" i="1"/>
  <c r="BF145" i="1"/>
  <c r="AP144" i="1"/>
  <c r="BG144" i="1"/>
  <c r="BH142" i="1"/>
  <c r="BA142" i="1"/>
  <c r="BF141" i="1"/>
  <c r="AP140" i="1"/>
  <c r="BG140" i="1"/>
  <c r="BH138" i="1"/>
  <c r="BA138" i="1"/>
  <c r="BF137" i="1"/>
  <c r="AP136" i="1"/>
  <c r="BG136" i="1"/>
  <c r="BH135" i="1"/>
  <c r="AP135" i="1"/>
  <c r="AZ135" i="1"/>
  <c r="BF135" i="1"/>
  <c r="BH134" i="1"/>
  <c r="AP134" i="1"/>
  <c r="AZ134" i="1"/>
  <c r="BF134" i="1"/>
  <c r="BH133" i="1"/>
  <c r="AP133" i="1"/>
  <c r="AZ133" i="1"/>
  <c r="BF133" i="1"/>
  <c r="BH132" i="1"/>
  <c r="AP132" i="1"/>
  <c r="AZ132" i="1"/>
  <c r="BF132" i="1"/>
  <c r="BA130" i="1"/>
  <c r="BK126" i="1"/>
  <c r="AP126" i="1"/>
  <c r="BG126" i="1"/>
  <c r="BH126" i="1"/>
  <c r="AZ126" i="1"/>
  <c r="BA120" i="1"/>
  <c r="BK116" i="1"/>
  <c r="AP116" i="1"/>
  <c r="BG116" i="1"/>
  <c r="BH116" i="1"/>
  <c r="AZ116" i="1"/>
  <c r="BA114" i="1"/>
  <c r="AP149" i="1"/>
  <c r="BG149" i="1"/>
  <c r="AP145" i="1"/>
  <c r="BG145" i="1"/>
  <c r="BF142" i="1"/>
  <c r="AP141" i="1"/>
  <c r="BG141" i="1"/>
  <c r="BF138" i="1"/>
  <c r="AP137" i="1"/>
  <c r="BG137" i="1"/>
  <c r="BK128" i="1"/>
  <c r="AP128" i="1"/>
  <c r="BG128" i="1"/>
  <c r="BH128" i="1"/>
  <c r="AZ128" i="1"/>
  <c r="BA126" i="1"/>
  <c r="BK122" i="1"/>
  <c r="AP122" i="1"/>
  <c r="BG122" i="1"/>
  <c r="BH122" i="1"/>
  <c r="AZ122" i="1"/>
  <c r="BA116" i="1"/>
  <c r="BK112" i="1"/>
  <c r="AP112" i="1"/>
  <c r="BG112" i="1"/>
  <c r="BH112" i="1"/>
  <c r="AZ112" i="1"/>
  <c r="AP142" i="1"/>
  <c r="BG142" i="1"/>
  <c r="AP138" i="1"/>
  <c r="BG138" i="1"/>
  <c r="BK124" i="1"/>
  <c r="AP124" i="1"/>
  <c r="BG124" i="1"/>
  <c r="BH124" i="1"/>
  <c r="AZ124" i="1"/>
  <c r="BK118" i="1"/>
  <c r="AP118" i="1"/>
  <c r="BG118" i="1"/>
  <c r="BH118" i="1"/>
  <c r="AZ118" i="1"/>
  <c r="AP129" i="1"/>
  <c r="BG129" i="1"/>
  <c r="BH129" i="1"/>
  <c r="AP125" i="1"/>
  <c r="BG125" i="1"/>
  <c r="BH125" i="1"/>
  <c r="AP121" i="1"/>
  <c r="BG121" i="1"/>
  <c r="BH121" i="1"/>
  <c r="AP117" i="1"/>
  <c r="BG117" i="1"/>
  <c r="BH117" i="1"/>
  <c r="AP113" i="1"/>
  <c r="BG113" i="1"/>
  <c r="BH113" i="1"/>
  <c r="BA111" i="1"/>
  <c r="BG111" i="1"/>
  <c r="BH111" i="1"/>
  <c r="BH110" i="1"/>
  <c r="BA110" i="1"/>
  <c r="BG110" i="1"/>
  <c r="BH109" i="1"/>
  <c r="BA109" i="1"/>
  <c r="BG109" i="1"/>
  <c r="BH108" i="1"/>
  <c r="BA108" i="1"/>
  <c r="BG108" i="1"/>
  <c r="BH107" i="1"/>
  <c r="BA107" i="1"/>
  <c r="BG107" i="1"/>
  <c r="BH106" i="1"/>
  <c r="BA106" i="1"/>
  <c r="BG106" i="1"/>
  <c r="BH105" i="1"/>
  <c r="BA105" i="1"/>
  <c r="BG105" i="1"/>
  <c r="BH104" i="1"/>
  <c r="BA104" i="1"/>
  <c r="BG104" i="1"/>
  <c r="BH103" i="1"/>
  <c r="BA103" i="1"/>
  <c r="BG103" i="1"/>
  <c r="BH102" i="1"/>
  <c r="BA102" i="1"/>
  <c r="BG102" i="1"/>
  <c r="BH101" i="1"/>
  <c r="BA101" i="1"/>
  <c r="BG101" i="1"/>
  <c r="BH100" i="1"/>
  <c r="BA100" i="1"/>
  <c r="BG100" i="1"/>
  <c r="BH99" i="1"/>
  <c r="BA99" i="1"/>
  <c r="BG99" i="1"/>
  <c r="BH98" i="1"/>
  <c r="BA98" i="1"/>
  <c r="BG98" i="1"/>
  <c r="BH97" i="1"/>
  <c r="BA97" i="1"/>
  <c r="BG97" i="1"/>
  <c r="BH96" i="1"/>
  <c r="BA96" i="1"/>
  <c r="BG96" i="1"/>
  <c r="BH95" i="1"/>
  <c r="BA95" i="1"/>
  <c r="BG95" i="1"/>
  <c r="AZ93" i="1"/>
  <c r="BF93" i="1"/>
  <c r="AP131" i="1"/>
  <c r="BH131" i="1"/>
  <c r="BF129" i="1"/>
  <c r="AP127" i="1"/>
  <c r="BG127" i="1"/>
  <c r="BH127" i="1"/>
  <c r="BF125" i="1"/>
  <c r="AP123" i="1"/>
  <c r="BG123" i="1"/>
  <c r="BH123" i="1"/>
  <c r="BF121" i="1"/>
  <c r="AP119" i="1"/>
  <c r="BG119" i="1"/>
  <c r="BH119" i="1"/>
  <c r="BF117" i="1"/>
  <c r="AP115" i="1"/>
  <c r="BG115" i="1"/>
  <c r="BH115" i="1"/>
  <c r="BF113" i="1"/>
  <c r="AZ94" i="1"/>
  <c r="BF94" i="1"/>
  <c r="AZ92" i="1"/>
  <c r="BF92" i="1"/>
  <c r="AZ91" i="1"/>
  <c r="BF91" i="1"/>
  <c r="AZ90" i="1"/>
  <c r="BF90" i="1"/>
  <c r="AZ89" i="1"/>
  <c r="BF89" i="1"/>
  <c r="AZ88" i="1"/>
  <c r="BF88" i="1"/>
  <c r="AZ87" i="1"/>
  <c r="BF87" i="1"/>
  <c r="AZ86" i="1"/>
  <c r="BF86" i="1"/>
  <c r="AZ85" i="1"/>
  <c r="BF85" i="1"/>
  <c r="AZ84" i="1"/>
  <c r="BF84" i="1"/>
  <c r="AZ83" i="1"/>
  <c r="BF83" i="1"/>
  <c r="AZ82" i="1"/>
  <c r="BF82" i="1"/>
  <c r="AZ81" i="1"/>
  <c r="BF81" i="1"/>
  <c r="AZ80" i="1"/>
  <c r="BF80" i="1"/>
  <c r="AZ79" i="1"/>
  <c r="BF79" i="1"/>
  <c r="AZ78" i="1"/>
  <c r="BF78" i="1"/>
  <c r="AN77" i="1"/>
  <c r="AN95" i="1"/>
  <c r="AN94" i="1"/>
  <c r="AN93" i="1"/>
  <c r="AN9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AN78" i="1"/>
  <c r="BK71" i="1"/>
  <c r="BK94" i="1"/>
  <c r="BK93" i="1"/>
  <c r="BK92" i="1"/>
  <c r="BK91" i="1"/>
  <c r="BK90" i="1"/>
  <c r="BK89" i="1"/>
  <c r="BK88" i="1"/>
  <c r="BK87" i="1"/>
  <c r="BK86" i="1"/>
  <c r="BK85" i="1"/>
  <c r="BK84" i="1"/>
  <c r="BK83" i="1"/>
  <c r="BK82" i="1"/>
  <c r="BK81" i="1"/>
  <c r="BK80" i="1"/>
  <c r="BK79" i="1"/>
  <c r="BK78" i="1"/>
  <c r="AP73" i="1"/>
  <c r="AZ73" i="1"/>
  <c r="BF73" i="1"/>
  <c r="BA73" i="1"/>
  <c r="BG73" i="1"/>
  <c r="BH73" i="1"/>
  <c r="AN76" i="1"/>
  <c r="AN72" i="1"/>
  <c r="BK72" i="1"/>
  <c r="AP70" i="1"/>
  <c r="BG70" i="1"/>
  <c r="AZ70" i="1"/>
  <c r="BF69" i="1"/>
  <c r="AN69" i="1"/>
  <c r="BK68" i="1"/>
  <c r="AP66" i="1"/>
  <c r="BG66" i="1"/>
  <c r="AZ66" i="1"/>
  <c r="BF65" i="1"/>
  <c r="AN65" i="1"/>
  <c r="BK64" i="1"/>
  <c r="BK62" i="1"/>
  <c r="BK60" i="1"/>
  <c r="AP71" i="1"/>
  <c r="BG71" i="1"/>
  <c r="AZ71" i="1"/>
  <c r="AN70" i="1"/>
  <c r="BK69" i="1"/>
  <c r="AP67" i="1"/>
  <c r="BG67" i="1"/>
  <c r="AZ67" i="1"/>
  <c r="AN66" i="1"/>
  <c r="BK65" i="1"/>
  <c r="BG64" i="1"/>
  <c r="AP64" i="1"/>
  <c r="AZ64" i="1"/>
  <c r="BH62" i="1"/>
  <c r="AP62" i="1"/>
  <c r="AZ62" i="1"/>
  <c r="BF62" i="1"/>
  <c r="BH60" i="1"/>
  <c r="AP60" i="1"/>
  <c r="AZ60" i="1"/>
  <c r="BF60" i="1"/>
  <c r="BK77" i="1"/>
  <c r="BF77" i="1"/>
  <c r="BK76" i="1"/>
  <c r="BF76" i="1"/>
  <c r="BK75" i="1"/>
  <c r="BF75" i="1"/>
  <c r="AP72" i="1"/>
  <c r="BG72" i="1"/>
  <c r="AZ72" i="1"/>
  <c r="BF71" i="1"/>
  <c r="AN71" i="1"/>
  <c r="BK70" i="1"/>
  <c r="AP68" i="1"/>
  <c r="BG68" i="1"/>
  <c r="AZ68" i="1"/>
  <c r="BF67" i="1"/>
  <c r="AN67" i="1"/>
  <c r="BK66" i="1"/>
  <c r="BH64" i="1"/>
  <c r="BK63" i="1"/>
  <c r="BK61" i="1"/>
  <c r="BK59" i="1"/>
  <c r="AP69" i="1"/>
  <c r="BG69" i="1"/>
  <c r="AZ69" i="1"/>
  <c r="AN68" i="1"/>
  <c r="BK67" i="1"/>
  <c r="AP65" i="1"/>
  <c r="BG65" i="1"/>
  <c r="AZ65" i="1"/>
  <c r="BH63" i="1"/>
  <c r="AP63" i="1"/>
  <c r="AZ63" i="1"/>
  <c r="BF63" i="1"/>
  <c r="BH61" i="1"/>
  <c r="AP61" i="1"/>
  <c r="AZ61" i="1"/>
  <c r="BF61" i="1"/>
  <c r="BK58" i="1"/>
  <c r="BK57" i="1"/>
  <c r="BF59" i="1"/>
  <c r="AZ59" i="1"/>
  <c r="AP59" i="1"/>
  <c r="BF58" i="1"/>
  <c r="AZ58" i="1"/>
  <c r="AP58" i="1"/>
  <c r="BF57" i="1"/>
  <c r="AZ57" i="1"/>
  <c r="AP57" i="1"/>
  <c r="BK56" i="1"/>
  <c r="BF56" i="1"/>
  <c r="AZ56" i="1"/>
  <c r="AP56" i="1"/>
  <c r="BK55" i="1"/>
  <c r="BF55" i="1"/>
  <c r="AZ55" i="1"/>
  <c r="AP55" i="1"/>
  <c r="BF54" i="1"/>
  <c r="AZ54" i="1"/>
  <c r="AP54" i="1"/>
  <c r="BF53" i="1"/>
  <c r="AZ53" i="1"/>
  <c r="AP53" i="1"/>
  <c r="BK50" i="1"/>
  <c r="AP52" i="1"/>
  <c r="BG52" i="1"/>
  <c r="AZ52" i="1"/>
  <c r="BF52" i="1"/>
  <c r="AN49" i="1"/>
  <c r="AN48" i="1"/>
  <c r="AN44" i="1"/>
  <c r="AN36" i="1"/>
  <c r="AP48" i="1"/>
  <c r="BG48" i="1"/>
  <c r="AP47" i="1"/>
  <c r="BG47" i="1"/>
  <c r="BA47" i="1"/>
  <c r="BH47" i="1"/>
  <c r="AP46" i="1"/>
  <c r="BG46" i="1"/>
  <c r="AZ46" i="1"/>
  <c r="BF46" i="1"/>
  <c r="BK44" i="1"/>
  <c r="AP40" i="1"/>
  <c r="BG40" i="1"/>
  <c r="AP39" i="1"/>
  <c r="BG39" i="1"/>
  <c r="BA39" i="1"/>
  <c r="BH39" i="1"/>
  <c r="AP38" i="1"/>
  <c r="BG38" i="1"/>
  <c r="AZ38" i="1"/>
  <c r="BF38" i="1"/>
  <c r="BK36" i="1"/>
  <c r="AP32" i="1"/>
  <c r="BG32" i="1"/>
  <c r="AP31" i="1"/>
  <c r="BG31" i="1"/>
  <c r="BA31" i="1"/>
  <c r="BH31" i="1"/>
  <c r="AP30" i="1"/>
  <c r="BG30" i="1"/>
  <c r="AZ30" i="1"/>
  <c r="BF30" i="1"/>
  <c r="AN40" i="1"/>
  <c r="AN32" i="1"/>
  <c r="AP51" i="1"/>
  <c r="BG51" i="1"/>
  <c r="AP50" i="1"/>
  <c r="BG50" i="1"/>
  <c r="AZ50" i="1"/>
  <c r="BF50" i="1"/>
  <c r="BA48" i="1"/>
  <c r="BK48" i="1"/>
  <c r="AN45" i="1"/>
  <c r="AP44" i="1"/>
  <c r="BG44" i="1"/>
  <c r="AP43" i="1"/>
  <c r="BG43" i="1"/>
  <c r="BA43" i="1"/>
  <c r="BH43" i="1"/>
  <c r="AP42" i="1"/>
  <c r="BG42" i="1"/>
  <c r="AZ42" i="1"/>
  <c r="BF42" i="1"/>
  <c r="BA40" i="1"/>
  <c r="BK40" i="1"/>
  <c r="AN37" i="1"/>
  <c r="AP36" i="1"/>
  <c r="BG36" i="1"/>
  <c r="AP35" i="1"/>
  <c r="BG35" i="1"/>
  <c r="BA35" i="1"/>
  <c r="BH35" i="1"/>
  <c r="AP34" i="1"/>
  <c r="BG34" i="1"/>
  <c r="AZ34" i="1"/>
  <c r="BF34" i="1"/>
  <c r="BA32" i="1"/>
  <c r="BK32" i="1"/>
  <c r="AN27" i="1"/>
  <c r="AP19" i="1"/>
  <c r="BG19" i="1"/>
  <c r="AZ19" i="1"/>
  <c r="BF19" i="1"/>
  <c r="AP17" i="1"/>
  <c r="BG17" i="1"/>
  <c r="AZ17" i="1"/>
  <c r="BF17" i="1"/>
  <c r="AP49" i="1"/>
  <c r="BG49" i="1"/>
  <c r="AP45" i="1"/>
  <c r="BG45" i="1"/>
  <c r="AP41" i="1"/>
  <c r="BG41" i="1"/>
  <c r="AP37" i="1"/>
  <c r="BG37" i="1"/>
  <c r="AP33" i="1"/>
  <c r="BG33" i="1"/>
  <c r="AP29" i="1"/>
  <c r="BG29" i="1"/>
  <c r="BK27" i="1"/>
  <c r="AP23" i="1"/>
  <c r="BG23" i="1"/>
  <c r="AP22" i="1"/>
  <c r="BG22" i="1"/>
  <c r="BA22" i="1"/>
  <c r="BH22" i="1"/>
  <c r="AP21" i="1"/>
  <c r="BG21" i="1"/>
  <c r="AZ21" i="1"/>
  <c r="BF21" i="1"/>
  <c r="AN19" i="1"/>
  <c r="AN17" i="1"/>
  <c r="AN23" i="1"/>
  <c r="AN28" i="1"/>
  <c r="AP27" i="1"/>
  <c r="BG27" i="1"/>
  <c r="AP26" i="1"/>
  <c r="BG26" i="1"/>
  <c r="BA26" i="1"/>
  <c r="BH26" i="1"/>
  <c r="AP25" i="1"/>
  <c r="BG25" i="1"/>
  <c r="AZ25" i="1"/>
  <c r="BF25" i="1"/>
  <c r="BK23" i="1"/>
  <c r="BK19" i="1"/>
  <c r="BK17" i="1"/>
  <c r="AP28" i="1"/>
  <c r="BG28" i="1"/>
  <c r="AP24" i="1"/>
  <c r="BG24" i="1"/>
  <c r="AP20" i="1"/>
  <c r="BG20" i="1"/>
  <c r="BH18" i="1"/>
  <c r="AP16" i="1"/>
  <c r="BG16" i="1"/>
  <c r="BH14" i="1"/>
  <c r="BF13" i="1"/>
  <c r="AP13" i="1"/>
  <c r="BG13" i="1"/>
  <c r="AP18" i="1"/>
  <c r="BG18" i="1"/>
  <c r="BF15" i="1"/>
  <c r="AP14" i="1"/>
  <c r="BG14" i="1"/>
  <c r="AP15" i="1"/>
  <c r="BG15" i="1"/>
  <c r="BG12" i="1"/>
  <c r="AG1039" i="1"/>
  <c r="AF1039" i="1"/>
  <c r="AF1035" i="1"/>
  <c r="AF1031" i="1"/>
  <c r="AK1028" i="1"/>
  <c r="AF1027" i="1"/>
  <c r="AF1023" i="1"/>
  <c r="AF1019" i="1"/>
  <c r="AF1015" i="1"/>
  <c r="AF1011" i="1"/>
  <c r="AF1007" i="1"/>
  <c r="AF1003" i="1"/>
  <c r="AF999" i="1"/>
  <c r="AF995" i="1"/>
  <c r="AF991" i="1"/>
  <c r="AF987" i="1"/>
  <c r="AF983" i="1"/>
  <c r="AF979" i="1"/>
  <c r="AF975" i="1"/>
  <c r="AF971" i="1"/>
  <c r="AF967" i="1"/>
  <c r="AK964" i="1"/>
  <c r="AF963" i="1"/>
  <c r="AF959" i="1"/>
  <c r="AF955" i="1"/>
  <c r="AH941" i="1"/>
  <c r="AF941" i="1"/>
  <c r="AJ1028" i="1"/>
  <c r="AK1009" i="1"/>
  <c r="AK997" i="1"/>
  <c r="AK989" i="1"/>
  <c r="AK965" i="1"/>
  <c r="AJ964" i="1"/>
  <c r="AJ952" i="1"/>
  <c r="AG949" i="1"/>
  <c r="AG941" i="1"/>
  <c r="AH945" i="1"/>
  <c r="AF945" i="1"/>
  <c r="AH937" i="1"/>
  <c r="AF937" i="1"/>
  <c r="AH943" i="1"/>
  <c r="AH939" i="1"/>
  <c r="AH935" i="1"/>
  <c r="AF933" i="1"/>
  <c r="AF929" i="1"/>
  <c r="AH927" i="1"/>
  <c r="AF925" i="1"/>
  <c r="AI924" i="1"/>
  <c r="AH923" i="1"/>
  <c r="AK922" i="1"/>
  <c r="AF921" i="1"/>
  <c r="AF917" i="1"/>
  <c r="AH911" i="1"/>
  <c r="AF909" i="1"/>
  <c r="AF905" i="1"/>
  <c r="AH903" i="1"/>
  <c r="AF901" i="1"/>
  <c r="AI900" i="1"/>
  <c r="AH899" i="1"/>
  <c r="AF897" i="1"/>
  <c r="AI896" i="1"/>
  <c r="AF893" i="1"/>
  <c r="AF889" i="1"/>
  <c r="AK886" i="1"/>
  <c r="AF885" i="1"/>
  <c r="AK882" i="1"/>
  <c r="AF877" i="1"/>
  <c r="AF871" i="1"/>
  <c r="AF867" i="1"/>
  <c r="AF863" i="1"/>
  <c r="AF859" i="1"/>
  <c r="AF855" i="1"/>
  <c r="AF851" i="1"/>
  <c r="AI830" i="1"/>
  <c r="AI815" i="1"/>
  <c r="AI779" i="1"/>
  <c r="AI731" i="1"/>
  <c r="AH726" i="1"/>
  <c r="AI715" i="1"/>
  <c r="AJ922" i="1"/>
  <c r="AJ886" i="1"/>
  <c r="AJ882" i="1"/>
  <c r="AJ878" i="1"/>
  <c r="AK795" i="1"/>
  <c r="AK735" i="1"/>
  <c r="AF653" i="1"/>
  <c r="AJ509" i="1"/>
  <c r="AH480" i="1"/>
  <c r="AJ384" i="1"/>
  <c r="AK381" i="1"/>
  <c r="AJ380" i="1"/>
  <c r="AH322" i="1"/>
  <c r="AH367" i="1"/>
  <c r="AJ269" i="1"/>
  <c r="AJ253" i="1"/>
  <c r="AF294" i="1"/>
  <c r="AH284" i="1"/>
  <c r="AK271" i="1"/>
  <c r="AI237" i="1"/>
  <c r="AF230" i="1"/>
  <c r="AF194" i="1"/>
  <c r="AF182" i="1"/>
  <c r="AK173" i="1"/>
  <c r="AF79" i="1"/>
  <c r="AF43" i="1"/>
  <c r="AS122" i="28" l="1"/>
  <c r="AS146" i="28"/>
  <c r="AS382" i="28"/>
  <c r="AS337" i="28"/>
  <c r="AS262" i="28"/>
  <c r="AS153" i="28"/>
  <c r="AS136" i="28"/>
  <c r="AS377" i="28"/>
  <c r="AS240" i="28"/>
  <c r="AS372" i="28"/>
  <c r="AS52" i="28"/>
  <c r="AS48" i="28"/>
  <c r="AS290" i="28"/>
  <c r="AS278" i="28"/>
  <c r="AS283" i="28"/>
  <c r="AS344" i="28"/>
  <c r="AS193" i="28"/>
  <c r="AS360" i="28"/>
  <c r="AS312" i="28"/>
  <c r="AS140" i="28"/>
  <c r="AS174" i="28"/>
  <c r="AS23" i="28"/>
  <c r="AS287" i="28"/>
  <c r="AS326" i="28"/>
  <c r="AS426" i="28"/>
  <c r="AS347" i="28"/>
  <c r="AS60" i="28"/>
  <c r="AS109" i="28"/>
  <c r="AS395" i="28"/>
  <c r="AS413" i="28"/>
  <c r="AS346" i="28"/>
  <c r="AS308" i="28"/>
  <c r="AS247" i="28"/>
  <c r="AS123" i="28"/>
  <c r="AS401" i="28"/>
  <c r="AS210" i="28"/>
  <c r="AS236" i="28"/>
  <c r="AS111" i="28"/>
  <c r="AS22" i="28"/>
  <c r="AS19" i="28"/>
  <c r="AS192" i="28"/>
  <c r="AS227" i="28"/>
  <c r="AS385" i="28"/>
  <c r="AS224" i="28"/>
  <c r="AS87" i="28"/>
  <c r="AS110" i="28"/>
  <c r="AS189" i="28"/>
  <c r="AS68" i="28"/>
  <c r="AS13" i="28"/>
  <c r="AS117" i="28"/>
  <c r="AS17" i="28"/>
  <c r="AS106" i="28"/>
  <c r="AS350" i="28"/>
  <c r="AS368" i="28"/>
  <c r="AS414" i="28"/>
  <c r="AS58" i="28"/>
  <c r="AS84" i="28"/>
  <c r="AS294" i="28"/>
  <c r="AS29" i="28"/>
  <c r="AS237" i="28"/>
  <c r="AS86" i="28"/>
  <c r="AS125" i="28"/>
  <c r="AS238" i="28"/>
  <c r="AS200" i="28"/>
  <c r="AS282" i="28"/>
  <c r="AS352" i="28"/>
  <c r="AS41" i="28"/>
  <c r="AS158" i="28"/>
  <c r="AS300" i="28"/>
  <c r="AS318" i="28"/>
  <c r="AS215" i="28"/>
  <c r="AS36" i="28"/>
  <c r="AS341" i="28"/>
  <c r="AS380" i="28"/>
  <c r="AS286" i="28"/>
  <c r="AS393" i="28"/>
  <c r="AS101" i="28"/>
  <c r="AS165" i="28"/>
  <c r="AS53" i="28"/>
  <c r="AS71" i="28"/>
  <c r="AS374" i="28"/>
  <c r="AS299" i="28"/>
  <c r="AS61" i="28"/>
  <c r="AS103" i="28"/>
  <c r="AS234" i="28"/>
  <c r="AS323" i="28"/>
  <c r="AS132" i="28"/>
  <c r="AS216" i="28"/>
  <c r="AS228" i="28"/>
  <c r="AS75" i="28"/>
  <c r="AS133" i="28"/>
  <c r="AS186" i="28"/>
  <c r="AS70" i="28"/>
  <c r="AS10" i="28"/>
  <c r="AS115" i="28"/>
  <c r="AS31" i="28"/>
  <c r="AS100" i="28"/>
  <c r="AS417" i="28"/>
  <c r="AS16" i="28"/>
  <c r="AS95" i="28"/>
  <c r="AS388" i="28"/>
  <c r="AS180" i="28"/>
  <c r="AS339" i="28"/>
  <c r="AS327" i="28"/>
  <c r="AS316" i="28"/>
  <c r="AS314" i="28"/>
  <c r="AS342" i="28"/>
  <c r="AS321" i="28"/>
  <c r="AS322" i="28"/>
  <c r="AS379" i="28"/>
  <c r="AS66" i="28"/>
  <c r="AS365" i="28"/>
  <c r="AS217" i="28"/>
  <c r="AS239" i="28"/>
  <c r="AS266" i="28"/>
  <c r="AS94" i="28"/>
  <c r="AS12" i="28"/>
  <c r="AS57" i="28"/>
  <c r="AS63" i="28"/>
  <c r="AS45" i="28"/>
  <c r="AS353" i="28"/>
  <c r="AS96" i="28"/>
  <c r="AS275" i="28"/>
  <c r="AS403" i="28"/>
  <c r="AS361" i="28"/>
  <c r="AS208" i="28"/>
  <c r="AS324" i="28"/>
  <c r="AS204" i="28"/>
  <c r="AS307" i="28"/>
  <c r="AS183" i="28"/>
  <c r="AS82" i="28"/>
  <c r="AS152" i="28"/>
  <c r="AS298" i="28"/>
  <c r="AS130" i="28"/>
  <c r="AS21" i="28"/>
  <c r="AS376" i="28"/>
  <c r="AS72" i="28"/>
  <c r="AS424" i="28"/>
  <c r="AS30" i="28"/>
  <c r="AS405" i="28"/>
  <c r="AS254" i="28"/>
  <c r="AS78" i="28"/>
  <c r="AS288" i="28"/>
  <c r="AS425" i="28"/>
  <c r="AS281" i="28"/>
  <c r="AS315" i="28"/>
  <c r="AS313" i="28"/>
  <c r="AS229" i="28"/>
  <c r="AS9" i="28"/>
  <c r="AS128" i="28"/>
  <c r="AS26" i="28"/>
  <c r="AS32" i="28"/>
  <c r="AS157" i="28"/>
  <c r="AS264" i="28"/>
  <c r="AS423" i="28"/>
  <c r="AS418" i="28"/>
  <c r="AS410" i="28"/>
  <c r="AS114" i="28"/>
  <c r="AS141" i="28"/>
  <c r="AS161" i="28"/>
  <c r="AS176" i="28"/>
  <c r="AS184" i="28"/>
  <c r="AS51" i="28"/>
  <c r="AS381" i="28"/>
  <c r="AS358" i="28"/>
  <c r="AS267" i="28"/>
  <c r="AS412" i="28"/>
  <c r="AS402" i="28"/>
  <c r="AS113" i="28"/>
  <c r="AS80" i="28"/>
  <c r="AS259" i="28"/>
  <c r="AS301" i="28"/>
  <c r="AS343" i="28"/>
  <c r="AS333" i="28"/>
  <c r="AS420" i="28"/>
  <c r="AS137" i="28"/>
  <c r="AS378" i="28"/>
  <c r="AS306" i="28"/>
  <c r="AS320" i="28"/>
  <c r="AS242" i="28"/>
  <c r="AS164" i="28"/>
  <c r="AS20" i="28"/>
  <c r="AS194" i="28"/>
  <c r="AS390" i="28"/>
  <c r="AS355" i="28"/>
  <c r="AS207" i="28"/>
  <c r="AS199" i="28"/>
  <c r="AS422" i="28"/>
  <c r="AS416" i="28"/>
  <c r="AS147" i="28"/>
  <c r="AS271" i="28"/>
  <c r="AS88" i="28"/>
  <c r="AS91" i="28"/>
  <c r="AS252" i="28"/>
  <c r="AS370" i="28"/>
  <c r="AS359" i="28"/>
  <c r="AS375" i="28"/>
  <c r="AS319" i="28"/>
  <c r="AS421" i="28"/>
  <c r="AS102" i="28"/>
  <c r="AS44" i="28"/>
  <c r="AS408" i="28"/>
  <c r="AS384" i="28"/>
  <c r="AS329" i="28"/>
  <c r="AS415" i="28"/>
  <c r="AS178" i="28"/>
  <c r="AS18" i="28"/>
  <c r="AS181" i="28"/>
  <c r="AS105" i="28"/>
  <c r="AS270" i="28"/>
  <c r="AS335" i="28"/>
  <c r="AS42" i="28"/>
  <c r="AS81" i="28"/>
  <c r="AS97" i="28"/>
  <c r="AS175" i="28"/>
  <c r="AS39" i="28"/>
  <c r="AS142" i="28"/>
  <c r="AS304" i="28"/>
  <c r="AS50" i="28"/>
  <c r="AS340" i="28"/>
  <c r="AS400" i="28"/>
  <c r="AS197" i="28"/>
  <c r="AS280" i="28"/>
  <c r="AS37" i="28"/>
  <c r="AS338" i="28"/>
  <c r="AS225" i="28"/>
  <c r="AS120" i="28"/>
  <c r="AS386" i="28"/>
  <c r="AS263" i="28"/>
  <c r="AS11" i="28"/>
  <c r="AS90" i="28"/>
  <c r="AS169" i="28"/>
  <c r="AS214" i="28"/>
  <c r="AS362" i="28"/>
  <c r="AS190" i="28"/>
  <c r="AS391" i="28"/>
  <c r="AS188" i="28"/>
  <c r="AS383" i="28"/>
  <c r="AS8" i="28"/>
  <c r="AS151" i="28"/>
  <c r="AS367" i="28"/>
  <c r="AS112" i="28"/>
  <c r="AS5" i="28"/>
  <c r="AS46" i="28"/>
  <c r="AS363" i="28"/>
  <c r="AS265" i="28"/>
  <c r="AS49" i="28"/>
  <c r="AS223" i="28"/>
  <c r="AS258" i="28"/>
  <c r="AS389" i="28"/>
  <c r="AS56" i="28"/>
  <c r="AS235" i="28"/>
  <c r="AS273" i="28"/>
  <c r="AS162" i="28"/>
  <c r="AS407" i="28"/>
  <c r="AS325" i="28"/>
  <c r="AS260" i="28"/>
  <c r="AS59" i="28"/>
  <c r="AS139" i="28"/>
  <c r="AS154" i="28"/>
  <c r="AS166" i="28"/>
  <c r="AS185" i="28"/>
  <c r="AS212" i="28"/>
  <c r="AS170" i="28"/>
  <c r="AS366" i="28"/>
  <c r="AS371" i="28"/>
  <c r="AS332" i="28"/>
  <c r="AS15" i="28"/>
  <c r="AS230" i="28"/>
  <c r="AS177" i="28"/>
  <c r="AS218" i="28"/>
  <c r="AS155" i="28"/>
  <c r="AS232" i="28"/>
  <c r="AS419" i="28"/>
  <c r="AS387" i="28"/>
  <c r="AS253" i="28"/>
  <c r="AS6" i="28"/>
  <c r="AS98" i="28"/>
  <c r="AS201" i="28"/>
  <c r="AS274" i="28"/>
  <c r="AS277" i="28"/>
  <c r="AS392" i="28"/>
  <c r="AS331" i="28"/>
  <c r="AS220" i="28"/>
  <c r="AS211" i="28"/>
  <c r="AS219" i="28"/>
  <c r="AS256" i="28"/>
  <c r="AS289" i="28"/>
  <c r="AS317" i="28"/>
  <c r="AS398" i="28"/>
  <c r="AS244" i="28"/>
  <c r="AS121" i="28"/>
  <c r="AS24" i="28"/>
  <c r="AS143" i="28"/>
  <c r="AS349" i="28"/>
  <c r="AS171" i="28"/>
  <c r="AS222" i="28"/>
  <c r="AS269" i="28"/>
  <c r="AS7" i="28"/>
  <c r="AS213" i="28"/>
  <c r="AS303" i="28"/>
  <c r="AS233" i="28"/>
  <c r="AS65" i="28"/>
  <c r="AS249" i="28"/>
  <c r="AS150" i="28"/>
  <c r="AS404" i="28"/>
  <c r="AS77" i="28"/>
  <c r="AS119" i="28"/>
  <c r="AS168" i="28"/>
  <c r="AS221" i="28"/>
  <c r="AS411" i="28"/>
  <c r="AS406" i="28"/>
  <c r="AS302" i="28"/>
  <c r="AS251" i="28"/>
  <c r="AS255" i="28"/>
  <c r="AS409" i="28"/>
  <c r="AS396" i="28"/>
  <c r="AS356" i="28"/>
  <c r="AS330" i="28"/>
  <c r="AS243" i="28"/>
  <c r="AS334" i="28"/>
  <c r="AS351" i="28"/>
  <c r="AJ237" i="1"/>
  <c r="AJ477" i="1"/>
  <c r="AI189" i="1"/>
  <c r="AI253" i="1"/>
  <c r="AI269" i="1"/>
  <c r="AI477" i="1"/>
  <c r="AK926" i="1"/>
  <c r="BI738" i="1"/>
  <c r="AJ898" i="1"/>
  <c r="AJ189" i="1"/>
  <c r="AJ926" i="1"/>
  <c r="BI710" i="1"/>
  <c r="AI221" i="1"/>
  <c r="AJ221" i="1"/>
  <c r="AK898" i="1"/>
  <c r="AJ894" i="1"/>
  <c r="AI767" i="1"/>
  <c r="AJ614" i="1"/>
  <c r="AK767" i="1"/>
  <c r="AI368" i="1"/>
  <c r="AJ646" i="1"/>
  <c r="AK751" i="1"/>
  <c r="AI384" i="1"/>
  <c r="AJ400" i="1"/>
  <c r="AK783" i="1"/>
  <c r="AI783" i="1"/>
  <c r="AI735" i="1"/>
  <c r="AI400" i="1"/>
  <c r="AK799" i="1"/>
  <c r="AI799" i="1"/>
  <c r="AJ433" i="1"/>
  <c r="AK815" i="1"/>
  <c r="AI751" i="1"/>
  <c r="AH182" i="1"/>
  <c r="AJ368" i="1"/>
  <c r="AJ64" i="1"/>
  <c r="AK72" i="1"/>
  <c r="AK622" i="1"/>
  <c r="AK968" i="1"/>
  <c r="AI249" i="1"/>
  <c r="AJ972" i="1"/>
  <c r="AK872" i="1"/>
  <c r="AJ872" i="1"/>
  <c r="AJ605" i="1"/>
  <c r="AI429" i="1"/>
  <c r="AK642" i="1"/>
  <c r="BI965" i="1"/>
  <c r="AJ461" i="1"/>
  <c r="AK957" i="1"/>
  <c r="AF322" i="1"/>
  <c r="AK878" i="1"/>
  <c r="AK626" i="1"/>
  <c r="AJ348" i="1"/>
  <c r="AK605" i="1"/>
  <c r="AI445" i="1"/>
  <c r="AI233" i="1"/>
  <c r="AI755" i="1"/>
  <c r="AJ261" i="1"/>
  <c r="AI265" i="1"/>
  <c r="AI723" i="1"/>
  <c r="AK944" i="1"/>
  <c r="AJ960" i="1"/>
  <c r="AJ1000" i="1"/>
  <c r="AK960" i="1"/>
  <c r="AI803" i="1"/>
  <c r="AJ80" i="1"/>
  <c r="AI245" i="1"/>
  <c r="AJ352" i="1"/>
  <c r="AF952" i="1"/>
  <c r="AJ197" i="1"/>
  <c r="AI336" i="1"/>
  <c r="AK80" i="1"/>
  <c r="AJ229" i="1"/>
  <c r="AI352" i="1"/>
  <c r="AK934" i="1"/>
  <c r="AK787" i="1"/>
  <c r="AK902" i="1"/>
  <c r="AJ372" i="1"/>
  <c r="AJ419" i="1"/>
  <c r="AK723" i="1"/>
  <c r="AJ902" i="1"/>
  <c r="AK560" i="1"/>
  <c r="AJ421" i="1"/>
  <c r="AJ910" i="1"/>
  <c r="AK1032" i="1"/>
  <c r="AK419" i="1"/>
  <c r="AJ336" i="1"/>
  <c r="AK576" i="1"/>
  <c r="AI560" i="1"/>
  <c r="AK739" i="1"/>
  <c r="AK323" i="1"/>
  <c r="AJ340" i="1"/>
  <c r="AI469" i="1"/>
  <c r="AJ1032" i="1"/>
  <c r="AK1016" i="1"/>
  <c r="AK64" i="1"/>
  <c r="AI323" i="1"/>
  <c r="AI421" i="1"/>
  <c r="AI576" i="1"/>
  <c r="AJ934" i="1"/>
  <c r="BI1007" i="1"/>
  <c r="BI728" i="1"/>
  <c r="BI931" i="1"/>
  <c r="AI425" i="1"/>
  <c r="AI329" i="1"/>
  <c r="AH407" i="1"/>
  <c r="BC891" i="1"/>
  <c r="BD891" i="1" s="1"/>
  <c r="AJ329" i="1"/>
  <c r="AJ622" i="1"/>
  <c r="AK864" i="1"/>
  <c r="AK185" i="1"/>
  <c r="BC901" i="1"/>
  <c r="BD901" i="1" s="1"/>
  <c r="AJ356" i="1"/>
  <c r="AI568" i="1"/>
  <c r="AJ332" i="1"/>
  <c r="AJ364" i="1"/>
  <c r="AJ388" i="1"/>
  <c r="AK568" i="1"/>
  <c r="AJ425" i="1"/>
  <c r="AJ626" i="1"/>
  <c r="AK755" i="1"/>
  <c r="AK803" i="1"/>
  <c r="AI739" i="1"/>
  <c r="AI787" i="1"/>
  <c r="AK836" i="1"/>
  <c r="AK972" i="1"/>
  <c r="AK942" i="1"/>
  <c r="AI185" i="1"/>
  <c r="AI344" i="1"/>
  <c r="AJ396" i="1"/>
  <c r="AK572" i="1"/>
  <c r="AI404" i="1"/>
  <c r="AJ638" i="1"/>
  <c r="AK763" i="1"/>
  <c r="AK807" i="1"/>
  <c r="AK844" i="1"/>
  <c r="AJ980" i="1"/>
  <c r="AJ1016" i="1"/>
  <c r="AK1000" i="1"/>
  <c r="AI942" i="1"/>
  <c r="BI987" i="1"/>
  <c r="AJ445" i="1"/>
  <c r="AK638" i="1"/>
  <c r="AK771" i="1"/>
  <c r="AJ864" i="1"/>
  <c r="AI771" i="1"/>
  <c r="AK980" i="1"/>
  <c r="BI907" i="1"/>
  <c r="AJ88" i="1"/>
  <c r="AJ101" i="1"/>
  <c r="AI261" i="1"/>
  <c r="AI277" i="1"/>
  <c r="AJ265" i="1"/>
  <c r="AJ918" i="1"/>
  <c r="AI944" i="1"/>
  <c r="BB979" i="1"/>
  <c r="BD979" i="1" s="1"/>
  <c r="BI895" i="1"/>
  <c r="BI1002" i="1"/>
  <c r="AU766" i="1"/>
  <c r="AJ233" i="1"/>
  <c r="AJ277" i="1"/>
  <c r="AJ956" i="1"/>
  <c r="AK1005" i="1"/>
  <c r="BI727" i="1"/>
  <c r="AU724" i="1"/>
  <c r="BI1022" i="1"/>
  <c r="BB942" i="1"/>
  <c r="BD942" i="1" s="1"/>
  <c r="BI964" i="1"/>
  <c r="AI1025" i="1"/>
  <c r="AK88" i="1"/>
  <c r="AG184" i="1"/>
  <c r="AJ930" i="1"/>
  <c r="AK840" i="1"/>
  <c r="BI721" i="1"/>
  <c r="BI983" i="1"/>
  <c r="BI1028" i="1"/>
  <c r="AK101" i="1"/>
  <c r="AI197" i="1"/>
  <c r="AF184" i="1"/>
  <c r="AJ56" i="1"/>
  <c r="AJ245" i="1"/>
  <c r="AJ360" i="1"/>
  <c r="AH403" i="1"/>
  <c r="AK56" i="1"/>
  <c r="AI229" i="1"/>
  <c r="AJ249" i="1"/>
  <c r="AI360" i="1"/>
  <c r="AK961" i="1"/>
  <c r="AJ72" i="1"/>
  <c r="AJ344" i="1"/>
  <c r="AJ840" i="1"/>
  <c r="AK918" i="1"/>
  <c r="AJ996" i="1"/>
  <c r="AK1025" i="1"/>
  <c r="AK956" i="1"/>
  <c r="AK996" i="1"/>
  <c r="BI1037" i="1"/>
  <c r="BI743" i="1"/>
  <c r="BB883" i="1"/>
  <c r="BD883" i="1" s="1"/>
  <c r="BI1039" i="1"/>
  <c r="BI959" i="1"/>
  <c r="BI984" i="1"/>
  <c r="AU769" i="1"/>
  <c r="AJ429" i="1"/>
  <c r="BI876" i="1"/>
  <c r="AK992" i="1"/>
  <c r="AJ642" i="1"/>
  <c r="AJ844" i="1"/>
  <c r="BI713" i="1"/>
  <c r="BI991" i="1"/>
  <c r="BI1006" i="1"/>
  <c r="BI898" i="1"/>
  <c r="BB893" i="1"/>
  <c r="BD893" i="1" s="1"/>
  <c r="AI461" i="1"/>
  <c r="AJ906" i="1"/>
  <c r="AK906" i="1"/>
  <c r="AJ968" i="1"/>
  <c r="BC1038" i="1"/>
  <c r="BD1038" i="1" s="1"/>
  <c r="BI988" i="1"/>
  <c r="BI1040" i="1"/>
  <c r="BI880" i="1"/>
  <c r="BI913" i="1"/>
  <c r="BI1008" i="1"/>
  <c r="BI938" i="1"/>
  <c r="BI970" i="1"/>
  <c r="BI720" i="1"/>
  <c r="AU753" i="1"/>
  <c r="BI745" i="1"/>
  <c r="BI949" i="1"/>
  <c r="BI1023" i="1"/>
  <c r="BI891" i="1"/>
  <c r="BC1009" i="1"/>
  <c r="BD1009" i="1" s="1"/>
  <c r="BI735" i="1"/>
  <c r="BI996" i="1"/>
  <c r="BC963" i="1"/>
  <c r="BD963" i="1" s="1"/>
  <c r="BI882" i="1"/>
  <c r="BI731" i="1"/>
  <c r="AU736" i="1"/>
  <c r="BB922" i="1"/>
  <c r="BD922" i="1" s="1"/>
  <c r="BC1030" i="1"/>
  <c r="BD1030" i="1" s="1"/>
  <c r="BB950" i="1"/>
  <c r="BD950" i="1" s="1"/>
  <c r="BI962" i="1"/>
  <c r="AU892" i="1"/>
  <c r="AU726" i="1"/>
  <c r="AG904" i="1"/>
  <c r="AF407" i="1"/>
  <c r="BB932" i="1"/>
  <c r="BD932" i="1" s="1"/>
  <c r="AK743" i="1"/>
  <c r="BI978" i="1"/>
  <c r="AF186" i="1"/>
  <c r="AK183" i="1"/>
  <c r="AJ618" i="1"/>
  <c r="AK791" i="1"/>
  <c r="AJ836" i="1"/>
  <c r="AI727" i="1"/>
  <c r="AI876" i="1"/>
  <c r="AI936" i="1"/>
  <c r="AU716" i="1"/>
  <c r="BC997" i="1"/>
  <c r="BD997" i="1" s="1"/>
  <c r="BI1016" i="1"/>
  <c r="BI881" i="1"/>
  <c r="BB926" i="1"/>
  <c r="BD926" i="1" s="1"/>
  <c r="BI937" i="1"/>
  <c r="BI756" i="1"/>
  <c r="BI771" i="1"/>
  <c r="AJ453" i="1"/>
  <c r="AH695" i="1"/>
  <c r="AH186" i="1"/>
  <c r="AI183" i="1"/>
  <c r="AI453" i="1"/>
  <c r="AI791" i="1"/>
  <c r="AI807" i="1"/>
  <c r="AK914" i="1"/>
  <c r="AK1017" i="1"/>
  <c r="AG695" i="1"/>
  <c r="AK759" i="1"/>
  <c r="AJ976" i="1"/>
  <c r="BI747" i="1"/>
  <c r="BI912" i="1"/>
  <c r="BB949" i="1"/>
  <c r="BD949" i="1" s="1"/>
  <c r="AK876" i="1"/>
  <c r="BC1014" i="1"/>
  <c r="BD1014" i="1" s="1"/>
  <c r="BI995" i="1"/>
  <c r="AJ408" i="1"/>
  <c r="AJ914" i="1"/>
  <c r="BI883" i="1"/>
  <c r="AJ241" i="1"/>
  <c r="AI437" i="1"/>
  <c r="AJ469" i="1"/>
  <c r="AK634" i="1"/>
  <c r="AI743" i="1"/>
  <c r="AK976" i="1"/>
  <c r="BI719" i="1"/>
  <c r="BI933" i="1"/>
  <c r="BI935" i="1"/>
  <c r="BI994" i="1"/>
  <c r="BB910" i="1"/>
  <c r="BD910" i="1" s="1"/>
  <c r="BC1005" i="1"/>
  <c r="BD1005" i="1" s="1"/>
  <c r="AK618" i="1"/>
  <c r="BI919" i="1"/>
  <c r="AJ437" i="1"/>
  <c r="AJ634" i="1"/>
  <c r="AK727" i="1"/>
  <c r="AJ860" i="1"/>
  <c r="AI759" i="1"/>
  <c r="BC1013" i="1"/>
  <c r="BD1013" i="1" s="1"/>
  <c r="BI977" i="1"/>
  <c r="AI408" i="1"/>
  <c r="AJ832" i="1"/>
  <c r="AK832" i="1"/>
  <c r="AK930" i="1"/>
  <c r="AJ1040" i="1"/>
  <c r="BI909" i="1"/>
  <c r="BC1010" i="1"/>
  <c r="BD1010" i="1" s="1"/>
  <c r="BI954" i="1"/>
  <c r="BC1002" i="1"/>
  <c r="BD1002" i="1" s="1"/>
  <c r="BI986" i="1"/>
  <c r="BB918" i="1"/>
  <c r="BD918" i="1" s="1"/>
  <c r="BI969" i="1"/>
  <c r="BB914" i="1"/>
  <c r="BD914" i="1" s="1"/>
  <c r="AI822" i="1"/>
  <c r="AK890" i="1"/>
  <c r="AK1040" i="1"/>
  <c r="BI943" i="1"/>
  <c r="AI257" i="1"/>
  <c r="AK646" i="1"/>
  <c r="AJ449" i="1"/>
  <c r="AI241" i="1"/>
  <c r="BI718" i="1"/>
  <c r="AU740" i="1"/>
  <c r="BC1031" i="1"/>
  <c r="BD1031" i="1" s="1"/>
  <c r="BI752" i="1"/>
  <c r="BI976" i="1"/>
  <c r="AF91" i="1"/>
  <c r="AK852" i="1"/>
  <c r="AH91" i="1"/>
  <c r="AK630" i="1"/>
  <c r="AK779" i="1"/>
  <c r="AK811" i="1"/>
  <c r="AI811" i="1"/>
  <c r="AF913" i="1"/>
  <c r="AJ1024" i="1"/>
  <c r="AK984" i="1"/>
  <c r="AK1024" i="1"/>
  <c r="AJ376" i="1"/>
  <c r="AI696" i="1"/>
  <c r="AJ852" i="1"/>
  <c r="AJ890" i="1"/>
  <c r="AK856" i="1"/>
  <c r="AJ984" i="1"/>
  <c r="BI742" i="1"/>
  <c r="BI903" i="1"/>
  <c r="BB919" i="1"/>
  <c r="BC990" i="1"/>
  <c r="BD990" i="1" s="1"/>
  <c r="BI768" i="1"/>
  <c r="BI755" i="1"/>
  <c r="AI795" i="1"/>
  <c r="AJ257" i="1"/>
  <c r="AJ630" i="1"/>
  <c r="AJ68" i="1"/>
  <c r="AI376" i="1"/>
  <c r="AK68" i="1"/>
  <c r="AI433" i="1"/>
  <c r="AI449" i="1"/>
  <c r="AK614" i="1"/>
  <c r="AK696" i="1"/>
  <c r="AK822" i="1"/>
  <c r="AJ856" i="1"/>
  <c r="AI763" i="1"/>
  <c r="AJ1008" i="1"/>
  <c r="AK1008" i="1"/>
  <c r="AU712" i="1"/>
  <c r="BI923" i="1"/>
  <c r="BI899" i="1"/>
  <c r="BI879" i="1"/>
  <c r="BI973" i="1"/>
  <c r="BB886" i="1"/>
  <c r="BD886" i="1" s="1"/>
  <c r="AI961" i="1"/>
  <c r="AU733" i="1"/>
  <c r="BI733" i="1"/>
  <c r="AU889" i="1"/>
  <c r="BI889" i="1"/>
  <c r="BI915" i="1"/>
  <c r="BB954" i="1"/>
  <c r="BD954" i="1" s="1"/>
  <c r="AU758" i="1"/>
  <c r="AF403" i="1"/>
  <c r="AK860" i="1"/>
  <c r="AK894" i="1"/>
  <c r="BI739" i="1"/>
  <c r="BC1019" i="1"/>
  <c r="BD1019" i="1" s="1"/>
  <c r="BI974" i="1"/>
  <c r="AU974" i="1"/>
  <c r="BB998" i="1"/>
  <c r="BC998" i="1"/>
  <c r="AI868" i="1"/>
  <c r="AJ868" i="1"/>
  <c r="AG411" i="1"/>
  <c r="AH411" i="1"/>
  <c r="AJ731" i="1"/>
  <c r="AK731" i="1"/>
  <c r="AJ747" i="1"/>
  <c r="AI747" i="1"/>
  <c r="AK747" i="1"/>
  <c r="AJ819" i="1"/>
  <c r="AI819" i="1"/>
  <c r="AJ826" i="1"/>
  <c r="AK826" i="1"/>
  <c r="AK193" i="1"/>
  <c r="AI193" i="1"/>
  <c r="AK225" i="1"/>
  <c r="AI225" i="1"/>
  <c r="AK441" i="1"/>
  <c r="AJ441" i="1"/>
  <c r="AK457" i="1"/>
  <c r="AI457" i="1"/>
  <c r="AK465" i="1"/>
  <c r="AJ465" i="1"/>
  <c r="AI465" i="1"/>
  <c r="AK473" i="1"/>
  <c r="AI473" i="1"/>
  <c r="AJ473" i="1"/>
  <c r="AK481" i="1"/>
  <c r="AI481" i="1"/>
  <c r="AI848" i="1"/>
  <c r="AK848" i="1"/>
  <c r="AJ848" i="1"/>
  <c r="AU767" i="1"/>
  <c r="BI767" i="1"/>
  <c r="AU885" i="1"/>
  <c r="BI885" i="1"/>
  <c r="AU956" i="1"/>
  <c r="BI956" i="1"/>
  <c r="AJ897" i="1"/>
  <c r="AI897" i="1"/>
  <c r="AU963" i="1"/>
  <c r="BI963" i="1"/>
  <c r="AK901" i="1"/>
  <c r="AI901" i="1"/>
  <c r="AI1012" i="1"/>
  <c r="AJ1012" i="1"/>
  <c r="AK1012" i="1"/>
  <c r="AI988" i="1"/>
  <c r="AK988" i="1"/>
  <c r="AK877" i="1"/>
  <c r="AI877" i="1"/>
  <c r="AU917" i="1"/>
  <c r="BI917" i="1"/>
  <c r="AU924" i="1"/>
  <c r="BI924" i="1"/>
  <c r="AU967" i="1"/>
  <c r="BI967" i="1"/>
  <c r="BB1001" i="1"/>
  <c r="BC1001" i="1"/>
  <c r="AJ933" i="1"/>
  <c r="AI933" i="1"/>
  <c r="AU877" i="1"/>
  <c r="BI877" i="1"/>
  <c r="AU893" i="1"/>
  <c r="BI893" i="1"/>
  <c r="BC923" i="1"/>
  <c r="BB923" i="1"/>
  <c r="BC980" i="1"/>
  <c r="BB980" i="1"/>
  <c r="BB1027" i="1"/>
  <c r="BC1027" i="1"/>
  <c r="AU1036" i="1"/>
  <c r="BI1036" i="1"/>
  <c r="BI765" i="1"/>
  <c r="AU765" i="1"/>
  <c r="BC889" i="1"/>
  <c r="BB889" i="1"/>
  <c r="BC912" i="1"/>
  <c r="BB912" i="1"/>
  <c r="AU1024" i="1"/>
  <c r="BI1024" i="1"/>
  <c r="AU746" i="1"/>
  <c r="BI746" i="1"/>
  <c r="AJ941" i="1"/>
  <c r="AK941" i="1"/>
  <c r="AI941" i="1"/>
  <c r="BC909" i="1"/>
  <c r="BB909" i="1"/>
  <c r="BI748" i="1"/>
  <c r="AU748" i="1"/>
  <c r="BI759" i="1"/>
  <c r="AU759" i="1"/>
  <c r="BI1033" i="1"/>
  <c r="AU951" i="1"/>
  <c r="BI951" i="1"/>
  <c r="AI76" i="1"/>
  <c r="AK76" i="1"/>
  <c r="AI84" i="1"/>
  <c r="AK84" i="1"/>
  <c r="AF324" i="1"/>
  <c r="AG324" i="1"/>
  <c r="AH324" i="1"/>
  <c r="AI412" i="1"/>
  <c r="AK412" i="1"/>
  <c r="AI938" i="1"/>
  <c r="AJ938" i="1"/>
  <c r="AU711" i="1"/>
  <c r="BI992" i="1"/>
  <c r="AU723" i="1"/>
  <c r="BI723" i="1"/>
  <c r="AU737" i="1"/>
  <c r="BI737" i="1"/>
  <c r="BI1013" i="1"/>
  <c r="AU908" i="1"/>
  <c r="BI1035" i="1"/>
  <c r="BC1015" i="1"/>
  <c r="BD1015" i="1" s="1"/>
  <c r="BC1026" i="1"/>
  <c r="BD1026" i="1" s="1"/>
  <c r="BI985" i="1"/>
  <c r="BI990" i="1"/>
  <c r="BI741" i="1"/>
  <c r="BC982" i="1"/>
  <c r="BD982" i="1" s="1"/>
  <c r="BI1001" i="1"/>
  <c r="AJ936" i="1"/>
  <c r="BI1026" i="1"/>
  <c r="BI911" i="1"/>
  <c r="BI1030" i="1"/>
  <c r="BI900" i="1"/>
  <c r="BI772" i="1"/>
  <c r="AJ901" i="1"/>
  <c r="BI770" i="1"/>
  <c r="BI955" i="1"/>
  <c r="BI971" i="1"/>
  <c r="BI1004" i="1"/>
  <c r="BI999" i="1"/>
  <c r="BI1038" i="1"/>
  <c r="AU734" i="1"/>
  <c r="BB929" i="1"/>
  <c r="BD929" i="1" s="1"/>
  <c r="BI930" i="1"/>
  <c r="AG952" i="1"/>
  <c r="BI947" i="1"/>
  <c r="BB975" i="1"/>
  <c r="BD975" i="1" s="1"/>
  <c r="BI939" i="1"/>
  <c r="BC1029" i="1"/>
  <c r="BD1029" i="1" s="1"/>
  <c r="BC1033" i="1"/>
  <c r="BD1033" i="1" s="1"/>
  <c r="BI1018" i="1"/>
  <c r="BI906" i="1"/>
  <c r="BI763" i="1"/>
  <c r="BB897" i="1"/>
  <c r="BD897" i="1" s="1"/>
  <c r="BI968" i="1"/>
  <c r="AK897" i="1"/>
  <c r="AI1005" i="1"/>
  <c r="AG913" i="1"/>
  <c r="BI922" i="1"/>
  <c r="AK933" i="1"/>
  <c r="BI855" i="1"/>
  <c r="BI1025" i="1"/>
  <c r="BI1011" i="1"/>
  <c r="BD739" i="1"/>
  <c r="AU972" i="1"/>
  <c r="AH904" i="1"/>
  <c r="BI1009" i="1"/>
  <c r="BB958" i="1"/>
  <c r="BD958" i="1" s="1"/>
  <c r="AU856" i="1"/>
  <c r="BI1027" i="1"/>
  <c r="BI953" i="1"/>
  <c r="AU916" i="1"/>
  <c r="AU888" i="1"/>
  <c r="AI1017" i="1"/>
  <c r="AJ225" i="1"/>
  <c r="BI982" i="1"/>
  <c r="BI981" i="1"/>
  <c r="BI997" i="1"/>
  <c r="BI1019" i="1"/>
  <c r="BB881" i="1"/>
  <c r="BD881" i="1" s="1"/>
  <c r="BI989" i="1"/>
  <c r="BI1010" i="1"/>
  <c r="BI850" i="1"/>
  <c r="BI884" i="1"/>
  <c r="BC1034" i="1"/>
  <c r="BD1034" i="1" s="1"/>
  <c r="BI975" i="1"/>
  <c r="BI1005" i="1"/>
  <c r="BI1021" i="1"/>
  <c r="BI940" i="1"/>
  <c r="AI273" i="1"/>
  <c r="AJ273" i="1"/>
  <c r="BB913" i="1"/>
  <c r="BD913" i="1" s="1"/>
  <c r="BI717" i="1"/>
  <c r="AU773" i="1"/>
  <c r="BI749" i="1"/>
  <c r="AU744" i="1"/>
  <c r="BI921" i="1"/>
  <c r="BI1017" i="1"/>
  <c r="AU761" i="1"/>
  <c r="BI904" i="1"/>
  <c r="AJ912" i="1"/>
  <c r="AK912" i="1"/>
  <c r="AJ877" i="1"/>
  <c r="AI957" i="1"/>
  <c r="BI952" i="1"/>
  <c r="BI725" i="1"/>
  <c r="BB885" i="1"/>
  <c r="BD885" i="1" s="1"/>
  <c r="BI896" i="1"/>
  <c r="BD735" i="1"/>
  <c r="AI392" i="1"/>
  <c r="AJ392" i="1"/>
  <c r="BD948" i="1"/>
  <c r="AU946" i="1"/>
  <c r="BI946" i="1"/>
  <c r="AU948" i="1"/>
  <c r="BI948" i="1"/>
  <c r="BB1018" i="1"/>
  <c r="BC1018" i="1"/>
  <c r="AU1015" i="1"/>
  <c r="BI1015" i="1"/>
  <c r="BC887" i="1"/>
  <c r="BB887" i="1"/>
  <c r="AU905" i="1"/>
  <c r="BI905" i="1"/>
  <c r="AU1014" i="1"/>
  <c r="BI1014" i="1"/>
  <c r="BC944" i="1"/>
  <c r="BB944" i="1"/>
  <c r="AI572" i="1"/>
  <c r="BC894" i="1"/>
  <c r="BB894" i="1"/>
  <c r="AI985" i="1"/>
  <c r="BI757" i="1"/>
  <c r="AU757" i="1"/>
  <c r="AU927" i="1"/>
  <c r="BI927" i="1"/>
  <c r="BC921" i="1"/>
  <c r="BB921" i="1"/>
  <c r="AU932" i="1"/>
  <c r="BI932" i="1"/>
  <c r="BC959" i="1"/>
  <c r="BB959" i="1"/>
  <c r="BI760" i="1"/>
  <c r="AU760" i="1"/>
  <c r="AU901" i="1"/>
  <c r="BI901" i="1"/>
  <c r="AU928" i="1"/>
  <c r="BI928" i="1"/>
  <c r="AU754" i="1"/>
  <c r="BI754" i="1"/>
  <c r="BB1006" i="1"/>
  <c r="BC1006" i="1"/>
  <c r="BC964" i="1"/>
  <c r="BB964" i="1"/>
  <c r="AU979" i="1"/>
  <c r="BI979" i="1"/>
  <c r="BB994" i="1"/>
  <c r="BC994" i="1"/>
  <c r="AU1003" i="1"/>
  <c r="BI1003" i="1"/>
  <c r="BB1022" i="1"/>
  <c r="BC1022" i="1"/>
  <c r="AJ949" i="1"/>
  <c r="AI949" i="1"/>
  <c r="BC924" i="1"/>
  <c r="BB924" i="1"/>
  <c r="AJ60" i="1"/>
  <c r="AK60" i="1"/>
  <c r="AK92" i="1"/>
  <c r="AK404" i="1"/>
  <c r="AK949" i="1"/>
  <c r="AJ992" i="1"/>
  <c r="AI332" i="1"/>
  <c r="AI348" i="1"/>
  <c r="AI364" i="1"/>
  <c r="AI380" i="1"/>
  <c r="AI396" i="1"/>
  <c r="AK564" i="1"/>
  <c r="AI604" i="1"/>
  <c r="AK910" i="1"/>
  <c r="AK985" i="1"/>
  <c r="AK1004" i="1"/>
  <c r="AK1020" i="1"/>
  <c r="AK1036" i="1"/>
  <c r="AU764" i="1"/>
  <c r="BI764" i="1"/>
  <c r="BC890" i="1"/>
  <c r="BB890" i="1"/>
  <c r="AU920" i="1"/>
  <c r="BI920" i="1"/>
  <c r="AF1028" i="1"/>
  <c r="AH1028" i="1"/>
  <c r="BC941" i="1"/>
  <c r="BB941" i="1"/>
  <c r="BB986" i="1"/>
  <c r="BC986" i="1"/>
  <c r="BI732" i="1"/>
  <c r="AU732" i="1"/>
  <c r="AU730" i="1"/>
  <c r="BI730" i="1"/>
  <c r="BC900" i="1"/>
  <c r="BB900" i="1"/>
  <c r="BC961" i="1"/>
  <c r="BB961" i="1"/>
  <c r="BC895" i="1"/>
  <c r="BB895" i="1"/>
  <c r="AU957" i="1"/>
  <c r="BI957" i="1"/>
  <c r="AF965" i="1"/>
  <c r="AH965" i="1"/>
  <c r="AG965" i="1"/>
  <c r="AU960" i="1"/>
  <c r="BI960" i="1"/>
  <c r="AU751" i="1"/>
  <c r="BI751" i="1"/>
  <c r="AU890" i="1"/>
  <c r="BI890" i="1"/>
  <c r="AU998" i="1"/>
  <c r="BI998" i="1"/>
  <c r="AU1034" i="1"/>
  <c r="BI1034" i="1"/>
  <c r="AU941" i="1"/>
  <c r="BI941" i="1"/>
  <c r="AU887" i="1"/>
  <c r="BI887" i="1"/>
  <c r="AU945" i="1"/>
  <c r="BI945" i="1"/>
  <c r="AI92" i="1"/>
  <c r="AI340" i="1"/>
  <c r="AI356" i="1"/>
  <c r="AI372" i="1"/>
  <c r="AI388" i="1"/>
  <c r="AI564" i="1"/>
  <c r="AJ604" i="1"/>
  <c r="AJ1004" i="1"/>
  <c r="AJ1020" i="1"/>
  <c r="AJ1036" i="1"/>
  <c r="AU715" i="1"/>
  <c r="BI715" i="1"/>
  <c r="AU729" i="1"/>
  <c r="BI729" i="1"/>
  <c r="AU750" i="1"/>
  <c r="BI750" i="1"/>
  <c r="AU993" i="1"/>
  <c r="BI993" i="1"/>
  <c r="AU1029" i="1"/>
  <c r="BI1029" i="1"/>
  <c r="AU897" i="1"/>
  <c r="BI897" i="1"/>
  <c r="AU929" i="1"/>
  <c r="BI929" i="1"/>
  <c r="AU961" i="1"/>
  <c r="BI961" i="1"/>
  <c r="AU1000" i="1"/>
  <c r="BI1000" i="1"/>
  <c r="AU1020" i="1"/>
  <c r="BI1020" i="1"/>
  <c r="AU1032" i="1"/>
  <c r="BI1032" i="1"/>
  <c r="AU722" i="1"/>
  <c r="BI722" i="1"/>
  <c r="AU925" i="1"/>
  <c r="BI925" i="1"/>
  <c r="AU1012" i="1"/>
  <c r="BI1012" i="1"/>
  <c r="AU1031" i="1"/>
  <c r="BI1031" i="1"/>
  <c r="BB751" i="1"/>
  <c r="BD751" i="1" s="1"/>
  <c r="BI936" i="1"/>
  <c r="BB905" i="1"/>
  <c r="BD905" i="1" s="1"/>
  <c r="BI944" i="1"/>
  <c r="BB743" i="1"/>
  <c r="BD743" i="1" s="1"/>
  <c r="BB892" i="1"/>
  <c r="BD892" i="1" s="1"/>
  <c r="BB753" i="1"/>
  <c r="BD753" i="1" s="1"/>
  <c r="AF1009" i="1"/>
  <c r="AH1009" i="1"/>
  <c r="BD882" i="1"/>
  <c r="BB940" i="1"/>
  <c r="BD940" i="1" s="1"/>
  <c r="BB904" i="1"/>
  <c r="BD904" i="1" s="1"/>
  <c r="BB920" i="1"/>
  <c r="BD920" i="1" s="1"/>
  <c r="BD938" i="1"/>
  <c r="BD965" i="1"/>
  <c r="BB721" i="1"/>
  <c r="BD721" i="1" s="1"/>
  <c r="AH997" i="1"/>
  <c r="AG997" i="1"/>
  <c r="AH924" i="1"/>
  <c r="AG924" i="1"/>
  <c r="AU980" i="1"/>
  <c r="BI980" i="1"/>
  <c r="AH870" i="1"/>
  <c r="AF870" i="1"/>
  <c r="BD855" i="1"/>
  <c r="BB937" i="1"/>
  <c r="BD937" i="1" s="1"/>
  <c r="AH916" i="1"/>
  <c r="AG916" i="1"/>
  <c r="AJ1001" i="1"/>
  <c r="AI1001" i="1"/>
  <c r="AH989" i="1"/>
  <c r="AG989" i="1"/>
  <c r="AH920" i="1"/>
  <c r="AG920" i="1"/>
  <c r="AJ1033" i="1"/>
  <c r="AI1033" i="1"/>
  <c r="BC880" i="1"/>
  <c r="BB880" i="1"/>
  <c r="BB723" i="1"/>
  <c r="BD723" i="1" s="1"/>
  <c r="AU762" i="1"/>
  <c r="BI762" i="1"/>
  <c r="AJ993" i="1"/>
  <c r="AI993" i="1"/>
  <c r="AJ885" i="1"/>
  <c r="AI885" i="1"/>
  <c r="BD951" i="1"/>
  <c r="BD907" i="1"/>
  <c r="BD971" i="1"/>
  <c r="BD973" i="1"/>
  <c r="BD933" i="1"/>
  <c r="AJ977" i="1"/>
  <c r="AI977" i="1"/>
  <c r="AJ953" i="1"/>
  <c r="AI953" i="1"/>
  <c r="AJ1037" i="1"/>
  <c r="AI1037" i="1"/>
  <c r="AJ937" i="1"/>
  <c r="AK937" i="1"/>
  <c r="AF964" i="1"/>
  <c r="AH964" i="1"/>
  <c r="AJ1021" i="1"/>
  <c r="AI1021" i="1"/>
  <c r="BD931" i="1"/>
  <c r="BB908" i="1"/>
  <c r="BD908" i="1" s="1"/>
  <c r="AK865" i="1"/>
  <c r="AI865" i="1"/>
  <c r="AJ865" i="1"/>
  <c r="AI892" i="1"/>
  <c r="AJ892" i="1"/>
  <c r="AK892" i="1"/>
  <c r="AF19" i="1"/>
  <c r="AH19" i="1"/>
  <c r="AG19" i="1"/>
  <c r="AJ27" i="1"/>
  <c r="AI27" i="1"/>
  <c r="AK27" i="1"/>
  <c r="AJ35" i="1"/>
  <c r="AK35" i="1"/>
  <c r="AI35" i="1"/>
  <c r="AH43" i="1"/>
  <c r="AG43" i="1"/>
  <c r="AK51" i="1"/>
  <c r="AI51" i="1"/>
  <c r="AJ51" i="1"/>
  <c r="AH59" i="1"/>
  <c r="AG59" i="1"/>
  <c r="AJ67" i="1"/>
  <c r="AK67" i="1"/>
  <c r="AI67" i="1"/>
  <c r="AJ75" i="1"/>
  <c r="AK75" i="1"/>
  <c r="AI75" i="1"/>
  <c r="AJ83" i="1"/>
  <c r="AK83" i="1"/>
  <c r="AI83" i="1"/>
  <c r="AJ91" i="1"/>
  <c r="AI91" i="1"/>
  <c r="AK91" i="1"/>
  <c r="AI99" i="1"/>
  <c r="AK99" i="1"/>
  <c r="AJ99" i="1"/>
  <c r="AG107" i="1"/>
  <c r="AF107" i="1"/>
  <c r="AH107" i="1"/>
  <c r="AG115" i="1"/>
  <c r="AF115" i="1"/>
  <c r="AH115" i="1"/>
  <c r="AG123" i="1"/>
  <c r="AF123" i="1"/>
  <c r="AH123" i="1"/>
  <c r="AG131" i="1"/>
  <c r="AH131" i="1"/>
  <c r="AF131" i="1"/>
  <c r="AG139" i="1"/>
  <c r="AF139" i="1"/>
  <c r="AH139" i="1"/>
  <c r="AF147" i="1"/>
  <c r="AG147" i="1"/>
  <c r="AH147" i="1"/>
  <c r="AF155" i="1"/>
  <c r="AG155" i="1"/>
  <c r="AH155" i="1"/>
  <c r="AG163" i="1"/>
  <c r="AH163" i="1"/>
  <c r="AF163" i="1"/>
  <c r="AF171" i="1"/>
  <c r="AG171" i="1"/>
  <c r="AH171" i="1"/>
  <c r="AF179" i="1"/>
  <c r="AG179" i="1"/>
  <c r="AH179" i="1"/>
  <c r="AF187" i="1"/>
  <c r="AG187" i="1"/>
  <c r="AH187" i="1"/>
  <c r="AF195" i="1"/>
  <c r="AG195" i="1"/>
  <c r="AH195" i="1"/>
  <c r="AF203" i="1"/>
  <c r="AG203" i="1"/>
  <c r="AH203" i="1"/>
  <c r="AF211" i="1"/>
  <c r="AG211" i="1"/>
  <c r="AH211" i="1"/>
  <c r="AF219" i="1"/>
  <c r="AG219" i="1"/>
  <c r="AH219" i="1"/>
  <c r="AI227" i="1"/>
  <c r="AJ227" i="1"/>
  <c r="AG235" i="1"/>
  <c r="AH235" i="1"/>
  <c r="AF235" i="1"/>
  <c r="AG243" i="1"/>
  <c r="AF243" i="1"/>
  <c r="AH243" i="1"/>
  <c r="AG251" i="1"/>
  <c r="AF251" i="1"/>
  <c r="AH251" i="1"/>
  <c r="AG259" i="1"/>
  <c r="AF259" i="1"/>
  <c r="AH259" i="1"/>
  <c r="AG267" i="1"/>
  <c r="AF267" i="1"/>
  <c r="AH267" i="1"/>
  <c r="AF275" i="1"/>
  <c r="AG275" i="1"/>
  <c r="AH275" i="1"/>
  <c r="AI283" i="1"/>
  <c r="AJ283" i="1"/>
  <c r="AF291" i="1"/>
  <c r="AG291" i="1"/>
  <c r="AH291" i="1"/>
  <c r="AI299" i="1"/>
  <c r="AJ299" i="1"/>
  <c r="AF307" i="1"/>
  <c r="AG307" i="1"/>
  <c r="AH307" i="1"/>
  <c r="AI315" i="1"/>
  <c r="AJ315" i="1"/>
  <c r="AG323" i="1"/>
  <c r="AH323" i="1"/>
  <c r="AF323" i="1"/>
  <c r="AF331" i="1"/>
  <c r="AG331" i="1"/>
  <c r="AF339" i="1"/>
  <c r="AG339" i="1"/>
  <c r="AF347" i="1"/>
  <c r="AG347" i="1"/>
  <c r="AF355" i="1"/>
  <c r="AG355" i="1"/>
  <c r="AJ363" i="1"/>
  <c r="AI363" i="1"/>
  <c r="AK363" i="1"/>
  <c r="AJ371" i="1"/>
  <c r="AK371" i="1"/>
  <c r="AI371" i="1"/>
  <c r="AJ379" i="1"/>
  <c r="AI379" i="1"/>
  <c r="AK379" i="1"/>
  <c r="AF387" i="1"/>
  <c r="AG387" i="1"/>
  <c r="AF395" i="1"/>
  <c r="AG395" i="1"/>
  <c r="AF419" i="1"/>
  <c r="AG419" i="1"/>
  <c r="AI427" i="1"/>
  <c r="AJ427" i="1"/>
  <c r="AK427" i="1"/>
  <c r="AI435" i="1"/>
  <c r="AJ435" i="1"/>
  <c r="AK435" i="1"/>
  <c r="AI443" i="1"/>
  <c r="AJ443" i="1"/>
  <c r="AK443" i="1"/>
  <c r="AI451" i="1"/>
  <c r="AJ451" i="1"/>
  <c r="AK451" i="1"/>
  <c r="AI459" i="1"/>
  <c r="AJ459" i="1"/>
  <c r="AK459" i="1"/>
  <c r="AH467" i="1"/>
  <c r="AG467" i="1"/>
  <c r="AF467" i="1"/>
  <c r="AH475" i="1"/>
  <c r="AF475" i="1"/>
  <c r="AG475" i="1"/>
  <c r="AH483" i="1"/>
  <c r="AG483" i="1"/>
  <c r="AF483" i="1"/>
  <c r="AH491" i="1"/>
  <c r="AG491" i="1"/>
  <c r="AF491" i="1"/>
  <c r="AH499" i="1"/>
  <c r="AG499" i="1"/>
  <c r="AF499" i="1"/>
  <c r="AH507" i="1"/>
  <c r="AF507" i="1"/>
  <c r="AG507" i="1"/>
  <c r="AH515" i="1"/>
  <c r="AF515" i="1"/>
  <c r="AG515" i="1"/>
  <c r="AI523" i="1"/>
  <c r="AJ523" i="1"/>
  <c r="AK523" i="1"/>
  <c r="AI531" i="1"/>
  <c r="AJ531" i="1"/>
  <c r="AK531" i="1"/>
  <c r="AI539" i="1"/>
  <c r="AJ539" i="1"/>
  <c r="AK539" i="1"/>
  <c r="AH547" i="1"/>
  <c r="AF547" i="1"/>
  <c r="AG547" i="1"/>
  <c r="AH555" i="1"/>
  <c r="AG555" i="1"/>
  <c r="AF555" i="1"/>
  <c r="AF563" i="1"/>
  <c r="AG563" i="1"/>
  <c r="AF571" i="1"/>
  <c r="AG571" i="1"/>
  <c r="AH579" i="1"/>
  <c r="AF579" i="1"/>
  <c r="AG579" i="1"/>
  <c r="AI587" i="1"/>
  <c r="AJ587" i="1"/>
  <c r="AK587" i="1"/>
  <c r="AH595" i="1"/>
  <c r="AG595" i="1"/>
  <c r="AF595" i="1"/>
  <c r="AH603" i="1"/>
  <c r="AG603" i="1"/>
  <c r="AJ611" i="1"/>
  <c r="AK611" i="1"/>
  <c r="AI611" i="1"/>
  <c r="AJ619" i="1"/>
  <c r="AK619" i="1"/>
  <c r="AI619" i="1"/>
  <c r="AJ627" i="1"/>
  <c r="AK627" i="1"/>
  <c r="AI627" i="1"/>
  <c r="AJ635" i="1"/>
  <c r="AK635" i="1"/>
  <c r="AI635" i="1"/>
  <c r="AJ643" i="1"/>
  <c r="AK643" i="1"/>
  <c r="AI643" i="1"/>
  <c r="AF651" i="1"/>
  <c r="AG651" i="1"/>
  <c r="AF659" i="1"/>
  <c r="AG659" i="1"/>
  <c r="AF667" i="1"/>
  <c r="AG667" i="1"/>
  <c r="AF675" i="1"/>
  <c r="AG675" i="1"/>
  <c r="AF683" i="1"/>
  <c r="AG683" i="1"/>
  <c r="AF691" i="1"/>
  <c r="AG691" i="1"/>
  <c r="AG699" i="1"/>
  <c r="AH699" i="1"/>
  <c r="AF699" i="1"/>
  <c r="AF707" i="1"/>
  <c r="AG707" i="1"/>
  <c r="AH707" i="1"/>
  <c r="AF715" i="1"/>
  <c r="AG715" i="1"/>
  <c r="AH715" i="1"/>
  <c r="AF723" i="1"/>
  <c r="AG723" i="1"/>
  <c r="AH723" i="1"/>
  <c r="AF739" i="1"/>
  <c r="AG739" i="1"/>
  <c r="AH739" i="1"/>
  <c r="AF755" i="1"/>
  <c r="AG755" i="1"/>
  <c r="AH755" i="1"/>
  <c r="AF763" i="1"/>
  <c r="AH763" i="1"/>
  <c r="AG763" i="1"/>
  <c r="AF771" i="1"/>
  <c r="AH771" i="1"/>
  <c r="AG771" i="1"/>
  <c r="AF779" i="1"/>
  <c r="AH779" i="1"/>
  <c r="AG779" i="1"/>
  <c r="AF787" i="1"/>
  <c r="AH787" i="1"/>
  <c r="AG787" i="1"/>
  <c r="AF795" i="1"/>
  <c r="AH795" i="1"/>
  <c r="AG795" i="1"/>
  <c r="AF803" i="1"/>
  <c r="AH803" i="1"/>
  <c r="AG803" i="1"/>
  <c r="AF811" i="1"/>
  <c r="AH811" i="1"/>
  <c r="AG811" i="1"/>
  <c r="AG834" i="1"/>
  <c r="AH834" i="1"/>
  <c r="AF834" i="1"/>
  <c r="AG842" i="1"/>
  <c r="AH842" i="1"/>
  <c r="AF842" i="1"/>
  <c r="AI850" i="1"/>
  <c r="AJ850" i="1"/>
  <c r="AK850" i="1"/>
  <c r="AG858" i="1"/>
  <c r="AH858" i="1"/>
  <c r="AF858" i="1"/>
  <c r="AI884" i="1"/>
  <c r="AJ884" i="1"/>
  <c r="AK884" i="1"/>
  <c r="AJ855" i="1"/>
  <c r="AI855" i="1"/>
  <c r="AK855" i="1"/>
  <c r="AH862" i="1"/>
  <c r="AF862" i="1"/>
  <c r="AG862" i="1"/>
  <c r="AK879" i="1"/>
  <c r="AI879" i="1"/>
  <c r="AJ879" i="1"/>
  <c r="AK887" i="1"/>
  <c r="AJ887" i="1"/>
  <c r="AI887" i="1"/>
  <c r="AJ921" i="1"/>
  <c r="AI921" i="1"/>
  <c r="AK921" i="1"/>
  <c r="AK932" i="1"/>
  <c r="AJ932" i="1"/>
  <c r="AI959" i="1"/>
  <c r="AJ959" i="1"/>
  <c r="AK959" i="1"/>
  <c r="AJ969" i="1"/>
  <c r="AI969" i="1"/>
  <c r="AI971" i="1"/>
  <c r="AJ971" i="1"/>
  <c r="AK971" i="1"/>
  <c r="AI991" i="1"/>
  <c r="AJ991" i="1"/>
  <c r="AK991" i="1"/>
  <c r="AK16" i="1"/>
  <c r="AI16" i="1"/>
  <c r="AJ16" i="1"/>
  <c r="AF24" i="1"/>
  <c r="AH24" i="1"/>
  <c r="AG24" i="1"/>
  <c r="AH32" i="1"/>
  <c r="AF32" i="1"/>
  <c r="AG32" i="1"/>
  <c r="AK40" i="1"/>
  <c r="AI40" i="1"/>
  <c r="AJ40" i="1"/>
  <c r="AI48" i="1"/>
  <c r="AK48" i="1"/>
  <c r="AJ48" i="1"/>
  <c r="AF56" i="1"/>
  <c r="AH56" i="1"/>
  <c r="AG56" i="1"/>
  <c r="AH64" i="1"/>
  <c r="AF64" i="1"/>
  <c r="AG64" i="1"/>
  <c r="AH72" i="1"/>
  <c r="AF72" i="1"/>
  <c r="AG72" i="1"/>
  <c r="AH80" i="1"/>
  <c r="AF80" i="1"/>
  <c r="AG80" i="1"/>
  <c r="AH88" i="1"/>
  <c r="AF88" i="1"/>
  <c r="AG88" i="1"/>
  <c r="AH96" i="1"/>
  <c r="AG96" i="1"/>
  <c r="AH104" i="1"/>
  <c r="AG104" i="1"/>
  <c r="AJ112" i="1"/>
  <c r="AI112" i="1"/>
  <c r="AK112" i="1"/>
  <c r="AJ120" i="1"/>
  <c r="AI120" i="1"/>
  <c r="AK120" i="1"/>
  <c r="AJ128" i="1"/>
  <c r="AI128" i="1"/>
  <c r="AK128" i="1"/>
  <c r="AJ136" i="1"/>
  <c r="AK136" i="1"/>
  <c r="AI136" i="1"/>
  <c r="AJ144" i="1"/>
  <c r="AI144" i="1"/>
  <c r="AK144" i="1"/>
  <c r="AJ152" i="1"/>
  <c r="AI152" i="1"/>
  <c r="AK152" i="1"/>
  <c r="AJ160" i="1"/>
  <c r="AI160" i="1"/>
  <c r="AK160" i="1"/>
  <c r="AJ168" i="1"/>
  <c r="AI168" i="1"/>
  <c r="AK168" i="1"/>
  <c r="AK176" i="1"/>
  <c r="AI176" i="1"/>
  <c r="AJ176" i="1"/>
  <c r="AI184" i="1"/>
  <c r="AJ184" i="1"/>
  <c r="AK184" i="1"/>
  <c r="AI192" i="1"/>
  <c r="AJ192" i="1"/>
  <c r="AK192" i="1"/>
  <c r="AI200" i="1"/>
  <c r="AJ200" i="1"/>
  <c r="AK200" i="1"/>
  <c r="AK208" i="1"/>
  <c r="AI208" i="1"/>
  <c r="AJ208" i="1"/>
  <c r="AK216" i="1"/>
  <c r="AI216" i="1"/>
  <c r="AJ216" i="1"/>
  <c r="AI224" i="1"/>
  <c r="AJ224" i="1"/>
  <c r="AK224" i="1"/>
  <c r="AF232" i="1"/>
  <c r="AG232" i="1"/>
  <c r="AF240" i="1"/>
  <c r="AG240" i="1"/>
  <c r="AF248" i="1"/>
  <c r="AG248" i="1"/>
  <c r="AF256" i="1"/>
  <c r="AG256" i="1"/>
  <c r="AF264" i="1"/>
  <c r="AG264" i="1"/>
  <c r="AJ272" i="1"/>
  <c r="AI272" i="1"/>
  <c r="AK272" i="1"/>
  <c r="AJ280" i="1"/>
  <c r="AI280" i="1"/>
  <c r="AK280" i="1"/>
  <c r="AF288" i="1"/>
  <c r="AG288" i="1"/>
  <c r="AJ296" i="1"/>
  <c r="AI296" i="1"/>
  <c r="AK296" i="1"/>
  <c r="AF304" i="1"/>
  <c r="AG304" i="1"/>
  <c r="AJ312" i="1"/>
  <c r="AI312" i="1"/>
  <c r="AK312" i="1"/>
  <c r="AF320" i="1"/>
  <c r="AG320" i="1"/>
  <c r="AJ328" i="1"/>
  <c r="AI328" i="1"/>
  <c r="AK328" i="1"/>
  <c r="AF336" i="1"/>
  <c r="AG336" i="1"/>
  <c r="AH336" i="1"/>
  <c r="AF344" i="1"/>
  <c r="AG344" i="1"/>
  <c r="AH344" i="1"/>
  <c r="AF352" i="1"/>
  <c r="AG352" i="1"/>
  <c r="AH352" i="1"/>
  <c r="AF360" i="1"/>
  <c r="AH360" i="1"/>
  <c r="AG360" i="1"/>
  <c r="AF416" i="1"/>
  <c r="AH416" i="1"/>
  <c r="AF424" i="1"/>
  <c r="AG424" i="1"/>
  <c r="AF432" i="1"/>
  <c r="AG432" i="1"/>
  <c r="AF440" i="1"/>
  <c r="AG440" i="1"/>
  <c r="AF448" i="1"/>
  <c r="AG448" i="1"/>
  <c r="AF456" i="1"/>
  <c r="AG456" i="1"/>
  <c r="AF464" i="1"/>
  <c r="AG464" i="1"/>
  <c r="AJ472" i="1"/>
  <c r="AK472" i="1"/>
  <c r="AF480" i="1"/>
  <c r="AG480" i="1"/>
  <c r="AJ488" i="1"/>
  <c r="AK488" i="1"/>
  <c r="AJ496" i="1"/>
  <c r="AK496" i="1"/>
  <c r="AF504" i="1"/>
  <c r="AG504" i="1"/>
  <c r="AJ512" i="1"/>
  <c r="AK512" i="1"/>
  <c r="AJ520" i="1"/>
  <c r="AK520" i="1"/>
  <c r="AJ528" i="1"/>
  <c r="AK528" i="1"/>
  <c r="AJ536" i="1"/>
  <c r="AK536" i="1"/>
  <c r="AJ544" i="1"/>
  <c r="AK544" i="1"/>
  <c r="AJ552" i="1"/>
  <c r="AK552" i="1"/>
  <c r="AF560" i="1"/>
  <c r="AG560" i="1"/>
  <c r="AH560" i="1"/>
  <c r="AF568" i="1"/>
  <c r="AG568" i="1"/>
  <c r="AH568" i="1"/>
  <c r="AF576" i="1"/>
  <c r="AG576" i="1"/>
  <c r="AH576" i="1"/>
  <c r="AJ584" i="1"/>
  <c r="AK584" i="1"/>
  <c r="AJ592" i="1"/>
  <c r="AK592" i="1"/>
  <c r="AJ600" i="1"/>
  <c r="AK600" i="1"/>
  <c r="AJ608" i="1"/>
  <c r="AI608" i="1"/>
  <c r="AK616" i="1"/>
  <c r="AJ616" i="1"/>
  <c r="AK624" i="1"/>
  <c r="AJ624" i="1"/>
  <c r="AK632" i="1"/>
  <c r="AJ632" i="1"/>
  <c r="AK640" i="1"/>
  <c r="AJ640" i="1"/>
  <c r="AK648" i="1"/>
  <c r="AJ648" i="1"/>
  <c r="AK656" i="1"/>
  <c r="AJ656" i="1"/>
  <c r="AK664" i="1"/>
  <c r="AJ664" i="1"/>
  <c r="AK672" i="1"/>
  <c r="AJ672" i="1"/>
  <c r="AK680" i="1"/>
  <c r="AJ680" i="1"/>
  <c r="AK688" i="1"/>
  <c r="AJ688" i="1"/>
  <c r="AJ704" i="1"/>
  <c r="AI704" i="1"/>
  <c r="AK704" i="1"/>
  <c r="AJ712" i="1"/>
  <c r="AI712" i="1"/>
  <c r="AK712" i="1"/>
  <c r="AJ720" i="1"/>
  <c r="AI720" i="1"/>
  <c r="AK720" i="1"/>
  <c r="AJ728" i="1"/>
  <c r="AI728" i="1"/>
  <c r="AK728" i="1"/>
  <c r="AJ736" i="1"/>
  <c r="AI736" i="1"/>
  <c r="AK736" i="1"/>
  <c r="AJ744" i="1"/>
  <c r="AI744" i="1"/>
  <c r="AK744" i="1"/>
  <c r="AJ752" i="1"/>
  <c r="AI752" i="1"/>
  <c r="AK752" i="1"/>
  <c r="AJ760" i="1"/>
  <c r="AI760" i="1"/>
  <c r="AK760" i="1"/>
  <c r="AK768" i="1"/>
  <c r="AI768" i="1"/>
  <c r="AK776" i="1"/>
  <c r="AI776" i="1"/>
  <c r="AK784" i="1"/>
  <c r="AI784" i="1"/>
  <c r="AK792" i="1"/>
  <c r="AI792" i="1"/>
  <c r="AK800" i="1"/>
  <c r="AI800" i="1"/>
  <c r="AH808" i="1"/>
  <c r="AF808" i="1"/>
  <c r="AG808" i="1"/>
  <c r="AH816" i="1"/>
  <c r="AF816" i="1"/>
  <c r="AG816" i="1"/>
  <c r="AK823" i="1"/>
  <c r="AI823" i="1"/>
  <c r="AH831" i="1"/>
  <c r="AG831" i="1"/>
  <c r="AH839" i="1"/>
  <c r="AG839" i="1"/>
  <c r="AJ847" i="1"/>
  <c r="AI847" i="1"/>
  <c r="AK847" i="1"/>
  <c r="AH881" i="1"/>
  <c r="AG881" i="1"/>
  <c r="AK883" i="1"/>
  <c r="AJ883" i="1"/>
  <c r="AI883" i="1"/>
  <c r="AJ893" i="1"/>
  <c r="AI893" i="1"/>
  <c r="AK893" i="1"/>
  <c r="AJ909" i="1"/>
  <c r="AI909" i="1"/>
  <c r="AK909" i="1"/>
  <c r="AI911" i="1"/>
  <c r="AJ911" i="1"/>
  <c r="AK911" i="1"/>
  <c r="AJ929" i="1"/>
  <c r="AI929" i="1"/>
  <c r="AK929" i="1"/>
  <c r="AI935" i="1"/>
  <c r="AJ935" i="1"/>
  <c r="AK935" i="1"/>
  <c r="AK940" i="1"/>
  <c r="AJ940" i="1"/>
  <c r="AK954" i="1"/>
  <c r="AI954" i="1"/>
  <c r="AJ954" i="1"/>
  <c r="AH17" i="1"/>
  <c r="AF17" i="1"/>
  <c r="AG17" i="1"/>
  <c r="AI25" i="1"/>
  <c r="AK25" i="1"/>
  <c r="AJ25" i="1"/>
  <c r="AK33" i="1"/>
  <c r="AI33" i="1"/>
  <c r="AJ33" i="1"/>
  <c r="AH41" i="1"/>
  <c r="AG41" i="1"/>
  <c r="AF41" i="1"/>
  <c r="AK49" i="1"/>
  <c r="AI49" i="1"/>
  <c r="AJ49" i="1"/>
  <c r="AK57" i="1"/>
  <c r="AI57" i="1"/>
  <c r="AJ57" i="1"/>
  <c r="AI65" i="1"/>
  <c r="AK65" i="1"/>
  <c r="AJ65" i="1"/>
  <c r="AJ73" i="1"/>
  <c r="AK73" i="1"/>
  <c r="AI73" i="1"/>
  <c r="AJ81" i="1"/>
  <c r="AK81" i="1"/>
  <c r="AI81" i="1"/>
  <c r="AJ89" i="1"/>
  <c r="AK89" i="1"/>
  <c r="AI89" i="1"/>
  <c r="AK97" i="1"/>
  <c r="AJ97" i="1"/>
  <c r="AI97" i="1"/>
  <c r="AJ105" i="1"/>
  <c r="AI105" i="1"/>
  <c r="AG113" i="1"/>
  <c r="AF113" i="1"/>
  <c r="AH113" i="1"/>
  <c r="AG121" i="1"/>
  <c r="AF121" i="1"/>
  <c r="AH121" i="1"/>
  <c r="AG129" i="1"/>
  <c r="AH129" i="1"/>
  <c r="AF129" i="1"/>
  <c r="AI137" i="1"/>
  <c r="AJ137" i="1"/>
  <c r="AG145" i="1"/>
  <c r="AF145" i="1"/>
  <c r="AH145" i="1"/>
  <c r="AG153" i="1"/>
  <c r="AH153" i="1"/>
  <c r="AF153" i="1"/>
  <c r="AF161" i="1"/>
  <c r="AG161" i="1"/>
  <c r="AH161" i="1"/>
  <c r="AG169" i="1"/>
  <c r="AH169" i="1"/>
  <c r="AF169" i="1"/>
  <c r="AI177" i="1"/>
  <c r="AJ177" i="1"/>
  <c r="AF185" i="1"/>
  <c r="AG185" i="1"/>
  <c r="AH185" i="1"/>
  <c r="AF193" i="1"/>
  <c r="AG193" i="1"/>
  <c r="AH193" i="1"/>
  <c r="AF201" i="1"/>
  <c r="AG201" i="1"/>
  <c r="AH201" i="1"/>
  <c r="AK209" i="1"/>
  <c r="AJ209" i="1"/>
  <c r="AK217" i="1"/>
  <c r="AJ217" i="1"/>
  <c r="AG225" i="1"/>
  <c r="AH225" i="1"/>
  <c r="AF225" i="1"/>
  <c r="AF273" i="1"/>
  <c r="AG273" i="1"/>
  <c r="AH273" i="1"/>
  <c r="AF281" i="1"/>
  <c r="AG281" i="1"/>
  <c r="AH281" i="1"/>
  <c r="AK289" i="1"/>
  <c r="AJ289" i="1"/>
  <c r="AF297" i="1"/>
  <c r="AG297" i="1"/>
  <c r="AH297" i="1"/>
  <c r="AK305" i="1"/>
  <c r="AJ305" i="1"/>
  <c r="AF313" i="1"/>
  <c r="AG313" i="1"/>
  <c r="AH313" i="1"/>
  <c r="AK321" i="1"/>
  <c r="AJ321" i="1"/>
  <c r="AF329" i="1"/>
  <c r="AG329" i="1"/>
  <c r="AH329" i="1"/>
  <c r="AF337" i="1"/>
  <c r="AG337" i="1"/>
  <c r="AH337" i="1"/>
  <c r="AF345" i="1"/>
  <c r="AG345" i="1"/>
  <c r="AH345" i="1"/>
  <c r="AF353" i="1"/>
  <c r="AG353" i="1"/>
  <c r="AH353" i="1"/>
  <c r="AJ361" i="1"/>
  <c r="AI361" i="1"/>
  <c r="AJ369" i="1"/>
  <c r="AI369" i="1"/>
  <c r="AJ377" i="1"/>
  <c r="AI377" i="1"/>
  <c r="AG385" i="1"/>
  <c r="AH385" i="1"/>
  <c r="AF385" i="1"/>
  <c r="AF393" i="1"/>
  <c r="AG393" i="1"/>
  <c r="AH393" i="1"/>
  <c r="AF401" i="1"/>
  <c r="AG401" i="1"/>
  <c r="AH401" i="1"/>
  <c r="AG409" i="1"/>
  <c r="AH409" i="1"/>
  <c r="AF409" i="1"/>
  <c r="AF417" i="1"/>
  <c r="AG417" i="1"/>
  <c r="AH417" i="1"/>
  <c r="AF425" i="1"/>
  <c r="AG425" i="1"/>
  <c r="AH425" i="1"/>
  <c r="AF433" i="1"/>
  <c r="AG433" i="1"/>
  <c r="AH433" i="1"/>
  <c r="AF441" i="1"/>
  <c r="AG441" i="1"/>
  <c r="AH441" i="1"/>
  <c r="AF449" i="1"/>
  <c r="AG449" i="1"/>
  <c r="AH449" i="1"/>
  <c r="AF457" i="1"/>
  <c r="AG457" i="1"/>
  <c r="AH457" i="1"/>
  <c r="AF465" i="1"/>
  <c r="AG465" i="1"/>
  <c r="AH465" i="1"/>
  <c r="AG473" i="1"/>
  <c r="AH473" i="1"/>
  <c r="AF473" i="1"/>
  <c r="AF481" i="1"/>
  <c r="AG481" i="1"/>
  <c r="AH481" i="1"/>
  <c r="AF489" i="1"/>
  <c r="AG489" i="1"/>
  <c r="AH489" i="1"/>
  <c r="AF497" i="1"/>
  <c r="AG497" i="1"/>
  <c r="AH497" i="1"/>
  <c r="AF505" i="1"/>
  <c r="AG505" i="1"/>
  <c r="AH505" i="1"/>
  <c r="AK513" i="1"/>
  <c r="AI513" i="1"/>
  <c r="AG521" i="1"/>
  <c r="AH521" i="1"/>
  <c r="AF521" i="1"/>
  <c r="AG529" i="1"/>
  <c r="AH529" i="1"/>
  <c r="AF529" i="1"/>
  <c r="AG537" i="1"/>
  <c r="AH537" i="1"/>
  <c r="AF537" i="1"/>
  <c r="AK545" i="1"/>
  <c r="AI545" i="1"/>
  <c r="AF553" i="1"/>
  <c r="AG553" i="1"/>
  <c r="AH553" i="1"/>
  <c r="AF561" i="1"/>
  <c r="AG561" i="1"/>
  <c r="AH561" i="1"/>
  <c r="AF569" i="1"/>
  <c r="AG569" i="1"/>
  <c r="AH569" i="1"/>
  <c r="AF577" i="1"/>
  <c r="AG577" i="1"/>
  <c r="AH577" i="1"/>
  <c r="AG585" i="1"/>
  <c r="AF585" i="1"/>
  <c r="AH585" i="1"/>
  <c r="AK593" i="1"/>
  <c r="AI593" i="1"/>
  <c r="AK601" i="1"/>
  <c r="AI601" i="1"/>
  <c r="AG609" i="1"/>
  <c r="AF609" i="1"/>
  <c r="AH609" i="1"/>
  <c r="AJ617" i="1"/>
  <c r="AK617" i="1"/>
  <c r="AI617" i="1"/>
  <c r="AJ625" i="1"/>
  <c r="AK625" i="1"/>
  <c r="AI625" i="1"/>
  <c r="AJ633" i="1"/>
  <c r="AK633" i="1"/>
  <c r="AI633" i="1"/>
  <c r="AJ641" i="1"/>
  <c r="AK641" i="1"/>
  <c r="AI641" i="1"/>
  <c r="AH649" i="1"/>
  <c r="AG649" i="1"/>
  <c r="AJ657" i="1"/>
  <c r="AK657" i="1"/>
  <c r="AI657" i="1"/>
  <c r="AH665" i="1"/>
  <c r="AG665" i="1"/>
  <c r="AH673" i="1"/>
  <c r="AG673" i="1"/>
  <c r="AH681" i="1"/>
  <c r="AG681" i="1"/>
  <c r="AH689" i="1"/>
  <c r="AG689" i="1"/>
  <c r="AH697" i="1"/>
  <c r="AG697" i="1"/>
  <c r="AG705" i="1"/>
  <c r="AH705" i="1"/>
  <c r="AF705" i="1"/>
  <c r="AF713" i="1"/>
  <c r="AG713" i="1"/>
  <c r="AH713" i="1"/>
  <c r="AF721" i="1"/>
  <c r="AG721" i="1"/>
  <c r="AH721" i="1"/>
  <c r="AG729" i="1"/>
  <c r="AH729" i="1"/>
  <c r="AF729" i="1"/>
  <c r="AF737" i="1"/>
  <c r="AG737" i="1"/>
  <c r="AH737" i="1"/>
  <c r="AG745" i="1"/>
  <c r="AH745" i="1"/>
  <c r="AF745" i="1"/>
  <c r="AF753" i="1"/>
  <c r="AG753" i="1"/>
  <c r="AH753" i="1"/>
  <c r="AF761" i="1"/>
  <c r="AG761" i="1"/>
  <c r="AH761" i="1"/>
  <c r="AF769" i="1"/>
  <c r="AG769" i="1"/>
  <c r="AH769" i="1"/>
  <c r="AF777" i="1"/>
  <c r="AG777" i="1"/>
  <c r="AH777" i="1"/>
  <c r="AF785" i="1"/>
  <c r="AG785" i="1"/>
  <c r="AH785" i="1"/>
  <c r="AF793" i="1"/>
  <c r="AG793" i="1"/>
  <c r="AH793" i="1"/>
  <c r="AF801" i="1"/>
  <c r="AG801" i="1"/>
  <c r="AH801" i="1"/>
  <c r="AG809" i="1"/>
  <c r="AH809" i="1"/>
  <c r="AF809" i="1"/>
  <c r="AH817" i="1"/>
  <c r="AG817" i="1"/>
  <c r="AF817" i="1"/>
  <c r="AI824" i="1"/>
  <c r="AJ824" i="1"/>
  <c r="AK824" i="1"/>
  <c r="AF848" i="1"/>
  <c r="AG848" i="1"/>
  <c r="AH848" i="1"/>
  <c r="AF886" i="1"/>
  <c r="AG886" i="1"/>
  <c r="AH886" i="1"/>
  <c r="AH891" i="1"/>
  <c r="AG891" i="1"/>
  <c r="AF891" i="1"/>
  <c r="AH947" i="1"/>
  <c r="AG947" i="1"/>
  <c r="AJ958" i="1"/>
  <c r="AK958" i="1"/>
  <c r="AI958" i="1"/>
  <c r="AK979" i="1"/>
  <c r="AI979" i="1"/>
  <c r="AJ979" i="1"/>
  <c r="AH982" i="1"/>
  <c r="AF982" i="1"/>
  <c r="AG982" i="1"/>
  <c r="AK1027" i="1"/>
  <c r="AI1027" i="1"/>
  <c r="AJ1027" i="1"/>
  <c r="AJ14" i="1"/>
  <c r="AI14" i="1"/>
  <c r="AK14" i="1"/>
  <c r="AH22" i="1"/>
  <c r="AG22" i="1"/>
  <c r="AF22" i="1"/>
  <c r="AH30" i="1"/>
  <c r="AG30" i="1"/>
  <c r="AF30" i="1"/>
  <c r="AK38" i="1"/>
  <c r="AI38" i="1"/>
  <c r="AJ38" i="1"/>
  <c r="AI46" i="1"/>
  <c r="AK46" i="1"/>
  <c r="AJ46" i="1"/>
  <c r="AH54" i="1"/>
  <c r="AG54" i="1"/>
  <c r="AF54" i="1"/>
  <c r="AH62" i="1"/>
  <c r="AG62" i="1"/>
  <c r="AF62" i="1"/>
  <c r="AI70" i="1"/>
  <c r="AK70" i="1"/>
  <c r="AJ70" i="1"/>
  <c r="AG78" i="1"/>
  <c r="AF78" i="1"/>
  <c r="AH78" i="1"/>
  <c r="AG86" i="1"/>
  <c r="AF86" i="1"/>
  <c r="AH86" i="1"/>
  <c r="AI94" i="1"/>
  <c r="AJ94" i="1"/>
  <c r="AK102" i="1"/>
  <c r="AI102" i="1"/>
  <c r="AJ102" i="1"/>
  <c r="AF110" i="1"/>
  <c r="AG110" i="1"/>
  <c r="AF118" i="1"/>
  <c r="AG118" i="1"/>
  <c r="AF126" i="1"/>
  <c r="AG126" i="1"/>
  <c r="AF134" i="1"/>
  <c r="AG134" i="1"/>
  <c r="AK142" i="1"/>
  <c r="AI142" i="1"/>
  <c r="AJ142" i="1"/>
  <c r="AF150" i="1"/>
  <c r="AG150" i="1"/>
  <c r="AF158" i="1"/>
  <c r="AG158" i="1"/>
  <c r="AF166" i="1"/>
  <c r="AG166" i="1"/>
  <c r="AF174" i="1"/>
  <c r="AG174" i="1"/>
  <c r="AJ190" i="1"/>
  <c r="AK190" i="1"/>
  <c r="AI190" i="1"/>
  <c r="AJ198" i="1"/>
  <c r="AK198" i="1"/>
  <c r="AI198" i="1"/>
  <c r="AH206" i="1"/>
  <c r="AG206" i="1"/>
  <c r="AH214" i="1"/>
  <c r="AG214" i="1"/>
  <c r="AJ222" i="1"/>
  <c r="AK222" i="1"/>
  <c r="AI222" i="1"/>
  <c r="AJ230" i="1"/>
  <c r="AI230" i="1"/>
  <c r="AK230" i="1"/>
  <c r="AJ238" i="1"/>
  <c r="AI238" i="1"/>
  <c r="AK238" i="1"/>
  <c r="AH246" i="1"/>
  <c r="AG246" i="1"/>
  <c r="AH254" i="1"/>
  <c r="AG254" i="1"/>
  <c r="AH262" i="1"/>
  <c r="AG262" i="1"/>
  <c r="AH270" i="1"/>
  <c r="AG270" i="1"/>
  <c r="AJ278" i="1"/>
  <c r="AK278" i="1"/>
  <c r="AI278" i="1"/>
  <c r="AH286" i="1"/>
  <c r="AG286" i="1"/>
  <c r="AJ294" i="1"/>
  <c r="AK294" i="1"/>
  <c r="AI294" i="1"/>
  <c r="AH302" i="1"/>
  <c r="AG302" i="1"/>
  <c r="AJ310" i="1"/>
  <c r="AK310" i="1"/>
  <c r="AI310" i="1"/>
  <c r="AH318" i="1"/>
  <c r="AG318" i="1"/>
  <c r="AH326" i="1"/>
  <c r="AG326" i="1"/>
  <c r="AG334" i="1"/>
  <c r="AH334" i="1"/>
  <c r="AF334" i="1"/>
  <c r="AG342" i="1"/>
  <c r="AH342" i="1"/>
  <c r="AF342" i="1"/>
  <c r="AG350" i="1"/>
  <c r="AH350" i="1"/>
  <c r="AF350" i="1"/>
  <c r="AG358" i="1"/>
  <c r="AH358" i="1"/>
  <c r="AF358" i="1"/>
  <c r="AK366" i="1"/>
  <c r="AJ366" i="1"/>
  <c r="AI366" i="1"/>
  <c r="AG374" i="1"/>
  <c r="AH374" i="1"/>
  <c r="AF374" i="1"/>
  <c r="AG382" i="1"/>
  <c r="AH382" i="1"/>
  <c r="AF382" i="1"/>
  <c r="AH390" i="1"/>
  <c r="AF390" i="1"/>
  <c r="AG390" i="1"/>
  <c r="AH398" i="1"/>
  <c r="AF398" i="1"/>
  <c r="AG398" i="1"/>
  <c r="AH406" i="1"/>
  <c r="AF406" i="1"/>
  <c r="AG406" i="1"/>
  <c r="AH414" i="1"/>
  <c r="AG414" i="1"/>
  <c r="AK422" i="1"/>
  <c r="AI422" i="1"/>
  <c r="AJ422" i="1"/>
  <c r="AK430" i="1"/>
  <c r="AI430" i="1"/>
  <c r="AJ430" i="1"/>
  <c r="AK438" i="1"/>
  <c r="AI438" i="1"/>
  <c r="AJ438" i="1"/>
  <c r="AK446" i="1"/>
  <c r="AI446" i="1"/>
  <c r="AJ446" i="1"/>
  <c r="AK454" i="1"/>
  <c r="AI454" i="1"/>
  <c r="AJ454" i="1"/>
  <c r="AK462" i="1"/>
  <c r="AI462" i="1"/>
  <c r="AJ462" i="1"/>
  <c r="AH470" i="1"/>
  <c r="AF470" i="1"/>
  <c r="AG470" i="1"/>
  <c r="AI478" i="1"/>
  <c r="AJ478" i="1"/>
  <c r="AK478" i="1"/>
  <c r="AH486" i="1"/>
  <c r="AF486" i="1"/>
  <c r="AG486" i="1"/>
  <c r="AH494" i="1"/>
  <c r="AF494" i="1"/>
  <c r="AG494" i="1"/>
  <c r="AF502" i="1"/>
  <c r="AG502" i="1"/>
  <c r="AH502" i="1"/>
  <c r="AH510" i="1"/>
  <c r="AG510" i="1"/>
  <c r="AF510" i="1"/>
  <c r="AG518" i="1"/>
  <c r="AH518" i="1"/>
  <c r="AF518" i="1"/>
  <c r="AH526" i="1"/>
  <c r="AF526" i="1"/>
  <c r="AG526" i="1"/>
  <c r="AH534" i="1"/>
  <c r="AF534" i="1"/>
  <c r="AG534" i="1"/>
  <c r="AH542" i="1"/>
  <c r="AF542" i="1"/>
  <c r="AG542" i="1"/>
  <c r="AI550" i="1"/>
  <c r="AJ550" i="1"/>
  <c r="AK550" i="1"/>
  <c r="AH558" i="1"/>
  <c r="AF558" i="1"/>
  <c r="AG558" i="1"/>
  <c r="AH566" i="1"/>
  <c r="AF566" i="1"/>
  <c r="AG566" i="1"/>
  <c r="AH574" i="1"/>
  <c r="AF574" i="1"/>
  <c r="AG574" i="1"/>
  <c r="AI582" i="1"/>
  <c r="AK582" i="1"/>
  <c r="AJ582" i="1"/>
  <c r="AI590" i="1"/>
  <c r="AK590" i="1"/>
  <c r="AJ590" i="1"/>
  <c r="AK598" i="1"/>
  <c r="AI598" i="1"/>
  <c r="AJ598" i="1"/>
  <c r="AH606" i="1"/>
  <c r="AG606" i="1"/>
  <c r="AF606" i="1"/>
  <c r="AG654" i="1"/>
  <c r="AH654" i="1"/>
  <c r="AF654" i="1"/>
  <c r="AI662" i="1"/>
  <c r="AJ662" i="1"/>
  <c r="AI670" i="1"/>
  <c r="AJ670" i="1"/>
  <c r="AI678" i="1"/>
  <c r="AJ678" i="1"/>
  <c r="AI686" i="1"/>
  <c r="AJ686" i="1"/>
  <c r="AG694" i="1"/>
  <c r="AH694" i="1"/>
  <c r="AF694" i="1"/>
  <c r="AF702" i="1"/>
  <c r="AG702" i="1"/>
  <c r="AF710" i="1"/>
  <c r="AG710" i="1"/>
  <c r="AF718" i="1"/>
  <c r="AG718" i="1"/>
  <c r="AJ726" i="1"/>
  <c r="AK726" i="1"/>
  <c r="AI726" i="1"/>
  <c r="AF734" i="1"/>
  <c r="AG734" i="1"/>
  <c r="AJ742" i="1"/>
  <c r="AK742" i="1"/>
  <c r="AI742" i="1"/>
  <c r="AF750" i="1"/>
  <c r="AG750" i="1"/>
  <c r="AJ758" i="1"/>
  <c r="AK758" i="1"/>
  <c r="AI758" i="1"/>
  <c r="AF766" i="1"/>
  <c r="AG766" i="1"/>
  <c r="AF774" i="1"/>
  <c r="AG774" i="1"/>
  <c r="AF782" i="1"/>
  <c r="AG782" i="1"/>
  <c r="AF790" i="1"/>
  <c r="AG790" i="1"/>
  <c r="AF798" i="1"/>
  <c r="AG798" i="1"/>
  <c r="AJ806" i="1"/>
  <c r="AK806" i="1"/>
  <c r="AI806" i="1"/>
  <c r="AJ814" i="1"/>
  <c r="AK814" i="1"/>
  <c r="AI814" i="1"/>
  <c r="AF821" i="1"/>
  <c r="AG821" i="1"/>
  <c r="AF829" i="1"/>
  <c r="AG829" i="1"/>
  <c r="AF837" i="1"/>
  <c r="AG837" i="1"/>
  <c r="AH845" i="1"/>
  <c r="AF845" i="1"/>
  <c r="AG845" i="1"/>
  <c r="BD955" i="1"/>
  <c r="BD899" i="1"/>
  <c r="BD947" i="1"/>
  <c r="BD720" i="1"/>
  <c r="BD712" i="1"/>
  <c r="BB715" i="1"/>
  <c r="BD715" i="1" s="1"/>
  <c r="BB972" i="1"/>
  <c r="BD972" i="1" s="1"/>
  <c r="BD916" i="1"/>
  <c r="BB952" i="1"/>
  <c r="BD952" i="1" s="1"/>
  <c r="BD970" i="1"/>
  <c r="BD884" i="1"/>
  <c r="BB969" i="1"/>
  <c r="BD969" i="1" s="1"/>
  <c r="AH866" i="1"/>
  <c r="AF866" i="1"/>
  <c r="AG866" i="1"/>
  <c r="AJ15" i="1"/>
  <c r="AI15" i="1"/>
  <c r="AJ23" i="1"/>
  <c r="AK23" i="1"/>
  <c r="AI23" i="1"/>
  <c r="AK31" i="1"/>
  <c r="AI31" i="1"/>
  <c r="AJ31" i="1"/>
  <c r="AH39" i="1"/>
  <c r="AG39" i="1"/>
  <c r="AH47" i="1"/>
  <c r="AG47" i="1"/>
  <c r="AH55" i="1"/>
  <c r="AG55" i="1"/>
  <c r="AH63" i="1"/>
  <c r="AG63" i="1"/>
  <c r="AH71" i="1"/>
  <c r="AG71" i="1"/>
  <c r="AH79" i="1"/>
  <c r="AG79" i="1"/>
  <c r="AH87" i="1"/>
  <c r="AG87" i="1"/>
  <c r="AF95" i="1"/>
  <c r="AG95" i="1"/>
  <c r="AH95" i="1"/>
  <c r="AH103" i="1"/>
  <c r="AF103" i="1"/>
  <c r="AG103" i="1"/>
  <c r="AH111" i="1"/>
  <c r="AF111" i="1"/>
  <c r="AG111" i="1"/>
  <c r="AF119" i="1"/>
  <c r="AH119" i="1"/>
  <c r="AG119" i="1"/>
  <c r="AH127" i="1"/>
  <c r="AF127" i="1"/>
  <c r="AG127" i="1"/>
  <c r="AK135" i="1"/>
  <c r="AJ135" i="1"/>
  <c r="AH143" i="1"/>
  <c r="AG143" i="1"/>
  <c r="AF143" i="1"/>
  <c r="AK151" i="1"/>
  <c r="AJ151" i="1"/>
  <c r="AK159" i="1"/>
  <c r="AJ159" i="1"/>
  <c r="AH167" i="1"/>
  <c r="AF167" i="1"/>
  <c r="AG167" i="1"/>
  <c r="AK175" i="1"/>
  <c r="AJ175" i="1"/>
  <c r="AH191" i="1"/>
  <c r="AF191" i="1"/>
  <c r="AG191" i="1"/>
  <c r="AH199" i="1"/>
  <c r="AF199" i="1"/>
  <c r="AG199" i="1"/>
  <c r="AI207" i="1"/>
  <c r="AJ207" i="1"/>
  <c r="AI215" i="1"/>
  <c r="AJ215" i="1"/>
  <c r="AI223" i="1"/>
  <c r="AJ223" i="1"/>
  <c r="AI231" i="1"/>
  <c r="AJ231" i="1"/>
  <c r="AI239" i="1"/>
  <c r="AJ239" i="1"/>
  <c r="AI247" i="1"/>
  <c r="AJ247" i="1"/>
  <c r="AI255" i="1"/>
  <c r="AJ255" i="1"/>
  <c r="AI263" i="1"/>
  <c r="AJ263" i="1"/>
  <c r="AI271" i="1"/>
  <c r="AJ271" i="1"/>
  <c r="AI279" i="1"/>
  <c r="AJ279" i="1"/>
  <c r="AI287" i="1"/>
  <c r="AJ287" i="1"/>
  <c r="AI295" i="1"/>
  <c r="AJ295" i="1"/>
  <c r="AI303" i="1"/>
  <c r="AJ303" i="1"/>
  <c r="AI311" i="1"/>
  <c r="AJ311" i="1"/>
  <c r="AI319" i="1"/>
  <c r="AJ319" i="1"/>
  <c r="AI327" i="1"/>
  <c r="AJ327" i="1"/>
  <c r="AK327" i="1"/>
  <c r="AK335" i="1"/>
  <c r="AI335" i="1"/>
  <c r="AJ335" i="1"/>
  <c r="AK343" i="1"/>
  <c r="AI343" i="1"/>
  <c r="AJ343" i="1"/>
  <c r="AK351" i="1"/>
  <c r="AI351" i="1"/>
  <c r="AJ351" i="1"/>
  <c r="AF359" i="1"/>
  <c r="AG359" i="1"/>
  <c r="AF367" i="1"/>
  <c r="AG367" i="1"/>
  <c r="AF375" i="1"/>
  <c r="AG375" i="1"/>
  <c r="AF383" i="1"/>
  <c r="AG383" i="1"/>
  <c r="AF391" i="1"/>
  <c r="AG391" i="1"/>
  <c r="AF399" i="1"/>
  <c r="AG399" i="1"/>
  <c r="AI415" i="1"/>
  <c r="AK415" i="1"/>
  <c r="AJ415" i="1"/>
  <c r="AK423" i="1"/>
  <c r="AI423" i="1"/>
  <c r="AJ423" i="1"/>
  <c r="AK431" i="1"/>
  <c r="AI431" i="1"/>
  <c r="AJ431" i="1"/>
  <c r="AK439" i="1"/>
  <c r="AI439" i="1"/>
  <c r="AJ439" i="1"/>
  <c r="AK447" i="1"/>
  <c r="AI447" i="1"/>
  <c r="AJ447" i="1"/>
  <c r="AK455" i="1"/>
  <c r="AI455" i="1"/>
  <c r="AJ455" i="1"/>
  <c r="AK463" i="1"/>
  <c r="AI463" i="1"/>
  <c r="AJ463" i="1"/>
  <c r="AH471" i="1"/>
  <c r="AF471" i="1"/>
  <c r="AG471" i="1"/>
  <c r="AK479" i="1"/>
  <c r="AI479" i="1"/>
  <c r="AJ479" i="1"/>
  <c r="AI487" i="1"/>
  <c r="AJ487" i="1"/>
  <c r="AK487" i="1"/>
  <c r="AI495" i="1"/>
  <c r="AJ495" i="1"/>
  <c r="AK495" i="1"/>
  <c r="AK503" i="1"/>
  <c r="AI503" i="1"/>
  <c r="AJ503" i="1"/>
  <c r="AJ511" i="1"/>
  <c r="AK511" i="1"/>
  <c r="AI511" i="1"/>
  <c r="AH519" i="1"/>
  <c r="AF519" i="1"/>
  <c r="AG519" i="1"/>
  <c r="AH527" i="1"/>
  <c r="AF527" i="1"/>
  <c r="AG527" i="1"/>
  <c r="AH535" i="1"/>
  <c r="AF535" i="1"/>
  <c r="AG535" i="1"/>
  <c r="AH543" i="1"/>
  <c r="AF543" i="1"/>
  <c r="AG543" i="1"/>
  <c r="AI551" i="1"/>
  <c r="AJ551" i="1"/>
  <c r="AK551" i="1"/>
  <c r="AF559" i="1"/>
  <c r="AG559" i="1"/>
  <c r="AF567" i="1"/>
  <c r="AG567" i="1"/>
  <c r="AF575" i="1"/>
  <c r="AG575" i="1"/>
  <c r="AH583" i="1"/>
  <c r="AF583" i="1"/>
  <c r="AG583" i="1"/>
  <c r="AH591" i="1"/>
  <c r="AF591" i="1"/>
  <c r="AG591" i="1"/>
  <c r="AH599" i="1"/>
  <c r="AF599" i="1"/>
  <c r="AG599" i="1"/>
  <c r="AI607" i="1"/>
  <c r="AJ607" i="1"/>
  <c r="AK607" i="1"/>
  <c r="AF615" i="1"/>
  <c r="AG615" i="1"/>
  <c r="AF623" i="1"/>
  <c r="AG623" i="1"/>
  <c r="AF631" i="1"/>
  <c r="AG631" i="1"/>
  <c r="AF639" i="1"/>
  <c r="AG639" i="1"/>
  <c r="AF647" i="1"/>
  <c r="AG647" i="1"/>
  <c r="AI655" i="1"/>
  <c r="AJ655" i="1"/>
  <c r="AK655" i="1"/>
  <c r="AI663" i="1"/>
  <c r="AJ663" i="1"/>
  <c r="AK663" i="1"/>
  <c r="AI671" i="1"/>
  <c r="AJ671" i="1"/>
  <c r="AK671" i="1"/>
  <c r="AI679" i="1"/>
  <c r="AJ679" i="1"/>
  <c r="AK679" i="1"/>
  <c r="AI687" i="1"/>
  <c r="AJ687" i="1"/>
  <c r="AK687" i="1"/>
  <c r="AI695" i="1"/>
  <c r="AJ695" i="1"/>
  <c r="AK695" i="1"/>
  <c r="AH703" i="1"/>
  <c r="AF703" i="1"/>
  <c r="AG703" i="1"/>
  <c r="AK711" i="1"/>
  <c r="AJ711" i="1"/>
  <c r="AK719" i="1"/>
  <c r="AJ719" i="1"/>
  <c r="AF822" i="1"/>
  <c r="AG822" i="1"/>
  <c r="AH822" i="1"/>
  <c r="AK830" i="1"/>
  <c r="AJ830" i="1"/>
  <c r="AK838" i="1"/>
  <c r="AJ838" i="1"/>
  <c r="AI846" i="1"/>
  <c r="AJ846" i="1"/>
  <c r="AK846" i="1"/>
  <c r="AI854" i="1"/>
  <c r="AJ854" i="1"/>
  <c r="AK854" i="1"/>
  <c r="AH888" i="1"/>
  <c r="AG888" i="1"/>
  <c r="AF888" i="1"/>
  <c r="AJ857" i="1"/>
  <c r="AK857" i="1"/>
  <c r="AI857" i="1"/>
  <c r="AH880" i="1"/>
  <c r="AF880" i="1"/>
  <c r="AG880" i="1"/>
  <c r="AH900" i="1"/>
  <c r="AF900" i="1"/>
  <c r="AG900" i="1"/>
  <c r="AK908" i="1"/>
  <c r="AJ908" i="1"/>
  <c r="AJ925" i="1"/>
  <c r="AI925" i="1"/>
  <c r="AK925" i="1"/>
  <c r="AI927" i="1"/>
  <c r="AJ927" i="1"/>
  <c r="AK927" i="1"/>
  <c r="AI939" i="1"/>
  <c r="AJ939" i="1"/>
  <c r="AK939" i="1"/>
  <c r="AJ945" i="1"/>
  <c r="AI945" i="1"/>
  <c r="AK945" i="1"/>
  <c r="AI948" i="1"/>
  <c r="AJ948" i="1"/>
  <c r="AK948" i="1"/>
  <c r="AK950" i="1"/>
  <c r="AJ950" i="1"/>
  <c r="AI983" i="1"/>
  <c r="AJ983" i="1"/>
  <c r="AK983" i="1"/>
  <c r="AI1006" i="1"/>
  <c r="AJ1006" i="1"/>
  <c r="AK1006" i="1"/>
  <c r="AI1014" i="1"/>
  <c r="AJ1014" i="1"/>
  <c r="AK1014" i="1"/>
  <c r="AI1022" i="1"/>
  <c r="AJ1022" i="1"/>
  <c r="AK1022" i="1"/>
  <c r="AI1030" i="1"/>
  <c r="AJ1030" i="1"/>
  <c r="AK1030" i="1"/>
  <c r="AI1038" i="1"/>
  <c r="AJ1038" i="1"/>
  <c r="AK1038" i="1"/>
  <c r="AG16" i="1"/>
  <c r="AF16" i="1"/>
  <c r="AH16" i="1"/>
  <c r="AK24" i="1"/>
  <c r="AJ24" i="1"/>
  <c r="AI24" i="1"/>
  <c r="AK32" i="1"/>
  <c r="AJ32" i="1"/>
  <c r="AI32" i="1"/>
  <c r="AG40" i="1"/>
  <c r="AF40" i="1"/>
  <c r="AH40" i="1"/>
  <c r="AG48" i="1"/>
  <c r="AH48" i="1"/>
  <c r="AF48" i="1"/>
  <c r="AJ96" i="1"/>
  <c r="AK96" i="1"/>
  <c r="AI96" i="1"/>
  <c r="AJ104" i="1"/>
  <c r="AK104" i="1"/>
  <c r="AI104" i="1"/>
  <c r="AH112" i="1"/>
  <c r="AG112" i="1"/>
  <c r="AH120" i="1"/>
  <c r="AG120" i="1"/>
  <c r="AH128" i="1"/>
  <c r="AG128" i="1"/>
  <c r="AH136" i="1"/>
  <c r="AG136" i="1"/>
  <c r="AH144" i="1"/>
  <c r="AG144" i="1"/>
  <c r="AH152" i="1"/>
  <c r="AG152" i="1"/>
  <c r="AH160" i="1"/>
  <c r="AG160" i="1"/>
  <c r="AH168" i="1"/>
  <c r="AG168" i="1"/>
  <c r="AH176" i="1"/>
  <c r="AG176" i="1"/>
  <c r="AF192" i="1"/>
  <c r="AG192" i="1"/>
  <c r="AF200" i="1"/>
  <c r="AG200" i="1"/>
  <c r="AF208" i="1"/>
  <c r="AG208" i="1"/>
  <c r="AF216" i="1"/>
  <c r="AG216" i="1"/>
  <c r="AF224" i="1"/>
  <c r="AG224" i="1"/>
  <c r="AJ232" i="1"/>
  <c r="AK232" i="1"/>
  <c r="AI232" i="1"/>
  <c r="AJ240" i="1"/>
  <c r="AK240" i="1"/>
  <c r="AI240" i="1"/>
  <c r="AJ248" i="1"/>
  <c r="AK248" i="1"/>
  <c r="AI248" i="1"/>
  <c r="AJ256" i="1"/>
  <c r="AK256" i="1"/>
  <c r="AI256" i="1"/>
  <c r="AJ264" i="1"/>
  <c r="AK264" i="1"/>
  <c r="AI264" i="1"/>
  <c r="AF272" i="1"/>
  <c r="AG272" i="1"/>
  <c r="AF280" i="1"/>
  <c r="AG280" i="1"/>
  <c r="AJ288" i="1"/>
  <c r="AK288" i="1"/>
  <c r="AI288" i="1"/>
  <c r="AF296" i="1"/>
  <c r="AG296" i="1"/>
  <c r="AJ304" i="1"/>
  <c r="AK304" i="1"/>
  <c r="AI304" i="1"/>
  <c r="AF312" i="1"/>
  <c r="AG312" i="1"/>
  <c r="AJ320" i="1"/>
  <c r="AK320" i="1"/>
  <c r="AI320" i="1"/>
  <c r="AF328" i="1"/>
  <c r="AH328" i="1"/>
  <c r="AF368" i="1"/>
  <c r="AH368" i="1"/>
  <c r="AG368" i="1"/>
  <c r="AF376" i="1"/>
  <c r="AH376" i="1"/>
  <c r="AG376" i="1"/>
  <c r="AG384" i="1"/>
  <c r="AH384" i="1"/>
  <c r="AF384" i="1"/>
  <c r="AF392" i="1"/>
  <c r="AG392" i="1"/>
  <c r="AH392" i="1"/>
  <c r="AF400" i="1"/>
  <c r="AG400" i="1"/>
  <c r="AH400" i="1"/>
  <c r="AF408" i="1"/>
  <c r="AG408" i="1"/>
  <c r="AH408" i="1"/>
  <c r="AJ416" i="1"/>
  <c r="AI416" i="1"/>
  <c r="AJ424" i="1"/>
  <c r="AK424" i="1"/>
  <c r="AJ432" i="1"/>
  <c r="AK432" i="1"/>
  <c r="AJ440" i="1"/>
  <c r="AK440" i="1"/>
  <c r="AJ448" i="1"/>
  <c r="AK448" i="1"/>
  <c r="AJ456" i="1"/>
  <c r="AK456" i="1"/>
  <c r="AJ464" i="1"/>
  <c r="AK464" i="1"/>
  <c r="AF472" i="1"/>
  <c r="AG472" i="1"/>
  <c r="AJ480" i="1"/>
  <c r="AK480" i="1"/>
  <c r="AF488" i="1"/>
  <c r="AG488" i="1"/>
  <c r="AF496" i="1"/>
  <c r="AG496" i="1"/>
  <c r="AJ504" i="1"/>
  <c r="AK504" i="1"/>
  <c r="AF512" i="1"/>
  <c r="AG512" i="1"/>
  <c r="AF520" i="1"/>
  <c r="AG520" i="1"/>
  <c r="AF528" i="1"/>
  <c r="AG528" i="1"/>
  <c r="AF536" i="1"/>
  <c r="AG536" i="1"/>
  <c r="AF544" i="1"/>
  <c r="AG544" i="1"/>
  <c r="AF552" i="1"/>
  <c r="AG552" i="1"/>
  <c r="AF584" i="1"/>
  <c r="AH584" i="1"/>
  <c r="AG584" i="1"/>
  <c r="AF592" i="1"/>
  <c r="AG592" i="1"/>
  <c r="AF600" i="1"/>
  <c r="AG600" i="1"/>
  <c r="AF608" i="1"/>
  <c r="AH608" i="1"/>
  <c r="AG608" i="1"/>
  <c r="AG616" i="1"/>
  <c r="AF616" i="1"/>
  <c r="AH616" i="1"/>
  <c r="AG624" i="1"/>
  <c r="AF624" i="1"/>
  <c r="AH624" i="1"/>
  <c r="AG632" i="1"/>
  <c r="AF632" i="1"/>
  <c r="AH632" i="1"/>
  <c r="AG640" i="1"/>
  <c r="AF640" i="1"/>
  <c r="AH640" i="1"/>
  <c r="AG648" i="1"/>
  <c r="AH648" i="1"/>
  <c r="AF648" i="1"/>
  <c r="AF656" i="1"/>
  <c r="AG656" i="1"/>
  <c r="AH656" i="1"/>
  <c r="AF664" i="1"/>
  <c r="AG664" i="1"/>
  <c r="AH664" i="1"/>
  <c r="AF672" i="1"/>
  <c r="AG672" i="1"/>
  <c r="AH672" i="1"/>
  <c r="AF680" i="1"/>
  <c r="AG680" i="1"/>
  <c r="AH680" i="1"/>
  <c r="AF688" i="1"/>
  <c r="AG688" i="1"/>
  <c r="AH688" i="1"/>
  <c r="AF696" i="1"/>
  <c r="AG696" i="1"/>
  <c r="AH696" i="1"/>
  <c r="AH704" i="1"/>
  <c r="AG704" i="1"/>
  <c r="AH712" i="1"/>
  <c r="AG712" i="1"/>
  <c r="AH720" i="1"/>
  <c r="AG720" i="1"/>
  <c r="AH728" i="1"/>
  <c r="AG728" i="1"/>
  <c r="AH736" i="1"/>
  <c r="AG736" i="1"/>
  <c r="AH744" i="1"/>
  <c r="AG744" i="1"/>
  <c r="AH752" i="1"/>
  <c r="AG752" i="1"/>
  <c r="AF760" i="1"/>
  <c r="AH760" i="1"/>
  <c r="AG760" i="1"/>
  <c r="AF768" i="1"/>
  <c r="AG768" i="1"/>
  <c r="AH768" i="1"/>
  <c r="AF776" i="1"/>
  <c r="AG776" i="1"/>
  <c r="AH776" i="1"/>
  <c r="AF784" i="1"/>
  <c r="AG784" i="1"/>
  <c r="AH784" i="1"/>
  <c r="AF792" i="1"/>
  <c r="AG792" i="1"/>
  <c r="AH792" i="1"/>
  <c r="AF800" i="1"/>
  <c r="AG800" i="1"/>
  <c r="AH800" i="1"/>
  <c r="AK808" i="1"/>
  <c r="AI808" i="1"/>
  <c r="AK816" i="1"/>
  <c r="AI816" i="1"/>
  <c r="AF823" i="1"/>
  <c r="AG823" i="1"/>
  <c r="AH823" i="1"/>
  <c r="AJ831" i="1"/>
  <c r="AK831" i="1"/>
  <c r="AI831" i="1"/>
  <c r="AJ839" i="1"/>
  <c r="AK839" i="1"/>
  <c r="AI839" i="1"/>
  <c r="AH847" i="1"/>
  <c r="AG847" i="1"/>
  <c r="AJ881" i="1"/>
  <c r="AK881" i="1"/>
  <c r="AI881" i="1"/>
  <c r="AI967" i="1"/>
  <c r="AJ967" i="1"/>
  <c r="AK967" i="1"/>
  <c r="AK974" i="1"/>
  <c r="AI974" i="1"/>
  <c r="AJ974" i="1"/>
  <c r="AJ994" i="1"/>
  <c r="AK994" i="1"/>
  <c r="AI994" i="1"/>
  <c r="AI1003" i="1"/>
  <c r="AJ1003" i="1"/>
  <c r="AK1003" i="1"/>
  <c r="AI1019" i="1"/>
  <c r="AJ1019" i="1"/>
  <c r="AK1019" i="1"/>
  <c r="AI1035" i="1"/>
  <c r="AJ1035" i="1"/>
  <c r="AK1035" i="1"/>
  <c r="AH13" i="1"/>
  <c r="AF13" i="1"/>
  <c r="AG13" i="1"/>
  <c r="AJ21" i="1"/>
  <c r="AK21" i="1"/>
  <c r="AI21" i="1"/>
  <c r="AJ29" i="1"/>
  <c r="AI29" i="1"/>
  <c r="AK29" i="1"/>
  <c r="AH37" i="1"/>
  <c r="AF37" i="1"/>
  <c r="AG37" i="1"/>
  <c r="AH45" i="1"/>
  <c r="AF45" i="1"/>
  <c r="AG45" i="1"/>
  <c r="AJ53" i="1"/>
  <c r="AI53" i="1"/>
  <c r="AK53" i="1"/>
  <c r="AJ61" i="1"/>
  <c r="AI61" i="1"/>
  <c r="AK61" i="1"/>
  <c r="AH69" i="1"/>
  <c r="AF69" i="1"/>
  <c r="AG69" i="1"/>
  <c r="AF77" i="1"/>
  <c r="AG77" i="1"/>
  <c r="AF85" i="1"/>
  <c r="AG85" i="1"/>
  <c r="AI93" i="1"/>
  <c r="AK93" i="1"/>
  <c r="AJ93" i="1"/>
  <c r="AF101" i="1"/>
  <c r="AH101" i="1"/>
  <c r="AG101" i="1"/>
  <c r="AF109" i="1"/>
  <c r="AH109" i="1"/>
  <c r="AG109" i="1"/>
  <c r="AH117" i="1"/>
  <c r="AF117" i="1"/>
  <c r="AG117" i="1"/>
  <c r="AF125" i="1"/>
  <c r="AH125" i="1"/>
  <c r="AG125" i="1"/>
  <c r="AH133" i="1"/>
  <c r="AF133" i="1"/>
  <c r="AG133" i="1"/>
  <c r="AI141" i="1"/>
  <c r="AJ141" i="1"/>
  <c r="AH149" i="1"/>
  <c r="AG149" i="1"/>
  <c r="AF149" i="1"/>
  <c r="AH157" i="1"/>
  <c r="AF157" i="1"/>
  <c r="AG157" i="1"/>
  <c r="AI165" i="1"/>
  <c r="AJ165" i="1"/>
  <c r="AH173" i="1"/>
  <c r="AF173" i="1"/>
  <c r="AG173" i="1"/>
  <c r="AH181" i="1"/>
  <c r="AF181" i="1"/>
  <c r="AG181" i="1"/>
  <c r="AH189" i="1"/>
  <c r="AF189" i="1"/>
  <c r="AG189" i="1"/>
  <c r="AH197" i="1"/>
  <c r="AF197" i="1"/>
  <c r="AG197" i="1"/>
  <c r="AK205" i="1"/>
  <c r="AJ205" i="1"/>
  <c r="AH213" i="1"/>
  <c r="AF213" i="1"/>
  <c r="AG213" i="1"/>
  <c r="AH221" i="1"/>
  <c r="AF221" i="1"/>
  <c r="AG221" i="1"/>
  <c r="AF229" i="1"/>
  <c r="AH229" i="1"/>
  <c r="AG229" i="1"/>
  <c r="AF237" i="1"/>
  <c r="AH237" i="1"/>
  <c r="AG237" i="1"/>
  <c r="AF245" i="1"/>
  <c r="AG245" i="1"/>
  <c r="AH245" i="1"/>
  <c r="AF253" i="1"/>
  <c r="AG253" i="1"/>
  <c r="AH253" i="1"/>
  <c r="AF261" i="1"/>
  <c r="AG261" i="1"/>
  <c r="AH261" i="1"/>
  <c r="AF269" i="1"/>
  <c r="AG269" i="1"/>
  <c r="AH269" i="1"/>
  <c r="AH277" i="1"/>
  <c r="AF277" i="1"/>
  <c r="AG277" i="1"/>
  <c r="AK285" i="1"/>
  <c r="AJ285" i="1"/>
  <c r="AK293" i="1"/>
  <c r="AJ293" i="1"/>
  <c r="AK301" i="1"/>
  <c r="AJ301" i="1"/>
  <c r="AK309" i="1"/>
  <c r="AJ309" i="1"/>
  <c r="AK317" i="1"/>
  <c r="AJ317" i="1"/>
  <c r="AH325" i="1"/>
  <c r="AF325" i="1"/>
  <c r="AG325" i="1"/>
  <c r="AJ333" i="1"/>
  <c r="AI333" i="1"/>
  <c r="AJ341" i="1"/>
  <c r="AI341" i="1"/>
  <c r="AJ349" i="1"/>
  <c r="AI349" i="1"/>
  <c r="AJ357" i="1"/>
  <c r="AI357" i="1"/>
  <c r="AF365" i="1"/>
  <c r="AG365" i="1"/>
  <c r="AH365" i="1"/>
  <c r="AF373" i="1"/>
  <c r="AH373" i="1"/>
  <c r="AG373" i="1"/>
  <c r="AH381" i="1"/>
  <c r="AF381" i="1"/>
  <c r="AG381" i="1"/>
  <c r="AH389" i="1"/>
  <c r="AF389" i="1"/>
  <c r="AG389" i="1"/>
  <c r="AH397" i="1"/>
  <c r="AF397" i="1"/>
  <c r="AG397" i="1"/>
  <c r="AH405" i="1"/>
  <c r="AF405" i="1"/>
  <c r="AG405" i="1"/>
  <c r="AH413" i="1"/>
  <c r="AF413" i="1"/>
  <c r="AG413" i="1"/>
  <c r="AH477" i="1"/>
  <c r="AF477" i="1"/>
  <c r="AG477" i="1"/>
  <c r="AK485" i="1"/>
  <c r="AI485" i="1"/>
  <c r="AK493" i="1"/>
  <c r="AI493" i="1"/>
  <c r="AK501" i="1"/>
  <c r="AI501" i="1"/>
  <c r="AH509" i="1"/>
  <c r="AF509" i="1"/>
  <c r="AG509" i="1"/>
  <c r="AH517" i="1"/>
  <c r="AF517" i="1"/>
  <c r="AG517" i="1"/>
  <c r="AK525" i="1"/>
  <c r="AI525" i="1"/>
  <c r="AK533" i="1"/>
  <c r="AI533" i="1"/>
  <c r="AK541" i="1"/>
  <c r="AI541" i="1"/>
  <c r="AK549" i="1"/>
  <c r="AI549" i="1"/>
  <c r="AK557" i="1"/>
  <c r="AI557" i="1"/>
  <c r="AK565" i="1"/>
  <c r="AI565" i="1"/>
  <c r="AK573" i="1"/>
  <c r="AI573" i="1"/>
  <c r="AK581" i="1"/>
  <c r="AI581" i="1"/>
  <c r="AK589" i="1"/>
  <c r="AI589" i="1"/>
  <c r="AK597" i="1"/>
  <c r="AI597" i="1"/>
  <c r="AH613" i="1"/>
  <c r="AG613" i="1"/>
  <c r="AH621" i="1"/>
  <c r="AG621" i="1"/>
  <c r="AH629" i="1"/>
  <c r="AG629" i="1"/>
  <c r="AH637" i="1"/>
  <c r="AG637" i="1"/>
  <c r="AJ645" i="1"/>
  <c r="AK645" i="1"/>
  <c r="AI645" i="1"/>
  <c r="AJ653" i="1"/>
  <c r="AI653" i="1"/>
  <c r="AK653" i="1"/>
  <c r="AK661" i="1"/>
  <c r="AI661" i="1"/>
  <c r="AJ661" i="1"/>
  <c r="AK669" i="1"/>
  <c r="AI669" i="1"/>
  <c r="AJ669" i="1"/>
  <c r="AK677" i="1"/>
  <c r="AI677" i="1"/>
  <c r="AJ677" i="1"/>
  <c r="AK685" i="1"/>
  <c r="AI685" i="1"/>
  <c r="AJ685" i="1"/>
  <c r="AH693" i="1"/>
  <c r="AG693" i="1"/>
  <c r="AI701" i="1"/>
  <c r="AJ701" i="1"/>
  <c r="AH709" i="1"/>
  <c r="AF709" i="1"/>
  <c r="AG709" i="1"/>
  <c r="AK717" i="1"/>
  <c r="AI717" i="1"/>
  <c r="AJ717" i="1"/>
  <c r="AK725" i="1"/>
  <c r="AJ725" i="1"/>
  <c r="AI725" i="1"/>
  <c r="AH733" i="1"/>
  <c r="AF733" i="1"/>
  <c r="AG733" i="1"/>
  <c r="AK741" i="1"/>
  <c r="AJ741" i="1"/>
  <c r="AI741" i="1"/>
  <c r="AH749" i="1"/>
  <c r="AF749" i="1"/>
  <c r="AG749" i="1"/>
  <c r="AK757" i="1"/>
  <c r="AJ757" i="1"/>
  <c r="AI757" i="1"/>
  <c r="AH765" i="1"/>
  <c r="AF765" i="1"/>
  <c r="AG765" i="1"/>
  <c r="AH773" i="1"/>
  <c r="AF773" i="1"/>
  <c r="AG773" i="1"/>
  <c r="AH781" i="1"/>
  <c r="AF781" i="1"/>
  <c r="AG781" i="1"/>
  <c r="AH789" i="1"/>
  <c r="AF789" i="1"/>
  <c r="AG789" i="1"/>
  <c r="AH797" i="1"/>
  <c r="AF797" i="1"/>
  <c r="AG797" i="1"/>
  <c r="AK805" i="1"/>
  <c r="AI805" i="1"/>
  <c r="AJ805" i="1"/>
  <c r="AK813" i="1"/>
  <c r="AI813" i="1"/>
  <c r="AJ813" i="1"/>
  <c r="AH820" i="1"/>
  <c r="AF820" i="1"/>
  <c r="AG820" i="1"/>
  <c r="AH828" i="1"/>
  <c r="AF828" i="1"/>
  <c r="AG828" i="1"/>
  <c r="AK923" i="1"/>
  <c r="AI923" i="1"/>
  <c r="AJ923" i="1"/>
  <c r="AJ986" i="1"/>
  <c r="AK986" i="1"/>
  <c r="AI986" i="1"/>
  <c r="AK995" i="1"/>
  <c r="AI995" i="1"/>
  <c r="AJ995" i="1"/>
  <c r="AH998" i="1"/>
  <c r="AF998" i="1"/>
  <c r="AG998" i="1"/>
  <c r="AI18" i="1"/>
  <c r="AJ18" i="1"/>
  <c r="AK18" i="1"/>
  <c r="AH26" i="1"/>
  <c r="AF26" i="1"/>
  <c r="AG26" i="1"/>
  <c r="AH34" i="1"/>
  <c r="AF34" i="1"/>
  <c r="AG34" i="1"/>
  <c r="AJ42" i="1"/>
  <c r="AK42" i="1"/>
  <c r="AI42" i="1"/>
  <c r="AH50" i="1"/>
  <c r="AF50" i="1"/>
  <c r="AG50" i="1"/>
  <c r="AH58" i="1"/>
  <c r="AF58" i="1"/>
  <c r="AG58" i="1"/>
  <c r="AF66" i="1"/>
  <c r="AH66" i="1"/>
  <c r="AG66" i="1"/>
  <c r="AK74" i="1"/>
  <c r="AJ74" i="1"/>
  <c r="AK82" i="1"/>
  <c r="AJ82" i="1"/>
  <c r="AK90" i="1"/>
  <c r="AJ90" i="1"/>
  <c r="AH98" i="1"/>
  <c r="AF98" i="1"/>
  <c r="AG98" i="1"/>
  <c r="AJ106" i="1"/>
  <c r="AI106" i="1"/>
  <c r="AK106" i="1"/>
  <c r="AF114" i="1"/>
  <c r="AG114" i="1"/>
  <c r="AF122" i="1"/>
  <c r="AG122" i="1"/>
  <c r="AF130" i="1"/>
  <c r="AG130" i="1"/>
  <c r="AF138" i="1"/>
  <c r="AG138" i="1"/>
  <c r="AF146" i="1"/>
  <c r="AG146" i="1"/>
  <c r="AI154" i="1"/>
  <c r="AJ154" i="1"/>
  <c r="AK154" i="1"/>
  <c r="AF162" i="1"/>
  <c r="AG162" i="1"/>
  <c r="AI170" i="1"/>
  <c r="AJ170" i="1"/>
  <c r="AK170" i="1"/>
  <c r="AI178" i="1"/>
  <c r="AJ178" i="1"/>
  <c r="AK178" i="1"/>
  <c r="AI186" i="1"/>
  <c r="AJ186" i="1"/>
  <c r="AK186" i="1"/>
  <c r="AJ194" i="1"/>
  <c r="AI194" i="1"/>
  <c r="AK194" i="1"/>
  <c r="AJ202" i="1"/>
  <c r="AI202" i="1"/>
  <c r="AK202" i="1"/>
  <c r="AI210" i="1"/>
  <c r="AJ210" i="1"/>
  <c r="AK210" i="1"/>
  <c r="AI218" i="1"/>
  <c r="AJ218" i="1"/>
  <c r="AK218" i="1"/>
  <c r="AK226" i="1"/>
  <c r="AI226" i="1"/>
  <c r="AJ226" i="1"/>
  <c r="AH234" i="1"/>
  <c r="AG234" i="1"/>
  <c r="AH242" i="1"/>
  <c r="AG242" i="1"/>
  <c r="AH250" i="1"/>
  <c r="AG250" i="1"/>
  <c r="AH258" i="1"/>
  <c r="AG258" i="1"/>
  <c r="AH266" i="1"/>
  <c r="AG266" i="1"/>
  <c r="AI274" i="1"/>
  <c r="AJ274" i="1"/>
  <c r="AK274" i="1"/>
  <c r="AK282" i="1"/>
  <c r="AI282" i="1"/>
  <c r="AJ282" i="1"/>
  <c r="AI290" i="1"/>
  <c r="AJ290" i="1"/>
  <c r="AK290" i="1"/>
  <c r="AK298" i="1"/>
  <c r="AI298" i="1"/>
  <c r="AJ298" i="1"/>
  <c r="AI306" i="1"/>
  <c r="AJ306" i="1"/>
  <c r="AK306" i="1"/>
  <c r="AK314" i="1"/>
  <c r="AI314" i="1"/>
  <c r="AJ314" i="1"/>
  <c r="AJ322" i="1"/>
  <c r="AK322" i="1"/>
  <c r="AI322" i="1"/>
  <c r="AK330" i="1"/>
  <c r="AI330" i="1"/>
  <c r="AJ330" i="1"/>
  <c r="AK338" i="1"/>
  <c r="AI338" i="1"/>
  <c r="AJ338" i="1"/>
  <c r="AK346" i="1"/>
  <c r="AI346" i="1"/>
  <c r="AJ346" i="1"/>
  <c r="AK354" i="1"/>
  <c r="AI354" i="1"/>
  <c r="AJ354" i="1"/>
  <c r="AF362" i="1"/>
  <c r="AH362" i="1"/>
  <c r="AG362" i="1"/>
  <c r="AI370" i="1"/>
  <c r="AK370" i="1"/>
  <c r="AJ370" i="1"/>
  <c r="AK378" i="1"/>
  <c r="AI378" i="1"/>
  <c r="AJ378" i="1"/>
  <c r="AH386" i="1"/>
  <c r="AF386" i="1"/>
  <c r="AG386" i="1"/>
  <c r="AH394" i="1"/>
  <c r="AF394" i="1"/>
  <c r="AG394" i="1"/>
  <c r="AH402" i="1"/>
  <c r="AF402" i="1"/>
  <c r="AG402" i="1"/>
  <c r="AJ410" i="1"/>
  <c r="AK410" i="1"/>
  <c r="AI410" i="1"/>
  <c r="AH418" i="1"/>
  <c r="AF418" i="1"/>
  <c r="AG418" i="1"/>
  <c r="AK426" i="1"/>
  <c r="AJ426" i="1"/>
  <c r="AI426" i="1"/>
  <c r="AK434" i="1"/>
  <c r="AJ434" i="1"/>
  <c r="AI434" i="1"/>
  <c r="AK442" i="1"/>
  <c r="AJ442" i="1"/>
  <c r="AI442" i="1"/>
  <c r="AK450" i="1"/>
  <c r="AJ450" i="1"/>
  <c r="AI450" i="1"/>
  <c r="AK458" i="1"/>
  <c r="AJ458" i="1"/>
  <c r="AI458" i="1"/>
  <c r="AJ466" i="1"/>
  <c r="AK466" i="1"/>
  <c r="AI466" i="1"/>
  <c r="AI474" i="1"/>
  <c r="AJ474" i="1"/>
  <c r="AK474" i="1"/>
  <c r="AJ482" i="1"/>
  <c r="AK482" i="1"/>
  <c r="AI482" i="1"/>
  <c r="AJ490" i="1"/>
  <c r="AK490" i="1"/>
  <c r="AI490" i="1"/>
  <c r="AJ498" i="1"/>
  <c r="AK498" i="1"/>
  <c r="AI498" i="1"/>
  <c r="AH506" i="1"/>
  <c r="AF506" i="1"/>
  <c r="AG506" i="1"/>
  <c r="AK514" i="1"/>
  <c r="AI514" i="1"/>
  <c r="AJ514" i="1"/>
  <c r="AK522" i="1"/>
  <c r="AI522" i="1"/>
  <c r="AJ522" i="1"/>
  <c r="AK530" i="1"/>
  <c r="AI530" i="1"/>
  <c r="AJ530" i="1"/>
  <c r="AK538" i="1"/>
  <c r="AI538" i="1"/>
  <c r="AJ538" i="1"/>
  <c r="AI546" i="1"/>
  <c r="AJ546" i="1"/>
  <c r="AK546" i="1"/>
  <c r="AJ554" i="1"/>
  <c r="AK554" i="1"/>
  <c r="AI554" i="1"/>
  <c r="AH562" i="1"/>
  <c r="AF562" i="1"/>
  <c r="AG562" i="1"/>
  <c r="AH570" i="1"/>
  <c r="AF570" i="1"/>
  <c r="AG570" i="1"/>
  <c r="AH578" i="1"/>
  <c r="AF578" i="1"/>
  <c r="AG578" i="1"/>
  <c r="AH586" i="1"/>
  <c r="AF586" i="1"/>
  <c r="AG586" i="1"/>
  <c r="AJ594" i="1"/>
  <c r="AI594" i="1"/>
  <c r="AK594" i="1"/>
  <c r="AJ602" i="1"/>
  <c r="AI602" i="1"/>
  <c r="AK602" i="1"/>
  <c r="AK610" i="1"/>
  <c r="AI610" i="1"/>
  <c r="AJ610" i="1"/>
  <c r="AH618" i="1"/>
  <c r="AF618" i="1"/>
  <c r="AG618" i="1"/>
  <c r="AH626" i="1"/>
  <c r="AF626" i="1"/>
  <c r="AG626" i="1"/>
  <c r="AH634" i="1"/>
  <c r="AF634" i="1"/>
  <c r="AG634" i="1"/>
  <c r="AH642" i="1"/>
  <c r="AF642" i="1"/>
  <c r="AG642" i="1"/>
  <c r="AI650" i="1"/>
  <c r="AJ650" i="1"/>
  <c r="AH658" i="1"/>
  <c r="AF658" i="1"/>
  <c r="AG658" i="1"/>
  <c r="AH666" i="1"/>
  <c r="AF666" i="1"/>
  <c r="AG666" i="1"/>
  <c r="AH674" i="1"/>
  <c r="AF674" i="1"/>
  <c r="AG674" i="1"/>
  <c r="AH682" i="1"/>
  <c r="AF682" i="1"/>
  <c r="AG682" i="1"/>
  <c r="AH690" i="1"/>
  <c r="AF690" i="1"/>
  <c r="AG690" i="1"/>
  <c r="AF698" i="1"/>
  <c r="AG698" i="1"/>
  <c r="AI706" i="1"/>
  <c r="AJ706" i="1"/>
  <c r="AK706" i="1"/>
  <c r="AI714" i="1"/>
  <c r="AJ714" i="1"/>
  <c r="AK714" i="1"/>
  <c r="AI722" i="1"/>
  <c r="AJ722" i="1"/>
  <c r="AK722" i="1"/>
  <c r="AK730" i="1"/>
  <c r="AI730" i="1"/>
  <c r="AJ730" i="1"/>
  <c r="AI738" i="1"/>
  <c r="AJ738" i="1"/>
  <c r="AK738" i="1"/>
  <c r="AK746" i="1"/>
  <c r="AI746" i="1"/>
  <c r="AJ746" i="1"/>
  <c r="AI754" i="1"/>
  <c r="AJ754" i="1"/>
  <c r="AK754" i="1"/>
  <c r="AF762" i="1"/>
  <c r="AG762" i="1"/>
  <c r="AF770" i="1"/>
  <c r="AG770" i="1"/>
  <c r="AF778" i="1"/>
  <c r="AG778" i="1"/>
  <c r="AF786" i="1"/>
  <c r="AG786" i="1"/>
  <c r="AF794" i="1"/>
  <c r="AG794" i="1"/>
  <c r="AF802" i="1"/>
  <c r="AG802" i="1"/>
  <c r="AF810" i="1"/>
  <c r="AG810" i="1"/>
  <c r="AK818" i="1"/>
  <c r="AI818" i="1"/>
  <c r="AJ818" i="1"/>
  <c r="AK825" i="1"/>
  <c r="AI825" i="1"/>
  <c r="AJ825" i="1"/>
  <c r="AF833" i="1"/>
  <c r="AG833" i="1"/>
  <c r="AF841" i="1"/>
  <c r="AG841" i="1"/>
  <c r="AK849" i="1"/>
  <c r="AI849" i="1"/>
  <c r="AJ849" i="1"/>
  <c r="BC930" i="1"/>
  <c r="BB930" i="1"/>
  <c r="AJ871" i="1"/>
  <c r="AI871" i="1"/>
  <c r="AK871" i="1"/>
  <c r="AJ889" i="1"/>
  <c r="AI889" i="1"/>
  <c r="AK889" i="1"/>
  <c r="AF15" i="1"/>
  <c r="AH15" i="1"/>
  <c r="AG15" i="1"/>
  <c r="AF23" i="1"/>
  <c r="AH23" i="1"/>
  <c r="AG23" i="1"/>
  <c r="AH31" i="1"/>
  <c r="AG31" i="1"/>
  <c r="AJ39" i="1"/>
  <c r="AI39" i="1"/>
  <c r="AK39" i="1"/>
  <c r="AJ47" i="1"/>
  <c r="AK47" i="1"/>
  <c r="AI47" i="1"/>
  <c r="AJ55" i="1"/>
  <c r="AK55" i="1"/>
  <c r="AI55" i="1"/>
  <c r="AJ63" i="1"/>
  <c r="AK63" i="1"/>
  <c r="AI63" i="1"/>
  <c r="AJ71" i="1"/>
  <c r="AK71" i="1"/>
  <c r="AI71" i="1"/>
  <c r="AJ79" i="1"/>
  <c r="AK79" i="1"/>
  <c r="AI79" i="1"/>
  <c r="AJ87" i="1"/>
  <c r="AK87" i="1"/>
  <c r="AI87" i="1"/>
  <c r="AK95" i="1"/>
  <c r="AI95" i="1"/>
  <c r="AJ95" i="1"/>
  <c r="AI103" i="1"/>
  <c r="AK103" i="1"/>
  <c r="AJ103" i="1"/>
  <c r="AK111" i="1"/>
  <c r="AJ111" i="1"/>
  <c r="AK119" i="1"/>
  <c r="AJ119" i="1"/>
  <c r="AK127" i="1"/>
  <c r="AJ127" i="1"/>
  <c r="AF135" i="1"/>
  <c r="AH135" i="1"/>
  <c r="AG135" i="1"/>
  <c r="AK143" i="1"/>
  <c r="AJ143" i="1"/>
  <c r="AF151" i="1"/>
  <c r="AG151" i="1"/>
  <c r="AH151" i="1"/>
  <c r="AF159" i="1"/>
  <c r="AG159" i="1"/>
  <c r="AH159" i="1"/>
  <c r="AK167" i="1"/>
  <c r="AJ167" i="1"/>
  <c r="AF175" i="1"/>
  <c r="AG175" i="1"/>
  <c r="AH175" i="1"/>
  <c r="AG183" i="1"/>
  <c r="AH183" i="1"/>
  <c r="AF183" i="1"/>
  <c r="AI191" i="1"/>
  <c r="AJ191" i="1"/>
  <c r="AI199" i="1"/>
  <c r="AJ199" i="1"/>
  <c r="AF207" i="1"/>
  <c r="AG207" i="1"/>
  <c r="AH207" i="1"/>
  <c r="AF215" i="1"/>
  <c r="AG215" i="1"/>
  <c r="AH215" i="1"/>
  <c r="AG223" i="1"/>
  <c r="AH223" i="1"/>
  <c r="AF223" i="1"/>
  <c r="AG231" i="1"/>
  <c r="AF231" i="1"/>
  <c r="AH231" i="1"/>
  <c r="AG239" i="1"/>
  <c r="AF239" i="1"/>
  <c r="AH239" i="1"/>
  <c r="AH247" i="1"/>
  <c r="AF247" i="1"/>
  <c r="AG247" i="1"/>
  <c r="AH255" i="1"/>
  <c r="AF255" i="1"/>
  <c r="AG255" i="1"/>
  <c r="AH263" i="1"/>
  <c r="AF263" i="1"/>
  <c r="AG263" i="1"/>
  <c r="AG271" i="1"/>
  <c r="AH271" i="1"/>
  <c r="AF271" i="1"/>
  <c r="AG279" i="1"/>
  <c r="AH279" i="1"/>
  <c r="AF279" i="1"/>
  <c r="AF287" i="1"/>
  <c r="AG287" i="1"/>
  <c r="AH287" i="1"/>
  <c r="AG295" i="1"/>
  <c r="AH295" i="1"/>
  <c r="AF295" i="1"/>
  <c r="AF303" i="1"/>
  <c r="AG303" i="1"/>
  <c r="AH303" i="1"/>
  <c r="AG311" i="1"/>
  <c r="AH311" i="1"/>
  <c r="AF311" i="1"/>
  <c r="AF319" i="1"/>
  <c r="AG319" i="1"/>
  <c r="AH319" i="1"/>
  <c r="AF327" i="1"/>
  <c r="AG327" i="1"/>
  <c r="AF335" i="1"/>
  <c r="AG335" i="1"/>
  <c r="AF343" i="1"/>
  <c r="AG343" i="1"/>
  <c r="AF351" i="1"/>
  <c r="AG351" i="1"/>
  <c r="AK359" i="1"/>
  <c r="AJ359" i="1"/>
  <c r="AI359" i="1"/>
  <c r="AJ367" i="1"/>
  <c r="AK367" i="1"/>
  <c r="AI367" i="1"/>
  <c r="AJ375" i="1"/>
  <c r="AK375" i="1"/>
  <c r="AI375" i="1"/>
  <c r="AJ383" i="1"/>
  <c r="AK383" i="1"/>
  <c r="AI383" i="1"/>
  <c r="AJ391" i="1"/>
  <c r="AK391" i="1"/>
  <c r="AJ399" i="1"/>
  <c r="AK399" i="1"/>
  <c r="AJ407" i="1"/>
  <c r="AK407" i="1"/>
  <c r="AH415" i="1"/>
  <c r="AF415" i="1"/>
  <c r="AG415" i="1"/>
  <c r="AH423" i="1"/>
  <c r="AF423" i="1"/>
  <c r="AG423" i="1"/>
  <c r="AH431" i="1"/>
  <c r="AF431" i="1"/>
  <c r="AG431" i="1"/>
  <c r="AH439" i="1"/>
  <c r="AF439" i="1"/>
  <c r="AG439" i="1"/>
  <c r="AH447" i="1"/>
  <c r="AF447" i="1"/>
  <c r="AG447" i="1"/>
  <c r="AH455" i="1"/>
  <c r="AF455" i="1"/>
  <c r="AG455" i="1"/>
  <c r="AH463" i="1"/>
  <c r="AF463" i="1"/>
  <c r="AG463" i="1"/>
  <c r="AI471" i="1"/>
  <c r="AJ471" i="1"/>
  <c r="AK471" i="1"/>
  <c r="AH479" i="1"/>
  <c r="AF479" i="1"/>
  <c r="AG479" i="1"/>
  <c r="AH487" i="1"/>
  <c r="AG487" i="1"/>
  <c r="AF487" i="1"/>
  <c r="AH495" i="1"/>
  <c r="AG495" i="1"/>
  <c r="AF495" i="1"/>
  <c r="AH503" i="1"/>
  <c r="AF503" i="1"/>
  <c r="AG503" i="1"/>
  <c r="AH511" i="1"/>
  <c r="AF511" i="1"/>
  <c r="AG511" i="1"/>
  <c r="AI519" i="1"/>
  <c r="AJ519" i="1"/>
  <c r="AK519" i="1"/>
  <c r="AI527" i="1"/>
  <c r="AJ527" i="1"/>
  <c r="AK527" i="1"/>
  <c r="AI535" i="1"/>
  <c r="AJ535" i="1"/>
  <c r="AK535" i="1"/>
  <c r="AI543" i="1"/>
  <c r="AJ543" i="1"/>
  <c r="AK543" i="1"/>
  <c r="AH551" i="1"/>
  <c r="AF551" i="1"/>
  <c r="AG551" i="1"/>
  <c r="AI559" i="1"/>
  <c r="AK559" i="1"/>
  <c r="AJ559" i="1"/>
  <c r="AI567" i="1"/>
  <c r="AK567" i="1"/>
  <c r="AJ567" i="1"/>
  <c r="AI575" i="1"/>
  <c r="AK575" i="1"/>
  <c r="AJ575" i="1"/>
  <c r="AI583" i="1"/>
  <c r="AJ583" i="1"/>
  <c r="AK583" i="1"/>
  <c r="AI591" i="1"/>
  <c r="AJ591" i="1"/>
  <c r="AK591" i="1"/>
  <c r="AI599" i="1"/>
  <c r="AJ599" i="1"/>
  <c r="AK599" i="1"/>
  <c r="AH607" i="1"/>
  <c r="AG607" i="1"/>
  <c r="AJ615" i="1"/>
  <c r="AI615" i="1"/>
  <c r="AK615" i="1"/>
  <c r="AJ623" i="1"/>
  <c r="AI623" i="1"/>
  <c r="AK623" i="1"/>
  <c r="AJ631" i="1"/>
  <c r="AI631" i="1"/>
  <c r="AK631" i="1"/>
  <c r="AJ639" i="1"/>
  <c r="AI639" i="1"/>
  <c r="AK639" i="1"/>
  <c r="AJ647" i="1"/>
  <c r="AK647" i="1"/>
  <c r="AI647" i="1"/>
  <c r="AF655" i="1"/>
  <c r="AG655" i="1"/>
  <c r="AF663" i="1"/>
  <c r="AG663" i="1"/>
  <c r="AF671" i="1"/>
  <c r="AG671" i="1"/>
  <c r="AF679" i="1"/>
  <c r="AG679" i="1"/>
  <c r="AF687" i="1"/>
  <c r="AG687" i="1"/>
  <c r="AK703" i="1"/>
  <c r="AJ703" i="1"/>
  <c r="AF711" i="1"/>
  <c r="AG711" i="1"/>
  <c r="AH711" i="1"/>
  <c r="AF719" i="1"/>
  <c r="AG719" i="1"/>
  <c r="AH719" i="1"/>
  <c r="AG727" i="1"/>
  <c r="AH727" i="1"/>
  <c r="AF727" i="1"/>
  <c r="AF735" i="1"/>
  <c r="AG735" i="1"/>
  <c r="AH735" i="1"/>
  <c r="AG743" i="1"/>
  <c r="AH743" i="1"/>
  <c r="AF743" i="1"/>
  <c r="AF751" i="1"/>
  <c r="AG751" i="1"/>
  <c r="AH751" i="1"/>
  <c r="AG759" i="1"/>
  <c r="AH759" i="1"/>
  <c r="AF759" i="1"/>
  <c r="AF767" i="1"/>
  <c r="AG767" i="1"/>
  <c r="AH767" i="1"/>
  <c r="AF876" i="1"/>
  <c r="AG876" i="1"/>
  <c r="AH876" i="1"/>
  <c r="AF783" i="1"/>
  <c r="AG783" i="1"/>
  <c r="AH783" i="1"/>
  <c r="AF791" i="1"/>
  <c r="AG791" i="1"/>
  <c r="AH791" i="1"/>
  <c r="AF799" i="1"/>
  <c r="AG799" i="1"/>
  <c r="AH799" i="1"/>
  <c r="AF807" i="1"/>
  <c r="AH807" i="1"/>
  <c r="AG807" i="1"/>
  <c r="AF815" i="1"/>
  <c r="AH815" i="1"/>
  <c r="AG815" i="1"/>
  <c r="AF830" i="1"/>
  <c r="AG830" i="1"/>
  <c r="AH830" i="1"/>
  <c r="AF838" i="1"/>
  <c r="AG838" i="1"/>
  <c r="AH838" i="1"/>
  <c r="AH846" i="1"/>
  <c r="AG846" i="1"/>
  <c r="AF846" i="1"/>
  <c r="AG854" i="1"/>
  <c r="AH854" i="1"/>
  <c r="AF854" i="1"/>
  <c r="AI888" i="1"/>
  <c r="AJ888" i="1"/>
  <c r="AK888" i="1"/>
  <c r="AJ851" i="1"/>
  <c r="AI851" i="1"/>
  <c r="AK851" i="1"/>
  <c r="AJ859" i="1"/>
  <c r="AI859" i="1"/>
  <c r="AK859" i="1"/>
  <c r="AI903" i="1"/>
  <c r="AK903" i="1"/>
  <c r="AJ903" i="1"/>
  <c r="AI970" i="1"/>
  <c r="AJ970" i="1"/>
  <c r="AK970" i="1"/>
  <c r="AJ981" i="1"/>
  <c r="AI981" i="1"/>
  <c r="AI12" i="1"/>
  <c r="AK12" i="1"/>
  <c r="AJ12" i="1"/>
  <c r="AK20" i="1"/>
  <c r="AI20" i="1"/>
  <c r="AJ20" i="1"/>
  <c r="AK28" i="1"/>
  <c r="AI28" i="1"/>
  <c r="AJ28" i="1"/>
  <c r="AF36" i="1"/>
  <c r="AH36" i="1"/>
  <c r="AG36" i="1"/>
  <c r="AH44" i="1"/>
  <c r="AF44" i="1"/>
  <c r="AG44" i="1"/>
  <c r="AH52" i="1"/>
  <c r="AF52" i="1"/>
  <c r="AG52" i="1"/>
  <c r="AH68" i="1"/>
  <c r="AF68" i="1"/>
  <c r="AG68" i="1"/>
  <c r="AF76" i="1"/>
  <c r="AH76" i="1"/>
  <c r="AG76" i="1"/>
  <c r="AF84" i="1"/>
  <c r="AH84" i="1"/>
  <c r="AG84" i="1"/>
  <c r="AH100" i="1"/>
  <c r="AG100" i="1"/>
  <c r="AH108" i="1"/>
  <c r="AG108" i="1"/>
  <c r="AH116" i="1"/>
  <c r="AG116" i="1"/>
  <c r="AH124" i="1"/>
  <c r="AG124" i="1"/>
  <c r="AH132" i="1"/>
  <c r="AG132" i="1"/>
  <c r="AJ140" i="1"/>
  <c r="AI140" i="1"/>
  <c r="AK140" i="1"/>
  <c r="AH148" i="1"/>
  <c r="AG148" i="1"/>
  <c r="AH156" i="1"/>
  <c r="AG156" i="1"/>
  <c r="AJ164" i="1"/>
  <c r="AI164" i="1"/>
  <c r="AK164" i="1"/>
  <c r="AH172" i="1"/>
  <c r="AG172" i="1"/>
  <c r="AK180" i="1"/>
  <c r="AI180" i="1"/>
  <c r="AJ180" i="1"/>
  <c r="AK188" i="1"/>
  <c r="AI188" i="1"/>
  <c r="AJ188" i="1"/>
  <c r="AK196" i="1"/>
  <c r="AI196" i="1"/>
  <c r="AJ196" i="1"/>
  <c r="AF204" i="1"/>
  <c r="AG204" i="1"/>
  <c r="AK212" i="1"/>
  <c r="AI212" i="1"/>
  <c r="AJ212" i="1"/>
  <c r="AK220" i="1"/>
  <c r="AI220" i="1"/>
  <c r="AJ220" i="1"/>
  <c r="AI228" i="1"/>
  <c r="AK228" i="1"/>
  <c r="AJ228" i="1"/>
  <c r="AF236" i="1"/>
  <c r="AG236" i="1"/>
  <c r="AJ244" i="1"/>
  <c r="AK244" i="1"/>
  <c r="AI244" i="1"/>
  <c r="AJ252" i="1"/>
  <c r="AK252" i="1"/>
  <c r="AI252" i="1"/>
  <c r="AJ260" i="1"/>
  <c r="AK260" i="1"/>
  <c r="AI260" i="1"/>
  <c r="AJ268" i="1"/>
  <c r="AK268" i="1"/>
  <c r="AI268" i="1"/>
  <c r="AF276" i="1"/>
  <c r="AG276" i="1"/>
  <c r="AJ284" i="1"/>
  <c r="AI284" i="1"/>
  <c r="AK284" i="1"/>
  <c r="AJ292" i="1"/>
  <c r="AI292" i="1"/>
  <c r="AK292" i="1"/>
  <c r="AJ300" i="1"/>
  <c r="AI300" i="1"/>
  <c r="AK300" i="1"/>
  <c r="AJ308" i="1"/>
  <c r="AI308" i="1"/>
  <c r="AK308" i="1"/>
  <c r="AJ316" i="1"/>
  <c r="AI316" i="1"/>
  <c r="AK316" i="1"/>
  <c r="AJ324" i="1"/>
  <c r="AK324" i="1"/>
  <c r="AI324" i="1"/>
  <c r="AF412" i="1"/>
  <c r="AG412" i="1"/>
  <c r="AH412" i="1"/>
  <c r="AF420" i="1"/>
  <c r="AG420" i="1"/>
  <c r="AH420" i="1"/>
  <c r="AJ428" i="1"/>
  <c r="AK428" i="1"/>
  <c r="AJ436" i="1"/>
  <c r="AK436" i="1"/>
  <c r="AJ444" i="1"/>
  <c r="AK444" i="1"/>
  <c r="AJ452" i="1"/>
  <c r="AK452" i="1"/>
  <c r="AJ460" i="1"/>
  <c r="AK460" i="1"/>
  <c r="AJ468" i="1"/>
  <c r="AK468" i="1"/>
  <c r="AJ476" i="1"/>
  <c r="AK476" i="1"/>
  <c r="AJ484" i="1"/>
  <c r="AK484" i="1"/>
  <c r="AJ492" i="1"/>
  <c r="AK492" i="1"/>
  <c r="AJ500" i="1"/>
  <c r="AK500" i="1"/>
  <c r="AJ508" i="1"/>
  <c r="AK508" i="1"/>
  <c r="AJ516" i="1"/>
  <c r="AK516" i="1"/>
  <c r="AJ524" i="1"/>
  <c r="AK524" i="1"/>
  <c r="AJ532" i="1"/>
  <c r="AK532" i="1"/>
  <c r="AJ540" i="1"/>
  <c r="AK540" i="1"/>
  <c r="AF548" i="1"/>
  <c r="AG548" i="1"/>
  <c r="AJ556" i="1"/>
  <c r="AK556" i="1"/>
  <c r="AJ580" i="1"/>
  <c r="AK580" i="1"/>
  <c r="AJ588" i="1"/>
  <c r="AK588" i="1"/>
  <c r="AF596" i="1"/>
  <c r="AG596" i="1"/>
  <c r="AK612" i="1"/>
  <c r="AJ612" i="1"/>
  <c r="AK620" i="1"/>
  <c r="AJ620" i="1"/>
  <c r="AK628" i="1"/>
  <c r="AJ628" i="1"/>
  <c r="AK636" i="1"/>
  <c r="AJ636" i="1"/>
  <c r="AK644" i="1"/>
  <c r="AJ644" i="1"/>
  <c r="AH652" i="1"/>
  <c r="AF652" i="1"/>
  <c r="AG652" i="1"/>
  <c r="AK660" i="1"/>
  <c r="AJ660" i="1"/>
  <c r="AK668" i="1"/>
  <c r="AJ668" i="1"/>
  <c r="AK676" i="1"/>
  <c r="AJ676" i="1"/>
  <c r="AK684" i="1"/>
  <c r="AJ684" i="1"/>
  <c r="AK692" i="1"/>
  <c r="AJ692" i="1"/>
  <c r="AJ700" i="1"/>
  <c r="AI700" i="1"/>
  <c r="AK700" i="1"/>
  <c r="AH708" i="1"/>
  <c r="AG708" i="1"/>
  <c r="AJ716" i="1"/>
  <c r="AI716" i="1"/>
  <c r="AK716" i="1"/>
  <c r="AJ724" i="1"/>
  <c r="AI724" i="1"/>
  <c r="AK724" i="1"/>
  <c r="AH732" i="1"/>
  <c r="AG732" i="1"/>
  <c r="AJ740" i="1"/>
  <c r="AI740" i="1"/>
  <c r="AK740" i="1"/>
  <c r="AH748" i="1"/>
  <c r="AG748" i="1"/>
  <c r="AJ756" i="1"/>
  <c r="AI756" i="1"/>
  <c r="AK756" i="1"/>
  <c r="AF764" i="1"/>
  <c r="AG764" i="1"/>
  <c r="AH764" i="1"/>
  <c r="AF772" i="1"/>
  <c r="AG772" i="1"/>
  <c r="AH772" i="1"/>
  <c r="AF780" i="1"/>
  <c r="AG780" i="1"/>
  <c r="AH780" i="1"/>
  <c r="AF788" i="1"/>
  <c r="AG788" i="1"/>
  <c r="AH788" i="1"/>
  <c r="AF796" i="1"/>
  <c r="AG796" i="1"/>
  <c r="AH796" i="1"/>
  <c r="AH804" i="1"/>
  <c r="AF804" i="1"/>
  <c r="AG804" i="1"/>
  <c r="AH812" i="1"/>
  <c r="AF812" i="1"/>
  <c r="AG812" i="1"/>
  <c r="AK875" i="1"/>
  <c r="AI875" i="1"/>
  <c r="AK827" i="1"/>
  <c r="AI827" i="1"/>
  <c r="AJ835" i="1"/>
  <c r="AI835" i="1"/>
  <c r="AK835" i="1"/>
  <c r="AJ843" i="1"/>
  <c r="AI843" i="1"/>
  <c r="AK843" i="1"/>
  <c r="AJ863" i="1"/>
  <c r="AI863" i="1"/>
  <c r="AK863" i="1"/>
  <c r="AK873" i="1"/>
  <c r="AI873" i="1"/>
  <c r="AJ873" i="1"/>
  <c r="AK915" i="1"/>
  <c r="AI915" i="1"/>
  <c r="AJ915" i="1"/>
  <c r="AJ917" i="1"/>
  <c r="AI917" i="1"/>
  <c r="AK917" i="1"/>
  <c r="AK919" i="1"/>
  <c r="AI919" i="1"/>
  <c r="AJ919" i="1"/>
  <c r="AK928" i="1"/>
  <c r="AJ928" i="1"/>
  <c r="AI943" i="1"/>
  <c r="AJ943" i="1"/>
  <c r="AK943" i="1"/>
  <c r="AI955" i="1"/>
  <c r="AJ955" i="1"/>
  <c r="AK955" i="1"/>
  <c r="AK962" i="1"/>
  <c r="AI962" i="1"/>
  <c r="AJ962" i="1"/>
  <c r="AI1007" i="1"/>
  <c r="AJ1007" i="1"/>
  <c r="AK1007" i="1"/>
  <c r="AK1010" i="1"/>
  <c r="AI1010" i="1"/>
  <c r="AJ1010" i="1"/>
  <c r="AI1023" i="1"/>
  <c r="AJ1023" i="1"/>
  <c r="AK1023" i="1"/>
  <c r="AK1026" i="1"/>
  <c r="AI1026" i="1"/>
  <c r="AJ1026" i="1"/>
  <c r="AI1039" i="1"/>
  <c r="AJ1039" i="1"/>
  <c r="AK1039" i="1"/>
  <c r="AK13" i="1"/>
  <c r="AI13" i="1"/>
  <c r="AJ13" i="1"/>
  <c r="AH21" i="1"/>
  <c r="AG21" i="1"/>
  <c r="AF21" i="1"/>
  <c r="AH29" i="1"/>
  <c r="AG29" i="1"/>
  <c r="AF29" i="1"/>
  <c r="AI37" i="1"/>
  <c r="AK37" i="1"/>
  <c r="AJ37" i="1"/>
  <c r="AK45" i="1"/>
  <c r="AI45" i="1"/>
  <c r="AJ45" i="1"/>
  <c r="AH53" i="1"/>
  <c r="AG53" i="1"/>
  <c r="AF53" i="1"/>
  <c r="AH61" i="1"/>
  <c r="AG61" i="1"/>
  <c r="AF61" i="1"/>
  <c r="AI69" i="1"/>
  <c r="AK69" i="1"/>
  <c r="AJ69" i="1"/>
  <c r="AJ77" i="1"/>
  <c r="AI77" i="1"/>
  <c r="AK77" i="1"/>
  <c r="AJ85" i="1"/>
  <c r="AI85" i="1"/>
  <c r="AK85" i="1"/>
  <c r="AH93" i="1"/>
  <c r="AG93" i="1"/>
  <c r="AI109" i="1"/>
  <c r="AJ109" i="1"/>
  <c r="AI117" i="1"/>
  <c r="AJ117" i="1"/>
  <c r="AI125" i="1"/>
  <c r="AJ125" i="1"/>
  <c r="AI133" i="1"/>
  <c r="AJ133" i="1"/>
  <c r="AF141" i="1"/>
  <c r="AG141" i="1"/>
  <c r="AH141" i="1"/>
  <c r="AI149" i="1"/>
  <c r="AJ149" i="1"/>
  <c r="AI157" i="1"/>
  <c r="AJ157" i="1"/>
  <c r="AF165" i="1"/>
  <c r="AG165" i="1"/>
  <c r="AH165" i="1"/>
  <c r="AI173" i="1"/>
  <c r="AJ173" i="1"/>
  <c r="AI181" i="1"/>
  <c r="AJ181" i="1"/>
  <c r="AG205" i="1"/>
  <c r="AH205" i="1"/>
  <c r="AF205" i="1"/>
  <c r="AK213" i="1"/>
  <c r="AJ213" i="1"/>
  <c r="AG285" i="1"/>
  <c r="AH285" i="1"/>
  <c r="AF285" i="1"/>
  <c r="AF293" i="1"/>
  <c r="AG293" i="1"/>
  <c r="AH293" i="1"/>
  <c r="AG301" i="1"/>
  <c r="AH301" i="1"/>
  <c r="AF301" i="1"/>
  <c r="AF309" i="1"/>
  <c r="AG309" i="1"/>
  <c r="AH309" i="1"/>
  <c r="AG317" i="1"/>
  <c r="AH317" i="1"/>
  <c r="AF317" i="1"/>
  <c r="AK325" i="1"/>
  <c r="AI325" i="1"/>
  <c r="AJ325" i="1"/>
  <c r="AF333" i="1"/>
  <c r="AH333" i="1"/>
  <c r="AG333" i="1"/>
  <c r="AF341" i="1"/>
  <c r="AH341" i="1"/>
  <c r="AG341" i="1"/>
  <c r="AF349" i="1"/>
  <c r="AH349" i="1"/>
  <c r="AG349" i="1"/>
  <c r="AF357" i="1"/>
  <c r="AH357" i="1"/>
  <c r="AG357" i="1"/>
  <c r="AJ365" i="1"/>
  <c r="AI365" i="1"/>
  <c r="AJ373" i="1"/>
  <c r="AI373" i="1"/>
  <c r="AJ381" i="1"/>
  <c r="AI381" i="1"/>
  <c r="AK389" i="1"/>
  <c r="AI389" i="1"/>
  <c r="AJ389" i="1"/>
  <c r="AK397" i="1"/>
  <c r="AI397" i="1"/>
  <c r="AJ397" i="1"/>
  <c r="AK405" i="1"/>
  <c r="AI405" i="1"/>
  <c r="AJ405" i="1"/>
  <c r="AK413" i="1"/>
  <c r="AI413" i="1"/>
  <c r="AJ413" i="1"/>
  <c r="AF421" i="1"/>
  <c r="AH421" i="1"/>
  <c r="AG421" i="1"/>
  <c r="AF429" i="1"/>
  <c r="AH429" i="1"/>
  <c r="AG429" i="1"/>
  <c r="AF437" i="1"/>
  <c r="AH437" i="1"/>
  <c r="AG437" i="1"/>
  <c r="AF445" i="1"/>
  <c r="AH445" i="1"/>
  <c r="AG445" i="1"/>
  <c r="AF453" i="1"/>
  <c r="AH453" i="1"/>
  <c r="AG453" i="1"/>
  <c r="AF461" i="1"/>
  <c r="AH461" i="1"/>
  <c r="AG461" i="1"/>
  <c r="AF469" i="1"/>
  <c r="AG469" i="1"/>
  <c r="AH469" i="1"/>
  <c r="AF485" i="1"/>
  <c r="AG485" i="1"/>
  <c r="AH485" i="1"/>
  <c r="AF493" i="1"/>
  <c r="AG493" i="1"/>
  <c r="AH493" i="1"/>
  <c r="AF501" i="1"/>
  <c r="AG501" i="1"/>
  <c r="AH501" i="1"/>
  <c r="AK509" i="1"/>
  <c r="AI509" i="1"/>
  <c r="AK517" i="1"/>
  <c r="AI517" i="1"/>
  <c r="AG525" i="1"/>
  <c r="AH525" i="1"/>
  <c r="AF525" i="1"/>
  <c r="AG533" i="1"/>
  <c r="AH533" i="1"/>
  <c r="AF533" i="1"/>
  <c r="AG541" i="1"/>
  <c r="AH541" i="1"/>
  <c r="AF541" i="1"/>
  <c r="AF549" i="1"/>
  <c r="AG549" i="1"/>
  <c r="AH549" i="1"/>
  <c r="AG557" i="1"/>
  <c r="AH557" i="1"/>
  <c r="AF557" i="1"/>
  <c r="AG565" i="1"/>
  <c r="AH565" i="1"/>
  <c r="AF565" i="1"/>
  <c r="AG573" i="1"/>
  <c r="AH573" i="1"/>
  <c r="AF573" i="1"/>
  <c r="AF581" i="1"/>
  <c r="AG581" i="1"/>
  <c r="AH581" i="1"/>
  <c r="AG589" i="1"/>
  <c r="AF589" i="1"/>
  <c r="AH589" i="1"/>
  <c r="AG597" i="1"/>
  <c r="AF597" i="1"/>
  <c r="AH597" i="1"/>
  <c r="AG605" i="1"/>
  <c r="AF605" i="1"/>
  <c r="AH605" i="1"/>
  <c r="AJ613" i="1"/>
  <c r="AK613" i="1"/>
  <c r="AI613" i="1"/>
  <c r="AJ621" i="1"/>
  <c r="AK621" i="1"/>
  <c r="AI621" i="1"/>
  <c r="AJ629" i="1"/>
  <c r="AK629" i="1"/>
  <c r="AI629" i="1"/>
  <c r="AJ637" i="1"/>
  <c r="AK637" i="1"/>
  <c r="AI637" i="1"/>
  <c r="AH645" i="1"/>
  <c r="AG645" i="1"/>
  <c r="AH653" i="1"/>
  <c r="AG653" i="1"/>
  <c r="AH661" i="1"/>
  <c r="AG661" i="1"/>
  <c r="AH669" i="1"/>
  <c r="AG669" i="1"/>
  <c r="AH677" i="1"/>
  <c r="AG677" i="1"/>
  <c r="AH685" i="1"/>
  <c r="AG685" i="1"/>
  <c r="AJ693" i="1"/>
  <c r="AK693" i="1"/>
  <c r="AI693" i="1"/>
  <c r="AF701" i="1"/>
  <c r="AG701" i="1"/>
  <c r="AH701" i="1"/>
  <c r="AI709" i="1"/>
  <c r="AJ709" i="1"/>
  <c r="AF717" i="1"/>
  <c r="AG717" i="1"/>
  <c r="AH717" i="1"/>
  <c r="AF725" i="1"/>
  <c r="AG725" i="1"/>
  <c r="AH725" i="1"/>
  <c r="AK733" i="1"/>
  <c r="AI733" i="1"/>
  <c r="AJ733" i="1"/>
  <c r="AF741" i="1"/>
  <c r="AG741" i="1"/>
  <c r="AH741" i="1"/>
  <c r="AK749" i="1"/>
  <c r="AI749" i="1"/>
  <c r="AJ749" i="1"/>
  <c r="AF757" i="1"/>
  <c r="AG757" i="1"/>
  <c r="AH757" i="1"/>
  <c r="AK765" i="1"/>
  <c r="AI765" i="1"/>
  <c r="AJ765" i="1"/>
  <c r="AK773" i="1"/>
  <c r="AI773" i="1"/>
  <c r="AJ773" i="1"/>
  <c r="AK781" i="1"/>
  <c r="AI781" i="1"/>
  <c r="AJ781" i="1"/>
  <c r="AK789" i="1"/>
  <c r="AI789" i="1"/>
  <c r="AJ789" i="1"/>
  <c r="AK797" i="1"/>
  <c r="AI797" i="1"/>
  <c r="AJ797" i="1"/>
  <c r="AG805" i="1"/>
  <c r="AH805" i="1"/>
  <c r="AF805" i="1"/>
  <c r="AG813" i="1"/>
  <c r="AH813" i="1"/>
  <c r="AF813" i="1"/>
  <c r="AI820" i="1"/>
  <c r="AJ820" i="1"/>
  <c r="AK820" i="1"/>
  <c r="AI828" i="1"/>
  <c r="AJ828" i="1"/>
  <c r="AK828" i="1"/>
  <c r="AF836" i="1"/>
  <c r="AG836" i="1"/>
  <c r="AH836" i="1"/>
  <c r="AF844" i="1"/>
  <c r="AG844" i="1"/>
  <c r="AH844" i="1"/>
  <c r="AK869" i="1"/>
  <c r="AJ869" i="1"/>
  <c r="AI869" i="1"/>
  <c r="AF895" i="1"/>
  <c r="AG895" i="1"/>
  <c r="AF907" i="1"/>
  <c r="AG907" i="1"/>
  <c r="AF931" i="1"/>
  <c r="AG931" i="1"/>
  <c r="AK946" i="1"/>
  <c r="AI946" i="1"/>
  <c r="AJ946" i="1"/>
  <c r="AK963" i="1"/>
  <c r="AI963" i="1"/>
  <c r="AJ963" i="1"/>
  <c r="AH966" i="1"/>
  <c r="AF966" i="1"/>
  <c r="AG966" i="1"/>
  <c r="AH18" i="1"/>
  <c r="AG18" i="1"/>
  <c r="AK26" i="1"/>
  <c r="AI26" i="1"/>
  <c r="AJ26" i="1"/>
  <c r="AI34" i="1"/>
  <c r="AK34" i="1"/>
  <c r="AJ34" i="1"/>
  <c r="AH42" i="1"/>
  <c r="AG42" i="1"/>
  <c r="AF42" i="1"/>
  <c r="AI50" i="1"/>
  <c r="AK50" i="1"/>
  <c r="AJ50" i="1"/>
  <c r="AI58" i="1"/>
  <c r="AJ58" i="1"/>
  <c r="AK58" i="1"/>
  <c r="AI66" i="1"/>
  <c r="AK66" i="1"/>
  <c r="AJ66" i="1"/>
  <c r="AG74" i="1"/>
  <c r="AH74" i="1"/>
  <c r="AF74" i="1"/>
  <c r="AG82" i="1"/>
  <c r="AH82" i="1"/>
  <c r="AF82" i="1"/>
  <c r="AG90" i="1"/>
  <c r="AH90" i="1"/>
  <c r="AF90" i="1"/>
  <c r="AK98" i="1"/>
  <c r="AI98" i="1"/>
  <c r="AJ98" i="1"/>
  <c r="AH106" i="1"/>
  <c r="AG106" i="1"/>
  <c r="AF106" i="1"/>
  <c r="AJ114" i="1"/>
  <c r="AI114" i="1"/>
  <c r="AK114" i="1"/>
  <c r="AJ122" i="1"/>
  <c r="AI122" i="1"/>
  <c r="AK122" i="1"/>
  <c r="AJ130" i="1"/>
  <c r="AK130" i="1"/>
  <c r="AI130" i="1"/>
  <c r="AJ138" i="1"/>
  <c r="AI138" i="1"/>
  <c r="AK138" i="1"/>
  <c r="AI146" i="1"/>
  <c r="AJ146" i="1"/>
  <c r="AK146" i="1"/>
  <c r="AF154" i="1"/>
  <c r="AG154" i="1"/>
  <c r="AJ162" i="1"/>
  <c r="AK162" i="1"/>
  <c r="AI162" i="1"/>
  <c r="AF170" i="1"/>
  <c r="AG170" i="1"/>
  <c r="AF178" i="1"/>
  <c r="AG178" i="1"/>
  <c r="AH194" i="1"/>
  <c r="AG194" i="1"/>
  <c r="AH202" i="1"/>
  <c r="AG202" i="1"/>
  <c r="AH210" i="1"/>
  <c r="AG210" i="1"/>
  <c r="AH218" i="1"/>
  <c r="AG218" i="1"/>
  <c r="AH226" i="1"/>
  <c r="AG226" i="1"/>
  <c r="AJ234" i="1"/>
  <c r="AK234" i="1"/>
  <c r="AI234" i="1"/>
  <c r="AJ242" i="1"/>
  <c r="AK242" i="1"/>
  <c r="AI242" i="1"/>
  <c r="AJ250" i="1"/>
  <c r="AK250" i="1"/>
  <c r="AI250" i="1"/>
  <c r="AJ258" i="1"/>
  <c r="AK258" i="1"/>
  <c r="AI258" i="1"/>
  <c r="AJ266" i="1"/>
  <c r="AK266" i="1"/>
  <c r="AI266" i="1"/>
  <c r="AH274" i="1"/>
  <c r="AG274" i="1"/>
  <c r="AH282" i="1"/>
  <c r="AG282" i="1"/>
  <c r="AH290" i="1"/>
  <c r="AG290" i="1"/>
  <c r="AH298" i="1"/>
  <c r="AG298" i="1"/>
  <c r="AH306" i="1"/>
  <c r="AG306" i="1"/>
  <c r="AH314" i="1"/>
  <c r="AG314" i="1"/>
  <c r="AF330" i="1"/>
  <c r="AG330" i="1"/>
  <c r="AH330" i="1"/>
  <c r="AF338" i="1"/>
  <c r="AG338" i="1"/>
  <c r="AH338" i="1"/>
  <c r="AF346" i="1"/>
  <c r="AG346" i="1"/>
  <c r="AH346" i="1"/>
  <c r="AF354" i="1"/>
  <c r="AG354" i="1"/>
  <c r="AH354" i="1"/>
  <c r="AK362" i="1"/>
  <c r="AJ362" i="1"/>
  <c r="AI362" i="1"/>
  <c r="AG370" i="1"/>
  <c r="AF370" i="1"/>
  <c r="AH370" i="1"/>
  <c r="AG378" i="1"/>
  <c r="AF378" i="1"/>
  <c r="AH378" i="1"/>
  <c r="AI386" i="1"/>
  <c r="AJ386" i="1"/>
  <c r="AK386" i="1"/>
  <c r="AI394" i="1"/>
  <c r="AJ394" i="1"/>
  <c r="AK394" i="1"/>
  <c r="AI402" i="1"/>
  <c r="AJ402" i="1"/>
  <c r="AK402" i="1"/>
  <c r="AH410" i="1"/>
  <c r="AF410" i="1"/>
  <c r="AG410" i="1"/>
  <c r="AI418" i="1"/>
  <c r="AJ418" i="1"/>
  <c r="AK418" i="1"/>
  <c r="AF426" i="1"/>
  <c r="AG426" i="1"/>
  <c r="AH426" i="1"/>
  <c r="AF434" i="1"/>
  <c r="AG434" i="1"/>
  <c r="AH434" i="1"/>
  <c r="AF442" i="1"/>
  <c r="AG442" i="1"/>
  <c r="AH442" i="1"/>
  <c r="AF450" i="1"/>
  <c r="AG450" i="1"/>
  <c r="AH450" i="1"/>
  <c r="AF458" i="1"/>
  <c r="AG458" i="1"/>
  <c r="AH458" i="1"/>
  <c r="AF466" i="1"/>
  <c r="AG466" i="1"/>
  <c r="AH466" i="1"/>
  <c r="AH474" i="1"/>
  <c r="AG474" i="1"/>
  <c r="AF474" i="1"/>
  <c r="AH482" i="1"/>
  <c r="AF482" i="1"/>
  <c r="AG482" i="1"/>
  <c r="AH490" i="1"/>
  <c r="AF490" i="1"/>
  <c r="AG490" i="1"/>
  <c r="AH498" i="1"/>
  <c r="AF498" i="1"/>
  <c r="AG498" i="1"/>
  <c r="AI506" i="1"/>
  <c r="AJ506" i="1"/>
  <c r="AK506" i="1"/>
  <c r="AG514" i="1"/>
  <c r="AH514" i="1"/>
  <c r="AF514" i="1"/>
  <c r="AH522" i="1"/>
  <c r="AF522" i="1"/>
  <c r="AG522" i="1"/>
  <c r="AH530" i="1"/>
  <c r="AF530" i="1"/>
  <c r="AG530" i="1"/>
  <c r="AH538" i="1"/>
  <c r="AF538" i="1"/>
  <c r="AG538" i="1"/>
  <c r="AH546" i="1"/>
  <c r="AG546" i="1"/>
  <c r="AF546" i="1"/>
  <c r="AH554" i="1"/>
  <c r="AF554" i="1"/>
  <c r="AG554" i="1"/>
  <c r="AI562" i="1"/>
  <c r="AJ562" i="1"/>
  <c r="AK562" i="1"/>
  <c r="AI570" i="1"/>
  <c r="AJ570" i="1"/>
  <c r="AK570" i="1"/>
  <c r="AI578" i="1"/>
  <c r="AJ578" i="1"/>
  <c r="AK578" i="1"/>
  <c r="AI586" i="1"/>
  <c r="AK586" i="1"/>
  <c r="AJ586" i="1"/>
  <c r="AH594" i="1"/>
  <c r="AG594" i="1"/>
  <c r="AF594" i="1"/>
  <c r="AH602" i="1"/>
  <c r="AG602" i="1"/>
  <c r="AF602" i="1"/>
  <c r="AH610" i="1"/>
  <c r="AG610" i="1"/>
  <c r="AF650" i="1"/>
  <c r="AG650" i="1"/>
  <c r="AH650" i="1"/>
  <c r="AI658" i="1"/>
  <c r="AJ658" i="1"/>
  <c r="AI666" i="1"/>
  <c r="AJ666" i="1"/>
  <c r="AI674" i="1"/>
  <c r="AJ674" i="1"/>
  <c r="AI682" i="1"/>
  <c r="AJ682" i="1"/>
  <c r="AK690" i="1"/>
  <c r="AI690" i="1"/>
  <c r="AJ690" i="1"/>
  <c r="AJ698" i="1"/>
  <c r="AK698" i="1"/>
  <c r="AI698" i="1"/>
  <c r="AF706" i="1"/>
  <c r="AG706" i="1"/>
  <c r="AF714" i="1"/>
  <c r="AG714" i="1"/>
  <c r="AF722" i="1"/>
  <c r="AG722" i="1"/>
  <c r="AF730" i="1"/>
  <c r="AG730" i="1"/>
  <c r="AF738" i="1"/>
  <c r="AG738" i="1"/>
  <c r="AF746" i="1"/>
  <c r="AG746" i="1"/>
  <c r="AF754" i="1"/>
  <c r="AG754" i="1"/>
  <c r="AJ762" i="1"/>
  <c r="AK762" i="1"/>
  <c r="AI762" i="1"/>
  <c r="AJ770" i="1"/>
  <c r="AK770" i="1"/>
  <c r="AI770" i="1"/>
  <c r="AJ778" i="1"/>
  <c r="AK778" i="1"/>
  <c r="AI778" i="1"/>
  <c r="AJ786" i="1"/>
  <c r="AK786" i="1"/>
  <c r="AI786" i="1"/>
  <c r="AJ794" i="1"/>
  <c r="AK794" i="1"/>
  <c r="AI794" i="1"/>
  <c r="AJ802" i="1"/>
  <c r="AK802" i="1"/>
  <c r="AI802" i="1"/>
  <c r="AJ810" i="1"/>
  <c r="AK810" i="1"/>
  <c r="AI810" i="1"/>
  <c r="AF818" i="1"/>
  <c r="AG818" i="1"/>
  <c r="AF825" i="1"/>
  <c r="AG825" i="1"/>
  <c r="AJ833" i="1"/>
  <c r="AK833" i="1"/>
  <c r="AI833" i="1"/>
  <c r="AJ841" i="1"/>
  <c r="AK841" i="1"/>
  <c r="AI841" i="1"/>
  <c r="AH849" i="1"/>
  <c r="AF849" i="1"/>
  <c r="AG849" i="1"/>
  <c r="BD919" i="1"/>
  <c r="BD935" i="1"/>
  <c r="BD718" i="1"/>
  <c r="BD710" i="1"/>
  <c r="BD726" i="1"/>
  <c r="BD738" i="1"/>
  <c r="BC898" i="1"/>
  <c r="BB898" i="1"/>
  <c r="BI914" i="1"/>
  <c r="BD906" i="1"/>
  <c r="BD917" i="1"/>
  <c r="BC962" i="1"/>
  <c r="BB962" i="1"/>
  <c r="BD877" i="1"/>
  <c r="AJ19" i="1"/>
  <c r="AI19" i="1"/>
  <c r="AF27" i="1"/>
  <c r="AG27" i="1"/>
  <c r="AH27" i="1"/>
  <c r="AH35" i="1"/>
  <c r="AG35" i="1"/>
  <c r="AK43" i="1"/>
  <c r="AI43" i="1"/>
  <c r="AJ43" i="1"/>
  <c r="AH51" i="1"/>
  <c r="AF51" i="1"/>
  <c r="AG51" i="1"/>
  <c r="AJ59" i="1"/>
  <c r="AI59" i="1"/>
  <c r="AK59" i="1"/>
  <c r="AH67" i="1"/>
  <c r="AG67" i="1"/>
  <c r="AH75" i="1"/>
  <c r="AG75" i="1"/>
  <c r="AH83" i="1"/>
  <c r="AG83" i="1"/>
  <c r="AH99" i="1"/>
  <c r="AF99" i="1"/>
  <c r="AG99" i="1"/>
  <c r="AK107" i="1"/>
  <c r="AJ107" i="1"/>
  <c r="AK115" i="1"/>
  <c r="AJ115" i="1"/>
  <c r="AK123" i="1"/>
  <c r="AJ123" i="1"/>
  <c r="AK131" i="1"/>
  <c r="AJ131" i="1"/>
  <c r="AK139" i="1"/>
  <c r="AJ139" i="1"/>
  <c r="AK147" i="1"/>
  <c r="AJ147" i="1"/>
  <c r="AK155" i="1"/>
  <c r="AJ155" i="1"/>
  <c r="AK163" i="1"/>
  <c r="AJ163" i="1"/>
  <c r="AK171" i="1"/>
  <c r="AJ171" i="1"/>
  <c r="AK179" i="1"/>
  <c r="AJ179" i="1"/>
  <c r="AI187" i="1"/>
  <c r="AJ187" i="1"/>
  <c r="AI195" i="1"/>
  <c r="AJ195" i="1"/>
  <c r="AI203" i="1"/>
  <c r="AJ203" i="1"/>
  <c r="AI211" i="1"/>
  <c r="AJ211" i="1"/>
  <c r="AI219" i="1"/>
  <c r="AJ219" i="1"/>
  <c r="AH227" i="1"/>
  <c r="AF227" i="1"/>
  <c r="AG227" i="1"/>
  <c r="AI235" i="1"/>
  <c r="AJ235" i="1"/>
  <c r="AI243" i="1"/>
  <c r="AJ243" i="1"/>
  <c r="AI251" i="1"/>
  <c r="AJ251" i="1"/>
  <c r="AI259" i="1"/>
  <c r="AJ259" i="1"/>
  <c r="AI267" i="1"/>
  <c r="AJ267" i="1"/>
  <c r="AI275" i="1"/>
  <c r="AJ275" i="1"/>
  <c r="AH283" i="1"/>
  <c r="AF283" i="1"/>
  <c r="AG283" i="1"/>
  <c r="AI291" i="1"/>
  <c r="AJ291" i="1"/>
  <c r="AH299" i="1"/>
  <c r="AF299" i="1"/>
  <c r="AG299" i="1"/>
  <c r="AI307" i="1"/>
  <c r="AJ307" i="1"/>
  <c r="AH315" i="1"/>
  <c r="AF315" i="1"/>
  <c r="AG315" i="1"/>
  <c r="AI331" i="1"/>
  <c r="AJ331" i="1"/>
  <c r="AK331" i="1"/>
  <c r="AI339" i="1"/>
  <c r="AJ339" i="1"/>
  <c r="AK339" i="1"/>
  <c r="AI347" i="1"/>
  <c r="AJ347" i="1"/>
  <c r="AK347" i="1"/>
  <c r="AI355" i="1"/>
  <c r="AJ355" i="1"/>
  <c r="AK355" i="1"/>
  <c r="AF363" i="1"/>
  <c r="AG363" i="1"/>
  <c r="AF371" i="1"/>
  <c r="AG371" i="1"/>
  <c r="AF379" i="1"/>
  <c r="AG379" i="1"/>
  <c r="AJ387" i="1"/>
  <c r="AK387" i="1"/>
  <c r="AJ395" i="1"/>
  <c r="AK395" i="1"/>
  <c r="AJ403" i="1"/>
  <c r="AK403" i="1"/>
  <c r="AJ411" i="1"/>
  <c r="AK411" i="1"/>
  <c r="AH427" i="1"/>
  <c r="AF427" i="1"/>
  <c r="AG427" i="1"/>
  <c r="AH435" i="1"/>
  <c r="AF435" i="1"/>
  <c r="AG435" i="1"/>
  <c r="AH443" i="1"/>
  <c r="AF443" i="1"/>
  <c r="AG443" i="1"/>
  <c r="AH451" i="1"/>
  <c r="AF451" i="1"/>
  <c r="AG451" i="1"/>
  <c r="AH459" i="1"/>
  <c r="AF459" i="1"/>
  <c r="AG459" i="1"/>
  <c r="AI467" i="1"/>
  <c r="AJ467" i="1"/>
  <c r="AK467" i="1"/>
  <c r="AJ475" i="1"/>
  <c r="AK475" i="1"/>
  <c r="AI475" i="1"/>
  <c r="AI483" i="1"/>
  <c r="AJ483" i="1"/>
  <c r="AK483" i="1"/>
  <c r="AI491" i="1"/>
  <c r="AJ491" i="1"/>
  <c r="AK491" i="1"/>
  <c r="AI499" i="1"/>
  <c r="AJ499" i="1"/>
  <c r="AK499" i="1"/>
  <c r="AJ507" i="1"/>
  <c r="AK507" i="1"/>
  <c r="AI507" i="1"/>
  <c r="AJ515" i="1"/>
  <c r="AK515" i="1"/>
  <c r="AI515" i="1"/>
  <c r="AH523" i="1"/>
  <c r="AF523" i="1"/>
  <c r="AG523" i="1"/>
  <c r="AH531" i="1"/>
  <c r="AF531" i="1"/>
  <c r="AG531" i="1"/>
  <c r="AH539" i="1"/>
  <c r="AF539" i="1"/>
  <c r="AG539" i="1"/>
  <c r="AI547" i="1"/>
  <c r="AK547" i="1"/>
  <c r="AJ547" i="1"/>
  <c r="AI555" i="1"/>
  <c r="AJ555" i="1"/>
  <c r="AK555" i="1"/>
  <c r="AI563" i="1"/>
  <c r="AJ563" i="1"/>
  <c r="AK563" i="1"/>
  <c r="AI571" i="1"/>
  <c r="AJ571" i="1"/>
  <c r="AK571" i="1"/>
  <c r="AI579" i="1"/>
  <c r="AJ579" i="1"/>
  <c r="AK579" i="1"/>
  <c r="AH587" i="1"/>
  <c r="AF587" i="1"/>
  <c r="AG587" i="1"/>
  <c r="AI595" i="1"/>
  <c r="AK595" i="1"/>
  <c r="AJ595" i="1"/>
  <c r="AI603" i="1"/>
  <c r="AJ603" i="1"/>
  <c r="AK603" i="1"/>
  <c r="AF611" i="1"/>
  <c r="AG611" i="1"/>
  <c r="AF619" i="1"/>
  <c r="AG619" i="1"/>
  <c r="AF627" i="1"/>
  <c r="AG627" i="1"/>
  <c r="AF635" i="1"/>
  <c r="AG635" i="1"/>
  <c r="AF643" i="1"/>
  <c r="AG643" i="1"/>
  <c r="AK651" i="1"/>
  <c r="AI651" i="1"/>
  <c r="AJ651" i="1"/>
  <c r="AI659" i="1"/>
  <c r="AJ659" i="1"/>
  <c r="AK659" i="1"/>
  <c r="AI667" i="1"/>
  <c r="AJ667" i="1"/>
  <c r="AK667" i="1"/>
  <c r="AI675" i="1"/>
  <c r="AJ675" i="1"/>
  <c r="AK675" i="1"/>
  <c r="AI683" i="1"/>
  <c r="AJ683" i="1"/>
  <c r="AK683" i="1"/>
  <c r="AI691" i="1"/>
  <c r="AJ691" i="1"/>
  <c r="AK691" i="1"/>
  <c r="AK699" i="1"/>
  <c r="AJ699" i="1"/>
  <c r="AK707" i="1"/>
  <c r="AJ707" i="1"/>
  <c r="AK715" i="1"/>
  <c r="AJ715" i="1"/>
  <c r="AH731" i="1"/>
  <c r="AF731" i="1"/>
  <c r="AG731" i="1"/>
  <c r="AH747" i="1"/>
  <c r="AF747" i="1"/>
  <c r="AG747" i="1"/>
  <c r="AF819" i="1"/>
  <c r="AG819" i="1"/>
  <c r="AH819" i="1"/>
  <c r="AF826" i="1"/>
  <c r="AG826" i="1"/>
  <c r="AH826" i="1"/>
  <c r="AK834" i="1"/>
  <c r="AJ834" i="1"/>
  <c r="AI842" i="1"/>
  <c r="AJ842" i="1"/>
  <c r="AK842" i="1"/>
  <c r="AH850" i="1"/>
  <c r="AF850" i="1"/>
  <c r="AG850" i="1"/>
  <c r="AI858" i="1"/>
  <c r="AJ858" i="1"/>
  <c r="AK858" i="1"/>
  <c r="AH884" i="1"/>
  <c r="AG884" i="1"/>
  <c r="AF884" i="1"/>
  <c r="AJ853" i="1"/>
  <c r="AK853" i="1"/>
  <c r="AI853" i="1"/>
  <c r="AK861" i="1"/>
  <c r="AI861" i="1"/>
  <c r="AJ861" i="1"/>
  <c r="AJ867" i="1"/>
  <c r="AI867" i="1"/>
  <c r="AK867" i="1"/>
  <c r="AJ973" i="1"/>
  <c r="AI973" i="1"/>
  <c r="AI999" i="1"/>
  <c r="AJ999" i="1"/>
  <c r="AK999" i="1"/>
  <c r="AJ1013" i="1"/>
  <c r="AI1013" i="1"/>
  <c r="AI1015" i="1"/>
  <c r="AJ1015" i="1"/>
  <c r="AK1015" i="1"/>
  <c r="AJ1029" i="1"/>
  <c r="AI1029" i="1"/>
  <c r="AI1031" i="1"/>
  <c r="AJ1031" i="1"/>
  <c r="AK1031" i="1"/>
  <c r="AF12" i="1"/>
  <c r="AG12" i="1"/>
  <c r="AH12" i="1"/>
  <c r="AG20" i="1"/>
  <c r="AH20" i="1"/>
  <c r="AF20" i="1"/>
  <c r="AG28" i="1"/>
  <c r="AF28" i="1"/>
  <c r="AH28" i="1"/>
  <c r="AK36" i="1"/>
  <c r="AJ36" i="1"/>
  <c r="AI36" i="1"/>
  <c r="AK44" i="1"/>
  <c r="AJ44" i="1"/>
  <c r="AI44" i="1"/>
  <c r="AJ52" i="1"/>
  <c r="AI52" i="1"/>
  <c r="AK52" i="1"/>
  <c r="AG60" i="1"/>
  <c r="AF60" i="1"/>
  <c r="AH60" i="1"/>
  <c r="AG92" i="1"/>
  <c r="AF92" i="1"/>
  <c r="AH92" i="1"/>
  <c r="AJ100" i="1"/>
  <c r="AK100" i="1"/>
  <c r="AI100" i="1"/>
  <c r="AJ108" i="1"/>
  <c r="AK108" i="1"/>
  <c r="AI108" i="1"/>
  <c r="AJ116" i="1"/>
  <c r="AK116" i="1"/>
  <c r="AI116" i="1"/>
  <c r="AJ124" i="1"/>
  <c r="AK124" i="1"/>
  <c r="AI124" i="1"/>
  <c r="AJ132" i="1"/>
  <c r="AK132" i="1"/>
  <c r="AI132" i="1"/>
  <c r="AH140" i="1"/>
  <c r="AG140" i="1"/>
  <c r="AJ148" i="1"/>
  <c r="AK148" i="1"/>
  <c r="AI148" i="1"/>
  <c r="AJ156" i="1"/>
  <c r="AK156" i="1"/>
  <c r="AI156" i="1"/>
  <c r="AH164" i="1"/>
  <c r="AG164" i="1"/>
  <c r="AJ172" i="1"/>
  <c r="AK172" i="1"/>
  <c r="AI172" i="1"/>
  <c r="AH180" i="1"/>
  <c r="AG180" i="1"/>
  <c r="AF188" i="1"/>
  <c r="AG188" i="1"/>
  <c r="AF196" i="1"/>
  <c r="AG196" i="1"/>
  <c r="AJ204" i="1"/>
  <c r="AK204" i="1"/>
  <c r="AI204" i="1"/>
  <c r="AF212" i="1"/>
  <c r="AG212" i="1"/>
  <c r="AF220" i="1"/>
  <c r="AG220" i="1"/>
  <c r="AF228" i="1"/>
  <c r="AG228" i="1"/>
  <c r="AJ236" i="1"/>
  <c r="AK236" i="1"/>
  <c r="AI236" i="1"/>
  <c r="AF244" i="1"/>
  <c r="AG244" i="1"/>
  <c r="AF252" i="1"/>
  <c r="AG252" i="1"/>
  <c r="AF260" i="1"/>
  <c r="AG260" i="1"/>
  <c r="AF268" i="1"/>
  <c r="AG268" i="1"/>
  <c r="AJ276" i="1"/>
  <c r="AK276" i="1"/>
  <c r="AI276" i="1"/>
  <c r="AF284" i="1"/>
  <c r="AG284" i="1"/>
  <c r="AF292" i="1"/>
  <c r="AG292" i="1"/>
  <c r="AF300" i="1"/>
  <c r="AG300" i="1"/>
  <c r="AF308" i="1"/>
  <c r="AG308" i="1"/>
  <c r="AF316" i="1"/>
  <c r="AG316" i="1"/>
  <c r="AF332" i="1"/>
  <c r="AG332" i="1"/>
  <c r="AH332" i="1"/>
  <c r="AF340" i="1"/>
  <c r="AG340" i="1"/>
  <c r="AH340" i="1"/>
  <c r="AF348" i="1"/>
  <c r="AG348" i="1"/>
  <c r="AH348" i="1"/>
  <c r="AF356" i="1"/>
  <c r="AG356" i="1"/>
  <c r="AH356" i="1"/>
  <c r="AF364" i="1"/>
  <c r="AH364" i="1"/>
  <c r="AG364" i="1"/>
  <c r="AF372" i="1"/>
  <c r="AH372" i="1"/>
  <c r="AG372" i="1"/>
  <c r="AF380" i="1"/>
  <c r="AH380" i="1"/>
  <c r="AG380" i="1"/>
  <c r="AF388" i="1"/>
  <c r="AH388" i="1"/>
  <c r="AG388" i="1"/>
  <c r="AF396" i="1"/>
  <c r="AH396" i="1"/>
  <c r="AG396" i="1"/>
  <c r="AF404" i="1"/>
  <c r="AH404" i="1"/>
  <c r="AG404" i="1"/>
  <c r="AJ420" i="1"/>
  <c r="AI420" i="1"/>
  <c r="AK420" i="1"/>
  <c r="AF428" i="1"/>
  <c r="AG428" i="1"/>
  <c r="AF436" i="1"/>
  <c r="AG436" i="1"/>
  <c r="AF444" i="1"/>
  <c r="AG444" i="1"/>
  <c r="AF452" i="1"/>
  <c r="AG452" i="1"/>
  <c r="AF460" i="1"/>
  <c r="AG460" i="1"/>
  <c r="AF468" i="1"/>
  <c r="AG468" i="1"/>
  <c r="AF476" i="1"/>
  <c r="AG476" i="1"/>
  <c r="AF484" i="1"/>
  <c r="AG484" i="1"/>
  <c r="AF492" i="1"/>
  <c r="AG492" i="1"/>
  <c r="AF500" i="1"/>
  <c r="AG500" i="1"/>
  <c r="AF508" i="1"/>
  <c r="AG508" i="1"/>
  <c r="AF516" i="1"/>
  <c r="AG516" i="1"/>
  <c r="AF524" i="1"/>
  <c r="AG524" i="1"/>
  <c r="AF532" i="1"/>
  <c r="AG532" i="1"/>
  <c r="AF540" i="1"/>
  <c r="AG540" i="1"/>
  <c r="AJ548" i="1"/>
  <c r="AK548" i="1"/>
  <c r="AF556" i="1"/>
  <c r="AG556" i="1"/>
  <c r="AF564" i="1"/>
  <c r="AG564" i="1"/>
  <c r="AH564" i="1"/>
  <c r="AF572" i="1"/>
  <c r="AG572" i="1"/>
  <c r="AH572" i="1"/>
  <c r="AF580" i="1"/>
  <c r="AG580" i="1"/>
  <c r="AH580" i="1"/>
  <c r="AF588" i="1"/>
  <c r="AH588" i="1"/>
  <c r="AG588" i="1"/>
  <c r="AJ596" i="1"/>
  <c r="AK596" i="1"/>
  <c r="AF604" i="1"/>
  <c r="AH604" i="1"/>
  <c r="AG604" i="1"/>
  <c r="AG612" i="1"/>
  <c r="AH612" i="1"/>
  <c r="AF612" i="1"/>
  <c r="AG620" i="1"/>
  <c r="AH620" i="1"/>
  <c r="AF620" i="1"/>
  <c r="AG628" i="1"/>
  <c r="AH628" i="1"/>
  <c r="AF628" i="1"/>
  <c r="AG636" i="1"/>
  <c r="AH636" i="1"/>
  <c r="AF636" i="1"/>
  <c r="AG644" i="1"/>
  <c r="AF644" i="1"/>
  <c r="AH644" i="1"/>
  <c r="AK652" i="1"/>
  <c r="AJ652" i="1"/>
  <c r="AF660" i="1"/>
  <c r="AG660" i="1"/>
  <c r="AH660" i="1"/>
  <c r="AF668" i="1"/>
  <c r="AG668" i="1"/>
  <c r="AH668" i="1"/>
  <c r="AF676" i="1"/>
  <c r="AG676" i="1"/>
  <c r="AH676" i="1"/>
  <c r="AF684" i="1"/>
  <c r="AG684" i="1"/>
  <c r="AH684" i="1"/>
  <c r="AF692" i="1"/>
  <c r="AG692" i="1"/>
  <c r="AH692" i="1"/>
  <c r="AH700" i="1"/>
  <c r="AG700" i="1"/>
  <c r="AJ708" i="1"/>
  <c r="AK708" i="1"/>
  <c r="AI708" i="1"/>
  <c r="AH716" i="1"/>
  <c r="AG716" i="1"/>
  <c r="AH724" i="1"/>
  <c r="AG724" i="1"/>
  <c r="AJ732" i="1"/>
  <c r="AK732" i="1"/>
  <c r="AI732" i="1"/>
  <c r="AH740" i="1"/>
  <c r="AG740" i="1"/>
  <c r="AJ748" i="1"/>
  <c r="AK748" i="1"/>
  <c r="AI748" i="1"/>
  <c r="AH756" i="1"/>
  <c r="AG756" i="1"/>
  <c r="AK764" i="1"/>
  <c r="AI764" i="1"/>
  <c r="AK772" i="1"/>
  <c r="AI772" i="1"/>
  <c r="AK780" i="1"/>
  <c r="AI780" i="1"/>
  <c r="AK788" i="1"/>
  <c r="AI788" i="1"/>
  <c r="AK796" i="1"/>
  <c r="AI796" i="1"/>
  <c r="AK804" i="1"/>
  <c r="AI804" i="1"/>
  <c r="AK812" i="1"/>
  <c r="AI812" i="1"/>
  <c r="AF875" i="1"/>
  <c r="AG875" i="1"/>
  <c r="AH875" i="1"/>
  <c r="AF827" i="1"/>
  <c r="AG827" i="1"/>
  <c r="AH827" i="1"/>
  <c r="AH835" i="1"/>
  <c r="AG835" i="1"/>
  <c r="AH843" i="1"/>
  <c r="AG843" i="1"/>
  <c r="AH874" i="1"/>
  <c r="AF874" i="1"/>
  <c r="AG874" i="1"/>
  <c r="AH882" i="1"/>
  <c r="AF882" i="1"/>
  <c r="AG882" i="1"/>
  <c r="AH896" i="1"/>
  <c r="AG896" i="1"/>
  <c r="AF896" i="1"/>
  <c r="AJ905" i="1"/>
  <c r="AI905" i="1"/>
  <c r="AK905" i="1"/>
  <c r="AK951" i="1"/>
  <c r="AI951" i="1"/>
  <c r="AJ951" i="1"/>
  <c r="AI975" i="1"/>
  <c r="AJ975" i="1"/>
  <c r="AK975" i="1"/>
  <c r="AK978" i="1"/>
  <c r="AI978" i="1"/>
  <c r="AJ978" i="1"/>
  <c r="AK1002" i="1"/>
  <c r="AI1002" i="1"/>
  <c r="AJ1002" i="1"/>
  <c r="AK1018" i="1"/>
  <c r="AI1018" i="1"/>
  <c r="AJ1018" i="1"/>
  <c r="AK1034" i="1"/>
  <c r="AI1034" i="1"/>
  <c r="AJ1034" i="1"/>
  <c r="AJ17" i="1"/>
  <c r="AI17" i="1"/>
  <c r="AK17" i="1"/>
  <c r="AH25" i="1"/>
  <c r="AF25" i="1"/>
  <c r="AG25" i="1"/>
  <c r="AH33" i="1"/>
  <c r="AF33" i="1"/>
  <c r="AG33" i="1"/>
  <c r="AJ41" i="1"/>
  <c r="AI41" i="1"/>
  <c r="AK41" i="1"/>
  <c r="AH49" i="1"/>
  <c r="AF49" i="1"/>
  <c r="AG49" i="1"/>
  <c r="AH57" i="1"/>
  <c r="AF57" i="1"/>
  <c r="AG57" i="1"/>
  <c r="AH65" i="1"/>
  <c r="AF65" i="1"/>
  <c r="AG65" i="1"/>
  <c r="AF73" i="1"/>
  <c r="AG73" i="1"/>
  <c r="AF81" i="1"/>
  <c r="AG81" i="1"/>
  <c r="AF89" i="1"/>
  <c r="AG89" i="1"/>
  <c r="AH97" i="1"/>
  <c r="AF97" i="1"/>
  <c r="AG97" i="1"/>
  <c r="AF105" i="1"/>
  <c r="AH105" i="1"/>
  <c r="AG105" i="1"/>
  <c r="AI113" i="1"/>
  <c r="AJ113" i="1"/>
  <c r="AI121" i="1"/>
  <c r="AJ121" i="1"/>
  <c r="AI129" i="1"/>
  <c r="AJ129" i="1"/>
  <c r="AF137" i="1"/>
  <c r="AG137" i="1"/>
  <c r="AH137" i="1"/>
  <c r="AI145" i="1"/>
  <c r="AJ145" i="1"/>
  <c r="AI153" i="1"/>
  <c r="AJ153" i="1"/>
  <c r="AI161" i="1"/>
  <c r="AJ161" i="1"/>
  <c r="AI169" i="1"/>
  <c r="AJ169" i="1"/>
  <c r="AH177" i="1"/>
  <c r="AF177" i="1"/>
  <c r="AG177" i="1"/>
  <c r="AK201" i="1"/>
  <c r="AJ201" i="1"/>
  <c r="AH209" i="1"/>
  <c r="AF209" i="1"/>
  <c r="AG209" i="1"/>
  <c r="AH217" i="1"/>
  <c r="AF217" i="1"/>
  <c r="AG217" i="1"/>
  <c r="AH233" i="1"/>
  <c r="AF233" i="1"/>
  <c r="AG233" i="1"/>
  <c r="AH241" i="1"/>
  <c r="AF241" i="1"/>
  <c r="AG241" i="1"/>
  <c r="AH249" i="1"/>
  <c r="AF249" i="1"/>
  <c r="AG249" i="1"/>
  <c r="AH257" i="1"/>
  <c r="AF257" i="1"/>
  <c r="AG257" i="1"/>
  <c r="AH265" i="1"/>
  <c r="AF265" i="1"/>
  <c r="AG265" i="1"/>
  <c r="AK281" i="1"/>
  <c r="AJ281" i="1"/>
  <c r="AH289" i="1"/>
  <c r="AF289" i="1"/>
  <c r="AG289" i="1"/>
  <c r="AK297" i="1"/>
  <c r="AJ297" i="1"/>
  <c r="AH305" i="1"/>
  <c r="AF305" i="1"/>
  <c r="AG305" i="1"/>
  <c r="AK313" i="1"/>
  <c r="AJ313" i="1"/>
  <c r="AH321" i="1"/>
  <c r="AF321" i="1"/>
  <c r="AG321" i="1"/>
  <c r="AJ337" i="1"/>
  <c r="AI337" i="1"/>
  <c r="AJ345" i="1"/>
  <c r="AI345" i="1"/>
  <c r="AJ353" i="1"/>
  <c r="AI353" i="1"/>
  <c r="AF361" i="1"/>
  <c r="AG361" i="1"/>
  <c r="AH361" i="1"/>
  <c r="AF369" i="1"/>
  <c r="AH369" i="1"/>
  <c r="AG369" i="1"/>
  <c r="AH377" i="1"/>
  <c r="AF377" i="1"/>
  <c r="AG377" i="1"/>
  <c r="AK385" i="1"/>
  <c r="AI385" i="1"/>
  <c r="AJ385" i="1"/>
  <c r="AK393" i="1"/>
  <c r="AJ393" i="1"/>
  <c r="AI393" i="1"/>
  <c r="AK401" i="1"/>
  <c r="AJ401" i="1"/>
  <c r="AI401" i="1"/>
  <c r="AK409" i="1"/>
  <c r="AI409" i="1"/>
  <c r="AJ409" i="1"/>
  <c r="AK417" i="1"/>
  <c r="AJ417" i="1"/>
  <c r="AK489" i="1"/>
  <c r="AI489" i="1"/>
  <c r="AK497" i="1"/>
  <c r="AI497" i="1"/>
  <c r="AK505" i="1"/>
  <c r="AI505" i="1"/>
  <c r="AH513" i="1"/>
  <c r="AF513" i="1"/>
  <c r="AG513" i="1"/>
  <c r="AK521" i="1"/>
  <c r="AI521" i="1"/>
  <c r="AK529" i="1"/>
  <c r="AI529" i="1"/>
  <c r="AK537" i="1"/>
  <c r="AI537" i="1"/>
  <c r="AH545" i="1"/>
  <c r="AF545" i="1"/>
  <c r="AG545" i="1"/>
  <c r="AK553" i="1"/>
  <c r="AI553" i="1"/>
  <c r="AK561" i="1"/>
  <c r="AI561" i="1"/>
  <c r="AK569" i="1"/>
  <c r="AI569" i="1"/>
  <c r="AK577" i="1"/>
  <c r="AI577" i="1"/>
  <c r="AK585" i="1"/>
  <c r="AI585" i="1"/>
  <c r="AF593" i="1"/>
  <c r="AH593" i="1"/>
  <c r="AG593" i="1"/>
  <c r="AH601" i="1"/>
  <c r="AF601" i="1"/>
  <c r="AG601" i="1"/>
  <c r="AK609" i="1"/>
  <c r="AI609" i="1"/>
  <c r="AJ609" i="1"/>
  <c r="AH617" i="1"/>
  <c r="AG617" i="1"/>
  <c r="AH625" i="1"/>
  <c r="AG625" i="1"/>
  <c r="AH633" i="1"/>
  <c r="AG633" i="1"/>
  <c r="AH641" i="1"/>
  <c r="AG641" i="1"/>
  <c r="AJ649" i="1"/>
  <c r="AI649" i="1"/>
  <c r="AK649" i="1"/>
  <c r="AH657" i="1"/>
  <c r="AG657" i="1"/>
  <c r="AK665" i="1"/>
  <c r="AI665" i="1"/>
  <c r="AJ665" i="1"/>
  <c r="AK673" i="1"/>
  <c r="AI673" i="1"/>
  <c r="AJ673" i="1"/>
  <c r="AK681" i="1"/>
  <c r="AI681" i="1"/>
  <c r="AJ681" i="1"/>
  <c r="AK689" i="1"/>
  <c r="AI689" i="1"/>
  <c r="AJ689" i="1"/>
  <c r="AK697" i="1"/>
  <c r="AI697" i="1"/>
  <c r="AJ697" i="1"/>
  <c r="AI705" i="1"/>
  <c r="AJ705" i="1"/>
  <c r="AK713" i="1"/>
  <c r="AI713" i="1"/>
  <c r="AJ713" i="1"/>
  <c r="AK721" i="1"/>
  <c r="AI721" i="1"/>
  <c r="AJ721" i="1"/>
  <c r="AK729" i="1"/>
  <c r="AI729" i="1"/>
  <c r="AJ729" i="1"/>
  <c r="AK737" i="1"/>
  <c r="AI737" i="1"/>
  <c r="AJ737" i="1"/>
  <c r="AK745" i="1"/>
  <c r="AI745" i="1"/>
  <c r="AJ745" i="1"/>
  <c r="AK753" i="1"/>
  <c r="AI753" i="1"/>
  <c r="AJ753" i="1"/>
  <c r="AK761" i="1"/>
  <c r="AJ761" i="1"/>
  <c r="AI761" i="1"/>
  <c r="AK769" i="1"/>
  <c r="AJ769" i="1"/>
  <c r="AI769" i="1"/>
  <c r="AK777" i="1"/>
  <c r="AJ777" i="1"/>
  <c r="AI777" i="1"/>
  <c r="AK785" i="1"/>
  <c r="AJ785" i="1"/>
  <c r="AI785" i="1"/>
  <c r="AK793" i="1"/>
  <c r="AJ793" i="1"/>
  <c r="AI793" i="1"/>
  <c r="AK801" i="1"/>
  <c r="AJ801" i="1"/>
  <c r="AI801" i="1"/>
  <c r="AK809" i="1"/>
  <c r="AI809" i="1"/>
  <c r="AJ809" i="1"/>
  <c r="AI817" i="1"/>
  <c r="AJ817" i="1"/>
  <c r="AK817" i="1"/>
  <c r="AH824" i="1"/>
  <c r="AF824" i="1"/>
  <c r="AG824" i="1"/>
  <c r="AH832" i="1"/>
  <c r="AF832" i="1"/>
  <c r="AG832" i="1"/>
  <c r="AH840" i="1"/>
  <c r="AF840" i="1"/>
  <c r="AG840" i="1"/>
  <c r="AH890" i="1"/>
  <c r="AG890" i="1"/>
  <c r="AF890" i="1"/>
  <c r="AK899" i="1"/>
  <c r="AI899" i="1"/>
  <c r="AJ899" i="1"/>
  <c r="AH922" i="1"/>
  <c r="AF922" i="1"/>
  <c r="AG922" i="1"/>
  <c r="AK987" i="1"/>
  <c r="AI987" i="1"/>
  <c r="AJ987" i="1"/>
  <c r="AH990" i="1"/>
  <c r="AF990" i="1"/>
  <c r="AG990" i="1"/>
  <c r="AK1011" i="1"/>
  <c r="AI1011" i="1"/>
  <c r="AJ1011" i="1"/>
  <c r="AH14" i="1"/>
  <c r="AG14" i="1"/>
  <c r="AJ22" i="1"/>
  <c r="AI22" i="1"/>
  <c r="AK22" i="1"/>
  <c r="AJ30" i="1"/>
  <c r="AK30" i="1"/>
  <c r="AI30" i="1"/>
  <c r="AH38" i="1"/>
  <c r="AF38" i="1"/>
  <c r="AG38" i="1"/>
  <c r="AH46" i="1"/>
  <c r="AF46" i="1"/>
  <c r="AG46" i="1"/>
  <c r="AI54" i="1"/>
  <c r="AK54" i="1"/>
  <c r="AJ54" i="1"/>
  <c r="AI62" i="1"/>
  <c r="AK62" i="1"/>
  <c r="AJ62" i="1"/>
  <c r="AF70" i="1"/>
  <c r="AH70" i="1"/>
  <c r="AG70" i="1"/>
  <c r="AK78" i="1"/>
  <c r="AJ78" i="1"/>
  <c r="AK86" i="1"/>
  <c r="AJ86" i="1"/>
  <c r="AF94" i="1"/>
  <c r="AG94" i="1"/>
  <c r="AH94" i="1"/>
  <c r="AH102" i="1"/>
  <c r="AF102" i="1"/>
  <c r="AG102" i="1"/>
  <c r="AK110" i="1"/>
  <c r="AI110" i="1"/>
  <c r="AJ110" i="1"/>
  <c r="AI118" i="1"/>
  <c r="AK118" i="1"/>
  <c r="AJ118" i="1"/>
  <c r="AK126" i="1"/>
  <c r="AI126" i="1"/>
  <c r="AJ126" i="1"/>
  <c r="AI134" i="1"/>
  <c r="AJ134" i="1"/>
  <c r="AK134" i="1"/>
  <c r="AF142" i="1"/>
  <c r="AG142" i="1"/>
  <c r="AI150" i="1"/>
  <c r="AJ150" i="1"/>
  <c r="AK150" i="1"/>
  <c r="AI158" i="1"/>
  <c r="AJ158" i="1"/>
  <c r="AK158" i="1"/>
  <c r="AK166" i="1"/>
  <c r="AI166" i="1"/>
  <c r="AJ166" i="1"/>
  <c r="AI174" i="1"/>
  <c r="AJ174" i="1"/>
  <c r="AK174" i="1"/>
  <c r="AJ182" i="1"/>
  <c r="AK182" i="1"/>
  <c r="AI182" i="1"/>
  <c r="AH190" i="1"/>
  <c r="AG190" i="1"/>
  <c r="AH198" i="1"/>
  <c r="AG198" i="1"/>
  <c r="AJ206" i="1"/>
  <c r="AI206" i="1"/>
  <c r="AK206" i="1"/>
  <c r="AI214" i="1"/>
  <c r="AJ214" i="1"/>
  <c r="AK214" i="1"/>
  <c r="AH222" i="1"/>
  <c r="AG222" i="1"/>
  <c r="AH230" i="1"/>
  <c r="AG230" i="1"/>
  <c r="AH238" i="1"/>
  <c r="AG238" i="1"/>
  <c r="AJ246" i="1"/>
  <c r="AK246" i="1"/>
  <c r="AI246" i="1"/>
  <c r="AJ254" i="1"/>
  <c r="AK254" i="1"/>
  <c r="AI254" i="1"/>
  <c r="AJ262" i="1"/>
  <c r="AK262" i="1"/>
  <c r="AI262" i="1"/>
  <c r="AJ270" i="1"/>
  <c r="AK270" i="1"/>
  <c r="AI270" i="1"/>
  <c r="AH278" i="1"/>
  <c r="AG278" i="1"/>
  <c r="AI286" i="1"/>
  <c r="AJ286" i="1"/>
  <c r="AK286" i="1"/>
  <c r="AH294" i="1"/>
  <c r="AG294" i="1"/>
  <c r="AI302" i="1"/>
  <c r="AJ302" i="1"/>
  <c r="AK302" i="1"/>
  <c r="AH310" i="1"/>
  <c r="AG310" i="1"/>
  <c r="AI318" i="1"/>
  <c r="AJ318" i="1"/>
  <c r="AK318" i="1"/>
  <c r="AI326" i="1"/>
  <c r="AJ326" i="1"/>
  <c r="AK326" i="1"/>
  <c r="AK334" i="1"/>
  <c r="AI334" i="1"/>
  <c r="AJ334" i="1"/>
  <c r="AK342" i="1"/>
  <c r="AI342" i="1"/>
  <c r="AJ342" i="1"/>
  <c r="AK350" i="1"/>
  <c r="AI350" i="1"/>
  <c r="AJ350" i="1"/>
  <c r="AK358" i="1"/>
  <c r="AJ358" i="1"/>
  <c r="AI358" i="1"/>
  <c r="AH366" i="1"/>
  <c r="AF366" i="1"/>
  <c r="AG366" i="1"/>
  <c r="AK374" i="1"/>
  <c r="AI374" i="1"/>
  <c r="AJ374" i="1"/>
  <c r="AK382" i="1"/>
  <c r="AI382" i="1"/>
  <c r="AJ382" i="1"/>
  <c r="AK390" i="1"/>
  <c r="AI390" i="1"/>
  <c r="AJ390" i="1"/>
  <c r="AK398" i="1"/>
  <c r="AI398" i="1"/>
  <c r="AJ398" i="1"/>
  <c r="AK406" i="1"/>
  <c r="AI406" i="1"/>
  <c r="AJ406" i="1"/>
  <c r="AI414" i="1"/>
  <c r="AJ414" i="1"/>
  <c r="AK414" i="1"/>
  <c r="AH422" i="1"/>
  <c r="AF422" i="1"/>
  <c r="AG422" i="1"/>
  <c r="AH430" i="1"/>
  <c r="AF430" i="1"/>
  <c r="AG430" i="1"/>
  <c r="AH438" i="1"/>
  <c r="AF438" i="1"/>
  <c r="AG438" i="1"/>
  <c r="AH446" i="1"/>
  <c r="AF446" i="1"/>
  <c r="AG446" i="1"/>
  <c r="AH454" i="1"/>
  <c r="AF454" i="1"/>
  <c r="AG454" i="1"/>
  <c r="AH462" i="1"/>
  <c r="AF462" i="1"/>
  <c r="AG462" i="1"/>
  <c r="AK470" i="1"/>
  <c r="AI470" i="1"/>
  <c r="AJ470" i="1"/>
  <c r="AH478" i="1"/>
  <c r="AF478" i="1"/>
  <c r="AG478" i="1"/>
  <c r="AJ486" i="1"/>
  <c r="AK486" i="1"/>
  <c r="AI486" i="1"/>
  <c r="AJ494" i="1"/>
  <c r="AK494" i="1"/>
  <c r="AI494" i="1"/>
  <c r="AI502" i="1"/>
  <c r="AJ502" i="1"/>
  <c r="AK502" i="1"/>
  <c r="AI510" i="1"/>
  <c r="AJ510" i="1"/>
  <c r="AK510" i="1"/>
  <c r="AK518" i="1"/>
  <c r="AI518" i="1"/>
  <c r="AJ518" i="1"/>
  <c r="AK526" i="1"/>
  <c r="AI526" i="1"/>
  <c r="AJ526" i="1"/>
  <c r="AK534" i="1"/>
  <c r="AI534" i="1"/>
  <c r="AJ534" i="1"/>
  <c r="AK542" i="1"/>
  <c r="AI542" i="1"/>
  <c r="AJ542" i="1"/>
  <c r="AH550" i="1"/>
  <c r="AF550" i="1"/>
  <c r="AG550" i="1"/>
  <c r="AK558" i="1"/>
  <c r="AI558" i="1"/>
  <c r="AJ558" i="1"/>
  <c r="AK566" i="1"/>
  <c r="AI566" i="1"/>
  <c r="AJ566" i="1"/>
  <c r="AK574" i="1"/>
  <c r="AI574" i="1"/>
  <c r="AJ574" i="1"/>
  <c r="AH582" i="1"/>
  <c r="AF582" i="1"/>
  <c r="AG582" i="1"/>
  <c r="AH590" i="1"/>
  <c r="AF590" i="1"/>
  <c r="AG590" i="1"/>
  <c r="AH598" i="1"/>
  <c r="AF598" i="1"/>
  <c r="AG598" i="1"/>
  <c r="AJ606" i="1"/>
  <c r="AI606" i="1"/>
  <c r="AK606" i="1"/>
  <c r="AF614" i="1"/>
  <c r="AH614" i="1"/>
  <c r="AG614" i="1"/>
  <c r="AF622" i="1"/>
  <c r="AH622" i="1"/>
  <c r="AG622" i="1"/>
  <c r="AF630" i="1"/>
  <c r="AH630" i="1"/>
  <c r="AG630" i="1"/>
  <c r="AF638" i="1"/>
  <c r="AH638" i="1"/>
  <c r="AG638" i="1"/>
  <c r="AH646" i="1"/>
  <c r="AF646" i="1"/>
  <c r="AG646" i="1"/>
  <c r="AI654" i="1"/>
  <c r="AJ654" i="1"/>
  <c r="AH662" i="1"/>
  <c r="AF662" i="1"/>
  <c r="AG662" i="1"/>
  <c r="AH670" i="1"/>
  <c r="AF670" i="1"/>
  <c r="AG670" i="1"/>
  <c r="AH678" i="1"/>
  <c r="AF678" i="1"/>
  <c r="AG678" i="1"/>
  <c r="AH686" i="1"/>
  <c r="AF686" i="1"/>
  <c r="AG686" i="1"/>
  <c r="AK694" i="1"/>
  <c r="AI694" i="1"/>
  <c r="AJ694" i="1"/>
  <c r="AK702" i="1"/>
  <c r="AI702" i="1"/>
  <c r="AJ702" i="1"/>
  <c r="AI710" i="1"/>
  <c r="AJ710" i="1"/>
  <c r="AK710" i="1"/>
  <c r="AI718" i="1"/>
  <c r="AJ718" i="1"/>
  <c r="AK718" i="1"/>
  <c r="AF726" i="1"/>
  <c r="AG726" i="1"/>
  <c r="AI734" i="1"/>
  <c r="AJ734" i="1"/>
  <c r="AK734" i="1"/>
  <c r="AF742" i="1"/>
  <c r="AG742" i="1"/>
  <c r="AI750" i="1"/>
  <c r="AJ750" i="1"/>
  <c r="AK750" i="1"/>
  <c r="AF758" i="1"/>
  <c r="AG758" i="1"/>
  <c r="AI766" i="1"/>
  <c r="AJ766" i="1"/>
  <c r="AK766" i="1"/>
  <c r="AI774" i="1"/>
  <c r="AJ774" i="1"/>
  <c r="AK774" i="1"/>
  <c r="AI782" i="1"/>
  <c r="AJ782" i="1"/>
  <c r="AK782" i="1"/>
  <c r="AI790" i="1"/>
  <c r="AJ790" i="1"/>
  <c r="AK790" i="1"/>
  <c r="AI798" i="1"/>
  <c r="AJ798" i="1"/>
  <c r="AK798" i="1"/>
  <c r="AF806" i="1"/>
  <c r="AG806" i="1"/>
  <c r="AF814" i="1"/>
  <c r="AG814" i="1"/>
  <c r="AK821" i="1"/>
  <c r="AI821" i="1"/>
  <c r="AJ821" i="1"/>
  <c r="AI829" i="1"/>
  <c r="AJ829" i="1"/>
  <c r="AK829" i="1"/>
  <c r="AI837" i="1"/>
  <c r="AJ837" i="1"/>
  <c r="AK837" i="1"/>
  <c r="AJ845" i="1"/>
  <c r="AK845" i="1"/>
  <c r="AI845" i="1"/>
  <c r="BD915" i="1"/>
  <c r="BD879" i="1"/>
  <c r="BD903" i="1"/>
  <c r="BD943" i="1"/>
  <c r="BD967" i="1"/>
  <c r="AU966" i="1"/>
  <c r="BI966" i="1"/>
  <c r="BD911" i="1"/>
  <c r="BD927" i="1"/>
  <c r="AU878" i="1"/>
  <c r="BI878" i="1"/>
  <c r="AU886" i="1"/>
  <c r="BI886" i="1"/>
  <c r="AU894" i="1"/>
  <c r="BI894" i="1"/>
  <c r="AU902" i="1"/>
  <c r="BI902" i="1"/>
  <c r="AU910" i="1"/>
  <c r="BI910" i="1"/>
  <c r="AU918" i="1"/>
  <c r="BI918" i="1"/>
  <c r="AU926" i="1"/>
  <c r="BI926" i="1"/>
  <c r="AU934" i="1"/>
  <c r="BI934" i="1"/>
  <c r="AU942" i="1"/>
  <c r="BI942" i="1"/>
  <c r="AU950" i="1"/>
  <c r="BI950" i="1"/>
  <c r="BD939" i="1"/>
  <c r="AU958" i="1"/>
  <c r="BI958" i="1"/>
  <c r="BD998" i="1" l="1"/>
  <c r="BD1027" i="1"/>
  <c r="BD909" i="1"/>
  <c r="BD889" i="1"/>
  <c r="BD980" i="1"/>
  <c r="BD1001" i="1"/>
  <c r="BD912" i="1"/>
  <c r="BD923" i="1"/>
  <c r="BD895" i="1"/>
  <c r="BD887" i="1"/>
  <c r="BD959" i="1"/>
  <c r="BD880" i="1"/>
  <c r="BD900" i="1"/>
  <c r="BD941" i="1"/>
  <c r="BD944" i="1"/>
  <c r="BD1018" i="1"/>
  <c r="BD961" i="1"/>
  <c r="BD986" i="1"/>
  <c r="BD890" i="1"/>
  <c r="BD1006" i="1"/>
  <c r="BD921" i="1"/>
  <c r="BD894" i="1"/>
  <c r="BD924" i="1"/>
  <c r="BD1022" i="1"/>
  <c r="BD994" i="1"/>
  <c r="BD964" i="1"/>
  <c r="BD962" i="1"/>
  <c r="BD898" i="1"/>
  <c r="BD930" i="1"/>
  <c r="AH427" i="28" l="1"/>
  <c r="AH428" i="28"/>
  <c r="AH429" i="28"/>
  <c r="AH430" i="28"/>
  <c r="AH431" i="28"/>
  <c r="AH432" i="28"/>
  <c r="AH433" i="28"/>
  <c r="AH434" i="28"/>
  <c r="AH435" i="28"/>
  <c r="AH436" i="28"/>
  <c r="AH437" i="28"/>
  <c r="AH438" i="28"/>
  <c r="AH439" i="28"/>
  <c r="AH440" i="28"/>
  <c r="AH441" i="28"/>
  <c r="AH442" i="28"/>
  <c r="AH443" i="28"/>
  <c r="AH444" i="28"/>
  <c r="AH445" i="28"/>
  <c r="AH446" i="28"/>
  <c r="AH447" i="28"/>
  <c r="AH448" i="28"/>
  <c r="AH449" i="28"/>
  <c r="AH450" i="28"/>
  <c r="AH451" i="28"/>
  <c r="AH452" i="28"/>
  <c r="AH453" i="28"/>
  <c r="AH454" i="28"/>
  <c r="AH455" i="28"/>
  <c r="AH456" i="28"/>
  <c r="AH457" i="28"/>
  <c r="AH458" i="28"/>
  <c r="AH459" i="28"/>
  <c r="AH460" i="28"/>
  <c r="AH461" i="28"/>
  <c r="AH462" i="28"/>
  <c r="AH463" i="28"/>
  <c r="AH464" i="28"/>
  <c r="AH465" i="28"/>
  <c r="AH466" i="28"/>
  <c r="AH467" i="28"/>
  <c r="AH468" i="28"/>
  <c r="AH469" i="28"/>
  <c r="AH470" i="28"/>
  <c r="AH471" i="28"/>
  <c r="AH472" i="28"/>
  <c r="AH473" i="28"/>
  <c r="AH474" i="28"/>
  <c r="AH475" i="28"/>
  <c r="AH476" i="28"/>
  <c r="AH477" i="28"/>
  <c r="AH478" i="28"/>
  <c r="AH479" i="28"/>
  <c r="AH480" i="28"/>
  <c r="AH481" i="28"/>
  <c r="AH482" i="28"/>
  <c r="AH483" i="28"/>
  <c r="AH484" i="28"/>
  <c r="AH485" i="28"/>
  <c r="AH486" i="28"/>
  <c r="AH487" i="28"/>
  <c r="AH488" i="28"/>
  <c r="AH489" i="28"/>
  <c r="AH490" i="28"/>
  <c r="AH491" i="28"/>
  <c r="AH492" i="28"/>
  <c r="AH493" i="28"/>
  <c r="AH494" i="28"/>
  <c r="AH495" i="28"/>
  <c r="AH496" i="28"/>
  <c r="AH497" i="28"/>
  <c r="AH498" i="28"/>
  <c r="AH499" i="28"/>
  <c r="AH500" i="28"/>
  <c r="AH501" i="28"/>
  <c r="AH502" i="28"/>
  <c r="AH503" i="28"/>
  <c r="AH504" i="28"/>
  <c r="AH505" i="28"/>
  <c r="AH506" i="28"/>
  <c r="AH507" i="28"/>
  <c r="AH508" i="28"/>
  <c r="AH509" i="28"/>
  <c r="AH510" i="28"/>
  <c r="AH511" i="28"/>
  <c r="AH512" i="28"/>
  <c r="AH513" i="28"/>
  <c r="AH514" i="28"/>
  <c r="AH515" i="28"/>
  <c r="AH516" i="28"/>
  <c r="AH517" i="28"/>
  <c r="AH518" i="28"/>
  <c r="AH519" i="28"/>
  <c r="AH520" i="28"/>
  <c r="AH521" i="28"/>
  <c r="AH522" i="28"/>
  <c r="AH523" i="28"/>
  <c r="AH524" i="28"/>
  <c r="AH525" i="28"/>
  <c r="AH526" i="28"/>
  <c r="AH527" i="28"/>
  <c r="AH528" i="28"/>
  <c r="AH529" i="28"/>
  <c r="AH530" i="28"/>
  <c r="AH531" i="28"/>
  <c r="AH532" i="28"/>
  <c r="AH533" i="28"/>
  <c r="AH534" i="28"/>
  <c r="AH535" i="28"/>
  <c r="AH536" i="28"/>
  <c r="AH537" i="28"/>
  <c r="AH538" i="28"/>
  <c r="AH539" i="28"/>
  <c r="AH540" i="28"/>
  <c r="AH541" i="28"/>
  <c r="AH542" i="28"/>
  <c r="AH543" i="28"/>
  <c r="AH544" i="28"/>
  <c r="AH545" i="28"/>
  <c r="AH546" i="28"/>
  <c r="AH547" i="28"/>
  <c r="AH548" i="28"/>
  <c r="AH549" i="28"/>
  <c r="AH550" i="28"/>
  <c r="AH551" i="28"/>
  <c r="AH552" i="28"/>
  <c r="AH553" i="28"/>
  <c r="AH554" i="28"/>
  <c r="AH555" i="28"/>
  <c r="AH556" i="28"/>
  <c r="AH557" i="28"/>
  <c r="AH558" i="28"/>
  <c r="AH559" i="28"/>
  <c r="AH560" i="28"/>
  <c r="AH561" i="28"/>
  <c r="AH562" i="28"/>
  <c r="AH563" i="28"/>
  <c r="AH564" i="28"/>
  <c r="AH565" i="28"/>
  <c r="AH566" i="28"/>
  <c r="AH567" i="28"/>
  <c r="AH568" i="28"/>
  <c r="AH569" i="28"/>
  <c r="AH570" i="28"/>
  <c r="AH571" i="28"/>
  <c r="AH572" i="28"/>
  <c r="AH573" i="28"/>
  <c r="AH574" i="28"/>
  <c r="AH575" i="28"/>
  <c r="AH576" i="28"/>
  <c r="AH577" i="28"/>
  <c r="AH578" i="28"/>
  <c r="AH579" i="28"/>
  <c r="AH580" i="28"/>
  <c r="AH581" i="28"/>
  <c r="AH582" i="28"/>
  <c r="AH583" i="28"/>
  <c r="AH584" i="28"/>
  <c r="AH585" i="28"/>
  <c r="AH586" i="28"/>
  <c r="AH587" i="28"/>
  <c r="AH588" i="28"/>
  <c r="AH589" i="28"/>
  <c r="AH590" i="28"/>
  <c r="AH591" i="28"/>
  <c r="AH592" i="28"/>
  <c r="AH593" i="28"/>
  <c r="AH594" i="28"/>
  <c r="AH595" i="28"/>
  <c r="AH596" i="28"/>
  <c r="AH597" i="28"/>
  <c r="AH598" i="28"/>
  <c r="AH599" i="28"/>
  <c r="AH600" i="28"/>
  <c r="AH601" i="28"/>
  <c r="AH602" i="28"/>
  <c r="AH603" i="28"/>
  <c r="AH604" i="28"/>
  <c r="AH605" i="28"/>
  <c r="AH606" i="28"/>
  <c r="AH607" i="28"/>
  <c r="AH608" i="28"/>
  <c r="AH609" i="28"/>
  <c r="AH610" i="28"/>
  <c r="AH611" i="28"/>
  <c r="AH612" i="28"/>
  <c r="AH613" i="28"/>
  <c r="AH614" i="28"/>
  <c r="AH615" i="28"/>
  <c r="AH616" i="28"/>
  <c r="AH617" i="28"/>
  <c r="AH618" i="28"/>
  <c r="AH619" i="28"/>
  <c r="AH620" i="28"/>
  <c r="AH621" i="28"/>
  <c r="AH622" i="28"/>
  <c r="AH623" i="28"/>
  <c r="AH624" i="28"/>
  <c r="AH625" i="28"/>
  <c r="AH626" i="28"/>
  <c r="AH627" i="28"/>
  <c r="AH628" i="28"/>
  <c r="AH629" i="28"/>
  <c r="AH630" i="28"/>
  <c r="AH631" i="28"/>
  <c r="AH632" i="28"/>
  <c r="AH633" i="28"/>
  <c r="AH634" i="28"/>
  <c r="AH635" i="28"/>
  <c r="AH636" i="28"/>
  <c r="AH637" i="28"/>
  <c r="AH638" i="28"/>
  <c r="AH639" i="28"/>
  <c r="AH640" i="28"/>
  <c r="AH641" i="28"/>
  <c r="AH642" i="28"/>
  <c r="AH643" i="28"/>
  <c r="AH644" i="28"/>
  <c r="AH645" i="28"/>
  <c r="AH646" i="28"/>
  <c r="AH647" i="28"/>
  <c r="AH648" i="28"/>
  <c r="AH649" i="28"/>
  <c r="AH650" i="28"/>
  <c r="AH651" i="28"/>
  <c r="AH652" i="28"/>
  <c r="AH653" i="28"/>
  <c r="AH654" i="28"/>
  <c r="AH655" i="28"/>
  <c r="AH656" i="28"/>
  <c r="AH657" i="28"/>
  <c r="AH658" i="28"/>
  <c r="AH659" i="28"/>
  <c r="AH660" i="28"/>
  <c r="AH661" i="28"/>
  <c r="AH662" i="28"/>
  <c r="AH663" i="28"/>
  <c r="AH664" i="28"/>
  <c r="AH665" i="28"/>
  <c r="AH666" i="28"/>
  <c r="AH667" i="28"/>
  <c r="AH668" i="28"/>
  <c r="AH669" i="28"/>
  <c r="AH670" i="28"/>
  <c r="AH671" i="28"/>
  <c r="AH672" i="28"/>
  <c r="AH673" i="28"/>
  <c r="AH674" i="28"/>
  <c r="AH675" i="28"/>
  <c r="AH676" i="28"/>
  <c r="AH677" i="28"/>
  <c r="AH678" i="28"/>
  <c r="AH679" i="28"/>
  <c r="AH680" i="28"/>
  <c r="AH681" i="28"/>
  <c r="AH682" i="28"/>
  <c r="AH683" i="28"/>
  <c r="AH684" i="28"/>
  <c r="AH685" i="28"/>
  <c r="AH686" i="28"/>
  <c r="AH687" i="28"/>
  <c r="AH688" i="28"/>
  <c r="AH689" i="28"/>
  <c r="AH690" i="28"/>
  <c r="AH691" i="28"/>
  <c r="AH692" i="28"/>
  <c r="AH693" i="28"/>
  <c r="AH694" i="28"/>
  <c r="AH695" i="28"/>
  <c r="AH696" i="28"/>
  <c r="AH697" i="28"/>
  <c r="AH698" i="28"/>
  <c r="AH699" i="28"/>
  <c r="AH700" i="28"/>
  <c r="AH701" i="28"/>
  <c r="AH702" i="28"/>
  <c r="AH703" i="28"/>
  <c r="AH704" i="28"/>
  <c r="AH705" i="28"/>
  <c r="AH706" i="28"/>
  <c r="AH707" i="28"/>
  <c r="AH708" i="28"/>
  <c r="AH709" i="28"/>
  <c r="AH710" i="28"/>
  <c r="AH711" i="28"/>
  <c r="AH712" i="28"/>
  <c r="AH713" i="28"/>
  <c r="AH714" i="28"/>
  <c r="AH715" i="28"/>
  <c r="AH716" i="28"/>
  <c r="AH717" i="28"/>
  <c r="AH718" i="28"/>
  <c r="AH719" i="28"/>
  <c r="AH720" i="28"/>
  <c r="AH721" i="28"/>
  <c r="AH722" i="28"/>
  <c r="AH723" i="28"/>
  <c r="AH724" i="28"/>
  <c r="AH725" i="28"/>
  <c r="AH726" i="28"/>
  <c r="AH727" i="28"/>
  <c r="AH728" i="28"/>
  <c r="AH729" i="28"/>
  <c r="AH730" i="28"/>
  <c r="AH731" i="28"/>
  <c r="AH732" i="28"/>
  <c r="AH733" i="28"/>
  <c r="AH734" i="28"/>
  <c r="AH735" i="28"/>
  <c r="AH736" i="28"/>
  <c r="AH737" i="28"/>
  <c r="AH738" i="28"/>
  <c r="AH739" i="28"/>
  <c r="AH740" i="28"/>
  <c r="AH741" i="28"/>
  <c r="AH742" i="28"/>
  <c r="AH743" i="28"/>
  <c r="AH744" i="28"/>
  <c r="AH745" i="28"/>
  <c r="AH746" i="28"/>
  <c r="AH747" i="28"/>
  <c r="AH748" i="28"/>
  <c r="AH749" i="28"/>
  <c r="AH750" i="28"/>
  <c r="AH751" i="28"/>
  <c r="AH752" i="28"/>
  <c r="AH753" i="28"/>
  <c r="AH754" i="28"/>
  <c r="AH755" i="28"/>
  <c r="AH756" i="28"/>
  <c r="AH757" i="28"/>
  <c r="AH758" i="28"/>
  <c r="AH759" i="28"/>
  <c r="AH760" i="28"/>
  <c r="AH761" i="28"/>
  <c r="AH762" i="28"/>
  <c r="AH763" i="28"/>
  <c r="AH764" i="28"/>
  <c r="AH765" i="28"/>
  <c r="AH766" i="28"/>
  <c r="AH767" i="28"/>
  <c r="AH768" i="28"/>
  <c r="AH769" i="28"/>
  <c r="AH770" i="28"/>
  <c r="AH771" i="28"/>
  <c r="AH772" i="28"/>
  <c r="AH773" i="28"/>
  <c r="AH774" i="28"/>
  <c r="AH775" i="28"/>
  <c r="AH776" i="28"/>
  <c r="AH777" i="28"/>
  <c r="AH778" i="28"/>
  <c r="AH779" i="28"/>
  <c r="AH780" i="28"/>
  <c r="AH781" i="28"/>
  <c r="AH782" i="28"/>
  <c r="AH783" i="28"/>
  <c r="AH784" i="28"/>
  <c r="AH785" i="28"/>
  <c r="AH786" i="28"/>
  <c r="AH787" i="28"/>
  <c r="AH788" i="28"/>
  <c r="AH789" i="28"/>
  <c r="AH790" i="28"/>
  <c r="AH791" i="28"/>
  <c r="AH792" i="28"/>
  <c r="AH793" i="28"/>
  <c r="AH794" i="28"/>
  <c r="AH795" i="28"/>
  <c r="AH796" i="28"/>
  <c r="AH797" i="28"/>
  <c r="AH798" i="28"/>
  <c r="AH799" i="28"/>
  <c r="AH800" i="28"/>
  <c r="AH801" i="28"/>
  <c r="AH802" i="28"/>
  <c r="AH803" i="28"/>
  <c r="AH804" i="28"/>
  <c r="AH805" i="28"/>
  <c r="AH806" i="28"/>
  <c r="AH807" i="28"/>
  <c r="AH808" i="28"/>
  <c r="AH809" i="28"/>
  <c r="AH810" i="28"/>
  <c r="AH811" i="28"/>
  <c r="AH812" i="28"/>
  <c r="AH813" i="28"/>
  <c r="AH814" i="28"/>
  <c r="AH815" i="28"/>
  <c r="AH816" i="28"/>
  <c r="AH817" i="28"/>
  <c r="AH818" i="28"/>
  <c r="AH819" i="28"/>
  <c r="AH820" i="28"/>
  <c r="AH821" i="28"/>
  <c r="AH822" i="28"/>
  <c r="AH823" i="28"/>
  <c r="AH824" i="28"/>
  <c r="AH825" i="28"/>
  <c r="AH826" i="28"/>
  <c r="AH827" i="28"/>
  <c r="AH828" i="28"/>
  <c r="AH829" i="28"/>
  <c r="AH830" i="28"/>
  <c r="AH831" i="28"/>
  <c r="AH832" i="28"/>
  <c r="AH833" i="28"/>
  <c r="AH834" i="28"/>
  <c r="AH835" i="28"/>
  <c r="AH836" i="28"/>
  <c r="AH837" i="28"/>
  <c r="AH838" i="28"/>
  <c r="AH839" i="28"/>
  <c r="AH840" i="28"/>
  <c r="AH841" i="28"/>
  <c r="AH842" i="28"/>
  <c r="AH843" i="28"/>
  <c r="AH844" i="28"/>
  <c r="AH845" i="28"/>
  <c r="AH846" i="28"/>
  <c r="AH847" i="28"/>
  <c r="AH848" i="28"/>
  <c r="AH849" i="28"/>
  <c r="AH850" i="28"/>
  <c r="AH851" i="28"/>
  <c r="AH852" i="28"/>
  <c r="AH853" i="28"/>
  <c r="AH854" i="28"/>
  <c r="AH855" i="28"/>
  <c r="AH856" i="28"/>
  <c r="AH857" i="28"/>
  <c r="AH858" i="28"/>
  <c r="AH859" i="28"/>
  <c r="AH860" i="28"/>
  <c r="AH861" i="28"/>
  <c r="AH862" i="28"/>
  <c r="AH863" i="28"/>
  <c r="AH864" i="28"/>
  <c r="AH865" i="28"/>
  <c r="AH866" i="28"/>
  <c r="AH867" i="28"/>
  <c r="AH868" i="28"/>
  <c r="AH869" i="28"/>
  <c r="AH870" i="28"/>
  <c r="AH871" i="28"/>
  <c r="AH872" i="28"/>
  <c r="AH873" i="28"/>
  <c r="AH874" i="28"/>
  <c r="AH875" i="28"/>
  <c r="AH876" i="28"/>
  <c r="AH877" i="28"/>
  <c r="AH878" i="28"/>
  <c r="AH879" i="28"/>
  <c r="AH880" i="28"/>
  <c r="AH881" i="28"/>
  <c r="AH882" i="28"/>
  <c r="AH883" i="28"/>
  <c r="AH884" i="28"/>
  <c r="AH885" i="28"/>
  <c r="AH886" i="28"/>
  <c r="AH887" i="28"/>
  <c r="AH888" i="28"/>
  <c r="AH889" i="28"/>
  <c r="AH890" i="28"/>
  <c r="AH891" i="28"/>
  <c r="AH892" i="28"/>
  <c r="AH893" i="28"/>
  <c r="AH894" i="28"/>
  <c r="AH895" i="28"/>
  <c r="AH896" i="28"/>
  <c r="AH897" i="28"/>
  <c r="AH898" i="28"/>
  <c r="AH899" i="28"/>
  <c r="AH900" i="28"/>
  <c r="AH901" i="28"/>
  <c r="AH902" i="28"/>
  <c r="AH903" i="28"/>
  <c r="AH904" i="28"/>
  <c r="AH905" i="28"/>
  <c r="AH906" i="28"/>
  <c r="AH907" i="28"/>
  <c r="AH908" i="28"/>
  <c r="AH909" i="28"/>
  <c r="AH910" i="28"/>
  <c r="AH911" i="28"/>
  <c r="AH912" i="28"/>
  <c r="AH913" i="28"/>
  <c r="AH914" i="28"/>
  <c r="AH915" i="28"/>
  <c r="AH916" i="28"/>
  <c r="AH917" i="28"/>
  <c r="AH918" i="28"/>
  <c r="AH919" i="28"/>
  <c r="AH920" i="28"/>
  <c r="AH921" i="28"/>
  <c r="AH922" i="28"/>
  <c r="AH923" i="28"/>
  <c r="AH924" i="28"/>
  <c r="AH925" i="28"/>
  <c r="AH926" i="28"/>
  <c r="AH927" i="28"/>
  <c r="AH928" i="28"/>
  <c r="AH929" i="28"/>
  <c r="AH930" i="28"/>
  <c r="AH931" i="28"/>
  <c r="AH932" i="28"/>
  <c r="AH933" i="28"/>
  <c r="AH934" i="28"/>
  <c r="AH935" i="28"/>
  <c r="AH936" i="28"/>
  <c r="AH937" i="28"/>
  <c r="AH938" i="28"/>
  <c r="AH939" i="28"/>
  <c r="AH940" i="28"/>
  <c r="AH941" i="28"/>
  <c r="AH942" i="28"/>
  <c r="AH943" i="28"/>
  <c r="AH944" i="28"/>
  <c r="AH945" i="28"/>
  <c r="AH946" i="28"/>
  <c r="AH947" i="28"/>
  <c r="AH948" i="28"/>
  <c r="AH949" i="28"/>
  <c r="AH950" i="28"/>
  <c r="AH951" i="28"/>
  <c r="AH952" i="28"/>
  <c r="AH953" i="28"/>
  <c r="AH954" i="28"/>
  <c r="AH955" i="28"/>
  <c r="AH956" i="28"/>
  <c r="AH957" i="28"/>
  <c r="AH958" i="28"/>
  <c r="AH959" i="28"/>
  <c r="AH960" i="28"/>
  <c r="AH961" i="28"/>
  <c r="AH962" i="28"/>
  <c r="AH963" i="28"/>
  <c r="AH964" i="28"/>
  <c r="AH965" i="28"/>
  <c r="AH966" i="28"/>
  <c r="AH967" i="28"/>
  <c r="AH968" i="28"/>
  <c r="AH969" i="28"/>
  <c r="AH970" i="28"/>
  <c r="AH971" i="28"/>
  <c r="AH972" i="28"/>
  <c r="AH973" i="28"/>
  <c r="AH974" i="28"/>
  <c r="AH975" i="28"/>
  <c r="AH976" i="28"/>
  <c r="AH977" i="28"/>
  <c r="AH978" i="28"/>
  <c r="AH979" i="28"/>
  <c r="AH980" i="28"/>
  <c r="AH981" i="28"/>
  <c r="AH982" i="28"/>
  <c r="AH983" i="28"/>
  <c r="AH984" i="28"/>
  <c r="AH985" i="28"/>
  <c r="AH986" i="28"/>
  <c r="AH987" i="28"/>
  <c r="AH988" i="28"/>
  <c r="AH989" i="28"/>
  <c r="AH990" i="28"/>
  <c r="AH991" i="28"/>
  <c r="AH992" i="28"/>
  <c r="AH993" i="28"/>
  <c r="AH994" i="28"/>
  <c r="AH995" i="28"/>
  <c r="AH996" i="28"/>
  <c r="AH997" i="28"/>
  <c r="AH998" i="28"/>
  <c r="AH999" i="28"/>
  <c r="AH1000" i="28"/>
  <c r="T11" i="1"/>
  <c r="Z11" i="1" s="1"/>
  <c r="AI11" i="1" s="1"/>
  <c r="AG4" i="28"/>
  <c r="AG3" i="28"/>
  <c r="AG5" i="28"/>
  <c r="AG6" i="28"/>
  <c r="AG7" i="28"/>
  <c r="AG8" i="28"/>
  <c r="AG9" i="28"/>
  <c r="AG10" i="28"/>
  <c r="AG11" i="28"/>
  <c r="AG12" i="28"/>
  <c r="AG13" i="28"/>
  <c r="AG14" i="28"/>
  <c r="AG15" i="28"/>
  <c r="AG16" i="28"/>
  <c r="AG17" i="28"/>
  <c r="AG18" i="28"/>
  <c r="AG19" i="28"/>
  <c r="AG20" i="28"/>
  <c r="AG21" i="28"/>
  <c r="AG22" i="28"/>
  <c r="AG23" i="28"/>
  <c r="AG24" i="28"/>
  <c r="AG25" i="28"/>
  <c r="AG26" i="28"/>
  <c r="AG27" i="28"/>
  <c r="AG28" i="28"/>
  <c r="AG29" i="28"/>
  <c r="AG30" i="28"/>
  <c r="AG31" i="28"/>
  <c r="AG32" i="28"/>
  <c r="AG33" i="28"/>
  <c r="AG34" i="28"/>
  <c r="AG35" i="28"/>
  <c r="AG36" i="28"/>
  <c r="AG37" i="28"/>
  <c r="AG38" i="28"/>
  <c r="AG39" i="28"/>
  <c r="AG40" i="28"/>
  <c r="AG41" i="28"/>
  <c r="AG42" i="28"/>
  <c r="AG43" i="28"/>
  <c r="AG44" i="28"/>
  <c r="AG45" i="28"/>
  <c r="AG46" i="28"/>
  <c r="AG47" i="28"/>
  <c r="AG48" i="28"/>
  <c r="AG49" i="28"/>
  <c r="AG50" i="28"/>
  <c r="AG51" i="28"/>
  <c r="AG52" i="28"/>
  <c r="AG53" i="28"/>
  <c r="AG54" i="28"/>
  <c r="AG55" i="28"/>
  <c r="AG56" i="28"/>
  <c r="AG57" i="28"/>
  <c r="AG58" i="28"/>
  <c r="AG59" i="28"/>
  <c r="AG60" i="28"/>
  <c r="AG61" i="28"/>
  <c r="AG62" i="28"/>
  <c r="AG63" i="28"/>
  <c r="AG64" i="28"/>
  <c r="AG65" i="28"/>
  <c r="AG66" i="28"/>
  <c r="AG67" i="28"/>
  <c r="AG68" i="28"/>
  <c r="AG69" i="28"/>
  <c r="AG70" i="28"/>
  <c r="AG71" i="28"/>
  <c r="AG72" i="28"/>
  <c r="AG73" i="28"/>
  <c r="AG74" i="28"/>
  <c r="AG75" i="28"/>
  <c r="AG76" i="28"/>
  <c r="AG77" i="28"/>
  <c r="AG78" i="28"/>
  <c r="AG79" i="28"/>
  <c r="AG80" i="28"/>
  <c r="AG81" i="28"/>
  <c r="AG82" i="28"/>
  <c r="AG83" i="28"/>
  <c r="AG84" i="28"/>
  <c r="AG85" i="28"/>
  <c r="AG86" i="28"/>
  <c r="AG87" i="28"/>
  <c r="AG88" i="28"/>
  <c r="AG89" i="28"/>
  <c r="AG90" i="28"/>
  <c r="AG91" i="28"/>
  <c r="AG92" i="28"/>
  <c r="AG93" i="28"/>
  <c r="AG94" i="28"/>
  <c r="AG95" i="28"/>
  <c r="AG96" i="28"/>
  <c r="AG97" i="28"/>
  <c r="AG98" i="28"/>
  <c r="AG99" i="28"/>
  <c r="AG100" i="28"/>
  <c r="AG101" i="28"/>
  <c r="AG102" i="28"/>
  <c r="AG103" i="28"/>
  <c r="AG104" i="28"/>
  <c r="AG105" i="28"/>
  <c r="AG106" i="28"/>
  <c r="AG107" i="28"/>
  <c r="AG108" i="28"/>
  <c r="AG109" i="28"/>
  <c r="AG110" i="28"/>
  <c r="AG111" i="28"/>
  <c r="AG112" i="28"/>
  <c r="AG113" i="28"/>
  <c r="AG114" i="28"/>
  <c r="AG115" i="28"/>
  <c r="AG116" i="28"/>
  <c r="AG117" i="28"/>
  <c r="AG118" i="28"/>
  <c r="AG119" i="28"/>
  <c r="AG120" i="28"/>
  <c r="AG121" i="28"/>
  <c r="AG122" i="28"/>
  <c r="AG123" i="28"/>
  <c r="AG124" i="28"/>
  <c r="AG125" i="28"/>
  <c r="AG126" i="28"/>
  <c r="AG127" i="28"/>
  <c r="AG128" i="28"/>
  <c r="AG129" i="28"/>
  <c r="AG130" i="28"/>
  <c r="AG131" i="28"/>
  <c r="AG132" i="28"/>
  <c r="AG133" i="28"/>
  <c r="AG134" i="28"/>
  <c r="AG135" i="28"/>
  <c r="AG136" i="28"/>
  <c r="AG137" i="28"/>
  <c r="AG138" i="28"/>
  <c r="AG139" i="28"/>
  <c r="AG140" i="28"/>
  <c r="AG141" i="28"/>
  <c r="AG142" i="28"/>
  <c r="AG143" i="28"/>
  <c r="AG144" i="28"/>
  <c r="AG145" i="28"/>
  <c r="AG146" i="28"/>
  <c r="AG147" i="28"/>
  <c r="AG148" i="28"/>
  <c r="AG149" i="28"/>
  <c r="AG150" i="28"/>
  <c r="AG151" i="28"/>
  <c r="AG152" i="28"/>
  <c r="AG153" i="28"/>
  <c r="AG154" i="28"/>
  <c r="AG155" i="28"/>
  <c r="AG156" i="28"/>
  <c r="AG157" i="28"/>
  <c r="AG158" i="28"/>
  <c r="AG159" i="28"/>
  <c r="AG160" i="28"/>
  <c r="AG161" i="28"/>
  <c r="AG162" i="28"/>
  <c r="AG163" i="28"/>
  <c r="AG164" i="28"/>
  <c r="AG165" i="28"/>
  <c r="AG166" i="28"/>
  <c r="AG167" i="28"/>
  <c r="AG168" i="28"/>
  <c r="AG169" i="28"/>
  <c r="AG170" i="28"/>
  <c r="AG171" i="28"/>
  <c r="AG172" i="28"/>
  <c r="AG173" i="28"/>
  <c r="AG174" i="28"/>
  <c r="AG175" i="28"/>
  <c r="AG176" i="28"/>
  <c r="AG177" i="28"/>
  <c r="AG178" i="28"/>
  <c r="AG179" i="28"/>
  <c r="AG180" i="28"/>
  <c r="AG181" i="28"/>
  <c r="AG182" i="28"/>
  <c r="AG183" i="28"/>
  <c r="AG184" i="28"/>
  <c r="AG185" i="28"/>
  <c r="AG186" i="28"/>
  <c r="AG187" i="28"/>
  <c r="AG188" i="28"/>
  <c r="AG189" i="28"/>
  <c r="AG190" i="28"/>
  <c r="AG191" i="28"/>
  <c r="AG192" i="28"/>
  <c r="AG193" i="28"/>
  <c r="AG194" i="28"/>
  <c r="AG195" i="28"/>
  <c r="AG196" i="28"/>
  <c r="AG197" i="28"/>
  <c r="AG198" i="28"/>
  <c r="AG199" i="28"/>
  <c r="AG200" i="28"/>
  <c r="AG201" i="28"/>
  <c r="AG202" i="28"/>
  <c r="AG203" i="28"/>
  <c r="AG204" i="28"/>
  <c r="AG205" i="28"/>
  <c r="AG206" i="28"/>
  <c r="AG207" i="28"/>
  <c r="AG208" i="28"/>
  <c r="AG209" i="28"/>
  <c r="AG210" i="28"/>
  <c r="AG211" i="28"/>
  <c r="AG212" i="28"/>
  <c r="AG213" i="28"/>
  <c r="AG214" i="28"/>
  <c r="AG215" i="28"/>
  <c r="AG216" i="28"/>
  <c r="AG217" i="28"/>
  <c r="AG218" i="28"/>
  <c r="AG219" i="28"/>
  <c r="AG220" i="28"/>
  <c r="AG221" i="28"/>
  <c r="AG222" i="28"/>
  <c r="AG223" i="28"/>
  <c r="AG224" i="28"/>
  <c r="AG225" i="28"/>
  <c r="AG226" i="28"/>
  <c r="AG227" i="28"/>
  <c r="AG228" i="28"/>
  <c r="AG229" i="28"/>
  <c r="AG230" i="28"/>
  <c r="AG231" i="28"/>
  <c r="AG232" i="28"/>
  <c r="AG233" i="28"/>
  <c r="AG234" i="28"/>
  <c r="AG235" i="28"/>
  <c r="AG236" i="28"/>
  <c r="AG237" i="28"/>
  <c r="AG238" i="28"/>
  <c r="AG239" i="28"/>
  <c r="AG240" i="28"/>
  <c r="AG241" i="28"/>
  <c r="AG242" i="28"/>
  <c r="AG243" i="28"/>
  <c r="AG244" i="28"/>
  <c r="AG245" i="28"/>
  <c r="AG246" i="28"/>
  <c r="AG247" i="28"/>
  <c r="AG248" i="28"/>
  <c r="AG249" i="28"/>
  <c r="AG250" i="28"/>
  <c r="AG251" i="28"/>
  <c r="AG252" i="28"/>
  <c r="AG253" i="28"/>
  <c r="AG254" i="28"/>
  <c r="AG255" i="28"/>
  <c r="AG256" i="28"/>
  <c r="AG257" i="28"/>
  <c r="AG258" i="28"/>
  <c r="AG259" i="28"/>
  <c r="AG260" i="28"/>
  <c r="AG261" i="28"/>
  <c r="AG262" i="28"/>
  <c r="AG263" i="28"/>
  <c r="AG264" i="28"/>
  <c r="AG265" i="28"/>
  <c r="AG266" i="28"/>
  <c r="AG267" i="28"/>
  <c r="AG268" i="28"/>
  <c r="AG269" i="28"/>
  <c r="AG270" i="28"/>
  <c r="AG271" i="28"/>
  <c r="AG272" i="28"/>
  <c r="AG273" i="28"/>
  <c r="AG274" i="28"/>
  <c r="AG275" i="28"/>
  <c r="AG276" i="28"/>
  <c r="AG277" i="28"/>
  <c r="AG278" i="28"/>
  <c r="AG279" i="28"/>
  <c r="AG280" i="28"/>
  <c r="AG281" i="28"/>
  <c r="AG282" i="28"/>
  <c r="AG283" i="28"/>
  <c r="AG284" i="28"/>
  <c r="AG285" i="28"/>
  <c r="AG286" i="28"/>
  <c r="AG287" i="28"/>
  <c r="AG288" i="28"/>
  <c r="AG289" i="28"/>
  <c r="AG290" i="28"/>
  <c r="AG291" i="28"/>
  <c r="AG292" i="28"/>
  <c r="AG293" i="28"/>
  <c r="AG294" i="28"/>
  <c r="AG295" i="28"/>
  <c r="AG296" i="28"/>
  <c r="AG297" i="28"/>
  <c r="AG298" i="28"/>
  <c r="AG299" i="28"/>
  <c r="AG300" i="28"/>
  <c r="AG301" i="28"/>
  <c r="AG302" i="28"/>
  <c r="AG303" i="28"/>
  <c r="AG304" i="28"/>
  <c r="AG305" i="28"/>
  <c r="AG306" i="28"/>
  <c r="AG307" i="28"/>
  <c r="AG308" i="28"/>
  <c r="AG309" i="28"/>
  <c r="AG310" i="28"/>
  <c r="AG311" i="28"/>
  <c r="AG312" i="28"/>
  <c r="AG313" i="28"/>
  <c r="AG314" i="28"/>
  <c r="AG315" i="28"/>
  <c r="AG316" i="28"/>
  <c r="AG317" i="28"/>
  <c r="AG318" i="28"/>
  <c r="AG319" i="28"/>
  <c r="AG320" i="28"/>
  <c r="AG321" i="28"/>
  <c r="AG322" i="28"/>
  <c r="AG323" i="28"/>
  <c r="AG324" i="28"/>
  <c r="AG325" i="28"/>
  <c r="AG326" i="28"/>
  <c r="AG327" i="28"/>
  <c r="AG328" i="28"/>
  <c r="AG329" i="28"/>
  <c r="AG330" i="28"/>
  <c r="AG331" i="28"/>
  <c r="AG332" i="28"/>
  <c r="AG333" i="28"/>
  <c r="AG334" i="28"/>
  <c r="AG335" i="28"/>
  <c r="AG336" i="28"/>
  <c r="AG337" i="28"/>
  <c r="AG338" i="28"/>
  <c r="AG339" i="28"/>
  <c r="AG340" i="28"/>
  <c r="AG341" i="28"/>
  <c r="AG342" i="28"/>
  <c r="AG343" i="28"/>
  <c r="AG344" i="28"/>
  <c r="AG345" i="28"/>
  <c r="AG346" i="28"/>
  <c r="AG347" i="28"/>
  <c r="AG348" i="28"/>
  <c r="AG349" i="28"/>
  <c r="AG350" i="28"/>
  <c r="AG351" i="28"/>
  <c r="AG352" i="28"/>
  <c r="AG353" i="28"/>
  <c r="AG354" i="28"/>
  <c r="AG355" i="28"/>
  <c r="AG356" i="28"/>
  <c r="AG357" i="28"/>
  <c r="AG358" i="28"/>
  <c r="AG359" i="28"/>
  <c r="AG360" i="28"/>
  <c r="AG361" i="28"/>
  <c r="AG362" i="28"/>
  <c r="AG363" i="28"/>
  <c r="AG364" i="28"/>
  <c r="AG365" i="28"/>
  <c r="AG366" i="28"/>
  <c r="AG367" i="28"/>
  <c r="AG368" i="28"/>
  <c r="AG369" i="28"/>
  <c r="AG370" i="28"/>
  <c r="AG371" i="28"/>
  <c r="AG372" i="28"/>
  <c r="AG373" i="28"/>
  <c r="AG374" i="28"/>
  <c r="AG375" i="28"/>
  <c r="AG376" i="28"/>
  <c r="AG377" i="28"/>
  <c r="AG378" i="28"/>
  <c r="AG379" i="28"/>
  <c r="AG380" i="28"/>
  <c r="AG381" i="28"/>
  <c r="AG382" i="28"/>
  <c r="AG383" i="28"/>
  <c r="AG384" i="28"/>
  <c r="AG385" i="28"/>
  <c r="AG386" i="28"/>
  <c r="AG387" i="28"/>
  <c r="AG388" i="28"/>
  <c r="AG389" i="28"/>
  <c r="AG390" i="28"/>
  <c r="AG391" i="28"/>
  <c r="AG392" i="28"/>
  <c r="AG393" i="28"/>
  <c r="AG394" i="28"/>
  <c r="AG395" i="28"/>
  <c r="AG396" i="28"/>
  <c r="AG397" i="28"/>
  <c r="AG398" i="28"/>
  <c r="AG399" i="28"/>
  <c r="AG400" i="28"/>
  <c r="AG401" i="28"/>
  <c r="AG402" i="28"/>
  <c r="AG403" i="28"/>
  <c r="AG404" i="28"/>
  <c r="AG405" i="28"/>
  <c r="AG406" i="28"/>
  <c r="AG407" i="28"/>
  <c r="AG408" i="28"/>
  <c r="AG409" i="28"/>
  <c r="AG410" i="28"/>
  <c r="AG411" i="28"/>
  <c r="AG412" i="28"/>
  <c r="AG413" i="28"/>
  <c r="AG414" i="28"/>
  <c r="AG415" i="28"/>
  <c r="AG416" i="28"/>
  <c r="AG417" i="28"/>
  <c r="AG418" i="28"/>
  <c r="AG419" i="28"/>
  <c r="AG420" i="28"/>
  <c r="AG421" i="28"/>
  <c r="AG422" i="28"/>
  <c r="AG423" i="28"/>
  <c r="AG424" i="28"/>
  <c r="AG425" i="28"/>
  <c r="AG426" i="28"/>
  <c r="AG427" i="28"/>
  <c r="AG428" i="28"/>
  <c r="AG429" i="28"/>
  <c r="AG430" i="28"/>
  <c r="AG431" i="28"/>
  <c r="AG432" i="28"/>
  <c r="AG433" i="28"/>
  <c r="AG434" i="28"/>
  <c r="AG435" i="28"/>
  <c r="AG436" i="28"/>
  <c r="AG437" i="28"/>
  <c r="AG438" i="28"/>
  <c r="AG439" i="28"/>
  <c r="AG440" i="28"/>
  <c r="AG441" i="28"/>
  <c r="AG442" i="28"/>
  <c r="AG443" i="28"/>
  <c r="AG444" i="28"/>
  <c r="AG445" i="28"/>
  <c r="AG446" i="28"/>
  <c r="AG447" i="28"/>
  <c r="AG448" i="28"/>
  <c r="AG449" i="28"/>
  <c r="AG450" i="28"/>
  <c r="AG451" i="28"/>
  <c r="AG452" i="28"/>
  <c r="AG453" i="28"/>
  <c r="AG454" i="28"/>
  <c r="AG455" i="28"/>
  <c r="AG456" i="28"/>
  <c r="AG457" i="28"/>
  <c r="AG458" i="28"/>
  <c r="AG459" i="28"/>
  <c r="AG460" i="28"/>
  <c r="AG461" i="28"/>
  <c r="AG462" i="28"/>
  <c r="AG463" i="28"/>
  <c r="AG464" i="28"/>
  <c r="AG465" i="28"/>
  <c r="AG466" i="28"/>
  <c r="AG467" i="28"/>
  <c r="AG468" i="28"/>
  <c r="AG469" i="28"/>
  <c r="AG470" i="28"/>
  <c r="AG471" i="28"/>
  <c r="AG472" i="28"/>
  <c r="AG473" i="28"/>
  <c r="AG474" i="28"/>
  <c r="AG475" i="28"/>
  <c r="AG476" i="28"/>
  <c r="AG477" i="28"/>
  <c r="AG478" i="28"/>
  <c r="AG479" i="28"/>
  <c r="AG480" i="28"/>
  <c r="AG481" i="28"/>
  <c r="AG482" i="28"/>
  <c r="AG483" i="28"/>
  <c r="AG484" i="28"/>
  <c r="AG485" i="28"/>
  <c r="AG486" i="28"/>
  <c r="AG487" i="28"/>
  <c r="AG488" i="28"/>
  <c r="AG489" i="28"/>
  <c r="AG490" i="28"/>
  <c r="AG491" i="28"/>
  <c r="AG492" i="28"/>
  <c r="AG493" i="28"/>
  <c r="AG494" i="28"/>
  <c r="AG495" i="28"/>
  <c r="AG496" i="28"/>
  <c r="AG497" i="28"/>
  <c r="AG498" i="28"/>
  <c r="AG499" i="28"/>
  <c r="AG500" i="28"/>
  <c r="AG501" i="28"/>
  <c r="AG502" i="28"/>
  <c r="AG503" i="28"/>
  <c r="AG504" i="28"/>
  <c r="AG505" i="28"/>
  <c r="AG506" i="28"/>
  <c r="AG507" i="28"/>
  <c r="AG508" i="28"/>
  <c r="AG509" i="28"/>
  <c r="AG510" i="28"/>
  <c r="AG511" i="28"/>
  <c r="AG512" i="28"/>
  <c r="AG513" i="28"/>
  <c r="AG514" i="28"/>
  <c r="AG515" i="28"/>
  <c r="AG516" i="28"/>
  <c r="AG517" i="28"/>
  <c r="AG518" i="28"/>
  <c r="AG519" i="28"/>
  <c r="AG520" i="28"/>
  <c r="AG521" i="28"/>
  <c r="AG522" i="28"/>
  <c r="AG523" i="28"/>
  <c r="AG524" i="28"/>
  <c r="AG525" i="28"/>
  <c r="AG526" i="28"/>
  <c r="AG527" i="28"/>
  <c r="AG528" i="28"/>
  <c r="AG529" i="28"/>
  <c r="AG530" i="28"/>
  <c r="AG531" i="28"/>
  <c r="AG532" i="28"/>
  <c r="AG533" i="28"/>
  <c r="AG534" i="28"/>
  <c r="AG535" i="28"/>
  <c r="AG536" i="28"/>
  <c r="AG537" i="28"/>
  <c r="AG538" i="28"/>
  <c r="AG539" i="28"/>
  <c r="AG540" i="28"/>
  <c r="AG541" i="28"/>
  <c r="AG542" i="28"/>
  <c r="AG543" i="28"/>
  <c r="AG544" i="28"/>
  <c r="AG545" i="28"/>
  <c r="AG546" i="28"/>
  <c r="AG547" i="28"/>
  <c r="AG548" i="28"/>
  <c r="AG549" i="28"/>
  <c r="AG550" i="28"/>
  <c r="AG551" i="28"/>
  <c r="AG552" i="28"/>
  <c r="AG553" i="28"/>
  <c r="AG554" i="28"/>
  <c r="AG555" i="28"/>
  <c r="AG556" i="28"/>
  <c r="AG557" i="28"/>
  <c r="AG558" i="28"/>
  <c r="AG559" i="28"/>
  <c r="AG560" i="28"/>
  <c r="AG561" i="28"/>
  <c r="AG562" i="28"/>
  <c r="AG563" i="28"/>
  <c r="AG564" i="28"/>
  <c r="AG565" i="28"/>
  <c r="AG566" i="28"/>
  <c r="AG567" i="28"/>
  <c r="AG568" i="28"/>
  <c r="AG569" i="28"/>
  <c r="AG570" i="28"/>
  <c r="AG571" i="28"/>
  <c r="AG572" i="28"/>
  <c r="AG573" i="28"/>
  <c r="AG574" i="28"/>
  <c r="AG575" i="28"/>
  <c r="AG576" i="28"/>
  <c r="AG577" i="28"/>
  <c r="AG578" i="28"/>
  <c r="AG579" i="28"/>
  <c r="AG580" i="28"/>
  <c r="AG581" i="28"/>
  <c r="AG582" i="28"/>
  <c r="AG583" i="28"/>
  <c r="AG584" i="28"/>
  <c r="AG585" i="28"/>
  <c r="AG586" i="28"/>
  <c r="AG587" i="28"/>
  <c r="AG588" i="28"/>
  <c r="AG589" i="28"/>
  <c r="AG590" i="28"/>
  <c r="AG591" i="28"/>
  <c r="AG592" i="28"/>
  <c r="AG593" i="28"/>
  <c r="AG594" i="28"/>
  <c r="AG595" i="28"/>
  <c r="AG596" i="28"/>
  <c r="AG597" i="28"/>
  <c r="AG598" i="28"/>
  <c r="AG599" i="28"/>
  <c r="AG600" i="28"/>
  <c r="AG601" i="28"/>
  <c r="AG602" i="28"/>
  <c r="AG603" i="28"/>
  <c r="AG604" i="28"/>
  <c r="AG605" i="28"/>
  <c r="AG606" i="28"/>
  <c r="AG607" i="28"/>
  <c r="AG608" i="28"/>
  <c r="AG609" i="28"/>
  <c r="AG610" i="28"/>
  <c r="AG611" i="28"/>
  <c r="AG612" i="28"/>
  <c r="AG613" i="28"/>
  <c r="AG614" i="28"/>
  <c r="AG615" i="28"/>
  <c r="AG616" i="28"/>
  <c r="AG617" i="28"/>
  <c r="AG618" i="28"/>
  <c r="AG619" i="28"/>
  <c r="AG620" i="28"/>
  <c r="AG621" i="28"/>
  <c r="AG622" i="28"/>
  <c r="AG623" i="28"/>
  <c r="AG624" i="28"/>
  <c r="AG625" i="28"/>
  <c r="AG626" i="28"/>
  <c r="AG627" i="28"/>
  <c r="AG628" i="28"/>
  <c r="AG629" i="28"/>
  <c r="AG630" i="28"/>
  <c r="AG631" i="28"/>
  <c r="AG632" i="28"/>
  <c r="AG633" i="28"/>
  <c r="AG634" i="28"/>
  <c r="AG635" i="28"/>
  <c r="AG636" i="28"/>
  <c r="AG637" i="28"/>
  <c r="AG638" i="28"/>
  <c r="AG639" i="28"/>
  <c r="AG640" i="28"/>
  <c r="AG641" i="28"/>
  <c r="AG642" i="28"/>
  <c r="AG643" i="28"/>
  <c r="AG644" i="28"/>
  <c r="AG645" i="28"/>
  <c r="AG646" i="28"/>
  <c r="AG647" i="28"/>
  <c r="AG648" i="28"/>
  <c r="AG649" i="28"/>
  <c r="AG650" i="28"/>
  <c r="AG651" i="28"/>
  <c r="AG652" i="28"/>
  <c r="AG653" i="28"/>
  <c r="AG654" i="28"/>
  <c r="AG655" i="28"/>
  <c r="AG656" i="28"/>
  <c r="AG657" i="28"/>
  <c r="AG658" i="28"/>
  <c r="AG659" i="28"/>
  <c r="AG660" i="28"/>
  <c r="AG661" i="28"/>
  <c r="AG662" i="28"/>
  <c r="AG663" i="28"/>
  <c r="AG664" i="28"/>
  <c r="AG665" i="28"/>
  <c r="AG666" i="28"/>
  <c r="AG667" i="28"/>
  <c r="AG668" i="28"/>
  <c r="AG669" i="28"/>
  <c r="AG670" i="28"/>
  <c r="AG671" i="28"/>
  <c r="AG672" i="28"/>
  <c r="AG673" i="28"/>
  <c r="AG674" i="28"/>
  <c r="AG675" i="28"/>
  <c r="AG676" i="28"/>
  <c r="AG677" i="28"/>
  <c r="AG678" i="28"/>
  <c r="AG679" i="28"/>
  <c r="AG680" i="28"/>
  <c r="AG681" i="28"/>
  <c r="AG682" i="28"/>
  <c r="AG683" i="28"/>
  <c r="AG684" i="28"/>
  <c r="AG685" i="28"/>
  <c r="AG686" i="28"/>
  <c r="AG687" i="28"/>
  <c r="AG688" i="28"/>
  <c r="AG689" i="28"/>
  <c r="AG690" i="28"/>
  <c r="AG691" i="28"/>
  <c r="AG692" i="28"/>
  <c r="AG693" i="28"/>
  <c r="AG694" i="28"/>
  <c r="AG695" i="28"/>
  <c r="AG696" i="28"/>
  <c r="AG697" i="28"/>
  <c r="AG698" i="28"/>
  <c r="AG699" i="28"/>
  <c r="AG700" i="28"/>
  <c r="AG701" i="28"/>
  <c r="AG702" i="28"/>
  <c r="AG703" i="28"/>
  <c r="AG704" i="28"/>
  <c r="AG705" i="28"/>
  <c r="AG706" i="28"/>
  <c r="AG707" i="28"/>
  <c r="AG708" i="28"/>
  <c r="AG709" i="28"/>
  <c r="AG710" i="28"/>
  <c r="AG711" i="28"/>
  <c r="AG712" i="28"/>
  <c r="AG713" i="28"/>
  <c r="AG714" i="28"/>
  <c r="AG715" i="28"/>
  <c r="AG716" i="28"/>
  <c r="AG717" i="28"/>
  <c r="AG718" i="28"/>
  <c r="AG719" i="28"/>
  <c r="AG720" i="28"/>
  <c r="AG721" i="28"/>
  <c r="AG722" i="28"/>
  <c r="AG723" i="28"/>
  <c r="AG724" i="28"/>
  <c r="AG725" i="28"/>
  <c r="AG726" i="28"/>
  <c r="AG727" i="28"/>
  <c r="AG728" i="28"/>
  <c r="AG729" i="28"/>
  <c r="AG730" i="28"/>
  <c r="AG731" i="28"/>
  <c r="AG732" i="28"/>
  <c r="AG733" i="28"/>
  <c r="AG734" i="28"/>
  <c r="AG735" i="28"/>
  <c r="AG736" i="28"/>
  <c r="AG737" i="28"/>
  <c r="AG738" i="28"/>
  <c r="AG739" i="28"/>
  <c r="AG740" i="28"/>
  <c r="AG741" i="28"/>
  <c r="AG742" i="28"/>
  <c r="AG743" i="28"/>
  <c r="AG744" i="28"/>
  <c r="AG745" i="28"/>
  <c r="AG746" i="28"/>
  <c r="AG747" i="28"/>
  <c r="AG748" i="28"/>
  <c r="AG749" i="28"/>
  <c r="AG750" i="28"/>
  <c r="AG751" i="28"/>
  <c r="AG752" i="28"/>
  <c r="AG753" i="28"/>
  <c r="AG754" i="28"/>
  <c r="AG755" i="28"/>
  <c r="AG756" i="28"/>
  <c r="AG757" i="28"/>
  <c r="AG758" i="28"/>
  <c r="AG759" i="28"/>
  <c r="AG760" i="28"/>
  <c r="AG761" i="28"/>
  <c r="AG762" i="28"/>
  <c r="AG763" i="28"/>
  <c r="AG764" i="28"/>
  <c r="AG765" i="28"/>
  <c r="AG766" i="28"/>
  <c r="AG767" i="28"/>
  <c r="AG768" i="28"/>
  <c r="AG769" i="28"/>
  <c r="AG770" i="28"/>
  <c r="AG771" i="28"/>
  <c r="AG772" i="28"/>
  <c r="AG773" i="28"/>
  <c r="AG774" i="28"/>
  <c r="AG775" i="28"/>
  <c r="AG776" i="28"/>
  <c r="AG777" i="28"/>
  <c r="AG778" i="28"/>
  <c r="AG779" i="28"/>
  <c r="AG780" i="28"/>
  <c r="AG781" i="28"/>
  <c r="AG782" i="28"/>
  <c r="AG783" i="28"/>
  <c r="AG784" i="28"/>
  <c r="AG785" i="28"/>
  <c r="AG786" i="28"/>
  <c r="AG787" i="28"/>
  <c r="AG788" i="28"/>
  <c r="AG789" i="28"/>
  <c r="AG790" i="28"/>
  <c r="AG791" i="28"/>
  <c r="AG792" i="28"/>
  <c r="AG793" i="28"/>
  <c r="AG794" i="28"/>
  <c r="AG795" i="28"/>
  <c r="AG796" i="28"/>
  <c r="AG797" i="28"/>
  <c r="AG798" i="28"/>
  <c r="AG799" i="28"/>
  <c r="AG800" i="28"/>
  <c r="AG801" i="28"/>
  <c r="AG802" i="28"/>
  <c r="AG803" i="28"/>
  <c r="AG804" i="28"/>
  <c r="AG805" i="28"/>
  <c r="AG806" i="28"/>
  <c r="AG807" i="28"/>
  <c r="AG808" i="28"/>
  <c r="AG809" i="28"/>
  <c r="AG810" i="28"/>
  <c r="AG811" i="28"/>
  <c r="AG812" i="28"/>
  <c r="AG813" i="28"/>
  <c r="AG814" i="28"/>
  <c r="AG815" i="28"/>
  <c r="AG816" i="28"/>
  <c r="AG817" i="28"/>
  <c r="AG818" i="28"/>
  <c r="AG819" i="28"/>
  <c r="AG820" i="28"/>
  <c r="AG821" i="28"/>
  <c r="AG822" i="28"/>
  <c r="AG823" i="28"/>
  <c r="AG824" i="28"/>
  <c r="AG825" i="28"/>
  <c r="AG826" i="28"/>
  <c r="AG827" i="28"/>
  <c r="AG828" i="28"/>
  <c r="AG829" i="28"/>
  <c r="AG830" i="28"/>
  <c r="AG831" i="28"/>
  <c r="AG832" i="28"/>
  <c r="AG833" i="28"/>
  <c r="AG834" i="28"/>
  <c r="AG835" i="28"/>
  <c r="AG836" i="28"/>
  <c r="AG837" i="28"/>
  <c r="AG838" i="28"/>
  <c r="AG839" i="28"/>
  <c r="AG840" i="28"/>
  <c r="AG841" i="28"/>
  <c r="AG842" i="28"/>
  <c r="AG843" i="28"/>
  <c r="AG844" i="28"/>
  <c r="AG845" i="28"/>
  <c r="AG846" i="28"/>
  <c r="AG847" i="28"/>
  <c r="AG848" i="28"/>
  <c r="AG849" i="28"/>
  <c r="AG850" i="28"/>
  <c r="AG851" i="28"/>
  <c r="AG852" i="28"/>
  <c r="AG853" i="28"/>
  <c r="AG854" i="28"/>
  <c r="AG855" i="28"/>
  <c r="AG856" i="28"/>
  <c r="AG857" i="28"/>
  <c r="AG858" i="28"/>
  <c r="AG859" i="28"/>
  <c r="AG860" i="28"/>
  <c r="AG861" i="28"/>
  <c r="AG862" i="28"/>
  <c r="AG863" i="28"/>
  <c r="AG864" i="28"/>
  <c r="AG865" i="28"/>
  <c r="AG866" i="28"/>
  <c r="AG867" i="28"/>
  <c r="AG868" i="28"/>
  <c r="AG869" i="28"/>
  <c r="AG870" i="28"/>
  <c r="AG871" i="28"/>
  <c r="AG872" i="28"/>
  <c r="AG873" i="28"/>
  <c r="AG874" i="28"/>
  <c r="AG875" i="28"/>
  <c r="AG876" i="28"/>
  <c r="AG877" i="28"/>
  <c r="AG878" i="28"/>
  <c r="AG879" i="28"/>
  <c r="AG880" i="28"/>
  <c r="AG881" i="28"/>
  <c r="AG882" i="28"/>
  <c r="AG883" i="28"/>
  <c r="AG884" i="28"/>
  <c r="AG885" i="28"/>
  <c r="AG886" i="28"/>
  <c r="AG887" i="28"/>
  <c r="AG888" i="28"/>
  <c r="AG889" i="28"/>
  <c r="AG890" i="28"/>
  <c r="AG891" i="28"/>
  <c r="AG892" i="28"/>
  <c r="AG893" i="28"/>
  <c r="AG894" i="28"/>
  <c r="AG895" i="28"/>
  <c r="AG896" i="28"/>
  <c r="AG897" i="28"/>
  <c r="AG898" i="28"/>
  <c r="AG899" i="28"/>
  <c r="AG900" i="28"/>
  <c r="AG901" i="28"/>
  <c r="AG902" i="28"/>
  <c r="AG903" i="28"/>
  <c r="AG904" i="28"/>
  <c r="AG905" i="28"/>
  <c r="AG906" i="28"/>
  <c r="AG907" i="28"/>
  <c r="AG908" i="28"/>
  <c r="AG909" i="28"/>
  <c r="AG910" i="28"/>
  <c r="AG911" i="28"/>
  <c r="AG912" i="28"/>
  <c r="AG913" i="28"/>
  <c r="AG914" i="28"/>
  <c r="AG915" i="28"/>
  <c r="AG916" i="28"/>
  <c r="AG917" i="28"/>
  <c r="AG918" i="28"/>
  <c r="AG919" i="28"/>
  <c r="AG920" i="28"/>
  <c r="AG921" i="28"/>
  <c r="AG922" i="28"/>
  <c r="AG923" i="28"/>
  <c r="AG924" i="28"/>
  <c r="AG925" i="28"/>
  <c r="AG926" i="28"/>
  <c r="AG927" i="28"/>
  <c r="AG928" i="28"/>
  <c r="AG929" i="28"/>
  <c r="AG930" i="28"/>
  <c r="AG931" i="28"/>
  <c r="AG932" i="28"/>
  <c r="AG933" i="28"/>
  <c r="AG934" i="28"/>
  <c r="AG935" i="28"/>
  <c r="AG936" i="28"/>
  <c r="AG937" i="28"/>
  <c r="AG938" i="28"/>
  <c r="AG939" i="28"/>
  <c r="AG940" i="28"/>
  <c r="AG941" i="28"/>
  <c r="AG942" i="28"/>
  <c r="AG943" i="28"/>
  <c r="AG944" i="28"/>
  <c r="AG945" i="28"/>
  <c r="AG946" i="28"/>
  <c r="AG947" i="28"/>
  <c r="AG948" i="28"/>
  <c r="AG949" i="28"/>
  <c r="AG950" i="28"/>
  <c r="AG951" i="28"/>
  <c r="AG952" i="28"/>
  <c r="AG953" i="28"/>
  <c r="AG954" i="28"/>
  <c r="AG955" i="28"/>
  <c r="AG956" i="28"/>
  <c r="AG957" i="28"/>
  <c r="AG958" i="28"/>
  <c r="AG959" i="28"/>
  <c r="AG960" i="28"/>
  <c r="AG961" i="28"/>
  <c r="AG962" i="28"/>
  <c r="AG963" i="28"/>
  <c r="AG964" i="28"/>
  <c r="AG965" i="28"/>
  <c r="AG966" i="28"/>
  <c r="AG967" i="28"/>
  <c r="AG968" i="28"/>
  <c r="AG969" i="28"/>
  <c r="AG970" i="28"/>
  <c r="AG971" i="28"/>
  <c r="AG972" i="28"/>
  <c r="AG973" i="28"/>
  <c r="AG974" i="28"/>
  <c r="AG975" i="28"/>
  <c r="AG976" i="28"/>
  <c r="AG977" i="28"/>
  <c r="AG978" i="28"/>
  <c r="AG979" i="28"/>
  <c r="AG980" i="28"/>
  <c r="AG981" i="28"/>
  <c r="AG982" i="28"/>
  <c r="AG983" i="28"/>
  <c r="AG984" i="28"/>
  <c r="AG985" i="28"/>
  <c r="AG986" i="28"/>
  <c r="AG987" i="28"/>
  <c r="AG988" i="28"/>
  <c r="AG989" i="28"/>
  <c r="AG990" i="28"/>
  <c r="AG991" i="28"/>
  <c r="AG992" i="28"/>
  <c r="AG993" i="28"/>
  <c r="AG994" i="28"/>
  <c r="AG995" i="28"/>
  <c r="AG996" i="28"/>
  <c r="AG997" i="28"/>
  <c r="AG998" i="28"/>
  <c r="AG999" i="28"/>
  <c r="AG1000" i="28"/>
  <c r="AP34" i="28"/>
  <c r="Q34" i="28" s="1"/>
  <c r="AR34" i="28"/>
  <c r="R34" i="28" s="1"/>
  <c r="AQ34" i="28"/>
  <c r="S34" i="28" s="1"/>
  <c r="AP38" i="28"/>
  <c r="Q38" i="28" s="1"/>
  <c r="AR38" i="28"/>
  <c r="R38" i="28" s="1"/>
  <c r="AQ38" i="28"/>
  <c r="S38" i="28" s="1"/>
  <c r="AP427" i="28"/>
  <c r="Q427" i="28" s="1"/>
  <c r="AR427" i="28"/>
  <c r="R427" i="28" s="1"/>
  <c r="AQ427" i="28"/>
  <c r="S427" i="28" s="1"/>
  <c r="AP428" i="28"/>
  <c r="Q428" i="28" s="1"/>
  <c r="AR428" i="28"/>
  <c r="R428" i="28" s="1"/>
  <c r="AQ428" i="28"/>
  <c r="S428" i="28" s="1"/>
  <c r="AP429" i="28"/>
  <c r="Q429" i="28" s="1"/>
  <c r="AR429" i="28"/>
  <c r="R429" i="28" s="1"/>
  <c r="AQ429" i="28"/>
  <c r="S429" i="28" s="1"/>
  <c r="AP430" i="28"/>
  <c r="Q430" i="28" s="1"/>
  <c r="AR430" i="28"/>
  <c r="R430" i="28" s="1"/>
  <c r="AQ430" i="28"/>
  <c r="S430" i="28" s="1"/>
  <c r="AP431" i="28"/>
  <c r="Q431" i="28" s="1"/>
  <c r="AR431" i="28"/>
  <c r="R431" i="28" s="1"/>
  <c r="AQ431" i="28"/>
  <c r="S431" i="28" s="1"/>
  <c r="AP432" i="28"/>
  <c r="Q432" i="28" s="1"/>
  <c r="AR432" i="28"/>
  <c r="R432" i="28" s="1"/>
  <c r="AQ432" i="28"/>
  <c r="S432" i="28" s="1"/>
  <c r="AP433" i="28"/>
  <c r="Q433" i="28" s="1"/>
  <c r="AR433" i="28"/>
  <c r="R433" i="28" s="1"/>
  <c r="AQ433" i="28"/>
  <c r="S433" i="28" s="1"/>
  <c r="AP434" i="28"/>
  <c r="Q434" i="28" s="1"/>
  <c r="AR434" i="28"/>
  <c r="R434" i="28" s="1"/>
  <c r="AQ434" i="28"/>
  <c r="S434" i="28" s="1"/>
  <c r="AP435" i="28"/>
  <c r="Q435" i="28" s="1"/>
  <c r="AR435" i="28"/>
  <c r="R435" i="28" s="1"/>
  <c r="AQ435" i="28"/>
  <c r="S435" i="28" s="1"/>
  <c r="AP436" i="28"/>
  <c r="Q436" i="28" s="1"/>
  <c r="AR436" i="28"/>
  <c r="R436" i="28" s="1"/>
  <c r="AQ436" i="28"/>
  <c r="S436" i="28" s="1"/>
  <c r="AP437" i="28"/>
  <c r="Q437" i="28" s="1"/>
  <c r="AR437" i="28"/>
  <c r="R437" i="28" s="1"/>
  <c r="AQ437" i="28"/>
  <c r="S437" i="28" s="1"/>
  <c r="AP438" i="28"/>
  <c r="Q438" i="28" s="1"/>
  <c r="AR438" i="28"/>
  <c r="R438" i="28" s="1"/>
  <c r="AQ438" i="28"/>
  <c r="S438" i="28" s="1"/>
  <c r="AP439" i="28"/>
  <c r="Q439" i="28" s="1"/>
  <c r="AR439" i="28"/>
  <c r="R439" i="28" s="1"/>
  <c r="AQ439" i="28"/>
  <c r="S439" i="28" s="1"/>
  <c r="AP440" i="28"/>
  <c r="Q440" i="28" s="1"/>
  <c r="AR440" i="28"/>
  <c r="R440" i="28" s="1"/>
  <c r="AQ440" i="28"/>
  <c r="S440" i="28" s="1"/>
  <c r="AP441" i="28"/>
  <c r="Q441" i="28" s="1"/>
  <c r="AR441" i="28"/>
  <c r="R441" i="28" s="1"/>
  <c r="AQ441" i="28"/>
  <c r="S441" i="28" s="1"/>
  <c r="AP442" i="28"/>
  <c r="Q442" i="28" s="1"/>
  <c r="AR442" i="28"/>
  <c r="R442" i="28" s="1"/>
  <c r="AQ442" i="28"/>
  <c r="S442" i="28" s="1"/>
  <c r="AP443" i="28"/>
  <c r="Q443" i="28" s="1"/>
  <c r="AR443" i="28"/>
  <c r="R443" i="28" s="1"/>
  <c r="AQ443" i="28"/>
  <c r="S443" i="28" s="1"/>
  <c r="AP444" i="28"/>
  <c r="Q444" i="28" s="1"/>
  <c r="AR444" i="28"/>
  <c r="R444" i="28" s="1"/>
  <c r="AQ444" i="28"/>
  <c r="S444" i="28" s="1"/>
  <c r="AP445" i="28"/>
  <c r="Q445" i="28" s="1"/>
  <c r="AR445" i="28"/>
  <c r="R445" i="28" s="1"/>
  <c r="AQ445" i="28"/>
  <c r="S445" i="28" s="1"/>
  <c r="AP446" i="28"/>
  <c r="Q446" i="28" s="1"/>
  <c r="AR446" i="28"/>
  <c r="R446" i="28" s="1"/>
  <c r="AQ446" i="28"/>
  <c r="S446" i="28" s="1"/>
  <c r="AP447" i="28"/>
  <c r="Q447" i="28" s="1"/>
  <c r="AR447" i="28"/>
  <c r="R447" i="28" s="1"/>
  <c r="AQ447" i="28"/>
  <c r="S447" i="28" s="1"/>
  <c r="AP448" i="28"/>
  <c r="Q448" i="28" s="1"/>
  <c r="AR448" i="28"/>
  <c r="R448" i="28" s="1"/>
  <c r="AQ448" i="28"/>
  <c r="S448" i="28" s="1"/>
  <c r="AP449" i="28"/>
  <c r="Q449" i="28" s="1"/>
  <c r="AR449" i="28"/>
  <c r="R449" i="28" s="1"/>
  <c r="AQ449" i="28"/>
  <c r="S449" i="28" s="1"/>
  <c r="AP450" i="28"/>
  <c r="Q450" i="28" s="1"/>
  <c r="AR450" i="28"/>
  <c r="R450" i="28" s="1"/>
  <c r="AQ450" i="28"/>
  <c r="S450" i="28" s="1"/>
  <c r="AP451" i="28"/>
  <c r="Q451" i="28" s="1"/>
  <c r="AR451" i="28"/>
  <c r="R451" i="28" s="1"/>
  <c r="AQ451" i="28"/>
  <c r="S451" i="28" s="1"/>
  <c r="AP452" i="28"/>
  <c r="Q452" i="28" s="1"/>
  <c r="AR452" i="28"/>
  <c r="R452" i="28" s="1"/>
  <c r="AQ452" i="28"/>
  <c r="S452" i="28" s="1"/>
  <c r="AP453" i="28"/>
  <c r="Q453" i="28" s="1"/>
  <c r="AR453" i="28"/>
  <c r="R453" i="28" s="1"/>
  <c r="AQ453" i="28"/>
  <c r="S453" i="28" s="1"/>
  <c r="AP454" i="28"/>
  <c r="Q454" i="28" s="1"/>
  <c r="AR454" i="28"/>
  <c r="R454" i="28" s="1"/>
  <c r="AQ454" i="28"/>
  <c r="S454" i="28" s="1"/>
  <c r="AP455" i="28"/>
  <c r="Q455" i="28" s="1"/>
  <c r="AR455" i="28"/>
  <c r="R455" i="28" s="1"/>
  <c r="AQ455" i="28"/>
  <c r="S455" i="28" s="1"/>
  <c r="AP456" i="28"/>
  <c r="Q456" i="28" s="1"/>
  <c r="AR456" i="28"/>
  <c r="R456" i="28" s="1"/>
  <c r="AQ456" i="28"/>
  <c r="S456" i="28" s="1"/>
  <c r="AP457" i="28"/>
  <c r="Q457" i="28" s="1"/>
  <c r="AR457" i="28"/>
  <c r="R457" i="28" s="1"/>
  <c r="AQ457" i="28"/>
  <c r="S457" i="28" s="1"/>
  <c r="AP458" i="28"/>
  <c r="Q458" i="28" s="1"/>
  <c r="AR458" i="28"/>
  <c r="R458" i="28" s="1"/>
  <c r="AQ458" i="28"/>
  <c r="S458" i="28" s="1"/>
  <c r="AP459" i="28"/>
  <c r="Q459" i="28" s="1"/>
  <c r="AR459" i="28"/>
  <c r="R459" i="28" s="1"/>
  <c r="AQ459" i="28"/>
  <c r="S459" i="28" s="1"/>
  <c r="AP460" i="28"/>
  <c r="Q460" i="28" s="1"/>
  <c r="AR460" i="28"/>
  <c r="R460" i="28" s="1"/>
  <c r="AQ460" i="28"/>
  <c r="S460" i="28" s="1"/>
  <c r="AP461" i="28"/>
  <c r="Q461" i="28" s="1"/>
  <c r="AR461" i="28"/>
  <c r="R461" i="28" s="1"/>
  <c r="AQ461" i="28"/>
  <c r="S461" i="28" s="1"/>
  <c r="AP462" i="28"/>
  <c r="Q462" i="28" s="1"/>
  <c r="AR462" i="28"/>
  <c r="R462" i="28" s="1"/>
  <c r="AQ462" i="28"/>
  <c r="S462" i="28" s="1"/>
  <c r="AP463" i="28"/>
  <c r="Q463" i="28" s="1"/>
  <c r="AR463" i="28"/>
  <c r="R463" i="28" s="1"/>
  <c r="AQ463" i="28"/>
  <c r="S463" i="28" s="1"/>
  <c r="AP464" i="28"/>
  <c r="Q464" i="28" s="1"/>
  <c r="AR464" i="28"/>
  <c r="R464" i="28" s="1"/>
  <c r="AQ464" i="28"/>
  <c r="S464" i="28" s="1"/>
  <c r="AP465" i="28"/>
  <c r="Q465" i="28" s="1"/>
  <c r="AR465" i="28"/>
  <c r="R465" i="28" s="1"/>
  <c r="AQ465" i="28"/>
  <c r="S465" i="28" s="1"/>
  <c r="AP466" i="28"/>
  <c r="Q466" i="28" s="1"/>
  <c r="AR466" i="28"/>
  <c r="R466" i="28" s="1"/>
  <c r="AQ466" i="28"/>
  <c r="S466" i="28" s="1"/>
  <c r="AP467" i="28"/>
  <c r="Q467" i="28" s="1"/>
  <c r="AR467" i="28"/>
  <c r="R467" i="28" s="1"/>
  <c r="AQ467" i="28"/>
  <c r="S467" i="28" s="1"/>
  <c r="AP468" i="28"/>
  <c r="Q468" i="28" s="1"/>
  <c r="AR468" i="28"/>
  <c r="R468" i="28" s="1"/>
  <c r="AQ468" i="28"/>
  <c r="S468" i="28" s="1"/>
  <c r="AP469" i="28"/>
  <c r="Q469" i="28" s="1"/>
  <c r="AR469" i="28"/>
  <c r="R469" i="28" s="1"/>
  <c r="AQ469" i="28"/>
  <c r="S469" i="28" s="1"/>
  <c r="AP470" i="28"/>
  <c r="Q470" i="28" s="1"/>
  <c r="AR470" i="28"/>
  <c r="R470" i="28" s="1"/>
  <c r="AQ470" i="28"/>
  <c r="S470" i="28" s="1"/>
  <c r="AP471" i="28"/>
  <c r="Q471" i="28" s="1"/>
  <c r="AR471" i="28"/>
  <c r="R471" i="28" s="1"/>
  <c r="AQ471" i="28"/>
  <c r="S471" i="28" s="1"/>
  <c r="AP472" i="28"/>
  <c r="Q472" i="28" s="1"/>
  <c r="AR472" i="28"/>
  <c r="R472" i="28" s="1"/>
  <c r="AQ472" i="28"/>
  <c r="S472" i="28" s="1"/>
  <c r="AP473" i="28"/>
  <c r="Q473" i="28" s="1"/>
  <c r="AR473" i="28"/>
  <c r="R473" i="28" s="1"/>
  <c r="AQ473" i="28"/>
  <c r="S473" i="28" s="1"/>
  <c r="AP474" i="28"/>
  <c r="Q474" i="28" s="1"/>
  <c r="AR474" i="28"/>
  <c r="R474" i="28" s="1"/>
  <c r="AQ474" i="28"/>
  <c r="S474" i="28" s="1"/>
  <c r="AP475" i="28"/>
  <c r="Q475" i="28" s="1"/>
  <c r="AR475" i="28"/>
  <c r="R475" i="28" s="1"/>
  <c r="AQ475" i="28"/>
  <c r="S475" i="28" s="1"/>
  <c r="AP476" i="28"/>
  <c r="Q476" i="28" s="1"/>
  <c r="AR476" i="28"/>
  <c r="R476" i="28" s="1"/>
  <c r="AQ476" i="28"/>
  <c r="S476" i="28" s="1"/>
  <c r="AP477" i="28"/>
  <c r="Q477" i="28" s="1"/>
  <c r="AR477" i="28"/>
  <c r="R477" i="28" s="1"/>
  <c r="AQ477" i="28"/>
  <c r="S477" i="28" s="1"/>
  <c r="AP478" i="28"/>
  <c r="Q478" i="28" s="1"/>
  <c r="AR478" i="28"/>
  <c r="R478" i="28" s="1"/>
  <c r="AQ478" i="28"/>
  <c r="S478" i="28" s="1"/>
  <c r="AP479" i="28"/>
  <c r="Q479" i="28" s="1"/>
  <c r="AR479" i="28"/>
  <c r="R479" i="28" s="1"/>
  <c r="AQ479" i="28"/>
  <c r="S479" i="28" s="1"/>
  <c r="AP480" i="28"/>
  <c r="Q480" i="28" s="1"/>
  <c r="AR480" i="28"/>
  <c r="R480" i="28" s="1"/>
  <c r="AQ480" i="28"/>
  <c r="S480" i="28" s="1"/>
  <c r="AP481" i="28"/>
  <c r="Q481" i="28" s="1"/>
  <c r="AR481" i="28"/>
  <c r="R481" i="28" s="1"/>
  <c r="AQ481" i="28"/>
  <c r="S481" i="28" s="1"/>
  <c r="AP482" i="28"/>
  <c r="Q482" i="28" s="1"/>
  <c r="AR482" i="28"/>
  <c r="R482" i="28" s="1"/>
  <c r="AQ482" i="28"/>
  <c r="S482" i="28" s="1"/>
  <c r="AP483" i="28"/>
  <c r="Q483" i="28" s="1"/>
  <c r="AR483" i="28"/>
  <c r="R483" i="28" s="1"/>
  <c r="AQ483" i="28"/>
  <c r="S483" i="28" s="1"/>
  <c r="AP484" i="28"/>
  <c r="Q484" i="28" s="1"/>
  <c r="AR484" i="28"/>
  <c r="R484" i="28" s="1"/>
  <c r="AQ484" i="28"/>
  <c r="S484" i="28" s="1"/>
  <c r="AP485" i="28"/>
  <c r="Q485" i="28" s="1"/>
  <c r="AR485" i="28"/>
  <c r="R485" i="28" s="1"/>
  <c r="AQ485" i="28"/>
  <c r="S485" i="28" s="1"/>
  <c r="AP486" i="28"/>
  <c r="Q486" i="28" s="1"/>
  <c r="AR486" i="28"/>
  <c r="R486" i="28" s="1"/>
  <c r="AQ486" i="28"/>
  <c r="S486" i="28" s="1"/>
  <c r="AP487" i="28"/>
  <c r="Q487" i="28" s="1"/>
  <c r="AR487" i="28"/>
  <c r="R487" i="28" s="1"/>
  <c r="AQ487" i="28"/>
  <c r="S487" i="28" s="1"/>
  <c r="AP488" i="28"/>
  <c r="Q488" i="28" s="1"/>
  <c r="AR488" i="28"/>
  <c r="R488" i="28" s="1"/>
  <c r="AQ488" i="28"/>
  <c r="S488" i="28" s="1"/>
  <c r="AP489" i="28"/>
  <c r="Q489" i="28" s="1"/>
  <c r="AR489" i="28"/>
  <c r="R489" i="28" s="1"/>
  <c r="AQ489" i="28"/>
  <c r="S489" i="28" s="1"/>
  <c r="AP490" i="28"/>
  <c r="Q490" i="28" s="1"/>
  <c r="AR490" i="28"/>
  <c r="R490" i="28" s="1"/>
  <c r="AQ490" i="28"/>
  <c r="S490" i="28" s="1"/>
  <c r="AP491" i="28"/>
  <c r="Q491" i="28" s="1"/>
  <c r="AR491" i="28"/>
  <c r="R491" i="28" s="1"/>
  <c r="AQ491" i="28"/>
  <c r="S491" i="28" s="1"/>
  <c r="AP492" i="28"/>
  <c r="Q492" i="28" s="1"/>
  <c r="AR492" i="28"/>
  <c r="R492" i="28" s="1"/>
  <c r="AQ492" i="28"/>
  <c r="S492" i="28" s="1"/>
  <c r="AP493" i="28"/>
  <c r="Q493" i="28" s="1"/>
  <c r="AR493" i="28"/>
  <c r="R493" i="28" s="1"/>
  <c r="AQ493" i="28"/>
  <c r="S493" i="28" s="1"/>
  <c r="AP494" i="28"/>
  <c r="Q494" i="28" s="1"/>
  <c r="AR494" i="28"/>
  <c r="R494" i="28" s="1"/>
  <c r="AQ494" i="28"/>
  <c r="S494" i="28" s="1"/>
  <c r="AP495" i="28"/>
  <c r="Q495" i="28" s="1"/>
  <c r="AR495" i="28"/>
  <c r="R495" i="28" s="1"/>
  <c r="AQ495" i="28"/>
  <c r="S495" i="28" s="1"/>
  <c r="AP496" i="28"/>
  <c r="Q496" i="28" s="1"/>
  <c r="AR496" i="28"/>
  <c r="R496" i="28" s="1"/>
  <c r="AQ496" i="28"/>
  <c r="S496" i="28" s="1"/>
  <c r="AP497" i="28"/>
  <c r="Q497" i="28" s="1"/>
  <c r="AR497" i="28"/>
  <c r="R497" i="28" s="1"/>
  <c r="AQ497" i="28"/>
  <c r="S497" i="28" s="1"/>
  <c r="AP498" i="28"/>
  <c r="Q498" i="28" s="1"/>
  <c r="AR498" i="28"/>
  <c r="R498" i="28" s="1"/>
  <c r="AQ498" i="28"/>
  <c r="S498" i="28" s="1"/>
  <c r="AP499" i="28"/>
  <c r="Q499" i="28" s="1"/>
  <c r="AR499" i="28"/>
  <c r="R499" i="28" s="1"/>
  <c r="AQ499" i="28"/>
  <c r="S499" i="28" s="1"/>
  <c r="AP500" i="28"/>
  <c r="Q500" i="28" s="1"/>
  <c r="AR500" i="28"/>
  <c r="R500" i="28" s="1"/>
  <c r="AQ500" i="28"/>
  <c r="S500" i="28" s="1"/>
  <c r="AP501" i="28"/>
  <c r="Q501" i="28" s="1"/>
  <c r="AR501" i="28"/>
  <c r="R501" i="28" s="1"/>
  <c r="AQ501" i="28"/>
  <c r="S501" i="28" s="1"/>
  <c r="AP502" i="28"/>
  <c r="Q502" i="28" s="1"/>
  <c r="AR502" i="28"/>
  <c r="R502" i="28" s="1"/>
  <c r="AQ502" i="28"/>
  <c r="S502" i="28" s="1"/>
  <c r="AP503" i="28"/>
  <c r="Q503" i="28" s="1"/>
  <c r="AR503" i="28"/>
  <c r="R503" i="28" s="1"/>
  <c r="AQ503" i="28"/>
  <c r="S503" i="28" s="1"/>
  <c r="AP504" i="28"/>
  <c r="Q504" i="28" s="1"/>
  <c r="AR504" i="28"/>
  <c r="R504" i="28" s="1"/>
  <c r="AQ504" i="28"/>
  <c r="S504" i="28" s="1"/>
  <c r="AP505" i="28"/>
  <c r="Q505" i="28" s="1"/>
  <c r="AR505" i="28"/>
  <c r="R505" i="28" s="1"/>
  <c r="AQ505" i="28"/>
  <c r="S505" i="28" s="1"/>
  <c r="AP506" i="28"/>
  <c r="Q506" i="28" s="1"/>
  <c r="AR506" i="28"/>
  <c r="R506" i="28" s="1"/>
  <c r="AQ506" i="28"/>
  <c r="S506" i="28" s="1"/>
  <c r="AP507" i="28"/>
  <c r="Q507" i="28" s="1"/>
  <c r="AR507" i="28"/>
  <c r="R507" i="28" s="1"/>
  <c r="AQ507" i="28"/>
  <c r="S507" i="28" s="1"/>
  <c r="AP508" i="28"/>
  <c r="Q508" i="28" s="1"/>
  <c r="AR508" i="28"/>
  <c r="R508" i="28" s="1"/>
  <c r="AQ508" i="28"/>
  <c r="S508" i="28" s="1"/>
  <c r="AP509" i="28"/>
  <c r="Q509" i="28" s="1"/>
  <c r="AR509" i="28"/>
  <c r="R509" i="28" s="1"/>
  <c r="AQ509" i="28"/>
  <c r="S509" i="28" s="1"/>
  <c r="AP510" i="28"/>
  <c r="Q510" i="28" s="1"/>
  <c r="AR510" i="28"/>
  <c r="R510" i="28" s="1"/>
  <c r="AQ510" i="28"/>
  <c r="S510" i="28" s="1"/>
  <c r="AP511" i="28"/>
  <c r="Q511" i="28" s="1"/>
  <c r="AR511" i="28"/>
  <c r="R511" i="28" s="1"/>
  <c r="AQ511" i="28"/>
  <c r="S511" i="28" s="1"/>
  <c r="AP512" i="28"/>
  <c r="Q512" i="28" s="1"/>
  <c r="AR512" i="28"/>
  <c r="R512" i="28" s="1"/>
  <c r="AQ512" i="28"/>
  <c r="S512" i="28" s="1"/>
  <c r="AP513" i="28"/>
  <c r="Q513" i="28" s="1"/>
  <c r="AR513" i="28"/>
  <c r="R513" i="28" s="1"/>
  <c r="AQ513" i="28"/>
  <c r="S513" i="28" s="1"/>
  <c r="AP514" i="28"/>
  <c r="Q514" i="28" s="1"/>
  <c r="AR514" i="28"/>
  <c r="R514" i="28" s="1"/>
  <c r="AQ514" i="28"/>
  <c r="S514" i="28" s="1"/>
  <c r="AP515" i="28"/>
  <c r="Q515" i="28" s="1"/>
  <c r="AR515" i="28"/>
  <c r="R515" i="28" s="1"/>
  <c r="AQ515" i="28"/>
  <c r="S515" i="28" s="1"/>
  <c r="AP516" i="28"/>
  <c r="Q516" i="28" s="1"/>
  <c r="AR516" i="28"/>
  <c r="R516" i="28" s="1"/>
  <c r="AQ516" i="28"/>
  <c r="S516" i="28" s="1"/>
  <c r="AP517" i="28"/>
  <c r="Q517" i="28" s="1"/>
  <c r="AR517" i="28"/>
  <c r="R517" i="28" s="1"/>
  <c r="AQ517" i="28"/>
  <c r="S517" i="28" s="1"/>
  <c r="AP518" i="28"/>
  <c r="Q518" i="28" s="1"/>
  <c r="AR518" i="28"/>
  <c r="R518" i="28" s="1"/>
  <c r="AQ518" i="28"/>
  <c r="S518" i="28" s="1"/>
  <c r="AP519" i="28"/>
  <c r="Q519" i="28" s="1"/>
  <c r="AR519" i="28"/>
  <c r="R519" i="28" s="1"/>
  <c r="AQ519" i="28"/>
  <c r="S519" i="28" s="1"/>
  <c r="AP520" i="28"/>
  <c r="Q520" i="28" s="1"/>
  <c r="AR520" i="28"/>
  <c r="R520" i="28" s="1"/>
  <c r="AQ520" i="28"/>
  <c r="S520" i="28" s="1"/>
  <c r="AP521" i="28"/>
  <c r="Q521" i="28" s="1"/>
  <c r="AR521" i="28"/>
  <c r="R521" i="28" s="1"/>
  <c r="AQ521" i="28"/>
  <c r="S521" i="28" s="1"/>
  <c r="AP522" i="28"/>
  <c r="Q522" i="28" s="1"/>
  <c r="AR522" i="28"/>
  <c r="R522" i="28" s="1"/>
  <c r="AQ522" i="28"/>
  <c r="S522" i="28" s="1"/>
  <c r="AP523" i="28"/>
  <c r="Q523" i="28" s="1"/>
  <c r="AR523" i="28"/>
  <c r="R523" i="28" s="1"/>
  <c r="AQ523" i="28"/>
  <c r="S523" i="28" s="1"/>
  <c r="AP524" i="28"/>
  <c r="Q524" i="28" s="1"/>
  <c r="AR524" i="28"/>
  <c r="R524" i="28" s="1"/>
  <c r="AQ524" i="28"/>
  <c r="S524" i="28" s="1"/>
  <c r="AP525" i="28"/>
  <c r="Q525" i="28" s="1"/>
  <c r="AR525" i="28"/>
  <c r="R525" i="28" s="1"/>
  <c r="AQ525" i="28"/>
  <c r="S525" i="28" s="1"/>
  <c r="AP526" i="28"/>
  <c r="Q526" i="28" s="1"/>
  <c r="AR526" i="28"/>
  <c r="R526" i="28" s="1"/>
  <c r="AQ526" i="28"/>
  <c r="S526" i="28" s="1"/>
  <c r="AP527" i="28"/>
  <c r="Q527" i="28" s="1"/>
  <c r="AR527" i="28"/>
  <c r="R527" i="28" s="1"/>
  <c r="AQ527" i="28"/>
  <c r="S527" i="28" s="1"/>
  <c r="AP528" i="28"/>
  <c r="Q528" i="28" s="1"/>
  <c r="AR528" i="28"/>
  <c r="R528" i="28" s="1"/>
  <c r="AQ528" i="28"/>
  <c r="S528" i="28" s="1"/>
  <c r="AP529" i="28"/>
  <c r="Q529" i="28" s="1"/>
  <c r="AR529" i="28"/>
  <c r="R529" i="28" s="1"/>
  <c r="AQ529" i="28"/>
  <c r="S529" i="28" s="1"/>
  <c r="AP530" i="28"/>
  <c r="Q530" i="28" s="1"/>
  <c r="AR530" i="28"/>
  <c r="R530" i="28" s="1"/>
  <c r="AQ530" i="28"/>
  <c r="S530" i="28" s="1"/>
  <c r="AP531" i="28"/>
  <c r="Q531" i="28" s="1"/>
  <c r="AR531" i="28"/>
  <c r="R531" i="28" s="1"/>
  <c r="AQ531" i="28"/>
  <c r="S531" i="28" s="1"/>
  <c r="AP532" i="28"/>
  <c r="Q532" i="28" s="1"/>
  <c r="AR532" i="28"/>
  <c r="R532" i="28" s="1"/>
  <c r="AQ532" i="28"/>
  <c r="S532" i="28" s="1"/>
  <c r="AP533" i="28"/>
  <c r="Q533" i="28" s="1"/>
  <c r="AR533" i="28"/>
  <c r="R533" i="28" s="1"/>
  <c r="AQ533" i="28"/>
  <c r="S533" i="28" s="1"/>
  <c r="AP534" i="28"/>
  <c r="Q534" i="28" s="1"/>
  <c r="AR534" i="28"/>
  <c r="R534" i="28" s="1"/>
  <c r="AQ534" i="28"/>
  <c r="S534" i="28" s="1"/>
  <c r="AP535" i="28"/>
  <c r="Q535" i="28" s="1"/>
  <c r="AR535" i="28"/>
  <c r="R535" i="28" s="1"/>
  <c r="AQ535" i="28"/>
  <c r="S535" i="28" s="1"/>
  <c r="AP536" i="28"/>
  <c r="Q536" i="28" s="1"/>
  <c r="AR536" i="28"/>
  <c r="R536" i="28" s="1"/>
  <c r="AQ536" i="28"/>
  <c r="S536" i="28" s="1"/>
  <c r="AP537" i="28"/>
  <c r="Q537" i="28" s="1"/>
  <c r="AR537" i="28"/>
  <c r="R537" i="28" s="1"/>
  <c r="AQ537" i="28"/>
  <c r="S537" i="28" s="1"/>
  <c r="AP538" i="28"/>
  <c r="Q538" i="28" s="1"/>
  <c r="AR538" i="28"/>
  <c r="R538" i="28" s="1"/>
  <c r="AQ538" i="28"/>
  <c r="S538" i="28" s="1"/>
  <c r="AP539" i="28"/>
  <c r="Q539" i="28" s="1"/>
  <c r="AR539" i="28"/>
  <c r="R539" i="28" s="1"/>
  <c r="AQ539" i="28"/>
  <c r="S539" i="28" s="1"/>
  <c r="AP540" i="28"/>
  <c r="Q540" i="28" s="1"/>
  <c r="AR540" i="28"/>
  <c r="R540" i="28" s="1"/>
  <c r="AQ540" i="28"/>
  <c r="S540" i="28" s="1"/>
  <c r="AP541" i="28"/>
  <c r="Q541" i="28" s="1"/>
  <c r="AR541" i="28"/>
  <c r="R541" i="28" s="1"/>
  <c r="AQ541" i="28"/>
  <c r="S541" i="28" s="1"/>
  <c r="AP542" i="28"/>
  <c r="Q542" i="28" s="1"/>
  <c r="AR542" i="28"/>
  <c r="R542" i="28" s="1"/>
  <c r="AQ542" i="28"/>
  <c r="S542" i="28" s="1"/>
  <c r="AP543" i="28"/>
  <c r="Q543" i="28" s="1"/>
  <c r="AR543" i="28"/>
  <c r="R543" i="28" s="1"/>
  <c r="AQ543" i="28"/>
  <c r="S543" i="28" s="1"/>
  <c r="AP544" i="28"/>
  <c r="Q544" i="28" s="1"/>
  <c r="AR544" i="28"/>
  <c r="R544" i="28" s="1"/>
  <c r="AQ544" i="28"/>
  <c r="S544" i="28" s="1"/>
  <c r="AP545" i="28"/>
  <c r="Q545" i="28" s="1"/>
  <c r="AR545" i="28"/>
  <c r="R545" i="28" s="1"/>
  <c r="AQ545" i="28"/>
  <c r="S545" i="28" s="1"/>
  <c r="AP546" i="28"/>
  <c r="Q546" i="28" s="1"/>
  <c r="AR546" i="28"/>
  <c r="R546" i="28" s="1"/>
  <c r="AQ546" i="28"/>
  <c r="S546" i="28" s="1"/>
  <c r="AP547" i="28"/>
  <c r="Q547" i="28" s="1"/>
  <c r="AR547" i="28"/>
  <c r="R547" i="28" s="1"/>
  <c r="AQ547" i="28"/>
  <c r="S547" i="28" s="1"/>
  <c r="AP548" i="28"/>
  <c r="Q548" i="28" s="1"/>
  <c r="AR548" i="28"/>
  <c r="R548" i="28" s="1"/>
  <c r="AQ548" i="28"/>
  <c r="S548" i="28" s="1"/>
  <c r="AP549" i="28"/>
  <c r="Q549" i="28" s="1"/>
  <c r="AR549" i="28"/>
  <c r="R549" i="28" s="1"/>
  <c r="AQ549" i="28"/>
  <c r="S549" i="28" s="1"/>
  <c r="AP550" i="28"/>
  <c r="Q550" i="28" s="1"/>
  <c r="AR550" i="28"/>
  <c r="R550" i="28" s="1"/>
  <c r="AQ550" i="28"/>
  <c r="S550" i="28" s="1"/>
  <c r="AP551" i="28"/>
  <c r="Q551" i="28" s="1"/>
  <c r="AR551" i="28"/>
  <c r="R551" i="28" s="1"/>
  <c r="AQ551" i="28"/>
  <c r="S551" i="28" s="1"/>
  <c r="AP552" i="28"/>
  <c r="Q552" i="28" s="1"/>
  <c r="AR552" i="28"/>
  <c r="R552" i="28" s="1"/>
  <c r="AQ552" i="28"/>
  <c r="S552" i="28" s="1"/>
  <c r="AP553" i="28"/>
  <c r="Q553" i="28" s="1"/>
  <c r="AR553" i="28"/>
  <c r="R553" i="28" s="1"/>
  <c r="AQ553" i="28"/>
  <c r="S553" i="28" s="1"/>
  <c r="AP554" i="28"/>
  <c r="Q554" i="28" s="1"/>
  <c r="AR554" i="28"/>
  <c r="R554" i="28" s="1"/>
  <c r="AQ554" i="28"/>
  <c r="S554" i="28" s="1"/>
  <c r="AP555" i="28"/>
  <c r="Q555" i="28" s="1"/>
  <c r="AR555" i="28"/>
  <c r="R555" i="28" s="1"/>
  <c r="AQ555" i="28"/>
  <c r="S555" i="28" s="1"/>
  <c r="AP556" i="28"/>
  <c r="Q556" i="28" s="1"/>
  <c r="AR556" i="28"/>
  <c r="R556" i="28" s="1"/>
  <c r="AQ556" i="28"/>
  <c r="S556" i="28" s="1"/>
  <c r="AP557" i="28"/>
  <c r="Q557" i="28" s="1"/>
  <c r="AR557" i="28"/>
  <c r="R557" i="28" s="1"/>
  <c r="AQ557" i="28"/>
  <c r="S557" i="28" s="1"/>
  <c r="AP558" i="28"/>
  <c r="Q558" i="28" s="1"/>
  <c r="AR558" i="28"/>
  <c r="R558" i="28" s="1"/>
  <c r="AQ558" i="28"/>
  <c r="S558" i="28" s="1"/>
  <c r="AP559" i="28"/>
  <c r="Q559" i="28" s="1"/>
  <c r="AR559" i="28"/>
  <c r="R559" i="28" s="1"/>
  <c r="AQ559" i="28"/>
  <c r="S559" i="28" s="1"/>
  <c r="AP560" i="28"/>
  <c r="Q560" i="28" s="1"/>
  <c r="AR560" i="28"/>
  <c r="R560" i="28" s="1"/>
  <c r="AQ560" i="28"/>
  <c r="S560" i="28" s="1"/>
  <c r="AP561" i="28"/>
  <c r="Q561" i="28" s="1"/>
  <c r="AR561" i="28"/>
  <c r="R561" i="28" s="1"/>
  <c r="AQ561" i="28"/>
  <c r="S561" i="28" s="1"/>
  <c r="AP562" i="28"/>
  <c r="Q562" i="28" s="1"/>
  <c r="AR562" i="28"/>
  <c r="R562" i="28" s="1"/>
  <c r="AQ562" i="28"/>
  <c r="S562" i="28" s="1"/>
  <c r="AP563" i="28"/>
  <c r="Q563" i="28" s="1"/>
  <c r="AR563" i="28"/>
  <c r="R563" i="28" s="1"/>
  <c r="AQ563" i="28"/>
  <c r="S563" i="28" s="1"/>
  <c r="AP564" i="28"/>
  <c r="Q564" i="28" s="1"/>
  <c r="AR564" i="28"/>
  <c r="R564" i="28" s="1"/>
  <c r="AQ564" i="28"/>
  <c r="S564" i="28" s="1"/>
  <c r="AP565" i="28"/>
  <c r="Q565" i="28" s="1"/>
  <c r="AR565" i="28"/>
  <c r="R565" i="28" s="1"/>
  <c r="AQ565" i="28"/>
  <c r="S565" i="28" s="1"/>
  <c r="AP566" i="28"/>
  <c r="Q566" i="28" s="1"/>
  <c r="AR566" i="28"/>
  <c r="R566" i="28" s="1"/>
  <c r="AQ566" i="28"/>
  <c r="S566" i="28" s="1"/>
  <c r="AP567" i="28"/>
  <c r="Q567" i="28" s="1"/>
  <c r="AR567" i="28"/>
  <c r="R567" i="28" s="1"/>
  <c r="AQ567" i="28"/>
  <c r="S567" i="28" s="1"/>
  <c r="AP568" i="28"/>
  <c r="Q568" i="28" s="1"/>
  <c r="AR568" i="28"/>
  <c r="R568" i="28" s="1"/>
  <c r="AQ568" i="28"/>
  <c r="S568" i="28" s="1"/>
  <c r="AP569" i="28"/>
  <c r="Q569" i="28" s="1"/>
  <c r="AR569" i="28"/>
  <c r="R569" i="28" s="1"/>
  <c r="AQ569" i="28"/>
  <c r="S569" i="28" s="1"/>
  <c r="AP570" i="28"/>
  <c r="Q570" i="28" s="1"/>
  <c r="AR570" i="28"/>
  <c r="R570" i="28" s="1"/>
  <c r="AQ570" i="28"/>
  <c r="S570" i="28" s="1"/>
  <c r="AP571" i="28"/>
  <c r="Q571" i="28" s="1"/>
  <c r="AR571" i="28"/>
  <c r="R571" i="28" s="1"/>
  <c r="AQ571" i="28"/>
  <c r="S571" i="28" s="1"/>
  <c r="AP572" i="28"/>
  <c r="Q572" i="28" s="1"/>
  <c r="AR572" i="28"/>
  <c r="R572" i="28" s="1"/>
  <c r="AQ572" i="28"/>
  <c r="S572" i="28" s="1"/>
  <c r="AP573" i="28"/>
  <c r="Q573" i="28" s="1"/>
  <c r="AR573" i="28"/>
  <c r="R573" i="28" s="1"/>
  <c r="AQ573" i="28"/>
  <c r="S573" i="28" s="1"/>
  <c r="AP574" i="28"/>
  <c r="Q574" i="28" s="1"/>
  <c r="AR574" i="28"/>
  <c r="R574" i="28" s="1"/>
  <c r="AQ574" i="28"/>
  <c r="S574" i="28" s="1"/>
  <c r="AP575" i="28"/>
  <c r="Q575" i="28" s="1"/>
  <c r="AR575" i="28"/>
  <c r="R575" i="28" s="1"/>
  <c r="AQ575" i="28"/>
  <c r="S575" i="28" s="1"/>
  <c r="AP576" i="28"/>
  <c r="Q576" i="28" s="1"/>
  <c r="AR576" i="28"/>
  <c r="R576" i="28" s="1"/>
  <c r="AQ576" i="28"/>
  <c r="S576" i="28" s="1"/>
  <c r="AP577" i="28"/>
  <c r="Q577" i="28" s="1"/>
  <c r="AR577" i="28"/>
  <c r="R577" i="28" s="1"/>
  <c r="AQ577" i="28"/>
  <c r="S577" i="28" s="1"/>
  <c r="AP578" i="28"/>
  <c r="Q578" i="28" s="1"/>
  <c r="AR578" i="28"/>
  <c r="R578" i="28" s="1"/>
  <c r="AQ578" i="28"/>
  <c r="S578" i="28" s="1"/>
  <c r="AP579" i="28"/>
  <c r="Q579" i="28" s="1"/>
  <c r="AR579" i="28"/>
  <c r="R579" i="28" s="1"/>
  <c r="AQ579" i="28"/>
  <c r="S579" i="28" s="1"/>
  <c r="AP580" i="28"/>
  <c r="Q580" i="28" s="1"/>
  <c r="AR580" i="28"/>
  <c r="R580" i="28" s="1"/>
  <c r="AQ580" i="28"/>
  <c r="S580" i="28" s="1"/>
  <c r="AP581" i="28"/>
  <c r="Q581" i="28" s="1"/>
  <c r="AR581" i="28"/>
  <c r="R581" i="28" s="1"/>
  <c r="AQ581" i="28"/>
  <c r="S581" i="28" s="1"/>
  <c r="AP582" i="28"/>
  <c r="Q582" i="28" s="1"/>
  <c r="AR582" i="28"/>
  <c r="R582" i="28" s="1"/>
  <c r="AQ582" i="28"/>
  <c r="S582" i="28" s="1"/>
  <c r="AP583" i="28"/>
  <c r="Q583" i="28" s="1"/>
  <c r="AR583" i="28"/>
  <c r="R583" i="28" s="1"/>
  <c r="AQ583" i="28"/>
  <c r="S583" i="28" s="1"/>
  <c r="AP584" i="28"/>
  <c r="Q584" i="28" s="1"/>
  <c r="AR584" i="28"/>
  <c r="R584" i="28" s="1"/>
  <c r="AQ584" i="28"/>
  <c r="S584" i="28" s="1"/>
  <c r="AP585" i="28"/>
  <c r="Q585" i="28" s="1"/>
  <c r="AR585" i="28"/>
  <c r="R585" i="28" s="1"/>
  <c r="AQ585" i="28"/>
  <c r="S585" i="28" s="1"/>
  <c r="AP586" i="28"/>
  <c r="Q586" i="28" s="1"/>
  <c r="AR586" i="28"/>
  <c r="R586" i="28" s="1"/>
  <c r="AQ586" i="28"/>
  <c r="S586" i="28" s="1"/>
  <c r="AP587" i="28"/>
  <c r="Q587" i="28" s="1"/>
  <c r="AR587" i="28"/>
  <c r="R587" i="28" s="1"/>
  <c r="AQ587" i="28"/>
  <c r="S587" i="28" s="1"/>
  <c r="AP588" i="28"/>
  <c r="Q588" i="28" s="1"/>
  <c r="AR588" i="28"/>
  <c r="R588" i="28" s="1"/>
  <c r="AQ588" i="28"/>
  <c r="S588" i="28" s="1"/>
  <c r="AP589" i="28"/>
  <c r="Q589" i="28" s="1"/>
  <c r="AR589" i="28"/>
  <c r="R589" i="28" s="1"/>
  <c r="AQ589" i="28"/>
  <c r="S589" i="28" s="1"/>
  <c r="AP590" i="28"/>
  <c r="Q590" i="28" s="1"/>
  <c r="AR590" i="28"/>
  <c r="R590" i="28" s="1"/>
  <c r="AQ590" i="28"/>
  <c r="S590" i="28" s="1"/>
  <c r="AP591" i="28"/>
  <c r="Q591" i="28" s="1"/>
  <c r="AR591" i="28"/>
  <c r="R591" i="28" s="1"/>
  <c r="AQ591" i="28"/>
  <c r="S591" i="28" s="1"/>
  <c r="AP592" i="28"/>
  <c r="Q592" i="28" s="1"/>
  <c r="AR592" i="28"/>
  <c r="R592" i="28" s="1"/>
  <c r="AQ592" i="28"/>
  <c r="S592" i="28" s="1"/>
  <c r="AP593" i="28"/>
  <c r="Q593" i="28" s="1"/>
  <c r="AR593" i="28"/>
  <c r="R593" i="28" s="1"/>
  <c r="AQ593" i="28"/>
  <c r="S593" i="28" s="1"/>
  <c r="AP594" i="28"/>
  <c r="Q594" i="28" s="1"/>
  <c r="AR594" i="28"/>
  <c r="R594" i="28" s="1"/>
  <c r="AQ594" i="28"/>
  <c r="S594" i="28" s="1"/>
  <c r="AP595" i="28"/>
  <c r="Q595" i="28" s="1"/>
  <c r="AR595" i="28"/>
  <c r="R595" i="28" s="1"/>
  <c r="AQ595" i="28"/>
  <c r="S595" i="28" s="1"/>
  <c r="AP596" i="28"/>
  <c r="Q596" i="28" s="1"/>
  <c r="AR596" i="28"/>
  <c r="R596" i="28" s="1"/>
  <c r="AQ596" i="28"/>
  <c r="S596" i="28" s="1"/>
  <c r="AP597" i="28"/>
  <c r="Q597" i="28" s="1"/>
  <c r="AR597" i="28"/>
  <c r="R597" i="28" s="1"/>
  <c r="AQ597" i="28"/>
  <c r="S597" i="28" s="1"/>
  <c r="AP598" i="28"/>
  <c r="Q598" i="28" s="1"/>
  <c r="AR598" i="28"/>
  <c r="R598" i="28" s="1"/>
  <c r="AQ598" i="28"/>
  <c r="S598" i="28" s="1"/>
  <c r="AP599" i="28"/>
  <c r="Q599" i="28" s="1"/>
  <c r="AR599" i="28"/>
  <c r="R599" i="28" s="1"/>
  <c r="AQ599" i="28"/>
  <c r="S599" i="28" s="1"/>
  <c r="AP600" i="28"/>
  <c r="Q600" i="28" s="1"/>
  <c r="AR600" i="28"/>
  <c r="R600" i="28" s="1"/>
  <c r="AQ600" i="28"/>
  <c r="S600" i="28" s="1"/>
  <c r="AP601" i="28"/>
  <c r="Q601" i="28" s="1"/>
  <c r="AR601" i="28"/>
  <c r="R601" i="28" s="1"/>
  <c r="AQ601" i="28"/>
  <c r="S601" i="28" s="1"/>
  <c r="AP602" i="28"/>
  <c r="Q602" i="28" s="1"/>
  <c r="AR602" i="28"/>
  <c r="R602" i="28" s="1"/>
  <c r="AQ602" i="28"/>
  <c r="S602" i="28" s="1"/>
  <c r="AP603" i="28"/>
  <c r="Q603" i="28" s="1"/>
  <c r="AR603" i="28"/>
  <c r="R603" i="28" s="1"/>
  <c r="AQ603" i="28"/>
  <c r="S603" i="28" s="1"/>
  <c r="AP604" i="28"/>
  <c r="Q604" i="28" s="1"/>
  <c r="AR604" i="28"/>
  <c r="R604" i="28" s="1"/>
  <c r="AQ604" i="28"/>
  <c r="S604" i="28" s="1"/>
  <c r="AP605" i="28"/>
  <c r="Q605" i="28" s="1"/>
  <c r="AR605" i="28"/>
  <c r="R605" i="28" s="1"/>
  <c r="AQ605" i="28"/>
  <c r="S605" i="28" s="1"/>
  <c r="AP606" i="28"/>
  <c r="Q606" i="28" s="1"/>
  <c r="AR606" i="28"/>
  <c r="R606" i="28" s="1"/>
  <c r="AQ606" i="28"/>
  <c r="S606" i="28" s="1"/>
  <c r="AP607" i="28"/>
  <c r="Q607" i="28" s="1"/>
  <c r="AR607" i="28"/>
  <c r="R607" i="28" s="1"/>
  <c r="AQ607" i="28"/>
  <c r="S607" i="28" s="1"/>
  <c r="AP608" i="28"/>
  <c r="Q608" i="28" s="1"/>
  <c r="AR608" i="28"/>
  <c r="R608" i="28" s="1"/>
  <c r="AQ608" i="28"/>
  <c r="S608" i="28" s="1"/>
  <c r="AP609" i="28"/>
  <c r="Q609" i="28" s="1"/>
  <c r="AR609" i="28"/>
  <c r="R609" i="28" s="1"/>
  <c r="AQ609" i="28"/>
  <c r="S609" i="28" s="1"/>
  <c r="AP610" i="28"/>
  <c r="Q610" i="28" s="1"/>
  <c r="AR610" i="28"/>
  <c r="R610" i="28" s="1"/>
  <c r="AQ610" i="28"/>
  <c r="S610" i="28" s="1"/>
  <c r="AP611" i="28"/>
  <c r="Q611" i="28" s="1"/>
  <c r="AR611" i="28"/>
  <c r="R611" i="28" s="1"/>
  <c r="AQ611" i="28"/>
  <c r="S611" i="28" s="1"/>
  <c r="AP612" i="28"/>
  <c r="Q612" i="28" s="1"/>
  <c r="AR612" i="28"/>
  <c r="R612" i="28" s="1"/>
  <c r="AQ612" i="28"/>
  <c r="S612" i="28" s="1"/>
  <c r="AP613" i="28"/>
  <c r="Q613" i="28" s="1"/>
  <c r="AR613" i="28"/>
  <c r="R613" i="28" s="1"/>
  <c r="AQ613" i="28"/>
  <c r="S613" i="28" s="1"/>
  <c r="AP614" i="28"/>
  <c r="Q614" i="28" s="1"/>
  <c r="AR614" i="28"/>
  <c r="R614" i="28" s="1"/>
  <c r="AQ614" i="28"/>
  <c r="S614" i="28" s="1"/>
  <c r="AP615" i="28"/>
  <c r="Q615" i="28" s="1"/>
  <c r="AR615" i="28"/>
  <c r="R615" i="28" s="1"/>
  <c r="AQ615" i="28"/>
  <c r="S615" i="28" s="1"/>
  <c r="AP616" i="28"/>
  <c r="Q616" i="28" s="1"/>
  <c r="AR616" i="28"/>
  <c r="R616" i="28" s="1"/>
  <c r="AQ616" i="28"/>
  <c r="S616" i="28" s="1"/>
  <c r="AP617" i="28"/>
  <c r="Q617" i="28" s="1"/>
  <c r="AR617" i="28"/>
  <c r="R617" i="28" s="1"/>
  <c r="AQ617" i="28"/>
  <c r="S617" i="28" s="1"/>
  <c r="AP618" i="28"/>
  <c r="Q618" i="28" s="1"/>
  <c r="AR618" i="28"/>
  <c r="R618" i="28" s="1"/>
  <c r="AQ618" i="28"/>
  <c r="S618" i="28" s="1"/>
  <c r="AP619" i="28"/>
  <c r="Q619" i="28" s="1"/>
  <c r="AR619" i="28"/>
  <c r="R619" i="28" s="1"/>
  <c r="AQ619" i="28"/>
  <c r="S619" i="28" s="1"/>
  <c r="AP620" i="28"/>
  <c r="Q620" i="28" s="1"/>
  <c r="AR620" i="28"/>
  <c r="R620" i="28" s="1"/>
  <c r="AQ620" i="28"/>
  <c r="S620" i="28" s="1"/>
  <c r="AP621" i="28"/>
  <c r="Q621" i="28" s="1"/>
  <c r="AR621" i="28"/>
  <c r="R621" i="28" s="1"/>
  <c r="AQ621" i="28"/>
  <c r="S621" i="28" s="1"/>
  <c r="AP622" i="28"/>
  <c r="Q622" i="28" s="1"/>
  <c r="AR622" i="28"/>
  <c r="R622" i="28" s="1"/>
  <c r="AQ622" i="28"/>
  <c r="S622" i="28" s="1"/>
  <c r="AP623" i="28"/>
  <c r="Q623" i="28" s="1"/>
  <c r="AR623" i="28"/>
  <c r="R623" i="28" s="1"/>
  <c r="AQ623" i="28"/>
  <c r="S623" i="28" s="1"/>
  <c r="AP624" i="28"/>
  <c r="Q624" i="28" s="1"/>
  <c r="AR624" i="28"/>
  <c r="R624" i="28" s="1"/>
  <c r="AQ624" i="28"/>
  <c r="S624" i="28" s="1"/>
  <c r="AP625" i="28"/>
  <c r="Q625" i="28" s="1"/>
  <c r="AR625" i="28"/>
  <c r="R625" i="28" s="1"/>
  <c r="AQ625" i="28"/>
  <c r="S625" i="28" s="1"/>
  <c r="AP626" i="28"/>
  <c r="Q626" i="28" s="1"/>
  <c r="AR626" i="28"/>
  <c r="R626" i="28" s="1"/>
  <c r="AQ626" i="28"/>
  <c r="S626" i="28" s="1"/>
  <c r="AP627" i="28"/>
  <c r="Q627" i="28" s="1"/>
  <c r="AR627" i="28"/>
  <c r="R627" i="28" s="1"/>
  <c r="AQ627" i="28"/>
  <c r="S627" i="28" s="1"/>
  <c r="AP628" i="28"/>
  <c r="Q628" i="28" s="1"/>
  <c r="AR628" i="28"/>
  <c r="R628" i="28" s="1"/>
  <c r="AQ628" i="28"/>
  <c r="S628" i="28" s="1"/>
  <c r="AP629" i="28"/>
  <c r="Q629" i="28" s="1"/>
  <c r="AR629" i="28"/>
  <c r="R629" i="28" s="1"/>
  <c r="AQ629" i="28"/>
  <c r="S629" i="28" s="1"/>
  <c r="AP630" i="28"/>
  <c r="Q630" i="28" s="1"/>
  <c r="AR630" i="28"/>
  <c r="R630" i="28" s="1"/>
  <c r="AQ630" i="28"/>
  <c r="S630" i="28" s="1"/>
  <c r="AP631" i="28"/>
  <c r="Q631" i="28" s="1"/>
  <c r="AR631" i="28"/>
  <c r="R631" i="28" s="1"/>
  <c r="AQ631" i="28"/>
  <c r="S631" i="28" s="1"/>
  <c r="AP632" i="28"/>
  <c r="Q632" i="28" s="1"/>
  <c r="AR632" i="28"/>
  <c r="R632" i="28" s="1"/>
  <c r="AQ632" i="28"/>
  <c r="S632" i="28" s="1"/>
  <c r="AP633" i="28"/>
  <c r="Q633" i="28" s="1"/>
  <c r="AR633" i="28"/>
  <c r="R633" i="28" s="1"/>
  <c r="AQ633" i="28"/>
  <c r="S633" i="28" s="1"/>
  <c r="AP634" i="28"/>
  <c r="Q634" i="28" s="1"/>
  <c r="AR634" i="28"/>
  <c r="R634" i="28" s="1"/>
  <c r="AQ634" i="28"/>
  <c r="S634" i="28" s="1"/>
  <c r="AP635" i="28"/>
  <c r="Q635" i="28" s="1"/>
  <c r="AR635" i="28"/>
  <c r="R635" i="28" s="1"/>
  <c r="AQ635" i="28"/>
  <c r="S635" i="28" s="1"/>
  <c r="AP636" i="28"/>
  <c r="Q636" i="28" s="1"/>
  <c r="AR636" i="28"/>
  <c r="R636" i="28" s="1"/>
  <c r="AQ636" i="28"/>
  <c r="S636" i="28" s="1"/>
  <c r="AP637" i="28"/>
  <c r="Q637" i="28" s="1"/>
  <c r="AR637" i="28"/>
  <c r="R637" i="28" s="1"/>
  <c r="AQ637" i="28"/>
  <c r="S637" i="28" s="1"/>
  <c r="AP638" i="28"/>
  <c r="Q638" i="28" s="1"/>
  <c r="AR638" i="28"/>
  <c r="R638" i="28" s="1"/>
  <c r="AQ638" i="28"/>
  <c r="S638" i="28" s="1"/>
  <c r="AP639" i="28"/>
  <c r="Q639" i="28" s="1"/>
  <c r="AR639" i="28"/>
  <c r="R639" i="28" s="1"/>
  <c r="AQ639" i="28"/>
  <c r="S639" i="28" s="1"/>
  <c r="AP640" i="28"/>
  <c r="Q640" i="28" s="1"/>
  <c r="AR640" i="28"/>
  <c r="R640" i="28" s="1"/>
  <c r="AQ640" i="28"/>
  <c r="S640" i="28" s="1"/>
  <c r="AP641" i="28"/>
  <c r="Q641" i="28" s="1"/>
  <c r="AR641" i="28"/>
  <c r="R641" i="28" s="1"/>
  <c r="AQ641" i="28"/>
  <c r="S641" i="28" s="1"/>
  <c r="AP642" i="28"/>
  <c r="Q642" i="28" s="1"/>
  <c r="AR642" i="28"/>
  <c r="R642" i="28" s="1"/>
  <c r="AQ642" i="28"/>
  <c r="S642" i="28" s="1"/>
  <c r="AP643" i="28"/>
  <c r="Q643" i="28" s="1"/>
  <c r="AR643" i="28"/>
  <c r="R643" i="28" s="1"/>
  <c r="AQ643" i="28"/>
  <c r="S643" i="28" s="1"/>
  <c r="AP644" i="28"/>
  <c r="Q644" i="28" s="1"/>
  <c r="AR644" i="28"/>
  <c r="R644" i="28" s="1"/>
  <c r="AQ644" i="28"/>
  <c r="S644" i="28" s="1"/>
  <c r="AP645" i="28"/>
  <c r="Q645" i="28" s="1"/>
  <c r="AR645" i="28"/>
  <c r="R645" i="28" s="1"/>
  <c r="AQ645" i="28"/>
  <c r="S645" i="28" s="1"/>
  <c r="AP646" i="28"/>
  <c r="Q646" i="28" s="1"/>
  <c r="AR646" i="28"/>
  <c r="R646" i="28" s="1"/>
  <c r="AQ646" i="28"/>
  <c r="S646" i="28" s="1"/>
  <c r="AP647" i="28"/>
  <c r="Q647" i="28" s="1"/>
  <c r="AR647" i="28"/>
  <c r="R647" i="28" s="1"/>
  <c r="AQ647" i="28"/>
  <c r="S647" i="28" s="1"/>
  <c r="AP648" i="28"/>
  <c r="Q648" i="28" s="1"/>
  <c r="AR648" i="28"/>
  <c r="R648" i="28" s="1"/>
  <c r="AQ648" i="28"/>
  <c r="S648" i="28" s="1"/>
  <c r="AP649" i="28"/>
  <c r="Q649" i="28" s="1"/>
  <c r="AR649" i="28"/>
  <c r="R649" i="28" s="1"/>
  <c r="AQ649" i="28"/>
  <c r="S649" i="28" s="1"/>
  <c r="AP650" i="28"/>
  <c r="Q650" i="28" s="1"/>
  <c r="AR650" i="28"/>
  <c r="R650" i="28" s="1"/>
  <c r="AQ650" i="28"/>
  <c r="S650" i="28" s="1"/>
  <c r="AP651" i="28"/>
  <c r="Q651" i="28" s="1"/>
  <c r="AR651" i="28"/>
  <c r="R651" i="28" s="1"/>
  <c r="AQ651" i="28"/>
  <c r="S651" i="28" s="1"/>
  <c r="AP652" i="28"/>
  <c r="Q652" i="28" s="1"/>
  <c r="AR652" i="28"/>
  <c r="R652" i="28" s="1"/>
  <c r="AQ652" i="28"/>
  <c r="S652" i="28" s="1"/>
  <c r="AP653" i="28"/>
  <c r="Q653" i="28" s="1"/>
  <c r="AR653" i="28"/>
  <c r="R653" i="28" s="1"/>
  <c r="AQ653" i="28"/>
  <c r="S653" i="28" s="1"/>
  <c r="AP654" i="28"/>
  <c r="Q654" i="28" s="1"/>
  <c r="AR654" i="28"/>
  <c r="R654" i="28" s="1"/>
  <c r="AQ654" i="28"/>
  <c r="S654" i="28" s="1"/>
  <c r="AP655" i="28"/>
  <c r="Q655" i="28" s="1"/>
  <c r="AR655" i="28"/>
  <c r="R655" i="28" s="1"/>
  <c r="AQ655" i="28"/>
  <c r="S655" i="28" s="1"/>
  <c r="AP656" i="28"/>
  <c r="Q656" i="28" s="1"/>
  <c r="AR656" i="28"/>
  <c r="R656" i="28" s="1"/>
  <c r="AQ656" i="28"/>
  <c r="S656" i="28" s="1"/>
  <c r="AP657" i="28"/>
  <c r="Q657" i="28" s="1"/>
  <c r="AR657" i="28"/>
  <c r="R657" i="28" s="1"/>
  <c r="AQ657" i="28"/>
  <c r="S657" i="28" s="1"/>
  <c r="AP658" i="28"/>
  <c r="Q658" i="28" s="1"/>
  <c r="AR658" i="28"/>
  <c r="R658" i="28" s="1"/>
  <c r="AQ658" i="28"/>
  <c r="S658" i="28" s="1"/>
  <c r="AP659" i="28"/>
  <c r="Q659" i="28" s="1"/>
  <c r="AR659" i="28"/>
  <c r="R659" i="28" s="1"/>
  <c r="AQ659" i="28"/>
  <c r="S659" i="28" s="1"/>
  <c r="AP660" i="28"/>
  <c r="Q660" i="28" s="1"/>
  <c r="AR660" i="28"/>
  <c r="R660" i="28" s="1"/>
  <c r="AQ660" i="28"/>
  <c r="S660" i="28" s="1"/>
  <c r="AP661" i="28"/>
  <c r="Q661" i="28" s="1"/>
  <c r="AR661" i="28"/>
  <c r="R661" i="28" s="1"/>
  <c r="AQ661" i="28"/>
  <c r="S661" i="28" s="1"/>
  <c r="AP662" i="28"/>
  <c r="Q662" i="28" s="1"/>
  <c r="AR662" i="28"/>
  <c r="R662" i="28" s="1"/>
  <c r="AQ662" i="28"/>
  <c r="S662" i="28" s="1"/>
  <c r="AP663" i="28"/>
  <c r="Q663" i="28" s="1"/>
  <c r="AR663" i="28"/>
  <c r="R663" i="28" s="1"/>
  <c r="AQ663" i="28"/>
  <c r="S663" i="28" s="1"/>
  <c r="AP664" i="28"/>
  <c r="Q664" i="28" s="1"/>
  <c r="AR664" i="28"/>
  <c r="R664" i="28" s="1"/>
  <c r="AQ664" i="28"/>
  <c r="S664" i="28" s="1"/>
  <c r="AP665" i="28"/>
  <c r="Q665" i="28" s="1"/>
  <c r="AR665" i="28"/>
  <c r="R665" i="28" s="1"/>
  <c r="AQ665" i="28"/>
  <c r="S665" i="28" s="1"/>
  <c r="AP666" i="28"/>
  <c r="Q666" i="28" s="1"/>
  <c r="AR666" i="28"/>
  <c r="R666" i="28" s="1"/>
  <c r="AQ666" i="28"/>
  <c r="S666" i="28" s="1"/>
  <c r="AP667" i="28"/>
  <c r="Q667" i="28" s="1"/>
  <c r="AR667" i="28"/>
  <c r="R667" i="28" s="1"/>
  <c r="AQ667" i="28"/>
  <c r="S667" i="28" s="1"/>
  <c r="AP668" i="28"/>
  <c r="Q668" i="28" s="1"/>
  <c r="AR668" i="28"/>
  <c r="R668" i="28" s="1"/>
  <c r="AQ668" i="28"/>
  <c r="S668" i="28" s="1"/>
  <c r="AP669" i="28"/>
  <c r="Q669" i="28" s="1"/>
  <c r="AR669" i="28"/>
  <c r="R669" i="28" s="1"/>
  <c r="AQ669" i="28"/>
  <c r="S669" i="28" s="1"/>
  <c r="AP670" i="28"/>
  <c r="Q670" i="28" s="1"/>
  <c r="AR670" i="28"/>
  <c r="R670" i="28" s="1"/>
  <c r="AQ670" i="28"/>
  <c r="S670" i="28" s="1"/>
  <c r="AP671" i="28"/>
  <c r="Q671" i="28" s="1"/>
  <c r="AR671" i="28"/>
  <c r="R671" i="28" s="1"/>
  <c r="AQ671" i="28"/>
  <c r="S671" i="28" s="1"/>
  <c r="AP672" i="28"/>
  <c r="Q672" i="28" s="1"/>
  <c r="AR672" i="28"/>
  <c r="R672" i="28" s="1"/>
  <c r="AQ672" i="28"/>
  <c r="S672" i="28" s="1"/>
  <c r="AP673" i="28"/>
  <c r="Q673" i="28" s="1"/>
  <c r="AR673" i="28"/>
  <c r="R673" i="28" s="1"/>
  <c r="AQ673" i="28"/>
  <c r="S673" i="28" s="1"/>
  <c r="AP674" i="28"/>
  <c r="Q674" i="28" s="1"/>
  <c r="AR674" i="28"/>
  <c r="R674" i="28" s="1"/>
  <c r="AQ674" i="28"/>
  <c r="S674" i="28" s="1"/>
  <c r="AP675" i="28"/>
  <c r="Q675" i="28" s="1"/>
  <c r="AR675" i="28"/>
  <c r="R675" i="28" s="1"/>
  <c r="AQ675" i="28"/>
  <c r="S675" i="28" s="1"/>
  <c r="AP676" i="28"/>
  <c r="Q676" i="28" s="1"/>
  <c r="AR676" i="28"/>
  <c r="R676" i="28" s="1"/>
  <c r="AQ676" i="28"/>
  <c r="S676" i="28" s="1"/>
  <c r="AP677" i="28"/>
  <c r="Q677" i="28" s="1"/>
  <c r="AR677" i="28"/>
  <c r="R677" i="28" s="1"/>
  <c r="AQ677" i="28"/>
  <c r="S677" i="28" s="1"/>
  <c r="AP678" i="28"/>
  <c r="Q678" i="28" s="1"/>
  <c r="AR678" i="28"/>
  <c r="R678" i="28" s="1"/>
  <c r="AQ678" i="28"/>
  <c r="S678" i="28" s="1"/>
  <c r="AP679" i="28"/>
  <c r="Q679" i="28" s="1"/>
  <c r="AR679" i="28"/>
  <c r="R679" i="28" s="1"/>
  <c r="AQ679" i="28"/>
  <c r="S679" i="28" s="1"/>
  <c r="AP680" i="28"/>
  <c r="Q680" i="28" s="1"/>
  <c r="AR680" i="28"/>
  <c r="R680" i="28" s="1"/>
  <c r="AQ680" i="28"/>
  <c r="S680" i="28" s="1"/>
  <c r="AP681" i="28"/>
  <c r="Q681" i="28" s="1"/>
  <c r="AR681" i="28"/>
  <c r="R681" i="28" s="1"/>
  <c r="AQ681" i="28"/>
  <c r="S681" i="28" s="1"/>
  <c r="AP682" i="28"/>
  <c r="Q682" i="28" s="1"/>
  <c r="AR682" i="28"/>
  <c r="R682" i="28" s="1"/>
  <c r="AQ682" i="28"/>
  <c r="S682" i="28" s="1"/>
  <c r="AP683" i="28"/>
  <c r="Q683" i="28" s="1"/>
  <c r="AR683" i="28"/>
  <c r="R683" i="28" s="1"/>
  <c r="AQ683" i="28"/>
  <c r="S683" i="28" s="1"/>
  <c r="AP684" i="28"/>
  <c r="Q684" i="28" s="1"/>
  <c r="AR684" i="28"/>
  <c r="R684" i="28" s="1"/>
  <c r="AQ684" i="28"/>
  <c r="S684" i="28" s="1"/>
  <c r="AP685" i="28"/>
  <c r="Q685" i="28" s="1"/>
  <c r="AR685" i="28"/>
  <c r="R685" i="28" s="1"/>
  <c r="AQ685" i="28"/>
  <c r="S685" i="28" s="1"/>
  <c r="AP686" i="28"/>
  <c r="Q686" i="28" s="1"/>
  <c r="AR686" i="28"/>
  <c r="R686" i="28" s="1"/>
  <c r="AQ686" i="28"/>
  <c r="S686" i="28" s="1"/>
  <c r="AP687" i="28"/>
  <c r="Q687" i="28" s="1"/>
  <c r="AR687" i="28"/>
  <c r="R687" i="28" s="1"/>
  <c r="AQ687" i="28"/>
  <c r="S687" i="28" s="1"/>
  <c r="AP688" i="28"/>
  <c r="Q688" i="28" s="1"/>
  <c r="AR688" i="28"/>
  <c r="R688" i="28" s="1"/>
  <c r="AQ688" i="28"/>
  <c r="S688" i="28" s="1"/>
  <c r="AP689" i="28"/>
  <c r="Q689" i="28" s="1"/>
  <c r="AR689" i="28"/>
  <c r="R689" i="28" s="1"/>
  <c r="AQ689" i="28"/>
  <c r="S689" i="28" s="1"/>
  <c r="AP690" i="28"/>
  <c r="Q690" i="28" s="1"/>
  <c r="AR690" i="28"/>
  <c r="R690" i="28" s="1"/>
  <c r="AQ690" i="28"/>
  <c r="S690" i="28" s="1"/>
  <c r="AP691" i="28"/>
  <c r="Q691" i="28" s="1"/>
  <c r="AR691" i="28"/>
  <c r="R691" i="28" s="1"/>
  <c r="AQ691" i="28"/>
  <c r="S691" i="28" s="1"/>
  <c r="AP692" i="28"/>
  <c r="Q692" i="28" s="1"/>
  <c r="AR692" i="28"/>
  <c r="R692" i="28" s="1"/>
  <c r="AQ692" i="28"/>
  <c r="S692" i="28" s="1"/>
  <c r="AP693" i="28"/>
  <c r="Q693" i="28" s="1"/>
  <c r="AR693" i="28"/>
  <c r="R693" i="28" s="1"/>
  <c r="AQ693" i="28"/>
  <c r="S693" i="28" s="1"/>
  <c r="AP694" i="28"/>
  <c r="Q694" i="28" s="1"/>
  <c r="AR694" i="28"/>
  <c r="R694" i="28" s="1"/>
  <c r="AQ694" i="28"/>
  <c r="S694" i="28" s="1"/>
  <c r="AP695" i="28"/>
  <c r="Q695" i="28" s="1"/>
  <c r="AR695" i="28"/>
  <c r="R695" i="28" s="1"/>
  <c r="AQ695" i="28"/>
  <c r="S695" i="28" s="1"/>
  <c r="AP696" i="28"/>
  <c r="Q696" i="28" s="1"/>
  <c r="AR696" i="28"/>
  <c r="R696" i="28" s="1"/>
  <c r="AQ696" i="28"/>
  <c r="S696" i="28" s="1"/>
  <c r="AP697" i="28"/>
  <c r="Q697" i="28" s="1"/>
  <c r="AR697" i="28"/>
  <c r="R697" i="28" s="1"/>
  <c r="AQ697" i="28"/>
  <c r="S697" i="28" s="1"/>
  <c r="AP698" i="28"/>
  <c r="Q698" i="28" s="1"/>
  <c r="AR698" i="28"/>
  <c r="R698" i="28" s="1"/>
  <c r="AQ698" i="28"/>
  <c r="S698" i="28" s="1"/>
  <c r="AP699" i="28"/>
  <c r="Q699" i="28" s="1"/>
  <c r="AR699" i="28"/>
  <c r="R699" i="28" s="1"/>
  <c r="AQ699" i="28"/>
  <c r="S699" i="28" s="1"/>
  <c r="AP700" i="28"/>
  <c r="Q700" i="28" s="1"/>
  <c r="AR700" i="28"/>
  <c r="R700" i="28" s="1"/>
  <c r="AQ700" i="28"/>
  <c r="S700" i="28" s="1"/>
  <c r="AP701" i="28"/>
  <c r="Q701" i="28" s="1"/>
  <c r="AR701" i="28"/>
  <c r="R701" i="28" s="1"/>
  <c r="AQ701" i="28"/>
  <c r="S701" i="28" s="1"/>
  <c r="AP702" i="28"/>
  <c r="Q702" i="28" s="1"/>
  <c r="AR702" i="28"/>
  <c r="R702" i="28" s="1"/>
  <c r="AQ702" i="28"/>
  <c r="S702" i="28" s="1"/>
  <c r="AP703" i="28"/>
  <c r="Q703" i="28" s="1"/>
  <c r="AR703" i="28"/>
  <c r="R703" i="28" s="1"/>
  <c r="AQ703" i="28"/>
  <c r="S703" i="28" s="1"/>
  <c r="AP704" i="28"/>
  <c r="Q704" i="28" s="1"/>
  <c r="AR704" i="28"/>
  <c r="R704" i="28" s="1"/>
  <c r="AQ704" i="28"/>
  <c r="S704" i="28" s="1"/>
  <c r="AP705" i="28"/>
  <c r="Q705" i="28" s="1"/>
  <c r="AR705" i="28"/>
  <c r="R705" i="28" s="1"/>
  <c r="AQ705" i="28"/>
  <c r="S705" i="28" s="1"/>
  <c r="AP706" i="28"/>
  <c r="Q706" i="28" s="1"/>
  <c r="AR706" i="28"/>
  <c r="R706" i="28" s="1"/>
  <c r="AQ706" i="28"/>
  <c r="S706" i="28" s="1"/>
  <c r="AP707" i="28"/>
  <c r="Q707" i="28" s="1"/>
  <c r="AR707" i="28"/>
  <c r="R707" i="28" s="1"/>
  <c r="AQ707" i="28"/>
  <c r="S707" i="28" s="1"/>
  <c r="AP708" i="28"/>
  <c r="Q708" i="28" s="1"/>
  <c r="AR708" i="28"/>
  <c r="R708" i="28" s="1"/>
  <c r="AQ708" i="28"/>
  <c r="S708" i="28" s="1"/>
  <c r="AP709" i="28"/>
  <c r="Q709" i="28" s="1"/>
  <c r="AR709" i="28"/>
  <c r="R709" i="28" s="1"/>
  <c r="AQ709" i="28"/>
  <c r="S709" i="28" s="1"/>
  <c r="AP710" i="28"/>
  <c r="Q710" i="28" s="1"/>
  <c r="AR710" i="28"/>
  <c r="R710" i="28" s="1"/>
  <c r="AQ710" i="28"/>
  <c r="S710" i="28" s="1"/>
  <c r="AP711" i="28"/>
  <c r="Q711" i="28" s="1"/>
  <c r="AR711" i="28"/>
  <c r="R711" i="28" s="1"/>
  <c r="AQ711" i="28"/>
  <c r="S711" i="28" s="1"/>
  <c r="AP712" i="28"/>
  <c r="Q712" i="28" s="1"/>
  <c r="AR712" i="28"/>
  <c r="R712" i="28" s="1"/>
  <c r="AQ712" i="28"/>
  <c r="S712" i="28" s="1"/>
  <c r="AP713" i="28"/>
  <c r="Q713" i="28" s="1"/>
  <c r="AR713" i="28"/>
  <c r="R713" i="28" s="1"/>
  <c r="AQ713" i="28"/>
  <c r="S713" i="28" s="1"/>
  <c r="AP714" i="28"/>
  <c r="Q714" i="28" s="1"/>
  <c r="AR714" i="28"/>
  <c r="R714" i="28" s="1"/>
  <c r="AQ714" i="28"/>
  <c r="S714" i="28" s="1"/>
  <c r="AP715" i="28"/>
  <c r="Q715" i="28" s="1"/>
  <c r="AR715" i="28"/>
  <c r="R715" i="28" s="1"/>
  <c r="AQ715" i="28"/>
  <c r="S715" i="28" s="1"/>
  <c r="AP716" i="28"/>
  <c r="Q716" i="28" s="1"/>
  <c r="AR716" i="28"/>
  <c r="R716" i="28" s="1"/>
  <c r="AQ716" i="28"/>
  <c r="S716" i="28" s="1"/>
  <c r="AP717" i="28"/>
  <c r="Q717" i="28" s="1"/>
  <c r="AR717" i="28"/>
  <c r="R717" i="28" s="1"/>
  <c r="AQ717" i="28"/>
  <c r="S717" i="28" s="1"/>
  <c r="AP718" i="28"/>
  <c r="Q718" i="28" s="1"/>
  <c r="AR718" i="28"/>
  <c r="R718" i="28" s="1"/>
  <c r="AQ718" i="28"/>
  <c r="S718" i="28" s="1"/>
  <c r="AP719" i="28"/>
  <c r="Q719" i="28" s="1"/>
  <c r="AR719" i="28"/>
  <c r="R719" i="28" s="1"/>
  <c r="AQ719" i="28"/>
  <c r="S719" i="28" s="1"/>
  <c r="AP720" i="28"/>
  <c r="Q720" i="28" s="1"/>
  <c r="AR720" i="28"/>
  <c r="R720" i="28" s="1"/>
  <c r="AQ720" i="28"/>
  <c r="S720" i="28" s="1"/>
  <c r="AP721" i="28"/>
  <c r="Q721" i="28" s="1"/>
  <c r="AR721" i="28"/>
  <c r="R721" i="28" s="1"/>
  <c r="AQ721" i="28"/>
  <c r="S721" i="28" s="1"/>
  <c r="AP722" i="28"/>
  <c r="Q722" i="28" s="1"/>
  <c r="AR722" i="28"/>
  <c r="R722" i="28" s="1"/>
  <c r="AQ722" i="28"/>
  <c r="S722" i="28" s="1"/>
  <c r="AP723" i="28"/>
  <c r="Q723" i="28" s="1"/>
  <c r="AR723" i="28"/>
  <c r="R723" i="28" s="1"/>
  <c r="AQ723" i="28"/>
  <c r="S723" i="28" s="1"/>
  <c r="AP724" i="28"/>
  <c r="Q724" i="28" s="1"/>
  <c r="AR724" i="28"/>
  <c r="R724" i="28" s="1"/>
  <c r="AQ724" i="28"/>
  <c r="S724" i="28" s="1"/>
  <c r="AP725" i="28"/>
  <c r="Q725" i="28" s="1"/>
  <c r="AR725" i="28"/>
  <c r="R725" i="28" s="1"/>
  <c r="AQ725" i="28"/>
  <c r="S725" i="28" s="1"/>
  <c r="AP726" i="28"/>
  <c r="Q726" i="28" s="1"/>
  <c r="AR726" i="28"/>
  <c r="R726" i="28" s="1"/>
  <c r="AQ726" i="28"/>
  <c r="S726" i="28" s="1"/>
  <c r="AP727" i="28"/>
  <c r="Q727" i="28" s="1"/>
  <c r="AR727" i="28"/>
  <c r="R727" i="28" s="1"/>
  <c r="AQ727" i="28"/>
  <c r="S727" i="28" s="1"/>
  <c r="AP728" i="28"/>
  <c r="Q728" i="28" s="1"/>
  <c r="AR728" i="28"/>
  <c r="R728" i="28" s="1"/>
  <c r="AQ728" i="28"/>
  <c r="S728" i="28" s="1"/>
  <c r="AP729" i="28"/>
  <c r="Q729" i="28" s="1"/>
  <c r="AR729" i="28"/>
  <c r="R729" i="28" s="1"/>
  <c r="AQ729" i="28"/>
  <c r="S729" i="28" s="1"/>
  <c r="AP730" i="28"/>
  <c r="Q730" i="28" s="1"/>
  <c r="AR730" i="28"/>
  <c r="R730" i="28" s="1"/>
  <c r="AQ730" i="28"/>
  <c r="S730" i="28" s="1"/>
  <c r="AP731" i="28"/>
  <c r="Q731" i="28" s="1"/>
  <c r="AR731" i="28"/>
  <c r="R731" i="28" s="1"/>
  <c r="AQ731" i="28"/>
  <c r="S731" i="28" s="1"/>
  <c r="AP732" i="28"/>
  <c r="Q732" i="28" s="1"/>
  <c r="AR732" i="28"/>
  <c r="R732" i="28" s="1"/>
  <c r="AQ732" i="28"/>
  <c r="S732" i="28" s="1"/>
  <c r="AP733" i="28"/>
  <c r="Q733" i="28" s="1"/>
  <c r="AR733" i="28"/>
  <c r="R733" i="28" s="1"/>
  <c r="AQ733" i="28"/>
  <c r="S733" i="28" s="1"/>
  <c r="AP734" i="28"/>
  <c r="Q734" i="28" s="1"/>
  <c r="AR734" i="28"/>
  <c r="R734" i="28" s="1"/>
  <c r="AQ734" i="28"/>
  <c r="S734" i="28" s="1"/>
  <c r="AP735" i="28"/>
  <c r="Q735" i="28" s="1"/>
  <c r="AR735" i="28"/>
  <c r="R735" i="28" s="1"/>
  <c r="AQ735" i="28"/>
  <c r="S735" i="28" s="1"/>
  <c r="AP736" i="28"/>
  <c r="Q736" i="28" s="1"/>
  <c r="AR736" i="28"/>
  <c r="R736" i="28" s="1"/>
  <c r="AQ736" i="28"/>
  <c r="S736" i="28" s="1"/>
  <c r="AP737" i="28"/>
  <c r="Q737" i="28" s="1"/>
  <c r="AR737" i="28"/>
  <c r="R737" i="28" s="1"/>
  <c r="AQ737" i="28"/>
  <c r="S737" i="28" s="1"/>
  <c r="AP738" i="28"/>
  <c r="Q738" i="28" s="1"/>
  <c r="AR738" i="28"/>
  <c r="R738" i="28" s="1"/>
  <c r="AQ738" i="28"/>
  <c r="S738" i="28" s="1"/>
  <c r="AP739" i="28"/>
  <c r="Q739" i="28" s="1"/>
  <c r="AR739" i="28"/>
  <c r="R739" i="28" s="1"/>
  <c r="AQ739" i="28"/>
  <c r="S739" i="28" s="1"/>
  <c r="AP740" i="28"/>
  <c r="Q740" i="28" s="1"/>
  <c r="AR740" i="28"/>
  <c r="R740" i="28" s="1"/>
  <c r="AQ740" i="28"/>
  <c r="S740" i="28" s="1"/>
  <c r="AP741" i="28"/>
  <c r="Q741" i="28" s="1"/>
  <c r="AR741" i="28"/>
  <c r="R741" i="28" s="1"/>
  <c r="AQ741" i="28"/>
  <c r="S741" i="28" s="1"/>
  <c r="AP742" i="28"/>
  <c r="Q742" i="28" s="1"/>
  <c r="AR742" i="28"/>
  <c r="R742" i="28" s="1"/>
  <c r="AQ742" i="28"/>
  <c r="S742" i="28" s="1"/>
  <c r="AP743" i="28"/>
  <c r="Q743" i="28" s="1"/>
  <c r="AR743" i="28"/>
  <c r="R743" i="28" s="1"/>
  <c r="AQ743" i="28"/>
  <c r="S743" i="28" s="1"/>
  <c r="AP744" i="28"/>
  <c r="Q744" i="28" s="1"/>
  <c r="AR744" i="28"/>
  <c r="R744" i="28" s="1"/>
  <c r="AQ744" i="28"/>
  <c r="S744" i="28" s="1"/>
  <c r="AP745" i="28"/>
  <c r="Q745" i="28" s="1"/>
  <c r="AR745" i="28"/>
  <c r="R745" i="28" s="1"/>
  <c r="AQ745" i="28"/>
  <c r="S745" i="28" s="1"/>
  <c r="AP746" i="28"/>
  <c r="Q746" i="28" s="1"/>
  <c r="AR746" i="28"/>
  <c r="R746" i="28" s="1"/>
  <c r="AQ746" i="28"/>
  <c r="S746" i="28" s="1"/>
  <c r="AP747" i="28"/>
  <c r="Q747" i="28" s="1"/>
  <c r="AR747" i="28"/>
  <c r="R747" i="28" s="1"/>
  <c r="AQ747" i="28"/>
  <c r="S747" i="28" s="1"/>
  <c r="AP748" i="28"/>
  <c r="Q748" i="28" s="1"/>
  <c r="AR748" i="28"/>
  <c r="R748" i="28" s="1"/>
  <c r="AQ748" i="28"/>
  <c r="S748" i="28" s="1"/>
  <c r="AP749" i="28"/>
  <c r="Q749" i="28" s="1"/>
  <c r="AR749" i="28"/>
  <c r="R749" i="28" s="1"/>
  <c r="AQ749" i="28"/>
  <c r="S749" i="28" s="1"/>
  <c r="AP750" i="28"/>
  <c r="Q750" i="28" s="1"/>
  <c r="AR750" i="28"/>
  <c r="R750" i="28" s="1"/>
  <c r="AQ750" i="28"/>
  <c r="S750" i="28" s="1"/>
  <c r="AP751" i="28"/>
  <c r="Q751" i="28" s="1"/>
  <c r="AR751" i="28"/>
  <c r="R751" i="28" s="1"/>
  <c r="AQ751" i="28"/>
  <c r="S751" i="28" s="1"/>
  <c r="AP752" i="28"/>
  <c r="Q752" i="28" s="1"/>
  <c r="AR752" i="28"/>
  <c r="R752" i="28" s="1"/>
  <c r="AQ752" i="28"/>
  <c r="S752" i="28" s="1"/>
  <c r="AP753" i="28"/>
  <c r="Q753" i="28" s="1"/>
  <c r="AR753" i="28"/>
  <c r="R753" i="28" s="1"/>
  <c r="AQ753" i="28"/>
  <c r="S753" i="28" s="1"/>
  <c r="AP754" i="28"/>
  <c r="Q754" i="28" s="1"/>
  <c r="AR754" i="28"/>
  <c r="R754" i="28" s="1"/>
  <c r="AQ754" i="28"/>
  <c r="S754" i="28" s="1"/>
  <c r="AP755" i="28"/>
  <c r="Q755" i="28" s="1"/>
  <c r="AR755" i="28"/>
  <c r="R755" i="28" s="1"/>
  <c r="AQ755" i="28"/>
  <c r="S755" i="28" s="1"/>
  <c r="AP756" i="28"/>
  <c r="Q756" i="28" s="1"/>
  <c r="AR756" i="28"/>
  <c r="R756" i="28" s="1"/>
  <c r="AQ756" i="28"/>
  <c r="S756" i="28" s="1"/>
  <c r="AP757" i="28"/>
  <c r="Q757" i="28" s="1"/>
  <c r="AR757" i="28"/>
  <c r="R757" i="28" s="1"/>
  <c r="AQ757" i="28"/>
  <c r="S757" i="28" s="1"/>
  <c r="AP758" i="28"/>
  <c r="Q758" i="28" s="1"/>
  <c r="AR758" i="28"/>
  <c r="R758" i="28" s="1"/>
  <c r="AQ758" i="28"/>
  <c r="S758" i="28" s="1"/>
  <c r="AP759" i="28"/>
  <c r="Q759" i="28" s="1"/>
  <c r="AR759" i="28"/>
  <c r="R759" i="28" s="1"/>
  <c r="AQ759" i="28"/>
  <c r="S759" i="28" s="1"/>
  <c r="AP760" i="28"/>
  <c r="Q760" i="28" s="1"/>
  <c r="AR760" i="28"/>
  <c r="R760" i="28" s="1"/>
  <c r="AQ760" i="28"/>
  <c r="S760" i="28" s="1"/>
  <c r="AP761" i="28"/>
  <c r="Q761" i="28" s="1"/>
  <c r="AR761" i="28"/>
  <c r="R761" i="28" s="1"/>
  <c r="AQ761" i="28"/>
  <c r="S761" i="28" s="1"/>
  <c r="AP762" i="28"/>
  <c r="Q762" i="28" s="1"/>
  <c r="AR762" i="28"/>
  <c r="R762" i="28" s="1"/>
  <c r="AQ762" i="28"/>
  <c r="S762" i="28" s="1"/>
  <c r="AP763" i="28"/>
  <c r="Q763" i="28" s="1"/>
  <c r="AR763" i="28"/>
  <c r="R763" i="28" s="1"/>
  <c r="AQ763" i="28"/>
  <c r="S763" i="28" s="1"/>
  <c r="AP764" i="28"/>
  <c r="Q764" i="28" s="1"/>
  <c r="AR764" i="28"/>
  <c r="R764" i="28" s="1"/>
  <c r="AQ764" i="28"/>
  <c r="S764" i="28" s="1"/>
  <c r="AP765" i="28"/>
  <c r="Q765" i="28" s="1"/>
  <c r="AR765" i="28"/>
  <c r="R765" i="28" s="1"/>
  <c r="AQ765" i="28"/>
  <c r="S765" i="28" s="1"/>
  <c r="AP766" i="28"/>
  <c r="Q766" i="28" s="1"/>
  <c r="AR766" i="28"/>
  <c r="R766" i="28" s="1"/>
  <c r="AQ766" i="28"/>
  <c r="S766" i="28" s="1"/>
  <c r="AP767" i="28"/>
  <c r="Q767" i="28" s="1"/>
  <c r="AR767" i="28"/>
  <c r="R767" i="28" s="1"/>
  <c r="AQ767" i="28"/>
  <c r="S767" i="28" s="1"/>
  <c r="AP768" i="28"/>
  <c r="Q768" i="28" s="1"/>
  <c r="AR768" i="28"/>
  <c r="R768" i="28" s="1"/>
  <c r="AQ768" i="28"/>
  <c r="S768" i="28" s="1"/>
  <c r="AP769" i="28"/>
  <c r="Q769" i="28" s="1"/>
  <c r="AR769" i="28"/>
  <c r="R769" i="28" s="1"/>
  <c r="AQ769" i="28"/>
  <c r="S769" i="28" s="1"/>
  <c r="AP770" i="28"/>
  <c r="Q770" i="28" s="1"/>
  <c r="AR770" i="28"/>
  <c r="R770" i="28" s="1"/>
  <c r="AQ770" i="28"/>
  <c r="S770" i="28" s="1"/>
  <c r="AP771" i="28"/>
  <c r="Q771" i="28" s="1"/>
  <c r="AR771" i="28"/>
  <c r="R771" i="28" s="1"/>
  <c r="AQ771" i="28"/>
  <c r="S771" i="28" s="1"/>
  <c r="AP772" i="28"/>
  <c r="Q772" i="28" s="1"/>
  <c r="AR772" i="28"/>
  <c r="R772" i="28" s="1"/>
  <c r="AQ772" i="28"/>
  <c r="S772" i="28" s="1"/>
  <c r="AP773" i="28"/>
  <c r="Q773" i="28" s="1"/>
  <c r="AR773" i="28"/>
  <c r="R773" i="28" s="1"/>
  <c r="AQ773" i="28"/>
  <c r="S773" i="28" s="1"/>
  <c r="AP774" i="28"/>
  <c r="Q774" i="28" s="1"/>
  <c r="AR774" i="28"/>
  <c r="R774" i="28" s="1"/>
  <c r="AQ774" i="28"/>
  <c r="S774" i="28" s="1"/>
  <c r="AP775" i="28"/>
  <c r="Q775" i="28" s="1"/>
  <c r="AR775" i="28"/>
  <c r="R775" i="28" s="1"/>
  <c r="AQ775" i="28"/>
  <c r="S775" i="28" s="1"/>
  <c r="AP776" i="28"/>
  <c r="Q776" i="28" s="1"/>
  <c r="AR776" i="28"/>
  <c r="R776" i="28" s="1"/>
  <c r="AQ776" i="28"/>
  <c r="S776" i="28" s="1"/>
  <c r="AP777" i="28"/>
  <c r="Q777" i="28" s="1"/>
  <c r="AR777" i="28"/>
  <c r="R777" i="28" s="1"/>
  <c r="AQ777" i="28"/>
  <c r="S777" i="28" s="1"/>
  <c r="AP778" i="28"/>
  <c r="Q778" i="28" s="1"/>
  <c r="AR778" i="28"/>
  <c r="R778" i="28" s="1"/>
  <c r="AQ778" i="28"/>
  <c r="S778" i="28" s="1"/>
  <c r="AP779" i="28"/>
  <c r="Q779" i="28" s="1"/>
  <c r="AR779" i="28"/>
  <c r="R779" i="28" s="1"/>
  <c r="AQ779" i="28"/>
  <c r="S779" i="28" s="1"/>
  <c r="AP780" i="28"/>
  <c r="Q780" i="28" s="1"/>
  <c r="AR780" i="28"/>
  <c r="R780" i="28" s="1"/>
  <c r="AQ780" i="28"/>
  <c r="S780" i="28" s="1"/>
  <c r="AP781" i="28"/>
  <c r="Q781" i="28" s="1"/>
  <c r="AR781" i="28"/>
  <c r="R781" i="28" s="1"/>
  <c r="AQ781" i="28"/>
  <c r="S781" i="28" s="1"/>
  <c r="AP782" i="28"/>
  <c r="Q782" i="28" s="1"/>
  <c r="AR782" i="28"/>
  <c r="R782" i="28" s="1"/>
  <c r="AQ782" i="28"/>
  <c r="S782" i="28" s="1"/>
  <c r="AP783" i="28"/>
  <c r="Q783" i="28" s="1"/>
  <c r="AR783" i="28"/>
  <c r="R783" i="28" s="1"/>
  <c r="AQ783" i="28"/>
  <c r="S783" i="28" s="1"/>
  <c r="AP784" i="28"/>
  <c r="Q784" i="28" s="1"/>
  <c r="AR784" i="28"/>
  <c r="R784" i="28" s="1"/>
  <c r="AQ784" i="28"/>
  <c r="S784" i="28" s="1"/>
  <c r="AP785" i="28"/>
  <c r="Q785" i="28" s="1"/>
  <c r="AR785" i="28"/>
  <c r="R785" i="28" s="1"/>
  <c r="AQ785" i="28"/>
  <c r="S785" i="28" s="1"/>
  <c r="AP786" i="28"/>
  <c r="Q786" i="28" s="1"/>
  <c r="AR786" i="28"/>
  <c r="R786" i="28" s="1"/>
  <c r="AQ786" i="28"/>
  <c r="S786" i="28" s="1"/>
  <c r="AP787" i="28"/>
  <c r="Q787" i="28" s="1"/>
  <c r="AR787" i="28"/>
  <c r="R787" i="28" s="1"/>
  <c r="AQ787" i="28"/>
  <c r="S787" i="28" s="1"/>
  <c r="AP788" i="28"/>
  <c r="Q788" i="28" s="1"/>
  <c r="AR788" i="28"/>
  <c r="R788" i="28" s="1"/>
  <c r="AQ788" i="28"/>
  <c r="S788" i="28" s="1"/>
  <c r="AP789" i="28"/>
  <c r="Q789" i="28" s="1"/>
  <c r="AR789" i="28"/>
  <c r="R789" i="28" s="1"/>
  <c r="AQ789" i="28"/>
  <c r="S789" i="28" s="1"/>
  <c r="AP790" i="28"/>
  <c r="Q790" i="28" s="1"/>
  <c r="AR790" i="28"/>
  <c r="R790" i="28" s="1"/>
  <c r="AQ790" i="28"/>
  <c r="S790" i="28" s="1"/>
  <c r="AP791" i="28"/>
  <c r="Q791" i="28" s="1"/>
  <c r="AR791" i="28"/>
  <c r="R791" i="28" s="1"/>
  <c r="AQ791" i="28"/>
  <c r="S791" i="28" s="1"/>
  <c r="AP792" i="28"/>
  <c r="Q792" i="28" s="1"/>
  <c r="AR792" i="28"/>
  <c r="R792" i="28" s="1"/>
  <c r="AQ792" i="28"/>
  <c r="S792" i="28" s="1"/>
  <c r="AP793" i="28"/>
  <c r="Q793" i="28" s="1"/>
  <c r="AR793" i="28"/>
  <c r="R793" i="28" s="1"/>
  <c r="AQ793" i="28"/>
  <c r="S793" i="28" s="1"/>
  <c r="AP794" i="28"/>
  <c r="Q794" i="28" s="1"/>
  <c r="AR794" i="28"/>
  <c r="R794" i="28" s="1"/>
  <c r="AQ794" i="28"/>
  <c r="S794" i="28" s="1"/>
  <c r="AP795" i="28"/>
  <c r="Q795" i="28" s="1"/>
  <c r="AR795" i="28"/>
  <c r="R795" i="28" s="1"/>
  <c r="AQ795" i="28"/>
  <c r="S795" i="28" s="1"/>
  <c r="AP796" i="28"/>
  <c r="Q796" i="28" s="1"/>
  <c r="AR796" i="28"/>
  <c r="R796" i="28" s="1"/>
  <c r="AQ796" i="28"/>
  <c r="S796" i="28" s="1"/>
  <c r="AP797" i="28"/>
  <c r="Q797" i="28" s="1"/>
  <c r="AR797" i="28"/>
  <c r="R797" i="28" s="1"/>
  <c r="AQ797" i="28"/>
  <c r="S797" i="28" s="1"/>
  <c r="AP798" i="28"/>
  <c r="Q798" i="28" s="1"/>
  <c r="AR798" i="28"/>
  <c r="R798" i="28" s="1"/>
  <c r="AQ798" i="28"/>
  <c r="S798" i="28" s="1"/>
  <c r="AP799" i="28"/>
  <c r="Q799" i="28" s="1"/>
  <c r="AR799" i="28"/>
  <c r="R799" i="28" s="1"/>
  <c r="AQ799" i="28"/>
  <c r="S799" i="28" s="1"/>
  <c r="AP800" i="28"/>
  <c r="Q800" i="28" s="1"/>
  <c r="AR800" i="28"/>
  <c r="R800" i="28" s="1"/>
  <c r="AQ800" i="28"/>
  <c r="S800" i="28" s="1"/>
  <c r="AP801" i="28"/>
  <c r="Q801" i="28" s="1"/>
  <c r="AR801" i="28"/>
  <c r="R801" i="28" s="1"/>
  <c r="AQ801" i="28"/>
  <c r="S801" i="28" s="1"/>
  <c r="AP802" i="28"/>
  <c r="Q802" i="28" s="1"/>
  <c r="AR802" i="28"/>
  <c r="R802" i="28" s="1"/>
  <c r="AQ802" i="28"/>
  <c r="S802" i="28" s="1"/>
  <c r="AP803" i="28"/>
  <c r="Q803" i="28" s="1"/>
  <c r="AR803" i="28"/>
  <c r="R803" i="28" s="1"/>
  <c r="AQ803" i="28"/>
  <c r="S803" i="28" s="1"/>
  <c r="AP804" i="28"/>
  <c r="Q804" i="28" s="1"/>
  <c r="AR804" i="28"/>
  <c r="R804" i="28" s="1"/>
  <c r="AQ804" i="28"/>
  <c r="S804" i="28" s="1"/>
  <c r="AP805" i="28"/>
  <c r="Q805" i="28" s="1"/>
  <c r="AR805" i="28"/>
  <c r="R805" i="28" s="1"/>
  <c r="AQ805" i="28"/>
  <c r="S805" i="28" s="1"/>
  <c r="AP806" i="28"/>
  <c r="Q806" i="28" s="1"/>
  <c r="AR806" i="28"/>
  <c r="R806" i="28" s="1"/>
  <c r="AQ806" i="28"/>
  <c r="S806" i="28" s="1"/>
  <c r="AP807" i="28"/>
  <c r="Q807" i="28" s="1"/>
  <c r="AR807" i="28"/>
  <c r="R807" i="28" s="1"/>
  <c r="AQ807" i="28"/>
  <c r="S807" i="28" s="1"/>
  <c r="AP808" i="28"/>
  <c r="Q808" i="28" s="1"/>
  <c r="AR808" i="28"/>
  <c r="R808" i="28" s="1"/>
  <c r="AQ808" i="28"/>
  <c r="S808" i="28" s="1"/>
  <c r="AP809" i="28"/>
  <c r="Q809" i="28" s="1"/>
  <c r="AR809" i="28"/>
  <c r="R809" i="28" s="1"/>
  <c r="AQ809" i="28"/>
  <c r="S809" i="28" s="1"/>
  <c r="AP810" i="28"/>
  <c r="Q810" i="28" s="1"/>
  <c r="AR810" i="28"/>
  <c r="R810" i="28" s="1"/>
  <c r="AQ810" i="28"/>
  <c r="S810" i="28" s="1"/>
  <c r="AP811" i="28"/>
  <c r="Q811" i="28" s="1"/>
  <c r="AR811" i="28"/>
  <c r="R811" i="28" s="1"/>
  <c r="AQ811" i="28"/>
  <c r="S811" i="28" s="1"/>
  <c r="AP812" i="28"/>
  <c r="Q812" i="28" s="1"/>
  <c r="AR812" i="28"/>
  <c r="R812" i="28" s="1"/>
  <c r="AQ812" i="28"/>
  <c r="S812" i="28" s="1"/>
  <c r="AP813" i="28"/>
  <c r="Q813" i="28" s="1"/>
  <c r="AR813" i="28"/>
  <c r="R813" i="28" s="1"/>
  <c r="AQ813" i="28"/>
  <c r="S813" i="28" s="1"/>
  <c r="AP814" i="28"/>
  <c r="Q814" i="28" s="1"/>
  <c r="AR814" i="28"/>
  <c r="R814" i="28" s="1"/>
  <c r="AQ814" i="28"/>
  <c r="S814" i="28" s="1"/>
  <c r="AP815" i="28"/>
  <c r="Q815" i="28" s="1"/>
  <c r="AR815" i="28"/>
  <c r="R815" i="28" s="1"/>
  <c r="AQ815" i="28"/>
  <c r="S815" i="28" s="1"/>
  <c r="AP816" i="28"/>
  <c r="Q816" i="28" s="1"/>
  <c r="AR816" i="28"/>
  <c r="R816" i="28" s="1"/>
  <c r="AQ816" i="28"/>
  <c r="S816" i="28" s="1"/>
  <c r="AP817" i="28"/>
  <c r="Q817" i="28" s="1"/>
  <c r="AR817" i="28"/>
  <c r="R817" i="28" s="1"/>
  <c r="AQ817" i="28"/>
  <c r="S817" i="28" s="1"/>
  <c r="AP818" i="28"/>
  <c r="Q818" i="28" s="1"/>
  <c r="AR818" i="28"/>
  <c r="R818" i="28" s="1"/>
  <c r="AQ818" i="28"/>
  <c r="S818" i="28" s="1"/>
  <c r="AP819" i="28"/>
  <c r="Q819" i="28" s="1"/>
  <c r="AR819" i="28"/>
  <c r="R819" i="28" s="1"/>
  <c r="AQ819" i="28"/>
  <c r="S819" i="28" s="1"/>
  <c r="AP820" i="28"/>
  <c r="Q820" i="28" s="1"/>
  <c r="AR820" i="28"/>
  <c r="R820" i="28" s="1"/>
  <c r="AQ820" i="28"/>
  <c r="S820" i="28" s="1"/>
  <c r="AP821" i="28"/>
  <c r="Q821" i="28" s="1"/>
  <c r="AR821" i="28"/>
  <c r="R821" i="28" s="1"/>
  <c r="AQ821" i="28"/>
  <c r="S821" i="28" s="1"/>
  <c r="AP822" i="28"/>
  <c r="Q822" i="28" s="1"/>
  <c r="AR822" i="28"/>
  <c r="R822" i="28" s="1"/>
  <c r="AQ822" i="28"/>
  <c r="S822" i="28" s="1"/>
  <c r="AP823" i="28"/>
  <c r="Q823" i="28" s="1"/>
  <c r="AR823" i="28"/>
  <c r="R823" i="28" s="1"/>
  <c r="AQ823" i="28"/>
  <c r="S823" i="28" s="1"/>
  <c r="AP824" i="28"/>
  <c r="Q824" i="28" s="1"/>
  <c r="AR824" i="28"/>
  <c r="R824" i="28" s="1"/>
  <c r="AQ824" i="28"/>
  <c r="S824" i="28" s="1"/>
  <c r="AP825" i="28"/>
  <c r="Q825" i="28" s="1"/>
  <c r="AR825" i="28"/>
  <c r="R825" i="28" s="1"/>
  <c r="AQ825" i="28"/>
  <c r="S825" i="28" s="1"/>
  <c r="AP826" i="28"/>
  <c r="Q826" i="28" s="1"/>
  <c r="AR826" i="28"/>
  <c r="R826" i="28" s="1"/>
  <c r="AQ826" i="28"/>
  <c r="S826" i="28" s="1"/>
  <c r="AP827" i="28"/>
  <c r="Q827" i="28" s="1"/>
  <c r="AR827" i="28"/>
  <c r="R827" i="28" s="1"/>
  <c r="AQ827" i="28"/>
  <c r="S827" i="28" s="1"/>
  <c r="AP828" i="28"/>
  <c r="Q828" i="28" s="1"/>
  <c r="AR828" i="28"/>
  <c r="R828" i="28" s="1"/>
  <c r="AQ828" i="28"/>
  <c r="S828" i="28" s="1"/>
  <c r="AP829" i="28"/>
  <c r="Q829" i="28" s="1"/>
  <c r="AR829" i="28"/>
  <c r="R829" i="28" s="1"/>
  <c r="AQ829" i="28"/>
  <c r="S829" i="28" s="1"/>
  <c r="AP830" i="28"/>
  <c r="Q830" i="28" s="1"/>
  <c r="AR830" i="28"/>
  <c r="R830" i="28" s="1"/>
  <c r="AQ830" i="28"/>
  <c r="S830" i="28" s="1"/>
  <c r="AP831" i="28"/>
  <c r="Q831" i="28" s="1"/>
  <c r="AR831" i="28"/>
  <c r="R831" i="28" s="1"/>
  <c r="AQ831" i="28"/>
  <c r="S831" i="28" s="1"/>
  <c r="AP832" i="28"/>
  <c r="Q832" i="28" s="1"/>
  <c r="AR832" i="28"/>
  <c r="R832" i="28" s="1"/>
  <c r="AQ832" i="28"/>
  <c r="S832" i="28" s="1"/>
  <c r="AP833" i="28"/>
  <c r="Q833" i="28" s="1"/>
  <c r="AR833" i="28"/>
  <c r="R833" i="28" s="1"/>
  <c r="AQ833" i="28"/>
  <c r="S833" i="28" s="1"/>
  <c r="AP834" i="28"/>
  <c r="Q834" i="28" s="1"/>
  <c r="AR834" i="28"/>
  <c r="R834" i="28" s="1"/>
  <c r="AQ834" i="28"/>
  <c r="S834" i="28" s="1"/>
  <c r="AP835" i="28"/>
  <c r="Q835" i="28" s="1"/>
  <c r="AR835" i="28"/>
  <c r="R835" i="28" s="1"/>
  <c r="AQ835" i="28"/>
  <c r="S835" i="28" s="1"/>
  <c r="AP836" i="28"/>
  <c r="Q836" i="28" s="1"/>
  <c r="AR836" i="28"/>
  <c r="R836" i="28" s="1"/>
  <c r="AQ836" i="28"/>
  <c r="S836" i="28" s="1"/>
  <c r="AP837" i="28"/>
  <c r="Q837" i="28" s="1"/>
  <c r="AR837" i="28"/>
  <c r="R837" i="28" s="1"/>
  <c r="AQ837" i="28"/>
  <c r="S837" i="28" s="1"/>
  <c r="AP838" i="28"/>
  <c r="Q838" i="28" s="1"/>
  <c r="AR838" i="28"/>
  <c r="R838" i="28" s="1"/>
  <c r="AQ838" i="28"/>
  <c r="S838" i="28" s="1"/>
  <c r="AP839" i="28"/>
  <c r="Q839" i="28" s="1"/>
  <c r="AR839" i="28"/>
  <c r="R839" i="28" s="1"/>
  <c r="AQ839" i="28"/>
  <c r="S839" i="28" s="1"/>
  <c r="AP840" i="28"/>
  <c r="Q840" i="28" s="1"/>
  <c r="AR840" i="28"/>
  <c r="R840" i="28" s="1"/>
  <c r="AQ840" i="28"/>
  <c r="S840" i="28" s="1"/>
  <c r="AP841" i="28"/>
  <c r="Q841" i="28" s="1"/>
  <c r="AR841" i="28"/>
  <c r="R841" i="28" s="1"/>
  <c r="AQ841" i="28"/>
  <c r="S841" i="28" s="1"/>
  <c r="AP842" i="28"/>
  <c r="Q842" i="28" s="1"/>
  <c r="AR842" i="28"/>
  <c r="R842" i="28" s="1"/>
  <c r="AQ842" i="28"/>
  <c r="S842" i="28" s="1"/>
  <c r="AP843" i="28"/>
  <c r="Q843" i="28" s="1"/>
  <c r="AR843" i="28"/>
  <c r="R843" i="28" s="1"/>
  <c r="AQ843" i="28"/>
  <c r="S843" i="28" s="1"/>
  <c r="AP844" i="28"/>
  <c r="Q844" i="28" s="1"/>
  <c r="AR844" i="28"/>
  <c r="R844" i="28" s="1"/>
  <c r="AQ844" i="28"/>
  <c r="S844" i="28" s="1"/>
  <c r="AP845" i="28"/>
  <c r="Q845" i="28" s="1"/>
  <c r="AR845" i="28"/>
  <c r="R845" i="28" s="1"/>
  <c r="AQ845" i="28"/>
  <c r="S845" i="28" s="1"/>
  <c r="AP846" i="28"/>
  <c r="Q846" i="28" s="1"/>
  <c r="AR846" i="28"/>
  <c r="R846" i="28" s="1"/>
  <c r="AQ846" i="28"/>
  <c r="S846" i="28" s="1"/>
  <c r="AP847" i="28"/>
  <c r="Q847" i="28" s="1"/>
  <c r="AR847" i="28"/>
  <c r="R847" i="28" s="1"/>
  <c r="AQ847" i="28"/>
  <c r="S847" i="28" s="1"/>
  <c r="AP848" i="28"/>
  <c r="Q848" i="28" s="1"/>
  <c r="AR848" i="28"/>
  <c r="R848" i="28" s="1"/>
  <c r="AQ848" i="28"/>
  <c r="S848" i="28" s="1"/>
  <c r="AP849" i="28"/>
  <c r="Q849" i="28" s="1"/>
  <c r="AR849" i="28"/>
  <c r="R849" i="28" s="1"/>
  <c r="AQ849" i="28"/>
  <c r="S849" i="28" s="1"/>
  <c r="AP850" i="28"/>
  <c r="Q850" i="28" s="1"/>
  <c r="AR850" i="28"/>
  <c r="R850" i="28" s="1"/>
  <c r="AQ850" i="28"/>
  <c r="S850" i="28" s="1"/>
  <c r="AP851" i="28"/>
  <c r="Q851" i="28" s="1"/>
  <c r="AR851" i="28"/>
  <c r="R851" i="28" s="1"/>
  <c r="AQ851" i="28"/>
  <c r="S851" i="28" s="1"/>
  <c r="AP852" i="28"/>
  <c r="Q852" i="28" s="1"/>
  <c r="AR852" i="28"/>
  <c r="R852" i="28" s="1"/>
  <c r="AQ852" i="28"/>
  <c r="S852" i="28" s="1"/>
  <c r="AP853" i="28"/>
  <c r="Q853" i="28" s="1"/>
  <c r="AR853" i="28"/>
  <c r="R853" i="28" s="1"/>
  <c r="AQ853" i="28"/>
  <c r="S853" i="28" s="1"/>
  <c r="AP854" i="28"/>
  <c r="Q854" i="28" s="1"/>
  <c r="AR854" i="28"/>
  <c r="R854" i="28" s="1"/>
  <c r="AQ854" i="28"/>
  <c r="S854" i="28" s="1"/>
  <c r="AP855" i="28"/>
  <c r="Q855" i="28" s="1"/>
  <c r="AR855" i="28"/>
  <c r="R855" i="28" s="1"/>
  <c r="AQ855" i="28"/>
  <c r="S855" i="28" s="1"/>
  <c r="AP856" i="28"/>
  <c r="Q856" i="28" s="1"/>
  <c r="AR856" i="28"/>
  <c r="R856" i="28" s="1"/>
  <c r="AQ856" i="28"/>
  <c r="S856" i="28" s="1"/>
  <c r="AP857" i="28"/>
  <c r="Q857" i="28" s="1"/>
  <c r="AR857" i="28"/>
  <c r="R857" i="28" s="1"/>
  <c r="AQ857" i="28"/>
  <c r="S857" i="28" s="1"/>
  <c r="AP858" i="28"/>
  <c r="Q858" i="28" s="1"/>
  <c r="AR858" i="28"/>
  <c r="R858" i="28" s="1"/>
  <c r="AQ858" i="28"/>
  <c r="S858" i="28" s="1"/>
  <c r="AP859" i="28"/>
  <c r="Q859" i="28" s="1"/>
  <c r="AR859" i="28"/>
  <c r="R859" i="28" s="1"/>
  <c r="AQ859" i="28"/>
  <c r="S859" i="28" s="1"/>
  <c r="AP860" i="28"/>
  <c r="Q860" i="28" s="1"/>
  <c r="AR860" i="28"/>
  <c r="R860" i="28" s="1"/>
  <c r="AQ860" i="28"/>
  <c r="S860" i="28" s="1"/>
  <c r="AP861" i="28"/>
  <c r="Q861" i="28" s="1"/>
  <c r="AR861" i="28"/>
  <c r="R861" i="28" s="1"/>
  <c r="AQ861" i="28"/>
  <c r="S861" i="28" s="1"/>
  <c r="AP862" i="28"/>
  <c r="Q862" i="28" s="1"/>
  <c r="AR862" i="28"/>
  <c r="R862" i="28" s="1"/>
  <c r="AQ862" i="28"/>
  <c r="S862" i="28" s="1"/>
  <c r="AP863" i="28"/>
  <c r="Q863" i="28" s="1"/>
  <c r="AR863" i="28"/>
  <c r="R863" i="28" s="1"/>
  <c r="AQ863" i="28"/>
  <c r="S863" i="28" s="1"/>
  <c r="AP864" i="28"/>
  <c r="Q864" i="28" s="1"/>
  <c r="AR864" i="28"/>
  <c r="R864" i="28" s="1"/>
  <c r="AQ864" i="28"/>
  <c r="S864" i="28" s="1"/>
  <c r="AP865" i="28"/>
  <c r="Q865" i="28" s="1"/>
  <c r="AR865" i="28"/>
  <c r="R865" i="28" s="1"/>
  <c r="AQ865" i="28"/>
  <c r="S865" i="28" s="1"/>
  <c r="AP866" i="28"/>
  <c r="Q866" i="28" s="1"/>
  <c r="AR866" i="28"/>
  <c r="R866" i="28" s="1"/>
  <c r="AQ866" i="28"/>
  <c r="S866" i="28" s="1"/>
  <c r="AP867" i="28"/>
  <c r="Q867" i="28" s="1"/>
  <c r="AR867" i="28"/>
  <c r="R867" i="28" s="1"/>
  <c r="AQ867" i="28"/>
  <c r="S867" i="28" s="1"/>
  <c r="AP868" i="28"/>
  <c r="Q868" i="28" s="1"/>
  <c r="AR868" i="28"/>
  <c r="R868" i="28" s="1"/>
  <c r="AQ868" i="28"/>
  <c r="S868" i="28" s="1"/>
  <c r="AP869" i="28"/>
  <c r="Q869" i="28" s="1"/>
  <c r="AR869" i="28"/>
  <c r="R869" i="28" s="1"/>
  <c r="AQ869" i="28"/>
  <c r="S869" i="28" s="1"/>
  <c r="AP870" i="28"/>
  <c r="Q870" i="28" s="1"/>
  <c r="AR870" i="28"/>
  <c r="R870" i="28" s="1"/>
  <c r="AQ870" i="28"/>
  <c r="S870" i="28" s="1"/>
  <c r="AP871" i="28"/>
  <c r="Q871" i="28" s="1"/>
  <c r="AR871" i="28"/>
  <c r="R871" i="28" s="1"/>
  <c r="AQ871" i="28"/>
  <c r="S871" i="28" s="1"/>
  <c r="AP872" i="28"/>
  <c r="Q872" i="28" s="1"/>
  <c r="AR872" i="28"/>
  <c r="R872" i="28" s="1"/>
  <c r="AQ872" i="28"/>
  <c r="S872" i="28" s="1"/>
  <c r="AP873" i="28"/>
  <c r="Q873" i="28" s="1"/>
  <c r="AR873" i="28"/>
  <c r="R873" i="28" s="1"/>
  <c r="AQ873" i="28"/>
  <c r="S873" i="28" s="1"/>
  <c r="AP874" i="28"/>
  <c r="Q874" i="28" s="1"/>
  <c r="AR874" i="28"/>
  <c r="R874" i="28" s="1"/>
  <c r="AQ874" i="28"/>
  <c r="S874" i="28" s="1"/>
  <c r="AP875" i="28"/>
  <c r="Q875" i="28" s="1"/>
  <c r="AR875" i="28"/>
  <c r="R875" i="28" s="1"/>
  <c r="AQ875" i="28"/>
  <c r="S875" i="28" s="1"/>
  <c r="AP876" i="28"/>
  <c r="Q876" i="28" s="1"/>
  <c r="AR876" i="28"/>
  <c r="R876" i="28" s="1"/>
  <c r="AQ876" i="28"/>
  <c r="S876" i="28" s="1"/>
  <c r="AP877" i="28"/>
  <c r="Q877" i="28" s="1"/>
  <c r="AR877" i="28"/>
  <c r="R877" i="28" s="1"/>
  <c r="AQ877" i="28"/>
  <c r="S877" i="28" s="1"/>
  <c r="AP878" i="28"/>
  <c r="Q878" i="28" s="1"/>
  <c r="AR878" i="28"/>
  <c r="R878" i="28" s="1"/>
  <c r="AQ878" i="28"/>
  <c r="S878" i="28" s="1"/>
  <c r="AP879" i="28"/>
  <c r="Q879" i="28" s="1"/>
  <c r="AR879" i="28"/>
  <c r="R879" i="28" s="1"/>
  <c r="AQ879" i="28"/>
  <c r="S879" i="28" s="1"/>
  <c r="AP880" i="28"/>
  <c r="Q880" i="28" s="1"/>
  <c r="AR880" i="28"/>
  <c r="R880" i="28" s="1"/>
  <c r="AQ880" i="28"/>
  <c r="S880" i="28" s="1"/>
  <c r="AP881" i="28"/>
  <c r="Q881" i="28" s="1"/>
  <c r="AR881" i="28"/>
  <c r="R881" i="28" s="1"/>
  <c r="AQ881" i="28"/>
  <c r="S881" i="28" s="1"/>
  <c r="AP882" i="28"/>
  <c r="Q882" i="28" s="1"/>
  <c r="AR882" i="28"/>
  <c r="R882" i="28" s="1"/>
  <c r="AQ882" i="28"/>
  <c r="S882" i="28" s="1"/>
  <c r="AP883" i="28"/>
  <c r="Q883" i="28" s="1"/>
  <c r="AR883" i="28"/>
  <c r="R883" i="28" s="1"/>
  <c r="AQ883" i="28"/>
  <c r="S883" i="28" s="1"/>
  <c r="AP884" i="28"/>
  <c r="Q884" i="28" s="1"/>
  <c r="AR884" i="28"/>
  <c r="R884" i="28" s="1"/>
  <c r="AQ884" i="28"/>
  <c r="S884" i="28" s="1"/>
  <c r="AP885" i="28"/>
  <c r="Q885" i="28" s="1"/>
  <c r="AR885" i="28"/>
  <c r="R885" i="28" s="1"/>
  <c r="AQ885" i="28"/>
  <c r="S885" i="28" s="1"/>
  <c r="AP886" i="28"/>
  <c r="Q886" i="28" s="1"/>
  <c r="AR886" i="28"/>
  <c r="R886" i="28" s="1"/>
  <c r="AQ886" i="28"/>
  <c r="S886" i="28" s="1"/>
  <c r="AP887" i="28"/>
  <c r="Q887" i="28" s="1"/>
  <c r="AR887" i="28"/>
  <c r="R887" i="28" s="1"/>
  <c r="AQ887" i="28"/>
  <c r="S887" i="28" s="1"/>
  <c r="AP888" i="28"/>
  <c r="Q888" i="28" s="1"/>
  <c r="AR888" i="28"/>
  <c r="R888" i="28" s="1"/>
  <c r="AQ888" i="28"/>
  <c r="S888" i="28" s="1"/>
  <c r="AP889" i="28"/>
  <c r="Q889" i="28" s="1"/>
  <c r="AR889" i="28"/>
  <c r="R889" i="28" s="1"/>
  <c r="AQ889" i="28"/>
  <c r="S889" i="28" s="1"/>
  <c r="AP890" i="28"/>
  <c r="Q890" i="28" s="1"/>
  <c r="AR890" i="28"/>
  <c r="R890" i="28" s="1"/>
  <c r="AQ890" i="28"/>
  <c r="S890" i="28" s="1"/>
  <c r="AP891" i="28"/>
  <c r="Q891" i="28" s="1"/>
  <c r="AR891" i="28"/>
  <c r="R891" i="28" s="1"/>
  <c r="AQ891" i="28"/>
  <c r="S891" i="28" s="1"/>
  <c r="AP892" i="28"/>
  <c r="Q892" i="28" s="1"/>
  <c r="AR892" i="28"/>
  <c r="R892" i="28" s="1"/>
  <c r="AQ892" i="28"/>
  <c r="S892" i="28" s="1"/>
  <c r="AP893" i="28"/>
  <c r="Q893" i="28" s="1"/>
  <c r="AR893" i="28"/>
  <c r="R893" i="28" s="1"/>
  <c r="AQ893" i="28"/>
  <c r="S893" i="28" s="1"/>
  <c r="AP894" i="28"/>
  <c r="Q894" i="28" s="1"/>
  <c r="AR894" i="28"/>
  <c r="R894" i="28" s="1"/>
  <c r="AQ894" i="28"/>
  <c r="S894" i="28" s="1"/>
  <c r="AP895" i="28"/>
  <c r="Q895" i="28" s="1"/>
  <c r="AR895" i="28"/>
  <c r="R895" i="28" s="1"/>
  <c r="AQ895" i="28"/>
  <c r="S895" i="28" s="1"/>
  <c r="AP896" i="28"/>
  <c r="Q896" i="28" s="1"/>
  <c r="AR896" i="28"/>
  <c r="R896" i="28" s="1"/>
  <c r="AQ896" i="28"/>
  <c r="S896" i="28" s="1"/>
  <c r="AP897" i="28"/>
  <c r="Q897" i="28" s="1"/>
  <c r="AR897" i="28"/>
  <c r="R897" i="28" s="1"/>
  <c r="AQ897" i="28"/>
  <c r="S897" i="28" s="1"/>
  <c r="AP898" i="28"/>
  <c r="Q898" i="28" s="1"/>
  <c r="AR898" i="28"/>
  <c r="R898" i="28" s="1"/>
  <c r="AQ898" i="28"/>
  <c r="S898" i="28" s="1"/>
  <c r="AP899" i="28"/>
  <c r="Q899" i="28" s="1"/>
  <c r="AR899" i="28"/>
  <c r="R899" i="28" s="1"/>
  <c r="AQ899" i="28"/>
  <c r="S899" i="28" s="1"/>
  <c r="AP900" i="28"/>
  <c r="Q900" i="28" s="1"/>
  <c r="AR900" i="28"/>
  <c r="R900" i="28" s="1"/>
  <c r="AQ900" i="28"/>
  <c r="S900" i="28" s="1"/>
  <c r="AP901" i="28"/>
  <c r="Q901" i="28" s="1"/>
  <c r="AR901" i="28"/>
  <c r="R901" i="28" s="1"/>
  <c r="AQ901" i="28"/>
  <c r="S901" i="28" s="1"/>
  <c r="AP902" i="28"/>
  <c r="Q902" i="28" s="1"/>
  <c r="AR902" i="28"/>
  <c r="R902" i="28" s="1"/>
  <c r="AQ902" i="28"/>
  <c r="S902" i="28" s="1"/>
  <c r="AP903" i="28"/>
  <c r="Q903" i="28" s="1"/>
  <c r="AR903" i="28"/>
  <c r="R903" i="28" s="1"/>
  <c r="AQ903" i="28"/>
  <c r="S903" i="28" s="1"/>
  <c r="AP904" i="28"/>
  <c r="Q904" i="28" s="1"/>
  <c r="AR904" i="28"/>
  <c r="R904" i="28" s="1"/>
  <c r="AQ904" i="28"/>
  <c r="S904" i="28" s="1"/>
  <c r="AP905" i="28"/>
  <c r="Q905" i="28" s="1"/>
  <c r="AR905" i="28"/>
  <c r="R905" i="28" s="1"/>
  <c r="AQ905" i="28"/>
  <c r="S905" i="28" s="1"/>
  <c r="AP906" i="28"/>
  <c r="Q906" i="28" s="1"/>
  <c r="AR906" i="28"/>
  <c r="R906" i="28" s="1"/>
  <c r="AQ906" i="28"/>
  <c r="S906" i="28" s="1"/>
  <c r="AP907" i="28"/>
  <c r="Q907" i="28" s="1"/>
  <c r="AR907" i="28"/>
  <c r="R907" i="28" s="1"/>
  <c r="AQ907" i="28"/>
  <c r="S907" i="28" s="1"/>
  <c r="AP908" i="28"/>
  <c r="Q908" i="28" s="1"/>
  <c r="AR908" i="28"/>
  <c r="R908" i="28" s="1"/>
  <c r="AQ908" i="28"/>
  <c r="S908" i="28" s="1"/>
  <c r="AP909" i="28"/>
  <c r="Q909" i="28" s="1"/>
  <c r="AR909" i="28"/>
  <c r="R909" i="28" s="1"/>
  <c r="AQ909" i="28"/>
  <c r="S909" i="28" s="1"/>
  <c r="AP910" i="28"/>
  <c r="Q910" i="28" s="1"/>
  <c r="AR910" i="28"/>
  <c r="R910" i="28" s="1"/>
  <c r="AQ910" i="28"/>
  <c r="S910" i="28" s="1"/>
  <c r="AP911" i="28"/>
  <c r="Q911" i="28" s="1"/>
  <c r="AR911" i="28"/>
  <c r="R911" i="28" s="1"/>
  <c r="AQ911" i="28"/>
  <c r="S911" i="28" s="1"/>
  <c r="AP912" i="28"/>
  <c r="Q912" i="28" s="1"/>
  <c r="AR912" i="28"/>
  <c r="R912" i="28" s="1"/>
  <c r="AQ912" i="28"/>
  <c r="S912" i="28" s="1"/>
  <c r="AP913" i="28"/>
  <c r="Q913" i="28" s="1"/>
  <c r="AR913" i="28"/>
  <c r="R913" i="28" s="1"/>
  <c r="AQ913" i="28"/>
  <c r="S913" i="28" s="1"/>
  <c r="AP914" i="28"/>
  <c r="Q914" i="28" s="1"/>
  <c r="AR914" i="28"/>
  <c r="R914" i="28" s="1"/>
  <c r="AQ914" i="28"/>
  <c r="S914" i="28" s="1"/>
  <c r="AP915" i="28"/>
  <c r="Q915" i="28" s="1"/>
  <c r="AR915" i="28"/>
  <c r="R915" i="28" s="1"/>
  <c r="AQ915" i="28"/>
  <c r="S915" i="28" s="1"/>
  <c r="AP916" i="28"/>
  <c r="Q916" i="28" s="1"/>
  <c r="AR916" i="28"/>
  <c r="R916" i="28" s="1"/>
  <c r="AQ916" i="28"/>
  <c r="S916" i="28" s="1"/>
  <c r="AP917" i="28"/>
  <c r="Q917" i="28" s="1"/>
  <c r="AR917" i="28"/>
  <c r="R917" i="28" s="1"/>
  <c r="AQ917" i="28"/>
  <c r="S917" i="28" s="1"/>
  <c r="AP918" i="28"/>
  <c r="Q918" i="28" s="1"/>
  <c r="AR918" i="28"/>
  <c r="R918" i="28" s="1"/>
  <c r="AQ918" i="28"/>
  <c r="S918" i="28" s="1"/>
  <c r="AP919" i="28"/>
  <c r="Q919" i="28" s="1"/>
  <c r="AR919" i="28"/>
  <c r="R919" i="28" s="1"/>
  <c r="AQ919" i="28"/>
  <c r="S919" i="28" s="1"/>
  <c r="AP920" i="28"/>
  <c r="Q920" i="28" s="1"/>
  <c r="AR920" i="28"/>
  <c r="R920" i="28" s="1"/>
  <c r="AQ920" i="28"/>
  <c r="S920" i="28" s="1"/>
  <c r="AP921" i="28"/>
  <c r="Q921" i="28" s="1"/>
  <c r="AR921" i="28"/>
  <c r="R921" i="28" s="1"/>
  <c r="AQ921" i="28"/>
  <c r="S921" i="28" s="1"/>
  <c r="AP922" i="28"/>
  <c r="Q922" i="28" s="1"/>
  <c r="AR922" i="28"/>
  <c r="R922" i="28" s="1"/>
  <c r="AQ922" i="28"/>
  <c r="S922" i="28" s="1"/>
  <c r="AP923" i="28"/>
  <c r="Q923" i="28" s="1"/>
  <c r="AR923" i="28"/>
  <c r="R923" i="28" s="1"/>
  <c r="AQ923" i="28"/>
  <c r="S923" i="28" s="1"/>
  <c r="AP924" i="28"/>
  <c r="Q924" i="28" s="1"/>
  <c r="AR924" i="28"/>
  <c r="R924" i="28" s="1"/>
  <c r="AQ924" i="28"/>
  <c r="S924" i="28" s="1"/>
  <c r="AP925" i="28"/>
  <c r="Q925" i="28" s="1"/>
  <c r="AR925" i="28"/>
  <c r="R925" i="28" s="1"/>
  <c r="AQ925" i="28"/>
  <c r="S925" i="28" s="1"/>
  <c r="AP926" i="28"/>
  <c r="Q926" i="28" s="1"/>
  <c r="AR926" i="28"/>
  <c r="R926" i="28" s="1"/>
  <c r="AQ926" i="28"/>
  <c r="S926" i="28" s="1"/>
  <c r="AP927" i="28"/>
  <c r="Q927" i="28" s="1"/>
  <c r="AR927" i="28"/>
  <c r="R927" i="28" s="1"/>
  <c r="AQ927" i="28"/>
  <c r="S927" i="28" s="1"/>
  <c r="AP928" i="28"/>
  <c r="Q928" i="28" s="1"/>
  <c r="AR928" i="28"/>
  <c r="R928" i="28" s="1"/>
  <c r="AQ928" i="28"/>
  <c r="S928" i="28" s="1"/>
  <c r="AP929" i="28"/>
  <c r="Q929" i="28" s="1"/>
  <c r="AR929" i="28"/>
  <c r="R929" i="28" s="1"/>
  <c r="AQ929" i="28"/>
  <c r="S929" i="28" s="1"/>
  <c r="AP930" i="28"/>
  <c r="Q930" i="28" s="1"/>
  <c r="AR930" i="28"/>
  <c r="R930" i="28" s="1"/>
  <c r="AQ930" i="28"/>
  <c r="S930" i="28" s="1"/>
  <c r="AP931" i="28"/>
  <c r="Q931" i="28" s="1"/>
  <c r="AR931" i="28"/>
  <c r="R931" i="28" s="1"/>
  <c r="AQ931" i="28"/>
  <c r="S931" i="28" s="1"/>
  <c r="AP932" i="28"/>
  <c r="Q932" i="28" s="1"/>
  <c r="AR932" i="28"/>
  <c r="R932" i="28" s="1"/>
  <c r="AQ932" i="28"/>
  <c r="S932" i="28" s="1"/>
  <c r="AP933" i="28"/>
  <c r="Q933" i="28" s="1"/>
  <c r="AR933" i="28"/>
  <c r="R933" i="28" s="1"/>
  <c r="AQ933" i="28"/>
  <c r="S933" i="28" s="1"/>
  <c r="AP934" i="28"/>
  <c r="Q934" i="28" s="1"/>
  <c r="AR934" i="28"/>
  <c r="R934" i="28" s="1"/>
  <c r="AQ934" i="28"/>
  <c r="S934" i="28" s="1"/>
  <c r="AP935" i="28"/>
  <c r="Q935" i="28" s="1"/>
  <c r="AR935" i="28"/>
  <c r="R935" i="28" s="1"/>
  <c r="AQ935" i="28"/>
  <c r="S935" i="28" s="1"/>
  <c r="AP936" i="28"/>
  <c r="Q936" i="28" s="1"/>
  <c r="AR936" i="28"/>
  <c r="R936" i="28" s="1"/>
  <c r="AQ936" i="28"/>
  <c r="S936" i="28" s="1"/>
  <c r="AP937" i="28"/>
  <c r="Q937" i="28" s="1"/>
  <c r="AR937" i="28"/>
  <c r="R937" i="28" s="1"/>
  <c r="AQ937" i="28"/>
  <c r="S937" i="28" s="1"/>
  <c r="AP938" i="28"/>
  <c r="Q938" i="28" s="1"/>
  <c r="AR938" i="28"/>
  <c r="R938" i="28" s="1"/>
  <c r="AQ938" i="28"/>
  <c r="S938" i="28" s="1"/>
  <c r="AP939" i="28"/>
  <c r="Q939" i="28" s="1"/>
  <c r="AR939" i="28"/>
  <c r="R939" i="28" s="1"/>
  <c r="AQ939" i="28"/>
  <c r="S939" i="28" s="1"/>
  <c r="AP940" i="28"/>
  <c r="Q940" i="28" s="1"/>
  <c r="AR940" i="28"/>
  <c r="R940" i="28" s="1"/>
  <c r="AQ940" i="28"/>
  <c r="S940" i="28" s="1"/>
  <c r="AP941" i="28"/>
  <c r="Q941" i="28" s="1"/>
  <c r="AR941" i="28"/>
  <c r="R941" i="28" s="1"/>
  <c r="AQ941" i="28"/>
  <c r="S941" i="28" s="1"/>
  <c r="AP942" i="28"/>
  <c r="Q942" i="28" s="1"/>
  <c r="AR942" i="28"/>
  <c r="R942" i="28" s="1"/>
  <c r="AQ942" i="28"/>
  <c r="S942" i="28" s="1"/>
  <c r="AP943" i="28"/>
  <c r="Q943" i="28" s="1"/>
  <c r="AR943" i="28"/>
  <c r="R943" i="28" s="1"/>
  <c r="AQ943" i="28"/>
  <c r="S943" i="28" s="1"/>
  <c r="AP944" i="28"/>
  <c r="Q944" i="28" s="1"/>
  <c r="AR944" i="28"/>
  <c r="R944" i="28" s="1"/>
  <c r="AQ944" i="28"/>
  <c r="S944" i="28" s="1"/>
  <c r="AP945" i="28"/>
  <c r="Q945" i="28" s="1"/>
  <c r="AR945" i="28"/>
  <c r="R945" i="28" s="1"/>
  <c r="AQ945" i="28"/>
  <c r="S945" i="28" s="1"/>
  <c r="AP946" i="28"/>
  <c r="Q946" i="28" s="1"/>
  <c r="AR946" i="28"/>
  <c r="R946" i="28" s="1"/>
  <c r="AQ946" i="28"/>
  <c r="S946" i="28" s="1"/>
  <c r="AP947" i="28"/>
  <c r="Q947" i="28" s="1"/>
  <c r="AR947" i="28"/>
  <c r="R947" i="28" s="1"/>
  <c r="AQ947" i="28"/>
  <c r="S947" i="28" s="1"/>
  <c r="AP948" i="28"/>
  <c r="Q948" i="28" s="1"/>
  <c r="AR948" i="28"/>
  <c r="R948" i="28" s="1"/>
  <c r="AQ948" i="28"/>
  <c r="S948" i="28" s="1"/>
  <c r="AP949" i="28"/>
  <c r="Q949" i="28" s="1"/>
  <c r="AR949" i="28"/>
  <c r="R949" i="28" s="1"/>
  <c r="AQ949" i="28"/>
  <c r="S949" i="28" s="1"/>
  <c r="AP950" i="28"/>
  <c r="Q950" i="28" s="1"/>
  <c r="AR950" i="28"/>
  <c r="R950" i="28" s="1"/>
  <c r="AQ950" i="28"/>
  <c r="S950" i="28" s="1"/>
  <c r="AP951" i="28"/>
  <c r="Q951" i="28" s="1"/>
  <c r="AR951" i="28"/>
  <c r="R951" i="28" s="1"/>
  <c r="AQ951" i="28"/>
  <c r="S951" i="28" s="1"/>
  <c r="AP952" i="28"/>
  <c r="Q952" i="28" s="1"/>
  <c r="AR952" i="28"/>
  <c r="R952" i="28" s="1"/>
  <c r="AQ952" i="28"/>
  <c r="S952" i="28" s="1"/>
  <c r="AP953" i="28"/>
  <c r="Q953" i="28" s="1"/>
  <c r="AR953" i="28"/>
  <c r="R953" i="28" s="1"/>
  <c r="AQ953" i="28"/>
  <c r="S953" i="28" s="1"/>
  <c r="AP954" i="28"/>
  <c r="Q954" i="28" s="1"/>
  <c r="AR954" i="28"/>
  <c r="R954" i="28" s="1"/>
  <c r="AQ954" i="28"/>
  <c r="S954" i="28" s="1"/>
  <c r="AP955" i="28"/>
  <c r="Q955" i="28" s="1"/>
  <c r="AR955" i="28"/>
  <c r="R955" i="28" s="1"/>
  <c r="AQ955" i="28"/>
  <c r="S955" i="28" s="1"/>
  <c r="AP956" i="28"/>
  <c r="Q956" i="28" s="1"/>
  <c r="AR956" i="28"/>
  <c r="R956" i="28" s="1"/>
  <c r="AQ956" i="28"/>
  <c r="S956" i="28" s="1"/>
  <c r="AP957" i="28"/>
  <c r="Q957" i="28" s="1"/>
  <c r="AR957" i="28"/>
  <c r="R957" i="28" s="1"/>
  <c r="AQ957" i="28"/>
  <c r="S957" i="28" s="1"/>
  <c r="AP958" i="28"/>
  <c r="Q958" i="28" s="1"/>
  <c r="AR958" i="28"/>
  <c r="R958" i="28" s="1"/>
  <c r="AQ958" i="28"/>
  <c r="S958" i="28" s="1"/>
  <c r="AP959" i="28"/>
  <c r="Q959" i="28" s="1"/>
  <c r="AR959" i="28"/>
  <c r="R959" i="28" s="1"/>
  <c r="AQ959" i="28"/>
  <c r="S959" i="28" s="1"/>
  <c r="AP960" i="28"/>
  <c r="Q960" i="28" s="1"/>
  <c r="AR960" i="28"/>
  <c r="R960" i="28" s="1"/>
  <c r="AQ960" i="28"/>
  <c r="S960" i="28" s="1"/>
  <c r="AP961" i="28"/>
  <c r="Q961" i="28" s="1"/>
  <c r="AR961" i="28"/>
  <c r="R961" i="28" s="1"/>
  <c r="AQ961" i="28"/>
  <c r="S961" i="28" s="1"/>
  <c r="AP962" i="28"/>
  <c r="Q962" i="28" s="1"/>
  <c r="AR962" i="28"/>
  <c r="R962" i="28" s="1"/>
  <c r="AQ962" i="28"/>
  <c r="S962" i="28" s="1"/>
  <c r="AP963" i="28"/>
  <c r="Q963" i="28" s="1"/>
  <c r="AR963" i="28"/>
  <c r="R963" i="28" s="1"/>
  <c r="AQ963" i="28"/>
  <c r="S963" i="28" s="1"/>
  <c r="AP964" i="28"/>
  <c r="Q964" i="28" s="1"/>
  <c r="AR964" i="28"/>
  <c r="R964" i="28" s="1"/>
  <c r="AQ964" i="28"/>
  <c r="S964" i="28" s="1"/>
  <c r="AP965" i="28"/>
  <c r="Q965" i="28" s="1"/>
  <c r="AR965" i="28"/>
  <c r="R965" i="28" s="1"/>
  <c r="AQ965" i="28"/>
  <c r="S965" i="28" s="1"/>
  <c r="AP966" i="28"/>
  <c r="Q966" i="28" s="1"/>
  <c r="AR966" i="28"/>
  <c r="R966" i="28" s="1"/>
  <c r="AQ966" i="28"/>
  <c r="S966" i="28" s="1"/>
  <c r="AP967" i="28"/>
  <c r="Q967" i="28" s="1"/>
  <c r="AR967" i="28"/>
  <c r="R967" i="28" s="1"/>
  <c r="AQ967" i="28"/>
  <c r="S967" i="28" s="1"/>
  <c r="AP968" i="28"/>
  <c r="Q968" i="28" s="1"/>
  <c r="AR968" i="28"/>
  <c r="R968" i="28" s="1"/>
  <c r="AQ968" i="28"/>
  <c r="S968" i="28" s="1"/>
  <c r="AP969" i="28"/>
  <c r="Q969" i="28" s="1"/>
  <c r="AR969" i="28"/>
  <c r="R969" i="28" s="1"/>
  <c r="AQ969" i="28"/>
  <c r="S969" i="28" s="1"/>
  <c r="AP970" i="28"/>
  <c r="Q970" i="28" s="1"/>
  <c r="AR970" i="28"/>
  <c r="R970" i="28" s="1"/>
  <c r="AQ970" i="28"/>
  <c r="S970" i="28" s="1"/>
  <c r="AP971" i="28"/>
  <c r="Q971" i="28" s="1"/>
  <c r="AR971" i="28"/>
  <c r="R971" i="28" s="1"/>
  <c r="AQ971" i="28"/>
  <c r="S971" i="28" s="1"/>
  <c r="AP972" i="28"/>
  <c r="Q972" i="28" s="1"/>
  <c r="AR972" i="28"/>
  <c r="R972" i="28" s="1"/>
  <c r="AQ972" i="28"/>
  <c r="S972" i="28" s="1"/>
  <c r="AP973" i="28"/>
  <c r="Q973" i="28" s="1"/>
  <c r="AR973" i="28"/>
  <c r="R973" i="28" s="1"/>
  <c r="AQ973" i="28"/>
  <c r="S973" i="28" s="1"/>
  <c r="AP974" i="28"/>
  <c r="Q974" i="28" s="1"/>
  <c r="AR974" i="28"/>
  <c r="R974" i="28" s="1"/>
  <c r="AQ974" i="28"/>
  <c r="S974" i="28" s="1"/>
  <c r="AP975" i="28"/>
  <c r="Q975" i="28" s="1"/>
  <c r="AR975" i="28"/>
  <c r="R975" i="28" s="1"/>
  <c r="AQ975" i="28"/>
  <c r="S975" i="28" s="1"/>
  <c r="AP976" i="28"/>
  <c r="Q976" i="28" s="1"/>
  <c r="AR976" i="28"/>
  <c r="R976" i="28" s="1"/>
  <c r="AQ976" i="28"/>
  <c r="S976" i="28" s="1"/>
  <c r="AP977" i="28"/>
  <c r="Q977" i="28" s="1"/>
  <c r="AR977" i="28"/>
  <c r="R977" i="28" s="1"/>
  <c r="AQ977" i="28"/>
  <c r="S977" i="28" s="1"/>
  <c r="AP978" i="28"/>
  <c r="Q978" i="28" s="1"/>
  <c r="AR978" i="28"/>
  <c r="R978" i="28" s="1"/>
  <c r="AQ978" i="28"/>
  <c r="S978" i="28" s="1"/>
  <c r="AP979" i="28"/>
  <c r="Q979" i="28" s="1"/>
  <c r="AR979" i="28"/>
  <c r="R979" i="28" s="1"/>
  <c r="AQ979" i="28"/>
  <c r="S979" i="28" s="1"/>
  <c r="AP980" i="28"/>
  <c r="Q980" i="28" s="1"/>
  <c r="AR980" i="28"/>
  <c r="R980" i="28" s="1"/>
  <c r="AQ980" i="28"/>
  <c r="S980" i="28" s="1"/>
  <c r="AP981" i="28"/>
  <c r="Q981" i="28" s="1"/>
  <c r="AR981" i="28"/>
  <c r="R981" i="28" s="1"/>
  <c r="AQ981" i="28"/>
  <c r="S981" i="28" s="1"/>
  <c r="AP982" i="28"/>
  <c r="Q982" i="28" s="1"/>
  <c r="AR982" i="28"/>
  <c r="R982" i="28" s="1"/>
  <c r="AQ982" i="28"/>
  <c r="S982" i="28" s="1"/>
  <c r="AP983" i="28"/>
  <c r="Q983" i="28" s="1"/>
  <c r="AR983" i="28"/>
  <c r="R983" i="28" s="1"/>
  <c r="AQ983" i="28"/>
  <c r="S983" i="28" s="1"/>
  <c r="AP984" i="28"/>
  <c r="Q984" i="28" s="1"/>
  <c r="AR984" i="28"/>
  <c r="R984" i="28" s="1"/>
  <c r="AQ984" i="28"/>
  <c r="S984" i="28" s="1"/>
  <c r="AP985" i="28"/>
  <c r="Q985" i="28" s="1"/>
  <c r="AR985" i="28"/>
  <c r="R985" i="28" s="1"/>
  <c r="AQ985" i="28"/>
  <c r="S985" i="28" s="1"/>
  <c r="AP986" i="28"/>
  <c r="Q986" i="28" s="1"/>
  <c r="AR986" i="28"/>
  <c r="R986" i="28" s="1"/>
  <c r="AQ986" i="28"/>
  <c r="S986" i="28" s="1"/>
  <c r="AP987" i="28"/>
  <c r="Q987" i="28" s="1"/>
  <c r="AR987" i="28"/>
  <c r="R987" i="28" s="1"/>
  <c r="AQ987" i="28"/>
  <c r="S987" i="28" s="1"/>
  <c r="AP988" i="28"/>
  <c r="Q988" i="28" s="1"/>
  <c r="AR988" i="28"/>
  <c r="R988" i="28" s="1"/>
  <c r="AQ988" i="28"/>
  <c r="S988" i="28" s="1"/>
  <c r="AP989" i="28"/>
  <c r="Q989" i="28" s="1"/>
  <c r="AR989" i="28"/>
  <c r="R989" i="28" s="1"/>
  <c r="AQ989" i="28"/>
  <c r="S989" i="28" s="1"/>
  <c r="AP990" i="28"/>
  <c r="Q990" i="28" s="1"/>
  <c r="AR990" i="28"/>
  <c r="R990" i="28" s="1"/>
  <c r="AQ990" i="28"/>
  <c r="S990" i="28" s="1"/>
  <c r="AP991" i="28"/>
  <c r="Q991" i="28" s="1"/>
  <c r="AR991" i="28"/>
  <c r="R991" i="28" s="1"/>
  <c r="AQ991" i="28"/>
  <c r="S991" i="28" s="1"/>
  <c r="AP992" i="28"/>
  <c r="Q992" i="28" s="1"/>
  <c r="AR992" i="28"/>
  <c r="R992" i="28" s="1"/>
  <c r="AQ992" i="28"/>
  <c r="S992" i="28" s="1"/>
  <c r="AP993" i="28"/>
  <c r="Q993" i="28" s="1"/>
  <c r="AR993" i="28"/>
  <c r="R993" i="28" s="1"/>
  <c r="AQ993" i="28"/>
  <c r="S993" i="28" s="1"/>
  <c r="AP994" i="28"/>
  <c r="Q994" i="28" s="1"/>
  <c r="AR994" i="28"/>
  <c r="R994" i="28" s="1"/>
  <c r="AQ994" i="28"/>
  <c r="S994" i="28" s="1"/>
  <c r="AP995" i="28"/>
  <c r="Q995" i="28" s="1"/>
  <c r="AR995" i="28"/>
  <c r="R995" i="28" s="1"/>
  <c r="AQ995" i="28"/>
  <c r="S995" i="28" s="1"/>
  <c r="AP996" i="28"/>
  <c r="Q996" i="28" s="1"/>
  <c r="AR996" i="28"/>
  <c r="R996" i="28" s="1"/>
  <c r="AQ996" i="28"/>
  <c r="S996" i="28" s="1"/>
  <c r="AP997" i="28"/>
  <c r="Q997" i="28" s="1"/>
  <c r="AR997" i="28"/>
  <c r="R997" i="28" s="1"/>
  <c r="AQ997" i="28"/>
  <c r="S997" i="28" s="1"/>
  <c r="AP998" i="28"/>
  <c r="Q998" i="28" s="1"/>
  <c r="AR998" i="28"/>
  <c r="R998" i="28" s="1"/>
  <c r="AQ998" i="28"/>
  <c r="S998" i="28" s="1"/>
  <c r="AP999" i="28"/>
  <c r="Q999" i="28" s="1"/>
  <c r="AR999" i="28"/>
  <c r="R999" i="28" s="1"/>
  <c r="AQ999" i="28"/>
  <c r="S999" i="28" s="1"/>
  <c r="AP1000" i="28"/>
  <c r="Q1000" i="28" s="1"/>
  <c r="AR1000" i="28"/>
  <c r="R1000" i="28" s="1"/>
  <c r="AQ1000" i="28"/>
  <c r="S1000" i="28" s="1"/>
  <c r="AP1001" i="28"/>
  <c r="Q1001" i="28" s="1"/>
  <c r="AR1001" i="28"/>
  <c r="R1001" i="28" s="1"/>
  <c r="AQ1001" i="28"/>
  <c r="S1001" i="28" s="1"/>
  <c r="AI427" i="28"/>
  <c r="AJ427" i="28" s="1" a="1"/>
  <c r="AJ427" i="28" s="1"/>
  <c r="AK427" i="28" s="1" a="1"/>
  <c r="AK427" i="28" s="1"/>
  <c r="AM427" i="28" s="1" a="1"/>
  <c r="AM427" i="28" s="1"/>
  <c r="AI428" i="28"/>
  <c r="AJ428" i="28" s="1" a="1"/>
  <c r="AJ428" i="28" s="1"/>
  <c r="AO428" i="28" s="1"/>
  <c r="AI429" i="28"/>
  <c r="AJ429" i="28" s="1" a="1"/>
  <c r="AJ429" i="28" s="1"/>
  <c r="AL429" i="28" s="1" a="1"/>
  <c r="AL429" i="28" s="1"/>
  <c r="AN429" i="28" s="1" a="1"/>
  <c r="AN429" i="28" s="1"/>
  <c r="AI430" i="28"/>
  <c r="AJ430" i="28" s="1" a="1"/>
  <c r="AJ430" i="28" s="1"/>
  <c r="AK430" i="28" s="1" a="1"/>
  <c r="AK430" i="28" s="1"/>
  <c r="AM430" i="28" s="1" a="1"/>
  <c r="AM430" i="28" s="1"/>
  <c r="AI431" i="28"/>
  <c r="AJ431" i="28" s="1" a="1"/>
  <c r="AJ431" i="28" s="1"/>
  <c r="AL431" i="28" s="1" a="1"/>
  <c r="AL431" i="28" s="1"/>
  <c r="AN431" i="28" s="1" a="1"/>
  <c r="AN431" i="28" s="1"/>
  <c r="AI432" i="28"/>
  <c r="AJ432" i="28" s="1" a="1"/>
  <c r="AJ432" i="28" s="1"/>
  <c r="AL432" i="28" s="1" a="1"/>
  <c r="AL432" i="28" s="1"/>
  <c r="AN432" i="28" s="1" a="1"/>
  <c r="AN432" i="28" s="1"/>
  <c r="AI433" i="28"/>
  <c r="AJ433" i="28" s="1" a="1"/>
  <c r="AJ433" i="28" s="1"/>
  <c r="AO433" i="28" s="1"/>
  <c r="AI434" i="28"/>
  <c r="AJ434" i="28" s="1" a="1"/>
  <c r="AJ434" i="28" s="1"/>
  <c r="AK434" i="28" s="1" a="1"/>
  <c r="AK434" i="28" s="1"/>
  <c r="AM434" i="28" s="1" a="1"/>
  <c r="AM434" i="28" s="1"/>
  <c r="AI435" i="28"/>
  <c r="AJ435" i="28" s="1" a="1"/>
  <c r="AJ435" i="28" s="1"/>
  <c r="AL435" i="28" s="1" a="1"/>
  <c r="AL435" i="28" s="1"/>
  <c r="AN435" i="28" s="1" a="1"/>
  <c r="AN435" i="28" s="1"/>
  <c r="AI436" i="28"/>
  <c r="AJ436" i="28" s="1" a="1"/>
  <c r="AJ436" i="28" s="1"/>
  <c r="AO436" i="28" s="1"/>
  <c r="AI437" i="28"/>
  <c r="AJ437" i="28" s="1" a="1"/>
  <c r="AJ437" i="28" s="1"/>
  <c r="AK437" i="28" s="1" a="1"/>
  <c r="AK437" i="28" s="1"/>
  <c r="AM437" i="28" s="1" a="1"/>
  <c r="AM437" i="28" s="1"/>
  <c r="AI438" i="28"/>
  <c r="AJ438" i="28" s="1" a="1"/>
  <c r="AJ438" i="28" s="1"/>
  <c r="AO438" i="28" s="1"/>
  <c r="AI439" i="28"/>
  <c r="AJ439" i="28" s="1" a="1"/>
  <c r="AJ439" i="28" s="1"/>
  <c r="AL439" i="28" s="1" a="1"/>
  <c r="AL439" i="28" s="1"/>
  <c r="AN439" i="28" s="1" a="1"/>
  <c r="AN439" i="28" s="1"/>
  <c r="AI440" i="28"/>
  <c r="AJ440" i="28" s="1" a="1"/>
  <c r="AJ440" i="28" s="1"/>
  <c r="AI441" i="28"/>
  <c r="AJ441" i="28" s="1" a="1"/>
  <c r="AJ441" i="28" s="1"/>
  <c r="AL441" i="28" s="1" a="1"/>
  <c r="AL441" i="28" s="1"/>
  <c r="AN441" i="28" s="1" a="1"/>
  <c r="AN441" i="28" s="1"/>
  <c r="AI442" i="28"/>
  <c r="AJ442" i="28" s="1" a="1"/>
  <c r="AJ442" i="28" s="1"/>
  <c r="AO442" i="28" s="1"/>
  <c r="AI443" i="28"/>
  <c r="AJ443" i="28" s="1" a="1"/>
  <c r="AJ443" i="28" s="1"/>
  <c r="AK443" i="28" s="1" a="1"/>
  <c r="AK443" i="28" s="1"/>
  <c r="AM443" i="28" s="1" a="1"/>
  <c r="AM443" i="28" s="1"/>
  <c r="AI444" i="28"/>
  <c r="AJ444" i="28" s="1" a="1"/>
  <c r="AJ444" i="28" s="1"/>
  <c r="AL444" i="28" s="1" a="1"/>
  <c r="AL444" i="28" s="1"/>
  <c r="AN444" i="28" s="1" a="1"/>
  <c r="AN444" i="28" s="1"/>
  <c r="AI445" i="28"/>
  <c r="AJ445" i="28" s="1" a="1"/>
  <c r="AJ445" i="28" s="1"/>
  <c r="AL445" i="28" s="1" a="1"/>
  <c r="AL445" i="28" s="1"/>
  <c r="AN445" i="28" s="1" a="1"/>
  <c r="AN445" i="28" s="1"/>
  <c r="AI446" i="28"/>
  <c r="AJ446" i="28" s="1" a="1"/>
  <c r="AJ446" i="28" s="1"/>
  <c r="AO446" i="28" s="1"/>
  <c r="AI447" i="28"/>
  <c r="AJ447" i="28" s="1" a="1"/>
  <c r="AJ447" i="28" s="1"/>
  <c r="AL447" i="28" s="1" a="1"/>
  <c r="AL447" i="28" s="1"/>
  <c r="AN447" i="28" s="1" a="1"/>
  <c r="AN447" i="28" s="1"/>
  <c r="AI448" i="28"/>
  <c r="AJ448" i="28" s="1" a="1"/>
  <c r="AJ448" i="28" s="1"/>
  <c r="AL448" i="28" s="1" a="1"/>
  <c r="AL448" i="28" s="1"/>
  <c r="AN448" i="28" s="1" a="1"/>
  <c r="AN448" i="28" s="1"/>
  <c r="AI449" i="28"/>
  <c r="AJ449" i="28" s="1" a="1"/>
  <c r="AJ449" i="28" s="1"/>
  <c r="AK449" i="28" s="1" a="1"/>
  <c r="AK449" i="28" s="1"/>
  <c r="AM449" i="28" s="1" a="1"/>
  <c r="AM449" i="28" s="1"/>
  <c r="AI450" i="28"/>
  <c r="AJ450" i="28" s="1" a="1"/>
  <c r="AJ450" i="28" s="1"/>
  <c r="AO450" i="28" s="1"/>
  <c r="AI451" i="28"/>
  <c r="AJ451" i="28" s="1" a="1"/>
  <c r="AJ451" i="28" s="1"/>
  <c r="AO451" i="28" s="1"/>
  <c r="AI452" i="28"/>
  <c r="AJ452" i="28" s="1" a="1"/>
  <c r="AJ452" i="28" s="1"/>
  <c r="AI453" i="28"/>
  <c r="AJ453" i="28" s="1" a="1"/>
  <c r="AJ453" i="28" s="1"/>
  <c r="AL453" i="28" s="1" a="1"/>
  <c r="AL453" i="28" s="1"/>
  <c r="AN453" i="28" s="1" a="1"/>
  <c r="AN453" i="28" s="1"/>
  <c r="AI454" i="28"/>
  <c r="AJ454" i="28" s="1" a="1"/>
  <c r="AJ454" i="28" s="1"/>
  <c r="AK454" i="28" s="1" a="1"/>
  <c r="AK454" i="28" s="1"/>
  <c r="AM454" i="28" s="1" a="1"/>
  <c r="AM454" i="28" s="1"/>
  <c r="AI455" i="28"/>
  <c r="AJ455" i="28" s="1" a="1"/>
  <c r="AJ455" i="28" s="1"/>
  <c r="AO455" i="28" s="1"/>
  <c r="AI456" i="28"/>
  <c r="AJ456" i="28" s="1" a="1"/>
  <c r="AJ456" i="28" s="1"/>
  <c r="AO456" i="28" s="1"/>
  <c r="AI457" i="28"/>
  <c r="AJ457" i="28" s="1" a="1"/>
  <c r="AJ457" i="28" s="1"/>
  <c r="AL457" i="28" s="1" a="1"/>
  <c r="AL457" i="28" s="1"/>
  <c r="AN457" i="28" s="1" a="1"/>
  <c r="AN457" i="28" s="1"/>
  <c r="AI458" i="28"/>
  <c r="AJ458" i="28" s="1" a="1"/>
  <c r="AJ458" i="28" s="1"/>
  <c r="AO458" i="28" s="1"/>
  <c r="AI459" i="28"/>
  <c r="AJ459" i="28" s="1" a="1"/>
  <c r="AJ459" i="28" s="1"/>
  <c r="AI460" i="28"/>
  <c r="AJ460" i="28" s="1" a="1"/>
  <c r="AJ460" i="28" s="1"/>
  <c r="AI461" i="28"/>
  <c r="AJ461" i="28" s="1" a="1"/>
  <c r="AJ461" i="28" s="1"/>
  <c r="AK461" i="28" s="1" a="1"/>
  <c r="AK461" i="28" s="1"/>
  <c r="AM461" i="28" s="1" a="1"/>
  <c r="AM461" i="28" s="1"/>
  <c r="AI462" i="28"/>
  <c r="AJ462" i="28" s="1" a="1"/>
  <c r="AJ462" i="28" s="1"/>
  <c r="AI463" i="28"/>
  <c r="AJ463" i="28" s="1" a="1"/>
  <c r="AJ463" i="28" s="1"/>
  <c r="AO463" i="28" s="1"/>
  <c r="AI464" i="28"/>
  <c r="AJ464" i="28" s="1" a="1"/>
  <c r="AJ464" i="28" s="1"/>
  <c r="AK464" i="28" s="1" a="1"/>
  <c r="AK464" i="28" s="1"/>
  <c r="AM464" i="28" s="1" a="1"/>
  <c r="AM464" i="28" s="1"/>
  <c r="AI465" i="28"/>
  <c r="AJ465" i="28" s="1" a="1"/>
  <c r="AJ465" i="28" s="1"/>
  <c r="AL465" i="28" s="1" a="1"/>
  <c r="AL465" i="28" s="1"/>
  <c r="AN465" i="28" s="1" a="1"/>
  <c r="AN465" i="28" s="1"/>
  <c r="AI466" i="28"/>
  <c r="AJ466" i="28" s="1" a="1"/>
  <c r="AJ466" i="28" s="1"/>
  <c r="AI467" i="28"/>
  <c r="AJ467" i="28" s="1" a="1"/>
  <c r="AJ467" i="28" s="1"/>
  <c r="AK467" i="28" s="1" a="1"/>
  <c r="AK467" i="28" s="1"/>
  <c r="AM467" i="28" s="1" a="1"/>
  <c r="AM467" i="28" s="1"/>
  <c r="AI468" i="28"/>
  <c r="AJ468" i="28" s="1" a="1"/>
  <c r="AJ468" i="28" s="1"/>
  <c r="AO468" i="28" s="1"/>
  <c r="AI469" i="28"/>
  <c r="AJ469" i="28" s="1" a="1"/>
  <c r="AJ469" i="28" s="1"/>
  <c r="AO469" i="28" s="1"/>
  <c r="AI470" i="28"/>
  <c r="AJ470" i="28" s="1" a="1"/>
  <c r="AJ470" i="28" s="1"/>
  <c r="AI471" i="28"/>
  <c r="AJ471" i="28" s="1" a="1"/>
  <c r="AJ471" i="28" s="1"/>
  <c r="AL471" i="28" s="1" a="1"/>
  <c r="AL471" i="28" s="1"/>
  <c r="AN471" i="28" s="1" a="1"/>
  <c r="AN471" i="28" s="1"/>
  <c r="AI472" i="28"/>
  <c r="AJ472" i="28" s="1" a="1"/>
  <c r="AJ472" i="28" s="1"/>
  <c r="AI473" i="28"/>
  <c r="AJ473" i="28" s="1" a="1"/>
  <c r="AJ473" i="28" s="1"/>
  <c r="AO473" i="28" s="1"/>
  <c r="AI474" i="28"/>
  <c r="AJ474" i="28" s="1" a="1"/>
  <c r="AJ474" i="28" s="1"/>
  <c r="AI475" i="28"/>
  <c r="AJ475" i="28" s="1" a="1"/>
  <c r="AJ475" i="28" s="1"/>
  <c r="AO475" i="28" s="1"/>
  <c r="AI476" i="28"/>
  <c r="AJ476" i="28" s="1" a="1"/>
  <c r="AJ476" i="28" s="1"/>
  <c r="AL476" i="28" s="1" a="1"/>
  <c r="AL476" i="28" s="1"/>
  <c r="AN476" i="28" s="1" a="1"/>
  <c r="AN476" i="28" s="1"/>
  <c r="AI477" i="28"/>
  <c r="AJ477" i="28" s="1" a="1"/>
  <c r="AJ477" i="28" s="1"/>
  <c r="AK477" i="28" s="1" a="1"/>
  <c r="AK477" i="28" s="1"/>
  <c r="AM477" i="28" s="1" a="1"/>
  <c r="AM477" i="28" s="1"/>
  <c r="AI478" i="28"/>
  <c r="AJ478" i="28" s="1" a="1"/>
  <c r="AJ478" i="28" s="1"/>
  <c r="AI479" i="28"/>
  <c r="AJ479" i="28" s="1" a="1"/>
  <c r="AJ479" i="28" s="1"/>
  <c r="AK479" i="28" s="1" a="1"/>
  <c r="AK479" i="28" s="1"/>
  <c r="AM479" i="28" s="1" a="1"/>
  <c r="AM479" i="28" s="1"/>
  <c r="AI480" i="28"/>
  <c r="AJ480" i="28" s="1" a="1"/>
  <c r="AJ480" i="28" s="1"/>
  <c r="AL480" i="28" s="1" a="1"/>
  <c r="AL480" i="28" s="1"/>
  <c r="AN480" i="28" s="1" a="1"/>
  <c r="AN480" i="28" s="1"/>
  <c r="AI481" i="28"/>
  <c r="AJ481" i="28" s="1" a="1"/>
  <c r="AJ481" i="28" s="1"/>
  <c r="AO481" i="28" s="1"/>
  <c r="AI482" i="28"/>
  <c r="AJ482" i="28" s="1" a="1"/>
  <c r="AJ482" i="28" s="1"/>
  <c r="AO482" i="28" s="1"/>
  <c r="AI483" i="28"/>
  <c r="AJ483" i="28" s="1" a="1"/>
  <c r="AJ483" i="28" s="1"/>
  <c r="AO483" i="28" s="1"/>
  <c r="AI484" i="28"/>
  <c r="AJ484" i="28" s="1" a="1"/>
  <c r="AJ484" i="28" s="1"/>
  <c r="AO484" i="28" s="1"/>
  <c r="AI485" i="28"/>
  <c r="AJ485" i="28" s="1" a="1"/>
  <c r="AJ485" i="28" s="1"/>
  <c r="AO485" i="28" s="1"/>
  <c r="AI486" i="28"/>
  <c r="AJ486" i="28" s="1" a="1"/>
  <c r="AJ486" i="28" s="1"/>
  <c r="AK486" i="28" s="1" a="1"/>
  <c r="AK486" i="28" s="1"/>
  <c r="AM486" i="28" s="1" a="1"/>
  <c r="AM486" i="28" s="1"/>
  <c r="AI487" i="28"/>
  <c r="AJ487" i="28" s="1" a="1"/>
  <c r="AJ487" i="28" s="1"/>
  <c r="AL487" i="28" s="1" a="1"/>
  <c r="AL487" i="28" s="1"/>
  <c r="AN487" i="28" s="1" a="1"/>
  <c r="AN487" i="28" s="1"/>
  <c r="AI488" i="28"/>
  <c r="AJ488" i="28" s="1" a="1"/>
  <c r="AJ488" i="28" s="1"/>
  <c r="AI489" i="28"/>
  <c r="AJ489" i="28" s="1" a="1"/>
  <c r="AJ489" i="28" s="1"/>
  <c r="AL489" i="28" s="1" a="1"/>
  <c r="AL489" i="28" s="1"/>
  <c r="AN489" i="28" s="1" a="1"/>
  <c r="AN489" i="28" s="1"/>
  <c r="AI490" i="28"/>
  <c r="AJ490" i="28" s="1" a="1"/>
  <c r="AJ490" i="28" s="1"/>
  <c r="AK490" i="28" s="1" a="1"/>
  <c r="AK490" i="28" s="1"/>
  <c r="AM490" i="28" s="1" a="1"/>
  <c r="AM490" i="28" s="1"/>
  <c r="AI491" i="28"/>
  <c r="AJ491" i="28" s="1" a="1"/>
  <c r="AJ491" i="28" s="1"/>
  <c r="AO491" i="28" s="1"/>
  <c r="AI492" i="28"/>
  <c r="AJ492" i="28" s="1" a="1"/>
  <c r="AJ492" i="28" s="1"/>
  <c r="AK492" i="28" s="1" a="1"/>
  <c r="AK492" i="28" s="1"/>
  <c r="AM492" i="28" s="1" a="1"/>
  <c r="AM492" i="28" s="1"/>
  <c r="AI493" i="28"/>
  <c r="AJ493" i="28" s="1" a="1"/>
  <c r="AJ493" i="28" s="1"/>
  <c r="AK493" i="28" s="1" a="1"/>
  <c r="AK493" i="28" s="1"/>
  <c r="AM493" i="28" s="1" a="1"/>
  <c r="AM493" i="28" s="1"/>
  <c r="AI494" i="28"/>
  <c r="AJ494" i="28" s="1" a="1"/>
  <c r="AJ494" i="28" s="1"/>
  <c r="AL494" i="28" s="1" a="1"/>
  <c r="AL494" i="28" s="1"/>
  <c r="AN494" i="28" s="1" a="1"/>
  <c r="AN494" i="28" s="1"/>
  <c r="AI495" i="28"/>
  <c r="AJ495" i="28" s="1" a="1"/>
  <c r="AJ495" i="28" s="1"/>
  <c r="AO495" i="28" s="1"/>
  <c r="AI496" i="28"/>
  <c r="AJ496" i="28" s="1" a="1"/>
  <c r="AJ496" i="28" s="1"/>
  <c r="AO496" i="28" s="1"/>
  <c r="AI497" i="28"/>
  <c r="AJ497" i="28" s="1" a="1"/>
  <c r="AJ497" i="28" s="1"/>
  <c r="AL497" i="28" s="1" a="1"/>
  <c r="AL497" i="28" s="1"/>
  <c r="AN497" i="28" s="1" a="1"/>
  <c r="AN497" i="28" s="1"/>
  <c r="AI498" i="28"/>
  <c r="AJ498" i="28" s="1" a="1"/>
  <c r="AJ498" i="28" s="1"/>
  <c r="AL498" i="28" s="1" a="1"/>
  <c r="AL498" i="28" s="1"/>
  <c r="AN498" i="28" s="1" a="1"/>
  <c r="AN498" i="28" s="1"/>
  <c r="AI499" i="28"/>
  <c r="AJ499" i="28" s="1" a="1"/>
  <c r="AJ499" i="28" s="1"/>
  <c r="AO499" i="28" s="1"/>
  <c r="AI500" i="28"/>
  <c r="AJ500" i="28" s="1" a="1"/>
  <c r="AJ500" i="28" s="1"/>
  <c r="AO500" i="28" s="1"/>
  <c r="AI501" i="28"/>
  <c r="AJ501" i="28" s="1" a="1"/>
  <c r="AJ501" i="28" s="1"/>
  <c r="AO501" i="28" s="1"/>
  <c r="AI502" i="28"/>
  <c r="AJ502" i="28" s="1" a="1"/>
  <c r="AJ502" i="28" s="1"/>
  <c r="AK502" i="28" s="1" a="1"/>
  <c r="AK502" i="28" s="1"/>
  <c r="AM502" i="28" s="1" a="1"/>
  <c r="AM502" i="28" s="1"/>
  <c r="AI503" i="28"/>
  <c r="AJ503" i="28" s="1" a="1"/>
  <c r="AJ503" i="28" s="1"/>
  <c r="AL503" i="28" s="1" a="1"/>
  <c r="AL503" i="28" s="1"/>
  <c r="AN503" i="28" s="1" a="1"/>
  <c r="AN503" i="28" s="1"/>
  <c r="AI504" i="28"/>
  <c r="AJ504" i="28" s="1" a="1"/>
  <c r="AJ504" i="28" s="1"/>
  <c r="AK504" i="28" s="1" a="1"/>
  <c r="AK504" i="28" s="1"/>
  <c r="AM504" i="28" s="1" a="1"/>
  <c r="AM504" i="28" s="1"/>
  <c r="AI505" i="28"/>
  <c r="AJ505" i="28" s="1" a="1"/>
  <c r="AJ505" i="28" s="1"/>
  <c r="AK505" i="28" s="1" a="1"/>
  <c r="AK505" i="28" s="1"/>
  <c r="AM505" i="28" s="1" a="1"/>
  <c r="AM505" i="28" s="1"/>
  <c r="AI506" i="28"/>
  <c r="AJ506" i="28" s="1" a="1"/>
  <c r="AJ506" i="28" s="1"/>
  <c r="AK506" i="28" s="1" a="1"/>
  <c r="AK506" i="28" s="1"/>
  <c r="AM506" i="28" s="1" a="1"/>
  <c r="AM506" i="28" s="1"/>
  <c r="AI507" i="28"/>
  <c r="AJ507" i="28" s="1" a="1"/>
  <c r="AJ507" i="28" s="1"/>
  <c r="AK507" i="28" s="1" a="1"/>
  <c r="AK507" i="28" s="1"/>
  <c r="AM507" i="28" s="1" a="1"/>
  <c r="AM507" i="28" s="1"/>
  <c r="AI508" i="28"/>
  <c r="AJ508" i="28" s="1" a="1"/>
  <c r="AJ508" i="28" s="1"/>
  <c r="AK508" i="28" s="1" a="1"/>
  <c r="AK508" i="28" s="1"/>
  <c r="AM508" i="28" s="1" a="1"/>
  <c r="AM508" i="28" s="1"/>
  <c r="AI509" i="28"/>
  <c r="AJ509" i="28" s="1" a="1"/>
  <c r="AJ509" i="28" s="1"/>
  <c r="AO509" i="28" s="1"/>
  <c r="AI510" i="28"/>
  <c r="AJ510" i="28" s="1" a="1"/>
  <c r="AJ510" i="28" s="1"/>
  <c r="AK510" i="28" s="1" a="1"/>
  <c r="AK510" i="28" s="1"/>
  <c r="AM510" i="28" s="1" a="1"/>
  <c r="AM510" i="28" s="1"/>
  <c r="AI511" i="28"/>
  <c r="AJ511" i="28" s="1" a="1"/>
  <c r="AJ511" i="28" s="1"/>
  <c r="AO511" i="28" s="1"/>
  <c r="AI512" i="28"/>
  <c r="AJ512" i="28" s="1" a="1"/>
  <c r="AJ512" i="28" s="1"/>
  <c r="AL512" i="28" s="1" a="1"/>
  <c r="AL512" i="28" s="1"/>
  <c r="AN512" i="28" s="1" a="1"/>
  <c r="AN512" i="28" s="1"/>
  <c r="AI513" i="28"/>
  <c r="AJ513" i="28" s="1" a="1"/>
  <c r="AJ513" i="28" s="1"/>
  <c r="AK513" i="28" s="1" a="1"/>
  <c r="AK513" i="28" s="1"/>
  <c r="AM513" i="28" s="1" a="1"/>
  <c r="AM513" i="28" s="1"/>
  <c r="AI514" i="28"/>
  <c r="AJ514" i="28" s="1" a="1"/>
  <c r="AJ514" i="28" s="1"/>
  <c r="AK514" i="28" s="1" a="1"/>
  <c r="AK514" i="28" s="1"/>
  <c r="AM514" i="28" s="1" a="1"/>
  <c r="AM514" i="28" s="1"/>
  <c r="AI515" i="28"/>
  <c r="AJ515" i="28" s="1" a="1"/>
  <c r="AJ515" i="28" s="1"/>
  <c r="AO515" i="28" s="1"/>
  <c r="AI516" i="28"/>
  <c r="AJ516" i="28" s="1" a="1"/>
  <c r="AJ516" i="28" s="1"/>
  <c r="AO516" i="28" s="1"/>
  <c r="AI517" i="28"/>
  <c r="AJ517" i="28" s="1" a="1"/>
  <c r="AJ517" i="28" s="1"/>
  <c r="AK517" i="28" s="1" a="1"/>
  <c r="AK517" i="28" s="1"/>
  <c r="AM517" i="28" s="1" a="1"/>
  <c r="AM517" i="28" s="1"/>
  <c r="AI518" i="28"/>
  <c r="AJ518" i="28" s="1" a="1"/>
  <c r="AJ518" i="28" s="1"/>
  <c r="AK518" i="28" s="1" a="1"/>
  <c r="AK518" i="28" s="1"/>
  <c r="AM518" i="28" s="1" a="1"/>
  <c r="AM518" i="28" s="1"/>
  <c r="AI519" i="28"/>
  <c r="AJ519" i="28" s="1" a="1"/>
  <c r="AJ519" i="28" s="1"/>
  <c r="AK519" i="28" s="1" a="1"/>
  <c r="AK519" i="28" s="1"/>
  <c r="AM519" i="28" s="1" a="1"/>
  <c r="AM519" i="28" s="1"/>
  <c r="AI520" i="28"/>
  <c r="AJ520" i="28" s="1" a="1"/>
  <c r="AJ520" i="28" s="1"/>
  <c r="AO520" i="28" s="1"/>
  <c r="AI521" i="28"/>
  <c r="AJ521" i="28" s="1" a="1"/>
  <c r="AJ521" i="28" s="1"/>
  <c r="AL521" i="28" s="1" a="1"/>
  <c r="AL521" i="28" s="1"/>
  <c r="AN521" i="28" s="1" a="1"/>
  <c r="AN521" i="28" s="1"/>
  <c r="AI522" i="28"/>
  <c r="AJ522" i="28" s="1" a="1"/>
  <c r="AJ522" i="28" s="1"/>
  <c r="AK522" i="28" s="1" a="1"/>
  <c r="AK522" i="28" s="1"/>
  <c r="AM522" i="28" s="1" a="1"/>
  <c r="AM522" i="28" s="1"/>
  <c r="AI523" i="28"/>
  <c r="AJ523" i="28" s="1" a="1"/>
  <c r="AJ523" i="28" s="1"/>
  <c r="AK523" i="28" s="1" a="1"/>
  <c r="AK523" i="28" s="1"/>
  <c r="AM523" i="28" s="1" a="1"/>
  <c r="AM523" i="28" s="1"/>
  <c r="AI524" i="28"/>
  <c r="AJ524" i="28" s="1" a="1"/>
  <c r="AJ524" i="28" s="1"/>
  <c r="AL524" i="28" s="1" a="1"/>
  <c r="AL524" i="28" s="1"/>
  <c r="AN524" i="28" s="1" a="1"/>
  <c r="AN524" i="28" s="1"/>
  <c r="AI525" i="28"/>
  <c r="AJ525" i="28" s="1" a="1"/>
  <c r="AJ525" i="28" s="1"/>
  <c r="AK525" i="28" s="1" a="1"/>
  <c r="AK525" i="28" s="1"/>
  <c r="AM525" i="28" s="1" a="1"/>
  <c r="AM525" i="28" s="1"/>
  <c r="AI526" i="28"/>
  <c r="AJ526" i="28" s="1" a="1"/>
  <c r="AJ526" i="28" s="1"/>
  <c r="AO526" i="28" s="1"/>
  <c r="AI527" i="28"/>
  <c r="AJ527" i="28" s="1" a="1"/>
  <c r="AJ527" i="28" s="1"/>
  <c r="AL527" i="28" s="1" a="1"/>
  <c r="AL527" i="28" s="1"/>
  <c r="AN527" i="28" s="1" a="1"/>
  <c r="AN527" i="28" s="1"/>
  <c r="AI528" i="28"/>
  <c r="AJ528" i="28" s="1" a="1"/>
  <c r="AJ528" i="28" s="1"/>
  <c r="AK528" i="28" s="1" a="1"/>
  <c r="AK528" i="28" s="1"/>
  <c r="AM528" i="28" s="1" a="1"/>
  <c r="AM528" i="28" s="1"/>
  <c r="AI529" i="28"/>
  <c r="AJ529" i="28" s="1" a="1"/>
  <c r="AJ529" i="28" s="1"/>
  <c r="AK529" i="28" s="1" a="1"/>
  <c r="AK529" i="28" s="1"/>
  <c r="AM529" i="28" s="1" a="1"/>
  <c r="AM529" i="28" s="1"/>
  <c r="AI530" i="28"/>
  <c r="AJ530" i="28" s="1" a="1"/>
  <c r="AJ530" i="28" s="1"/>
  <c r="AI531" i="28"/>
  <c r="AJ531" i="28" s="1" a="1"/>
  <c r="AJ531" i="28" s="1"/>
  <c r="AK531" i="28" s="1" a="1"/>
  <c r="AK531" i="28" s="1"/>
  <c r="AM531" i="28" s="1" a="1"/>
  <c r="AM531" i="28" s="1"/>
  <c r="AI532" i="28"/>
  <c r="AJ532" i="28" s="1" a="1"/>
  <c r="AJ532" i="28" s="1"/>
  <c r="AK532" i="28" s="1" a="1"/>
  <c r="AK532" i="28" s="1"/>
  <c r="AM532" i="28" s="1" a="1"/>
  <c r="AM532" i="28" s="1"/>
  <c r="AI533" i="28"/>
  <c r="AJ533" i="28" s="1" a="1"/>
  <c r="AJ533" i="28" s="1"/>
  <c r="AK533" i="28" s="1" a="1"/>
  <c r="AK533" i="28" s="1"/>
  <c r="AM533" i="28" s="1" a="1"/>
  <c r="AM533" i="28" s="1"/>
  <c r="AI534" i="28"/>
  <c r="AJ534" i="28" s="1" a="1"/>
  <c r="AJ534" i="28" s="1"/>
  <c r="AO534" i="28" s="1"/>
  <c r="AI535" i="28"/>
  <c r="AJ535" i="28" s="1" a="1"/>
  <c r="AJ535" i="28" s="1"/>
  <c r="AI536" i="28"/>
  <c r="AJ536" i="28" s="1" a="1"/>
  <c r="AJ536" i="28" s="1"/>
  <c r="AO536" i="28" s="1"/>
  <c r="AI537" i="28"/>
  <c r="AJ537" i="28" s="1" a="1"/>
  <c r="AJ537" i="28" s="1"/>
  <c r="AL537" i="28" s="1" a="1"/>
  <c r="AL537" i="28" s="1"/>
  <c r="AN537" i="28" s="1" a="1"/>
  <c r="AN537" i="28" s="1"/>
  <c r="AI538" i="28"/>
  <c r="AJ538" i="28" s="1" a="1"/>
  <c r="AJ538" i="28" s="1"/>
  <c r="AI539" i="28"/>
  <c r="AJ539" i="28" s="1" a="1"/>
  <c r="AJ539" i="28" s="1"/>
  <c r="AI540" i="28"/>
  <c r="AJ540" i="28" s="1" a="1"/>
  <c r="AJ540" i="28" s="1"/>
  <c r="AO540" i="28" s="1"/>
  <c r="AI541" i="28"/>
  <c r="AJ541" i="28" s="1" a="1"/>
  <c r="AJ541" i="28" s="1"/>
  <c r="AI542" i="28"/>
  <c r="AJ542" i="28" s="1" a="1"/>
  <c r="AJ542" i="28" s="1"/>
  <c r="AO542" i="28" s="1"/>
  <c r="AI543" i="28"/>
  <c r="AJ543" i="28" s="1" a="1"/>
  <c r="AJ543" i="28" s="1"/>
  <c r="AO543" i="28" s="1"/>
  <c r="AI544" i="28"/>
  <c r="AJ544" i="28" s="1" a="1"/>
  <c r="AJ544" i="28" s="1"/>
  <c r="AO544" i="28" s="1"/>
  <c r="AI545" i="28"/>
  <c r="AJ545" i="28" s="1" a="1"/>
  <c r="AJ545" i="28" s="1"/>
  <c r="AK545" i="28" s="1" a="1"/>
  <c r="AK545" i="28" s="1"/>
  <c r="AM545" i="28" s="1" a="1"/>
  <c r="AM545" i="28" s="1"/>
  <c r="AI546" i="28"/>
  <c r="AJ546" i="28" s="1" a="1"/>
  <c r="AJ546" i="28" s="1"/>
  <c r="AO546" i="28" s="1"/>
  <c r="AI547" i="28"/>
  <c r="AJ547" i="28" s="1" a="1"/>
  <c r="AJ547" i="28" s="1"/>
  <c r="AI548" i="28"/>
  <c r="AJ548" i="28" s="1" a="1"/>
  <c r="AJ548" i="28" s="1"/>
  <c r="AL548" i="28" s="1" a="1"/>
  <c r="AL548" i="28" s="1"/>
  <c r="AN548" i="28" s="1" a="1"/>
  <c r="AN548" i="28" s="1"/>
  <c r="AI549" i="28"/>
  <c r="AJ549" i="28" s="1" a="1"/>
  <c r="AJ549" i="28" s="1"/>
  <c r="AK549" i="28" s="1" a="1"/>
  <c r="AK549" i="28" s="1"/>
  <c r="AM549" i="28" s="1" a="1"/>
  <c r="AM549" i="28" s="1"/>
  <c r="AI550" i="28"/>
  <c r="AJ550" i="28" s="1" a="1"/>
  <c r="AJ550" i="28" s="1"/>
  <c r="AL550" i="28" s="1" a="1"/>
  <c r="AL550" i="28" s="1"/>
  <c r="AN550" i="28" s="1" a="1"/>
  <c r="AN550" i="28" s="1"/>
  <c r="AI551" i="28"/>
  <c r="AJ551" i="28" s="1" a="1"/>
  <c r="AJ551" i="28" s="1"/>
  <c r="AK551" i="28" s="1" a="1"/>
  <c r="AK551" i="28" s="1"/>
  <c r="AM551" i="28" s="1" a="1"/>
  <c r="AM551" i="28" s="1"/>
  <c r="AI552" i="28"/>
  <c r="AJ552" i="28" s="1" a="1"/>
  <c r="AJ552" i="28" s="1"/>
  <c r="AL552" i="28" s="1" a="1"/>
  <c r="AL552" i="28" s="1"/>
  <c r="AN552" i="28" s="1" a="1"/>
  <c r="AN552" i="28" s="1"/>
  <c r="AI553" i="28"/>
  <c r="AJ553" i="28" s="1" a="1"/>
  <c r="AJ553" i="28" s="1"/>
  <c r="AI554" i="28"/>
  <c r="AJ554" i="28" s="1" a="1"/>
  <c r="AJ554" i="28" s="1"/>
  <c r="AO554" i="28" s="1"/>
  <c r="AI555" i="28"/>
  <c r="AJ555" i="28" s="1" a="1"/>
  <c r="AJ555" i="28" s="1"/>
  <c r="AO555" i="28" s="1"/>
  <c r="AI556" i="28"/>
  <c r="AJ556" i="28" s="1" a="1"/>
  <c r="AJ556" i="28" s="1"/>
  <c r="AK556" i="28" s="1" a="1"/>
  <c r="AK556" i="28" s="1"/>
  <c r="AM556" i="28" s="1" a="1"/>
  <c r="AM556" i="28" s="1"/>
  <c r="AI557" i="28"/>
  <c r="AJ557" i="28" s="1" a="1"/>
  <c r="AJ557" i="28" s="1"/>
  <c r="AI558" i="28"/>
  <c r="AJ558" i="28" s="1" a="1"/>
  <c r="AJ558" i="28" s="1"/>
  <c r="AO558" i="28" s="1"/>
  <c r="AI559" i="28"/>
  <c r="AJ559" i="28" s="1" a="1"/>
  <c r="AJ559" i="28" s="1"/>
  <c r="AO559" i="28" s="1"/>
  <c r="AI560" i="28"/>
  <c r="AJ560" i="28" s="1" a="1"/>
  <c r="AJ560" i="28" s="1"/>
  <c r="AL560" i="28" s="1" a="1"/>
  <c r="AL560" i="28" s="1"/>
  <c r="AN560" i="28" s="1" a="1"/>
  <c r="AN560" i="28" s="1"/>
  <c r="AI561" i="28"/>
  <c r="AJ561" i="28" s="1" a="1"/>
  <c r="AJ561" i="28" s="1"/>
  <c r="AL561" i="28" s="1" a="1"/>
  <c r="AL561" i="28" s="1"/>
  <c r="AN561" i="28" s="1" a="1"/>
  <c r="AN561" i="28" s="1"/>
  <c r="AI562" i="28"/>
  <c r="AJ562" i="28" s="1" a="1"/>
  <c r="AJ562" i="28" s="1"/>
  <c r="AK562" i="28" s="1" a="1"/>
  <c r="AK562" i="28" s="1"/>
  <c r="AM562" i="28" s="1" a="1"/>
  <c r="AM562" i="28" s="1"/>
  <c r="AI563" i="28"/>
  <c r="AJ563" i="28" s="1" a="1"/>
  <c r="AJ563" i="28" s="1"/>
  <c r="AK563" i="28" s="1" a="1"/>
  <c r="AK563" i="28" s="1"/>
  <c r="AM563" i="28" s="1" a="1"/>
  <c r="AM563" i="28" s="1"/>
  <c r="AI564" i="28"/>
  <c r="AJ564" i="28" s="1" a="1"/>
  <c r="AJ564" i="28" s="1"/>
  <c r="AI565" i="28"/>
  <c r="AJ565" i="28" s="1" a="1"/>
  <c r="AJ565" i="28" s="1"/>
  <c r="AI566" i="28"/>
  <c r="AJ566" i="28" s="1" a="1"/>
  <c r="AJ566" i="28" s="1"/>
  <c r="AI567" i="28"/>
  <c r="AJ567" i="28" s="1" a="1"/>
  <c r="AJ567" i="28" s="1"/>
  <c r="AI568" i="28"/>
  <c r="AJ568" i="28" s="1" a="1"/>
  <c r="AJ568" i="28" s="1"/>
  <c r="AK568" i="28" s="1" a="1"/>
  <c r="AK568" i="28" s="1"/>
  <c r="AM568" i="28" s="1" a="1"/>
  <c r="AM568" i="28" s="1"/>
  <c r="AI569" i="28"/>
  <c r="AJ569" i="28" s="1" a="1"/>
  <c r="AJ569" i="28" s="1"/>
  <c r="AI570" i="28"/>
  <c r="AJ570" i="28" s="1" a="1"/>
  <c r="AJ570" i="28" s="1"/>
  <c r="AK570" i="28" s="1" a="1"/>
  <c r="AK570" i="28" s="1"/>
  <c r="AM570" i="28" s="1" a="1"/>
  <c r="AM570" i="28" s="1"/>
  <c r="AI571" i="28"/>
  <c r="AJ571" i="28" s="1" a="1"/>
  <c r="AJ571" i="28" s="1"/>
  <c r="AI572" i="28"/>
  <c r="AJ572" i="28" s="1" a="1"/>
  <c r="AJ572" i="28" s="1"/>
  <c r="AL572" i="28" s="1" a="1"/>
  <c r="AL572" i="28" s="1"/>
  <c r="AN572" i="28" s="1" a="1"/>
  <c r="AN572" i="28" s="1"/>
  <c r="AI573" i="28"/>
  <c r="AJ573" i="28" s="1" a="1"/>
  <c r="AJ573" i="28" s="1"/>
  <c r="AI574" i="28"/>
  <c r="AJ574" i="28" s="1" a="1"/>
  <c r="AJ574" i="28" s="1"/>
  <c r="AL574" i="28" s="1" a="1"/>
  <c r="AL574" i="28" s="1"/>
  <c r="AN574" i="28" s="1" a="1"/>
  <c r="AN574" i="28" s="1"/>
  <c r="AI575" i="28"/>
  <c r="AJ575" i="28" s="1" a="1"/>
  <c r="AJ575" i="28" s="1"/>
  <c r="AL575" i="28" s="1" a="1"/>
  <c r="AL575" i="28" s="1"/>
  <c r="AN575" i="28" s="1" a="1"/>
  <c r="AN575" i="28" s="1"/>
  <c r="AI576" i="28"/>
  <c r="AJ576" i="28" s="1" a="1"/>
  <c r="AJ576" i="28" s="1"/>
  <c r="AK576" i="28" s="1" a="1"/>
  <c r="AK576" i="28" s="1"/>
  <c r="AM576" i="28" s="1" a="1"/>
  <c r="AM576" i="28" s="1"/>
  <c r="AI577" i="28"/>
  <c r="AJ577" i="28" s="1" a="1"/>
  <c r="AJ577" i="28" s="1"/>
  <c r="AI578" i="28"/>
  <c r="AJ578" i="28" s="1" a="1"/>
  <c r="AJ578" i="28" s="1"/>
  <c r="AO578" i="28" s="1"/>
  <c r="AI579" i="28"/>
  <c r="AJ579" i="28" s="1" a="1"/>
  <c r="AJ579" i="28" s="1"/>
  <c r="AO579" i="28" s="1"/>
  <c r="AI580" i="28"/>
  <c r="AJ580" i="28" s="1" a="1"/>
  <c r="AJ580" i="28" s="1"/>
  <c r="AI581" i="28"/>
  <c r="AJ581" i="28" s="1" a="1"/>
  <c r="AJ581" i="28" s="1"/>
  <c r="AO581" i="28" s="1"/>
  <c r="AI582" i="28"/>
  <c r="AJ582" i="28" s="1" a="1"/>
  <c r="AJ582" i="28" s="1"/>
  <c r="AL582" i="28" s="1" a="1"/>
  <c r="AL582" i="28" s="1"/>
  <c r="AN582" i="28" s="1" a="1"/>
  <c r="AN582" i="28" s="1"/>
  <c r="AI583" i="28"/>
  <c r="AJ583" i="28" s="1" a="1"/>
  <c r="AJ583" i="28" s="1"/>
  <c r="AO583" i="28" s="1"/>
  <c r="AI584" i="28"/>
  <c r="AJ584" i="28" s="1" a="1"/>
  <c r="AJ584" i="28" s="1"/>
  <c r="AL584" i="28" s="1" a="1"/>
  <c r="AL584" i="28" s="1"/>
  <c r="AN584" i="28" s="1" a="1"/>
  <c r="AN584" i="28" s="1"/>
  <c r="AI585" i="28"/>
  <c r="AJ585" i="28" s="1" a="1"/>
  <c r="AJ585" i="28" s="1"/>
  <c r="AI586" i="28"/>
  <c r="AJ586" i="28" s="1" a="1"/>
  <c r="AJ586" i="28" s="1"/>
  <c r="AI587" i="28"/>
  <c r="AJ587" i="28" s="1" a="1"/>
  <c r="AJ587" i="28" s="1"/>
  <c r="AO587" i="28" s="1"/>
  <c r="AI588" i="28"/>
  <c r="AJ588" i="28" s="1" a="1"/>
  <c r="AJ588" i="28" s="1"/>
  <c r="AL588" i="28" s="1" a="1"/>
  <c r="AL588" i="28" s="1"/>
  <c r="AN588" i="28" s="1" a="1"/>
  <c r="AN588" i="28" s="1"/>
  <c r="AI589" i="28"/>
  <c r="AJ589" i="28" s="1" a="1"/>
  <c r="AJ589" i="28" s="1"/>
  <c r="AI590" i="28"/>
  <c r="AJ590" i="28" s="1" a="1"/>
  <c r="AJ590" i="28" s="1"/>
  <c r="AK590" i="28" s="1" a="1"/>
  <c r="AK590" i="28" s="1"/>
  <c r="AM590" i="28" s="1" a="1"/>
  <c r="AM590" i="28" s="1"/>
  <c r="AI591" i="28"/>
  <c r="AJ591" i="28" s="1" a="1"/>
  <c r="AJ591" i="28" s="1"/>
  <c r="AL591" i="28" s="1" a="1"/>
  <c r="AL591" i="28" s="1"/>
  <c r="AN591" i="28" s="1" a="1"/>
  <c r="AN591" i="28" s="1"/>
  <c r="AI592" i="28"/>
  <c r="AJ592" i="28" s="1" a="1"/>
  <c r="AJ592" i="28" s="1"/>
  <c r="AO592" i="28" s="1"/>
  <c r="AI593" i="28"/>
  <c r="AJ593" i="28" s="1" a="1"/>
  <c r="AJ593" i="28" s="1"/>
  <c r="AL593" i="28" s="1" a="1"/>
  <c r="AL593" i="28" s="1"/>
  <c r="AN593" i="28" s="1" a="1"/>
  <c r="AN593" i="28" s="1"/>
  <c r="AI594" i="28"/>
  <c r="AJ594" i="28" s="1" a="1"/>
  <c r="AJ594" i="28" s="1"/>
  <c r="AI595" i="28"/>
  <c r="AJ595" i="28" s="1" a="1"/>
  <c r="AJ595" i="28" s="1"/>
  <c r="AO595" i="28" s="1"/>
  <c r="AI596" i="28"/>
  <c r="AJ596" i="28" s="1" a="1"/>
  <c r="AJ596" i="28" s="1"/>
  <c r="AO596" i="28" s="1"/>
  <c r="AI597" i="28"/>
  <c r="AJ597" i="28" s="1" a="1"/>
  <c r="AJ597" i="28" s="1"/>
  <c r="AL597" i="28" s="1" a="1"/>
  <c r="AL597" i="28" s="1"/>
  <c r="AN597" i="28" s="1" a="1"/>
  <c r="AN597" i="28" s="1"/>
  <c r="AI598" i="28"/>
  <c r="AJ598" i="28" s="1" a="1"/>
  <c r="AJ598" i="28" s="1"/>
  <c r="AK598" i="28" s="1" a="1"/>
  <c r="AK598" i="28" s="1"/>
  <c r="AM598" i="28" s="1" a="1"/>
  <c r="AM598" i="28" s="1"/>
  <c r="AI599" i="28"/>
  <c r="AJ599" i="28" s="1" a="1"/>
  <c r="AJ599" i="28" s="1"/>
  <c r="AO599" i="28" s="1"/>
  <c r="AI600" i="28"/>
  <c r="AJ600" i="28" s="1" a="1"/>
  <c r="AJ600" i="28" s="1"/>
  <c r="AK600" i="28" s="1" a="1"/>
  <c r="AK600" i="28" s="1"/>
  <c r="AM600" i="28" s="1" a="1"/>
  <c r="AM600" i="28" s="1"/>
  <c r="AI601" i="28"/>
  <c r="AJ601" i="28" s="1" a="1"/>
  <c r="AJ601" i="28" s="1"/>
  <c r="AO601" i="28" s="1"/>
  <c r="AI602" i="28"/>
  <c r="AJ602" i="28" s="1" a="1"/>
  <c r="AJ602" i="28" s="1"/>
  <c r="AI603" i="28"/>
  <c r="AJ603" i="28" s="1" a="1"/>
  <c r="AJ603" i="28" s="1"/>
  <c r="AO603" i="28" s="1"/>
  <c r="AI604" i="28"/>
  <c r="AJ604" i="28" s="1" a="1"/>
  <c r="AJ604" i="28" s="1"/>
  <c r="AO604" i="28" s="1"/>
  <c r="AI605" i="28"/>
  <c r="AJ605" i="28" s="1" a="1"/>
  <c r="AJ605" i="28" s="1"/>
  <c r="AL605" i="28" s="1" a="1"/>
  <c r="AL605" i="28" s="1"/>
  <c r="AN605" i="28" s="1" a="1"/>
  <c r="AN605" i="28" s="1"/>
  <c r="AI606" i="28"/>
  <c r="AJ606" i="28" s="1" a="1"/>
  <c r="AJ606" i="28" s="1"/>
  <c r="AL606" i="28" s="1" a="1"/>
  <c r="AL606" i="28" s="1"/>
  <c r="AN606" i="28" s="1" a="1"/>
  <c r="AN606" i="28" s="1"/>
  <c r="AI607" i="28"/>
  <c r="AJ607" i="28" s="1" a="1"/>
  <c r="AJ607" i="28" s="1"/>
  <c r="AO607" i="28" s="1"/>
  <c r="AI608" i="28"/>
  <c r="AJ608" i="28" s="1" a="1"/>
  <c r="AJ608" i="28" s="1"/>
  <c r="AL608" i="28" s="1" a="1"/>
  <c r="AL608" i="28" s="1"/>
  <c r="AN608" i="28" s="1" a="1"/>
  <c r="AN608" i="28" s="1"/>
  <c r="AI609" i="28"/>
  <c r="AJ609" i="28" s="1" a="1"/>
  <c r="AJ609" i="28" s="1"/>
  <c r="AK609" i="28" s="1" a="1"/>
  <c r="AK609" i="28" s="1"/>
  <c r="AM609" i="28" s="1" a="1"/>
  <c r="AM609" i="28" s="1"/>
  <c r="AI610" i="28"/>
  <c r="AJ610" i="28" s="1" a="1"/>
  <c r="AJ610" i="28" s="1"/>
  <c r="AI611" i="28"/>
  <c r="AJ611" i="28" s="1" a="1"/>
  <c r="AJ611" i="28" s="1"/>
  <c r="AI612" i="28"/>
  <c r="AJ612" i="28" s="1" a="1"/>
  <c r="AJ612" i="28" s="1"/>
  <c r="AL612" i="28" s="1" a="1"/>
  <c r="AL612" i="28" s="1"/>
  <c r="AN612" i="28" s="1" a="1"/>
  <c r="AN612" i="28" s="1"/>
  <c r="AI613" i="28"/>
  <c r="AJ613" i="28" s="1" a="1"/>
  <c r="AJ613" i="28" s="1"/>
  <c r="AK613" i="28" s="1" a="1"/>
  <c r="AK613" i="28" s="1"/>
  <c r="AM613" i="28" s="1" a="1"/>
  <c r="AM613" i="28" s="1"/>
  <c r="AI614" i="28"/>
  <c r="AJ614" i="28" s="1" a="1"/>
  <c r="AJ614" i="28" s="1"/>
  <c r="AO614" i="28" s="1"/>
  <c r="AI615" i="28"/>
  <c r="AJ615" i="28" s="1" a="1"/>
  <c r="AJ615" i="28" s="1"/>
  <c r="AK615" i="28" s="1" a="1"/>
  <c r="AK615" i="28" s="1"/>
  <c r="AM615" i="28" s="1" a="1"/>
  <c r="AM615" i="28" s="1"/>
  <c r="AI616" i="28"/>
  <c r="AJ616" i="28" s="1" a="1"/>
  <c r="AJ616" i="28" s="1"/>
  <c r="AI617" i="28"/>
  <c r="AJ617" i="28" s="1" a="1"/>
  <c r="AJ617" i="28" s="1"/>
  <c r="AK617" i="28" s="1" a="1"/>
  <c r="AK617" i="28" s="1"/>
  <c r="AM617" i="28" s="1" a="1"/>
  <c r="AM617" i="28" s="1"/>
  <c r="AI618" i="28"/>
  <c r="AJ618" i="28" s="1" a="1"/>
  <c r="AJ618" i="28" s="1"/>
  <c r="AO618" i="28" s="1"/>
  <c r="AI619" i="28"/>
  <c r="AJ619" i="28" s="1" a="1"/>
  <c r="AJ619" i="28" s="1"/>
  <c r="AI620" i="28"/>
  <c r="AJ620" i="28" s="1" a="1"/>
  <c r="AJ620" i="28" s="1"/>
  <c r="AL620" i="28" s="1" a="1"/>
  <c r="AL620" i="28" s="1"/>
  <c r="AN620" i="28" s="1" a="1"/>
  <c r="AN620" i="28" s="1"/>
  <c r="AI621" i="28"/>
  <c r="AJ621" i="28" s="1" a="1"/>
  <c r="AJ621" i="28" s="1"/>
  <c r="AI622" i="28"/>
  <c r="AJ622" i="28" s="1" a="1"/>
  <c r="AJ622" i="28" s="1"/>
  <c r="AK622" i="28" s="1" a="1"/>
  <c r="AK622" i="28" s="1"/>
  <c r="AM622" i="28" s="1" a="1"/>
  <c r="AM622" i="28" s="1"/>
  <c r="AI623" i="28"/>
  <c r="AJ623" i="28" s="1" a="1"/>
  <c r="AJ623" i="28" s="1"/>
  <c r="AO623" i="28" s="1"/>
  <c r="AI624" i="28"/>
  <c r="AJ624" i="28" s="1" a="1"/>
  <c r="AJ624" i="28" s="1"/>
  <c r="AI625" i="28"/>
  <c r="AJ625" i="28" s="1" a="1"/>
  <c r="AJ625" i="28" s="1"/>
  <c r="AO625" i="28" s="1"/>
  <c r="AI626" i="28"/>
  <c r="AJ626" i="28" s="1" a="1"/>
  <c r="AJ626" i="28" s="1"/>
  <c r="AO626" i="28" s="1"/>
  <c r="AI627" i="28"/>
  <c r="AJ627" i="28" s="1" a="1"/>
  <c r="AJ627" i="28" s="1"/>
  <c r="AL627" i="28" s="1" a="1"/>
  <c r="AL627" i="28" s="1"/>
  <c r="AN627" i="28" s="1" a="1"/>
  <c r="AN627" i="28" s="1"/>
  <c r="AI628" i="28"/>
  <c r="AJ628" i="28" s="1" a="1"/>
  <c r="AJ628" i="28" s="1"/>
  <c r="AI629" i="28"/>
  <c r="AJ629" i="28" s="1" a="1"/>
  <c r="AJ629" i="28" s="1"/>
  <c r="AI630" i="28"/>
  <c r="AJ630" i="28" s="1" a="1"/>
  <c r="AJ630" i="28" s="1"/>
  <c r="AL630" i="28" s="1" a="1"/>
  <c r="AL630" i="28" s="1"/>
  <c r="AN630" i="28" s="1" a="1"/>
  <c r="AN630" i="28" s="1"/>
  <c r="AI631" i="28"/>
  <c r="AJ631" i="28" s="1" a="1"/>
  <c r="AJ631" i="28" s="1"/>
  <c r="AL631" i="28" s="1" a="1"/>
  <c r="AL631" i="28" s="1"/>
  <c r="AN631" i="28" s="1" a="1"/>
  <c r="AN631" i="28" s="1"/>
  <c r="AI632" i="28"/>
  <c r="AJ632" i="28" s="1" a="1"/>
  <c r="AJ632" i="28" s="1"/>
  <c r="AI633" i="28"/>
  <c r="AJ633" i="28" s="1" a="1"/>
  <c r="AJ633" i="28" s="1"/>
  <c r="AL633" i="28" s="1" a="1"/>
  <c r="AL633" i="28" s="1"/>
  <c r="AN633" i="28" s="1" a="1"/>
  <c r="AN633" i="28" s="1"/>
  <c r="AI634" i="28"/>
  <c r="AJ634" i="28" s="1" a="1"/>
  <c r="AJ634" i="28" s="1"/>
  <c r="AK634" i="28" s="1" a="1"/>
  <c r="AK634" i="28" s="1"/>
  <c r="AM634" i="28" s="1" a="1"/>
  <c r="AM634" i="28" s="1"/>
  <c r="AI635" i="28"/>
  <c r="AJ635" i="28" s="1" a="1"/>
  <c r="AJ635" i="28" s="1"/>
  <c r="AL635" i="28" s="1" a="1"/>
  <c r="AL635" i="28" s="1"/>
  <c r="AN635" i="28" s="1" a="1"/>
  <c r="AN635" i="28" s="1"/>
  <c r="AI636" i="28"/>
  <c r="AJ636" i="28" s="1" a="1"/>
  <c r="AJ636" i="28" s="1"/>
  <c r="AK636" i="28" s="1" a="1"/>
  <c r="AK636" i="28" s="1"/>
  <c r="AM636" i="28" s="1" a="1"/>
  <c r="AM636" i="28" s="1"/>
  <c r="AI637" i="28"/>
  <c r="AJ637" i="28" s="1" a="1"/>
  <c r="AJ637" i="28" s="1"/>
  <c r="AO637" i="28" s="1"/>
  <c r="AI638" i="28"/>
  <c r="AJ638" i="28" s="1" a="1"/>
  <c r="AJ638" i="28" s="1"/>
  <c r="AL638" i="28" s="1" a="1"/>
  <c r="AL638" i="28" s="1"/>
  <c r="AN638" i="28" s="1" a="1"/>
  <c r="AN638" i="28" s="1"/>
  <c r="AI639" i="28"/>
  <c r="AJ639" i="28" s="1" a="1"/>
  <c r="AJ639" i="28" s="1"/>
  <c r="AO639" i="28" s="1"/>
  <c r="AI640" i="28"/>
  <c r="AJ640" i="28" s="1" a="1"/>
  <c r="AJ640" i="28" s="1"/>
  <c r="AO640" i="28" s="1"/>
  <c r="AI641" i="28"/>
  <c r="AJ641" i="28" s="1" a="1"/>
  <c r="AJ641" i="28" s="1"/>
  <c r="AO641" i="28" s="1"/>
  <c r="AI642" i="28"/>
  <c r="AJ642" i="28" s="1" a="1"/>
  <c r="AJ642" i="28" s="1"/>
  <c r="AO642" i="28" s="1"/>
  <c r="AI643" i="28"/>
  <c r="AJ643" i="28" s="1" a="1"/>
  <c r="AJ643" i="28" s="1"/>
  <c r="AO643" i="28" s="1"/>
  <c r="AI644" i="28"/>
  <c r="AJ644" i="28" s="1" a="1"/>
  <c r="AJ644" i="28" s="1"/>
  <c r="AI645" i="28"/>
  <c r="AJ645" i="28" s="1" a="1"/>
  <c r="AJ645" i="28" s="1"/>
  <c r="AI646" i="28"/>
  <c r="AJ646" i="28" s="1" a="1"/>
  <c r="AJ646" i="28" s="1"/>
  <c r="AL646" i="28" s="1" a="1"/>
  <c r="AL646" i="28" s="1"/>
  <c r="AN646" i="28" s="1" a="1"/>
  <c r="AN646" i="28" s="1"/>
  <c r="AI647" i="28"/>
  <c r="AJ647" i="28" s="1" a="1"/>
  <c r="AJ647" i="28" s="1"/>
  <c r="AL647" i="28" s="1" a="1"/>
  <c r="AL647" i="28" s="1"/>
  <c r="AN647" i="28" s="1" a="1"/>
  <c r="AN647" i="28" s="1"/>
  <c r="AI648" i="28"/>
  <c r="AJ648" i="28" s="1" a="1"/>
  <c r="AJ648" i="28" s="1"/>
  <c r="AI649" i="28"/>
  <c r="AJ649" i="28" s="1" a="1"/>
  <c r="AJ649" i="28" s="1"/>
  <c r="AK649" i="28" s="1" a="1"/>
  <c r="AK649" i="28" s="1"/>
  <c r="AM649" i="28" s="1" a="1"/>
  <c r="AM649" i="28" s="1"/>
  <c r="AI650" i="28"/>
  <c r="AJ650" i="28" s="1" a="1"/>
  <c r="AJ650" i="28" s="1"/>
  <c r="AO650" i="28" s="1"/>
  <c r="AI651" i="28"/>
  <c r="AJ651" i="28" s="1" a="1"/>
  <c r="AJ651" i="28" s="1"/>
  <c r="AL651" i="28" s="1" a="1"/>
  <c r="AL651" i="28" s="1"/>
  <c r="AN651" i="28" s="1" a="1"/>
  <c r="AN651" i="28" s="1"/>
  <c r="AI652" i="28"/>
  <c r="AJ652" i="28" s="1" a="1"/>
  <c r="AJ652" i="28" s="1"/>
  <c r="AL652" i="28" s="1" a="1"/>
  <c r="AL652" i="28" s="1"/>
  <c r="AN652" i="28" s="1" a="1"/>
  <c r="AN652" i="28" s="1"/>
  <c r="AI653" i="28"/>
  <c r="AJ653" i="28" s="1" a="1"/>
  <c r="AJ653" i="28" s="1"/>
  <c r="AO653" i="28" s="1"/>
  <c r="AI654" i="28"/>
  <c r="AJ654" i="28" s="1" a="1"/>
  <c r="AJ654" i="28" s="1"/>
  <c r="AI655" i="28"/>
  <c r="AJ655" i="28" s="1" a="1"/>
  <c r="AJ655" i="28" s="1"/>
  <c r="AL655" i="28" s="1" a="1"/>
  <c r="AL655" i="28" s="1"/>
  <c r="AN655" i="28" s="1" a="1"/>
  <c r="AN655" i="28" s="1"/>
  <c r="AI656" i="28"/>
  <c r="AJ656" i="28" s="1" a="1"/>
  <c r="AJ656" i="28" s="1"/>
  <c r="AI657" i="28"/>
  <c r="AJ657" i="28" s="1" a="1"/>
  <c r="AJ657" i="28" s="1"/>
  <c r="AL657" i="28" s="1" a="1"/>
  <c r="AL657" i="28" s="1"/>
  <c r="AN657" i="28" s="1" a="1"/>
  <c r="AN657" i="28" s="1"/>
  <c r="AI658" i="28"/>
  <c r="AJ658" i="28" s="1" a="1"/>
  <c r="AJ658" i="28" s="1"/>
  <c r="AI659" i="28"/>
  <c r="AJ659" i="28" s="1" a="1"/>
  <c r="AJ659" i="28" s="1"/>
  <c r="AO659" i="28" s="1"/>
  <c r="AI660" i="28"/>
  <c r="AJ660" i="28" s="1" a="1"/>
  <c r="AJ660" i="28" s="1"/>
  <c r="AL660" i="28" s="1" a="1"/>
  <c r="AL660" i="28" s="1"/>
  <c r="AN660" i="28" s="1" a="1"/>
  <c r="AN660" i="28" s="1"/>
  <c r="AI661" i="28"/>
  <c r="AJ661" i="28" s="1" a="1"/>
  <c r="AJ661" i="28" s="1"/>
  <c r="AO661" i="28" s="1"/>
  <c r="AI662" i="28"/>
  <c r="AJ662" i="28" s="1" a="1"/>
  <c r="AJ662" i="28" s="1"/>
  <c r="AI663" i="28"/>
  <c r="AJ663" i="28" s="1" a="1"/>
  <c r="AJ663" i="28" s="1"/>
  <c r="AI664" i="28"/>
  <c r="AJ664" i="28" s="1" a="1"/>
  <c r="AJ664" i="28" s="1"/>
  <c r="AI665" i="28"/>
  <c r="AJ665" i="28" s="1" a="1"/>
  <c r="AJ665" i="28" s="1"/>
  <c r="AO665" i="28" s="1"/>
  <c r="AI666" i="28"/>
  <c r="AJ666" i="28" s="1" a="1"/>
  <c r="AJ666" i="28" s="1"/>
  <c r="AO666" i="28" s="1"/>
  <c r="AI667" i="28"/>
  <c r="AJ667" i="28" s="1" a="1"/>
  <c r="AJ667" i="28" s="1"/>
  <c r="AO667" i="28" s="1"/>
  <c r="AI668" i="28"/>
  <c r="AJ668" i="28" s="1" a="1"/>
  <c r="AJ668" i="28" s="1"/>
  <c r="AO668" i="28" s="1"/>
  <c r="AI669" i="28"/>
  <c r="AJ669" i="28" s="1" a="1"/>
  <c r="AJ669" i="28" s="1"/>
  <c r="AK669" i="28" s="1" a="1"/>
  <c r="AK669" i="28" s="1"/>
  <c r="AM669" i="28" s="1" a="1"/>
  <c r="AM669" i="28" s="1"/>
  <c r="AI670" i="28"/>
  <c r="AJ670" i="28" s="1" a="1"/>
  <c r="AJ670" i="28" s="1"/>
  <c r="AL670" i="28" s="1" a="1"/>
  <c r="AL670" i="28" s="1"/>
  <c r="AN670" i="28" s="1" a="1"/>
  <c r="AN670" i="28" s="1"/>
  <c r="AI671" i="28"/>
  <c r="AJ671" i="28" s="1" a="1"/>
  <c r="AJ671" i="28" s="1"/>
  <c r="AL671" i="28" s="1" a="1"/>
  <c r="AL671" i="28" s="1"/>
  <c r="AN671" i="28" s="1" a="1"/>
  <c r="AN671" i="28" s="1"/>
  <c r="AI672" i="28"/>
  <c r="AJ672" i="28" s="1" a="1"/>
  <c r="AJ672" i="28" s="1"/>
  <c r="AK672" i="28" s="1" a="1"/>
  <c r="AK672" i="28" s="1"/>
  <c r="AM672" i="28" s="1" a="1"/>
  <c r="AM672" i="28" s="1"/>
  <c r="AI673" i="28"/>
  <c r="AJ673" i="28" s="1" a="1"/>
  <c r="AJ673" i="28" s="1"/>
  <c r="AO673" i="28" s="1"/>
  <c r="AI674" i="28"/>
  <c r="AJ674" i="28" s="1" a="1"/>
  <c r="AJ674" i="28" s="1"/>
  <c r="AI675" i="28"/>
  <c r="AJ675" i="28" s="1" a="1"/>
  <c r="AJ675" i="28" s="1"/>
  <c r="AO675" i="28" s="1"/>
  <c r="AI676" i="28"/>
  <c r="AJ676" i="28" s="1" a="1"/>
  <c r="AJ676" i="28" s="1"/>
  <c r="AL676" i="28" s="1" a="1"/>
  <c r="AL676" i="28" s="1"/>
  <c r="AN676" i="28" s="1" a="1"/>
  <c r="AN676" i="28" s="1"/>
  <c r="AI677" i="28"/>
  <c r="AJ677" i="28" s="1" a="1"/>
  <c r="AJ677" i="28" s="1"/>
  <c r="AO677" i="28" s="1"/>
  <c r="AI678" i="28"/>
  <c r="AJ678" i="28" s="1" a="1"/>
  <c r="AJ678" i="28" s="1"/>
  <c r="AL678" i="28" s="1" a="1"/>
  <c r="AL678" i="28" s="1"/>
  <c r="AN678" i="28" s="1" a="1"/>
  <c r="AN678" i="28" s="1"/>
  <c r="AI679" i="28"/>
  <c r="AJ679" i="28" s="1" a="1"/>
  <c r="AJ679" i="28" s="1"/>
  <c r="AI680" i="28"/>
  <c r="AJ680" i="28" s="1" a="1"/>
  <c r="AJ680" i="28" s="1"/>
  <c r="AO680" i="28" s="1"/>
  <c r="AI681" i="28"/>
  <c r="AJ681" i="28" s="1" a="1"/>
  <c r="AJ681" i="28" s="1"/>
  <c r="AO681" i="28" s="1"/>
  <c r="AI682" i="28"/>
  <c r="AJ682" i="28" s="1" a="1"/>
  <c r="AJ682" i="28" s="1"/>
  <c r="AL682" i="28" s="1" a="1"/>
  <c r="AL682" i="28" s="1"/>
  <c r="AN682" i="28" s="1" a="1"/>
  <c r="AN682" i="28" s="1"/>
  <c r="AI683" i="28"/>
  <c r="AJ683" i="28" s="1" a="1"/>
  <c r="AJ683" i="28" s="1"/>
  <c r="AK683" i="28" s="1" a="1"/>
  <c r="AK683" i="28" s="1"/>
  <c r="AM683" i="28" s="1" a="1"/>
  <c r="AM683" i="28" s="1"/>
  <c r="AI684" i="28"/>
  <c r="AJ684" i="28" s="1" a="1"/>
  <c r="AJ684" i="28" s="1"/>
  <c r="AK684" i="28" s="1" a="1"/>
  <c r="AK684" i="28" s="1"/>
  <c r="AM684" i="28" s="1" a="1"/>
  <c r="AM684" i="28" s="1"/>
  <c r="AI685" i="28"/>
  <c r="AJ685" i="28" s="1" a="1"/>
  <c r="AJ685" i="28" s="1"/>
  <c r="AK685" i="28" s="1" a="1"/>
  <c r="AK685" i="28" s="1"/>
  <c r="AM685" i="28" s="1" a="1"/>
  <c r="AM685" i="28" s="1"/>
  <c r="AI686" i="28"/>
  <c r="AJ686" i="28" s="1" a="1"/>
  <c r="AJ686" i="28" s="1"/>
  <c r="AL686" i="28" s="1" a="1"/>
  <c r="AL686" i="28" s="1"/>
  <c r="AN686" i="28" s="1" a="1"/>
  <c r="AN686" i="28" s="1"/>
  <c r="AI687" i="28"/>
  <c r="AJ687" i="28" s="1" a="1"/>
  <c r="AJ687" i="28" s="1"/>
  <c r="AL687" i="28" s="1" a="1"/>
  <c r="AL687" i="28" s="1"/>
  <c r="AN687" i="28" s="1" a="1"/>
  <c r="AN687" i="28" s="1"/>
  <c r="AI688" i="28"/>
  <c r="AJ688" i="28" s="1" a="1"/>
  <c r="AJ688" i="28" s="1"/>
  <c r="AI689" i="28"/>
  <c r="AJ689" i="28" s="1" a="1"/>
  <c r="AJ689" i="28" s="1"/>
  <c r="AI690" i="28"/>
  <c r="AJ690" i="28" s="1" a="1"/>
  <c r="AJ690" i="28" s="1"/>
  <c r="AK690" i="28" s="1" a="1"/>
  <c r="AK690" i="28" s="1"/>
  <c r="AM690" i="28" s="1" a="1"/>
  <c r="AM690" i="28" s="1"/>
  <c r="AI691" i="28"/>
  <c r="AJ691" i="28" s="1" a="1"/>
  <c r="AJ691" i="28" s="1"/>
  <c r="AO691" i="28" s="1"/>
  <c r="AI692" i="28"/>
  <c r="AJ692" i="28" s="1" a="1"/>
  <c r="AJ692" i="28" s="1"/>
  <c r="AI693" i="28"/>
  <c r="AJ693" i="28" s="1" a="1"/>
  <c r="AJ693" i="28" s="1"/>
  <c r="AL693" i="28" s="1" a="1"/>
  <c r="AL693" i="28" s="1"/>
  <c r="AN693" i="28" s="1" a="1"/>
  <c r="AN693" i="28" s="1"/>
  <c r="AI694" i="28"/>
  <c r="AJ694" i="28" s="1" a="1"/>
  <c r="AJ694" i="28" s="1"/>
  <c r="AO694" i="28" s="1"/>
  <c r="AI695" i="28"/>
  <c r="AJ695" i="28" s="1" a="1"/>
  <c r="AJ695" i="28" s="1"/>
  <c r="AO695" i="28" s="1"/>
  <c r="AI696" i="28"/>
  <c r="AJ696" i="28" s="1" a="1"/>
  <c r="AJ696" i="28" s="1"/>
  <c r="AL696" i="28" s="1" a="1"/>
  <c r="AL696" i="28" s="1"/>
  <c r="AN696" i="28" s="1" a="1"/>
  <c r="AN696" i="28" s="1"/>
  <c r="AI697" i="28"/>
  <c r="AJ697" i="28" s="1" a="1"/>
  <c r="AJ697" i="28" s="1"/>
  <c r="AL697" i="28" s="1" a="1"/>
  <c r="AL697" i="28" s="1"/>
  <c r="AN697" i="28" s="1" a="1"/>
  <c r="AN697" i="28" s="1"/>
  <c r="AI698" i="28"/>
  <c r="AJ698" i="28" s="1" a="1"/>
  <c r="AJ698" i="28" s="1"/>
  <c r="AO698" i="28" s="1"/>
  <c r="AI699" i="28"/>
  <c r="AJ699" i="28" s="1" a="1"/>
  <c r="AJ699" i="28" s="1"/>
  <c r="AK699" i="28" s="1" a="1"/>
  <c r="AK699" i="28" s="1"/>
  <c r="AM699" i="28" s="1" a="1"/>
  <c r="AM699" i="28" s="1"/>
  <c r="AI700" i="28"/>
  <c r="AJ700" i="28" s="1" a="1"/>
  <c r="AJ700" i="28" s="1"/>
  <c r="AL700" i="28" s="1" a="1"/>
  <c r="AL700" i="28" s="1"/>
  <c r="AN700" i="28" s="1" a="1"/>
  <c r="AN700" i="28" s="1"/>
  <c r="AI701" i="28"/>
  <c r="AJ701" i="28" s="1" a="1"/>
  <c r="AJ701" i="28" s="1"/>
  <c r="AK701" i="28" s="1" a="1"/>
  <c r="AK701" i="28" s="1"/>
  <c r="AM701" i="28" s="1" a="1"/>
  <c r="AM701" i="28" s="1"/>
  <c r="AI702" i="28"/>
  <c r="AJ702" i="28" s="1" a="1"/>
  <c r="AJ702" i="28" s="1"/>
  <c r="AK702" i="28" s="1" a="1"/>
  <c r="AK702" i="28" s="1"/>
  <c r="AM702" i="28" s="1" a="1"/>
  <c r="AM702" i="28" s="1"/>
  <c r="AI703" i="28"/>
  <c r="AJ703" i="28" s="1" a="1"/>
  <c r="AJ703" i="28" s="1"/>
  <c r="AK703" i="28" s="1" a="1"/>
  <c r="AK703" i="28" s="1"/>
  <c r="AM703" i="28" s="1" a="1"/>
  <c r="AM703" i="28" s="1"/>
  <c r="AI704" i="28"/>
  <c r="AJ704" i="28" s="1" a="1"/>
  <c r="AJ704" i="28" s="1"/>
  <c r="AO704" i="28" s="1"/>
  <c r="AI705" i="28"/>
  <c r="AJ705" i="28" s="1" a="1"/>
  <c r="AJ705" i="28" s="1"/>
  <c r="AK705" i="28" s="1" a="1"/>
  <c r="AK705" i="28" s="1"/>
  <c r="AM705" i="28" s="1" a="1"/>
  <c r="AM705" i="28" s="1"/>
  <c r="AI706" i="28"/>
  <c r="AJ706" i="28" s="1" a="1"/>
  <c r="AJ706" i="28" s="1"/>
  <c r="AI707" i="28"/>
  <c r="AJ707" i="28" s="1" a="1"/>
  <c r="AJ707" i="28" s="1"/>
  <c r="AL707" i="28" s="1" a="1"/>
  <c r="AL707" i="28" s="1"/>
  <c r="AN707" i="28" s="1" a="1"/>
  <c r="AN707" i="28" s="1"/>
  <c r="AI708" i="28"/>
  <c r="AJ708" i="28" s="1" a="1"/>
  <c r="AJ708" i="28" s="1"/>
  <c r="AK708" i="28" s="1" a="1"/>
  <c r="AK708" i="28" s="1"/>
  <c r="AM708" i="28" s="1" a="1"/>
  <c r="AM708" i="28" s="1"/>
  <c r="AI709" i="28"/>
  <c r="AJ709" i="28" s="1" a="1"/>
  <c r="AJ709" i="28" s="1"/>
  <c r="AL709" i="28" s="1" a="1"/>
  <c r="AL709" i="28" s="1"/>
  <c r="AN709" i="28" s="1" a="1"/>
  <c r="AN709" i="28" s="1"/>
  <c r="AI710" i="28"/>
  <c r="AJ710" i="28" s="1" a="1"/>
  <c r="AJ710" i="28" s="1"/>
  <c r="AL710" i="28" s="1" a="1"/>
  <c r="AL710" i="28" s="1"/>
  <c r="AN710" i="28" s="1" a="1"/>
  <c r="AN710" i="28" s="1"/>
  <c r="AI711" i="28"/>
  <c r="AJ711" i="28" s="1" a="1"/>
  <c r="AJ711" i="28" s="1"/>
  <c r="AO711" i="28" s="1"/>
  <c r="AI712" i="28"/>
  <c r="AJ712" i="28" s="1" a="1"/>
  <c r="AJ712" i="28" s="1"/>
  <c r="AO712" i="28" s="1"/>
  <c r="AI713" i="28"/>
  <c r="AJ713" i="28" s="1" a="1"/>
  <c r="AJ713" i="28" s="1"/>
  <c r="AL713" i="28" s="1" a="1"/>
  <c r="AL713" i="28" s="1"/>
  <c r="AN713" i="28" s="1" a="1"/>
  <c r="AN713" i="28" s="1"/>
  <c r="AI714" i="28"/>
  <c r="AJ714" i="28" s="1" a="1"/>
  <c r="AJ714" i="28" s="1"/>
  <c r="AK714" i="28" s="1" a="1"/>
  <c r="AK714" i="28" s="1"/>
  <c r="AM714" i="28" s="1" a="1"/>
  <c r="AM714" i="28" s="1"/>
  <c r="AI715" i="28"/>
  <c r="AJ715" i="28" s="1" a="1"/>
  <c r="AJ715" i="28" s="1"/>
  <c r="AI716" i="28"/>
  <c r="AJ716" i="28" s="1" a="1"/>
  <c r="AJ716" i="28" s="1"/>
  <c r="AO716" i="28" s="1"/>
  <c r="AI717" i="28"/>
  <c r="AJ717" i="28" s="1" a="1"/>
  <c r="AJ717" i="28" s="1"/>
  <c r="AO717" i="28" s="1"/>
  <c r="AI718" i="28"/>
  <c r="AJ718" i="28" s="1" a="1"/>
  <c r="AJ718" i="28" s="1"/>
  <c r="AI719" i="28"/>
  <c r="AJ719" i="28" s="1" a="1"/>
  <c r="AJ719" i="28" s="1"/>
  <c r="AO719" i="28" s="1"/>
  <c r="AI720" i="28"/>
  <c r="AJ720" i="28" s="1" a="1"/>
  <c r="AJ720" i="28" s="1"/>
  <c r="AL720" i="28" s="1" a="1"/>
  <c r="AL720" i="28" s="1"/>
  <c r="AN720" i="28" s="1" a="1"/>
  <c r="AN720" i="28" s="1"/>
  <c r="AI721" i="28"/>
  <c r="AJ721" i="28" s="1" a="1"/>
  <c r="AJ721" i="28" s="1"/>
  <c r="AK721" i="28" s="1" a="1"/>
  <c r="AK721" i="28" s="1"/>
  <c r="AM721" i="28" s="1" a="1"/>
  <c r="AM721" i="28" s="1"/>
  <c r="AI722" i="28"/>
  <c r="AJ722" i="28" s="1" a="1"/>
  <c r="AJ722" i="28" s="1"/>
  <c r="AO722" i="28" s="1"/>
  <c r="AI723" i="28"/>
  <c r="AJ723" i="28" s="1" a="1"/>
  <c r="AJ723" i="28" s="1"/>
  <c r="AO723" i="28" s="1"/>
  <c r="AI724" i="28"/>
  <c r="AJ724" i="28" s="1" a="1"/>
  <c r="AJ724" i="28" s="1"/>
  <c r="AI725" i="28"/>
  <c r="AJ725" i="28" s="1" a="1"/>
  <c r="AJ725" i="28" s="1"/>
  <c r="AI726" i="28"/>
  <c r="AJ726" i="28" s="1" a="1"/>
  <c r="AJ726" i="28" s="1"/>
  <c r="AO726" i="28" s="1"/>
  <c r="AI727" i="28"/>
  <c r="AJ727" i="28" s="1" a="1"/>
  <c r="AJ727" i="28" s="1"/>
  <c r="AL727" i="28" s="1" a="1"/>
  <c r="AL727" i="28" s="1"/>
  <c r="AN727" i="28" s="1" a="1"/>
  <c r="AN727" i="28" s="1"/>
  <c r="AI728" i="28"/>
  <c r="AJ728" i="28" s="1" a="1"/>
  <c r="AJ728" i="28" s="1"/>
  <c r="AI729" i="28"/>
  <c r="AJ729" i="28" s="1" a="1"/>
  <c r="AJ729" i="28" s="1"/>
  <c r="AO729" i="28" s="1"/>
  <c r="AI730" i="28"/>
  <c r="AJ730" i="28" s="1" a="1"/>
  <c r="AJ730" i="28" s="1"/>
  <c r="AK730" i="28" s="1" a="1"/>
  <c r="AK730" i="28" s="1"/>
  <c r="AM730" i="28" s="1" a="1"/>
  <c r="AM730" i="28" s="1"/>
  <c r="AI731" i="28"/>
  <c r="AJ731" i="28" s="1" a="1"/>
  <c r="AJ731" i="28" s="1"/>
  <c r="AL731" i="28" s="1" a="1"/>
  <c r="AL731" i="28" s="1"/>
  <c r="AN731" i="28" s="1" a="1"/>
  <c r="AN731" i="28" s="1"/>
  <c r="AI732" i="28"/>
  <c r="AJ732" i="28" s="1" a="1"/>
  <c r="AJ732" i="28" s="1"/>
  <c r="AO732" i="28" s="1"/>
  <c r="AI733" i="28"/>
  <c r="AJ733" i="28" s="1" a="1"/>
  <c r="AJ733" i="28" s="1"/>
  <c r="AO733" i="28" s="1"/>
  <c r="AI734" i="28"/>
  <c r="AJ734" i="28" s="1" a="1"/>
  <c r="AJ734" i="28" s="1"/>
  <c r="AO734" i="28" s="1"/>
  <c r="AI735" i="28"/>
  <c r="AJ735" i="28" s="1" a="1"/>
  <c r="AJ735" i="28" s="1"/>
  <c r="AO735" i="28" s="1"/>
  <c r="AI736" i="28"/>
  <c r="AJ736" i="28" s="1" a="1"/>
  <c r="AJ736" i="28" s="1"/>
  <c r="AK736" i="28" s="1" a="1"/>
  <c r="AK736" i="28" s="1"/>
  <c r="AM736" i="28" s="1" a="1"/>
  <c r="AM736" i="28" s="1"/>
  <c r="AI737" i="28"/>
  <c r="AJ737" i="28" s="1" a="1"/>
  <c r="AJ737" i="28" s="1"/>
  <c r="AO737" i="28" s="1"/>
  <c r="AI738" i="28"/>
  <c r="AJ738" i="28" s="1" a="1"/>
  <c r="AJ738" i="28" s="1"/>
  <c r="AI739" i="28"/>
  <c r="AJ739" i="28" s="1" a="1"/>
  <c r="AJ739" i="28" s="1"/>
  <c r="AK739" i="28" s="1" a="1"/>
  <c r="AK739" i="28" s="1"/>
  <c r="AM739" i="28" s="1" a="1"/>
  <c r="AM739" i="28" s="1"/>
  <c r="AI740" i="28"/>
  <c r="AJ740" i="28" s="1" a="1"/>
  <c r="AJ740" i="28" s="1"/>
  <c r="AO740" i="28" s="1"/>
  <c r="AI741" i="28"/>
  <c r="AJ741" i="28" s="1" a="1"/>
  <c r="AJ741" i="28" s="1"/>
  <c r="AK741" i="28" s="1" a="1"/>
  <c r="AK741" i="28" s="1"/>
  <c r="AM741" i="28" s="1" a="1"/>
  <c r="AM741" i="28" s="1"/>
  <c r="AI742" i="28"/>
  <c r="AJ742" i="28" s="1" a="1"/>
  <c r="AJ742" i="28" s="1"/>
  <c r="AL742" i="28" s="1" a="1"/>
  <c r="AL742" i="28" s="1"/>
  <c r="AN742" i="28" s="1" a="1"/>
  <c r="AN742" i="28" s="1"/>
  <c r="AI743" i="28"/>
  <c r="AJ743" i="28" s="1" a="1"/>
  <c r="AJ743" i="28" s="1"/>
  <c r="AL743" i="28" s="1" a="1"/>
  <c r="AL743" i="28" s="1"/>
  <c r="AN743" i="28" s="1" a="1"/>
  <c r="AN743" i="28" s="1"/>
  <c r="AI744" i="28"/>
  <c r="AJ744" i="28" s="1" a="1"/>
  <c r="AJ744" i="28" s="1"/>
  <c r="AK744" i="28" s="1" a="1"/>
  <c r="AK744" i="28" s="1"/>
  <c r="AM744" i="28" s="1" a="1"/>
  <c r="AM744" i="28" s="1"/>
  <c r="AI745" i="28"/>
  <c r="AJ745" i="28" s="1" a="1"/>
  <c r="AJ745" i="28" s="1"/>
  <c r="AK745" i="28" s="1" a="1"/>
  <c r="AK745" i="28" s="1"/>
  <c r="AM745" i="28" s="1" a="1"/>
  <c r="AM745" i="28" s="1"/>
  <c r="AI746" i="28"/>
  <c r="AJ746" i="28" s="1" a="1"/>
  <c r="AJ746" i="28" s="1"/>
  <c r="AK746" i="28" s="1" a="1"/>
  <c r="AK746" i="28" s="1"/>
  <c r="AM746" i="28" s="1" a="1"/>
  <c r="AM746" i="28" s="1"/>
  <c r="AI747" i="28"/>
  <c r="AJ747" i="28" s="1" a="1"/>
  <c r="AJ747" i="28" s="1"/>
  <c r="AK747" i="28" s="1" a="1"/>
  <c r="AK747" i="28" s="1"/>
  <c r="AM747" i="28" s="1" a="1"/>
  <c r="AM747" i="28" s="1"/>
  <c r="AI748" i="28"/>
  <c r="AJ748" i="28" s="1" a="1"/>
  <c r="AJ748" i="28" s="1"/>
  <c r="AO748" i="28" s="1"/>
  <c r="AI749" i="28"/>
  <c r="AJ749" i="28" s="1" a="1"/>
  <c r="AJ749" i="28" s="1"/>
  <c r="AL749" i="28" s="1" a="1"/>
  <c r="AL749" i="28" s="1"/>
  <c r="AN749" i="28" s="1" a="1"/>
  <c r="AN749" i="28" s="1"/>
  <c r="AI750" i="28"/>
  <c r="AJ750" i="28" s="1" a="1"/>
  <c r="AJ750" i="28" s="1"/>
  <c r="AO750" i="28" s="1"/>
  <c r="AI751" i="28"/>
  <c r="AJ751" i="28" s="1" a="1"/>
  <c r="AJ751" i="28" s="1"/>
  <c r="AL751" i="28" s="1" a="1"/>
  <c r="AL751" i="28" s="1"/>
  <c r="AN751" i="28" s="1" a="1"/>
  <c r="AN751" i="28" s="1"/>
  <c r="AI752" i="28"/>
  <c r="AJ752" i="28" s="1" a="1"/>
  <c r="AJ752" i="28" s="1"/>
  <c r="AI753" i="28"/>
  <c r="AJ753" i="28" s="1" a="1"/>
  <c r="AJ753" i="28" s="1"/>
  <c r="AK753" i="28" s="1" a="1"/>
  <c r="AK753" i="28" s="1"/>
  <c r="AM753" i="28" s="1" a="1"/>
  <c r="AM753" i="28" s="1"/>
  <c r="AI754" i="28"/>
  <c r="AJ754" i="28" s="1" a="1"/>
  <c r="AJ754" i="28" s="1"/>
  <c r="AI755" i="28"/>
  <c r="AJ755" i="28" s="1" a="1"/>
  <c r="AJ755" i="28" s="1"/>
  <c r="AO755" i="28" s="1"/>
  <c r="AI756" i="28"/>
  <c r="AJ756" i="28" s="1" a="1"/>
  <c r="AJ756" i="28" s="1"/>
  <c r="AI757" i="28"/>
  <c r="AJ757" i="28" s="1" a="1"/>
  <c r="AJ757" i="28" s="1"/>
  <c r="AI758" i="28"/>
  <c r="AJ758" i="28" s="1" a="1"/>
  <c r="AJ758" i="28" s="1"/>
  <c r="AO758" i="28" s="1"/>
  <c r="AI759" i="28"/>
  <c r="AJ759" i="28" s="1" a="1"/>
  <c r="AJ759" i="28" s="1"/>
  <c r="AO759" i="28" s="1"/>
  <c r="AI760" i="28"/>
  <c r="AJ760" i="28" s="1" a="1"/>
  <c r="AJ760" i="28" s="1"/>
  <c r="AI761" i="28"/>
  <c r="AJ761" i="28" s="1" a="1"/>
  <c r="AJ761" i="28" s="1"/>
  <c r="AL761" i="28" s="1" a="1"/>
  <c r="AL761" i="28" s="1"/>
  <c r="AN761" i="28" s="1" a="1"/>
  <c r="AN761" i="28" s="1"/>
  <c r="AI762" i="28"/>
  <c r="AJ762" i="28" s="1" a="1"/>
  <c r="AJ762" i="28" s="1"/>
  <c r="AL762" i="28" s="1" a="1"/>
  <c r="AL762" i="28" s="1"/>
  <c r="AN762" i="28" s="1" a="1"/>
  <c r="AN762" i="28" s="1"/>
  <c r="AI763" i="28"/>
  <c r="AJ763" i="28" s="1" a="1"/>
  <c r="AJ763" i="28" s="1"/>
  <c r="AL763" i="28" s="1" a="1"/>
  <c r="AL763" i="28" s="1"/>
  <c r="AN763" i="28" s="1" a="1"/>
  <c r="AN763" i="28" s="1"/>
  <c r="AI764" i="28"/>
  <c r="AJ764" i="28" s="1" a="1"/>
  <c r="AJ764" i="28" s="1"/>
  <c r="AO764" i="28" s="1"/>
  <c r="AI765" i="28"/>
  <c r="AJ765" i="28" s="1" a="1"/>
  <c r="AJ765" i="28" s="1"/>
  <c r="AO765" i="28" s="1"/>
  <c r="AI766" i="28"/>
  <c r="AJ766" i="28" s="1" a="1"/>
  <c r="AJ766" i="28" s="1"/>
  <c r="AO766" i="28" s="1"/>
  <c r="AI767" i="28"/>
  <c r="AJ767" i="28" s="1" a="1"/>
  <c r="AJ767" i="28" s="1"/>
  <c r="AK767" i="28" s="1" a="1"/>
  <c r="AK767" i="28" s="1"/>
  <c r="AM767" i="28" s="1" a="1"/>
  <c r="AM767" i="28" s="1"/>
  <c r="AI768" i="28"/>
  <c r="AJ768" i="28" s="1" a="1"/>
  <c r="AJ768" i="28" s="1"/>
  <c r="AK768" i="28" s="1" a="1"/>
  <c r="AK768" i="28" s="1"/>
  <c r="AM768" i="28" s="1" a="1"/>
  <c r="AM768" i="28" s="1"/>
  <c r="AI769" i="28"/>
  <c r="AJ769" i="28" s="1" a="1"/>
  <c r="AJ769" i="28" s="1"/>
  <c r="AO769" i="28" s="1"/>
  <c r="AI770" i="28"/>
  <c r="AJ770" i="28" s="1" a="1"/>
  <c r="AJ770" i="28" s="1"/>
  <c r="AI771" i="28"/>
  <c r="AJ771" i="28" s="1" a="1"/>
  <c r="AJ771" i="28" s="1"/>
  <c r="AK771" i="28" s="1" a="1"/>
  <c r="AK771" i="28" s="1"/>
  <c r="AM771" i="28" s="1" a="1"/>
  <c r="AM771" i="28" s="1"/>
  <c r="AI772" i="28"/>
  <c r="AJ772" i="28" s="1" a="1"/>
  <c r="AJ772" i="28" s="1"/>
  <c r="AK772" i="28" s="1" a="1"/>
  <c r="AK772" i="28" s="1"/>
  <c r="AM772" i="28" s="1" a="1"/>
  <c r="AM772" i="28" s="1"/>
  <c r="AI773" i="28"/>
  <c r="AJ773" i="28" s="1" a="1"/>
  <c r="AJ773" i="28" s="1"/>
  <c r="AL773" i="28" s="1" a="1"/>
  <c r="AL773" i="28" s="1"/>
  <c r="AN773" i="28" s="1" a="1"/>
  <c r="AN773" i="28" s="1"/>
  <c r="AI774" i="28"/>
  <c r="AJ774" i="28" s="1" a="1"/>
  <c r="AJ774" i="28" s="1"/>
  <c r="AI775" i="28"/>
  <c r="AJ775" i="28" s="1" a="1"/>
  <c r="AJ775" i="28" s="1"/>
  <c r="AO775" i="28" s="1"/>
  <c r="AI776" i="28"/>
  <c r="AJ776" i="28" s="1" a="1"/>
  <c r="AJ776" i="28" s="1"/>
  <c r="AK776" i="28" s="1" a="1"/>
  <c r="AK776" i="28" s="1"/>
  <c r="AM776" i="28" s="1" a="1"/>
  <c r="AM776" i="28" s="1"/>
  <c r="AI777" i="28"/>
  <c r="AJ777" i="28" s="1" a="1"/>
  <c r="AJ777" i="28" s="1"/>
  <c r="AO777" i="28" s="1"/>
  <c r="AI778" i="28"/>
  <c r="AJ778" i="28" s="1" a="1"/>
  <c r="AJ778" i="28" s="1"/>
  <c r="AK778" i="28" s="1" a="1"/>
  <c r="AK778" i="28" s="1"/>
  <c r="AM778" i="28" s="1" a="1"/>
  <c r="AM778" i="28" s="1"/>
  <c r="AI779" i="28"/>
  <c r="AJ779" i="28" s="1" a="1"/>
  <c r="AJ779" i="28" s="1"/>
  <c r="AI780" i="28"/>
  <c r="AJ780" i="28" s="1" a="1"/>
  <c r="AJ780" i="28" s="1"/>
  <c r="AI781" i="28"/>
  <c r="AJ781" i="28" s="1" a="1"/>
  <c r="AJ781" i="28" s="1"/>
  <c r="AI782" i="28"/>
  <c r="AJ782" i="28" s="1" a="1"/>
  <c r="AJ782" i="28" s="1"/>
  <c r="AI783" i="28"/>
  <c r="AJ783" i="28" s="1" a="1"/>
  <c r="AJ783" i="28" s="1"/>
  <c r="AL783" i="28" s="1" a="1"/>
  <c r="AL783" i="28" s="1"/>
  <c r="AN783" i="28" s="1" a="1"/>
  <c r="AN783" i="28" s="1"/>
  <c r="AI784" i="28"/>
  <c r="AJ784" i="28" s="1" a="1"/>
  <c r="AJ784" i="28" s="1"/>
  <c r="AO784" i="28" s="1"/>
  <c r="AI785" i="28"/>
  <c r="AJ785" i="28" s="1" a="1"/>
  <c r="AJ785" i="28" s="1"/>
  <c r="AO785" i="28" s="1"/>
  <c r="AI786" i="28"/>
  <c r="AJ786" i="28" s="1" a="1"/>
  <c r="AJ786" i="28" s="1"/>
  <c r="AI787" i="28"/>
  <c r="AJ787" i="28" s="1" a="1"/>
  <c r="AJ787" i="28" s="1"/>
  <c r="AO787" i="28" s="1"/>
  <c r="AI788" i="28"/>
  <c r="AJ788" i="28" s="1" a="1"/>
  <c r="AJ788" i="28" s="1"/>
  <c r="AK788" i="28" s="1" a="1"/>
  <c r="AK788" i="28" s="1"/>
  <c r="AM788" i="28" s="1" a="1"/>
  <c r="AM788" i="28" s="1"/>
  <c r="AI789" i="28"/>
  <c r="AJ789" i="28" s="1" a="1"/>
  <c r="AJ789" i="28" s="1"/>
  <c r="AL789" i="28" s="1" a="1"/>
  <c r="AL789" i="28" s="1"/>
  <c r="AN789" i="28" s="1" a="1"/>
  <c r="AN789" i="28" s="1"/>
  <c r="AI790" i="28"/>
  <c r="AJ790" i="28" s="1" a="1"/>
  <c r="AJ790" i="28" s="1"/>
  <c r="AI791" i="28"/>
  <c r="AJ791" i="28" s="1" a="1"/>
  <c r="AJ791" i="28" s="1"/>
  <c r="AL791" i="28" s="1" a="1"/>
  <c r="AL791" i="28" s="1"/>
  <c r="AN791" i="28" s="1" a="1"/>
  <c r="AN791" i="28" s="1"/>
  <c r="AI792" i="28"/>
  <c r="AJ792" i="28" s="1" a="1"/>
  <c r="AJ792" i="28" s="1"/>
  <c r="AL792" i="28" s="1" a="1"/>
  <c r="AL792" i="28" s="1"/>
  <c r="AN792" i="28" s="1" a="1"/>
  <c r="AN792" i="28" s="1"/>
  <c r="AI793" i="28"/>
  <c r="AJ793" i="28" s="1" a="1"/>
  <c r="AJ793" i="28" s="1"/>
  <c r="AL793" i="28" s="1" a="1"/>
  <c r="AL793" i="28" s="1"/>
  <c r="AN793" i="28" s="1" a="1"/>
  <c r="AN793" i="28" s="1"/>
  <c r="AI794" i="28"/>
  <c r="AJ794" i="28" s="1" a="1"/>
  <c r="AJ794" i="28" s="1"/>
  <c r="AI795" i="28"/>
  <c r="AJ795" i="28" s="1" a="1"/>
  <c r="AJ795" i="28" s="1"/>
  <c r="AL795" i="28" s="1" a="1"/>
  <c r="AL795" i="28" s="1"/>
  <c r="AN795" i="28" s="1" a="1"/>
  <c r="AN795" i="28" s="1"/>
  <c r="AI796" i="28"/>
  <c r="AJ796" i="28" s="1" a="1"/>
  <c r="AJ796" i="28" s="1"/>
  <c r="AL796" i="28" s="1" a="1"/>
  <c r="AL796" i="28" s="1"/>
  <c r="AN796" i="28" s="1" a="1"/>
  <c r="AN796" i="28" s="1"/>
  <c r="AI797" i="28"/>
  <c r="AJ797" i="28" s="1" a="1"/>
  <c r="AJ797" i="28" s="1"/>
  <c r="AK797" i="28" s="1" a="1"/>
  <c r="AK797" i="28" s="1"/>
  <c r="AM797" i="28" s="1" a="1"/>
  <c r="AM797" i="28" s="1"/>
  <c r="AI798" i="28"/>
  <c r="AJ798" i="28" s="1" a="1"/>
  <c r="AJ798" i="28" s="1"/>
  <c r="AO798" i="28" s="1"/>
  <c r="AI799" i="28"/>
  <c r="AJ799" i="28" s="1" a="1"/>
  <c r="AJ799" i="28" s="1"/>
  <c r="AO799" i="28" s="1"/>
  <c r="AI800" i="28"/>
  <c r="AJ800" i="28" s="1" a="1"/>
  <c r="AJ800" i="28" s="1"/>
  <c r="AK800" i="28" s="1" a="1"/>
  <c r="AK800" i="28" s="1"/>
  <c r="AM800" i="28" s="1" a="1"/>
  <c r="AM800" i="28" s="1"/>
  <c r="AI801" i="28"/>
  <c r="AJ801" i="28" s="1" a="1"/>
  <c r="AJ801" i="28" s="1"/>
  <c r="AK801" i="28" s="1" a="1"/>
  <c r="AK801" i="28" s="1"/>
  <c r="AM801" i="28" s="1" a="1"/>
  <c r="AM801" i="28" s="1"/>
  <c r="AI802" i="28"/>
  <c r="AJ802" i="28" s="1" a="1"/>
  <c r="AJ802" i="28" s="1"/>
  <c r="AK802" i="28" s="1" a="1"/>
  <c r="AK802" i="28" s="1"/>
  <c r="AM802" i="28" s="1" a="1"/>
  <c r="AM802" i="28" s="1"/>
  <c r="AI803" i="28"/>
  <c r="AJ803" i="28" s="1" a="1"/>
  <c r="AJ803" i="28" s="1"/>
  <c r="AO803" i="28" s="1"/>
  <c r="AI804" i="28"/>
  <c r="AJ804" i="28" s="1" a="1"/>
  <c r="AJ804" i="28" s="1"/>
  <c r="AK804" i="28" s="1" a="1"/>
  <c r="AK804" i="28" s="1"/>
  <c r="AM804" i="28" s="1" a="1"/>
  <c r="AM804" i="28" s="1"/>
  <c r="AI805" i="28"/>
  <c r="AJ805" i="28" s="1" a="1"/>
  <c r="AJ805" i="28" s="1"/>
  <c r="AK805" i="28" s="1" a="1"/>
  <c r="AK805" i="28" s="1"/>
  <c r="AM805" i="28" s="1" a="1"/>
  <c r="AM805" i="28" s="1"/>
  <c r="AI806" i="28"/>
  <c r="AJ806" i="28" s="1" a="1"/>
  <c r="AJ806" i="28" s="1"/>
  <c r="AI807" i="28"/>
  <c r="AJ807" i="28" s="1" a="1"/>
  <c r="AJ807" i="28" s="1"/>
  <c r="AK807" i="28" s="1" a="1"/>
  <c r="AK807" i="28" s="1"/>
  <c r="AM807" i="28" s="1" a="1"/>
  <c r="AM807" i="28" s="1"/>
  <c r="AI808" i="28"/>
  <c r="AJ808" i="28" s="1" a="1"/>
  <c r="AJ808" i="28" s="1"/>
  <c r="AI809" i="28"/>
  <c r="AJ809" i="28" s="1" a="1"/>
  <c r="AJ809" i="28" s="1"/>
  <c r="AK809" i="28" s="1" a="1"/>
  <c r="AK809" i="28" s="1"/>
  <c r="AM809" i="28" s="1" a="1"/>
  <c r="AM809" i="28" s="1"/>
  <c r="AI810" i="28"/>
  <c r="AJ810" i="28" s="1" a="1"/>
  <c r="AJ810" i="28" s="1"/>
  <c r="AI811" i="28"/>
  <c r="AJ811" i="28" s="1" a="1"/>
  <c r="AJ811" i="28" s="1"/>
  <c r="AK811" i="28" s="1" a="1"/>
  <c r="AK811" i="28" s="1"/>
  <c r="AM811" i="28" s="1" a="1"/>
  <c r="AM811" i="28" s="1"/>
  <c r="AI812" i="28"/>
  <c r="AJ812" i="28" s="1" a="1"/>
  <c r="AJ812" i="28" s="1"/>
  <c r="AL812" i="28" s="1" a="1"/>
  <c r="AL812" i="28" s="1"/>
  <c r="AN812" i="28" s="1" a="1"/>
  <c r="AN812" i="28" s="1"/>
  <c r="AI813" i="28"/>
  <c r="AJ813" i="28" s="1" a="1"/>
  <c r="AJ813" i="28" s="1"/>
  <c r="AK813" i="28" s="1" a="1"/>
  <c r="AK813" i="28" s="1"/>
  <c r="AM813" i="28" s="1" a="1"/>
  <c r="AM813" i="28" s="1"/>
  <c r="AI814" i="28"/>
  <c r="AJ814" i="28" s="1" a="1"/>
  <c r="AJ814" i="28" s="1"/>
  <c r="AI815" i="28"/>
  <c r="AJ815" i="28" s="1" a="1"/>
  <c r="AJ815" i="28" s="1"/>
  <c r="AO815" i="28" s="1"/>
  <c r="AI816" i="28"/>
  <c r="AJ816" i="28" s="1" a="1"/>
  <c r="AJ816" i="28" s="1"/>
  <c r="AK816" i="28" s="1" a="1"/>
  <c r="AK816" i="28" s="1"/>
  <c r="AM816" i="28" s="1" a="1"/>
  <c r="AM816" i="28" s="1"/>
  <c r="AI817" i="28"/>
  <c r="AJ817" i="28" s="1" a="1"/>
  <c r="AJ817" i="28" s="1"/>
  <c r="AO817" i="28" s="1"/>
  <c r="AI818" i="28"/>
  <c r="AJ818" i="28" s="1" a="1"/>
  <c r="AJ818" i="28" s="1"/>
  <c r="AO818" i="28" s="1"/>
  <c r="AI819" i="28"/>
  <c r="AJ819" i="28" s="1" a="1"/>
  <c r="AJ819" i="28" s="1"/>
  <c r="AK819" i="28" s="1" a="1"/>
  <c r="AK819" i="28" s="1"/>
  <c r="AM819" i="28" s="1" a="1"/>
  <c r="AM819" i="28" s="1"/>
  <c r="AI820" i="28"/>
  <c r="AJ820" i="28" s="1" a="1"/>
  <c r="AJ820" i="28" s="1"/>
  <c r="AL820" i="28" s="1" a="1"/>
  <c r="AL820" i="28" s="1"/>
  <c r="AN820" i="28" s="1" a="1"/>
  <c r="AN820" i="28" s="1"/>
  <c r="AI821" i="28"/>
  <c r="AJ821" i="28" s="1" a="1"/>
  <c r="AJ821" i="28" s="1"/>
  <c r="AL821" i="28" s="1" a="1"/>
  <c r="AL821" i="28" s="1"/>
  <c r="AN821" i="28" s="1" a="1"/>
  <c r="AN821" i="28" s="1"/>
  <c r="AI822" i="28"/>
  <c r="AJ822" i="28" s="1" a="1"/>
  <c r="AJ822" i="28" s="1"/>
  <c r="AI823" i="28"/>
  <c r="AJ823" i="28" s="1" a="1"/>
  <c r="AJ823" i="28" s="1"/>
  <c r="AI824" i="28"/>
  <c r="AJ824" i="28" s="1" a="1"/>
  <c r="AJ824" i="28" s="1"/>
  <c r="AO824" i="28" s="1"/>
  <c r="AI825" i="28"/>
  <c r="AJ825" i="28" s="1" a="1"/>
  <c r="AJ825" i="28" s="1"/>
  <c r="AK825" i="28" s="1" a="1"/>
  <c r="AK825" i="28" s="1"/>
  <c r="AM825" i="28" s="1" a="1"/>
  <c r="AM825" i="28" s="1"/>
  <c r="AI826" i="28"/>
  <c r="AJ826" i="28" s="1" a="1"/>
  <c r="AJ826" i="28" s="1"/>
  <c r="AI827" i="28"/>
  <c r="AJ827" i="28" s="1" a="1"/>
  <c r="AJ827" i="28" s="1"/>
  <c r="AL827" i="28" s="1" a="1"/>
  <c r="AL827" i="28" s="1"/>
  <c r="AN827" i="28" s="1" a="1"/>
  <c r="AN827" i="28" s="1"/>
  <c r="AI828" i="28"/>
  <c r="AJ828" i="28" s="1" a="1"/>
  <c r="AJ828" i="28" s="1"/>
  <c r="AO828" i="28" s="1"/>
  <c r="AI829" i="28"/>
  <c r="AJ829" i="28" s="1" a="1"/>
  <c r="AJ829" i="28" s="1"/>
  <c r="AK829" i="28" s="1" a="1"/>
  <c r="AK829" i="28" s="1"/>
  <c r="AM829" i="28" s="1" a="1"/>
  <c r="AM829" i="28" s="1"/>
  <c r="AI830" i="28"/>
  <c r="AJ830" i="28" s="1" a="1"/>
  <c r="AJ830" i="28" s="1"/>
  <c r="AO830" i="28" s="1"/>
  <c r="AI831" i="28"/>
  <c r="AJ831" i="28" s="1" a="1"/>
  <c r="AJ831" i="28" s="1"/>
  <c r="AL831" i="28" s="1" a="1"/>
  <c r="AL831" i="28" s="1"/>
  <c r="AN831" i="28" s="1" a="1"/>
  <c r="AN831" i="28" s="1"/>
  <c r="AI832" i="28"/>
  <c r="AJ832" i="28" s="1" a="1"/>
  <c r="AJ832" i="28" s="1"/>
  <c r="AK832" i="28" s="1" a="1"/>
  <c r="AK832" i="28" s="1"/>
  <c r="AM832" i="28" s="1" a="1"/>
  <c r="AM832" i="28" s="1"/>
  <c r="AI833" i="28"/>
  <c r="AJ833" i="28" s="1" a="1"/>
  <c r="AJ833" i="28" s="1"/>
  <c r="AO833" i="28" s="1"/>
  <c r="AI834" i="28"/>
  <c r="AJ834" i="28" s="1" a="1"/>
  <c r="AJ834" i="28" s="1"/>
  <c r="AI835" i="28"/>
  <c r="AJ835" i="28" s="1" a="1"/>
  <c r="AJ835" i="28" s="1"/>
  <c r="AO835" i="28" s="1"/>
  <c r="AI836" i="28"/>
  <c r="AJ836" i="28" s="1" a="1"/>
  <c r="AJ836" i="28" s="1"/>
  <c r="AO836" i="28" s="1"/>
  <c r="AI837" i="28"/>
  <c r="AJ837" i="28" s="1" a="1"/>
  <c r="AJ837" i="28" s="1"/>
  <c r="AL837" i="28" s="1" a="1"/>
  <c r="AL837" i="28" s="1"/>
  <c r="AN837" i="28" s="1" a="1"/>
  <c r="AN837" i="28" s="1"/>
  <c r="AI838" i="28"/>
  <c r="AJ838" i="28" s="1" a="1"/>
  <c r="AJ838" i="28" s="1"/>
  <c r="AI839" i="28"/>
  <c r="AJ839" i="28" s="1" a="1"/>
  <c r="AJ839" i="28" s="1"/>
  <c r="AI840" i="28"/>
  <c r="AJ840" i="28" s="1" a="1"/>
  <c r="AJ840" i="28" s="1"/>
  <c r="AL840" i="28" s="1" a="1"/>
  <c r="AL840" i="28" s="1"/>
  <c r="AN840" i="28" s="1" a="1"/>
  <c r="AN840" i="28" s="1"/>
  <c r="AI841" i="28"/>
  <c r="AJ841" i="28" s="1" a="1"/>
  <c r="AJ841" i="28" s="1"/>
  <c r="AI842" i="28"/>
  <c r="AJ842" i="28" s="1" a="1"/>
  <c r="AJ842" i="28" s="1"/>
  <c r="AL842" i="28" s="1" a="1"/>
  <c r="AL842" i="28" s="1"/>
  <c r="AN842" i="28" s="1" a="1"/>
  <c r="AN842" i="28" s="1"/>
  <c r="AI843" i="28"/>
  <c r="AJ843" i="28" s="1" a="1"/>
  <c r="AJ843" i="28" s="1"/>
  <c r="AI844" i="28"/>
  <c r="AJ844" i="28" s="1" a="1"/>
  <c r="AJ844" i="28" s="1"/>
  <c r="AI845" i="28"/>
  <c r="AJ845" i="28" s="1" a="1"/>
  <c r="AJ845" i="28" s="1"/>
  <c r="AI846" i="28"/>
  <c r="AJ846" i="28" s="1" a="1"/>
  <c r="AJ846" i="28" s="1"/>
  <c r="AI847" i="28"/>
  <c r="AJ847" i="28" s="1" a="1"/>
  <c r="AJ847" i="28" s="1"/>
  <c r="AO847" i="28" s="1"/>
  <c r="AI848" i="28"/>
  <c r="AJ848" i="28" s="1" a="1"/>
  <c r="AJ848" i="28" s="1"/>
  <c r="AK848" i="28" s="1" a="1"/>
  <c r="AK848" i="28" s="1"/>
  <c r="AM848" i="28" s="1" a="1"/>
  <c r="AM848" i="28" s="1"/>
  <c r="AI849" i="28"/>
  <c r="AJ849" i="28" s="1" a="1"/>
  <c r="AJ849" i="28" s="1"/>
  <c r="AO849" i="28" s="1"/>
  <c r="AI850" i="28"/>
  <c r="AJ850" i="28" s="1" a="1"/>
  <c r="AJ850" i="28" s="1"/>
  <c r="AK850" i="28" s="1" a="1"/>
  <c r="AK850" i="28" s="1"/>
  <c r="AM850" i="28" s="1" a="1"/>
  <c r="AM850" i="28" s="1"/>
  <c r="AI851" i="28"/>
  <c r="AJ851" i="28" s="1" a="1"/>
  <c r="AJ851" i="28" s="1"/>
  <c r="AL851" i="28" s="1" a="1"/>
  <c r="AL851" i="28" s="1"/>
  <c r="AN851" i="28" s="1" a="1"/>
  <c r="AN851" i="28" s="1"/>
  <c r="AI852" i="28"/>
  <c r="AJ852" i="28" s="1" a="1"/>
  <c r="AJ852" i="28" s="1"/>
  <c r="AL852" i="28" s="1" a="1"/>
  <c r="AL852" i="28" s="1"/>
  <c r="AN852" i="28" s="1" a="1"/>
  <c r="AN852" i="28" s="1"/>
  <c r="AI853" i="28"/>
  <c r="AJ853" i="28" s="1" a="1"/>
  <c r="AJ853" i="28" s="1"/>
  <c r="AK853" i="28" s="1" a="1"/>
  <c r="AK853" i="28" s="1"/>
  <c r="AM853" i="28" s="1" a="1"/>
  <c r="AM853" i="28" s="1"/>
  <c r="AI854" i="28"/>
  <c r="AJ854" i="28" s="1" a="1"/>
  <c r="AJ854" i="28" s="1"/>
  <c r="AO854" i="28" s="1"/>
  <c r="AI855" i="28"/>
  <c r="AJ855" i="28" s="1" a="1"/>
  <c r="AJ855" i="28" s="1"/>
  <c r="AI856" i="28"/>
  <c r="AJ856" i="28" s="1" a="1"/>
  <c r="AJ856" i="28" s="1"/>
  <c r="AL856" i="28" s="1" a="1"/>
  <c r="AL856" i="28" s="1"/>
  <c r="AN856" i="28" s="1" a="1"/>
  <c r="AN856" i="28" s="1"/>
  <c r="AI857" i="28"/>
  <c r="AJ857" i="28" s="1" a="1"/>
  <c r="AJ857" i="28" s="1"/>
  <c r="AO857" i="28" s="1"/>
  <c r="AI858" i="28"/>
  <c r="AJ858" i="28" s="1" a="1"/>
  <c r="AJ858" i="28" s="1"/>
  <c r="AI859" i="28"/>
  <c r="AJ859" i="28" s="1" a="1"/>
  <c r="AJ859" i="28" s="1"/>
  <c r="AI860" i="28"/>
  <c r="AJ860" i="28" s="1" a="1"/>
  <c r="AJ860" i="28" s="1"/>
  <c r="AO860" i="28" s="1"/>
  <c r="AI861" i="28"/>
  <c r="AJ861" i="28" s="1" a="1"/>
  <c r="AJ861" i="28" s="1"/>
  <c r="AK861" i="28" s="1" a="1"/>
  <c r="AK861" i="28" s="1"/>
  <c r="AM861" i="28" s="1" a="1"/>
  <c r="AM861" i="28" s="1"/>
  <c r="AI862" i="28"/>
  <c r="AJ862" i="28" s="1" a="1"/>
  <c r="AJ862" i="28" s="1"/>
  <c r="AI863" i="28"/>
  <c r="AJ863" i="28" s="1" a="1"/>
  <c r="AJ863" i="28" s="1"/>
  <c r="AK863" i="28" s="1" a="1"/>
  <c r="AK863" i="28" s="1"/>
  <c r="AM863" i="28" s="1" a="1"/>
  <c r="AM863" i="28" s="1"/>
  <c r="AI864" i="28"/>
  <c r="AJ864" i="28" s="1" a="1"/>
  <c r="AJ864" i="28" s="1"/>
  <c r="AO864" i="28" s="1"/>
  <c r="AI865" i="28"/>
  <c r="AJ865" i="28" s="1" a="1"/>
  <c r="AJ865" i="28" s="1"/>
  <c r="AO865" i="28" s="1"/>
  <c r="AI866" i="28"/>
  <c r="AJ866" i="28" s="1" a="1"/>
  <c r="AJ866" i="28" s="1"/>
  <c r="AO866" i="28" s="1"/>
  <c r="AI867" i="28"/>
  <c r="AJ867" i="28" s="1" a="1"/>
  <c r="AJ867" i="28" s="1"/>
  <c r="AI868" i="28"/>
  <c r="AJ868" i="28" s="1" a="1"/>
  <c r="AJ868" i="28" s="1"/>
  <c r="AO868" i="28" s="1"/>
  <c r="AI869" i="28"/>
  <c r="AJ869" i="28" s="1" a="1"/>
  <c r="AJ869" i="28" s="1"/>
  <c r="AI870" i="28"/>
  <c r="AJ870" i="28" s="1" a="1"/>
  <c r="AJ870" i="28" s="1"/>
  <c r="AI871" i="28"/>
  <c r="AJ871" i="28" s="1" a="1"/>
  <c r="AJ871" i="28" s="1"/>
  <c r="AL871" i="28" s="1" a="1"/>
  <c r="AL871" i="28" s="1"/>
  <c r="AN871" i="28" s="1" a="1"/>
  <c r="AN871" i="28" s="1"/>
  <c r="AI872" i="28"/>
  <c r="AJ872" i="28" s="1" a="1"/>
  <c r="AJ872" i="28" s="1"/>
  <c r="AI873" i="28"/>
  <c r="AJ873" i="28" s="1" a="1"/>
  <c r="AJ873" i="28" s="1"/>
  <c r="AK873" i="28" s="1" a="1"/>
  <c r="AK873" i="28" s="1"/>
  <c r="AM873" i="28" s="1" a="1"/>
  <c r="AM873" i="28" s="1"/>
  <c r="AI874" i="28"/>
  <c r="AJ874" i="28" s="1" a="1"/>
  <c r="AJ874" i="28" s="1"/>
  <c r="AI875" i="28"/>
  <c r="AJ875" i="28" s="1" a="1"/>
  <c r="AJ875" i="28" s="1"/>
  <c r="AK875" i="28" s="1" a="1"/>
  <c r="AK875" i="28" s="1"/>
  <c r="AM875" i="28" s="1" a="1"/>
  <c r="AM875" i="28" s="1"/>
  <c r="AI876" i="28"/>
  <c r="AJ876" i="28" s="1" a="1"/>
  <c r="AJ876" i="28" s="1"/>
  <c r="AO876" i="28" s="1"/>
  <c r="AI877" i="28"/>
  <c r="AJ877" i="28" s="1" a="1"/>
  <c r="AJ877" i="28" s="1"/>
  <c r="AK877" i="28" s="1" a="1"/>
  <c r="AK877" i="28" s="1"/>
  <c r="AM877" i="28" s="1" a="1"/>
  <c r="AM877" i="28" s="1"/>
  <c r="AI878" i="28"/>
  <c r="AJ878" i="28" s="1" a="1"/>
  <c r="AJ878" i="28" s="1"/>
  <c r="AK878" i="28" s="1" a="1"/>
  <c r="AK878" i="28" s="1"/>
  <c r="AM878" i="28" s="1" a="1"/>
  <c r="AM878" i="28" s="1"/>
  <c r="AI879" i="28"/>
  <c r="AJ879" i="28" s="1" a="1"/>
  <c r="AJ879" i="28" s="1"/>
  <c r="AO879" i="28" s="1"/>
  <c r="AI880" i="28"/>
  <c r="AJ880" i="28" s="1" a="1"/>
  <c r="AJ880" i="28" s="1"/>
  <c r="AK880" i="28" s="1" a="1"/>
  <c r="AK880" i="28" s="1"/>
  <c r="AM880" i="28" s="1" a="1"/>
  <c r="AM880" i="28" s="1"/>
  <c r="AI881" i="28"/>
  <c r="AJ881" i="28" s="1" a="1"/>
  <c r="AJ881" i="28" s="1"/>
  <c r="AI882" i="28"/>
  <c r="AJ882" i="28" s="1" a="1"/>
  <c r="AJ882" i="28" s="1"/>
  <c r="AK882" i="28" s="1" a="1"/>
  <c r="AK882" i="28" s="1"/>
  <c r="AM882" i="28" s="1" a="1"/>
  <c r="AM882" i="28" s="1"/>
  <c r="AI883" i="28"/>
  <c r="AJ883" i="28" s="1" a="1"/>
  <c r="AJ883" i="28" s="1"/>
  <c r="AK883" i="28" s="1" a="1"/>
  <c r="AK883" i="28" s="1"/>
  <c r="AM883" i="28" s="1" a="1"/>
  <c r="AM883" i="28" s="1"/>
  <c r="AI884" i="28"/>
  <c r="AJ884" i="28" s="1" a="1"/>
  <c r="AJ884" i="28" s="1"/>
  <c r="AK884" i="28" s="1" a="1"/>
  <c r="AK884" i="28" s="1"/>
  <c r="AM884" i="28" s="1" a="1"/>
  <c r="AM884" i="28" s="1"/>
  <c r="AI885" i="28"/>
  <c r="AJ885" i="28" s="1" a="1"/>
  <c r="AJ885" i="28" s="1"/>
  <c r="AI886" i="28"/>
  <c r="AJ886" i="28" s="1" a="1"/>
  <c r="AJ886" i="28" s="1"/>
  <c r="AI887" i="28"/>
  <c r="AJ887" i="28" s="1" a="1"/>
  <c r="AJ887" i="28" s="1"/>
  <c r="AO887" i="28" s="1"/>
  <c r="AI888" i="28"/>
  <c r="AJ888" i="28" s="1" a="1"/>
  <c r="AJ888" i="28" s="1"/>
  <c r="AI889" i="28"/>
  <c r="AJ889" i="28" s="1" a="1"/>
  <c r="AJ889" i="28" s="1"/>
  <c r="AK889" i="28" s="1" a="1"/>
  <c r="AK889" i="28" s="1"/>
  <c r="AM889" i="28" s="1" a="1"/>
  <c r="AM889" i="28" s="1"/>
  <c r="AI890" i="28"/>
  <c r="AJ890" i="28" s="1" a="1"/>
  <c r="AJ890" i="28" s="1"/>
  <c r="AK890" i="28" s="1" a="1"/>
  <c r="AK890" i="28" s="1"/>
  <c r="AM890" i="28" s="1" a="1"/>
  <c r="AM890" i="28" s="1"/>
  <c r="AI891" i="28"/>
  <c r="AJ891" i="28" s="1" a="1"/>
  <c r="AJ891" i="28" s="1"/>
  <c r="AO891" i="28" s="1"/>
  <c r="AI892" i="28"/>
  <c r="AJ892" i="28" s="1" a="1"/>
  <c r="AJ892" i="28" s="1"/>
  <c r="AL892" i="28" s="1" a="1"/>
  <c r="AL892" i="28" s="1"/>
  <c r="AN892" i="28" s="1" a="1"/>
  <c r="AN892" i="28" s="1"/>
  <c r="AI893" i="28"/>
  <c r="AJ893" i="28" s="1" a="1"/>
  <c r="AJ893" i="28" s="1"/>
  <c r="AL893" i="28" s="1" a="1"/>
  <c r="AL893" i="28" s="1"/>
  <c r="AN893" i="28" s="1" a="1"/>
  <c r="AN893" i="28" s="1"/>
  <c r="AI894" i="28"/>
  <c r="AJ894" i="28" s="1" a="1"/>
  <c r="AJ894" i="28" s="1"/>
  <c r="AI895" i="28"/>
  <c r="AJ895" i="28" s="1" a="1"/>
  <c r="AJ895" i="28" s="1"/>
  <c r="AO895" i="28" s="1"/>
  <c r="AI896" i="28"/>
  <c r="AJ896" i="28" s="1" a="1"/>
  <c r="AJ896" i="28" s="1"/>
  <c r="AO896" i="28" s="1"/>
  <c r="AI897" i="28"/>
  <c r="AJ897" i="28" s="1" a="1"/>
  <c r="AJ897" i="28" s="1"/>
  <c r="AK897" i="28" s="1" a="1"/>
  <c r="AK897" i="28" s="1"/>
  <c r="AM897" i="28" s="1" a="1"/>
  <c r="AM897" i="28" s="1"/>
  <c r="AI898" i="28"/>
  <c r="AJ898" i="28" s="1" a="1"/>
  <c r="AJ898" i="28" s="1"/>
  <c r="AL898" i="28" s="1" a="1"/>
  <c r="AL898" i="28" s="1"/>
  <c r="AN898" i="28" s="1" a="1"/>
  <c r="AN898" i="28" s="1"/>
  <c r="AI899" i="28"/>
  <c r="AJ899" i="28" s="1" a="1"/>
  <c r="AJ899" i="28" s="1"/>
  <c r="AL899" i="28" s="1" a="1"/>
  <c r="AL899" i="28" s="1"/>
  <c r="AN899" i="28" s="1" a="1"/>
  <c r="AN899" i="28" s="1"/>
  <c r="AI900" i="28"/>
  <c r="AJ900" i="28" s="1" a="1"/>
  <c r="AJ900" i="28" s="1"/>
  <c r="AL900" i="28" s="1" a="1"/>
  <c r="AL900" i="28" s="1"/>
  <c r="AN900" i="28" s="1" a="1"/>
  <c r="AN900" i="28" s="1"/>
  <c r="AI901" i="28"/>
  <c r="AJ901" i="28" s="1" a="1"/>
  <c r="AJ901" i="28" s="1"/>
  <c r="AI902" i="28"/>
  <c r="AJ902" i="28" s="1" a="1"/>
  <c r="AJ902" i="28" s="1"/>
  <c r="AI903" i="28"/>
  <c r="AJ903" i="28" s="1" a="1"/>
  <c r="AJ903" i="28" s="1"/>
  <c r="AK903" i="28" s="1" a="1"/>
  <c r="AK903" i="28" s="1"/>
  <c r="AM903" i="28" s="1" a="1"/>
  <c r="AM903" i="28" s="1"/>
  <c r="AI904" i="28"/>
  <c r="AJ904" i="28" s="1" a="1"/>
  <c r="AJ904" i="28" s="1"/>
  <c r="AO904" i="28" s="1"/>
  <c r="AI905" i="28"/>
  <c r="AJ905" i="28" s="1" a="1"/>
  <c r="AJ905" i="28" s="1"/>
  <c r="AI906" i="28"/>
  <c r="AJ906" i="28" s="1" a="1"/>
  <c r="AJ906" i="28" s="1"/>
  <c r="AI907" i="28"/>
  <c r="AJ907" i="28" s="1" a="1"/>
  <c r="AJ907" i="28" s="1"/>
  <c r="AK907" i="28" s="1" a="1"/>
  <c r="AK907" i="28" s="1"/>
  <c r="AM907" i="28" s="1" a="1"/>
  <c r="AM907" i="28" s="1"/>
  <c r="AI908" i="28"/>
  <c r="AJ908" i="28" s="1" a="1"/>
  <c r="AJ908" i="28" s="1"/>
  <c r="AL908" i="28" s="1" a="1"/>
  <c r="AL908" i="28" s="1"/>
  <c r="AN908" i="28" s="1" a="1"/>
  <c r="AN908" i="28" s="1"/>
  <c r="AI909" i="28"/>
  <c r="AJ909" i="28" s="1" a="1"/>
  <c r="AJ909" i="28" s="1"/>
  <c r="AK909" i="28" s="1" a="1"/>
  <c r="AK909" i="28" s="1"/>
  <c r="AM909" i="28" s="1" a="1"/>
  <c r="AM909" i="28" s="1"/>
  <c r="AI910" i="28"/>
  <c r="AJ910" i="28" s="1" a="1"/>
  <c r="AJ910" i="28" s="1"/>
  <c r="AK910" i="28" s="1" a="1"/>
  <c r="AK910" i="28" s="1"/>
  <c r="AM910" i="28" s="1" a="1"/>
  <c r="AM910" i="28" s="1"/>
  <c r="AI911" i="28"/>
  <c r="AJ911" i="28" s="1" a="1"/>
  <c r="AJ911" i="28" s="1"/>
  <c r="AO911" i="28" s="1"/>
  <c r="AI912" i="28"/>
  <c r="AJ912" i="28" s="1" a="1"/>
  <c r="AJ912" i="28" s="1"/>
  <c r="AO912" i="28" s="1"/>
  <c r="AI913" i="28"/>
  <c r="AJ913" i="28" s="1" a="1"/>
  <c r="AJ913" i="28" s="1"/>
  <c r="AK913" i="28" s="1" a="1"/>
  <c r="AK913" i="28" s="1"/>
  <c r="AM913" i="28" s="1" a="1"/>
  <c r="AM913" i="28" s="1"/>
  <c r="AI914" i="28"/>
  <c r="AJ914" i="28" s="1" a="1"/>
  <c r="AJ914" i="28" s="1"/>
  <c r="AO914" i="28" s="1"/>
  <c r="AI915" i="28"/>
  <c r="AJ915" i="28" s="1" a="1"/>
  <c r="AJ915" i="28" s="1"/>
  <c r="AL915" i="28" s="1" a="1"/>
  <c r="AL915" i="28" s="1"/>
  <c r="AN915" i="28" s="1" a="1"/>
  <c r="AN915" i="28" s="1"/>
  <c r="AI916" i="28"/>
  <c r="AJ916" i="28" s="1" a="1"/>
  <c r="AJ916" i="28" s="1"/>
  <c r="AI917" i="28"/>
  <c r="AJ917" i="28" s="1" a="1"/>
  <c r="AJ917" i="28" s="1"/>
  <c r="AL917" i="28" s="1" a="1"/>
  <c r="AL917" i="28" s="1"/>
  <c r="AN917" i="28" s="1" a="1"/>
  <c r="AN917" i="28" s="1"/>
  <c r="AI918" i="28"/>
  <c r="AJ918" i="28" s="1" a="1"/>
  <c r="AJ918" i="28" s="1"/>
  <c r="AL918" i="28" s="1" a="1"/>
  <c r="AL918" i="28" s="1"/>
  <c r="AN918" i="28" s="1" a="1"/>
  <c r="AN918" i="28" s="1"/>
  <c r="AI919" i="28"/>
  <c r="AJ919" i="28" s="1" a="1"/>
  <c r="AJ919" i="28" s="1"/>
  <c r="AO919" i="28" s="1"/>
  <c r="AI920" i="28"/>
  <c r="AJ920" i="28" s="1" a="1"/>
  <c r="AJ920" i="28" s="1"/>
  <c r="AK920" i="28" s="1" a="1"/>
  <c r="AK920" i="28" s="1"/>
  <c r="AM920" i="28" s="1" a="1"/>
  <c r="AM920" i="28" s="1"/>
  <c r="AI921" i="28"/>
  <c r="AJ921" i="28" s="1" a="1"/>
  <c r="AJ921" i="28" s="1"/>
  <c r="AI922" i="28"/>
  <c r="AJ922" i="28" s="1" a="1"/>
  <c r="AJ922" i="28" s="1"/>
  <c r="AK922" i="28" s="1" a="1"/>
  <c r="AK922" i="28" s="1"/>
  <c r="AM922" i="28" s="1" a="1"/>
  <c r="AM922" i="28" s="1"/>
  <c r="AI923" i="28"/>
  <c r="AJ923" i="28" s="1" a="1"/>
  <c r="AJ923" i="28" s="1"/>
  <c r="AK923" i="28" s="1" a="1"/>
  <c r="AK923" i="28" s="1"/>
  <c r="AM923" i="28" s="1" a="1"/>
  <c r="AM923" i="28" s="1"/>
  <c r="AI924" i="28"/>
  <c r="AJ924" i="28" s="1" a="1"/>
  <c r="AJ924" i="28" s="1"/>
  <c r="AO924" i="28" s="1"/>
  <c r="AI925" i="28"/>
  <c r="AJ925" i="28" s="1" a="1"/>
  <c r="AJ925" i="28" s="1"/>
  <c r="AO925" i="28" s="1"/>
  <c r="AI926" i="28"/>
  <c r="AJ926" i="28" s="1" a="1"/>
  <c r="AJ926" i="28" s="1"/>
  <c r="AK926" i="28" s="1" a="1"/>
  <c r="AK926" i="28" s="1"/>
  <c r="AM926" i="28" s="1" a="1"/>
  <c r="AM926" i="28" s="1"/>
  <c r="AI927" i="28"/>
  <c r="AJ927" i="28" s="1" a="1"/>
  <c r="AJ927" i="28" s="1"/>
  <c r="AK927" i="28" s="1" a="1"/>
  <c r="AK927" i="28" s="1"/>
  <c r="AM927" i="28" s="1" a="1"/>
  <c r="AM927" i="28" s="1"/>
  <c r="AI928" i="28"/>
  <c r="AJ928" i="28" s="1" a="1"/>
  <c r="AJ928" i="28" s="1"/>
  <c r="AK928" i="28" s="1" a="1"/>
  <c r="AK928" i="28" s="1"/>
  <c r="AM928" i="28" s="1" a="1"/>
  <c r="AM928" i="28" s="1"/>
  <c r="AI929" i="28"/>
  <c r="AJ929" i="28" s="1" a="1"/>
  <c r="AJ929" i="28" s="1"/>
  <c r="AL929" i="28" s="1" a="1"/>
  <c r="AL929" i="28" s="1"/>
  <c r="AN929" i="28" s="1" a="1"/>
  <c r="AN929" i="28" s="1"/>
  <c r="AI930" i="28"/>
  <c r="AJ930" i="28" s="1" a="1"/>
  <c r="AJ930" i="28" s="1"/>
  <c r="AI931" i="28"/>
  <c r="AJ931" i="28" s="1" a="1"/>
  <c r="AJ931" i="28" s="1"/>
  <c r="AK931" i="28" s="1" a="1"/>
  <c r="AK931" i="28" s="1"/>
  <c r="AM931" i="28" s="1" a="1"/>
  <c r="AM931" i="28" s="1"/>
  <c r="AI932" i="28"/>
  <c r="AJ932" i="28" s="1" a="1"/>
  <c r="AJ932" i="28" s="1"/>
  <c r="AO932" i="28" s="1"/>
  <c r="AI933" i="28"/>
  <c r="AJ933" i="28" s="1" a="1"/>
  <c r="AJ933" i="28" s="1"/>
  <c r="AI934" i="28"/>
  <c r="AJ934" i="28" s="1" a="1"/>
  <c r="AJ934" i="28" s="1"/>
  <c r="AO934" i="28" s="1"/>
  <c r="AI935" i="28"/>
  <c r="AJ935" i="28" s="1" a="1"/>
  <c r="AJ935" i="28" s="1"/>
  <c r="AO935" i="28" s="1"/>
  <c r="AI936" i="28"/>
  <c r="AJ936" i="28" s="1" a="1"/>
  <c r="AJ936" i="28" s="1"/>
  <c r="AL936" i="28" s="1" a="1"/>
  <c r="AL936" i="28" s="1"/>
  <c r="AN936" i="28" s="1" a="1"/>
  <c r="AN936" i="28" s="1"/>
  <c r="AI937" i="28"/>
  <c r="AJ937" i="28" s="1" a="1"/>
  <c r="AJ937" i="28" s="1"/>
  <c r="AO937" i="28" s="1"/>
  <c r="AI938" i="28"/>
  <c r="AJ938" i="28" s="1" a="1"/>
  <c r="AJ938" i="28" s="1"/>
  <c r="AO938" i="28" s="1"/>
  <c r="AI939" i="28"/>
  <c r="AJ939" i="28" s="1" a="1"/>
  <c r="AJ939" i="28" s="1"/>
  <c r="AK939" i="28" s="1" a="1"/>
  <c r="AK939" i="28" s="1"/>
  <c r="AM939" i="28" s="1" a="1"/>
  <c r="AM939" i="28" s="1"/>
  <c r="AI940" i="28"/>
  <c r="AJ940" i="28" s="1" a="1"/>
  <c r="AJ940" i="28" s="1"/>
  <c r="AO940" i="28" s="1"/>
  <c r="AI941" i="28"/>
  <c r="AJ941" i="28" s="1" a="1"/>
  <c r="AJ941" i="28" s="1"/>
  <c r="AI942" i="28"/>
  <c r="AJ942" i="28" s="1" a="1"/>
  <c r="AJ942" i="28" s="1"/>
  <c r="AO942" i="28" s="1"/>
  <c r="AI943" i="28"/>
  <c r="AJ943" i="28" s="1" a="1"/>
  <c r="AJ943" i="28" s="1"/>
  <c r="AL943" i="28" s="1" a="1"/>
  <c r="AL943" i="28" s="1"/>
  <c r="AN943" i="28" s="1" a="1"/>
  <c r="AN943" i="28" s="1"/>
  <c r="AI944" i="28"/>
  <c r="AJ944" i="28" s="1" a="1"/>
  <c r="AJ944" i="28" s="1"/>
  <c r="AK944" i="28" s="1" a="1"/>
  <c r="AK944" i="28" s="1"/>
  <c r="AM944" i="28" s="1" a="1"/>
  <c r="AM944" i="28" s="1"/>
  <c r="AI945" i="28"/>
  <c r="AJ945" i="28" s="1" a="1"/>
  <c r="AJ945" i="28" s="1"/>
  <c r="AO945" i="28" s="1"/>
  <c r="AI946" i="28"/>
  <c r="AJ946" i="28" s="1" a="1"/>
  <c r="AJ946" i="28" s="1"/>
  <c r="AL946" i="28" s="1" a="1"/>
  <c r="AL946" i="28" s="1"/>
  <c r="AN946" i="28" s="1" a="1"/>
  <c r="AN946" i="28" s="1"/>
  <c r="AI947" i="28"/>
  <c r="AJ947" i="28" s="1" a="1"/>
  <c r="AJ947" i="28" s="1"/>
  <c r="AK947" i="28" s="1" a="1"/>
  <c r="AK947" i="28" s="1"/>
  <c r="AM947" i="28" s="1" a="1"/>
  <c r="AM947" i="28" s="1"/>
  <c r="AI948" i="28"/>
  <c r="AJ948" i="28" s="1" a="1"/>
  <c r="AJ948" i="28" s="1"/>
  <c r="AK948" i="28" s="1" a="1"/>
  <c r="AK948" i="28" s="1"/>
  <c r="AM948" i="28" s="1" a="1"/>
  <c r="AM948" i="28" s="1"/>
  <c r="AI949" i="28"/>
  <c r="AJ949" i="28" s="1" a="1"/>
  <c r="AJ949" i="28" s="1"/>
  <c r="AK949" i="28" s="1" a="1"/>
  <c r="AK949" i="28" s="1"/>
  <c r="AM949" i="28" s="1" a="1"/>
  <c r="AM949" i="28" s="1"/>
  <c r="AI950" i="28"/>
  <c r="AJ950" i="28" s="1" a="1"/>
  <c r="AJ950" i="28" s="1"/>
  <c r="AL950" i="28" s="1" a="1"/>
  <c r="AL950" i="28" s="1"/>
  <c r="AN950" i="28" s="1" a="1"/>
  <c r="AN950" i="28" s="1"/>
  <c r="AI951" i="28"/>
  <c r="AJ951" i="28" s="1" a="1"/>
  <c r="AJ951" i="28" s="1"/>
  <c r="AO951" i="28" s="1"/>
  <c r="AI952" i="28"/>
  <c r="AJ952" i="28" s="1" a="1"/>
  <c r="AJ952" i="28" s="1"/>
  <c r="AL952" i="28" s="1" a="1"/>
  <c r="AL952" i="28" s="1"/>
  <c r="AN952" i="28" s="1" a="1"/>
  <c r="AN952" i="28" s="1"/>
  <c r="AI953" i="28"/>
  <c r="AJ953" i="28" s="1" a="1"/>
  <c r="AJ953" i="28" s="1"/>
  <c r="AO953" i="28" s="1"/>
  <c r="AI954" i="28"/>
  <c r="AJ954" i="28" s="1" a="1"/>
  <c r="AJ954" i="28" s="1"/>
  <c r="AI955" i="28"/>
  <c r="AJ955" i="28" s="1" a="1"/>
  <c r="AJ955" i="28" s="1"/>
  <c r="AO955" i="28" s="1"/>
  <c r="AI956" i="28"/>
  <c r="AJ956" i="28" s="1" a="1"/>
  <c r="AJ956" i="28" s="1"/>
  <c r="AL956" i="28" s="1" a="1"/>
  <c r="AL956" i="28" s="1"/>
  <c r="AN956" i="28" s="1" a="1"/>
  <c r="AN956" i="28" s="1"/>
  <c r="AI957" i="28"/>
  <c r="AJ957" i="28" s="1" a="1"/>
  <c r="AJ957" i="28" s="1"/>
  <c r="AK957" i="28" s="1" a="1"/>
  <c r="AK957" i="28" s="1"/>
  <c r="AM957" i="28" s="1" a="1"/>
  <c r="AM957" i="28" s="1"/>
  <c r="AI958" i="28"/>
  <c r="AJ958" i="28" s="1" a="1"/>
  <c r="AJ958" i="28" s="1"/>
  <c r="AK958" i="28" s="1" a="1"/>
  <c r="AK958" i="28" s="1"/>
  <c r="AM958" i="28" s="1" a="1"/>
  <c r="AM958" i="28" s="1"/>
  <c r="AI959" i="28"/>
  <c r="AJ959" i="28" s="1" a="1"/>
  <c r="AJ959" i="28" s="1"/>
  <c r="AK959" i="28" s="1" a="1"/>
  <c r="AK959" i="28" s="1"/>
  <c r="AM959" i="28" s="1" a="1"/>
  <c r="AM959" i="28" s="1"/>
  <c r="AI960" i="28"/>
  <c r="AJ960" i="28" s="1" a="1"/>
  <c r="AJ960" i="28" s="1"/>
  <c r="AK960" i="28" s="1" a="1"/>
  <c r="AK960" i="28" s="1"/>
  <c r="AM960" i="28" s="1" a="1"/>
  <c r="AM960" i="28" s="1"/>
  <c r="AI961" i="28"/>
  <c r="AJ961" i="28" s="1" a="1"/>
  <c r="AJ961" i="28" s="1"/>
  <c r="AO961" i="28" s="1"/>
  <c r="AI962" i="28"/>
  <c r="AJ962" i="28" s="1" a="1"/>
  <c r="AJ962" i="28" s="1"/>
  <c r="AO962" i="28" s="1"/>
  <c r="AI963" i="28"/>
  <c r="AJ963" i="28" s="1" a="1"/>
  <c r="AJ963" i="28" s="1"/>
  <c r="AL963" i="28" s="1" a="1"/>
  <c r="AL963" i="28" s="1"/>
  <c r="AN963" i="28" s="1" a="1"/>
  <c r="AN963" i="28" s="1"/>
  <c r="AI964" i="28"/>
  <c r="AJ964" i="28" s="1" a="1"/>
  <c r="AJ964" i="28" s="1"/>
  <c r="AO964" i="28" s="1"/>
  <c r="AI965" i="28"/>
  <c r="AJ965" i="28" s="1" a="1"/>
  <c r="AJ965" i="28" s="1"/>
  <c r="AO965" i="28" s="1"/>
  <c r="AI966" i="28"/>
  <c r="AJ966" i="28" s="1" a="1"/>
  <c r="AJ966" i="28" s="1"/>
  <c r="AI967" i="28"/>
  <c r="AJ967" i="28" s="1" a="1"/>
  <c r="AJ967" i="28" s="1"/>
  <c r="AI968" i="28"/>
  <c r="AJ968" i="28" s="1" a="1"/>
  <c r="AJ968" i="28" s="1"/>
  <c r="AK968" i="28" s="1" a="1"/>
  <c r="AK968" i="28" s="1"/>
  <c r="AM968" i="28" s="1" a="1"/>
  <c r="AM968" i="28" s="1"/>
  <c r="AI969" i="28"/>
  <c r="AJ969" i="28" s="1" a="1"/>
  <c r="AJ969" i="28" s="1"/>
  <c r="AI970" i="28"/>
  <c r="AJ970" i="28" s="1" a="1"/>
  <c r="AJ970" i="28" s="1"/>
  <c r="AO970" i="28" s="1"/>
  <c r="AI971" i="28"/>
  <c r="AJ971" i="28" s="1" a="1"/>
  <c r="AJ971" i="28" s="1"/>
  <c r="AK971" i="28" s="1" a="1"/>
  <c r="AK971" i="28" s="1"/>
  <c r="AM971" i="28" s="1" a="1"/>
  <c r="AM971" i="28" s="1"/>
  <c r="AI972" i="28"/>
  <c r="AJ972" i="28" s="1" a="1"/>
  <c r="AJ972" i="28" s="1"/>
  <c r="AI973" i="28"/>
  <c r="AJ973" i="28" s="1" a="1"/>
  <c r="AJ973" i="28" s="1"/>
  <c r="AO973" i="28" s="1"/>
  <c r="AI974" i="28"/>
  <c r="AJ974" i="28" s="1" a="1"/>
  <c r="AJ974" i="28" s="1"/>
  <c r="AO974" i="28" s="1"/>
  <c r="AI975" i="28"/>
  <c r="AJ975" i="28" s="1" a="1"/>
  <c r="AJ975" i="28" s="1"/>
  <c r="AK975" i="28" s="1" a="1"/>
  <c r="AK975" i="28" s="1"/>
  <c r="AM975" i="28" s="1" a="1"/>
  <c r="AM975" i="28" s="1"/>
  <c r="AI976" i="28"/>
  <c r="AJ976" i="28" s="1" a="1"/>
  <c r="AJ976" i="28" s="1"/>
  <c r="AK976" i="28" s="1" a="1"/>
  <c r="AK976" i="28" s="1"/>
  <c r="AM976" i="28" s="1" a="1"/>
  <c r="AM976" i="28" s="1"/>
  <c r="AI977" i="28"/>
  <c r="AJ977" i="28" s="1" a="1"/>
  <c r="AJ977" i="28" s="1"/>
  <c r="AO977" i="28" s="1"/>
  <c r="AI978" i="28"/>
  <c r="AJ978" i="28" s="1" a="1"/>
  <c r="AJ978" i="28" s="1"/>
  <c r="AI979" i="28"/>
  <c r="AJ979" i="28" s="1" a="1"/>
  <c r="AJ979" i="28" s="1"/>
  <c r="AI980" i="28"/>
  <c r="AJ980" i="28" s="1" a="1"/>
  <c r="AJ980" i="28" s="1"/>
  <c r="AI981" i="28"/>
  <c r="AJ981" i="28" s="1" a="1"/>
  <c r="AJ981" i="28" s="1"/>
  <c r="AO981" i="28" s="1"/>
  <c r="AI982" i="28"/>
  <c r="AJ982" i="28" s="1" a="1"/>
  <c r="AJ982" i="28" s="1"/>
  <c r="AL982" i="28" s="1" a="1"/>
  <c r="AL982" i="28" s="1"/>
  <c r="AN982" i="28" s="1" a="1"/>
  <c r="AN982" i="28" s="1"/>
  <c r="AI983" i="28"/>
  <c r="AJ983" i="28" s="1" a="1"/>
  <c r="AJ983" i="28" s="1"/>
  <c r="AL983" i="28" s="1" a="1"/>
  <c r="AL983" i="28" s="1"/>
  <c r="AN983" i="28" s="1" a="1"/>
  <c r="AN983" i="28" s="1"/>
  <c r="AI984" i="28"/>
  <c r="AJ984" i="28" s="1" a="1"/>
  <c r="AJ984" i="28" s="1"/>
  <c r="AI985" i="28"/>
  <c r="AJ985" i="28" s="1" a="1"/>
  <c r="AJ985" i="28" s="1"/>
  <c r="AK985" i="28" s="1" a="1"/>
  <c r="AK985" i="28" s="1"/>
  <c r="AM985" i="28" s="1" a="1"/>
  <c r="AM985" i="28" s="1"/>
  <c r="AI986" i="28"/>
  <c r="AJ986" i="28" s="1" a="1"/>
  <c r="AJ986" i="28" s="1"/>
  <c r="AI987" i="28"/>
  <c r="AJ987" i="28" s="1" a="1"/>
  <c r="AJ987" i="28" s="1"/>
  <c r="AL987" i="28" s="1" a="1"/>
  <c r="AL987" i="28" s="1"/>
  <c r="AN987" i="28" s="1" a="1"/>
  <c r="AN987" i="28" s="1"/>
  <c r="AI988" i="28"/>
  <c r="AJ988" i="28" s="1" a="1"/>
  <c r="AJ988" i="28" s="1"/>
  <c r="AL988" i="28" s="1" a="1"/>
  <c r="AL988" i="28" s="1"/>
  <c r="AN988" i="28" s="1" a="1"/>
  <c r="AN988" i="28" s="1"/>
  <c r="AI989" i="28"/>
  <c r="AJ989" i="28" s="1" a="1"/>
  <c r="AJ989" i="28" s="1"/>
  <c r="AI990" i="28"/>
  <c r="AJ990" i="28" s="1" a="1"/>
  <c r="AJ990" i="28" s="1"/>
  <c r="AI991" i="28"/>
  <c r="AJ991" i="28" s="1" a="1"/>
  <c r="AJ991" i="28" s="1"/>
  <c r="AL991" i="28" s="1" a="1"/>
  <c r="AL991" i="28" s="1"/>
  <c r="AN991" i="28" s="1" a="1"/>
  <c r="AN991" i="28" s="1"/>
  <c r="AI992" i="28"/>
  <c r="AJ992" i="28" s="1" a="1"/>
  <c r="AJ992" i="28" s="1"/>
  <c r="AI993" i="28"/>
  <c r="AJ993" i="28" s="1" a="1"/>
  <c r="AJ993" i="28" s="1"/>
  <c r="AL993" i="28" s="1" a="1"/>
  <c r="AL993" i="28" s="1"/>
  <c r="AN993" i="28" s="1" a="1"/>
  <c r="AN993" i="28" s="1"/>
  <c r="AI994" i="28"/>
  <c r="AJ994" i="28" s="1" a="1"/>
  <c r="AJ994" i="28" s="1"/>
  <c r="AL994" i="28" s="1" a="1"/>
  <c r="AL994" i="28" s="1"/>
  <c r="AN994" i="28" s="1" a="1"/>
  <c r="AN994" i="28" s="1"/>
  <c r="AI995" i="28"/>
  <c r="AJ995" i="28" s="1" a="1"/>
  <c r="AJ995" i="28" s="1"/>
  <c r="AO995" i="28" s="1"/>
  <c r="AI996" i="28"/>
  <c r="AJ996" i="28" s="1" a="1"/>
  <c r="AJ996" i="28" s="1"/>
  <c r="AO996" i="28" s="1"/>
  <c r="AI997" i="28"/>
  <c r="AJ997" i="28" s="1" a="1"/>
  <c r="AJ997" i="28" s="1"/>
  <c r="AI998" i="28"/>
  <c r="AJ998" i="28" s="1" a="1"/>
  <c r="AJ998" i="28" s="1"/>
  <c r="AK998" i="28" s="1" a="1"/>
  <c r="AK998" i="28" s="1"/>
  <c r="AM998" i="28" s="1" a="1"/>
  <c r="AM998" i="28" s="1"/>
  <c r="AI999" i="28"/>
  <c r="AJ999" i="28" s="1" a="1"/>
  <c r="AJ999" i="28" s="1"/>
  <c r="AL999" i="28" s="1" a="1"/>
  <c r="AL999" i="28" s="1"/>
  <c r="AN999" i="28" s="1" a="1"/>
  <c r="AN999" i="28" s="1"/>
  <c r="AI1000" i="28"/>
  <c r="AJ1000" i="28" s="1" a="1"/>
  <c r="AJ1000" i="28" s="1"/>
  <c r="AI1001" i="28"/>
  <c r="AJ1001" i="28" s="1" a="1"/>
  <c r="AJ1001" i="28" s="1"/>
  <c r="AL1001" i="28" s="1" a="1"/>
  <c r="AL1001" i="28" s="1"/>
  <c r="AN1001" i="28" s="1" a="1"/>
  <c r="AN1001" i="28" s="1"/>
  <c r="E5" i="12"/>
  <c r="E9" i="12"/>
  <c r="BQ15" i="1"/>
  <c r="E8" i="12"/>
  <c r="BQ16" i="1"/>
  <c r="E7" i="12"/>
  <c r="E4" i="12"/>
  <c r="BQ18" i="1"/>
  <c r="BQ19" i="1"/>
  <c r="BQ20" i="1"/>
  <c r="E6" i="12"/>
  <c r="BQ24" i="1"/>
  <c r="BQ25" i="1"/>
  <c r="BQ26" i="1"/>
  <c r="BQ27" i="1"/>
  <c r="BQ30" i="1"/>
  <c r="BQ31" i="1"/>
  <c r="BQ32" i="1"/>
  <c r="BQ33" i="1"/>
  <c r="BQ34" i="1"/>
  <c r="BQ35" i="1"/>
  <c r="BQ36" i="1"/>
  <c r="BQ37" i="1"/>
  <c r="BQ38" i="1"/>
  <c r="E164" i="12"/>
  <c r="E17" i="12"/>
  <c r="BQ42" i="1"/>
  <c r="E11" i="12"/>
  <c r="E20" i="12"/>
  <c r="BQ43" i="1"/>
  <c r="E19" i="12"/>
  <c r="BQ44" i="1"/>
  <c r="E16" i="12"/>
  <c r="BQ45" i="1"/>
  <c r="BQ46" i="1"/>
  <c r="BQ47" i="1"/>
  <c r="BQ48" i="1"/>
  <c r="BQ49" i="1"/>
  <c r="BQ50" i="1"/>
  <c r="BQ54" i="1"/>
  <c r="BQ55" i="1"/>
  <c r="BQ56" i="1"/>
  <c r="BQ58" i="1"/>
  <c r="BQ59" i="1"/>
  <c r="BQ60" i="1"/>
  <c r="E15" i="12"/>
  <c r="BQ61" i="1"/>
  <c r="E14" i="12"/>
  <c r="BQ65" i="1"/>
  <c r="BQ66" i="1"/>
  <c r="BQ67" i="1"/>
  <c r="BQ68" i="1"/>
  <c r="BQ69" i="1"/>
  <c r="E26" i="12"/>
  <c r="E27" i="12"/>
  <c r="BQ73" i="1"/>
  <c r="E28" i="12"/>
  <c r="BQ74" i="1"/>
  <c r="E23" i="12"/>
  <c r="BQ79" i="1"/>
  <c r="BQ80" i="1"/>
  <c r="BQ81" i="1"/>
  <c r="BQ85" i="1"/>
  <c r="BQ86" i="1"/>
  <c r="BQ87" i="1"/>
  <c r="BQ91" i="1"/>
  <c r="BQ92" i="1"/>
  <c r="BQ93" i="1"/>
  <c r="BQ94" i="1"/>
  <c r="E31" i="12"/>
  <c r="E39" i="12"/>
  <c r="BQ97" i="1"/>
  <c r="E33" i="12"/>
  <c r="E40" i="12"/>
  <c r="BQ98" i="1"/>
  <c r="E34" i="12"/>
  <c r="E37" i="12"/>
  <c r="BQ99" i="1"/>
  <c r="BQ100" i="1"/>
  <c r="E38" i="12"/>
  <c r="BQ101" i="1"/>
  <c r="E36" i="12"/>
  <c r="BQ109" i="1"/>
  <c r="BQ110" i="1"/>
  <c r="BQ111" i="1"/>
  <c r="BQ112" i="1"/>
  <c r="BQ113" i="1"/>
  <c r="BQ114" i="1"/>
  <c r="BQ115" i="1"/>
  <c r="BQ121" i="1"/>
  <c r="BQ122" i="1"/>
  <c r="BQ123" i="1"/>
  <c r="BQ124" i="1"/>
  <c r="BQ125" i="1"/>
  <c r="BQ126" i="1"/>
  <c r="BQ127" i="1"/>
  <c r="BQ133" i="1"/>
  <c r="BQ134" i="1"/>
  <c r="BQ135" i="1"/>
  <c r="BQ136" i="1"/>
  <c r="BQ137" i="1"/>
  <c r="BQ138" i="1"/>
  <c r="BQ139" i="1"/>
  <c r="BQ140" i="1"/>
  <c r="E49" i="12"/>
  <c r="E46" i="12"/>
  <c r="BQ145" i="1"/>
  <c r="E43" i="12"/>
  <c r="E44" i="12"/>
  <c r="BQ146" i="1"/>
  <c r="E48" i="12"/>
  <c r="BQ147" i="1"/>
  <c r="BQ148" i="1"/>
  <c r="E47" i="12"/>
  <c r="BQ149" i="1"/>
  <c r="BQ154" i="1"/>
  <c r="BQ155" i="1"/>
  <c r="BQ156" i="1"/>
  <c r="BQ157" i="1"/>
  <c r="BQ158" i="1"/>
  <c r="BQ163" i="1"/>
  <c r="BQ164" i="1"/>
  <c r="BQ165" i="1"/>
  <c r="BQ166" i="1"/>
  <c r="BQ172" i="1"/>
  <c r="BQ173" i="1"/>
  <c r="BQ174" i="1"/>
  <c r="BQ175" i="1"/>
  <c r="BQ176" i="1"/>
  <c r="E51" i="12"/>
  <c r="E57" i="12"/>
  <c r="BQ181" i="1"/>
  <c r="E53" i="12"/>
  <c r="E60" i="12"/>
  <c r="BQ182" i="1"/>
  <c r="E59" i="12"/>
  <c r="E52" i="12"/>
  <c r="BQ183" i="1"/>
  <c r="BQ184" i="1"/>
  <c r="BQ190" i="1"/>
  <c r="BQ191" i="1"/>
  <c r="BQ192" i="1"/>
  <c r="BQ193" i="1"/>
  <c r="BQ194" i="1"/>
  <c r="BQ195" i="1"/>
  <c r="BQ196" i="1"/>
  <c r="BQ199" i="1"/>
  <c r="BQ200" i="1"/>
  <c r="BQ201" i="1"/>
  <c r="BQ202" i="1"/>
  <c r="BQ208" i="1"/>
  <c r="BQ209" i="1"/>
  <c r="BQ210" i="1"/>
  <c r="BQ211" i="1"/>
  <c r="BQ212" i="1"/>
  <c r="BQ213" i="1"/>
  <c r="E62" i="12"/>
  <c r="E67" i="12"/>
  <c r="BQ217" i="1"/>
  <c r="E70" i="12"/>
  <c r="E69" i="12"/>
  <c r="E66" i="12"/>
  <c r="E65" i="12"/>
  <c r="E71" i="12"/>
  <c r="E68" i="12"/>
  <c r="E77" i="12"/>
  <c r="E76" i="12"/>
  <c r="E75" i="12"/>
  <c r="E82" i="12"/>
  <c r="E74" i="12"/>
  <c r="E78" i="12"/>
  <c r="E80" i="12"/>
  <c r="E73" i="12"/>
  <c r="E83" i="12"/>
  <c r="BQ270" i="1"/>
  <c r="E86" i="12"/>
  <c r="E90" i="12"/>
  <c r="E87" i="12"/>
  <c r="E89" i="12"/>
  <c r="E88" i="12"/>
  <c r="E92" i="12"/>
  <c r="E91" i="12"/>
  <c r="BQ330" i="1"/>
  <c r="BQ331" i="1"/>
  <c r="BQ332" i="1"/>
  <c r="BQ339" i="1"/>
  <c r="BQ340" i="1"/>
  <c r="BQ341" i="1"/>
  <c r="BQ342" i="1"/>
  <c r="BQ343" i="1"/>
  <c r="BQ344" i="1"/>
  <c r="BQ345" i="1"/>
  <c r="BQ346" i="1"/>
  <c r="BQ347" i="1"/>
  <c r="BQ348" i="1"/>
  <c r="BQ349" i="1"/>
  <c r="BQ350" i="1"/>
  <c r="BQ351" i="1"/>
  <c r="BQ352" i="1"/>
  <c r="BQ353" i="1"/>
  <c r="BQ354" i="1"/>
  <c r="BQ355" i="1"/>
  <c r="BQ356" i="1"/>
  <c r="BQ357" i="1"/>
  <c r="BQ358" i="1"/>
  <c r="BQ359" i="1"/>
  <c r="BQ360" i="1"/>
  <c r="BQ361" i="1"/>
  <c r="BQ362" i="1"/>
  <c r="BQ363" i="1"/>
  <c r="BQ367" i="1"/>
  <c r="BQ368" i="1"/>
  <c r="BQ370" i="1"/>
  <c r="BQ371" i="1"/>
  <c r="BQ372" i="1"/>
  <c r="BQ373" i="1"/>
  <c r="E97" i="12"/>
  <c r="E105" i="12"/>
  <c r="BQ381" i="1"/>
  <c r="E99" i="12"/>
  <c r="E106" i="12"/>
  <c r="BQ382" i="1"/>
  <c r="E108" i="12"/>
  <c r="E102" i="12"/>
  <c r="BQ383" i="1"/>
  <c r="E101" i="12"/>
  <c r="E104" i="12"/>
  <c r="BQ384" i="1"/>
  <c r="E107" i="12"/>
  <c r="BQ385" i="1"/>
  <c r="BQ386" i="1"/>
  <c r="BQ387" i="1"/>
  <c r="BQ388" i="1"/>
  <c r="E103" i="12"/>
  <c r="BQ389" i="1"/>
  <c r="BQ390" i="1"/>
  <c r="BQ396" i="1"/>
  <c r="BQ397" i="1"/>
  <c r="BQ398" i="1"/>
  <c r="BQ399" i="1"/>
  <c r="BQ400" i="1"/>
  <c r="BQ401" i="1"/>
  <c r="BQ402" i="1"/>
  <c r="BQ403" i="1"/>
  <c r="BQ404" i="1"/>
  <c r="BQ405" i="1"/>
  <c r="BQ406" i="1"/>
  <c r="BQ407" i="1"/>
  <c r="BQ408" i="1"/>
  <c r="BQ409" i="1"/>
  <c r="BQ411" i="1"/>
  <c r="BQ412" i="1"/>
  <c r="BQ413" i="1"/>
  <c r="BQ414" i="1"/>
  <c r="BQ415" i="1"/>
  <c r="BQ416" i="1"/>
  <c r="BQ417" i="1"/>
  <c r="BQ418" i="1"/>
  <c r="BQ419" i="1"/>
  <c r="BQ420" i="1"/>
  <c r="BQ421" i="1"/>
  <c r="BQ426" i="1"/>
  <c r="BQ427" i="1"/>
  <c r="BQ428" i="1"/>
  <c r="BQ429" i="1"/>
  <c r="BQ430" i="1"/>
  <c r="BQ431" i="1"/>
  <c r="BQ432" i="1"/>
  <c r="BQ433" i="1"/>
  <c r="BQ434" i="1"/>
  <c r="BQ435" i="1"/>
  <c r="BQ436" i="1"/>
  <c r="BQ437" i="1"/>
  <c r="BQ438" i="1"/>
  <c r="BQ439" i="1"/>
  <c r="BQ441" i="1"/>
  <c r="BQ442" i="1"/>
  <c r="BQ443" i="1"/>
  <c r="BQ444" i="1"/>
  <c r="BQ445" i="1"/>
  <c r="BQ446" i="1"/>
  <c r="BQ447" i="1"/>
  <c r="BQ448" i="1"/>
  <c r="BQ449" i="1"/>
  <c r="BQ450" i="1"/>
  <c r="E112" i="12"/>
  <c r="E110" i="12"/>
  <c r="BQ456" i="1"/>
  <c r="E111" i="12"/>
  <c r="E115" i="12"/>
  <c r="BQ457" i="1"/>
  <c r="BQ458" i="1"/>
  <c r="BQ459" i="1"/>
  <c r="BQ460" i="1"/>
  <c r="BQ461" i="1"/>
  <c r="BQ474" i="1"/>
  <c r="BQ475" i="1"/>
  <c r="BQ476" i="1"/>
  <c r="BQ477" i="1"/>
  <c r="BQ478" i="1"/>
  <c r="BQ479" i="1"/>
  <c r="E122" i="12"/>
  <c r="E121" i="12"/>
  <c r="BQ480" i="1"/>
  <c r="E124" i="12"/>
  <c r="E129" i="12"/>
  <c r="BQ481" i="1"/>
  <c r="E127" i="12"/>
  <c r="BQ482" i="1"/>
  <c r="E125" i="12"/>
  <c r="E128" i="12"/>
  <c r="BQ483" i="1"/>
  <c r="E130" i="12"/>
  <c r="BQ484" i="1"/>
  <c r="E123" i="12"/>
  <c r="BQ485" i="1"/>
  <c r="E120" i="12"/>
  <c r="BQ486" i="1"/>
  <c r="BQ487" i="1"/>
  <c r="BQ488" i="1"/>
  <c r="BQ489" i="1"/>
  <c r="BQ490" i="1"/>
  <c r="BQ491" i="1"/>
  <c r="BQ492" i="1"/>
  <c r="BQ493" i="1"/>
  <c r="BQ494" i="1"/>
  <c r="BQ495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20" i="1"/>
  <c r="BQ521" i="1"/>
  <c r="BQ522" i="1"/>
  <c r="BQ523" i="1"/>
  <c r="BQ524" i="1"/>
  <c r="BQ525" i="1"/>
  <c r="BQ526" i="1"/>
  <c r="BQ527" i="1"/>
  <c r="BQ528" i="1"/>
  <c r="BQ529" i="1"/>
  <c r="BQ530" i="1"/>
  <c r="BQ531" i="1"/>
  <c r="BQ532" i="1"/>
  <c r="BQ533" i="1"/>
  <c r="BQ534" i="1"/>
  <c r="BQ535" i="1"/>
  <c r="BQ540" i="1"/>
  <c r="BQ541" i="1"/>
  <c r="BQ542" i="1"/>
  <c r="BQ543" i="1"/>
  <c r="BQ544" i="1"/>
  <c r="BQ545" i="1"/>
  <c r="BQ546" i="1"/>
  <c r="BQ547" i="1"/>
  <c r="BQ548" i="1"/>
  <c r="BQ549" i="1"/>
  <c r="BQ550" i="1"/>
  <c r="BQ551" i="1"/>
  <c r="BQ552" i="1"/>
  <c r="BQ553" i="1"/>
  <c r="BQ554" i="1"/>
  <c r="BQ555" i="1"/>
  <c r="BQ556" i="1"/>
  <c r="E132" i="12"/>
  <c r="E135" i="12"/>
  <c r="BQ560" i="1"/>
  <c r="E138" i="12"/>
  <c r="E139" i="12"/>
  <c r="BQ561" i="1"/>
  <c r="E137" i="12"/>
  <c r="E140" i="12"/>
  <c r="BQ562" i="1"/>
  <c r="E134" i="12"/>
  <c r="E136" i="12"/>
  <c r="BQ563" i="1"/>
  <c r="BQ564" i="1"/>
  <c r="BQ565" i="1"/>
  <c r="BQ566" i="1"/>
  <c r="BQ567" i="1"/>
  <c r="BQ568" i="1"/>
  <c r="BQ569" i="1"/>
  <c r="BQ570" i="1"/>
  <c r="BQ572" i="1"/>
  <c r="BQ573" i="1"/>
  <c r="BQ574" i="1"/>
  <c r="BQ575" i="1"/>
  <c r="BQ576" i="1"/>
  <c r="BQ577" i="1"/>
  <c r="BQ578" i="1"/>
  <c r="BQ579" i="1"/>
  <c r="BQ580" i="1"/>
  <c r="BQ584" i="1"/>
  <c r="BQ585" i="1"/>
  <c r="BQ586" i="1"/>
  <c r="BQ587" i="1"/>
  <c r="BQ588" i="1"/>
  <c r="BQ589" i="1"/>
  <c r="BQ590" i="1"/>
  <c r="BQ591" i="1"/>
  <c r="BQ596" i="1"/>
  <c r="BQ597" i="1"/>
  <c r="BQ598" i="1"/>
  <c r="BQ599" i="1"/>
  <c r="BQ600" i="1"/>
  <c r="BQ601" i="1"/>
  <c r="BQ602" i="1"/>
  <c r="BQ603" i="1"/>
  <c r="BQ604" i="1"/>
  <c r="BQ605" i="1"/>
  <c r="BQ606" i="1"/>
  <c r="BQ607" i="1"/>
  <c r="E145" i="12"/>
  <c r="E152" i="12"/>
  <c r="BQ608" i="1"/>
  <c r="E143" i="12"/>
  <c r="E151" i="12"/>
  <c r="BQ609" i="1"/>
  <c r="E146" i="12"/>
  <c r="BQ610" i="1"/>
  <c r="E153" i="12"/>
  <c r="BQ611" i="1"/>
  <c r="E149" i="12"/>
  <c r="BQ612" i="1"/>
  <c r="E154" i="12"/>
  <c r="E150" i="12"/>
  <c r="BQ613" i="1"/>
  <c r="E144" i="12"/>
  <c r="BQ614" i="1"/>
  <c r="BQ615" i="1"/>
  <c r="BQ616" i="1"/>
  <c r="BQ617" i="1"/>
  <c r="BQ618" i="1"/>
  <c r="BQ619" i="1"/>
  <c r="BQ620" i="1"/>
  <c r="BQ621" i="1"/>
  <c r="BQ628" i="1"/>
  <c r="BQ629" i="1"/>
  <c r="BQ630" i="1"/>
  <c r="BQ631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8" i="1"/>
  <c r="BQ649" i="1"/>
  <c r="BQ650" i="1"/>
  <c r="BQ651" i="1"/>
  <c r="BQ652" i="1"/>
  <c r="BQ653" i="1"/>
  <c r="BQ654" i="1"/>
  <c r="BQ655" i="1"/>
  <c r="BQ656" i="1"/>
  <c r="BQ657" i="1"/>
  <c r="BQ658" i="1"/>
  <c r="BQ659" i="1"/>
  <c r="BQ660" i="1"/>
  <c r="BQ661" i="1"/>
  <c r="BQ662" i="1"/>
  <c r="BQ663" i="1"/>
  <c r="BQ664" i="1"/>
  <c r="BQ668" i="1"/>
  <c r="BQ669" i="1"/>
  <c r="BQ670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E157" i="12"/>
  <c r="E163" i="12"/>
  <c r="BQ688" i="1"/>
  <c r="E159" i="12"/>
  <c r="BQ689" i="1"/>
  <c r="BQ690" i="1"/>
  <c r="E160" i="12"/>
  <c r="BQ691" i="1"/>
  <c r="BQ692" i="1"/>
  <c r="BQ693" i="1"/>
  <c r="BQ694" i="1"/>
  <c r="BQ695" i="1"/>
  <c r="E162" i="12"/>
  <c r="BQ698" i="1"/>
  <c r="BQ699" i="1"/>
  <c r="BQ700" i="1"/>
  <c r="BQ701" i="1"/>
  <c r="BQ702" i="1"/>
  <c r="BQ703" i="1"/>
  <c r="BQ704" i="1"/>
  <c r="BQ705" i="1"/>
  <c r="BQ706" i="1"/>
  <c r="BQ707" i="1"/>
  <c r="BQ871" i="1"/>
  <c r="BQ872" i="1"/>
  <c r="BQ873" i="1"/>
  <c r="BQ874" i="1"/>
  <c r="AX11" i="1"/>
  <c r="AO11" i="1"/>
  <c r="AZ11" i="1" s="1"/>
  <c r="AM11" i="1"/>
  <c r="AN11" i="1" s="1"/>
  <c r="AV11" i="1"/>
  <c r="AW11" i="1"/>
  <c r="G1" i="28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J3" i="19"/>
  <c r="J4" i="19"/>
  <c r="J5" i="19"/>
  <c r="J6" i="19"/>
  <c r="J7" i="19"/>
  <c r="J8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J106" i="19"/>
  <c r="J107" i="19"/>
  <c r="J108" i="19"/>
  <c r="J109" i="19"/>
  <c r="J110" i="19"/>
  <c r="J111" i="19"/>
  <c r="J112" i="19"/>
  <c r="J113" i="19"/>
  <c r="J114" i="19"/>
  <c r="J115" i="19"/>
  <c r="J116" i="19"/>
  <c r="J117" i="19"/>
  <c r="J118" i="19"/>
  <c r="J119" i="19"/>
  <c r="J120" i="19"/>
  <c r="J121" i="19"/>
  <c r="J122" i="19"/>
  <c r="J123" i="19"/>
  <c r="J124" i="19"/>
  <c r="J125" i="19"/>
  <c r="J126" i="19"/>
  <c r="J127" i="19"/>
  <c r="J128" i="19"/>
  <c r="J129" i="19"/>
  <c r="J130" i="19"/>
  <c r="J131" i="19"/>
  <c r="J132" i="19"/>
  <c r="J133" i="19"/>
  <c r="J134" i="19"/>
  <c r="J135" i="19"/>
  <c r="J136" i="19"/>
  <c r="J137" i="19"/>
  <c r="J138" i="19"/>
  <c r="J139" i="19"/>
  <c r="J140" i="19"/>
  <c r="J141" i="19"/>
  <c r="J142" i="19"/>
  <c r="J143" i="19"/>
  <c r="J144" i="19"/>
  <c r="J145" i="19"/>
  <c r="J146" i="19"/>
  <c r="J147" i="19"/>
  <c r="J148" i="19"/>
  <c r="J149" i="19"/>
  <c r="J150" i="19"/>
  <c r="J151" i="19"/>
  <c r="J152" i="19"/>
  <c r="J153" i="19"/>
  <c r="J154" i="19"/>
  <c r="J155" i="19"/>
  <c r="J156" i="19"/>
  <c r="J157" i="19"/>
  <c r="J158" i="19"/>
  <c r="J159" i="19"/>
  <c r="J160" i="19"/>
  <c r="J161" i="19"/>
  <c r="J162" i="19"/>
  <c r="J163" i="19"/>
  <c r="J164" i="19"/>
  <c r="J165" i="19"/>
  <c r="J166" i="19"/>
  <c r="J167" i="19"/>
  <c r="J168" i="19"/>
  <c r="J169" i="19"/>
  <c r="J170" i="19"/>
  <c r="J171" i="19"/>
  <c r="J172" i="19"/>
  <c r="J173" i="19"/>
  <c r="J174" i="19"/>
  <c r="J175" i="19"/>
  <c r="J176" i="19"/>
  <c r="J177" i="19"/>
  <c r="J178" i="19"/>
  <c r="J179" i="19"/>
  <c r="J180" i="19"/>
  <c r="J181" i="19"/>
  <c r="J182" i="19"/>
  <c r="J183" i="19"/>
  <c r="J184" i="19"/>
  <c r="J185" i="19"/>
  <c r="J186" i="19"/>
  <c r="J187" i="19"/>
  <c r="J188" i="19"/>
  <c r="J189" i="19"/>
  <c r="J190" i="19"/>
  <c r="J191" i="19"/>
  <c r="J192" i="19"/>
  <c r="J193" i="19"/>
  <c r="J194" i="19"/>
  <c r="J195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106" i="19"/>
  <c r="O107" i="19"/>
  <c r="O108" i="19"/>
  <c r="O109" i="19"/>
  <c r="O110" i="19"/>
  <c r="O111" i="19"/>
  <c r="O112" i="19"/>
  <c r="O113" i="19"/>
  <c r="O114" i="19"/>
  <c r="O115" i="19"/>
  <c r="O116" i="19"/>
  <c r="O117" i="19"/>
  <c r="O118" i="19"/>
  <c r="O119" i="19"/>
  <c r="O120" i="19"/>
  <c r="O121" i="19"/>
  <c r="O122" i="19"/>
  <c r="O123" i="19"/>
  <c r="O124" i="19"/>
  <c r="O125" i="19"/>
  <c r="O126" i="19"/>
  <c r="O127" i="19"/>
  <c r="O128" i="19"/>
  <c r="O129" i="19"/>
  <c r="O130" i="19"/>
  <c r="O131" i="19"/>
  <c r="O132" i="19"/>
  <c r="O133" i="19"/>
  <c r="O134" i="19"/>
  <c r="O135" i="19"/>
  <c r="O136" i="19"/>
  <c r="O137" i="19"/>
  <c r="O138" i="19"/>
  <c r="O139" i="19"/>
  <c r="O140" i="19"/>
  <c r="O141" i="19"/>
  <c r="O142" i="19"/>
  <c r="O143" i="19"/>
  <c r="O144" i="19"/>
  <c r="O145" i="19"/>
  <c r="O146" i="19"/>
  <c r="O147" i="19"/>
  <c r="O148" i="19"/>
  <c r="O149" i="19"/>
  <c r="O150" i="19"/>
  <c r="O151" i="19"/>
  <c r="O152" i="19"/>
  <c r="O153" i="19"/>
  <c r="O154" i="19"/>
  <c r="O155" i="19"/>
  <c r="O156" i="19"/>
  <c r="O157" i="19"/>
  <c r="O158" i="19"/>
  <c r="O159" i="19"/>
  <c r="R11" i="1"/>
  <c r="AA11" i="1"/>
  <c r="G27" i="12"/>
  <c r="G152" i="12"/>
  <c r="BQ12" i="1"/>
  <c r="BQ14" i="1"/>
  <c r="AG1001" i="28"/>
  <c r="AH1001" i="28"/>
  <c r="A2" i="22"/>
  <c r="G67" i="12"/>
  <c r="G66" i="12"/>
  <c r="G70" i="12"/>
  <c r="G71" i="12"/>
  <c r="G164" i="12"/>
  <c r="G125" i="12"/>
  <c r="G102" i="12"/>
  <c r="E109" i="12"/>
  <c r="E113" i="12"/>
  <c r="E114" i="12"/>
  <c r="E116" i="12"/>
  <c r="E117" i="12"/>
  <c r="E118" i="12"/>
  <c r="E119" i="12"/>
  <c r="E126" i="12"/>
  <c r="E131" i="12"/>
  <c r="E133" i="12"/>
  <c r="E141" i="12"/>
  <c r="E142" i="12"/>
  <c r="E147" i="12"/>
  <c r="E148" i="12"/>
  <c r="E155" i="12"/>
  <c r="E156" i="12"/>
  <c r="E158" i="12"/>
  <c r="E161" i="12"/>
  <c r="E165" i="12"/>
  <c r="G108" i="12"/>
  <c r="BJ11" i="1"/>
  <c r="B7" i="17"/>
  <c r="B49" i="17" s="1"/>
  <c r="L9" i="17"/>
  <c r="A10" i="17"/>
  <c r="A78" i="17" s="1"/>
  <c r="L10" i="17"/>
  <c r="M10" i="17"/>
  <c r="M11" i="17" s="1"/>
  <c r="M12" i="17" s="1"/>
  <c r="M13" i="17" s="1"/>
  <c r="M14" i="17" s="1"/>
  <c r="M15" i="17" s="1"/>
  <c r="M16" i="17" s="1"/>
  <c r="M17" i="17" s="1"/>
  <c r="M18" i="17" s="1"/>
  <c r="M19" i="17" s="1"/>
  <c r="M20" i="17" s="1"/>
  <c r="M21" i="17" s="1"/>
  <c r="M22" i="17" s="1"/>
  <c r="M23" i="17" s="1"/>
  <c r="M24" i="17" s="1"/>
  <c r="M25" i="17" s="1"/>
  <c r="M26" i="17" s="1"/>
  <c r="M27" i="17" s="1"/>
  <c r="M28" i="17" s="1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BP11" i="1"/>
  <c r="BQ11" i="1" s="1"/>
  <c r="AY11" i="1"/>
  <c r="BL11" i="1"/>
  <c r="BM11" i="1"/>
  <c r="BN11" i="1"/>
  <c r="S31" i="12"/>
  <c r="S9" i="12"/>
  <c r="S32" i="12" s="1"/>
  <c r="L260" i="19"/>
  <c r="M260" i="19" s="1"/>
  <c r="N260" i="19" s="1"/>
  <c r="L261" i="19"/>
  <c r="M261" i="19" s="1"/>
  <c r="N261" i="19" s="1"/>
  <c r="L262" i="19"/>
  <c r="M262" i="19" s="1"/>
  <c r="N262" i="19" s="1"/>
  <c r="L263" i="19"/>
  <c r="M263" i="19" s="1"/>
  <c r="N263" i="19" s="1"/>
  <c r="L264" i="19"/>
  <c r="M264" i="19" s="1"/>
  <c r="N264" i="19" s="1"/>
  <c r="L265" i="19"/>
  <c r="M265" i="19" s="1"/>
  <c r="N265" i="19" s="1"/>
  <c r="L266" i="19"/>
  <c r="M266" i="19" s="1"/>
  <c r="N266" i="19" s="1"/>
  <c r="L267" i="19"/>
  <c r="M267" i="19" s="1"/>
  <c r="N267" i="19" s="1"/>
  <c r="L268" i="19"/>
  <c r="M268" i="19" s="1"/>
  <c r="N268" i="19" s="1"/>
  <c r="L269" i="19"/>
  <c r="M269" i="19" s="1"/>
  <c r="N269" i="19" s="1"/>
  <c r="L270" i="19"/>
  <c r="M270" i="19" s="1"/>
  <c r="N270" i="19" s="1"/>
  <c r="L271" i="19"/>
  <c r="M271" i="19" s="1"/>
  <c r="N271" i="19" s="1"/>
  <c r="L272" i="19"/>
  <c r="M272" i="19" s="1"/>
  <c r="N272" i="19" s="1"/>
  <c r="L273" i="19"/>
  <c r="M273" i="19"/>
  <c r="N273" i="19"/>
  <c r="L274" i="19"/>
  <c r="M274" i="19" s="1"/>
  <c r="N274" i="19" s="1"/>
  <c r="L275" i="19"/>
  <c r="M275" i="19" s="1"/>
  <c r="N275" i="19" s="1"/>
  <c r="L276" i="19"/>
  <c r="M276" i="19" s="1"/>
  <c r="N276" i="19" s="1"/>
  <c r="L277" i="19"/>
  <c r="M277" i="19" s="1"/>
  <c r="N277" i="19" s="1"/>
  <c r="L278" i="19"/>
  <c r="M278" i="19" s="1"/>
  <c r="N278" i="19" s="1"/>
  <c r="L279" i="19"/>
  <c r="M279" i="19" s="1"/>
  <c r="N279" i="19" s="1"/>
  <c r="L280" i="19"/>
  <c r="M280" i="19" s="1"/>
  <c r="N280" i="19" s="1"/>
  <c r="L281" i="19"/>
  <c r="M281" i="19" s="1"/>
  <c r="N281" i="19" s="1"/>
  <c r="L282" i="19"/>
  <c r="M282" i="19" s="1"/>
  <c r="N282" i="19" s="1"/>
  <c r="O187" i="19"/>
  <c r="O188" i="19"/>
  <c r="O189" i="19"/>
  <c r="O190" i="19"/>
  <c r="O191" i="19"/>
  <c r="O192" i="19"/>
  <c r="O193" i="19"/>
  <c r="O194" i="19"/>
  <c r="O195" i="19"/>
  <c r="G165" i="12"/>
  <c r="G156" i="12"/>
  <c r="G142" i="12"/>
  <c r="G131" i="12"/>
  <c r="G119" i="12"/>
  <c r="G109" i="12"/>
  <c r="G96" i="12"/>
  <c r="E96" i="12"/>
  <c r="G85" i="12"/>
  <c r="E85" i="12"/>
  <c r="G72" i="12"/>
  <c r="E72" i="12"/>
  <c r="G61" i="12"/>
  <c r="E61" i="12"/>
  <c r="G10" i="12"/>
  <c r="E10" i="12"/>
  <c r="G21" i="12"/>
  <c r="E21" i="12"/>
  <c r="G30" i="12"/>
  <c r="E30" i="12"/>
  <c r="G42" i="12"/>
  <c r="E42" i="12"/>
  <c r="AM1049" i="1"/>
  <c r="AN1049" i="1" s="1"/>
  <c r="AO1049" i="1"/>
  <c r="AP1049" i="1" s="1"/>
  <c r="AR1049" i="1"/>
  <c r="AS1049" i="1"/>
  <c r="AV1049" i="1"/>
  <c r="AW1049" i="1"/>
  <c r="BK1049" i="1" s="1"/>
  <c r="AY1049" i="1"/>
  <c r="BJ1049" i="1"/>
  <c r="BL1049" i="1"/>
  <c r="BM1049" i="1"/>
  <c r="BN1049" i="1"/>
  <c r="BP1049" i="1"/>
  <c r="AM1050" i="1"/>
  <c r="AN1050" i="1" s="1"/>
  <c r="AO1050" i="1"/>
  <c r="AP1050" i="1" s="1"/>
  <c r="AR1050" i="1"/>
  <c r="AS1050" i="1"/>
  <c r="AV1050" i="1"/>
  <c r="AW1050" i="1"/>
  <c r="BK1050" i="1" s="1"/>
  <c r="AY1050" i="1"/>
  <c r="BJ1050" i="1"/>
  <c r="BL1050" i="1"/>
  <c r="BM1050" i="1"/>
  <c r="BN1050" i="1"/>
  <c r="BP1050" i="1"/>
  <c r="G50" i="12"/>
  <c r="E50" i="12"/>
  <c r="O160" i="19"/>
  <c r="O161" i="19"/>
  <c r="O162" i="19"/>
  <c r="O163" i="19"/>
  <c r="O164" i="19"/>
  <c r="O165" i="19"/>
  <c r="O166" i="19"/>
  <c r="O167" i="19"/>
  <c r="O168" i="19"/>
  <c r="O169" i="19"/>
  <c r="O170" i="19"/>
  <c r="O171" i="19"/>
  <c r="O172" i="19"/>
  <c r="O173" i="19"/>
  <c r="O174" i="19"/>
  <c r="O175" i="19"/>
  <c r="O176" i="19"/>
  <c r="O177" i="19"/>
  <c r="O178" i="19"/>
  <c r="O179" i="19"/>
  <c r="O180" i="19"/>
  <c r="O181" i="19"/>
  <c r="O182" i="19"/>
  <c r="O183" i="19"/>
  <c r="O184" i="19"/>
  <c r="O185" i="19"/>
  <c r="O186" i="19"/>
  <c r="B148" i="17"/>
  <c r="L25" i="17"/>
  <c r="L26" i="17"/>
  <c r="L27" i="17"/>
  <c r="L28" i="17"/>
  <c r="G90" i="12"/>
  <c r="E63" i="12"/>
  <c r="G63" i="12"/>
  <c r="E13" i="12"/>
  <c r="E41" i="12"/>
  <c r="G13" i="12"/>
  <c r="E12" i="12"/>
  <c r="G116" i="12"/>
  <c r="G117" i="12"/>
  <c r="G118" i="12"/>
  <c r="A10" i="15"/>
  <c r="A12" i="15" s="1"/>
  <c r="A14" i="15" s="1"/>
  <c r="A16" i="15" s="1"/>
  <c r="A18" i="15" s="1"/>
  <c r="A20" i="15" s="1"/>
  <c r="A22" i="15" s="1"/>
  <c r="A24" i="15" s="1"/>
  <c r="G133" i="12"/>
  <c r="G79" i="12"/>
  <c r="G76" i="12"/>
  <c r="E84" i="12"/>
  <c r="G84" i="12"/>
  <c r="G47" i="12"/>
  <c r="G89" i="12"/>
  <c r="G35" i="12"/>
  <c r="G19" i="12"/>
  <c r="G147" i="12"/>
  <c r="J260" i="19"/>
  <c r="K260" i="19"/>
  <c r="O260" i="19"/>
  <c r="J261" i="19"/>
  <c r="K261" i="19"/>
  <c r="O261" i="19"/>
  <c r="J262" i="19"/>
  <c r="K262" i="19"/>
  <c r="O262" i="19"/>
  <c r="J263" i="19"/>
  <c r="K263" i="19"/>
  <c r="O263" i="19"/>
  <c r="J264" i="19"/>
  <c r="K264" i="19"/>
  <c r="O264" i="19"/>
  <c r="J265" i="19"/>
  <c r="K265" i="19"/>
  <c r="O265" i="19"/>
  <c r="J266" i="19"/>
  <c r="K266" i="19"/>
  <c r="O266" i="19"/>
  <c r="J267" i="19"/>
  <c r="K267" i="19"/>
  <c r="O267" i="19"/>
  <c r="J268" i="19"/>
  <c r="K268" i="19"/>
  <c r="O268" i="19"/>
  <c r="J269" i="19"/>
  <c r="K269" i="19"/>
  <c r="O269" i="19"/>
  <c r="J270" i="19"/>
  <c r="K270" i="19"/>
  <c r="O270" i="19"/>
  <c r="J271" i="19"/>
  <c r="K271" i="19"/>
  <c r="O271" i="19"/>
  <c r="G88" i="12"/>
  <c r="G52" i="12"/>
  <c r="G74" i="12"/>
  <c r="G99" i="12"/>
  <c r="E98" i="12"/>
  <c r="G98" i="12"/>
  <c r="G146" i="12"/>
  <c r="G141" i="12"/>
  <c r="G135" i="12"/>
  <c r="G139" i="12"/>
  <c r="G49" i="12"/>
  <c r="K10" i="16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B7" i="16"/>
  <c r="B103" i="16" s="1"/>
  <c r="A10" i="16"/>
  <c r="A11" i="16" s="1"/>
  <c r="A134" i="16" s="1"/>
  <c r="A159" i="16"/>
  <c r="O6" i="19"/>
  <c r="O4" i="19"/>
  <c r="O3" i="19"/>
  <c r="O272" i="19"/>
  <c r="O273" i="19"/>
  <c r="O274" i="19"/>
  <c r="O275" i="19"/>
  <c r="O276" i="19"/>
  <c r="O277" i="19"/>
  <c r="O278" i="19"/>
  <c r="O279" i="19"/>
  <c r="O280" i="19"/>
  <c r="O281" i="19"/>
  <c r="O282" i="19"/>
  <c r="O5" i="19"/>
  <c r="A156" i="17"/>
  <c r="J272" i="19"/>
  <c r="J273" i="19"/>
  <c r="J274" i="19"/>
  <c r="J275" i="19"/>
  <c r="J276" i="19"/>
  <c r="J277" i="19"/>
  <c r="J278" i="19"/>
  <c r="J279" i="19"/>
  <c r="J280" i="19"/>
  <c r="J281" i="19"/>
  <c r="J282" i="19"/>
  <c r="BS1051" i="1"/>
  <c r="D2" i="13"/>
  <c r="E2" i="13" s="1"/>
  <c r="B6" i="14"/>
  <c r="B223" i="14" s="1"/>
  <c r="B4" i="2"/>
  <c r="B46" i="2" s="1"/>
  <c r="G158" i="12"/>
  <c r="G12" i="12"/>
  <c r="G148" i="12"/>
  <c r="G22" i="12"/>
  <c r="E22" i="12"/>
  <c r="B45" i="11"/>
  <c r="G124" i="12"/>
  <c r="G121" i="12"/>
  <c r="G100" i="12"/>
  <c r="E100" i="12"/>
  <c r="G54" i="12"/>
  <c r="E54" i="12"/>
  <c r="E55" i="12"/>
  <c r="G55" i="12"/>
  <c r="E32" i="12"/>
  <c r="G32" i="12"/>
  <c r="F2" i="2"/>
  <c r="A74" i="2"/>
  <c r="A126" i="2"/>
  <c r="C122" i="2"/>
  <c r="A100" i="2"/>
  <c r="C96" i="2"/>
  <c r="C70" i="2"/>
  <c r="E1" i="17"/>
  <c r="E64" i="12"/>
  <c r="E1" i="16"/>
  <c r="A77" i="17"/>
  <c r="A129" i="17"/>
  <c r="D125" i="17"/>
  <c r="A103" i="17"/>
  <c r="D99" i="17"/>
  <c r="D73" i="17"/>
  <c r="A132" i="16"/>
  <c r="C128" i="16"/>
  <c r="A106" i="16"/>
  <c r="C102" i="16"/>
  <c r="G69" i="12"/>
  <c r="G62" i="12"/>
  <c r="A80" i="16"/>
  <c r="C76" i="16"/>
  <c r="E29" i="12"/>
  <c r="E24" i="12"/>
  <c r="E25" i="12"/>
  <c r="E45" i="12"/>
  <c r="E58" i="12"/>
  <c r="E56" i="12"/>
  <c r="E81" i="12"/>
  <c r="E94" i="12"/>
  <c r="E95" i="12"/>
  <c r="E93" i="12"/>
  <c r="E18" i="12"/>
  <c r="G64" i="12"/>
  <c r="AW1051" i="1"/>
  <c r="AV1051" i="1"/>
  <c r="G23" i="12"/>
  <c r="G28" i="12"/>
  <c r="G26" i="12"/>
  <c r="G29" i="12"/>
  <c r="G24" i="12"/>
  <c r="G36" i="12"/>
  <c r="G31" i="12"/>
  <c r="G34" i="12"/>
  <c r="G40" i="12"/>
  <c r="G39" i="12"/>
  <c r="G41" i="12"/>
  <c r="G33" i="12"/>
  <c r="G43" i="12"/>
  <c r="G44" i="12"/>
  <c r="G45" i="12"/>
  <c r="G48" i="12"/>
  <c r="G46" i="12"/>
  <c r="G51" i="12"/>
  <c r="G53" i="12"/>
  <c r="G56" i="12"/>
  <c r="G57" i="12"/>
  <c r="G58" i="12"/>
  <c r="G59" i="12"/>
  <c r="G60" i="12"/>
  <c r="G65" i="12"/>
  <c r="G75" i="12"/>
  <c r="G78" i="12"/>
  <c r="G73" i="12"/>
  <c r="G82" i="12"/>
  <c r="G80" i="12"/>
  <c r="G83" i="12"/>
  <c r="G77" i="12"/>
  <c r="G81" i="12"/>
  <c r="G87" i="12"/>
  <c r="G91" i="12"/>
  <c r="G86" i="12"/>
  <c r="G92" i="12"/>
  <c r="G95" i="12"/>
  <c r="G94" i="12"/>
  <c r="G93" i="12"/>
  <c r="G97" i="12"/>
  <c r="G101" i="12"/>
  <c r="G103" i="12"/>
  <c r="G104" i="12"/>
  <c r="G105" i="12"/>
  <c r="G106" i="12"/>
  <c r="G107" i="12"/>
  <c r="G149" i="12"/>
  <c r="G143" i="12"/>
  <c r="G1" i="17"/>
  <c r="F5" i="17" s="1"/>
  <c r="G145" i="12"/>
  <c r="G154" i="12"/>
  <c r="G153" i="12"/>
  <c r="G155" i="12"/>
  <c r="G144" i="12"/>
  <c r="G120" i="12"/>
  <c r="G122" i="12"/>
  <c r="H1" i="16" s="1"/>
  <c r="G5" i="16" s="1"/>
  <c r="G126" i="12"/>
  <c r="G129" i="12"/>
  <c r="G127" i="12"/>
  <c r="G130" i="12"/>
  <c r="G128" i="12"/>
  <c r="G132" i="12"/>
  <c r="G137" i="12"/>
  <c r="G136" i="12"/>
  <c r="G140" i="12"/>
  <c r="G134" i="12"/>
  <c r="G138" i="12"/>
  <c r="G7" i="12"/>
  <c r="G4" i="12"/>
  <c r="G5" i="12"/>
  <c r="G6" i="12"/>
  <c r="G9" i="12"/>
  <c r="G8" i="12"/>
  <c r="G14" i="12"/>
  <c r="G11" i="12"/>
  <c r="G16" i="12"/>
  <c r="G15" i="12"/>
  <c r="G20" i="12"/>
  <c r="G17" i="12"/>
  <c r="G18" i="12"/>
  <c r="G161" i="12"/>
  <c r="G157" i="12"/>
  <c r="G163" i="12"/>
  <c r="G160" i="12"/>
  <c r="G159" i="12"/>
  <c r="G162" i="12"/>
  <c r="G112" i="12"/>
  <c r="G115" i="12"/>
  <c r="G110" i="12"/>
  <c r="G111" i="12"/>
  <c r="G114" i="12"/>
  <c r="G113" i="12"/>
  <c r="G37" i="12"/>
  <c r="G38" i="12"/>
  <c r="G68" i="12"/>
  <c r="G150" i="12"/>
  <c r="G151" i="12"/>
  <c r="G123" i="12"/>
  <c r="G25" i="12"/>
  <c r="A52" i="17"/>
  <c r="C48" i="17"/>
  <c r="A53" i="16"/>
  <c r="C49" i="16"/>
  <c r="AR1051" i="1"/>
  <c r="AS1051" i="1"/>
  <c r="C44" i="11"/>
  <c r="BJ1051" i="1"/>
  <c r="K46" i="14"/>
  <c r="J46" i="14"/>
  <c r="I46" i="14"/>
  <c r="H46" i="14"/>
  <c r="G46" i="14"/>
  <c r="F46" i="14"/>
  <c r="E46" i="14"/>
  <c r="D46" i="14"/>
  <c r="C46" i="14"/>
  <c r="B46" i="14"/>
  <c r="K121" i="14"/>
  <c r="J121" i="14"/>
  <c r="I121" i="14"/>
  <c r="H121" i="14"/>
  <c r="G121" i="14"/>
  <c r="F121" i="14"/>
  <c r="E121" i="14"/>
  <c r="D121" i="14"/>
  <c r="C121" i="14"/>
  <c r="B121" i="14"/>
  <c r="K96" i="14"/>
  <c r="J96" i="14"/>
  <c r="I96" i="14"/>
  <c r="H96" i="14"/>
  <c r="G96" i="14"/>
  <c r="F96" i="14"/>
  <c r="E96" i="14"/>
  <c r="D96" i="14"/>
  <c r="C96" i="14"/>
  <c r="B96" i="14"/>
  <c r="K71" i="14"/>
  <c r="J71" i="14"/>
  <c r="I71" i="14"/>
  <c r="H71" i="14"/>
  <c r="G71" i="14"/>
  <c r="F71" i="14"/>
  <c r="E71" i="14"/>
  <c r="D71" i="14"/>
  <c r="C71" i="14"/>
  <c r="B71" i="14"/>
  <c r="K146" i="14"/>
  <c r="J146" i="14"/>
  <c r="I146" i="14"/>
  <c r="H146" i="14"/>
  <c r="G146" i="14"/>
  <c r="F146" i="14"/>
  <c r="E146" i="14"/>
  <c r="D146" i="14"/>
  <c r="C146" i="14"/>
  <c r="B146" i="14"/>
  <c r="K172" i="14"/>
  <c r="J172" i="14"/>
  <c r="I172" i="14"/>
  <c r="H172" i="14"/>
  <c r="G172" i="14"/>
  <c r="F172" i="14"/>
  <c r="E172" i="14"/>
  <c r="D172" i="14"/>
  <c r="C172" i="14"/>
  <c r="B172" i="14"/>
  <c r="K198" i="14"/>
  <c r="J198" i="14"/>
  <c r="I198" i="14"/>
  <c r="H198" i="14"/>
  <c r="G198" i="14"/>
  <c r="F198" i="14"/>
  <c r="E198" i="14"/>
  <c r="D198" i="14"/>
  <c r="C198" i="14"/>
  <c r="B198" i="14"/>
  <c r="K224" i="14"/>
  <c r="J224" i="14"/>
  <c r="I224" i="14"/>
  <c r="H224" i="14"/>
  <c r="G224" i="14"/>
  <c r="F224" i="14"/>
  <c r="E224" i="14"/>
  <c r="D224" i="14"/>
  <c r="C224" i="14"/>
  <c r="B224" i="14"/>
  <c r="C222" i="14"/>
  <c r="C196" i="14"/>
  <c r="C170" i="14"/>
  <c r="C144" i="14"/>
  <c r="C119" i="14"/>
  <c r="A226" i="14"/>
  <c r="A200" i="14"/>
  <c r="A174" i="14"/>
  <c r="A148" i="14"/>
  <c r="A123" i="14"/>
  <c r="A98" i="14"/>
  <c r="A73" i="14"/>
  <c r="A48" i="14"/>
  <c r="C94" i="14"/>
  <c r="C69" i="14"/>
  <c r="C44" i="14"/>
  <c r="A9" i="14"/>
  <c r="A227" i="14" s="1"/>
  <c r="C45" i="11"/>
  <c r="D45" i="11"/>
  <c r="E45" i="11"/>
  <c r="F45" i="11"/>
  <c r="G45" i="11"/>
  <c r="H45" i="11"/>
  <c r="I45" i="11"/>
  <c r="J45" i="11"/>
  <c r="K45" i="11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36" i="13"/>
  <c r="R37" i="13"/>
  <c r="R38" i="13"/>
  <c r="R39" i="13"/>
  <c r="R40" i="13"/>
  <c r="R41" i="13"/>
  <c r="R42" i="13"/>
  <c r="R43" i="13"/>
  <c r="R44" i="13"/>
  <c r="R45" i="13"/>
  <c r="R46" i="13"/>
  <c r="R47" i="13"/>
  <c r="R48" i="13"/>
  <c r="R49" i="13"/>
  <c r="R50" i="13"/>
  <c r="R51" i="13"/>
  <c r="R52" i="13"/>
  <c r="R53" i="13"/>
  <c r="R54" i="13"/>
  <c r="R55" i="13"/>
  <c r="R56" i="13"/>
  <c r="R57" i="13"/>
  <c r="R58" i="13"/>
  <c r="R59" i="13"/>
  <c r="R60" i="13"/>
  <c r="R61" i="13"/>
  <c r="R62" i="13"/>
  <c r="R63" i="13"/>
  <c r="R64" i="13"/>
  <c r="R65" i="13"/>
  <c r="R66" i="13"/>
  <c r="R67" i="13"/>
  <c r="R68" i="13"/>
  <c r="R69" i="13"/>
  <c r="R70" i="13"/>
  <c r="R71" i="13"/>
  <c r="R72" i="13"/>
  <c r="R73" i="13"/>
  <c r="R74" i="13"/>
  <c r="R75" i="13"/>
  <c r="R76" i="13"/>
  <c r="R77" i="13"/>
  <c r="R78" i="13"/>
  <c r="R79" i="13"/>
  <c r="R80" i="13"/>
  <c r="R81" i="13"/>
  <c r="R82" i="13"/>
  <c r="R83" i="13"/>
  <c r="R84" i="13"/>
  <c r="R85" i="13"/>
  <c r="R86" i="13"/>
  <c r="R87" i="13"/>
  <c r="R88" i="13"/>
  <c r="R89" i="13"/>
  <c r="R90" i="13"/>
  <c r="R91" i="13"/>
  <c r="R92" i="13"/>
  <c r="R93" i="13"/>
  <c r="R94" i="13"/>
  <c r="R95" i="13"/>
  <c r="R96" i="13"/>
  <c r="R97" i="13"/>
  <c r="R98" i="13"/>
  <c r="R99" i="13"/>
  <c r="R100" i="13"/>
  <c r="R101" i="13"/>
  <c r="R102" i="13"/>
  <c r="R103" i="13"/>
  <c r="R104" i="13"/>
  <c r="R105" i="13"/>
  <c r="R106" i="13"/>
  <c r="R107" i="13"/>
  <c r="R108" i="13"/>
  <c r="R109" i="13"/>
  <c r="R110" i="13"/>
  <c r="R111" i="13"/>
  <c r="R112" i="13"/>
  <c r="R113" i="13"/>
  <c r="R114" i="13"/>
  <c r="R115" i="13"/>
  <c r="R116" i="13"/>
  <c r="R117" i="13"/>
  <c r="R118" i="13"/>
  <c r="R119" i="13"/>
  <c r="R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91" i="13"/>
  <c r="Q92" i="13"/>
  <c r="Q93" i="13"/>
  <c r="Q94" i="13"/>
  <c r="Q95" i="13"/>
  <c r="Q96" i="13"/>
  <c r="Q97" i="13"/>
  <c r="Q98" i="13"/>
  <c r="Q99" i="13"/>
  <c r="Q100" i="13"/>
  <c r="Q101" i="13"/>
  <c r="Q102" i="13"/>
  <c r="Q103" i="13"/>
  <c r="Q104" i="13"/>
  <c r="Q105" i="13"/>
  <c r="Q106" i="13"/>
  <c r="Q107" i="13"/>
  <c r="Q108" i="13"/>
  <c r="Q109" i="13"/>
  <c r="Q110" i="13"/>
  <c r="Q111" i="13"/>
  <c r="Q112" i="13"/>
  <c r="Q113" i="13"/>
  <c r="Q114" i="13"/>
  <c r="Q115" i="13"/>
  <c r="Q116" i="13"/>
  <c r="Q117" i="13"/>
  <c r="Q118" i="13"/>
  <c r="Q119" i="13"/>
  <c r="Q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6" i="13"/>
  <c r="K4" i="13"/>
  <c r="C4" i="13"/>
  <c r="C5" i="13"/>
  <c r="AM1051" i="1"/>
  <c r="AN1051" i="1" s="1"/>
  <c r="A74" i="11"/>
  <c r="K71" i="11"/>
  <c r="J71" i="11"/>
  <c r="I71" i="11"/>
  <c r="H71" i="11"/>
  <c r="G71" i="11"/>
  <c r="F71" i="11"/>
  <c r="E71" i="11"/>
  <c r="D71" i="11"/>
  <c r="C71" i="11"/>
  <c r="B71" i="11"/>
  <c r="C70" i="11"/>
  <c r="A48" i="11"/>
  <c r="A9" i="11"/>
  <c r="A10" i="11" s="1"/>
  <c r="A7" i="2"/>
  <c r="A127" i="2" s="1"/>
  <c r="AO1051" i="1"/>
  <c r="AZ1051" i="1" s="1"/>
  <c r="AY1051" i="1"/>
  <c r="A49" i="2"/>
  <c r="C45" i="2"/>
  <c r="K29" i="14"/>
  <c r="K274" i="19"/>
  <c r="K272" i="19"/>
  <c r="K277" i="19"/>
  <c r="K279" i="19"/>
  <c r="K273" i="19"/>
  <c r="K276" i="19"/>
  <c r="K278" i="19"/>
  <c r="K281" i="19"/>
  <c r="K275" i="19"/>
  <c r="K282" i="19"/>
  <c r="K280" i="19"/>
  <c r="A149" i="14"/>
  <c r="B50" i="16"/>
  <c r="B97" i="2"/>
  <c r="BA1049" i="1"/>
  <c r="BA1050" i="1"/>
  <c r="AS11" i="1"/>
  <c r="B100" i="17"/>
  <c r="C7" i="16"/>
  <c r="C103" i="16" s="1"/>
  <c r="A8" i="2"/>
  <c r="A81" i="16"/>
  <c r="BH1050" i="1"/>
  <c r="A49" i="14"/>
  <c r="AQ1049" i="1"/>
  <c r="A128" i="2"/>
  <c r="K32" i="14"/>
  <c r="K31" i="14"/>
  <c r="K30" i="14"/>
  <c r="BB1049" i="1" l="1"/>
  <c r="A161" i="16"/>
  <c r="B70" i="14"/>
  <c r="B45" i="14"/>
  <c r="AT1050" i="1"/>
  <c r="AU1050" i="1" s="1"/>
  <c r="B156" i="16"/>
  <c r="A12" i="16"/>
  <c r="A13" i="16" s="1"/>
  <c r="B145" i="14"/>
  <c r="S10" i="12"/>
  <c r="S33" i="12" s="1"/>
  <c r="K65" i="19" s="1"/>
  <c r="C4" i="2"/>
  <c r="C71" i="2" s="1"/>
  <c r="J2" i="19"/>
  <c r="B77" i="16"/>
  <c r="B171" i="14"/>
  <c r="A26" i="15"/>
  <c r="A28" i="15" s="1"/>
  <c r="A30" i="15" s="1"/>
  <c r="A32" i="15" s="1"/>
  <c r="A34" i="15" s="1"/>
  <c r="A36" i="15" s="1"/>
  <c r="A38" i="15" s="1"/>
  <c r="A40" i="15" s="1"/>
  <c r="A42" i="15" s="1"/>
  <c r="A44" i="15" s="1"/>
  <c r="A46" i="15" s="1"/>
  <c r="AS706" i="1"/>
  <c r="AR702" i="1"/>
  <c r="AS699" i="1"/>
  <c r="AS688" i="1"/>
  <c r="AS704" i="1"/>
  <c r="AS693" i="1"/>
  <c r="AR814" i="1"/>
  <c r="AR869" i="1"/>
  <c r="AS696" i="1"/>
  <c r="AR817" i="1"/>
  <c r="AR690" i="1"/>
  <c r="AS870" i="1"/>
  <c r="AS483" i="1"/>
  <c r="AS515" i="1"/>
  <c r="AS520" i="1"/>
  <c r="AR484" i="1"/>
  <c r="AR531" i="1"/>
  <c r="AS538" i="1"/>
  <c r="AS506" i="1"/>
  <c r="AS517" i="1"/>
  <c r="AS497" i="1"/>
  <c r="AS510" i="1"/>
  <c r="AS526" i="1"/>
  <c r="AS548" i="1"/>
  <c r="AR553" i="1"/>
  <c r="AS556" i="1"/>
  <c r="AS541" i="1"/>
  <c r="AR489" i="1"/>
  <c r="AR775" i="1"/>
  <c r="AS390" i="1"/>
  <c r="AS398" i="1"/>
  <c r="AR419" i="1"/>
  <c r="AS422" i="1"/>
  <c r="AS387" i="1"/>
  <c r="AR408" i="1"/>
  <c r="AR424" i="1"/>
  <c r="AR383" i="1"/>
  <c r="AS434" i="1"/>
  <c r="AR447" i="1"/>
  <c r="AR428" i="1"/>
  <c r="AR436" i="1"/>
  <c r="AR446" i="1"/>
  <c r="AR401" i="1"/>
  <c r="AS452" i="1"/>
  <c r="AS265" i="1"/>
  <c r="AR291" i="1"/>
  <c r="AS267" i="1"/>
  <c r="AR277" i="1"/>
  <c r="AT277" i="1" s="1"/>
  <c r="AS312" i="1"/>
  <c r="AS285" i="1"/>
  <c r="AS317" i="1"/>
  <c r="AS287" i="1"/>
  <c r="AR316" i="1"/>
  <c r="AS300" i="1"/>
  <c r="AR303" i="1"/>
  <c r="AR781" i="1"/>
  <c r="AR305" i="1"/>
  <c r="AT305" i="1" s="1"/>
  <c r="AS779" i="1"/>
  <c r="AR166" i="1"/>
  <c r="AR147" i="1"/>
  <c r="AR179" i="1"/>
  <c r="AR152" i="1"/>
  <c r="AR173" i="1"/>
  <c r="AR154" i="1"/>
  <c r="AR156" i="1"/>
  <c r="AR164" i="1"/>
  <c r="AR180" i="1"/>
  <c r="AR153" i="1"/>
  <c r="AR167" i="1"/>
  <c r="AR159" i="1"/>
  <c r="AR831" i="1"/>
  <c r="A75" i="11"/>
  <c r="AR639" i="1"/>
  <c r="AR612" i="1"/>
  <c r="AR620" i="1"/>
  <c r="AS631" i="1"/>
  <c r="AS663" i="1"/>
  <c r="AR633" i="1"/>
  <c r="AR614" i="1"/>
  <c r="AR662" i="1"/>
  <c r="AR678" i="1"/>
  <c r="AR686" i="1"/>
  <c r="AR627" i="1"/>
  <c r="AR651" i="1"/>
  <c r="AR659" i="1"/>
  <c r="AR632" i="1"/>
  <c r="AR867" i="1"/>
  <c r="AR808" i="1"/>
  <c r="AR685" i="1"/>
  <c r="AS669" i="1"/>
  <c r="AR866" i="1"/>
  <c r="AS812" i="1"/>
  <c r="AR810" i="1"/>
  <c r="AR575" i="1"/>
  <c r="AR591" i="1"/>
  <c r="AS594" i="1"/>
  <c r="AR599" i="1"/>
  <c r="AS567" i="1"/>
  <c r="AS564" i="1"/>
  <c r="AR577" i="1"/>
  <c r="AS601" i="1"/>
  <c r="AS582" i="1"/>
  <c r="AS563" i="1"/>
  <c r="AR584" i="1"/>
  <c r="AS802" i="1"/>
  <c r="AR597" i="1"/>
  <c r="AS800" i="1"/>
  <c r="AR804" i="1"/>
  <c r="AS382" i="1"/>
  <c r="AR427" i="1"/>
  <c r="AS408" i="1"/>
  <c r="AS448" i="1"/>
  <c r="AS413" i="1"/>
  <c r="AS437" i="1"/>
  <c r="AS410" i="1"/>
  <c r="AS450" i="1"/>
  <c r="AS391" i="1"/>
  <c r="AR412" i="1"/>
  <c r="AS415" i="1"/>
  <c r="AS388" i="1"/>
  <c r="AS444" i="1"/>
  <c r="AS396" i="1"/>
  <c r="AS430" i="1"/>
  <c r="AR792" i="1"/>
  <c r="AR791" i="1"/>
  <c r="AS337" i="1"/>
  <c r="AS336" i="1"/>
  <c r="AS344" i="1"/>
  <c r="AS341" i="1"/>
  <c r="AS349" i="1"/>
  <c r="AS374" i="1"/>
  <c r="AS335" i="1"/>
  <c r="AS360" i="1"/>
  <c r="AS357" i="1"/>
  <c r="AS373" i="1"/>
  <c r="AS327" i="1"/>
  <c r="AS370" i="1"/>
  <c r="AS351" i="1"/>
  <c r="AS356" i="1"/>
  <c r="AS377" i="1"/>
  <c r="AS353" i="1"/>
  <c r="AS129" i="1"/>
  <c r="AS110" i="1"/>
  <c r="AS99" i="1"/>
  <c r="AS139" i="1"/>
  <c r="AR144" i="1"/>
  <c r="AR106" i="1"/>
  <c r="AS109" i="1"/>
  <c r="AS143" i="1"/>
  <c r="AS100" i="1"/>
  <c r="AS114" i="1"/>
  <c r="AS130" i="1"/>
  <c r="AR127" i="1"/>
  <c r="BG1049" i="1"/>
  <c r="AS639" i="1"/>
  <c r="AR644" i="1"/>
  <c r="AS655" i="1"/>
  <c r="AR668" i="1"/>
  <c r="AR676" i="1"/>
  <c r="AS679" i="1"/>
  <c r="AS620" i="1"/>
  <c r="AS636" i="1"/>
  <c r="AR665" i="1"/>
  <c r="AS625" i="1"/>
  <c r="AR611" i="1"/>
  <c r="AS686" i="1"/>
  <c r="AR608" i="1"/>
  <c r="AS659" i="1"/>
  <c r="AR661" i="1"/>
  <c r="AS629" i="1"/>
  <c r="AR865" i="1"/>
  <c r="AR806" i="1"/>
  <c r="AS289" i="1"/>
  <c r="AS318" i="1"/>
  <c r="AS291" i="1"/>
  <c r="AS323" i="1"/>
  <c r="AS269" i="1"/>
  <c r="AS293" i="1"/>
  <c r="AR298" i="1"/>
  <c r="AT298" i="1" s="1"/>
  <c r="AS295" i="1"/>
  <c r="AS324" i="1"/>
  <c r="AS276" i="1"/>
  <c r="AS268" i="1"/>
  <c r="AS303" i="1"/>
  <c r="AS780" i="1"/>
  <c r="AR784" i="1"/>
  <c r="AR844" i="1"/>
  <c r="AS782" i="1"/>
  <c r="AT782" i="1" s="1"/>
  <c r="AS193" i="1"/>
  <c r="AS209" i="1"/>
  <c r="AS198" i="1"/>
  <c r="AS206" i="1"/>
  <c r="AS187" i="1"/>
  <c r="AS195" i="1"/>
  <c r="AS181" i="1"/>
  <c r="AS205" i="1"/>
  <c r="AS213" i="1"/>
  <c r="AS210" i="1"/>
  <c r="AS202" i="1"/>
  <c r="AS186" i="1"/>
  <c r="AR30" i="1"/>
  <c r="AR38" i="1"/>
  <c r="AR13" i="1"/>
  <c r="AS24" i="1"/>
  <c r="AR29" i="1"/>
  <c r="AS32" i="1"/>
  <c r="AR26" i="1"/>
  <c r="AS34" i="1"/>
  <c r="AS774" i="1"/>
  <c r="AS875" i="1"/>
  <c r="A110" i="16"/>
  <c r="AQ1050" i="1"/>
  <c r="AS459" i="1"/>
  <c r="AS467" i="1"/>
  <c r="AR477" i="1"/>
  <c r="AS463" i="1"/>
  <c r="AR468" i="1"/>
  <c r="AR476" i="1"/>
  <c r="AS470" i="1"/>
  <c r="AR474" i="1"/>
  <c r="AR457" i="1"/>
  <c r="AR465" i="1"/>
  <c r="AS473" i="1"/>
  <c r="AS460" i="1"/>
  <c r="AS853" i="1"/>
  <c r="AS854" i="1"/>
  <c r="AR695" i="1"/>
  <c r="AR700" i="1"/>
  <c r="AS703" i="1"/>
  <c r="AR689" i="1"/>
  <c r="AS692" i="1"/>
  <c r="AR707" i="1"/>
  <c r="AR696" i="1"/>
  <c r="AT696" i="1" s="1"/>
  <c r="AR701" i="1"/>
  <c r="AS817" i="1"/>
  <c r="AR655" i="1"/>
  <c r="AR636" i="1"/>
  <c r="AT636" i="1" s="1"/>
  <c r="AR625" i="1"/>
  <c r="AR641" i="1"/>
  <c r="AR673" i="1"/>
  <c r="AS684" i="1"/>
  <c r="AR630" i="1"/>
  <c r="AS649" i="1"/>
  <c r="AS681" i="1"/>
  <c r="AR667" i="1"/>
  <c r="AR675" i="1"/>
  <c r="AS811" i="1"/>
  <c r="AR616" i="1"/>
  <c r="AR664" i="1"/>
  <c r="AR637" i="1"/>
  <c r="AS808" i="1"/>
  <c r="AS806" i="1"/>
  <c r="AR618" i="1"/>
  <c r="AR610" i="1"/>
  <c r="AR569" i="1"/>
  <c r="AS580" i="1"/>
  <c r="AS596" i="1"/>
  <c r="AS585" i="1"/>
  <c r="AS590" i="1"/>
  <c r="AR595" i="1"/>
  <c r="AS805" i="1"/>
  <c r="AR800" i="1"/>
  <c r="AR565" i="1"/>
  <c r="AS581" i="1"/>
  <c r="AR861" i="1"/>
  <c r="AS600" i="1"/>
  <c r="AR562" i="1"/>
  <c r="AR578" i="1"/>
  <c r="AR602" i="1"/>
  <c r="AS864" i="1"/>
  <c r="AR802" i="1"/>
  <c r="AT802" i="1" s="1"/>
  <c r="AS499" i="1"/>
  <c r="AS523" i="1"/>
  <c r="AS503" i="1"/>
  <c r="AS522" i="1"/>
  <c r="AS533" i="1"/>
  <c r="AS484" i="1"/>
  <c r="AS501" i="1"/>
  <c r="AS545" i="1"/>
  <c r="AS553" i="1"/>
  <c r="AS797" i="1"/>
  <c r="AS799" i="1"/>
  <c r="AS490" i="1"/>
  <c r="AS509" i="1"/>
  <c r="AS547" i="1"/>
  <c r="AS513" i="1"/>
  <c r="AS549" i="1"/>
  <c r="AS498" i="1"/>
  <c r="AS534" i="1"/>
  <c r="AS859" i="1"/>
  <c r="AR528" i="1"/>
  <c r="AR493" i="1"/>
  <c r="AS536" i="1"/>
  <c r="AR487" i="1"/>
  <c r="AR515" i="1"/>
  <c r="AR556" i="1"/>
  <c r="AR521" i="1"/>
  <c r="AR505" i="1"/>
  <c r="AR490" i="1"/>
  <c r="AT490" i="1" s="1"/>
  <c r="AR516" i="1"/>
  <c r="AR523" i="1"/>
  <c r="AS558" i="1"/>
  <c r="AR481" i="1"/>
  <c r="AR507" i="1"/>
  <c r="AR544" i="1"/>
  <c r="AR552" i="1"/>
  <c r="AR858" i="1"/>
  <c r="AS796" i="1"/>
  <c r="AR411" i="1"/>
  <c r="AR381" i="1"/>
  <c r="AR445" i="1"/>
  <c r="AR418" i="1"/>
  <c r="AR426" i="1"/>
  <c r="AR434" i="1"/>
  <c r="AR404" i="1"/>
  <c r="AS792" i="1"/>
  <c r="AR393" i="1"/>
  <c r="AR409" i="1"/>
  <c r="AR438" i="1"/>
  <c r="AR398" i="1"/>
  <c r="AR414" i="1"/>
  <c r="AS791" i="1"/>
  <c r="AR443" i="1"/>
  <c r="AR385" i="1"/>
  <c r="AR454" i="1"/>
  <c r="AR852" i="1"/>
  <c r="AS851" i="1"/>
  <c r="AS329" i="1"/>
  <c r="AS334" i="1"/>
  <c r="AS325" i="1"/>
  <c r="AS350" i="1"/>
  <c r="AS348" i="1"/>
  <c r="AS379" i="1"/>
  <c r="AS368" i="1"/>
  <c r="AR367" i="1"/>
  <c r="AS359" i="1"/>
  <c r="AS346" i="1"/>
  <c r="AS372" i="1"/>
  <c r="AS332" i="1"/>
  <c r="AR344" i="1"/>
  <c r="AT344" i="1" s="1"/>
  <c r="AS361" i="1"/>
  <c r="AR366" i="1"/>
  <c r="AS364" i="1"/>
  <c r="AS845" i="1"/>
  <c r="AS847" i="1"/>
  <c r="AR302" i="1"/>
  <c r="AR310" i="1"/>
  <c r="AT310" i="1" s="1"/>
  <c r="AS321" i="1"/>
  <c r="AR267" i="1"/>
  <c r="AR275" i="1"/>
  <c r="AT275" i="1" s="1"/>
  <c r="AS278" i="1"/>
  <c r="AS294" i="1"/>
  <c r="AR304" i="1"/>
  <c r="AT304" i="1" s="1"/>
  <c r="AR285" i="1"/>
  <c r="AT285" i="1" s="1"/>
  <c r="AR306" i="1"/>
  <c r="AR289" i="1"/>
  <c r="AR313" i="1"/>
  <c r="AS233" i="1"/>
  <c r="AR238" i="1"/>
  <c r="AR262" i="1"/>
  <c r="AR219" i="1"/>
  <c r="AS222" i="1"/>
  <c r="AR243" i="1"/>
  <c r="AR259" i="1"/>
  <c r="AS260" i="1"/>
  <c r="AR231" i="1"/>
  <c r="AS252" i="1"/>
  <c r="AR225" i="1"/>
  <c r="AR241" i="1"/>
  <c r="AS185" i="1"/>
  <c r="AS201" i="1"/>
  <c r="AS214" i="1"/>
  <c r="AS200" i="1"/>
  <c r="AS183" i="1"/>
  <c r="AS191" i="1"/>
  <c r="AS207" i="1"/>
  <c r="AS215" i="1"/>
  <c r="AS196" i="1"/>
  <c r="AS212" i="1"/>
  <c r="AS188" i="1"/>
  <c r="AR193" i="1"/>
  <c r="AT193" i="1" s="1"/>
  <c r="AR155" i="1"/>
  <c r="AR171" i="1"/>
  <c r="AR176" i="1"/>
  <c r="AR149" i="1"/>
  <c r="AR157" i="1"/>
  <c r="AR165" i="1"/>
  <c r="AR169" i="1"/>
  <c r="AR151" i="1"/>
  <c r="AR161" i="1"/>
  <c r="AR177" i="1"/>
  <c r="AR175" i="1"/>
  <c r="AR145" i="1"/>
  <c r="AR830" i="1"/>
  <c r="AS831" i="1"/>
  <c r="AS118" i="1"/>
  <c r="AR123" i="1"/>
  <c r="AR141" i="1"/>
  <c r="AR98" i="1"/>
  <c r="AR114" i="1"/>
  <c r="AR138" i="1"/>
  <c r="AR132" i="1"/>
  <c r="AR105" i="1"/>
  <c r="AR121" i="1"/>
  <c r="AR103" i="1"/>
  <c r="AR135" i="1"/>
  <c r="AR113" i="1"/>
  <c r="AS86" i="1"/>
  <c r="AS91" i="1"/>
  <c r="AS80" i="1"/>
  <c r="AS88" i="1"/>
  <c r="AS96" i="1"/>
  <c r="AS77" i="1"/>
  <c r="AS85" i="1"/>
  <c r="AS84" i="1"/>
  <c r="AS82" i="1"/>
  <c r="AS76" i="1"/>
  <c r="AS92" i="1"/>
  <c r="AS74" i="1"/>
  <c r="AR46" i="1"/>
  <c r="AR59" i="1"/>
  <c r="AR67" i="1"/>
  <c r="AR56" i="1"/>
  <c r="AR72" i="1"/>
  <c r="AS45" i="1"/>
  <c r="AR50" i="1"/>
  <c r="AS53" i="1"/>
  <c r="AS61" i="1"/>
  <c r="AS55" i="1"/>
  <c r="AS71" i="1"/>
  <c r="AS58" i="1"/>
  <c r="AR63" i="1"/>
  <c r="AS776" i="1"/>
  <c r="AS822" i="1"/>
  <c r="AT822" i="1" s="1"/>
  <c r="AR874" i="1"/>
  <c r="AR48" i="1"/>
  <c r="AS51" i="1"/>
  <c r="AR45" i="1"/>
  <c r="AR42" i="1"/>
  <c r="AS690" i="1"/>
  <c r="AS700" i="1"/>
  <c r="AS708" i="1"/>
  <c r="AS689" i="1"/>
  <c r="AS705" i="1"/>
  <c r="AS694" i="1"/>
  <c r="AS702" i="1"/>
  <c r="AS691" i="1"/>
  <c r="AR816" i="1"/>
  <c r="AR870" i="1"/>
  <c r="AS814" i="1"/>
  <c r="AR16" i="1"/>
  <c r="AR32" i="1"/>
  <c r="AS35" i="1"/>
  <c r="AR37" i="1"/>
  <c r="AR18" i="1"/>
  <c r="AR23" i="1"/>
  <c r="AR39" i="1"/>
  <c r="AR15" i="1"/>
  <c r="AR342" i="1"/>
  <c r="AR331" i="1"/>
  <c r="AR325" i="1"/>
  <c r="AT325" i="1" s="1"/>
  <c r="AR333" i="1"/>
  <c r="AR338" i="1"/>
  <c r="AR355" i="1"/>
  <c r="AR371" i="1"/>
  <c r="AR379" i="1"/>
  <c r="AR345" i="1"/>
  <c r="AR362" i="1"/>
  <c r="AR351" i="1"/>
  <c r="AT351" i="1" s="1"/>
  <c r="AR353" i="1"/>
  <c r="AR358" i="1"/>
  <c r="AR374" i="1"/>
  <c r="AR340" i="1"/>
  <c r="AR847" i="1"/>
  <c r="AR369" i="1"/>
  <c r="AS846" i="1"/>
  <c r="AT1051" i="1"/>
  <c r="AT1049" i="1"/>
  <c r="AU1049" i="1" s="1"/>
  <c r="O338" i="1"/>
  <c r="O775" i="1"/>
  <c r="O26" i="1"/>
  <c r="O34" i="1"/>
  <c r="O42" i="1"/>
  <c r="O50" i="1"/>
  <c r="O58" i="1"/>
  <c r="O66" i="1"/>
  <c r="O74" i="1"/>
  <c r="O82" i="1"/>
  <c r="O90" i="1"/>
  <c r="O98" i="1"/>
  <c r="O106" i="1"/>
  <c r="O114" i="1"/>
  <c r="O122" i="1"/>
  <c r="O130" i="1"/>
  <c r="O138" i="1"/>
  <c r="O146" i="1"/>
  <c r="O154" i="1"/>
  <c r="O162" i="1"/>
  <c r="O170" i="1"/>
  <c r="O178" i="1"/>
  <c r="O186" i="1"/>
  <c r="O194" i="1"/>
  <c r="O202" i="1"/>
  <c r="O210" i="1"/>
  <c r="O218" i="1"/>
  <c r="O226" i="1"/>
  <c r="O234" i="1"/>
  <c r="O242" i="1"/>
  <c r="O250" i="1"/>
  <c r="O258" i="1"/>
  <c r="O266" i="1"/>
  <c r="O274" i="1"/>
  <c r="O282" i="1"/>
  <c r="O290" i="1"/>
  <c r="O298" i="1"/>
  <c r="O306" i="1"/>
  <c r="O314" i="1"/>
  <c r="O322" i="1"/>
  <c r="O330" i="1"/>
  <c r="O339" i="1"/>
  <c r="O347" i="1"/>
  <c r="O355" i="1"/>
  <c r="O363" i="1"/>
  <c r="O371" i="1"/>
  <c r="O379" i="1"/>
  <c r="O387" i="1"/>
  <c r="O395" i="1"/>
  <c r="O403" i="1"/>
  <c r="O411" i="1"/>
  <c r="O419" i="1"/>
  <c r="O427" i="1"/>
  <c r="O435" i="1"/>
  <c r="O443" i="1"/>
  <c r="O451" i="1"/>
  <c r="O459" i="1"/>
  <c r="O467" i="1"/>
  <c r="O475" i="1"/>
  <c r="O483" i="1"/>
  <c r="O491" i="1"/>
  <c r="O499" i="1"/>
  <c r="O507" i="1"/>
  <c r="O515" i="1"/>
  <c r="O523" i="1"/>
  <c r="O531" i="1"/>
  <c r="O539" i="1"/>
  <c r="O547" i="1"/>
  <c r="O555" i="1"/>
  <c r="O563" i="1"/>
  <c r="O571" i="1"/>
  <c r="O579" i="1"/>
  <c r="O587" i="1"/>
  <c r="O595" i="1"/>
  <c r="O603" i="1"/>
  <c r="O611" i="1"/>
  <c r="O619" i="1"/>
  <c r="O627" i="1"/>
  <c r="O635" i="1"/>
  <c r="O643" i="1"/>
  <c r="O651" i="1"/>
  <c r="O659" i="1"/>
  <c r="O667" i="1"/>
  <c r="O675" i="1"/>
  <c r="O683" i="1"/>
  <c r="O691" i="1"/>
  <c r="O699" i="1"/>
  <c r="O707" i="1"/>
  <c r="O779" i="1"/>
  <c r="O787" i="1"/>
  <c r="O795" i="1"/>
  <c r="O803" i="1"/>
  <c r="O811" i="1"/>
  <c r="O819" i="1"/>
  <c r="O826" i="1"/>
  <c r="O835" i="1"/>
  <c r="O843" i="1"/>
  <c r="O851" i="1"/>
  <c r="O859" i="1"/>
  <c r="O867" i="1"/>
  <c r="O22" i="1"/>
  <c r="O30" i="1"/>
  <c r="O38" i="1"/>
  <c r="O46" i="1"/>
  <c r="O54" i="1"/>
  <c r="O62" i="1"/>
  <c r="O70" i="1"/>
  <c r="O78" i="1"/>
  <c r="O86" i="1"/>
  <c r="O94" i="1"/>
  <c r="O102" i="1"/>
  <c r="O110" i="1"/>
  <c r="O118" i="1"/>
  <c r="O126" i="1"/>
  <c r="O134" i="1"/>
  <c r="O142" i="1"/>
  <c r="O150" i="1"/>
  <c r="O158" i="1"/>
  <c r="O166" i="1"/>
  <c r="O174" i="1"/>
  <c r="O182" i="1"/>
  <c r="O190" i="1"/>
  <c r="O198" i="1"/>
  <c r="O206" i="1"/>
  <c r="O214" i="1"/>
  <c r="O222" i="1"/>
  <c r="O230" i="1"/>
  <c r="O238" i="1"/>
  <c r="O246" i="1"/>
  <c r="O254" i="1"/>
  <c r="O262" i="1"/>
  <c r="O270" i="1"/>
  <c r="O278" i="1"/>
  <c r="O286" i="1"/>
  <c r="O294" i="1"/>
  <c r="O302" i="1"/>
  <c r="O310" i="1"/>
  <c r="O318" i="1"/>
  <c r="O326" i="1"/>
  <c r="O334" i="1"/>
  <c r="O343" i="1"/>
  <c r="O351" i="1"/>
  <c r="O359" i="1"/>
  <c r="O367" i="1"/>
  <c r="O375" i="1"/>
  <c r="O383" i="1"/>
  <c r="O391" i="1"/>
  <c r="O399" i="1"/>
  <c r="O407" i="1"/>
  <c r="O415" i="1"/>
  <c r="O423" i="1"/>
  <c r="O431" i="1"/>
  <c r="O439" i="1"/>
  <c r="O447" i="1"/>
  <c r="O455" i="1"/>
  <c r="O463" i="1"/>
  <c r="O471" i="1"/>
  <c r="O479" i="1"/>
  <c r="O487" i="1"/>
  <c r="O495" i="1"/>
  <c r="O503" i="1"/>
  <c r="O511" i="1"/>
  <c r="O519" i="1"/>
  <c r="O527" i="1"/>
  <c r="O535" i="1"/>
  <c r="O543" i="1"/>
  <c r="O551" i="1"/>
  <c r="O559" i="1"/>
  <c r="O567" i="1"/>
  <c r="O575" i="1"/>
  <c r="O583" i="1"/>
  <c r="O591" i="1"/>
  <c r="O599" i="1"/>
  <c r="O607" i="1"/>
  <c r="O615" i="1"/>
  <c r="O623" i="1"/>
  <c r="O631" i="1"/>
  <c r="O639" i="1"/>
  <c r="O647" i="1"/>
  <c r="O655" i="1"/>
  <c r="O663" i="1"/>
  <c r="O671" i="1"/>
  <c r="O679" i="1"/>
  <c r="O687" i="1"/>
  <c r="O695" i="1"/>
  <c r="O703" i="1"/>
  <c r="O783" i="1"/>
  <c r="O791" i="1"/>
  <c r="O799" i="1"/>
  <c r="O807" i="1"/>
  <c r="O815" i="1"/>
  <c r="O822" i="1"/>
  <c r="O830" i="1"/>
  <c r="O839" i="1"/>
  <c r="O847" i="1"/>
  <c r="O863" i="1"/>
  <c r="O871" i="1"/>
  <c r="O18" i="1"/>
  <c r="O23" i="1"/>
  <c r="O39" i="1"/>
  <c r="O55" i="1"/>
  <c r="O63" i="1"/>
  <c r="O79" i="1"/>
  <c r="O95" i="1"/>
  <c r="O111" i="1"/>
  <c r="O127" i="1"/>
  <c r="O143" i="1"/>
  <c r="O159" i="1"/>
  <c r="O175" i="1"/>
  <c r="O191" i="1"/>
  <c r="O207" i="1"/>
  <c r="O223" i="1"/>
  <c r="O239" i="1"/>
  <c r="O255" i="1"/>
  <c r="O271" i="1"/>
  <c r="O287" i="1"/>
  <c r="O303" i="1"/>
  <c r="O311" i="1"/>
  <c r="O327" i="1"/>
  <c r="O344" i="1"/>
  <c r="O360" i="1"/>
  <c r="O376" i="1"/>
  <c r="O392" i="1"/>
  <c r="O408" i="1"/>
  <c r="O424" i="1"/>
  <c r="O440" i="1"/>
  <c r="O456" i="1"/>
  <c r="O472" i="1"/>
  <c r="O480" i="1"/>
  <c r="O496" i="1"/>
  <c r="O512" i="1"/>
  <c r="O528" i="1"/>
  <c r="O544" i="1"/>
  <c r="O560" i="1"/>
  <c r="O576" i="1"/>
  <c r="O592" i="1"/>
  <c r="O608" i="1"/>
  <c r="O624" i="1"/>
  <c r="O640" i="1"/>
  <c r="O31" i="1"/>
  <c r="O47" i="1"/>
  <c r="O71" i="1"/>
  <c r="O87" i="1"/>
  <c r="O103" i="1"/>
  <c r="O119" i="1"/>
  <c r="O135" i="1"/>
  <c r="O151" i="1"/>
  <c r="O167" i="1"/>
  <c r="O183" i="1"/>
  <c r="O199" i="1"/>
  <c r="O215" i="1"/>
  <c r="O231" i="1"/>
  <c r="O247" i="1"/>
  <c r="O263" i="1"/>
  <c r="O279" i="1"/>
  <c r="O295" i="1"/>
  <c r="O319" i="1"/>
  <c r="O335" i="1"/>
  <c r="O352" i="1"/>
  <c r="O368" i="1"/>
  <c r="O384" i="1"/>
  <c r="O400" i="1"/>
  <c r="O416" i="1"/>
  <c r="O432" i="1"/>
  <c r="O448" i="1"/>
  <c r="O464" i="1"/>
  <c r="O488" i="1"/>
  <c r="O504" i="1"/>
  <c r="O520" i="1"/>
  <c r="O536" i="1"/>
  <c r="O552" i="1"/>
  <c r="O568" i="1"/>
  <c r="O584" i="1"/>
  <c r="O600" i="1"/>
  <c r="O616" i="1"/>
  <c r="O632" i="1"/>
  <c r="O648" i="1"/>
  <c r="O29" i="1"/>
  <c r="O43" i="1"/>
  <c r="O56" i="1"/>
  <c r="O68" i="1"/>
  <c r="O81" i="1"/>
  <c r="O93" i="1"/>
  <c r="O107" i="1"/>
  <c r="O120" i="1"/>
  <c r="O132" i="1"/>
  <c r="O145" i="1"/>
  <c r="O157" i="1"/>
  <c r="O171" i="1"/>
  <c r="O184" i="1"/>
  <c r="O196" i="1"/>
  <c r="O209" i="1"/>
  <c r="O221" i="1"/>
  <c r="O235" i="1"/>
  <c r="O248" i="1"/>
  <c r="O260" i="1"/>
  <c r="O273" i="1"/>
  <c r="O285" i="1"/>
  <c r="O299" i="1"/>
  <c r="O312" i="1"/>
  <c r="O324" i="1"/>
  <c r="O337" i="1"/>
  <c r="O350" i="1"/>
  <c r="O364" i="1"/>
  <c r="O377" i="1"/>
  <c r="O389" i="1"/>
  <c r="O402" i="1"/>
  <c r="O414" i="1"/>
  <c r="O428" i="1"/>
  <c r="O441" i="1"/>
  <c r="O453" i="1"/>
  <c r="O466" i="1"/>
  <c r="O478" i="1"/>
  <c r="O492" i="1"/>
  <c r="O505" i="1"/>
  <c r="O517" i="1"/>
  <c r="O530" i="1"/>
  <c r="O542" i="1"/>
  <c r="O556" i="1"/>
  <c r="O569" i="1"/>
  <c r="O581" i="1"/>
  <c r="O594" i="1"/>
  <c r="O606" i="1"/>
  <c r="O620" i="1"/>
  <c r="O633" i="1"/>
  <c r="O645" i="1"/>
  <c r="O657" i="1"/>
  <c r="O668" i="1"/>
  <c r="O678" i="1"/>
  <c r="O689" i="1"/>
  <c r="O700" i="1"/>
  <c r="O774" i="1"/>
  <c r="O784" i="1"/>
  <c r="O794" i="1"/>
  <c r="O805" i="1"/>
  <c r="O816" i="1"/>
  <c r="O825" i="1"/>
  <c r="O837" i="1"/>
  <c r="O848" i="1"/>
  <c r="O857" i="1"/>
  <c r="O868" i="1"/>
  <c r="O621" i="1"/>
  <c r="O669" i="1"/>
  <c r="O690" i="1"/>
  <c r="O785" i="1"/>
  <c r="O806" i="1"/>
  <c r="O817" i="1"/>
  <c r="O827" i="1"/>
  <c r="O849" i="1"/>
  <c r="O869" i="1"/>
  <c r="O59" i="1"/>
  <c r="O97" i="1"/>
  <c r="O136" i="1"/>
  <c r="O173" i="1"/>
  <c r="O212" i="1"/>
  <c r="O251" i="1"/>
  <c r="O289" i="1"/>
  <c r="O328" i="1"/>
  <c r="O366" i="1"/>
  <c r="O405" i="1"/>
  <c r="O444" i="1"/>
  <c r="O469" i="1"/>
  <c r="O508" i="1"/>
  <c r="O546" i="1"/>
  <c r="O585" i="1"/>
  <c r="O622" i="1"/>
  <c r="O660" i="1"/>
  <c r="O692" i="1"/>
  <c r="O797" i="1"/>
  <c r="O32" i="1"/>
  <c r="O44" i="1"/>
  <c r="O57" i="1"/>
  <c r="O69" i="1"/>
  <c r="O83" i="1"/>
  <c r="O96" i="1"/>
  <c r="O108" i="1"/>
  <c r="O121" i="1"/>
  <c r="O133" i="1"/>
  <c r="O147" i="1"/>
  <c r="O160" i="1"/>
  <c r="O172" i="1"/>
  <c r="O185" i="1"/>
  <c r="O197" i="1"/>
  <c r="O211" i="1"/>
  <c r="O224" i="1"/>
  <c r="O236" i="1"/>
  <c r="O249" i="1"/>
  <c r="O261" i="1"/>
  <c r="O275" i="1"/>
  <c r="O288" i="1"/>
  <c r="O300" i="1"/>
  <c r="O313" i="1"/>
  <c r="O325" i="1"/>
  <c r="O340" i="1"/>
  <c r="O353" i="1"/>
  <c r="O365" i="1"/>
  <c r="O378" i="1"/>
  <c r="O390" i="1"/>
  <c r="O404" i="1"/>
  <c r="O417" i="1"/>
  <c r="O429" i="1"/>
  <c r="O442" i="1"/>
  <c r="O454" i="1"/>
  <c r="O468" i="1"/>
  <c r="O481" i="1"/>
  <c r="O493" i="1"/>
  <c r="O506" i="1"/>
  <c r="O518" i="1"/>
  <c r="O532" i="1"/>
  <c r="O545" i="1"/>
  <c r="O557" i="1"/>
  <c r="O570" i="1"/>
  <c r="O582" i="1"/>
  <c r="O596" i="1"/>
  <c r="O609" i="1"/>
  <c r="O634" i="1"/>
  <c r="O646" i="1"/>
  <c r="O658" i="1"/>
  <c r="O680" i="1"/>
  <c r="O701" i="1"/>
  <c r="O796" i="1"/>
  <c r="O838" i="1"/>
  <c r="O858" i="1"/>
  <c r="O45" i="1"/>
  <c r="O72" i="1"/>
  <c r="O109" i="1"/>
  <c r="O148" i="1"/>
  <c r="O187" i="1"/>
  <c r="O225" i="1"/>
  <c r="O264" i="1"/>
  <c r="O301" i="1"/>
  <c r="O341" i="1"/>
  <c r="O380" i="1"/>
  <c r="O418" i="1"/>
  <c r="O457" i="1"/>
  <c r="O494" i="1"/>
  <c r="O533" i="1"/>
  <c r="O572" i="1"/>
  <c r="O610" i="1"/>
  <c r="O649" i="1"/>
  <c r="O681" i="1"/>
  <c r="O776" i="1"/>
  <c r="O33" i="1"/>
  <c r="O84" i="1"/>
  <c r="O123" i="1"/>
  <c r="O161" i="1"/>
  <c r="O200" i="1"/>
  <c r="O237" i="1"/>
  <c r="O276" i="1"/>
  <c r="O315" i="1"/>
  <c r="O354" i="1"/>
  <c r="O393" i="1"/>
  <c r="O430" i="1"/>
  <c r="O482" i="1"/>
  <c r="O521" i="1"/>
  <c r="O558" i="1"/>
  <c r="O597" i="1"/>
  <c r="O636" i="1"/>
  <c r="O670" i="1"/>
  <c r="O702" i="1"/>
  <c r="O786" i="1"/>
  <c r="O35" i="1"/>
  <c r="O48" i="1"/>
  <c r="O60" i="1"/>
  <c r="O73" i="1"/>
  <c r="O85" i="1"/>
  <c r="O99" i="1"/>
  <c r="O112" i="1"/>
  <c r="O124" i="1"/>
  <c r="O137" i="1"/>
  <c r="O149" i="1"/>
  <c r="O163" i="1"/>
  <c r="O176" i="1"/>
  <c r="O188" i="1"/>
  <c r="O201" i="1"/>
  <c r="O213" i="1"/>
  <c r="O227" i="1"/>
  <c r="O240" i="1"/>
  <c r="O252" i="1"/>
  <c r="O265" i="1"/>
  <c r="O277" i="1"/>
  <c r="O291" i="1"/>
  <c r="O304" i="1"/>
  <c r="O316" i="1"/>
  <c r="O329" i="1"/>
  <c r="O342" i="1"/>
  <c r="O356" i="1"/>
  <c r="O369" i="1"/>
  <c r="O381" i="1"/>
  <c r="O394" i="1"/>
  <c r="O406" i="1"/>
  <c r="O420" i="1"/>
  <c r="O433" i="1"/>
  <c r="O445" i="1"/>
  <c r="O458" i="1"/>
  <c r="O470" i="1"/>
  <c r="O484" i="1"/>
  <c r="O497" i="1"/>
  <c r="O509" i="1"/>
  <c r="O522" i="1"/>
  <c r="O534" i="1"/>
  <c r="O548" i="1"/>
  <c r="O561" i="1"/>
  <c r="O573" i="1"/>
  <c r="O586" i="1"/>
  <c r="O598" i="1"/>
  <c r="O612" i="1"/>
  <c r="O625" i="1"/>
  <c r="O637" i="1"/>
  <c r="O650" i="1"/>
  <c r="O661" i="1"/>
  <c r="O672" i="1"/>
  <c r="O682" i="1"/>
  <c r="O693" i="1"/>
  <c r="O704" i="1"/>
  <c r="O777" i="1"/>
  <c r="O788" i="1"/>
  <c r="O798" i="1"/>
  <c r="O809" i="1"/>
  <c r="O875" i="1"/>
  <c r="O829" i="1"/>
  <c r="O841" i="1"/>
  <c r="O852" i="1"/>
  <c r="O861" i="1"/>
  <c r="O872" i="1"/>
  <c r="O20" i="1"/>
  <c r="O36" i="1"/>
  <c r="O61" i="1"/>
  <c r="O88" i="1"/>
  <c r="O113" i="1"/>
  <c r="O139" i="1"/>
  <c r="O164" i="1"/>
  <c r="O189" i="1"/>
  <c r="O216" i="1"/>
  <c r="O241" i="1"/>
  <c r="O267" i="1"/>
  <c r="O292" i="1"/>
  <c r="O317" i="1"/>
  <c r="O345" i="1"/>
  <c r="O370" i="1"/>
  <c r="O396" i="1"/>
  <c r="O421" i="1"/>
  <c r="O446" i="1"/>
  <c r="O473" i="1"/>
  <c r="O498" i="1"/>
  <c r="O524" i="1"/>
  <c r="O549" i="1"/>
  <c r="O574" i="1"/>
  <c r="O601" i="1"/>
  <c r="O626" i="1"/>
  <c r="O652" i="1"/>
  <c r="O673" i="1"/>
  <c r="O694" i="1"/>
  <c r="O793" i="1"/>
  <c r="O813" i="1"/>
  <c r="O832" i="1"/>
  <c r="O846" i="1"/>
  <c r="O864" i="1"/>
  <c r="O332" i="1"/>
  <c r="O808" i="1"/>
  <c r="O28" i="1"/>
  <c r="O208" i="1"/>
  <c r="O362" i="1"/>
  <c r="O541" i="1"/>
  <c r="O709" i="1"/>
  <c r="O845" i="1"/>
  <c r="O37" i="1"/>
  <c r="O64" i="1"/>
  <c r="O89" i="1"/>
  <c r="O115" i="1"/>
  <c r="O140" i="1"/>
  <c r="O165" i="1"/>
  <c r="O192" i="1"/>
  <c r="O217" i="1"/>
  <c r="O243" i="1"/>
  <c r="O268" i="1"/>
  <c r="O293" i="1"/>
  <c r="O320" i="1"/>
  <c r="O346" i="1"/>
  <c r="O372" i="1"/>
  <c r="O397" i="1"/>
  <c r="O422" i="1"/>
  <c r="O449" i="1"/>
  <c r="O474" i="1"/>
  <c r="O500" i="1"/>
  <c r="O525" i="1"/>
  <c r="O550" i="1"/>
  <c r="O577" i="1"/>
  <c r="O602" i="1"/>
  <c r="O628" i="1"/>
  <c r="O653" i="1"/>
  <c r="O674" i="1"/>
  <c r="O696" i="1"/>
  <c r="O778" i="1"/>
  <c r="O800" i="1"/>
  <c r="O814" i="1"/>
  <c r="O833" i="1"/>
  <c r="O850" i="1"/>
  <c r="O865" i="1"/>
  <c r="O297" i="1"/>
  <c r="O452" i="1"/>
  <c r="O529" i="1"/>
  <c r="O580" i="1"/>
  <c r="O630" i="1"/>
  <c r="O677" i="1"/>
  <c r="O802" i="1"/>
  <c r="O820" i="1"/>
  <c r="O854" i="1"/>
  <c r="O21" i="1"/>
  <c r="O100" i="1"/>
  <c r="O382" i="1"/>
  <c r="O460" i="1"/>
  <c r="O537" i="1"/>
  <c r="O613" i="1"/>
  <c r="O684" i="1"/>
  <c r="O782" i="1"/>
  <c r="O840" i="1"/>
  <c r="O25" i="1"/>
  <c r="O128" i="1"/>
  <c r="O179" i="1"/>
  <c r="O229" i="1"/>
  <c r="O307" i="1"/>
  <c r="O385" i="1"/>
  <c r="O461" i="1"/>
  <c r="O564" i="1"/>
  <c r="O641" i="1"/>
  <c r="O685" i="1"/>
  <c r="O842" i="1"/>
  <c r="O80" i="1"/>
  <c r="O259" i="1"/>
  <c r="O413" i="1"/>
  <c r="O566" i="1"/>
  <c r="O688" i="1"/>
  <c r="O792" i="1"/>
  <c r="O40" i="1"/>
  <c r="O65" i="1"/>
  <c r="O91" i="1"/>
  <c r="O116" i="1"/>
  <c r="O141" i="1"/>
  <c r="O168" i="1"/>
  <c r="O193" i="1"/>
  <c r="O219" i="1"/>
  <c r="O244" i="1"/>
  <c r="O269" i="1"/>
  <c r="O296" i="1"/>
  <c r="O321" i="1"/>
  <c r="O348" i="1"/>
  <c r="O373" i="1"/>
  <c r="O398" i="1"/>
  <c r="O425" i="1"/>
  <c r="O450" i="1"/>
  <c r="O476" i="1"/>
  <c r="O501" i="1"/>
  <c r="O526" i="1"/>
  <c r="O553" i="1"/>
  <c r="O578" i="1"/>
  <c r="O604" i="1"/>
  <c r="O629" i="1"/>
  <c r="O654" i="1"/>
  <c r="O676" i="1"/>
  <c r="O697" i="1"/>
  <c r="O780" i="1"/>
  <c r="O801" i="1"/>
  <c r="O818" i="1"/>
  <c r="O834" i="1"/>
  <c r="O853" i="1"/>
  <c r="O866" i="1"/>
  <c r="O19" i="1"/>
  <c r="O698" i="1"/>
  <c r="O24" i="1"/>
  <c r="O49" i="1"/>
  <c r="O125" i="1"/>
  <c r="O152" i="1"/>
  <c r="O177" i="1"/>
  <c r="O203" i="1"/>
  <c r="O253" i="1"/>
  <c r="O280" i="1"/>
  <c r="O331" i="1"/>
  <c r="O409" i="1"/>
  <c r="O485" i="1"/>
  <c r="O562" i="1"/>
  <c r="O638" i="1"/>
  <c r="O804" i="1"/>
  <c r="O873" i="1"/>
  <c r="O76" i="1"/>
  <c r="O256" i="1"/>
  <c r="O410" i="1"/>
  <c r="O513" i="1"/>
  <c r="O589" i="1"/>
  <c r="O664" i="1"/>
  <c r="O789" i="1"/>
  <c r="O874" i="1"/>
  <c r="O156" i="1"/>
  <c r="O284" i="1"/>
  <c r="O438" i="1"/>
  <c r="O593" i="1"/>
  <c r="O41" i="1"/>
  <c r="O67" i="1"/>
  <c r="O92" i="1"/>
  <c r="O117" i="1"/>
  <c r="O144" i="1"/>
  <c r="O169" i="1"/>
  <c r="O195" i="1"/>
  <c r="O220" i="1"/>
  <c r="O245" i="1"/>
  <c r="O272" i="1"/>
  <c r="O323" i="1"/>
  <c r="O349" i="1"/>
  <c r="O374" i="1"/>
  <c r="O401" i="1"/>
  <c r="O426" i="1"/>
  <c r="O477" i="1"/>
  <c r="O502" i="1"/>
  <c r="O554" i="1"/>
  <c r="O605" i="1"/>
  <c r="O656" i="1"/>
  <c r="O781" i="1"/>
  <c r="O836" i="1"/>
  <c r="O870" i="1"/>
  <c r="O705" i="1"/>
  <c r="O486" i="1"/>
  <c r="O823" i="1"/>
  <c r="O53" i="1"/>
  <c r="O181" i="1"/>
  <c r="O336" i="1"/>
  <c r="O490" i="1"/>
  <c r="O666" i="1"/>
  <c r="O828" i="1"/>
  <c r="O75" i="1"/>
  <c r="O228" i="1"/>
  <c r="O305" i="1"/>
  <c r="O357" i="1"/>
  <c r="O434" i="1"/>
  <c r="O510" i="1"/>
  <c r="O588" i="1"/>
  <c r="O662" i="1"/>
  <c r="O821" i="1"/>
  <c r="O51" i="1"/>
  <c r="O101" i="1"/>
  <c r="O153" i="1"/>
  <c r="O204" i="1"/>
  <c r="O281" i="1"/>
  <c r="O358" i="1"/>
  <c r="O436" i="1"/>
  <c r="O538" i="1"/>
  <c r="O614" i="1"/>
  <c r="O706" i="1"/>
  <c r="O105" i="1"/>
  <c r="O233" i="1"/>
  <c r="O388" i="1"/>
  <c r="O516" i="1"/>
  <c r="O644" i="1"/>
  <c r="O812" i="1"/>
  <c r="O27" i="1"/>
  <c r="O52" i="1"/>
  <c r="O77" i="1"/>
  <c r="O104" i="1"/>
  <c r="O129" i="1"/>
  <c r="O155" i="1"/>
  <c r="O180" i="1"/>
  <c r="O205" i="1"/>
  <c r="O232" i="1"/>
  <c r="O257" i="1"/>
  <c r="O283" i="1"/>
  <c r="O308" i="1"/>
  <c r="O333" i="1"/>
  <c r="O361" i="1"/>
  <c r="O386" i="1"/>
  <c r="O412" i="1"/>
  <c r="O437" i="1"/>
  <c r="O462" i="1"/>
  <c r="O489" i="1"/>
  <c r="O514" i="1"/>
  <c r="O540" i="1"/>
  <c r="O565" i="1"/>
  <c r="O590" i="1"/>
  <c r="O617" i="1"/>
  <c r="O642" i="1"/>
  <c r="O665" i="1"/>
  <c r="O686" i="1"/>
  <c r="O708" i="1"/>
  <c r="O790" i="1"/>
  <c r="O810" i="1"/>
  <c r="O824" i="1"/>
  <c r="O844" i="1"/>
  <c r="O860" i="1"/>
  <c r="O131" i="1"/>
  <c r="O309" i="1"/>
  <c r="O465" i="1"/>
  <c r="O618" i="1"/>
  <c r="O862" i="1"/>
  <c r="AS666" i="1"/>
  <c r="AS628" i="1"/>
  <c r="AR643" i="1"/>
  <c r="AR624" i="1"/>
  <c r="AS635" i="1"/>
  <c r="AR640" i="1"/>
  <c r="AS675" i="1"/>
  <c r="AS672" i="1"/>
  <c r="AR677" i="1"/>
  <c r="AS613" i="1"/>
  <c r="AS616" i="1"/>
  <c r="AS664" i="1"/>
  <c r="AR653" i="1"/>
  <c r="AR682" i="1"/>
  <c r="AR626" i="1"/>
  <c r="AR650" i="1"/>
  <c r="AR400" i="1"/>
  <c r="AS427" i="1"/>
  <c r="AR440" i="1"/>
  <c r="AS451" i="1"/>
  <c r="AR389" i="1"/>
  <c r="AS424" i="1"/>
  <c r="AR453" i="1"/>
  <c r="AR386" i="1"/>
  <c r="AS405" i="1"/>
  <c r="AS383" i="1"/>
  <c r="AS433" i="1"/>
  <c r="AS420" i="1"/>
  <c r="AS409" i="1"/>
  <c r="AR455" i="1"/>
  <c r="AS787" i="1"/>
  <c r="AS793" i="1"/>
  <c r="AR790" i="1"/>
  <c r="AR788" i="1"/>
  <c r="AR417" i="1"/>
  <c r="AR323" i="1"/>
  <c r="AT323" i="1" s="1"/>
  <c r="AR272" i="1"/>
  <c r="AS299" i="1"/>
  <c r="AR320" i="1"/>
  <c r="AT320" i="1" s="1"/>
  <c r="AR266" i="1"/>
  <c r="AT266" i="1" s="1"/>
  <c r="AR290" i="1"/>
  <c r="AR279" i="1"/>
  <c r="AR281" i="1"/>
  <c r="AR308" i="1"/>
  <c r="AR284" i="1"/>
  <c r="AR319" i="1"/>
  <c r="AR297" i="1"/>
  <c r="AS778" i="1"/>
  <c r="AR780" i="1"/>
  <c r="AT780" i="1" s="1"/>
  <c r="AR190" i="1"/>
  <c r="AR195" i="1"/>
  <c r="AR203" i="1"/>
  <c r="AR200" i="1"/>
  <c r="AS211" i="1"/>
  <c r="AR216" i="1"/>
  <c r="AS184" i="1"/>
  <c r="AS192" i="1"/>
  <c r="AR205" i="1"/>
  <c r="AR186" i="1"/>
  <c r="AT186" i="1" s="1"/>
  <c r="AR183" i="1"/>
  <c r="AR209" i="1"/>
  <c r="AR833" i="1"/>
  <c r="AR835" i="1"/>
  <c r="AR834" i="1"/>
  <c r="AS836" i="1"/>
  <c r="AR126" i="1"/>
  <c r="AS134" i="1"/>
  <c r="AS107" i="1"/>
  <c r="AS123" i="1"/>
  <c r="AS131" i="1"/>
  <c r="AR136" i="1"/>
  <c r="AR101" i="1"/>
  <c r="AS120" i="1"/>
  <c r="AS103" i="1"/>
  <c r="AR116" i="1"/>
  <c r="AR111" i="1"/>
  <c r="AR825" i="1"/>
  <c r="AS138" i="1"/>
  <c r="AR828" i="1"/>
  <c r="AR69" i="1"/>
  <c r="AR71" i="1"/>
  <c r="AT71" i="1" s="1"/>
  <c r="AR873" i="1"/>
  <c r="AR65" i="1"/>
  <c r="AR504" i="1"/>
  <c r="AS480" i="1"/>
  <c r="AR501" i="1"/>
  <c r="AR525" i="1"/>
  <c r="AS546" i="1"/>
  <c r="AR559" i="1"/>
  <c r="AS493" i="1"/>
  <c r="AS508" i="1"/>
  <c r="AR510" i="1"/>
  <c r="AR482" i="1"/>
  <c r="AR535" i="1"/>
  <c r="AR499" i="1"/>
  <c r="AT499" i="1" s="1"/>
  <c r="AS537" i="1"/>
  <c r="AR532" i="1"/>
  <c r="AS555" i="1"/>
  <c r="AR554" i="1"/>
  <c r="AS65" i="1"/>
  <c r="AR70" i="1"/>
  <c r="AS54" i="1"/>
  <c r="AS62" i="1"/>
  <c r="AS59" i="1"/>
  <c r="AS67" i="1"/>
  <c r="AS56" i="1"/>
  <c r="AR44" i="1"/>
  <c r="AS47" i="1"/>
  <c r="AS52" i="1"/>
  <c r="AS68" i="1"/>
  <c r="AS50" i="1"/>
  <c r="AS60" i="1"/>
  <c r="AR871" i="1"/>
  <c r="AS777" i="1"/>
  <c r="AR488" i="1"/>
  <c r="AR512" i="1"/>
  <c r="AR520" i="1"/>
  <c r="AR536" i="1"/>
  <c r="AR492" i="1"/>
  <c r="AR500" i="1"/>
  <c r="AR506" i="1"/>
  <c r="AR543" i="1"/>
  <c r="AR551" i="1"/>
  <c r="AR495" i="1"/>
  <c r="AR486" i="1"/>
  <c r="AR530" i="1"/>
  <c r="AR558" i="1"/>
  <c r="AR549" i="1"/>
  <c r="AR798" i="1"/>
  <c r="AR859" i="1"/>
  <c r="AT859" i="1" s="1"/>
  <c r="AR527" i="1"/>
  <c r="AS860" i="1"/>
  <c r="AR513" i="1"/>
  <c r="AR395" i="1"/>
  <c r="AS414" i="1"/>
  <c r="AR392" i="1"/>
  <c r="AS443" i="1"/>
  <c r="AS416" i="1"/>
  <c r="AS429" i="1"/>
  <c r="AR399" i="1"/>
  <c r="AS402" i="1"/>
  <c r="AR431" i="1"/>
  <c r="AR452" i="1"/>
  <c r="AT452" i="1" s="1"/>
  <c r="AR406" i="1"/>
  <c r="AS790" i="1"/>
  <c r="AS425" i="1"/>
  <c r="AS438" i="1"/>
  <c r="AS449" i="1"/>
  <c r="AS385" i="1"/>
  <c r="AR851" i="1"/>
  <c r="AR270" i="1"/>
  <c r="AR278" i="1"/>
  <c r="AR294" i="1"/>
  <c r="AT294" i="1" s="1"/>
  <c r="AR283" i="1"/>
  <c r="AT283" i="1" s="1"/>
  <c r="AR299" i="1"/>
  <c r="AR307" i="1"/>
  <c r="AR315" i="1"/>
  <c r="AR280" i="1"/>
  <c r="AR296" i="1"/>
  <c r="AR317" i="1"/>
  <c r="AR276" i="1"/>
  <c r="AT276" i="1" s="1"/>
  <c r="AR321" i="1"/>
  <c r="AS785" i="1"/>
  <c r="AT785" i="1" s="1"/>
  <c r="AR778" i="1"/>
  <c r="AR841" i="1"/>
  <c r="AS843" i="1"/>
  <c r="AT843" i="1" s="1"/>
  <c r="AR783" i="1"/>
  <c r="AS844" i="1"/>
  <c r="AR182" i="1"/>
  <c r="AR206" i="1"/>
  <c r="AT206" i="1" s="1"/>
  <c r="AR187" i="1"/>
  <c r="AT187" i="1" s="1"/>
  <c r="AS190" i="1"/>
  <c r="AR213" i="1"/>
  <c r="AS216" i="1"/>
  <c r="AR188" i="1"/>
  <c r="AT188" i="1" s="1"/>
  <c r="AR212" i="1"/>
  <c r="AS194" i="1"/>
  <c r="AS204" i="1"/>
  <c r="AR207" i="1"/>
  <c r="AT207" i="1" s="1"/>
  <c r="AR191" i="1"/>
  <c r="AS49" i="1"/>
  <c r="AS70" i="1"/>
  <c r="AS43" i="1"/>
  <c r="AS48" i="1"/>
  <c r="AS72" i="1"/>
  <c r="AS66" i="1"/>
  <c r="AS44" i="1"/>
  <c r="AS873" i="1"/>
  <c r="AS824" i="1"/>
  <c r="AS821" i="1"/>
  <c r="AS241" i="1"/>
  <c r="AR246" i="1"/>
  <c r="AS230" i="1"/>
  <c r="AS238" i="1"/>
  <c r="AR256" i="1"/>
  <c r="AS264" i="1"/>
  <c r="AS221" i="1"/>
  <c r="AR236" i="1"/>
  <c r="AS263" i="1"/>
  <c r="AS250" i="1"/>
  <c r="AS218" i="1"/>
  <c r="AR223" i="1"/>
  <c r="AR631" i="1"/>
  <c r="AR671" i="1"/>
  <c r="AR679" i="1"/>
  <c r="AT679" i="1" s="1"/>
  <c r="AR687" i="1"/>
  <c r="AS615" i="1"/>
  <c r="AR660" i="1"/>
  <c r="AR649" i="1"/>
  <c r="AR681" i="1"/>
  <c r="AR646" i="1"/>
  <c r="AS657" i="1"/>
  <c r="AR619" i="1"/>
  <c r="AR635" i="1"/>
  <c r="AR613" i="1"/>
  <c r="AR629" i="1"/>
  <c r="AT629" i="1" s="1"/>
  <c r="AR621" i="1"/>
  <c r="AR666" i="1"/>
  <c r="AS73" i="1"/>
  <c r="AS81" i="1"/>
  <c r="AS94" i="1"/>
  <c r="AS75" i="1"/>
  <c r="AS83" i="1"/>
  <c r="AR85" i="1"/>
  <c r="AR76" i="1"/>
  <c r="AT76" i="1" s="1"/>
  <c r="AR84" i="1"/>
  <c r="AT84" i="1" s="1"/>
  <c r="AS87" i="1"/>
  <c r="AR92" i="1"/>
  <c r="AS95" i="1"/>
  <c r="AS90" i="1"/>
  <c r="AR14" i="1"/>
  <c r="AR22" i="1"/>
  <c r="AR19" i="1"/>
  <c r="AR27" i="1"/>
  <c r="AR35" i="1"/>
  <c r="AR24" i="1"/>
  <c r="AR34" i="1"/>
  <c r="AT34" i="1" s="1"/>
  <c r="AR12" i="1"/>
  <c r="AR28" i="1"/>
  <c r="AS18" i="1"/>
  <c r="AR33" i="1"/>
  <c r="AR31" i="1"/>
  <c r="AR774" i="1"/>
  <c r="AT774" i="1" s="1"/>
  <c r="AR818" i="1"/>
  <c r="AR875" i="1"/>
  <c r="AT875" i="1" s="1"/>
  <c r="AR820" i="1"/>
  <c r="C156" i="16"/>
  <c r="AQ1051" i="1"/>
  <c r="A175" i="14"/>
  <c r="A99" i="14"/>
  <c r="A104" i="17"/>
  <c r="AS695" i="1"/>
  <c r="AR708" i="1"/>
  <c r="AT708" i="1" s="1"/>
  <c r="AS697" i="1"/>
  <c r="AR691" i="1"/>
  <c r="AR693" i="1"/>
  <c r="AS701" i="1"/>
  <c r="AS815" i="1"/>
  <c r="AR698" i="1"/>
  <c r="AR706" i="1"/>
  <c r="AT706" i="1" s="1"/>
  <c r="AS816" i="1"/>
  <c r="AS618" i="1"/>
  <c r="AS623" i="1"/>
  <c r="AS687" i="1"/>
  <c r="AS612" i="1"/>
  <c r="AS660" i="1"/>
  <c r="AS633" i="1"/>
  <c r="AR670" i="1"/>
  <c r="AS638" i="1"/>
  <c r="AS683" i="1"/>
  <c r="AS608" i="1"/>
  <c r="AS645" i="1"/>
  <c r="AS648" i="1"/>
  <c r="AS810" i="1"/>
  <c r="AS637" i="1"/>
  <c r="AS653" i="1"/>
  <c r="AS685" i="1"/>
  <c r="AR658" i="1"/>
  <c r="AR607" i="1"/>
  <c r="AR588" i="1"/>
  <c r="AR604" i="1"/>
  <c r="AR585" i="1"/>
  <c r="AT585" i="1" s="1"/>
  <c r="AR601" i="1"/>
  <c r="AR582" i="1"/>
  <c r="AR563" i="1"/>
  <c r="AR571" i="1"/>
  <c r="AR579" i="1"/>
  <c r="AS568" i="1"/>
  <c r="AR573" i="1"/>
  <c r="AR864" i="1"/>
  <c r="AR586" i="1"/>
  <c r="AR567" i="1"/>
  <c r="AR580" i="1"/>
  <c r="AT580" i="1" s="1"/>
  <c r="AS588" i="1"/>
  <c r="AR593" i="1"/>
  <c r="AR590" i="1"/>
  <c r="AT590" i="1" s="1"/>
  <c r="AS574" i="1"/>
  <c r="AS801" i="1"/>
  <c r="AS571" i="1"/>
  <c r="AR576" i="1"/>
  <c r="AR600" i="1"/>
  <c r="AT600" i="1" s="1"/>
  <c r="AS603" i="1"/>
  <c r="AS560" i="1"/>
  <c r="AR863" i="1"/>
  <c r="AR605" i="1"/>
  <c r="AS861" i="1"/>
  <c r="AS804" i="1"/>
  <c r="AS507" i="1"/>
  <c r="AS488" i="1"/>
  <c r="AS496" i="1"/>
  <c r="AR517" i="1"/>
  <c r="AT517" i="1" s="1"/>
  <c r="AS543" i="1"/>
  <c r="AR519" i="1"/>
  <c r="AS540" i="1"/>
  <c r="AS482" i="1"/>
  <c r="AS514" i="1"/>
  <c r="AS530" i="1"/>
  <c r="AS550" i="1"/>
  <c r="AS795" i="1"/>
  <c r="AS525" i="1"/>
  <c r="AR498" i="1"/>
  <c r="AT498" i="1" s="1"/>
  <c r="AS552" i="1"/>
  <c r="AR522" i="1"/>
  <c r="AR529" i="1"/>
  <c r="AR797" i="1"/>
  <c r="AT797" i="1" s="1"/>
  <c r="AS858" i="1"/>
  <c r="AS857" i="1"/>
  <c r="AR403" i="1"/>
  <c r="AS411" i="1"/>
  <c r="AR416" i="1"/>
  <c r="AT416" i="1" s="1"/>
  <c r="AR432" i="1"/>
  <c r="AR448" i="1"/>
  <c r="AT448" i="1" s="1"/>
  <c r="AR413" i="1"/>
  <c r="AT413" i="1" s="1"/>
  <c r="AR429" i="1"/>
  <c r="AT429" i="1" s="1"/>
  <c r="AR437" i="1"/>
  <c r="AT437" i="1" s="1"/>
  <c r="AR407" i="1"/>
  <c r="AR396" i="1"/>
  <c r="AT396" i="1" s="1"/>
  <c r="AR390" i="1"/>
  <c r="AS393" i="1"/>
  <c r="AR382" i="1"/>
  <c r="AS789" i="1"/>
  <c r="AR441" i="1"/>
  <c r="AS454" i="1"/>
  <c r="AS849" i="1"/>
  <c r="AR787" i="1"/>
  <c r="AR334" i="1"/>
  <c r="AT334" i="1" s="1"/>
  <c r="AR328" i="1"/>
  <c r="AR349" i="1"/>
  <c r="AS333" i="1"/>
  <c r="AR348" i="1"/>
  <c r="AS355" i="1"/>
  <c r="AS363" i="1"/>
  <c r="AS339" i="1"/>
  <c r="AR343" i="1"/>
  <c r="AR354" i="1"/>
  <c r="AS376" i="1"/>
  <c r="AR327" i="1"/>
  <c r="AT327" i="1" s="1"/>
  <c r="AR370" i="1"/>
  <c r="AT370" i="1" s="1"/>
  <c r="AR378" i="1"/>
  <c r="AR359" i="1"/>
  <c r="AT359" i="1" s="1"/>
  <c r="AR372" i="1"/>
  <c r="AT372" i="1" s="1"/>
  <c r="AR318" i="1"/>
  <c r="AR269" i="1"/>
  <c r="AT269" i="1" s="1"/>
  <c r="AS280" i="1"/>
  <c r="AR293" i="1"/>
  <c r="AT293" i="1" s="1"/>
  <c r="AS296" i="1"/>
  <c r="AS301" i="1"/>
  <c r="AR314" i="1"/>
  <c r="AT314" i="1" s="1"/>
  <c r="AS271" i="1"/>
  <c r="AS316" i="1"/>
  <c r="AS308" i="1"/>
  <c r="AS274" i="1"/>
  <c r="AS284" i="1"/>
  <c r="AR779" i="1"/>
  <c r="AT779" i="1" s="1"/>
  <c r="AS841" i="1"/>
  <c r="AS225" i="1"/>
  <c r="AS259" i="1"/>
  <c r="AR261" i="1"/>
  <c r="AR234" i="1"/>
  <c r="AS237" i="1"/>
  <c r="AS245" i="1"/>
  <c r="AR228" i="1"/>
  <c r="AS239" i="1"/>
  <c r="AS255" i="1"/>
  <c r="AS242" i="1"/>
  <c r="AR249" i="1"/>
  <c r="AS220" i="1"/>
  <c r="AR840" i="1"/>
  <c r="AR150" i="1"/>
  <c r="AS153" i="1"/>
  <c r="AR158" i="1"/>
  <c r="AS161" i="1"/>
  <c r="AR174" i="1"/>
  <c r="AS177" i="1"/>
  <c r="AR163" i="1"/>
  <c r="AS166" i="1"/>
  <c r="AS168" i="1"/>
  <c r="AR146" i="1"/>
  <c r="AS178" i="1"/>
  <c r="AS154" i="1"/>
  <c r="AR829" i="1"/>
  <c r="AS832" i="1"/>
  <c r="AR110" i="1"/>
  <c r="AS113" i="1"/>
  <c r="AR99" i="1"/>
  <c r="AT99" i="1" s="1"/>
  <c r="AR104" i="1"/>
  <c r="AS115" i="1"/>
  <c r="AR125" i="1"/>
  <c r="AS128" i="1"/>
  <c r="AR133" i="1"/>
  <c r="AS108" i="1"/>
  <c r="AS140" i="1"/>
  <c r="AR129" i="1"/>
  <c r="AR827" i="1"/>
  <c r="AR143" i="1"/>
  <c r="AS825" i="1"/>
  <c r="AR43" i="1"/>
  <c r="AR51" i="1"/>
  <c r="AR53" i="1"/>
  <c r="AR58" i="1"/>
  <c r="AR60" i="1"/>
  <c r="AR57" i="1"/>
  <c r="AR47" i="1"/>
  <c r="AT47" i="1" s="1"/>
  <c r="AR872" i="1"/>
  <c r="AS14" i="1"/>
  <c r="AS38" i="1"/>
  <c r="AR40" i="1"/>
  <c r="AS16" i="1"/>
  <c r="AS13" i="1"/>
  <c r="AS21" i="1"/>
  <c r="AR20" i="1"/>
  <c r="AS31" i="1"/>
  <c r="AS36" i="1"/>
  <c r="AS12" i="1"/>
  <c r="AR819" i="1"/>
  <c r="AS818" i="1"/>
  <c r="AS820" i="1"/>
  <c r="A49" i="11"/>
  <c r="AR703" i="1"/>
  <c r="AR692" i="1"/>
  <c r="AR697" i="1"/>
  <c r="AR705" i="1"/>
  <c r="AR694" i="1"/>
  <c r="AR699" i="1"/>
  <c r="AR688" i="1"/>
  <c r="AR709" i="1"/>
  <c r="AR815" i="1"/>
  <c r="AS869" i="1"/>
  <c r="AR615" i="1"/>
  <c r="AR623" i="1"/>
  <c r="AR647" i="1"/>
  <c r="AR663" i="1"/>
  <c r="AR628" i="1"/>
  <c r="AR652" i="1"/>
  <c r="AR684" i="1"/>
  <c r="AT684" i="1" s="1"/>
  <c r="AR609" i="1"/>
  <c r="AR617" i="1"/>
  <c r="AR657" i="1"/>
  <c r="AT657" i="1" s="1"/>
  <c r="AR638" i="1"/>
  <c r="AS807" i="1"/>
  <c r="AS809" i="1"/>
  <c r="AR656" i="1"/>
  <c r="AR672" i="1"/>
  <c r="AR669" i="1"/>
  <c r="AT669" i="1" s="1"/>
  <c r="AR813" i="1"/>
  <c r="AS868" i="1"/>
  <c r="AR642" i="1"/>
  <c r="AS867" i="1"/>
  <c r="AR674" i="1"/>
  <c r="AR811" i="1"/>
  <c r="AR583" i="1"/>
  <c r="AS599" i="1"/>
  <c r="AR561" i="1"/>
  <c r="AS604" i="1"/>
  <c r="AR566" i="1"/>
  <c r="AS569" i="1"/>
  <c r="AS577" i="1"/>
  <c r="AR606" i="1"/>
  <c r="AS579" i="1"/>
  <c r="AR592" i="1"/>
  <c r="AS584" i="1"/>
  <c r="AS589" i="1"/>
  <c r="AR803" i="1"/>
  <c r="AS862" i="1"/>
  <c r="AT862" i="1" s="1"/>
  <c r="AR496" i="1"/>
  <c r="AR485" i="1"/>
  <c r="AR509" i="1"/>
  <c r="AT509" i="1" s="1"/>
  <c r="AS512" i="1"/>
  <c r="AR533" i="1"/>
  <c r="AR524" i="1"/>
  <c r="AR548" i="1"/>
  <c r="AT548" i="1" s="1"/>
  <c r="AR537" i="1"/>
  <c r="AR542" i="1"/>
  <c r="AR550" i="1"/>
  <c r="AT550" i="1" s="1"/>
  <c r="AS539" i="1"/>
  <c r="AR796" i="1"/>
  <c r="AR857" i="1"/>
  <c r="AR794" i="1"/>
  <c r="AR483" i="1"/>
  <c r="AR511" i="1"/>
  <c r="AS494" i="1"/>
  <c r="AR502" i="1"/>
  <c r="AR546" i="1"/>
  <c r="AR480" i="1"/>
  <c r="AS528" i="1"/>
  <c r="AR508" i="1"/>
  <c r="AT508" i="1" s="1"/>
  <c r="AS794" i="1"/>
  <c r="AR497" i="1"/>
  <c r="AR526" i="1"/>
  <c r="AR540" i="1"/>
  <c r="AS551" i="1"/>
  <c r="AR503" i="1"/>
  <c r="AT503" i="1" s="1"/>
  <c r="AS505" i="1"/>
  <c r="AR539" i="1"/>
  <c r="AR555" i="1"/>
  <c r="AS492" i="1"/>
  <c r="AR494" i="1"/>
  <c r="AT494" i="1" s="1"/>
  <c r="AR518" i="1"/>
  <c r="AR534" i="1"/>
  <c r="AT534" i="1" s="1"/>
  <c r="AS798" i="1"/>
  <c r="AR541" i="1"/>
  <c r="AR456" i="1"/>
  <c r="AS475" i="1"/>
  <c r="AS464" i="1"/>
  <c r="AS472" i="1"/>
  <c r="AR458" i="1"/>
  <c r="AR460" i="1"/>
  <c r="AT460" i="1" s="1"/>
  <c r="AS476" i="1"/>
  <c r="AR478" i="1"/>
  <c r="AR467" i="1"/>
  <c r="AS469" i="1"/>
  <c r="AR470" i="1"/>
  <c r="AS462" i="1"/>
  <c r="AS345" i="1"/>
  <c r="AS331" i="1"/>
  <c r="AS328" i="1"/>
  <c r="AS352" i="1"/>
  <c r="AS366" i="1"/>
  <c r="AR335" i="1"/>
  <c r="AR360" i="1"/>
  <c r="AR373" i="1"/>
  <c r="AS343" i="1"/>
  <c r="AS354" i="1"/>
  <c r="AS365" i="1"/>
  <c r="AS347" i="1"/>
  <c r="AS378" i="1"/>
  <c r="AS367" i="1"/>
  <c r="AS330" i="1"/>
  <c r="AS380" i="1"/>
  <c r="AR845" i="1"/>
  <c r="AT845" i="1" s="1"/>
  <c r="AR846" i="1"/>
  <c r="AT846" i="1" s="1"/>
  <c r="AR848" i="1"/>
  <c r="AS281" i="1"/>
  <c r="AR286" i="1"/>
  <c r="AT286" i="1" s="1"/>
  <c r="AS297" i="1"/>
  <c r="AS270" i="1"/>
  <c r="AS315" i="1"/>
  <c r="AR301" i="1"/>
  <c r="AR309" i="1"/>
  <c r="AR322" i="1"/>
  <c r="AR273" i="1"/>
  <c r="AS279" i="1"/>
  <c r="AR292" i="1"/>
  <c r="AS784" i="1"/>
  <c r="AR311" i="1"/>
  <c r="AS783" i="1"/>
  <c r="AS781" i="1"/>
  <c r="AS273" i="1"/>
  <c r="AS313" i="1"/>
  <c r="AS302" i="1"/>
  <c r="AR288" i="1"/>
  <c r="AT288" i="1" s="1"/>
  <c r="AS307" i="1"/>
  <c r="AR271" i="1"/>
  <c r="AR324" i="1"/>
  <c r="AS322" i="1"/>
  <c r="AR265" i="1"/>
  <c r="AT265" i="1" s="1"/>
  <c r="AS282" i="1"/>
  <c r="AS290" i="1"/>
  <c r="AR295" i="1"/>
  <c r="AS217" i="1"/>
  <c r="AS249" i="1"/>
  <c r="AS251" i="1"/>
  <c r="AS256" i="1"/>
  <c r="AS229" i="1"/>
  <c r="AS253" i="1"/>
  <c r="AS223" i="1"/>
  <c r="AS231" i="1"/>
  <c r="AS244" i="1"/>
  <c r="AS226" i="1"/>
  <c r="AS258" i="1"/>
  <c r="AS236" i="1"/>
  <c r="AR198" i="1"/>
  <c r="AR214" i="1"/>
  <c r="AS182" i="1"/>
  <c r="AS203" i="1"/>
  <c r="AS208" i="1"/>
  <c r="AS189" i="1"/>
  <c r="AS197" i="1"/>
  <c r="AR210" i="1"/>
  <c r="AR196" i="1"/>
  <c r="AT196" i="1" s="1"/>
  <c r="AS199" i="1"/>
  <c r="AR185" i="1"/>
  <c r="AT185" i="1" s="1"/>
  <c r="AR201" i="1"/>
  <c r="AR836" i="1"/>
  <c r="AS833" i="1"/>
  <c r="AS834" i="1"/>
  <c r="AR118" i="1"/>
  <c r="AT118" i="1" s="1"/>
  <c r="AR142" i="1"/>
  <c r="AR115" i="1"/>
  <c r="AR139" i="1"/>
  <c r="AT139" i="1" s="1"/>
  <c r="AR128" i="1"/>
  <c r="AR109" i="1"/>
  <c r="AR122" i="1"/>
  <c r="AR130" i="1"/>
  <c r="AT130" i="1" s="1"/>
  <c r="AR100" i="1"/>
  <c r="AR108" i="1"/>
  <c r="AT108" i="1" s="1"/>
  <c r="AR140" i="1"/>
  <c r="AR97" i="1"/>
  <c r="AS89" i="1"/>
  <c r="AR94" i="1"/>
  <c r="AS78" i="1"/>
  <c r="AR83" i="1"/>
  <c r="AR88" i="1"/>
  <c r="AR96" i="1"/>
  <c r="AR74" i="1"/>
  <c r="AR82" i="1"/>
  <c r="AT82" i="1" s="1"/>
  <c r="AS93" i="1"/>
  <c r="AS79" i="1"/>
  <c r="AR73" i="1"/>
  <c r="AR87" i="1"/>
  <c r="AT87" i="1" s="1"/>
  <c r="AR62" i="1"/>
  <c r="AT62" i="1" s="1"/>
  <c r="AR64" i="1"/>
  <c r="AR61" i="1"/>
  <c r="AR777" i="1"/>
  <c r="AT777" i="1" s="1"/>
  <c r="AS872" i="1"/>
  <c r="AS823" i="1"/>
  <c r="AS30" i="1"/>
  <c r="AS19" i="1"/>
  <c r="AR21" i="1"/>
  <c r="AS23" i="1"/>
  <c r="AR36" i="1"/>
  <c r="AT36" i="1" s="1"/>
  <c r="AS39" i="1"/>
  <c r="AR25" i="1"/>
  <c r="AR41" i="1"/>
  <c r="AS28" i="1"/>
  <c r="AS26" i="1"/>
  <c r="AR17" i="1"/>
  <c r="AS819" i="1"/>
  <c r="A56" i="16"/>
  <c r="AR230" i="1"/>
  <c r="AR227" i="1"/>
  <c r="AR229" i="1"/>
  <c r="AR218" i="1"/>
  <c r="AR250" i="1"/>
  <c r="AR258" i="1"/>
  <c r="AR252" i="1"/>
  <c r="AR217" i="1"/>
  <c r="AR233" i="1"/>
  <c r="AR247" i="1"/>
  <c r="AR263" i="1"/>
  <c r="AR257" i="1"/>
  <c r="AR837" i="1"/>
  <c r="AR839" i="1"/>
  <c r="AS840" i="1"/>
  <c r="AS838" i="1"/>
  <c r="AS169" i="1"/>
  <c r="AS158" i="1"/>
  <c r="AS163" i="1"/>
  <c r="AS179" i="1"/>
  <c r="AS160" i="1"/>
  <c r="AS176" i="1"/>
  <c r="AS151" i="1"/>
  <c r="AS148" i="1"/>
  <c r="AS164" i="1"/>
  <c r="AS146" i="1"/>
  <c r="AS162" i="1"/>
  <c r="AS172" i="1"/>
  <c r="AS830" i="1"/>
  <c r="AS829" i="1"/>
  <c r="BC1050" i="1"/>
  <c r="AS626" i="1"/>
  <c r="AS650" i="1"/>
  <c r="AS674" i="1"/>
  <c r="AS676" i="1"/>
  <c r="AS622" i="1"/>
  <c r="AS630" i="1"/>
  <c r="AS662" i="1"/>
  <c r="AS678" i="1"/>
  <c r="AS611" i="1"/>
  <c r="AS619" i="1"/>
  <c r="AR648" i="1"/>
  <c r="AS667" i="1"/>
  <c r="AR680" i="1"/>
  <c r="AS640" i="1"/>
  <c r="AR645" i="1"/>
  <c r="AR634" i="1"/>
  <c r="AR564" i="1"/>
  <c r="AR572" i="1"/>
  <c r="AR596" i="1"/>
  <c r="AT596" i="1" s="1"/>
  <c r="AR574" i="1"/>
  <c r="AR598" i="1"/>
  <c r="AR587" i="1"/>
  <c r="AR603" i="1"/>
  <c r="AR560" i="1"/>
  <c r="AR568" i="1"/>
  <c r="AR581" i="1"/>
  <c r="AT581" i="1" s="1"/>
  <c r="AR589" i="1"/>
  <c r="AR594" i="1"/>
  <c r="AT594" i="1" s="1"/>
  <c r="AS487" i="1"/>
  <c r="AS495" i="1"/>
  <c r="AS502" i="1"/>
  <c r="AS554" i="1"/>
  <c r="AR491" i="1"/>
  <c r="AS524" i="1"/>
  <c r="AR545" i="1"/>
  <c r="AR514" i="1"/>
  <c r="AT514" i="1" s="1"/>
  <c r="AS535" i="1"/>
  <c r="AS518" i="1"/>
  <c r="AS544" i="1"/>
  <c r="AS485" i="1"/>
  <c r="AS500" i="1"/>
  <c r="AR557" i="1"/>
  <c r="AS527" i="1"/>
  <c r="AR860" i="1"/>
  <c r="AT860" i="1" s="1"/>
  <c r="AR538" i="1"/>
  <c r="AT538" i="1" s="1"/>
  <c r="AS384" i="1"/>
  <c r="AR405" i="1"/>
  <c r="AR394" i="1"/>
  <c r="AR450" i="1"/>
  <c r="AR415" i="1"/>
  <c r="AT415" i="1" s="1"/>
  <c r="AR423" i="1"/>
  <c r="AR388" i="1"/>
  <c r="AT388" i="1" s="1"/>
  <c r="AS399" i="1"/>
  <c r="AR420" i="1"/>
  <c r="AS447" i="1"/>
  <c r="AR451" i="1"/>
  <c r="AT451" i="1" s="1"/>
  <c r="AS428" i="1"/>
  <c r="AR435" i="1"/>
  <c r="AR433" i="1"/>
  <c r="AT433" i="1" s="1"/>
  <c r="AS401" i="1"/>
  <c r="AR350" i="1"/>
  <c r="AS326" i="1"/>
  <c r="AR341" i="1"/>
  <c r="AT341" i="1" s="1"/>
  <c r="AS358" i="1"/>
  <c r="AR363" i="1"/>
  <c r="AR337" i="1"/>
  <c r="AR368" i="1"/>
  <c r="AS371" i="1"/>
  <c r="AR376" i="1"/>
  <c r="AR357" i="1"/>
  <c r="AR347" i="1"/>
  <c r="AS338" i="1"/>
  <c r="AR364" i="1"/>
  <c r="AS375" i="1"/>
  <c r="AR332" i="1"/>
  <c r="AS342" i="1"/>
  <c r="AS848" i="1"/>
  <c r="AR222" i="1"/>
  <c r="AT222" i="1" s="1"/>
  <c r="AR254" i="1"/>
  <c r="AR235" i="1"/>
  <c r="AR251" i="1"/>
  <c r="AR224" i="1"/>
  <c r="AR240" i="1"/>
  <c r="AR248" i="1"/>
  <c r="AR245" i="1"/>
  <c r="AT245" i="1" s="1"/>
  <c r="AR220" i="1"/>
  <c r="AT220" i="1" s="1"/>
  <c r="AR260" i="1"/>
  <c r="AR239" i="1"/>
  <c r="AR255" i="1"/>
  <c r="AS837" i="1"/>
  <c r="AS839" i="1"/>
  <c r="AR78" i="1"/>
  <c r="AR86" i="1"/>
  <c r="AT86" i="1" s="1"/>
  <c r="AR75" i="1"/>
  <c r="AT75" i="1" s="1"/>
  <c r="AR91" i="1"/>
  <c r="AT91" i="1" s="1"/>
  <c r="AR80" i="1"/>
  <c r="AT80" i="1" s="1"/>
  <c r="AR77" i="1"/>
  <c r="AR93" i="1"/>
  <c r="AT93" i="1" s="1"/>
  <c r="AR90" i="1"/>
  <c r="AR89" i="1"/>
  <c r="AT89" i="1" s="1"/>
  <c r="AR81" i="1"/>
  <c r="AR79" i="1"/>
  <c r="AR95" i="1"/>
  <c r="AS610" i="1"/>
  <c r="AS642" i="1"/>
  <c r="AS644" i="1"/>
  <c r="AS668" i="1"/>
  <c r="AS609" i="1"/>
  <c r="AR622" i="1"/>
  <c r="AT622" i="1" s="1"/>
  <c r="AS641" i="1"/>
  <c r="AR654" i="1"/>
  <c r="AS673" i="1"/>
  <c r="AS646" i="1"/>
  <c r="AR683" i="1"/>
  <c r="AT683" i="1" s="1"/>
  <c r="AS627" i="1"/>
  <c r="AS651" i="1"/>
  <c r="AS656" i="1"/>
  <c r="AR809" i="1"/>
  <c r="AR807" i="1"/>
  <c r="AS661" i="1"/>
  <c r="AS677" i="1"/>
  <c r="AR812" i="1"/>
  <c r="AR868" i="1"/>
  <c r="AS865" i="1"/>
  <c r="AS866" i="1"/>
  <c r="AS578" i="1"/>
  <c r="AS586" i="1"/>
  <c r="AS607" i="1"/>
  <c r="AS572" i="1"/>
  <c r="AS561" i="1"/>
  <c r="AS593" i="1"/>
  <c r="AS606" i="1"/>
  <c r="AS803" i="1"/>
  <c r="AS595" i="1"/>
  <c r="AS576" i="1"/>
  <c r="AS565" i="1"/>
  <c r="AS597" i="1"/>
  <c r="AR570" i="1"/>
  <c r="AS456" i="1"/>
  <c r="AR469" i="1"/>
  <c r="AT469" i="1" s="1"/>
  <c r="AS461" i="1"/>
  <c r="AS474" i="1"/>
  <c r="AS478" i="1"/>
  <c r="AR459" i="1"/>
  <c r="AT459" i="1" s="1"/>
  <c r="AS465" i="1"/>
  <c r="AR473" i="1"/>
  <c r="AT473" i="1" s="1"/>
  <c r="AR471" i="1"/>
  <c r="AR462" i="1"/>
  <c r="AR479" i="1"/>
  <c r="AS466" i="1"/>
  <c r="AS97" i="1"/>
  <c r="AS137" i="1"/>
  <c r="AS126" i="1"/>
  <c r="AS104" i="1"/>
  <c r="AS112" i="1"/>
  <c r="AS136" i="1"/>
  <c r="AS141" i="1"/>
  <c r="AS111" i="1"/>
  <c r="AS132" i="1"/>
  <c r="AR119" i="1"/>
  <c r="AS124" i="1"/>
  <c r="AS106" i="1"/>
  <c r="AS827" i="1"/>
  <c r="AS257" i="1"/>
  <c r="AS227" i="1"/>
  <c r="AR232" i="1"/>
  <c r="AR264" i="1"/>
  <c r="AT264" i="1" s="1"/>
  <c r="AR221" i="1"/>
  <c r="AR237" i="1"/>
  <c r="AS240" i="1"/>
  <c r="AS248" i="1"/>
  <c r="AR253" i="1"/>
  <c r="AR226" i="1"/>
  <c r="AT226" i="1" s="1"/>
  <c r="AR242" i="1"/>
  <c r="AR244" i="1"/>
  <c r="AR838" i="1"/>
  <c r="BB1050" i="1"/>
  <c r="AR11" i="1"/>
  <c r="AT11" i="1" s="1"/>
  <c r="AU11" i="1" s="1"/>
  <c r="AS698" i="1"/>
  <c r="AR704" i="1"/>
  <c r="AS707" i="1"/>
  <c r="AS709" i="1"/>
  <c r="AS634" i="1"/>
  <c r="AS658" i="1"/>
  <c r="AS682" i="1"/>
  <c r="AS647" i="1"/>
  <c r="AS671" i="1"/>
  <c r="AS652" i="1"/>
  <c r="AS617" i="1"/>
  <c r="AS665" i="1"/>
  <c r="AS614" i="1"/>
  <c r="AS654" i="1"/>
  <c r="AS670" i="1"/>
  <c r="AS643" i="1"/>
  <c r="AS624" i="1"/>
  <c r="AS632" i="1"/>
  <c r="AS680" i="1"/>
  <c r="AS621" i="1"/>
  <c r="AS813" i="1"/>
  <c r="AS562" i="1"/>
  <c r="AS570" i="1"/>
  <c r="AS602" i="1"/>
  <c r="AS575" i="1"/>
  <c r="AS583" i="1"/>
  <c r="AS591" i="1"/>
  <c r="AS566" i="1"/>
  <c r="AS598" i="1"/>
  <c r="AS587" i="1"/>
  <c r="AS592" i="1"/>
  <c r="AR805" i="1"/>
  <c r="AR801" i="1"/>
  <c r="AS573" i="1"/>
  <c r="AS605" i="1"/>
  <c r="AS863" i="1"/>
  <c r="AS491" i="1"/>
  <c r="AS531" i="1"/>
  <c r="AS504" i="1"/>
  <c r="AS489" i="1"/>
  <c r="AS559" i="1"/>
  <c r="AS519" i="1"/>
  <c r="AS521" i="1"/>
  <c r="AS486" i="1"/>
  <c r="AS542" i="1"/>
  <c r="AR547" i="1"/>
  <c r="AT547" i="1" s="1"/>
  <c r="AS516" i="1"/>
  <c r="AS532" i="1"/>
  <c r="AS511" i="1"/>
  <c r="AS481" i="1"/>
  <c r="AR799" i="1"/>
  <c r="AT799" i="1" s="1"/>
  <c r="AS529" i="1"/>
  <c r="AS557" i="1"/>
  <c r="AR795" i="1"/>
  <c r="AR464" i="1"/>
  <c r="AR472" i="1"/>
  <c r="AR461" i="1"/>
  <c r="AR466" i="1"/>
  <c r="AS471" i="1"/>
  <c r="AS479" i="1"/>
  <c r="AS457" i="1"/>
  <c r="AR463" i="1"/>
  <c r="AT463" i="1" s="1"/>
  <c r="AR475" i="1"/>
  <c r="AS477" i="1"/>
  <c r="AS468" i="1"/>
  <c r="AR853" i="1"/>
  <c r="AT853" i="1" s="1"/>
  <c r="AR854" i="1"/>
  <c r="AT854" i="1" s="1"/>
  <c r="AS458" i="1"/>
  <c r="AS775" i="1"/>
  <c r="AS395" i="1"/>
  <c r="AS419" i="1"/>
  <c r="AS435" i="1"/>
  <c r="AS389" i="1"/>
  <c r="AS397" i="1"/>
  <c r="AS394" i="1"/>
  <c r="AS418" i="1"/>
  <c r="AS442" i="1"/>
  <c r="AS407" i="1"/>
  <c r="AS423" i="1"/>
  <c r="AS431" i="1"/>
  <c r="AS455" i="1"/>
  <c r="AS786" i="1"/>
  <c r="AS788" i="1"/>
  <c r="AS404" i="1"/>
  <c r="AS436" i="1"/>
  <c r="AS441" i="1"/>
  <c r="AR793" i="1"/>
  <c r="AR842" i="1"/>
  <c r="AS852" i="1"/>
  <c r="AR387" i="1"/>
  <c r="AR384" i="1"/>
  <c r="AS403" i="1"/>
  <c r="AR421" i="1"/>
  <c r="AR402" i="1"/>
  <c r="AR410" i="1"/>
  <c r="AR442" i="1"/>
  <c r="AR391" i="1"/>
  <c r="AS426" i="1"/>
  <c r="AR439" i="1"/>
  <c r="AR444" i="1"/>
  <c r="AT444" i="1" s="1"/>
  <c r="AR422" i="1"/>
  <c r="AT422" i="1" s="1"/>
  <c r="AR425" i="1"/>
  <c r="AR449" i="1"/>
  <c r="AT449" i="1" s="1"/>
  <c r="AR430" i="1"/>
  <c r="AT430" i="1" s="1"/>
  <c r="AR849" i="1"/>
  <c r="AR786" i="1"/>
  <c r="AT786" i="1" s="1"/>
  <c r="AR789" i="1"/>
  <c r="AT789" i="1" s="1"/>
  <c r="AS842" i="1"/>
  <c r="AS406" i="1"/>
  <c r="AS392" i="1"/>
  <c r="AR397" i="1"/>
  <c r="AS400" i="1"/>
  <c r="AS432" i="1"/>
  <c r="AS440" i="1"/>
  <c r="AS381" i="1"/>
  <c r="AS421" i="1"/>
  <c r="AS445" i="1"/>
  <c r="AS453" i="1"/>
  <c r="AS386" i="1"/>
  <c r="AS439" i="1"/>
  <c r="AS446" i="1"/>
  <c r="AS412" i="1"/>
  <c r="AS417" i="1"/>
  <c r="AR326" i="1"/>
  <c r="AT326" i="1" s="1"/>
  <c r="AR336" i="1"/>
  <c r="AR330" i="1"/>
  <c r="AT330" i="1" s="1"/>
  <c r="AR346" i="1"/>
  <c r="AT346" i="1" s="1"/>
  <c r="AR339" i="1"/>
  <c r="AR352" i="1"/>
  <c r="AR365" i="1"/>
  <c r="AR329" i="1"/>
  <c r="AT329" i="1" s="1"/>
  <c r="AS362" i="1"/>
  <c r="AR375" i="1"/>
  <c r="AR356" i="1"/>
  <c r="AT356" i="1" s="1"/>
  <c r="AR380" i="1"/>
  <c r="AR361" i="1"/>
  <c r="AR377" i="1"/>
  <c r="AS340" i="1"/>
  <c r="AS369" i="1"/>
  <c r="AR312" i="1"/>
  <c r="AT312" i="1" s="1"/>
  <c r="AS272" i="1"/>
  <c r="AR274" i="1"/>
  <c r="AT274" i="1" s="1"/>
  <c r="AR282" i="1"/>
  <c r="AT282" i="1" s="1"/>
  <c r="AS309" i="1"/>
  <c r="AR287" i="1"/>
  <c r="AR300" i="1"/>
  <c r="AS306" i="1"/>
  <c r="AR268" i="1"/>
  <c r="AS292" i="1"/>
  <c r="AS319" i="1"/>
  <c r="AS311" i="1"/>
  <c r="AS246" i="1"/>
  <c r="AS254" i="1"/>
  <c r="AS262" i="1"/>
  <c r="AS219" i="1"/>
  <c r="AS235" i="1"/>
  <c r="AS243" i="1"/>
  <c r="AS224" i="1"/>
  <c r="AS232" i="1"/>
  <c r="AS261" i="1"/>
  <c r="AS247" i="1"/>
  <c r="AS228" i="1"/>
  <c r="AS234" i="1"/>
  <c r="AR211" i="1"/>
  <c r="AT211" i="1" s="1"/>
  <c r="AR184" i="1"/>
  <c r="AR192" i="1"/>
  <c r="AR208" i="1"/>
  <c r="AR181" i="1"/>
  <c r="AT181" i="1" s="1"/>
  <c r="AR189" i="1"/>
  <c r="AR197" i="1"/>
  <c r="AR194" i="1"/>
  <c r="AR202" i="1"/>
  <c r="AR204" i="1"/>
  <c r="AR199" i="1"/>
  <c r="AR215" i="1"/>
  <c r="AT215" i="1" s="1"/>
  <c r="AS835" i="1"/>
  <c r="AS150" i="1"/>
  <c r="AS174" i="1"/>
  <c r="AS155" i="1"/>
  <c r="AR160" i="1"/>
  <c r="AT160" i="1" s="1"/>
  <c r="AS152" i="1"/>
  <c r="AS149" i="1"/>
  <c r="AS165" i="1"/>
  <c r="AS167" i="1"/>
  <c r="AS175" i="1"/>
  <c r="AS180" i="1"/>
  <c r="AS156" i="1"/>
  <c r="AS170" i="1"/>
  <c r="AS145" i="1"/>
  <c r="AS147" i="1"/>
  <c r="AR168" i="1"/>
  <c r="AS171" i="1"/>
  <c r="AS157" i="1"/>
  <c r="AR162" i="1"/>
  <c r="AT162" i="1" s="1"/>
  <c r="AR170" i="1"/>
  <c r="AS173" i="1"/>
  <c r="AR178" i="1"/>
  <c r="AT178" i="1" s="1"/>
  <c r="AR148" i="1"/>
  <c r="AS159" i="1"/>
  <c r="AR172" i="1"/>
  <c r="AR832" i="1"/>
  <c r="AR102" i="1"/>
  <c r="AS105" i="1"/>
  <c r="AS121" i="1"/>
  <c r="AR134" i="1"/>
  <c r="AT134" i="1" s="1"/>
  <c r="AR107" i="1"/>
  <c r="AT107" i="1" s="1"/>
  <c r="AR131" i="1"/>
  <c r="AR112" i="1"/>
  <c r="AT112" i="1" s="1"/>
  <c r="AR120" i="1"/>
  <c r="AR117" i="1"/>
  <c r="AR124" i="1"/>
  <c r="AS135" i="1"/>
  <c r="AR137" i="1"/>
  <c r="AR826" i="1"/>
  <c r="AT826" i="1" s="1"/>
  <c r="AS102" i="1"/>
  <c r="AS142" i="1"/>
  <c r="AS144" i="1"/>
  <c r="AS101" i="1"/>
  <c r="AS117" i="1"/>
  <c r="AS125" i="1"/>
  <c r="AS133" i="1"/>
  <c r="AS119" i="1"/>
  <c r="AS127" i="1"/>
  <c r="AS116" i="1"/>
  <c r="AS98" i="1"/>
  <c r="AS122" i="1"/>
  <c r="AS828" i="1"/>
  <c r="AR54" i="1"/>
  <c r="AT54" i="1" s="1"/>
  <c r="AS57" i="1"/>
  <c r="AS46" i="1"/>
  <c r="AS64" i="1"/>
  <c r="AR66" i="1"/>
  <c r="AT66" i="1" s="1"/>
  <c r="AS69" i="1"/>
  <c r="AR52" i="1"/>
  <c r="AS63" i="1"/>
  <c r="AR68" i="1"/>
  <c r="AT68" i="1" s="1"/>
  <c r="AR55" i="1"/>
  <c r="AR49" i="1"/>
  <c r="AS42" i="1"/>
  <c r="AR776" i="1"/>
  <c r="AT776" i="1" s="1"/>
  <c r="AR821" i="1"/>
  <c r="AR823" i="1"/>
  <c r="AT823" i="1" s="1"/>
  <c r="AS874" i="1"/>
  <c r="AR824" i="1"/>
  <c r="AS871" i="1"/>
  <c r="AS17" i="1"/>
  <c r="AS25" i="1"/>
  <c r="AS33" i="1"/>
  <c r="AS41" i="1"/>
  <c r="AS22" i="1"/>
  <c r="AS27" i="1"/>
  <c r="AS40" i="1"/>
  <c r="AS29" i="1"/>
  <c r="AS37" i="1"/>
  <c r="AS15" i="1"/>
  <c r="AS20" i="1"/>
  <c r="BQ1049" i="1"/>
  <c r="BQ686" i="1"/>
  <c r="BQ624" i="1"/>
  <c r="BQ623" i="1"/>
  <c r="BQ622" i="1"/>
  <c r="BQ594" i="1"/>
  <c r="BQ558" i="1"/>
  <c r="BQ537" i="1"/>
  <c r="BQ496" i="1"/>
  <c r="BQ470" i="1"/>
  <c r="BQ469" i="1"/>
  <c r="BQ465" i="1"/>
  <c r="BQ425" i="1"/>
  <c r="BQ392" i="1"/>
  <c r="BQ376" i="1"/>
  <c r="BQ369" i="1"/>
  <c r="BQ338" i="1"/>
  <c r="BQ315" i="1"/>
  <c r="BQ236" i="1"/>
  <c r="BQ235" i="1"/>
  <c r="BQ269" i="1"/>
  <c r="BQ665" i="1"/>
  <c r="BQ647" i="1"/>
  <c r="BQ583" i="1"/>
  <c r="BQ559" i="1"/>
  <c r="BQ539" i="1"/>
  <c r="BQ536" i="1"/>
  <c r="BQ519" i="1"/>
  <c r="BQ473" i="1"/>
  <c r="BQ472" i="1"/>
  <c r="BQ471" i="1"/>
  <c r="BQ466" i="1"/>
  <c r="BQ463" i="1"/>
  <c r="BQ462" i="1"/>
  <c r="BQ451" i="1"/>
  <c r="BQ440" i="1"/>
  <c r="BQ423" i="1"/>
  <c r="BQ422" i="1"/>
  <c r="BQ379" i="1"/>
  <c r="BQ378" i="1"/>
  <c r="BQ366" i="1"/>
  <c r="BQ365" i="1"/>
  <c r="BQ364" i="1"/>
  <c r="BQ336" i="1"/>
  <c r="BQ328" i="1"/>
  <c r="BQ326" i="1"/>
  <c r="BQ319" i="1"/>
  <c r="BQ310" i="1"/>
  <c r="BQ292" i="1"/>
  <c r="BQ309" i="1"/>
  <c r="BQ287" i="1"/>
  <c r="BQ256" i="1"/>
  <c r="BQ277" i="1"/>
  <c r="BQ295" i="1"/>
  <c r="BQ268" i="1"/>
  <c r="BQ266" i="1"/>
  <c r="BQ219" i="1"/>
  <c r="BQ255" i="1"/>
  <c r="BQ321" i="1"/>
  <c r="BQ300" i="1"/>
  <c r="BQ299" i="1"/>
  <c r="BQ284" i="1"/>
  <c r="BQ280" i="1"/>
  <c r="BQ265" i="1"/>
  <c r="BQ218" i="1"/>
  <c r="BQ216" i="1"/>
  <c r="BQ215" i="1"/>
  <c r="BQ185" i="1"/>
  <c r="BQ178" i="1"/>
  <c r="BQ168" i="1"/>
  <c r="BQ167" i="1"/>
  <c r="BQ159" i="1"/>
  <c r="BQ143" i="1"/>
  <c r="BQ120" i="1"/>
  <c r="BQ119" i="1"/>
  <c r="BQ118" i="1"/>
  <c r="BQ96" i="1"/>
  <c r="BQ83" i="1"/>
  <c r="BQ77" i="1"/>
  <c r="BQ76" i="1"/>
  <c r="BQ71" i="1"/>
  <c r="BQ70" i="1"/>
  <c r="BQ51" i="1"/>
  <c r="BQ40" i="1"/>
  <c r="BQ23" i="1"/>
  <c r="BQ22" i="1"/>
  <c r="BQ324" i="1"/>
  <c r="BQ189" i="1"/>
  <c r="BQ170" i="1"/>
  <c r="BQ162" i="1"/>
  <c r="BQ161" i="1"/>
  <c r="BQ153" i="1"/>
  <c r="BQ132" i="1"/>
  <c r="BQ131" i="1"/>
  <c r="BQ130" i="1"/>
  <c r="BQ129" i="1"/>
  <c r="BQ128" i="1"/>
  <c r="BQ103" i="1"/>
  <c r="BQ102" i="1"/>
  <c r="BQ90" i="1"/>
  <c r="BQ82" i="1"/>
  <c r="BQ64" i="1"/>
  <c r="BQ63" i="1"/>
  <c r="BQ53" i="1"/>
  <c r="BQ39" i="1"/>
  <c r="BQ29" i="1"/>
  <c r="BQ304" i="1"/>
  <c r="BQ291" i="1"/>
  <c r="BQ259" i="1"/>
  <c r="BQ224" i="1"/>
  <c r="BQ222" i="1"/>
  <c r="BQ313" i="1"/>
  <c r="BQ234" i="1"/>
  <c r="BQ298" i="1"/>
  <c r="BQ281" i="1"/>
  <c r="BQ243" i="1"/>
  <c r="BQ237" i="1"/>
  <c r="BQ107" i="1"/>
  <c r="BQ106" i="1"/>
  <c r="BQ274" i="1"/>
  <c r="BQ320" i="1"/>
  <c r="BQ314" i="1"/>
  <c r="BQ312" i="1"/>
  <c r="BQ297" i="1"/>
  <c r="BQ285" i="1"/>
  <c r="BQ264" i="1"/>
  <c r="BQ258" i="1"/>
  <c r="BQ248" i="1"/>
  <c r="BQ233" i="1"/>
  <c r="BQ232" i="1"/>
  <c r="BQ231" i="1"/>
  <c r="BQ318" i="1"/>
  <c r="BQ302" i="1"/>
  <c r="BQ301" i="1"/>
  <c r="BQ288" i="1"/>
  <c r="BQ286" i="1"/>
  <c r="BQ273" i="1"/>
  <c r="BQ254" i="1"/>
  <c r="BQ247" i="1"/>
  <c r="BQ246" i="1"/>
  <c r="BQ230" i="1"/>
  <c r="BQ272" i="1"/>
  <c r="BQ271" i="1"/>
  <c r="BQ245" i="1"/>
  <c r="BQ327" i="1"/>
  <c r="BQ317" i="1"/>
  <c r="BQ311" i="1"/>
  <c r="BQ303" i="1"/>
  <c r="BQ296" i="1"/>
  <c r="BQ290" i="1"/>
  <c r="BQ267" i="1"/>
  <c r="BQ257" i="1"/>
  <c r="BQ244" i="1"/>
  <c r="BQ221" i="1"/>
  <c r="BQ325" i="1"/>
  <c r="BQ323" i="1"/>
  <c r="BQ316" i="1"/>
  <c r="BQ307" i="1"/>
  <c r="BQ293" i="1"/>
  <c r="BQ289" i="1"/>
  <c r="BQ283" i="1"/>
  <c r="BQ279" i="1"/>
  <c r="BQ276" i="1"/>
  <c r="BQ262" i="1"/>
  <c r="BQ253" i="1"/>
  <c r="BQ252" i="1"/>
  <c r="BQ242" i="1"/>
  <c r="BQ241" i="1"/>
  <c r="BQ229" i="1"/>
  <c r="BQ228" i="1"/>
  <c r="BQ220" i="1"/>
  <c r="BQ329" i="1"/>
  <c r="BQ282" i="1"/>
  <c r="BQ260" i="1"/>
  <c r="BQ251" i="1"/>
  <c r="BQ240" i="1"/>
  <c r="BQ239" i="1"/>
  <c r="BQ227" i="1"/>
  <c r="BQ13" i="1"/>
  <c r="BQ709" i="1"/>
  <c r="BQ708" i="1"/>
  <c r="BQ697" i="1"/>
  <c r="BQ696" i="1"/>
  <c r="BQ687" i="1"/>
  <c r="BQ667" i="1"/>
  <c r="BQ646" i="1"/>
  <c r="BQ625" i="1"/>
  <c r="BQ595" i="1"/>
  <c r="BQ592" i="1"/>
  <c r="BQ582" i="1"/>
  <c r="BQ571" i="1"/>
  <c r="BQ538" i="1"/>
  <c r="BQ518" i="1"/>
  <c r="BQ498" i="1"/>
  <c r="BQ497" i="1"/>
  <c r="BQ395" i="1"/>
  <c r="BQ394" i="1"/>
  <c r="BQ393" i="1"/>
  <c r="BQ377" i="1"/>
  <c r="BQ374" i="1"/>
  <c r="BQ335" i="1"/>
  <c r="BQ334" i="1"/>
  <c r="BQ333" i="1"/>
  <c r="BQ308" i="1"/>
  <c r="BQ294" i="1"/>
  <c r="BQ263" i="1"/>
  <c r="BQ223" i="1"/>
  <c r="BQ214" i="1"/>
  <c r="BQ198" i="1"/>
  <c r="BQ197" i="1"/>
  <c r="BQ177" i="1"/>
  <c r="BQ171" i="1"/>
  <c r="BQ142" i="1"/>
  <c r="BQ141" i="1"/>
  <c r="BQ117" i="1"/>
  <c r="BQ116" i="1"/>
  <c r="BQ105" i="1"/>
  <c r="BQ104" i="1"/>
  <c r="BQ95" i="1"/>
  <c r="BQ88" i="1"/>
  <c r="BQ75" i="1"/>
  <c r="BQ57" i="1"/>
  <c r="BQ21" i="1"/>
  <c r="BQ17" i="1"/>
  <c r="BQ685" i="1"/>
  <c r="BQ684" i="1"/>
  <c r="BQ666" i="1"/>
  <c r="BQ627" i="1"/>
  <c r="BQ626" i="1"/>
  <c r="BQ593" i="1"/>
  <c r="BQ581" i="1"/>
  <c r="BQ557" i="1"/>
  <c r="BQ499" i="1"/>
  <c r="BQ468" i="1"/>
  <c r="BQ467" i="1"/>
  <c r="BQ464" i="1"/>
  <c r="BQ455" i="1"/>
  <c r="BQ454" i="1"/>
  <c r="BQ453" i="1"/>
  <c r="BQ452" i="1"/>
  <c r="BQ424" i="1"/>
  <c r="BQ410" i="1"/>
  <c r="BQ391" i="1"/>
  <c r="BQ380" i="1"/>
  <c r="BQ375" i="1"/>
  <c r="BQ337" i="1"/>
  <c r="BQ322" i="1"/>
  <c r="BQ306" i="1"/>
  <c r="BQ305" i="1"/>
  <c r="BQ278" i="1"/>
  <c r="BQ275" i="1"/>
  <c r="BQ261" i="1"/>
  <c r="BQ250" i="1"/>
  <c r="BQ249" i="1"/>
  <c r="BQ238" i="1"/>
  <c r="BQ226" i="1"/>
  <c r="BQ225" i="1"/>
  <c r="BQ207" i="1"/>
  <c r="BQ206" i="1"/>
  <c r="BQ205" i="1"/>
  <c r="BQ204" i="1"/>
  <c r="BQ203" i="1"/>
  <c r="BQ188" i="1"/>
  <c r="BQ187" i="1"/>
  <c r="BQ186" i="1"/>
  <c r="BQ180" i="1"/>
  <c r="BQ179" i="1"/>
  <c r="BQ169" i="1"/>
  <c r="BQ160" i="1"/>
  <c r="BQ152" i="1"/>
  <c r="BQ151" i="1"/>
  <c r="BQ150" i="1"/>
  <c r="BQ144" i="1"/>
  <c r="BQ108" i="1"/>
  <c r="BQ89" i="1"/>
  <c r="BQ84" i="1"/>
  <c r="BQ78" i="1"/>
  <c r="BQ72" i="1"/>
  <c r="BQ62" i="1"/>
  <c r="BQ52" i="1"/>
  <c r="BQ41" i="1"/>
  <c r="BQ28" i="1"/>
  <c r="BQ762" i="1"/>
  <c r="BQ742" i="1"/>
  <c r="BQ745" i="1"/>
  <c r="BQ733" i="1"/>
  <c r="BQ721" i="1"/>
  <c r="BQ818" i="1"/>
  <c r="BQ761" i="1"/>
  <c r="BQ717" i="1"/>
  <c r="BQ737" i="1"/>
  <c r="BQ725" i="1"/>
  <c r="BQ741" i="1"/>
  <c r="BQ738" i="1"/>
  <c r="BQ728" i="1"/>
  <c r="BQ729" i="1"/>
  <c r="BQ718" i="1"/>
  <c r="BQ810" i="1"/>
  <c r="BQ757" i="1"/>
  <c r="BQ753" i="1"/>
  <c r="BQ793" i="1"/>
  <c r="BQ722" i="1"/>
  <c r="BQ726" i="1"/>
  <c r="BQ714" i="1"/>
  <c r="BQ730" i="1"/>
  <c r="AU1051" i="1"/>
  <c r="BI1051" i="1"/>
  <c r="A50" i="11"/>
  <c r="A76" i="11"/>
  <c r="A11" i="11"/>
  <c r="D4" i="2"/>
  <c r="B74" i="17"/>
  <c r="B126" i="17"/>
  <c r="A57" i="16"/>
  <c r="C97" i="2"/>
  <c r="A14" i="16"/>
  <c r="A85" i="16" s="1"/>
  <c r="C77" i="16"/>
  <c r="C46" i="2"/>
  <c r="B100" i="2"/>
  <c r="A163" i="16"/>
  <c r="D7" i="16"/>
  <c r="BG1050" i="1"/>
  <c r="BF1050" i="1"/>
  <c r="BH1049" i="1"/>
  <c r="A55" i="16"/>
  <c r="B197" i="14"/>
  <c r="B95" i="14"/>
  <c r="AZ1050" i="1"/>
  <c r="A160" i="16"/>
  <c r="A135" i="16"/>
  <c r="C50" i="16"/>
  <c r="BQ1050" i="1"/>
  <c r="A54" i="16"/>
  <c r="BF1049" i="1"/>
  <c r="BH1051" i="1"/>
  <c r="B120" i="14"/>
  <c r="AZ1049" i="1"/>
  <c r="B71" i="2"/>
  <c r="C6" i="14"/>
  <c r="AP1051" i="1"/>
  <c r="A83" i="16"/>
  <c r="B123" i="2"/>
  <c r="A133" i="16"/>
  <c r="S11" i="12"/>
  <c r="S12" i="12" s="1"/>
  <c r="A109" i="16"/>
  <c r="BC1049" i="1"/>
  <c r="BD1049" i="1" s="1"/>
  <c r="A10" i="14"/>
  <c r="A107" i="16"/>
  <c r="B129" i="16"/>
  <c r="K114" i="19"/>
  <c r="C120" i="14"/>
  <c r="C197" i="14"/>
  <c r="C95" i="14"/>
  <c r="D6" i="14"/>
  <c r="C223" i="14"/>
  <c r="C70" i="14"/>
  <c r="C45" i="14"/>
  <c r="C171" i="14"/>
  <c r="C145" i="14"/>
  <c r="S34" i="12"/>
  <c r="K28" i="19" s="1"/>
  <c r="BC1051" i="1"/>
  <c r="BB1051" i="1"/>
  <c r="D46" i="2"/>
  <c r="D71" i="2"/>
  <c r="E4" i="2"/>
  <c r="D100" i="2"/>
  <c r="A76" i="2"/>
  <c r="A9" i="2"/>
  <c r="A51" i="2"/>
  <c r="A102" i="2"/>
  <c r="A101" i="2"/>
  <c r="A50" i="2"/>
  <c r="A75" i="2"/>
  <c r="A162" i="16"/>
  <c r="C129" i="16"/>
  <c r="A75" i="14"/>
  <c r="A11" i="17"/>
  <c r="A157" i="17"/>
  <c r="A130" i="17"/>
  <c r="A53" i="17"/>
  <c r="K64" i="19"/>
  <c r="A202" i="14"/>
  <c r="A100" i="14"/>
  <c r="A82" i="16"/>
  <c r="BA1051" i="1"/>
  <c r="A108" i="16"/>
  <c r="A50" i="14"/>
  <c r="C7" i="17"/>
  <c r="B153" i="17"/>
  <c r="C100" i="2"/>
  <c r="C123" i="2"/>
  <c r="A124" i="14"/>
  <c r="A201" i="14"/>
  <c r="A74" i="14"/>
  <c r="O14" i="1"/>
  <c r="O12" i="1"/>
  <c r="O11" i="1"/>
  <c r="AB11" i="1" s="1"/>
  <c r="O15" i="1"/>
  <c r="O16" i="1"/>
  <c r="O17" i="1"/>
  <c r="O13" i="1"/>
  <c r="BQ878" i="1"/>
  <c r="BQ861" i="1"/>
  <c r="BQ845" i="1"/>
  <c r="BQ750" i="1"/>
  <c r="BQ734" i="1"/>
  <c r="BQ825" i="1"/>
  <c r="BQ794" i="1"/>
  <c r="BQ778" i="1"/>
  <c r="BQ770" i="1"/>
  <c r="BQ813" i="1"/>
  <c r="BQ860" i="1"/>
  <c r="BQ805" i="1"/>
  <c r="BQ789" i="1"/>
  <c r="BQ809" i="1"/>
  <c r="BQ777" i="1"/>
  <c r="BQ765" i="1"/>
  <c r="BQ797" i="1"/>
  <c r="BQ801" i="1"/>
  <c r="BQ836" i="1"/>
  <c r="BQ840" i="1"/>
  <c r="W11" i="1"/>
  <c r="AS3" i="28" s="1"/>
  <c r="X11" i="1"/>
  <c r="AS4" i="28" s="1"/>
  <c r="BQ868" i="1"/>
  <c r="BQ864" i="1"/>
  <c r="BQ710" i="1"/>
  <c r="BQ856" i="1"/>
  <c r="BQ852" i="1"/>
  <c r="BQ848" i="1"/>
  <c r="BQ844" i="1"/>
  <c r="BQ828" i="1"/>
  <c r="BQ824" i="1"/>
  <c r="BQ820" i="1"/>
  <c r="BQ817" i="1"/>
  <c r="BQ785" i="1"/>
  <c r="BQ781" i="1"/>
  <c r="BQ773" i="1"/>
  <c r="BQ769" i="1"/>
  <c r="BQ713" i="1"/>
  <c r="BQ857" i="1"/>
  <c r="BQ935" i="1"/>
  <c r="BQ886" i="1"/>
  <c r="BQ882" i="1"/>
  <c r="BQ837" i="1"/>
  <c r="BQ833" i="1"/>
  <c r="BQ802" i="1"/>
  <c r="BQ786" i="1"/>
  <c r="BQ766" i="1"/>
  <c r="BQ782" i="1"/>
  <c r="BQ746" i="1"/>
  <c r="BQ758" i="1"/>
  <c r="BQ754" i="1"/>
  <c r="BQ945" i="1"/>
  <c r="BQ943" i="1"/>
  <c r="BQ933" i="1"/>
  <c r="BQ931" i="1"/>
  <c r="BQ929" i="1"/>
  <c r="BQ927" i="1"/>
  <c r="BQ915" i="1"/>
  <c r="BQ913" i="1"/>
  <c r="BQ893" i="1"/>
  <c r="BQ891" i="1"/>
  <c r="BQ889" i="1"/>
  <c r="BQ877" i="1"/>
  <c r="BQ863" i="1"/>
  <c r="BQ851" i="1"/>
  <c r="BQ847" i="1"/>
  <c r="BQ843" i="1"/>
  <c r="BQ835" i="1"/>
  <c r="BQ831" i="1"/>
  <c r="BQ827" i="1"/>
  <c r="BQ875" i="1"/>
  <c r="BQ804" i="1"/>
  <c r="BQ788" i="1"/>
  <c r="BQ780" i="1"/>
  <c r="BQ764" i="1"/>
  <c r="BQ752" i="1"/>
  <c r="BQ748" i="1"/>
  <c r="BQ744" i="1"/>
  <c r="BQ740" i="1"/>
  <c r="BQ736" i="1"/>
  <c r="BQ724" i="1"/>
  <c r="BQ720" i="1"/>
  <c r="BQ716" i="1"/>
  <c r="BQ712" i="1"/>
  <c r="BQ862" i="1"/>
  <c r="BQ854" i="1"/>
  <c r="BQ838" i="1"/>
  <c r="BQ830" i="1"/>
  <c r="BQ815" i="1"/>
  <c r="BQ807" i="1"/>
  <c r="BQ795" i="1"/>
  <c r="BQ791" i="1"/>
  <c r="BQ783" i="1"/>
  <c r="BQ767" i="1"/>
  <c r="BQ759" i="1"/>
  <c r="BQ755" i="1"/>
  <c r="BQ747" i="1"/>
  <c r="BQ735" i="1"/>
  <c r="BQ731" i="1"/>
  <c r="BQ715" i="1"/>
  <c r="BQ711" i="1"/>
  <c r="BQ823" i="1"/>
  <c r="BQ846" i="1"/>
  <c r="BQ947" i="1"/>
  <c r="BQ772" i="1"/>
  <c r="BQ760" i="1"/>
  <c r="BQ812" i="1"/>
  <c r="BQ776" i="1"/>
  <c r="BQ784" i="1"/>
  <c r="BQ859" i="1"/>
  <c r="BQ930" i="1"/>
  <c r="BQ829" i="1"/>
  <c r="BQ958" i="1"/>
  <c r="BQ996" i="1"/>
  <c r="AO531" i="28"/>
  <c r="AO635" i="28"/>
  <c r="AK491" i="28" a="1"/>
  <c r="AK491" i="28" s="1"/>
  <c r="AM491" i="28" s="1" a="1"/>
  <c r="AM491" i="28" s="1"/>
  <c r="AK943" i="28" a="1"/>
  <c r="AK943" i="28" s="1"/>
  <c r="AM943" i="28" s="1" a="1"/>
  <c r="AM943" i="28" s="1"/>
  <c r="AO631" i="28"/>
  <c r="AO819" i="28"/>
  <c r="AL519" i="28" a="1"/>
  <c r="AL519" i="28" s="1"/>
  <c r="AN519" i="28" s="1" a="1"/>
  <c r="AN519" i="28" s="1"/>
  <c r="AK503" i="28" a="1"/>
  <c r="AK503" i="28" s="1"/>
  <c r="AM503" i="28" s="1" a="1"/>
  <c r="AM503" i="28" s="1"/>
  <c r="AO923" i="28"/>
  <c r="AK603" i="28" a="1"/>
  <c r="AK603" i="28" s="1"/>
  <c r="AM603" i="28" s="1" a="1"/>
  <c r="AM603" i="28" s="1"/>
  <c r="AO503" i="28"/>
  <c r="AL479" i="28" a="1"/>
  <c r="AL479" i="28" s="1"/>
  <c r="AN479" i="28" s="1" a="1"/>
  <c r="AN479" i="28" s="1"/>
  <c r="BK11" i="1"/>
  <c r="BQ749" i="1"/>
  <c r="BQ949" i="1"/>
  <c r="BQ917" i="1"/>
  <c r="BQ953" i="1"/>
  <c r="BQ939" i="1"/>
  <c r="BQ808" i="1"/>
  <c r="BQ987" i="1"/>
  <c r="BQ1011" i="1"/>
  <c r="BQ979" i="1"/>
  <c r="BQ971" i="1"/>
  <c r="BQ756" i="1"/>
  <c r="BQ901" i="1"/>
  <c r="BQ897" i="1"/>
  <c r="BQ816" i="1"/>
  <c r="BQ937" i="1"/>
  <c r="BQ1003" i="1"/>
  <c r="BQ870" i="1"/>
  <c r="BQ866" i="1"/>
  <c r="BQ858" i="1"/>
  <c r="BQ850" i="1"/>
  <c r="BQ842" i="1"/>
  <c r="BQ834" i="1"/>
  <c r="BQ826" i="1"/>
  <c r="BQ811" i="1"/>
  <c r="BQ803" i="1"/>
  <c r="BQ799" i="1"/>
  <c r="BQ787" i="1"/>
  <c r="BQ779" i="1"/>
  <c r="BQ876" i="1"/>
  <c r="BQ771" i="1"/>
  <c r="BQ743" i="1"/>
  <c r="BQ739" i="1"/>
  <c r="BQ723" i="1"/>
  <c r="BQ719" i="1"/>
  <c r="BQ1021" i="1"/>
  <c r="AL603" i="28" a="1"/>
  <c r="AL603" i="28" s="1"/>
  <c r="AN603" i="28" s="1" a="1"/>
  <c r="AN603" i="28" s="1"/>
  <c r="AL691" i="28" a="1"/>
  <c r="AL691" i="28" s="1"/>
  <c r="AN691" i="28" s="1" a="1"/>
  <c r="AN691" i="28" s="1"/>
  <c r="AK643" i="28" a="1"/>
  <c r="AK643" i="28" s="1"/>
  <c r="AM643" i="28" s="1" a="1"/>
  <c r="AM643" i="28" s="1"/>
  <c r="AK575" i="28" a="1"/>
  <c r="AK575" i="28" s="1"/>
  <c r="AM575" i="28" s="1" a="1"/>
  <c r="AM575" i="28" s="1"/>
  <c r="AK543" i="28" a="1"/>
  <c r="AK543" i="28" s="1"/>
  <c r="AM543" i="28" s="1" a="1"/>
  <c r="AM543" i="28" s="1"/>
  <c r="AK651" i="28" a="1"/>
  <c r="AK651" i="28" s="1"/>
  <c r="AM651" i="28" s="1" a="1"/>
  <c r="AM651" i="28" s="1"/>
  <c r="AK515" i="28" a="1"/>
  <c r="AK515" i="28" s="1"/>
  <c r="AM515" i="28" s="1" a="1"/>
  <c r="AM515" i="28" s="1"/>
  <c r="AL579" i="28" a="1"/>
  <c r="AL579" i="28" s="1"/>
  <c r="AN579" i="28" s="1" a="1"/>
  <c r="AN579" i="28" s="1"/>
  <c r="AO699" i="28"/>
  <c r="AK607" i="28" a="1"/>
  <c r="AK607" i="28" s="1"/>
  <c r="AM607" i="28" s="1" a="1"/>
  <c r="AM607" i="28" s="1"/>
  <c r="AL595" i="28" a="1"/>
  <c r="AL595" i="28" s="1"/>
  <c r="AN595" i="28" s="1" a="1"/>
  <c r="AN595" i="28" s="1"/>
  <c r="AK963" i="28" a="1"/>
  <c r="AK963" i="28" s="1"/>
  <c r="AM963" i="28" s="1" a="1"/>
  <c r="AM963" i="28" s="1"/>
  <c r="AL491" i="28" a="1"/>
  <c r="AL491" i="28" s="1"/>
  <c r="AN491" i="28" s="1" a="1"/>
  <c r="AN491" i="28" s="1"/>
  <c r="AO519" i="28"/>
  <c r="AL507" i="28" a="1"/>
  <c r="AL507" i="28" s="1"/>
  <c r="AN507" i="28" s="1" a="1"/>
  <c r="AN507" i="28" s="1"/>
  <c r="AK623" i="28" a="1"/>
  <c r="AK623" i="28" s="1"/>
  <c r="AM623" i="28" s="1" a="1"/>
  <c r="AM623" i="28" s="1"/>
  <c r="AK555" i="28" a="1"/>
  <c r="AK555" i="28" s="1"/>
  <c r="AM555" i="28" s="1" a="1"/>
  <c r="AM555" i="28" s="1"/>
  <c r="AL735" i="28" a="1"/>
  <c r="AL735" i="28" s="1"/>
  <c r="AN735" i="28" s="1" a="1"/>
  <c r="AN735" i="28" s="1"/>
  <c r="AO851" i="28"/>
  <c r="AO443" i="28"/>
  <c r="BQ1015" i="1"/>
  <c r="BQ1031" i="1"/>
  <c r="BQ1023" i="1"/>
  <c r="BQ963" i="1"/>
  <c r="BQ995" i="1"/>
  <c r="BQ961" i="1"/>
  <c r="BQ907" i="1"/>
  <c r="BQ1035" i="1"/>
  <c r="BQ1039" i="1"/>
  <c r="BQ839" i="1"/>
  <c r="BQ895" i="1"/>
  <c r="BQ867" i="1"/>
  <c r="BQ969" i="1"/>
  <c r="BQ855" i="1"/>
  <c r="BQ1027" i="1"/>
  <c r="BQ999" i="1"/>
  <c r="BQ1033" i="1"/>
  <c r="AK540" i="28" a="1"/>
  <c r="AK540" i="28" s="1"/>
  <c r="AM540" i="28" s="1" a="1"/>
  <c r="AM540" i="28" s="1"/>
  <c r="AK704" i="28" a="1"/>
  <c r="AK704" i="28" s="1"/>
  <c r="AM704" i="28" s="1" a="1"/>
  <c r="AM704" i="28" s="1"/>
  <c r="BQ992" i="1"/>
  <c r="BQ988" i="1"/>
  <c r="BQ974" i="1"/>
  <c r="BQ972" i="1"/>
  <c r="BQ966" i="1"/>
  <c r="BQ962" i="1"/>
  <c r="BQ956" i="1"/>
  <c r="BQ946" i="1"/>
  <c r="BQ942" i="1"/>
  <c r="BQ940" i="1"/>
  <c r="BQ924" i="1"/>
  <c r="BQ918" i="1"/>
  <c r="BQ908" i="1"/>
  <c r="BQ902" i="1"/>
  <c r="BQ900" i="1"/>
  <c r="BQ898" i="1"/>
  <c r="BQ894" i="1"/>
  <c r="BQ892" i="1"/>
  <c r="BQ888" i="1"/>
  <c r="BQ884" i="1"/>
  <c r="BQ869" i="1"/>
  <c r="BQ853" i="1"/>
  <c r="BQ849" i="1"/>
  <c r="BQ841" i="1"/>
  <c r="BQ821" i="1"/>
  <c r="BQ814" i="1"/>
  <c r="BQ806" i="1"/>
  <c r="BQ798" i="1"/>
  <c r="BQ790" i="1"/>
  <c r="BQ914" i="1"/>
  <c r="BQ980" i="1"/>
  <c r="BQ984" i="1"/>
  <c r="BQ865" i="1"/>
  <c r="BQ880" i="1"/>
  <c r="BQ922" i="1"/>
  <c r="AL468" i="28" a="1"/>
  <c r="AL468" i="28" s="1"/>
  <c r="AN468" i="28" s="1" a="1"/>
  <c r="AN468" i="28" s="1"/>
  <c r="AO508" i="28"/>
  <c r="AK824" i="28" a="1"/>
  <c r="AK824" i="28" s="1"/>
  <c r="AM824" i="28" s="1" a="1"/>
  <c r="AM824" i="28" s="1"/>
  <c r="AK496" i="28" a="1"/>
  <c r="AK496" i="28" s="1"/>
  <c r="AM496" i="28" s="1" a="1"/>
  <c r="AM496" i="28" s="1"/>
  <c r="AL864" i="28" a="1"/>
  <c r="AL864" i="28" s="1"/>
  <c r="AN864" i="28" s="1" a="1"/>
  <c r="AN864" i="28" s="1"/>
  <c r="AL543" i="28" a="1"/>
  <c r="AL543" i="28" s="1"/>
  <c r="AN543" i="28" s="1" a="1"/>
  <c r="AN543" i="28" s="1"/>
  <c r="AL703" i="28" a="1"/>
  <c r="AL703" i="28" s="1"/>
  <c r="AN703" i="28" s="1" a="1"/>
  <c r="AN703" i="28" s="1"/>
  <c r="AL563" i="28" a="1"/>
  <c r="AL563" i="28" s="1"/>
  <c r="AN563" i="28" s="1" a="1"/>
  <c r="AN563" i="28" s="1"/>
  <c r="AL747" i="28" a="1"/>
  <c r="AL747" i="28" s="1"/>
  <c r="AN747" i="28" s="1" a="1"/>
  <c r="AN747" i="28" s="1"/>
  <c r="AK579" i="28" a="1"/>
  <c r="AK579" i="28" s="1"/>
  <c r="AM579" i="28" s="1" a="1"/>
  <c r="AM579" i="28" s="1"/>
  <c r="AO899" i="28"/>
  <c r="AO731" i="28"/>
  <c r="AL919" i="28" a="1"/>
  <c r="AL919" i="28" s="1"/>
  <c r="AN919" i="28" s="1" a="1"/>
  <c r="AN919" i="28" s="1"/>
  <c r="AK711" i="28" a="1"/>
  <c r="AK711" i="28" s="1"/>
  <c r="AM711" i="28" s="1" a="1"/>
  <c r="AM711" i="28" s="1"/>
  <c r="AO528" i="28"/>
  <c r="AK500" i="28" a="1"/>
  <c r="AK500" i="28" s="1"/>
  <c r="AM500" i="28" s="1" a="1"/>
  <c r="AM500" i="28" s="1"/>
  <c r="AK476" i="28" a="1"/>
  <c r="AK476" i="28" s="1"/>
  <c r="AM476" i="28" s="1" a="1"/>
  <c r="AM476" i="28" s="1"/>
  <c r="AL545" i="28" a="1"/>
  <c r="AL545" i="28" s="1"/>
  <c r="AN545" i="28" s="1" a="1"/>
  <c r="AN545" i="28" s="1"/>
  <c r="AK820" i="28" a="1"/>
  <c r="AK820" i="28" s="1"/>
  <c r="AM820" i="28" s="1" a="1"/>
  <c r="AM820" i="28" s="1"/>
  <c r="AK828" i="28" a="1"/>
  <c r="AK828" i="28" s="1"/>
  <c r="AM828" i="28" s="1" a="1"/>
  <c r="AM828" i="28" s="1"/>
  <c r="AL776" i="28" a="1"/>
  <c r="AL776" i="28" s="1"/>
  <c r="AN776" i="28" s="1" a="1"/>
  <c r="AN776" i="28" s="1"/>
  <c r="AL509" i="28" a="1"/>
  <c r="AL509" i="28" s="1"/>
  <c r="AN509" i="28" s="1" a="1"/>
  <c r="AN509" i="28" s="1"/>
  <c r="AK489" i="28" a="1"/>
  <c r="AK489" i="28" s="1"/>
  <c r="AM489" i="28" s="1" a="1"/>
  <c r="AM489" i="28" s="1"/>
  <c r="AL712" i="28" a="1"/>
  <c r="AL712" i="28" s="1"/>
  <c r="AN712" i="28" s="1" a="1"/>
  <c r="AN712" i="28" s="1"/>
  <c r="AK787" i="28" a="1"/>
  <c r="AK787" i="28" s="1"/>
  <c r="AM787" i="28" s="1" a="1"/>
  <c r="AM787" i="28" s="1"/>
  <c r="AL755" i="28" a="1"/>
  <c r="AL755" i="28" s="1"/>
  <c r="AN755" i="28" s="1" a="1"/>
  <c r="AN755" i="28" s="1"/>
  <c r="AL907" i="28" a="1"/>
  <c r="AL907" i="28" s="1"/>
  <c r="AN907" i="28" s="1" a="1"/>
  <c r="AN907" i="28" s="1"/>
  <c r="AK795" i="28" a="1"/>
  <c r="AK795" i="28" s="1"/>
  <c r="AM795" i="28" s="1" a="1"/>
  <c r="AM795" i="28" s="1"/>
  <c r="AO931" i="28"/>
  <c r="AK559" i="28" a="1"/>
  <c r="AK559" i="28" s="1"/>
  <c r="AM559" i="28" s="1" a="1"/>
  <c r="AM559" i="28" s="1"/>
  <c r="AK631" i="28" a="1"/>
  <c r="AK631" i="28" s="1"/>
  <c r="AM631" i="28" s="1" a="1"/>
  <c r="AM631" i="28" s="1"/>
  <c r="AL523" i="28" a="1"/>
  <c r="AL523" i="28" s="1"/>
  <c r="AN523" i="28" s="1" a="1"/>
  <c r="AN523" i="28" s="1"/>
  <c r="AK899" i="28" a="1"/>
  <c r="AK899" i="28" s="1"/>
  <c r="AM899" i="28" s="1" a="1"/>
  <c r="AM899" i="28" s="1"/>
  <c r="AO651" i="28"/>
  <c r="AL879" i="28" a="1"/>
  <c r="AL879" i="28" s="1"/>
  <c r="AN879" i="28" s="1" a="1"/>
  <c r="AN879" i="28" s="1"/>
  <c r="AO507" i="28"/>
  <c r="AL515" i="28" a="1"/>
  <c r="AL515" i="28" s="1"/>
  <c r="AN515" i="28" s="1" a="1"/>
  <c r="AN515" i="28" s="1"/>
  <c r="AL975" i="28" a="1"/>
  <c r="AL975" i="28" s="1"/>
  <c r="AN975" i="28" s="1" a="1"/>
  <c r="AN975" i="28" s="1"/>
  <c r="AK675" i="28" a="1"/>
  <c r="AK675" i="28" s="1"/>
  <c r="AM675" i="28" s="1" a="1"/>
  <c r="AM675" i="28" s="1"/>
  <c r="AO747" i="28"/>
  <c r="AK495" i="28" a="1"/>
  <c r="AK495" i="28" s="1"/>
  <c r="AM495" i="28" s="1" a="1"/>
  <c r="AM495" i="28" s="1"/>
  <c r="AK587" i="28" a="1"/>
  <c r="AK587" i="28" s="1"/>
  <c r="AM587" i="28" s="1" a="1"/>
  <c r="AM587" i="28" s="1"/>
  <c r="AO655" i="28"/>
  <c r="AK887" i="28" a="1"/>
  <c r="AK887" i="28" s="1"/>
  <c r="AM887" i="28" s="1" a="1"/>
  <c r="AM887" i="28" s="1"/>
  <c r="AK731" i="28" a="1"/>
  <c r="AK731" i="28" s="1"/>
  <c r="AM731" i="28" s="1" a="1"/>
  <c r="AM731" i="28" s="1"/>
  <c r="AO863" i="28"/>
  <c r="AK499" i="28" a="1"/>
  <c r="AK499" i="28" s="1"/>
  <c r="AM499" i="28" s="1" a="1"/>
  <c r="AM499" i="28" s="1"/>
  <c r="AO683" i="28"/>
  <c r="AO671" i="28"/>
  <c r="AK695" i="28" a="1"/>
  <c r="AK695" i="28" s="1"/>
  <c r="AM695" i="28" s="1" a="1"/>
  <c r="AM695" i="28" s="1"/>
  <c r="AK475" i="28" a="1"/>
  <c r="AK475" i="28" s="1"/>
  <c r="AM475" i="28" s="1" a="1"/>
  <c r="AM475" i="28" s="1"/>
  <c r="AL483" i="28" a="1"/>
  <c r="AL483" i="28" s="1"/>
  <c r="AN483" i="28" s="1" a="1"/>
  <c r="AN483" i="28" s="1"/>
  <c r="AO575" i="28"/>
  <c r="AL559" i="28" a="1"/>
  <c r="AL559" i="28" s="1"/>
  <c r="AN559" i="28" s="1" a="1"/>
  <c r="AN559" i="28" s="1"/>
  <c r="AO523" i="28"/>
  <c r="AK999" i="28" a="1"/>
  <c r="AK999" i="28" s="1"/>
  <c r="AM999" i="28" s="1" a="1"/>
  <c r="AM999" i="28" s="1"/>
  <c r="AK639" i="28" a="1"/>
  <c r="AK639" i="28" s="1"/>
  <c r="AM639" i="28" s="1" a="1"/>
  <c r="AM639" i="28" s="1"/>
  <c r="AL659" i="28" a="1"/>
  <c r="AL659" i="28" s="1"/>
  <c r="AN659" i="28" s="1" a="1"/>
  <c r="AN659" i="28" s="1"/>
  <c r="AL935" i="28" a="1"/>
  <c r="AL935" i="28" s="1"/>
  <c r="AN935" i="28" s="1" a="1"/>
  <c r="AN935" i="28" s="1"/>
  <c r="AL551" i="28" a="1"/>
  <c r="AL551" i="28" s="1"/>
  <c r="AN551" i="28" s="1" a="1"/>
  <c r="AN551" i="28" s="1"/>
  <c r="AL623" i="28" a="1"/>
  <c r="AL623" i="28" s="1"/>
  <c r="AN623" i="28" s="1" a="1"/>
  <c r="AN623" i="28" s="1"/>
  <c r="AK895" i="28" a="1"/>
  <c r="AK895" i="28" s="1"/>
  <c r="AM895" i="28" s="1" a="1"/>
  <c r="AM895" i="28" s="1"/>
  <c r="AK723" i="28" a="1"/>
  <c r="AK723" i="28" s="1"/>
  <c r="AM723" i="28" s="1" a="1"/>
  <c r="AM723" i="28" s="1"/>
  <c r="AK655" i="28" a="1"/>
  <c r="AK655" i="28" s="1"/>
  <c r="AM655" i="28" s="1" a="1"/>
  <c r="AM655" i="28" s="1"/>
  <c r="AL887" i="28" a="1"/>
  <c r="AL887" i="28" s="1"/>
  <c r="AN887" i="28" s="1" a="1"/>
  <c r="AN887" i="28" s="1"/>
  <c r="AL955" i="28" a="1"/>
  <c r="AL955" i="28" s="1"/>
  <c r="AN955" i="28" s="1" a="1"/>
  <c r="AN955" i="28" s="1"/>
  <c r="AO959" i="28"/>
  <c r="AK815" i="28" a="1"/>
  <c r="AK815" i="28" s="1"/>
  <c r="AM815" i="28" s="1" a="1"/>
  <c r="AM815" i="28" s="1"/>
  <c r="AK671" i="28" a="1"/>
  <c r="AK671" i="28" s="1"/>
  <c r="AM671" i="28" s="1" a="1"/>
  <c r="AM671" i="28" s="1"/>
  <c r="AK775" i="28" a="1"/>
  <c r="AK775" i="28" s="1"/>
  <c r="AM775" i="28" s="1" a="1"/>
  <c r="AM775" i="28" s="1"/>
  <c r="AO707" i="28"/>
  <c r="AO479" i="28"/>
  <c r="AK435" i="28" a="1"/>
  <c r="AK435" i="28" s="1"/>
  <c r="AM435" i="28" s="1" a="1"/>
  <c r="AM435" i="28" s="1"/>
  <c r="AO918" i="28"/>
  <c r="AL506" i="28" a="1"/>
  <c r="AL506" i="28" s="1"/>
  <c r="AN506" i="28" s="1" a="1"/>
  <c r="AN506" i="28" s="1"/>
  <c r="AL513" i="28" a="1"/>
  <c r="AL513" i="28" s="1"/>
  <c r="AN513" i="28" s="1" a="1"/>
  <c r="AN513" i="28" s="1"/>
  <c r="AL518" i="28" a="1"/>
  <c r="AL518" i="28" s="1"/>
  <c r="AN518" i="28" s="1" a="1"/>
  <c r="AN518" i="28" s="1"/>
  <c r="AO505" i="28"/>
  <c r="AK501" i="28" a="1"/>
  <c r="AK501" i="28" s="1"/>
  <c r="AM501" i="28" s="1" a="1"/>
  <c r="AM501" i="28" s="1"/>
  <c r="AK713" i="28" a="1"/>
  <c r="AK713" i="28" s="1"/>
  <c r="AM713" i="28" s="1" a="1"/>
  <c r="AM713" i="28" s="1"/>
  <c r="AL477" i="28" a="1"/>
  <c r="AL477" i="28" s="1"/>
  <c r="AN477" i="28" s="1" a="1"/>
  <c r="AN477" i="28" s="1"/>
  <c r="AO522" i="28"/>
  <c r="AO638" i="28"/>
  <c r="AO998" i="28"/>
  <c r="AO493" i="28"/>
  <c r="AO492" i="28"/>
  <c r="AO489" i="28"/>
  <c r="AO512" i="28"/>
  <c r="AO548" i="28"/>
  <c r="AK720" i="28" a="1"/>
  <c r="AK720" i="28" s="1"/>
  <c r="AM720" i="28" s="1" a="1"/>
  <c r="AM720" i="28" s="1"/>
  <c r="AL854" i="28" a="1"/>
  <c r="AL854" i="28" s="1"/>
  <c r="AN854" i="28" s="1" a="1"/>
  <c r="AN854" i="28" s="1"/>
  <c r="AL828" i="28" a="1"/>
  <c r="AL828" i="28" s="1"/>
  <c r="AN828" i="28" s="1" a="1"/>
  <c r="AN828" i="28" s="1"/>
  <c r="BQ986" i="1"/>
  <c r="BQ976" i="1"/>
  <c r="BQ1022" i="1"/>
  <c r="BQ1032" i="1"/>
  <c r="BQ960" i="1"/>
  <c r="BQ774" i="1"/>
  <c r="BQ985" i="1"/>
  <c r="BQ973" i="1"/>
  <c r="BQ885" i="1"/>
  <c r="AL492" i="28" a="1"/>
  <c r="AL492" i="28" s="1"/>
  <c r="AN492" i="28" s="1" a="1"/>
  <c r="AN492" i="28" s="1"/>
  <c r="AK536" i="28" a="1"/>
  <c r="AK536" i="28" s="1"/>
  <c r="AM536" i="28" s="1" a="1"/>
  <c r="AM536" i="28" s="1"/>
  <c r="AK516" i="28" a="1"/>
  <c r="AK516" i="28" s="1"/>
  <c r="AM516" i="28" s="1" a="1"/>
  <c r="AM516" i="28" s="1"/>
  <c r="AO848" i="28"/>
  <c r="AO700" i="28"/>
  <c r="AL920" i="28" a="1"/>
  <c r="AL920" i="28" s="1"/>
  <c r="AN920" i="28" s="1" a="1"/>
  <c r="AN920" i="28" s="1"/>
  <c r="AO676" i="28"/>
  <c r="AO908" i="28"/>
  <c r="AL932" i="28" a="1"/>
  <c r="AL932" i="28" s="1"/>
  <c r="AN932" i="28" s="1" a="1"/>
  <c r="AN932" i="28" s="1"/>
  <c r="AL650" i="28" a="1"/>
  <c r="AL650" i="28" s="1"/>
  <c r="AN650" i="28" s="1" a="1"/>
  <c r="AN650" i="28" s="1"/>
  <c r="AO776" i="28"/>
  <c r="AL500" i="28" a="1"/>
  <c r="AL500" i="28" s="1"/>
  <c r="AN500" i="28" s="1" a="1"/>
  <c r="AN500" i="28" s="1"/>
  <c r="AO504" i="28"/>
  <c r="AK468" i="28" a="1"/>
  <c r="AK468" i="28" s="1"/>
  <c r="AM468" i="28" s="1" a="1"/>
  <c r="AM468" i="28" s="1"/>
  <c r="AL496" i="28" a="1"/>
  <c r="AL496" i="28" s="1"/>
  <c r="AN496" i="28" s="1" a="1"/>
  <c r="AN496" i="28" s="1"/>
  <c r="AO576" i="28"/>
  <c r="AL540" i="28" a="1"/>
  <c r="AL540" i="28" s="1"/>
  <c r="AN540" i="28" s="1" a="1"/>
  <c r="AN540" i="28" s="1"/>
  <c r="AL556" i="28" a="1"/>
  <c r="AL556" i="28" s="1"/>
  <c r="AN556" i="28" s="1" a="1"/>
  <c r="AN556" i="28" s="1"/>
  <c r="AK732" i="28" a="1"/>
  <c r="AK732" i="28" s="1"/>
  <c r="AM732" i="28" s="1" a="1"/>
  <c r="AM732" i="28" s="1"/>
  <c r="AK908" i="28" a="1"/>
  <c r="AK908" i="28" s="1"/>
  <c r="AM908" i="28" s="1" a="1"/>
  <c r="AM908" i="28" s="1"/>
  <c r="AO878" i="28"/>
  <c r="AL734" i="28" a="1"/>
  <c r="AL734" i="28" s="1"/>
  <c r="AN734" i="28" s="1" a="1"/>
  <c r="AN734" i="28" s="1"/>
  <c r="AO994" i="28"/>
  <c r="AO678" i="28"/>
  <c r="AK726" i="28" a="1"/>
  <c r="AK726" i="28" s="1"/>
  <c r="AM726" i="28" s="1" a="1"/>
  <c r="AM726" i="28" s="1"/>
  <c r="AK762" i="28" a="1"/>
  <c r="AK762" i="28" s="1"/>
  <c r="AM762" i="28" s="1" a="1"/>
  <c r="AM762" i="28" s="1"/>
  <c r="AL504" i="28" a="1"/>
  <c r="AL504" i="28" s="1"/>
  <c r="AN504" i="28" s="1" a="1"/>
  <c r="AN504" i="28" s="1"/>
  <c r="AO490" i="28"/>
  <c r="AL508" i="28" a="1"/>
  <c r="AL508" i="28" s="1"/>
  <c r="AN508" i="28" s="1" a="1"/>
  <c r="AN508" i="28" s="1"/>
  <c r="AO476" i="28"/>
  <c r="AK512" i="28" a="1"/>
  <c r="AK512" i="28" s="1"/>
  <c r="AM512" i="28" s="1" a="1"/>
  <c r="AM512" i="28" s="1"/>
  <c r="AL536" i="28" a="1"/>
  <c r="AL536" i="28" s="1"/>
  <c r="AN536" i="28" s="1" a="1"/>
  <c r="AN536" i="28" s="1"/>
  <c r="AK864" i="28" a="1"/>
  <c r="AK864" i="28" s="1"/>
  <c r="AM864" i="28" s="1" a="1"/>
  <c r="AM864" i="28" s="1"/>
  <c r="AK548" i="28" a="1"/>
  <c r="AK548" i="28" s="1"/>
  <c r="AM548" i="28" s="1" a="1"/>
  <c r="AM548" i="28" s="1"/>
  <c r="AO556" i="28"/>
  <c r="AO720" i="28"/>
  <c r="AL634" i="28" a="1"/>
  <c r="AL634" i="28" s="1"/>
  <c r="AN634" i="28" s="1" a="1"/>
  <c r="AN634" i="28" s="1"/>
  <c r="AL732" i="28" a="1"/>
  <c r="AL732" i="28" s="1"/>
  <c r="AN732" i="28" s="1" a="1"/>
  <c r="AN732" i="28" s="1"/>
  <c r="AO606" i="28"/>
  <c r="AK934" i="28" a="1"/>
  <c r="AK934" i="28" s="1"/>
  <c r="AM934" i="28" s="1" a="1"/>
  <c r="AM934" i="28" s="1"/>
  <c r="AL736" i="28" a="1"/>
  <c r="AL736" i="28" s="1"/>
  <c r="AN736" i="28" s="1" a="1"/>
  <c r="AN736" i="28" s="1"/>
  <c r="AL824" i="28" a="1"/>
  <c r="AL824" i="28" s="1"/>
  <c r="AN824" i="28" s="1" a="1"/>
  <c r="AN824" i="28" s="1"/>
  <c r="AK932" i="28" a="1"/>
  <c r="AK932" i="28" s="1"/>
  <c r="AM932" i="28" s="1" a="1"/>
  <c r="AM932" i="28" s="1"/>
  <c r="AL590" i="28" a="1"/>
  <c r="AL590" i="28" s="1"/>
  <c r="AN590" i="28" s="1" a="1"/>
  <c r="AN590" i="28" s="1"/>
  <c r="AK712" i="28" a="1"/>
  <c r="AK712" i="28" s="1"/>
  <c r="AM712" i="28" s="1" a="1"/>
  <c r="AM712" i="28" s="1"/>
  <c r="AO736" i="28"/>
  <c r="AL604" i="28" a="1"/>
  <c r="AL604" i="28" s="1"/>
  <c r="AN604" i="28" s="1" a="1"/>
  <c r="AN604" i="28" s="1"/>
  <c r="AK686" i="28" a="1"/>
  <c r="AK686" i="28" s="1"/>
  <c r="AM686" i="28" s="1" a="1"/>
  <c r="AM686" i="28" s="1"/>
  <c r="AL576" i="28" a="1"/>
  <c r="AL576" i="28" s="1"/>
  <c r="AN576" i="28" s="1" a="1"/>
  <c r="AN576" i="28" s="1"/>
  <c r="AL998" i="28" a="1"/>
  <c r="AL998" i="28" s="1"/>
  <c r="AN998" i="28" s="1" a="1"/>
  <c r="AN998" i="28" s="1"/>
  <c r="AL516" i="28" a="1"/>
  <c r="AL516" i="28" s="1"/>
  <c r="AN516" i="28" s="1" a="1"/>
  <c r="AN516" i="28" s="1"/>
  <c r="AL562" i="28" a="1"/>
  <c r="AL562" i="28" s="1"/>
  <c r="AN562" i="28" s="1" a="1"/>
  <c r="AN562" i="28" s="1"/>
  <c r="AL848" i="28" a="1"/>
  <c r="AL848" i="28" s="1"/>
  <c r="AN848" i="28" s="1" a="1"/>
  <c r="AN848" i="28" s="1"/>
  <c r="AK912" i="28" a="1"/>
  <c r="AK912" i="28" s="1"/>
  <c r="AM912" i="28" s="1" a="1"/>
  <c r="AM912" i="28" s="1"/>
  <c r="AL642" i="28" a="1"/>
  <c r="AL642" i="28" s="1"/>
  <c r="AN642" i="28" s="1" a="1"/>
  <c r="AN642" i="28" s="1"/>
  <c r="AL704" i="28" a="1"/>
  <c r="AL704" i="28" s="1"/>
  <c r="AN704" i="28" s="1" a="1"/>
  <c r="AN704" i="28" s="1"/>
  <c r="AO820" i="28"/>
  <c r="AK676" i="28" a="1"/>
  <c r="AK676" i="28" s="1"/>
  <c r="AM676" i="28" s="1" a="1"/>
  <c r="AM676" i="28" s="1"/>
  <c r="AK604" i="28" a="1"/>
  <c r="AK604" i="28" s="1"/>
  <c r="AM604" i="28" s="1" a="1"/>
  <c r="AM604" i="28" s="1"/>
  <c r="AK638" i="28" a="1"/>
  <c r="AK638" i="28" s="1"/>
  <c r="AM638" i="28" s="1" a="1"/>
  <c r="AM638" i="28" s="1"/>
  <c r="AK650" i="28" a="1"/>
  <c r="AK650" i="28" s="1"/>
  <c r="AM650" i="28" s="1" a="1"/>
  <c r="AM650" i="28" s="1"/>
  <c r="AL698" i="28" a="1"/>
  <c r="AL698" i="28" s="1"/>
  <c r="AN698" i="28" s="1" a="1"/>
  <c r="AN698" i="28" s="1"/>
  <c r="AL702" i="28" a="1"/>
  <c r="AL702" i="28" s="1"/>
  <c r="AN702" i="28" s="1" a="1"/>
  <c r="AN702" i="28" s="1"/>
  <c r="AK546" i="28" a="1"/>
  <c r="AK546" i="28" s="1"/>
  <c r="AM546" i="28" s="1" a="1"/>
  <c r="AM546" i="28" s="1"/>
  <c r="AL505" i="28" a="1"/>
  <c r="AL505" i="28" s="1"/>
  <c r="AN505" i="28" s="1" a="1"/>
  <c r="AN505" i="28" s="1"/>
  <c r="AK509" i="28" a="1"/>
  <c r="AK509" i="28" s="1"/>
  <c r="AM509" i="28" s="1" a="1"/>
  <c r="AM509" i="28" s="1"/>
  <c r="AO497" i="28"/>
  <c r="AL501" i="28" a="1"/>
  <c r="AL501" i="28" s="1"/>
  <c r="AN501" i="28" s="1" a="1"/>
  <c r="AN501" i="28" s="1"/>
  <c r="AK625" i="28" a="1"/>
  <c r="AK625" i="28" s="1"/>
  <c r="AM625" i="28" s="1" a="1"/>
  <c r="AM625" i="28" s="1"/>
  <c r="AO861" i="28"/>
  <c r="AL581" i="28" a="1"/>
  <c r="AL581" i="28" s="1"/>
  <c r="AN581" i="28" s="1" a="1"/>
  <c r="AN581" i="28" s="1"/>
  <c r="AL849" i="28" a="1"/>
  <c r="AL849" i="28" s="1"/>
  <c r="AN849" i="28" s="1" a="1"/>
  <c r="AN849" i="28" s="1"/>
  <c r="AL876" i="28" a="1"/>
  <c r="AL876" i="28" s="1"/>
  <c r="AN876" i="28" s="1" a="1"/>
  <c r="AN876" i="28" s="1"/>
  <c r="AK700" i="28" a="1"/>
  <c r="AK700" i="28" s="1"/>
  <c r="AM700" i="28" s="1" a="1"/>
  <c r="AM700" i="28" s="1"/>
  <c r="AL493" i="28" a="1"/>
  <c r="AL493" i="28" s="1"/>
  <c r="AN493" i="28" s="1" a="1"/>
  <c r="AN493" i="28" s="1"/>
  <c r="AK497" i="28" a="1"/>
  <c r="AK497" i="28" s="1"/>
  <c r="AM497" i="28" s="1" a="1"/>
  <c r="AM497" i="28" s="1"/>
  <c r="AO513" i="28"/>
  <c r="AO545" i="28"/>
  <c r="AL912" i="28" a="1"/>
  <c r="AL912" i="28" s="1"/>
  <c r="AN912" i="28" s="1" a="1"/>
  <c r="AN912" i="28" s="1"/>
  <c r="AL549" i="28" a="1"/>
  <c r="AL549" i="28" s="1"/>
  <c r="AN549" i="28" s="1" a="1"/>
  <c r="AN549" i="28" s="1"/>
  <c r="AL641" i="28" a="1"/>
  <c r="AL641" i="28" s="1"/>
  <c r="AN641" i="28" s="1" a="1"/>
  <c r="AN641" i="28" s="1"/>
  <c r="AO920" i="28"/>
  <c r="AK876" i="28" a="1"/>
  <c r="AK876" i="28" s="1"/>
  <c r="AM876" i="28" s="1" a="1"/>
  <c r="AM876" i="28" s="1"/>
  <c r="AL528" i="28" a="1"/>
  <c r="AL528" i="28" s="1"/>
  <c r="AN528" i="28" s="1" a="1"/>
  <c r="AN528" i="28" s="1"/>
  <c r="BQ990" i="1"/>
  <c r="BQ1014" i="1"/>
  <c r="BQ932" i="1"/>
  <c r="BQ890" i="1"/>
  <c r="BQ832" i="1"/>
  <c r="BQ1036" i="1"/>
  <c r="AL986" i="28" a="1"/>
  <c r="AL986" i="28" s="1"/>
  <c r="AN986" i="28" s="1" a="1"/>
  <c r="AN986" i="28" s="1"/>
  <c r="AO986" i="28"/>
  <c r="AO978" i="28"/>
  <c r="AK978" i="28" a="1"/>
  <c r="AK978" i="28" s="1"/>
  <c r="AM978" i="28" s="1" a="1"/>
  <c r="AM978" i="28" s="1"/>
  <c r="AO954" i="28"/>
  <c r="AK954" i="28" a="1"/>
  <c r="AK954" i="28" s="1"/>
  <c r="AM954" i="28" s="1" a="1"/>
  <c r="AM954" i="28" s="1"/>
  <c r="AK946" i="28" a="1"/>
  <c r="AK946" i="28" s="1"/>
  <c r="AM946" i="28" s="1" a="1"/>
  <c r="AM946" i="28" s="1"/>
  <c r="AO946" i="28"/>
  <c r="AK906" i="28" a="1"/>
  <c r="AK906" i="28" s="1"/>
  <c r="AM906" i="28" s="1" a="1"/>
  <c r="AM906" i="28" s="1"/>
  <c r="AO906" i="28"/>
  <c r="AK894" i="28" a="1"/>
  <c r="AK894" i="28" s="1"/>
  <c r="AM894" i="28" s="1" a="1"/>
  <c r="AM894" i="28" s="1"/>
  <c r="AL894" i="28" a="1"/>
  <c r="AL894" i="28" s="1"/>
  <c r="AN894" i="28" s="1" a="1"/>
  <c r="AN894" i="28" s="1"/>
  <c r="AK846" i="28" a="1"/>
  <c r="AK846" i="28" s="1"/>
  <c r="AM846" i="28" s="1" a="1"/>
  <c r="AM846" i="28" s="1"/>
  <c r="AL846" i="28" a="1"/>
  <c r="AL846" i="28" s="1"/>
  <c r="AN846" i="28" s="1" a="1"/>
  <c r="AN846" i="28" s="1"/>
  <c r="AK838" i="28" a="1"/>
  <c r="AK838" i="28" s="1"/>
  <c r="AM838" i="28" s="1" a="1"/>
  <c r="AM838" i="28" s="1"/>
  <c r="AO838" i="28"/>
  <c r="AK826" i="28" a="1"/>
  <c r="AK826" i="28" s="1"/>
  <c r="AM826" i="28" s="1" a="1"/>
  <c r="AM826" i="28" s="1"/>
  <c r="AL826" i="28" a="1"/>
  <c r="AL826" i="28" s="1"/>
  <c r="AN826" i="28" s="1" a="1"/>
  <c r="AN826" i="28" s="1"/>
  <c r="AK814" i="28" a="1"/>
  <c r="AK814" i="28" s="1"/>
  <c r="AM814" i="28" s="1" a="1"/>
  <c r="AM814" i="28" s="1"/>
  <c r="AO814" i="28"/>
  <c r="AK806" i="28" a="1"/>
  <c r="AK806" i="28" s="1"/>
  <c r="AM806" i="28" s="1" a="1"/>
  <c r="AM806" i="28" s="1"/>
  <c r="AL806" i="28" a="1"/>
  <c r="AL806" i="28" s="1"/>
  <c r="AN806" i="28" s="1" a="1"/>
  <c r="AN806" i="28" s="1"/>
  <c r="AO782" i="28"/>
  <c r="AK782" i="28" a="1"/>
  <c r="AK782" i="28" s="1"/>
  <c r="AM782" i="28" s="1" a="1"/>
  <c r="AM782" i="28" s="1"/>
  <c r="AK738" i="28" a="1"/>
  <c r="AK738" i="28" s="1"/>
  <c r="AM738" i="28" s="1" a="1"/>
  <c r="AM738" i="28" s="1"/>
  <c r="AL738" i="28" a="1"/>
  <c r="AL738" i="28" s="1"/>
  <c r="AN738" i="28" s="1" a="1"/>
  <c r="AN738" i="28" s="1"/>
  <c r="AO714" i="28"/>
  <c r="AL714" i="28" a="1"/>
  <c r="AL714" i="28" s="1"/>
  <c r="AN714" i="28" s="1" a="1"/>
  <c r="AN714" i="28" s="1"/>
  <c r="AO706" i="28"/>
  <c r="AL706" i="28" a="1"/>
  <c r="AL706" i="28" s="1"/>
  <c r="AN706" i="28" s="1" a="1"/>
  <c r="AN706" i="28" s="1"/>
  <c r="AK706" i="28" a="1"/>
  <c r="AK706" i="28" s="1"/>
  <c r="AM706" i="28" s="1" a="1"/>
  <c r="AM706" i="28" s="1"/>
  <c r="AK674" i="28" a="1"/>
  <c r="AK674" i="28" s="1"/>
  <c r="AM674" i="28" s="1" a="1"/>
  <c r="AM674" i="28" s="1"/>
  <c r="AL674" i="28" a="1"/>
  <c r="AL674" i="28" s="1"/>
  <c r="AN674" i="28" s="1" a="1"/>
  <c r="AN674" i="28" s="1"/>
  <c r="AL662" i="28" a="1"/>
  <c r="AL662" i="28" s="1"/>
  <c r="AN662" i="28" s="1" a="1"/>
  <c r="AN662" i="28" s="1"/>
  <c r="AK662" i="28" a="1"/>
  <c r="AK662" i="28" s="1"/>
  <c r="AM662" i="28" s="1" a="1"/>
  <c r="AM662" i="28" s="1"/>
  <c r="AK610" i="28" a="1"/>
  <c r="AK610" i="28" s="1"/>
  <c r="AM610" i="28" s="1" a="1"/>
  <c r="AM610" i="28" s="1"/>
  <c r="AO610" i="28"/>
  <c r="AK602" i="28" a="1"/>
  <c r="AK602" i="28" s="1"/>
  <c r="AM602" i="28" s="1" a="1"/>
  <c r="AM602" i="28" s="1"/>
  <c r="AO602" i="28"/>
  <c r="AO594" i="28"/>
  <c r="AL594" i="28" a="1"/>
  <c r="AL594" i="28" s="1"/>
  <c r="AN594" i="28" s="1" a="1"/>
  <c r="AN594" i="28" s="1"/>
  <c r="AL586" i="28" a="1"/>
  <c r="AL586" i="28" s="1"/>
  <c r="AN586" i="28" s="1" a="1"/>
  <c r="AN586" i="28" s="1"/>
  <c r="AO586" i="28"/>
  <c r="AK586" i="28" a="1"/>
  <c r="AK586" i="28" s="1"/>
  <c r="AM586" i="28" s="1" a="1"/>
  <c r="AM586" i="28" s="1"/>
  <c r="AL578" i="28" a="1"/>
  <c r="AL578" i="28" s="1"/>
  <c r="AN578" i="28" s="1" a="1"/>
  <c r="AN578" i="28" s="1"/>
  <c r="AK578" i="28" a="1"/>
  <c r="AK578" i="28" s="1"/>
  <c r="AM578" i="28" s="1" a="1"/>
  <c r="AM578" i="28" s="1"/>
  <c r="AK466" i="28" a="1"/>
  <c r="AK466" i="28" s="1"/>
  <c r="AM466" i="28" s="1" a="1"/>
  <c r="AM466" i="28" s="1"/>
  <c r="AO466" i="28"/>
  <c r="AL462" i="28" a="1"/>
  <c r="AL462" i="28" s="1"/>
  <c r="AN462" i="28" s="1" a="1"/>
  <c r="AN462" i="28" s="1"/>
  <c r="AK462" i="28" a="1"/>
  <c r="AK462" i="28" s="1"/>
  <c r="AM462" i="28" s="1" a="1"/>
  <c r="AM462" i="28" s="1"/>
  <c r="AO502" i="28"/>
  <c r="AO494" i="28"/>
  <c r="AO510" i="28"/>
  <c r="AO486" i="28"/>
  <c r="AK938" i="28" a="1"/>
  <c r="AK938" i="28" s="1"/>
  <c r="AM938" i="28" s="1" a="1"/>
  <c r="AM938" i="28" s="1"/>
  <c r="AK630" i="28" a="1"/>
  <c r="AK630" i="28" s="1"/>
  <c r="AM630" i="28" s="1" a="1"/>
  <c r="AM630" i="28" s="1"/>
  <c r="AL802" i="28" a="1"/>
  <c r="AL802" i="28" s="1"/>
  <c r="AN802" i="28" s="1" a="1"/>
  <c r="AN802" i="28" s="1"/>
  <c r="AL914" i="28" a="1"/>
  <c r="AL914" i="28" s="1"/>
  <c r="AN914" i="28" s="1" a="1"/>
  <c r="AN914" i="28" s="1"/>
  <c r="AK742" i="28" a="1"/>
  <c r="AK742" i="28" s="1"/>
  <c r="AM742" i="28" s="1" a="1"/>
  <c r="AM742" i="28" s="1"/>
  <c r="AK766" i="28" a="1"/>
  <c r="AK766" i="28" s="1"/>
  <c r="AM766" i="28" s="1" a="1"/>
  <c r="AM766" i="28" s="1"/>
  <c r="AK750" i="28" a="1"/>
  <c r="AK750" i="28" s="1"/>
  <c r="AM750" i="28" s="1" a="1"/>
  <c r="AM750" i="28" s="1"/>
  <c r="AO746" i="28"/>
  <c r="AL546" i="28" a="1"/>
  <c r="AL546" i="28" s="1"/>
  <c r="AN546" i="28" s="1" a="1"/>
  <c r="AN546" i="28" s="1"/>
  <c r="AO550" i="28"/>
  <c r="AO806" i="28"/>
  <c r="AK526" i="28" a="1"/>
  <c r="AK526" i="28" s="1"/>
  <c r="AM526" i="28" s="1" a="1"/>
  <c r="AM526" i="28" s="1"/>
  <c r="AL542" i="28" a="1"/>
  <c r="AL542" i="28" s="1"/>
  <c r="AN542" i="28" s="1" a="1"/>
  <c r="AN542" i="28" s="1"/>
  <c r="AK614" i="28" a="1"/>
  <c r="AK614" i="28" s="1"/>
  <c r="AM614" i="28" s="1" a="1"/>
  <c r="AM614" i="28" s="1"/>
  <c r="AK758" i="28" a="1"/>
  <c r="AK758" i="28" s="1"/>
  <c r="AM758" i="28" s="1" a="1"/>
  <c r="AM758" i="28" s="1"/>
  <c r="AK950" i="28" a="1"/>
  <c r="AK950" i="28" s="1"/>
  <c r="AM950" i="28" s="1" a="1"/>
  <c r="AM950" i="28" s="1"/>
  <c r="AK626" i="28" a="1"/>
  <c r="AK626" i="28" s="1"/>
  <c r="AM626" i="28" s="1" a="1"/>
  <c r="AM626" i="28" s="1"/>
  <c r="AL978" i="28" a="1"/>
  <c r="AL978" i="28" s="1"/>
  <c r="AN978" i="28" s="1" a="1"/>
  <c r="AN978" i="28" s="1"/>
  <c r="AL690" i="28" a="1"/>
  <c r="AL690" i="28" s="1"/>
  <c r="AN690" i="28" s="1" a="1"/>
  <c r="AN690" i="28" s="1"/>
  <c r="AK694" i="28" a="1"/>
  <c r="AK694" i="28" s="1"/>
  <c r="AM694" i="28" s="1" a="1"/>
  <c r="AM694" i="28" s="1"/>
  <c r="AL722" i="28" a="1"/>
  <c r="AL722" i="28" s="1"/>
  <c r="AN722" i="28" s="1" a="1"/>
  <c r="AN722" i="28" s="1"/>
  <c r="AK982" i="28" a="1"/>
  <c r="AK982" i="28" s="1"/>
  <c r="AM982" i="28" s="1" a="1"/>
  <c r="AM982" i="28" s="1"/>
  <c r="AL622" i="28" a="1"/>
  <c r="AL622" i="28" s="1"/>
  <c r="AN622" i="28" s="1" a="1"/>
  <c r="AN622" i="28" s="1"/>
  <c r="AL778" i="28" a="1"/>
  <c r="AL778" i="28" s="1"/>
  <c r="AN778" i="28" s="1" a="1"/>
  <c r="AN778" i="28" s="1"/>
  <c r="AK830" i="28" a="1"/>
  <c r="AK830" i="28" s="1"/>
  <c r="AM830" i="28" s="1" a="1"/>
  <c r="AM830" i="28" s="1"/>
  <c r="AO762" i="28"/>
  <c r="AL878" i="28" a="1"/>
  <c r="AL878" i="28" s="1"/>
  <c r="AN878" i="28" s="1" a="1"/>
  <c r="AN878" i="28" s="1"/>
  <c r="AL906" i="28" a="1"/>
  <c r="AL906" i="28" s="1"/>
  <c r="AN906" i="28" s="1" a="1"/>
  <c r="AN906" i="28" s="1"/>
  <c r="AO982" i="28"/>
  <c r="AL522" i="28" a="1"/>
  <c r="AL522" i="28" s="1"/>
  <c r="AN522" i="28" s="1" a="1"/>
  <c r="AN522" i="28" s="1"/>
  <c r="AL442" i="28" a="1"/>
  <c r="AL442" i="28" s="1"/>
  <c r="AN442" i="28" s="1" a="1"/>
  <c r="AN442" i="28" s="1"/>
  <c r="AK990" i="28" a="1"/>
  <c r="AK990" i="28" s="1"/>
  <c r="AM990" i="28" s="1" a="1"/>
  <c r="AM990" i="28" s="1"/>
  <c r="AL990" i="28" a="1"/>
  <c r="AL990" i="28" s="1"/>
  <c r="AN990" i="28" s="1" a="1"/>
  <c r="AN990" i="28" s="1"/>
  <c r="AK930" i="28" a="1"/>
  <c r="AK930" i="28" s="1"/>
  <c r="AM930" i="28" s="1" a="1"/>
  <c r="AM930" i="28" s="1"/>
  <c r="AL930" i="28" a="1"/>
  <c r="AL930" i="28" s="1"/>
  <c r="AN930" i="28" s="1" a="1"/>
  <c r="AN930" i="28" s="1"/>
  <c r="AO930" i="28"/>
  <c r="AO902" i="28"/>
  <c r="AK902" i="28" a="1"/>
  <c r="AK902" i="28" s="1"/>
  <c r="AM902" i="28" s="1" a="1"/>
  <c r="AM902" i="28" s="1"/>
  <c r="AL882" i="28" a="1"/>
  <c r="AL882" i="28" s="1"/>
  <c r="AN882" i="28" s="1" a="1"/>
  <c r="AN882" i="28" s="1"/>
  <c r="AO882" i="28"/>
  <c r="AO870" i="28"/>
  <c r="AL870" i="28" a="1"/>
  <c r="AL870" i="28" s="1"/>
  <c r="AN870" i="28" s="1" a="1"/>
  <c r="AN870" i="28" s="1"/>
  <c r="AO862" i="28"/>
  <c r="AK862" i="28" a="1"/>
  <c r="AK862" i="28" s="1"/>
  <c r="AM862" i="28" s="1" a="1"/>
  <c r="AM862" i="28" s="1"/>
  <c r="AL850" i="28" a="1"/>
  <c r="AL850" i="28" s="1"/>
  <c r="AN850" i="28" s="1" a="1"/>
  <c r="AN850" i="28" s="1"/>
  <c r="AO850" i="28"/>
  <c r="AL834" i="28" a="1"/>
  <c r="AL834" i="28" s="1"/>
  <c r="AN834" i="28" s="1" a="1"/>
  <c r="AN834" i="28" s="1"/>
  <c r="AK834" i="28" a="1"/>
  <c r="AK834" i="28" s="1"/>
  <c r="AM834" i="28" s="1" a="1"/>
  <c r="AM834" i="28" s="1"/>
  <c r="AO834" i="28"/>
  <c r="AO822" i="28"/>
  <c r="AL822" i="28" a="1"/>
  <c r="AL822" i="28" s="1"/>
  <c r="AN822" i="28" s="1" a="1"/>
  <c r="AN822" i="28" s="1"/>
  <c r="AK822" i="28" a="1"/>
  <c r="AK822" i="28" s="1"/>
  <c r="AM822" i="28" s="1" a="1"/>
  <c r="AM822" i="28" s="1"/>
  <c r="AL790" i="28" a="1"/>
  <c r="AL790" i="28" s="1"/>
  <c r="AN790" i="28" s="1" a="1"/>
  <c r="AN790" i="28" s="1"/>
  <c r="AK790" i="28" a="1"/>
  <c r="AK790" i="28" s="1"/>
  <c r="AM790" i="28" s="1" a="1"/>
  <c r="AM790" i="28" s="1"/>
  <c r="AK774" i="28" a="1"/>
  <c r="AK774" i="28" s="1"/>
  <c r="AM774" i="28" s="1" a="1"/>
  <c r="AM774" i="28" s="1"/>
  <c r="AL774" i="28" a="1"/>
  <c r="AL774" i="28" s="1"/>
  <c r="AN774" i="28" s="1" a="1"/>
  <c r="AN774" i="28" s="1"/>
  <c r="AL654" i="28" a="1"/>
  <c r="AL654" i="28" s="1"/>
  <c r="AN654" i="28" s="1" a="1"/>
  <c r="AN654" i="28" s="1"/>
  <c r="AO654" i="28"/>
  <c r="AL566" i="28" a="1"/>
  <c r="AL566" i="28" s="1"/>
  <c r="AN566" i="28" s="1" a="1"/>
  <c r="AN566" i="28" s="1"/>
  <c r="AK566" i="28" a="1"/>
  <c r="AK566" i="28" s="1"/>
  <c r="AM566" i="28" s="1" a="1"/>
  <c r="AM566" i="28" s="1"/>
  <c r="AO538" i="28"/>
  <c r="AL538" i="28" a="1"/>
  <c r="AL538" i="28" s="1"/>
  <c r="AN538" i="28" s="1" a="1"/>
  <c r="AN538" i="28" s="1"/>
  <c r="AK538" i="28" a="1"/>
  <c r="AK538" i="28" s="1"/>
  <c r="AM538" i="28" s="1" a="1"/>
  <c r="AM538" i="28" s="1"/>
  <c r="AK530" i="28" a="1"/>
  <c r="AK530" i="28" s="1"/>
  <c r="AM530" i="28" s="1" a="1"/>
  <c r="AM530" i="28" s="1"/>
  <c r="AO530" i="28"/>
  <c r="AK498" i="28" a="1"/>
  <c r="AK498" i="28" s="1"/>
  <c r="AM498" i="28" s="1" a="1"/>
  <c r="AM498" i="28" s="1"/>
  <c r="AO498" i="28"/>
  <c r="AO474" i="28"/>
  <c r="AL474" i="28" a="1"/>
  <c r="AL474" i="28" s="1"/>
  <c r="AN474" i="28" s="1" a="1"/>
  <c r="AN474" i="28" s="1"/>
  <c r="AL502" i="28" a="1"/>
  <c r="AL502" i="28" s="1"/>
  <c r="AN502" i="28" s="1" a="1"/>
  <c r="AN502" i="28" s="1"/>
  <c r="AO506" i="28"/>
  <c r="AL490" i="28" a="1"/>
  <c r="AL490" i="28" s="1"/>
  <c r="AN490" i="28" s="1" a="1"/>
  <c r="AN490" i="28" s="1"/>
  <c r="AK494" i="28" a="1"/>
  <c r="AK494" i="28" s="1"/>
  <c r="AM494" i="28" s="1" a="1"/>
  <c r="AM494" i="28" s="1"/>
  <c r="AL510" i="28" a="1"/>
  <c r="AL510" i="28" s="1"/>
  <c r="AN510" i="28" s="1" a="1"/>
  <c r="AN510" i="28" s="1"/>
  <c r="AO518" i="28"/>
  <c r="AL938" i="28" a="1"/>
  <c r="AL938" i="28" s="1"/>
  <c r="AN938" i="28" s="1" a="1"/>
  <c r="AN938" i="28" s="1"/>
  <c r="AK870" i="28" a="1"/>
  <c r="AK870" i="28" s="1"/>
  <c r="AM870" i="28" s="1" a="1"/>
  <c r="AM870" i="28" s="1"/>
  <c r="AK594" i="28" a="1"/>
  <c r="AK594" i="28" s="1"/>
  <c r="AM594" i="28" s="1" a="1"/>
  <c r="AM594" i="28" s="1"/>
  <c r="AL610" i="28" a="1"/>
  <c r="AL610" i="28" s="1"/>
  <c r="AN610" i="28" s="1" a="1"/>
  <c r="AN610" i="28" s="1"/>
  <c r="AO790" i="28"/>
  <c r="AO742" i="28"/>
  <c r="AL766" i="28" a="1"/>
  <c r="AL766" i="28" s="1"/>
  <c r="AN766" i="28" s="1" a="1"/>
  <c r="AN766" i="28" s="1"/>
  <c r="AO894" i="28"/>
  <c r="AO566" i="28"/>
  <c r="AO634" i="28"/>
  <c r="AK678" i="28" a="1"/>
  <c r="AK678" i="28" s="1"/>
  <c r="AM678" i="28" s="1" a="1"/>
  <c r="AM678" i="28" s="1"/>
  <c r="AL934" i="28" a="1"/>
  <c r="AL934" i="28" s="1"/>
  <c r="AN934" i="28" s="1" a="1"/>
  <c r="AN934" i="28" s="1"/>
  <c r="AL902" i="28" a="1"/>
  <c r="AL902" i="28" s="1"/>
  <c r="AN902" i="28" s="1" a="1"/>
  <c r="AN902" i="28" s="1"/>
  <c r="AK542" i="28" a="1"/>
  <c r="AK542" i="28" s="1"/>
  <c r="AM542" i="28" s="1" a="1"/>
  <c r="AM542" i="28" s="1"/>
  <c r="AL954" i="28" a="1"/>
  <c r="AL954" i="28" s="1"/>
  <c r="AN954" i="28" s="1" a="1"/>
  <c r="AN954" i="28" s="1"/>
  <c r="AO846" i="28"/>
  <c r="AK710" i="28" a="1"/>
  <c r="AK710" i="28" s="1"/>
  <c r="AM710" i="28" s="1" a="1"/>
  <c r="AM710" i="28" s="1"/>
  <c r="AO622" i="28"/>
  <c r="AK994" i="28" a="1"/>
  <c r="AK994" i="28" s="1"/>
  <c r="AM994" i="28" s="1" a="1"/>
  <c r="AM994" i="28" s="1"/>
  <c r="AO778" i="28"/>
  <c r="AL782" i="28" a="1"/>
  <c r="AL782" i="28" s="1"/>
  <c r="AN782" i="28" s="1" a="1"/>
  <c r="AN782" i="28" s="1"/>
  <c r="AO702" i="28"/>
  <c r="AO686" i="28"/>
  <c r="AO826" i="28"/>
  <c r="AO662" i="28"/>
  <c r="AL530" i="28" a="1"/>
  <c r="AL530" i="28" s="1"/>
  <c r="AN530" i="28" s="1" a="1"/>
  <c r="AN530" i="28" s="1"/>
  <c r="AK734" i="28" a="1"/>
  <c r="AK734" i="28" s="1"/>
  <c r="AM734" i="28" s="1" a="1"/>
  <c r="AM734" i="28" s="1"/>
  <c r="AL726" i="28" a="1"/>
  <c r="AL726" i="28" s="1"/>
  <c r="AN726" i="28" s="1" a="1"/>
  <c r="AN726" i="28" s="1"/>
  <c r="AO950" i="28"/>
  <c r="AK550" i="28" a="1"/>
  <c r="AK550" i="28" s="1"/>
  <c r="AM550" i="28" s="1" a="1"/>
  <c r="AM550" i="28" s="1"/>
  <c r="AL974" i="28" a="1"/>
  <c r="AL974" i="28" s="1"/>
  <c r="AN974" i="28" s="1" a="1"/>
  <c r="AN974" i="28" s="1"/>
  <c r="AK974" i="28" a="1"/>
  <c r="AK974" i="28" s="1"/>
  <c r="AM974" i="28" s="1" a="1"/>
  <c r="AM974" i="28" s="1"/>
  <c r="AO966" i="28"/>
  <c r="AK966" i="28" a="1"/>
  <c r="AK966" i="28" s="1"/>
  <c r="AM966" i="28" s="1" a="1"/>
  <c r="AM966" i="28" s="1"/>
  <c r="AO926" i="28"/>
  <c r="AL926" i="28" a="1"/>
  <c r="AL926" i="28" s="1"/>
  <c r="AN926" i="28" s="1" a="1"/>
  <c r="AN926" i="28" s="1"/>
  <c r="AL922" i="28" a="1"/>
  <c r="AL922" i="28" s="1"/>
  <c r="AN922" i="28" s="1" a="1"/>
  <c r="AN922" i="28" s="1"/>
  <c r="AO922" i="28"/>
  <c r="AO910" i="28"/>
  <c r="AL910" i="28" a="1"/>
  <c r="AL910" i="28" s="1"/>
  <c r="AN910" i="28" s="1" a="1"/>
  <c r="AN910" i="28" s="1"/>
  <c r="AK898" i="28" a="1"/>
  <c r="AK898" i="28" s="1"/>
  <c r="AM898" i="28" s="1" a="1"/>
  <c r="AM898" i="28" s="1"/>
  <c r="AO898" i="28"/>
  <c r="AL866" i="28" a="1"/>
  <c r="AL866" i="28" s="1"/>
  <c r="AN866" i="28" s="1" a="1"/>
  <c r="AN866" i="28" s="1"/>
  <c r="AK866" i="28" a="1"/>
  <c r="AK866" i="28" s="1"/>
  <c r="AM866" i="28" s="1" a="1"/>
  <c r="AM866" i="28" s="1"/>
  <c r="AO858" i="28"/>
  <c r="AL858" i="28" a="1"/>
  <c r="AL858" i="28" s="1"/>
  <c r="AN858" i="28" s="1" a="1"/>
  <c r="AN858" i="28" s="1"/>
  <c r="AK858" i="28" a="1"/>
  <c r="AK858" i="28" s="1"/>
  <c r="AM858" i="28" s="1" a="1"/>
  <c r="AM858" i="28" s="1"/>
  <c r="AK818" i="28" a="1"/>
  <c r="AK818" i="28" s="1"/>
  <c r="AM818" i="28" s="1" a="1"/>
  <c r="AM818" i="28" s="1"/>
  <c r="AL818" i="28" a="1"/>
  <c r="AL818" i="28" s="1"/>
  <c r="AN818" i="28" s="1" a="1"/>
  <c r="AN818" i="28" s="1"/>
  <c r="AL810" i="28" a="1"/>
  <c r="AL810" i="28" s="1"/>
  <c r="AN810" i="28" s="1" a="1"/>
  <c r="AN810" i="28" s="1"/>
  <c r="AO810" i="28"/>
  <c r="AK810" i="28" a="1"/>
  <c r="AK810" i="28" s="1"/>
  <c r="AM810" i="28" s="1" a="1"/>
  <c r="AM810" i="28" s="1"/>
  <c r="AK754" i="28" a="1"/>
  <c r="AK754" i="28" s="1"/>
  <c r="AM754" i="28" s="1" a="1"/>
  <c r="AM754" i="28" s="1"/>
  <c r="AL754" i="28" a="1"/>
  <c r="AL754" i="28" s="1"/>
  <c r="AN754" i="28" s="1" a="1"/>
  <c r="AN754" i="28" s="1"/>
  <c r="AO730" i="28"/>
  <c r="AL730" i="28" a="1"/>
  <c r="AL730" i="28" s="1"/>
  <c r="AN730" i="28" s="1" a="1"/>
  <c r="AN730" i="28" s="1"/>
  <c r="AK718" i="28" a="1"/>
  <c r="AK718" i="28" s="1"/>
  <c r="AM718" i="28" s="1" a="1"/>
  <c r="AM718" i="28" s="1"/>
  <c r="AO718" i="28"/>
  <c r="AL718" i="28" a="1"/>
  <c r="AL718" i="28" s="1"/>
  <c r="AN718" i="28" s="1" a="1"/>
  <c r="AN718" i="28" s="1"/>
  <c r="AO670" i="28"/>
  <c r="AK670" i="28" a="1"/>
  <c r="AK670" i="28" s="1"/>
  <c r="AM670" i="28" s="1" a="1"/>
  <c r="AM670" i="28" s="1"/>
  <c r="AK658" i="28" a="1"/>
  <c r="AK658" i="28" s="1"/>
  <c r="AM658" i="28" s="1" a="1"/>
  <c r="AM658" i="28" s="1"/>
  <c r="AL658" i="28" a="1"/>
  <c r="AL658" i="28" s="1"/>
  <c r="AN658" i="28" s="1" a="1"/>
  <c r="AN658" i="28" s="1"/>
  <c r="AO658" i="28"/>
  <c r="AO646" i="28"/>
  <c r="AK646" i="28" a="1"/>
  <c r="AK646" i="28" s="1"/>
  <c r="AM646" i="28" s="1" a="1"/>
  <c r="AM646" i="28" s="1"/>
  <c r="AL570" i="28" a="1"/>
  <c r="AL570" i="28" s="1"/>
  <c r="AN570" i="28" s="1" a="1"/>
  <c r="AN570" i="28" s="1"/>
  <c r="AO570" i="28"/>
  <c r="AL514" i="28" a="1"/>
  <c r="AL514" i="28" s="1"/>
  <c r="AN514" i="28" s="1" a="1"/>
  <c r="AN514" i="28" s="1"/>
  <c r="AO514" i="28"/>
  <c r="AK478" i="28" a="1"/>
  <c r="AK478" i="28" s="1"/>
  <c r="AM478" i="28" s="1" a="1"/>
  <c r="AM478" i="28" s="1"/>
  <c r="AO478" i="28"/>
  <c r="AO470" i="28"/>
  <c r="AK470" i="28" a="1"/>
  <c r="AK470" i="28" s="1"/>
  <c r="AM470" i="28" s="1" a="1"/>
  <c r="AM470" i="28" s="1"/>
  <c r="AL486" i="28" a="1"/>
  <c r="AL486" i="28" s="1"/>
  <c r="AN486" i="28" s="1" a="1"/>
  <c r="AN486" i="28" s="1"/>
  <c r="AL862" i="28" a="1"/>
  <c r="AL862" i="28" s="1"/>
  <c r="AN862" i="28" s="1" a="1"/>
  <c r="AN862" i="28" s="1"/>
  <c r="AO562" i="28"/>
  <c r="AO630" i="28"/>
  <c r="AL750" i="28" a="1"/>
  <c r="AL750" i="28" s="1"/>
  <c r="AN750" i="28" s="1" a="1"/>
  <c r="AN750" i="28" s="1"/>
  <c r="AO674" i="28"/>
  <c r="AL746" i="28" a="1"/>
  <c r="AL746" i="28" s="1"/>
  <c r="AN746" i="28" s="1" a="1"/>
  <c r="AN746" i="28" s="1"/>
  <c r="AL598" i="28" a="1"/>
  <c r="AL598" i="28" s="1"/>
  <c r="AN598" i="28" s="1" a="1"/>
  <c r="AN598" i="28" s="1"/>
  <c r="AK642" i="28" a="1"/>
  <c r="AK642" i="28" s="1"/>
  <c r="AM642" i="28" s="1" a="1"/>
  <c r="AM642" i="28" s="1"/>
  <c r="AK698" i="28" a="1"/>
  <c r="AK698" i="28" s="1"/>
  <c r="AM698" i="28" s="1" a="1"/>
  <c r="AM698" i="28" s="1"/>
  <c r="AK606" i="28" a="1"/>
  <c r="AK606" i="28" s="1"/>
  <c r="AM606" i="28" s="1" a="1"/>
  <c r="AM606" i="28" s="1"/>
  <c r="AL526" i="28" a="1"/>
  <c r="AL526" i="28" s="1"/>
  <c r="AN526" i="28" s="1" a="1"/>
  <c r="AN526" i="28" s="1"/>
  <c r="AL614" i="28" a="1"/>
  <c r="AL614" i="28" s="1"/>
  <c r="AN614" i="28" s="1" a="1"/>
  <c r="AN614" i="28" s="1"/>
  <c r="AK722" i="28" a="1"/>
  <c r="AK722" i="28" s="1"/>
  <c r="AM722" i="28" s="1" a="1"/>
  <c r="AM722" i="28" s="1"/>
  <c r="AL602" i="28" a="1"/>
  <c r="AL602" i="28" s="1"/>
  <c r="AN602" i="28" s="1" a="1"/>
  <c r="AN602" i="28" s="1"/>
  <c r="AL758" i="28" a="1"/>
  <c r="AL758" i="28" s="1"/>
  <c r="AN758" i="28" s="1" a="1"/>
  <c r="AN758" i="28" s="1"/>
  <c r="AO590" i="28"/>
  <c r="AL626" i="28" a="1"/>
  <c r="AL626" i="28" s="1"/>
  <c r="AN626" i="28" s="1" a="1"/>
  <c r="AN626" i="28" s="1"/>
  <c r="AK986" i="28" a="1"/>
  <c r="AK986" i="28" s="1"/>
  <c r="AM986" i="28" s="1" a="1"/>
  <c r="AM986" i="28" s="1"/>
  <c r="AK654" i="28" a="1"/>
  <c r="AK654" i="28" s="1"/>
  <c r="AM654" i="28" s="1" a="1"/>
  <c r="AM654" i="28" s="1"/>
  <c r="AO690" i="28"/>
  <c r="AO754" i="28"/>
  <c r="AL694" i="28" a="1"/>
  <c r="AL694" i="28" s="1"/>
  <c r="AN694" i="28" s="1" a="1"/>
  <c r="AN694" i="28" s="1"/>
  <c r="AL814" i="28" a="1"/>
  <c r="AL814" i="28" s="1"/>
  <c r="AN814" i="28" s="1" a="1"/>
  <c r="AN814" i="28" s="1"/>
  <c r="AO990" i="28"/>
  <c r="AO774" i="28"/>
  <c r="AL830" i="28" a="1"/>
  <c r="AL830" i="28" s="1"/>
  <c r="AN830" i="28" s="1" a="1"/>
  <c r="AN830" i="28" s="1"/>
  <c r="AK918" i="28" a="1"/>
  <c r="AK918" i="28" s="1"/>
  <c r="AM918" i="28" s="1" a="1"/>
  <c r="AM918" i="28" s="1"/>
  <c r="AL966" i="28" a="1"/>
  <c r="AL966" i="28" s="1"/>
  <c r="AN966" i="28" s="1" a="1"/>
  <c r="AN966" i="28" s="1"/>
  <c r="AO738" i="28"/>
  <c r="AO710" i="28"/>
  <c r="AL478" i="28" a="1"/>
  <c r="AL478" i="28" s="1"/>
  <c r="AN478" i="28" s="1" a="1"/>
  <c r="AN478" i="28" s="1"/>
  <c r="AK914" i="28" a="1"/>
  <c r="AK914" i="28" s="1"/>
  <c r="AM914" i="28" s="1" a="1"/>
  <c r="AM914" i="28" s="1"/>
  <c r="AO802" i="28"/>
  <c r="AO598" i="28"/>
  <c r="AK854" i="28" a="1"/>
  <c r="AK854" i="28" s="1"/>
  <c r="AM854" i="28" s="1" a="1"/>
  <c r="AM854" i="28" s="1"/>
  <c r="AL838" i="28" a="1"/>
  <c r="AL838" i="28" s="1"/>
  <c r="AN838" i="28" s="1" a="1"/>
  <c r="AN838" i="28" s="1"/>
  <c r="AL470" i="28" a="1"/>
  <c r="AL470" i="28" s="1"/>
  <c r="AN470" i="28" s="1" a="1"/>
  <c r="AN470" i="28" s="1"/>
  <c r="AK921" i="28" a="1"/>
  <c r="AK921" i="28" s="1"/>
  <c r="AM921" i="28" s="1" a="1"/>
  <c r="AM921" i="28" s="1"/>
  <c r="AO921" i="28"/>
  <c r="AK905" i="28" a="1"/>
  <c r="AK905" i="28" s="1"/>
  <c r="AM905" i="28" s="1" a="1"/>
  <c r="AM905" i="28" s="1"/>
  <c r="AL905" i="28" a="1"/>
  <c r="AL905" i="28" s="1"/>
  <c r="AN905" i="28" s="1" a="1"/>
  <c r="AN905" i="28" s="1"/>
  <c r="AK845" i="28" a="1"/>
  <c r="AK845" i="28" s="1"/>
  <c r="AM845" i="28" s="1" a="1"/>
  <c r="AM845" i="28" s="1"/>
  <c r="AO845" i="28"/>
  <c r="AK629" i="28" a="1"/>
  <c r="AK629" i="28" s="1"/>
  <c r="AM629" i="28" s="1" a="1"/>
  <c r="AM629" i="28" s="1"/>
  <c r="AL629" i="28" a="1"/>
  <c r="AL629" i="28" s="1"/>
  <c r="AN629" i="28" s="1" a="1"/>
  <c r="AN629" i="28" s="1"/>
  <c r="AK565" i="28" a="1"/>
  <c r="AK565" i="28" s="1"/>
  <c r="AM565" i="28" s="1" a="1"/>
  <c r="AM565" i="28" s="1"/>
  <c r="AO565" i="28"/>
  <c r="AL553" i="28" a="1"/>
  <c r="AL553" i="28" s="1"/>
  <c r="AN553" i="28" s="1" a="1"/>
  <c r="AN553" i="28" s="1"/>
  <c r="AO553" i="28"/>
  <c r="AK485" i="28" a="1"/>
  <c r="AK485" i="28" s="1"/>
  <c r="AM485" i="28" s="1" a="1"/>
  <c r="AM485" i="28" s="1"/>
  <c r="AO437" i="28"/>
  <c r="AO593" i="28"/>
  <c r="AL911" i="28" a="1"/>
  <c r="AL911" i="28" s="1"/>
  <c r="AN911" i="28" s="1" a="1"/>
  <c r="AN911" i="28" s="1"/>
  <c r="AK817" i="28" a="1"/>
  <c r="AK817" i="28" s="1"/>
  <c r="AM817" i="28" s="1" a="1"/>
  <c r="AM817" i="28" s="1"/>
  <c r="AO537" i="28"/>
  <c r="AL939" i="28" a="1"/>
  <c r="AL939" i="28" s="1"/>
  <c r="AN939" i="28" s="1" a="1"/>
  <c r="AN939" i="28" s="1"/>
  <c r="AL895" i="28" a="1"/>
  <c r="AL895" i="28" s="1"/>
  <c r="AN895" i="28" s="1" a="1"/>
  <c r="AN895" i="28" s="1"/>
  <c r="AL891" i="28" a="1"/>
  <c r="AL891" i="28" s="1"/>
  <c r="AN891" i="28" s="1" a="1"/>
  <c r="AN891" i="28" s="1"/>
  <c r="AO685" i="28"/>
  <c r="AO983" i="28"/>
  <c r="AO649" i="28"/>
  <c r="AL959" i="28" a="1"/>
  <c r="AL959" i="28" s="1"/>
  <c r="AN959" i="28" s="1" a="1"/>
  <c r="AN959" i="28" s="1"/>
  <c r="AO907" i="28"/>
  <c r="AO905" i="28"/>
  <c r="AK593" i="28" a="1"/>
  <c r="AK593" i="28" s="1"/>
  <c r="AM593" i="28" s="1" a="1"/>
  <c r="AM593" i="28" s="1"/>
  <c r="AL565" i="28" a="1"/>
  <c r="AL565" i="28" s="1"/>
  <c r="AN565" i="28" s="1" a="1"/>
  <c r="AN565" i="28" s="1"/>
  <c r="AK653" i="28" a="1"/>
  <c r="AK653" i="28" s="1"/>
  <c r="AM653" i="28" s="1" a="1"/>
  <c r="AM653" i="28" s="1"/>
  <c r="AL845" i="28" a="1"/>
  <c r="AL845" i="28" s="1"/>
  <c r="AN845" i="28" s="1" a="1"/>
  <c r="AN845" i="28" s="1"/>
  <c r="AK769" i="28" a="1"/>
  <c r="AK769" i="28" s="1"/>
  <c r="AM769" i="28" s="1" a="1"/>
  <c r="AM769" i="28" s="1"/>
  <c r="AL817" i="28" a="1"/>
  <c r="AL817" i="28" s="1"/>
  <c r="AN817" i="28" s="1" a="1"/>
  <c r="AN817" i="28" s="1"/>
  <c r="AK793" i="28" a="1"/>
  <c r="AK793" i="28" s="1"/>
  <c r="AM793" i="28" s="1" a="1"/>
  <c r="AM793" i="28" s="1"/>
  <c r="AL717" i="28" a="1"/>
  <c r="AL717" i="28" s="1"/>
  <c r="AN717" i="28" s="1" a="1"/>
  <c r="AN717" i="28" s="1"/>
  <c r="AK521" i="28" a="1"/>
  <c r="AK521" i="28" s="1"/>
  <c r="AM521" i="28" s="1" a="1"/>
  <c r="AM521" i="28" s="1"/>
  <c r="AO561" i="28"/>
  <c r="AL533" i="28" a="1"/>
  <c r="AL533" i="28" s="1"/>
  <c r="AN533" i="28" s="1" a="1"/>
  <c r="AN533" i="28" s="1"/>
  <c r="AO549" i="28"/>
  <c r="AK581" i="28" a="1"/>
  <c r="AK581" i="28" s="1"/>
  <c r="AM581" i="28" s="1" a="1"/>
  <c r="AM581" i="28" s="1"/>
  <c r="AK729" i="28" a="1"/>
  <c r="AK729" i="28" s="1"/>
  <c r="AM729" i="28" s="1" a="1"/>
  <c r="AM729" i="28" s="1"/>
  <c r="AL649" i="28" a="1"/>
  <c r="AL649" i="28" s="1"/>
  <c r="AN649" i="28" s="1" a="1"/>
  <c r="AN649" i="28" s="1"/>
  <c r="AO629" i="28"/>
  <c r="AL981" i="28" a="1"/>
  <c r="AL981" i="28" s="1"/>
  <c r="AN981" i="28" s="1" a="1"/>
  <c r="AN981" i="28" s="1"/>
  <c r="AO613" i="28"/>
  <c r="AL945" i="28" a="1"/>
  <c r="AL945" i="28" s="1"/>
  <c r="AN945" i="28" s="1" a="1"/>
  <c r="AN945" i="28" s="1"/>
  <c r="AK605" i="28" a="1"/>
  <c r="AK605" i="28" s="1"/>
  <c r="AM605" i="28" s="1" a="1"/>
  <c r="AM605" i="28" s="1"/>
  <c r="AO721" i="28"/>
  <c r="AL705" i="28" a="1"/>
  <c r="AL705" i="28" s="1"/>
  <c r="AN705" i="28" s="1" a="1"/>
  <c r="AN705" i="28" s="1"/>
  <c r="AL737" i="28" a="1"/>
  <c r="AL737" i="28" s="1"/>
  <c r="AN737" i="28" s="1" a="1"/>
  <c r="AN737" i="28" s="1"/>
  <c r="AO693" i="28"/>
  <c r="AL753" i="28" a="1"/>
  <c r="AL753" i="28" s="1"/>
  <c r="AN753" i="28" s="1" a="1"/>
  <c r="AN753" i="28" s="1"/>
  <c r="AL865" i="28" a="1"/>
  <c r="AL865" i="28" s="1"/>
  <c r="AN865" i="28" s="1" a="1"/>
  <c r="AN865" i="28" s="1"/>
  <c r="AK433" i="28" a="1"/>
  <c r="AK433" i="28" s="1"/>
  <c r="AM433" i="28" s="1" a="1"/>
  <c r="AM433" i="28" s="1"/>
  <c r="AL601" i="28" a="1"/>
  <c r="AL601" i="28" s="1"/>
  <c r="AN601" i="28" s="1" a="1"/>
  <c r="AN601" i="28" s="1"/>
  <c r="AL653" i="28" a="1"/>
  <c r="AL653" i="28" s="1"/>
  <c r="AN653" i="28" s="1" a="1"/>
  <c r="AN653" i="28" s="1"/>
  <c r="AK833" i="28" a="1"/>
  <c r="AK833" i="28" s="1"/>
  <c r="AM833" i="28" s="1" a="1"/>
  <c r="AM833" i="28" s="1"/>
  <c r="AL769" i="28" a="1"/>
  <c r="AL769" i="28" s="1"/>
  <c r="AN769" i="28" s="1" a="1"/>
  <c r="AN769" i="28" s="1"/>
  <c r="AO877" i="28"/>
  <c r="AO697" i="28"/>
  <c r="AK717" i="28" a="1"/>
  <c r="AK717" i="28" s="1"/>
  <c r="AM717" i="28" s="1" a="1"/>
  <c r="AM717" i="28" s="1"/>
  <c r="AO521" i="28"/>
  <c r="AK561" i="28" a="1"/>
  <c r="AK561" i="28" s="1"/>
  <c r="AM561" i="28" s="1" a="1"/>
  <c r="AM561" i="28" s="1"/>
  <c r="AL525" i="28" a="1"/>
  <c r="AL525" i="28" s="1"/>
  <c r="AN525" i="28" s="1" a="1"/>
  <c r="AN525" i="28" s="1"/>
  <c r="AO533" i="28"/>
  <c r="AK697" i="28" a="1"/>
  <c r="AK697" i="28" s="1"/>
  <c r="AM697" i="28" s="1" a="1"/>
  <c r="AM697" i="28" s="1"/>
  <c r="AK677" i="28" a="1"/>
  <c r="AK677" i="28" s="1"/>
  <c r="AM677" i="28" s="1" a="1"/>
  <c r="AM677" i="28" s="1"/>
  <c r="AL897" i="28" a="1"/>
  <c r="AL897" i="28" s="1"/>
  <c r="AN897" i="28" s="1" a="1"/>
  <c r="AN897" i="28" s="1"/>
  <c r="AO821" i="28"/>
  <c r="AL829" i="28" a="1"/>
  <c r="AL829" i="28" s="1"/>
  <c r="AN829" i="28" s="1" a="1"/>
  <c r="AN829" i="28" s="1"/>
  <c r="AO809" i="28"/>
  <c r="AK661" i="28" a="1"/>
  <c r="AK661" i="28" s="1"/>
  <c r="AM661" i="28" s="1" a="1"/>
  <c r="AM661" i="28" s="1"/>
  <c r="AL613" i="28" a="1"/>
  <c r="AL613" i="28" s="1"/>
  <c r="AN613" i="28" s="1" a="1"/>
  <c r="AN613" i="28" s="1"/>
  <c r="AO605" i="28"/>
  <c r="AK597" i="28" a="1"/>
  <c r="AK597" i="28" s="1"/>
  <c r="AM597" i="28" s="1" a="1"/>
  <c r="AM597" i="28" s="1"/>
  <c r="AK637" i="28" a="1"/>
  <c r="AK637" i="28" s="1"/>
  <c r="AM637" i="28" s="1" a="1"/>
  <c r="AM637" i="28" s="1"/>
  <c r="AL681" i="28" a="1"/>
  <c r="AL681" i="28" s="1"/>
  <c r="AN681" i="28" s="1" a="1"/>
  <c r="AN681" i="28" s="1"/>
  <c r="AO825" i="28"/>
  <c r="AL805" i="28" a="1"/>
  <c r="AL805" i="28" s="1"/>
  <c r="AN805" i="28" s="1" a="1"/>
  <c r="AN805" i="28" s="1"/>
  <c r="AL721" i="28" a="1"/>
  <c r="AL721" i="28" s="1"/>
  <c r="AN721" i="28" s="1" a="1"/>
  <c r="AN721" i="28" s="1"/>
  <c r="AK761" i="28" a="1"/>
  <c r="AK761" i="28" s="1"/>
  <c r="AM761" i="28" s="1" a="1"/>
  <c r="AM761" i="28" s="1"/>
  <c r="AO429" i="28"/>
  <c r="AO449" i="28"/>
  <c r="AK601" i="28" a="1"/>
  <c r="AK601" i="28" s="1"/>
  <c r="AM601" i="28" s="1" a="1"/>
  <c r="AM601" i="28" s="1"/>
  <c r="AL625" i="28" a="1"/>
  <c r="AL625" i="28" s="1"/>
  <c r="AN625" i="28" s="1" a="1"/>
  <c r="AN625" i="28" s="1"/>
  <c r="AO713" i="28"/>
  <c r="AO793" i="28"/>
  <c r="AK537" i="28" a="1"/>
  <c r="AK537" i="28" s="1"/>
  <c r="AM537" i="28" s="1" a="1"/>
  <c r="AM537" i="28" s="1"/>
  <c r="AK553" i="28" a="1"/>
  <c r="AK553" i="28" s="1"/>
  <c r="AM553" i="28" s="1" a="1"/>
  <c r="AM553" i="28" s="1"/>
  <c r="AO525" i="28"/>
  <c r="AK765" i="28" a="1"/>
  <c r="AK765" i="28" s="1"/>
  <c r="AM765" i="28" s="1" a="1"/>
  <c r="AM765" i="28" s="1"/>
  <c r="AL661" i="28" a="1"/>
  <c r="AL661" i="28" s="1"/>
  <c r="AN661" i="28" s="1" a="1"/>
  <c r="AN661" i="28" s="1"/>
  <c r="AL961" i="28" a="1"/>
  <c r="AL961" i="28" s="1"/>
  <c r="AN961" i="28" s="1" a="1"/>
  <c r="AN961" i="28" s="1"/>
  <c r="AK641" i="28" a="1"/>
  <c r="AK641" i="28" s="1"/>
  <c r="AM641" i="28" s="1" a="1"/>
  <c r="AM641" i="28" s="1"/>
  <c r="AL913" i="28" a="1"/>
  <c r="AL913" i="28" s="1"/>
  <c r="AN913" i="28" s="1" a="1"/>
  <c r="AN913" i="28" s="1"/>
  <c r="AL977" i="28" a="1"/>
  <c r="AL977" i="28" s="1"/>
  <c r="AN977" i="28" s="1" a="1"/>
  <c r="AN977" i="28" s="1"/>
  <c r="AL669" i="28" a="1"/>
  <c r="AL669" i="28" s="1"/>
  <c r="AN669" i="28" s="1" a="1"/>
  <c r="AN669" i="28" s="1"/>
  <c r="AO1001" i="28"/>
  <c r="AO889" i="28"/>
  <c r="AL1000" i="28" a="1"/>
  <c r="AL1000" i="28" s="1"/>
  <c r="AN1000" i="28" s="1" a="1"/>
  <c r="AN1000" i="28" s="1"/>
  <c r="AO1000" i="28"/>
  <c r="AK1000" i="28" a="1"/>
  <c r="AK1000" i="28" s="1"/>
  <c r="AM1000" i="28" s="1" a="1"/>
  <c r="AM1000" i="28" s="1"/>
  <c r="AL984" i="28" a="1"/>
  <c r="AL984" i="28" s="1"/>
  <c r="AN984" i="28" s="1" a="1"/>
  <c r="AN984" i="28" s="1"/>
  <c r="AK984" i="28" a="1"/>
  <c r="AK984" i="28" s="1"/>
  <c r="AM984" i="28" s="1" a="1"/>
  <c r="AM984" i="28" s="1"/>
  <c r="AO984" i="28"/>
  <c r="AK980" i="28" a="1"/>
  <c r="AK980" i="28" s="1"/>
  <c r="AM980" i="28" s="1" a="1"/>
  <c r="AM980" i="28" s="1"/>
  <c r="AO980" i="28"/>
  <c r="AL980" i="28" a="1"/>
  <c r="AL980" i="28" s="1"/>
  <c r="AN980" i="28" s="1" a="1"/>
  <c r="AN980" i="28" s="1"/>
  <c r="AL976" i="28" a="1"/>
  <c r="AL976" i="28" s="1"/>
  <c r="AN976" i="28" s="1" a="1"/>
  <c r="AN976" i="28" s="1"/>
  <c r="AO976" i="28"/>
  <c r="AK972" i="28" a="1"/>
  <c r="AK972" i="28" s="1"/>
  <c r="AM972" i="28" s="1" a="1"/>
  <c r="AM972" i="28" s="1"/>
  <c r="AO972" i="28"/>
  <c r="AL972" i="28" a="1"/>
  <c r="AL972" i="28" s="1"/>
  <c r="AN972" i="28" s="1" a="1"/>
  <c r="AN972" i="28" s="1"/>
  <c r="AO968" i="28"/>
  <c r="AL968" i="28" a="1"/>
  <c r="AL968" i="28" s="1"/>
  <c r="AN968" i="28" s="1" a="1"/>
  <c r="AN968" i="28" s="1"/>
  <c r="AL960" i="28" a="1"/>
  <c r="AL960" i="28" s="1"/>
  <c r="AN960" i="28" s="1" a="1"/>
  <c r="AN960" i="28" s="1"/>
  <c r="AO960" i="28"/>
  <c r="AK956" i="28" a="1"/>
  <c r="AK956" i="28" s="1"/>
  <c r="AM956" i="28" s="1" a="1"/>
  <c r="AM956" i="28" s="1"/>
  <c r="AO956" i="28"/>
  <c r="AO952" i="28"/>
  <c r="AK952" i="28" a="1"/>
  <c r="AK952" i="28" s="1"/>
  <c r="AM952" i="28" s="1" a="1"/>
  <c r="AM952" i="28" s="1"/>
  <c r="AL948" i="28" a="1"/>
  <c r="AL948" i="28" s="1"/>
  <c r="AN948" i="28" s="1" a="1"/>
  <c r="AN948" i="28" s="1"/>
  <c r="AO948" i="28"/>
  <c r="AO944" i="28"/>
  <c r="AL944" i="28" a="1"/>
  <c r="AL944" i="28" s="1"/>
  <c r="AN944" i="28" s="1" a="1"/>
  <c r="AN944" i="28" s="1"/>
  <c r="AK940" i="28" a="1"/>
  <c r="AK940" i="28" s="1"/>
  <c r="AM940" i="28" s="1" a="1"/>
  <c r="AM940" i="28" s="1"/>
  <c r="AL940" i="28" a="1"/>
  <c r="AL940" i="28" s="1"/>
  <c r="AN940" i="28" s="1" a="1"/>
  <c r="AN940" i="28" s="1"/>
  <c r="AO928" i="28"/>
  <c r="AL928" i="28" a="1"/>
  <c r="AL928" i="28" s="1"/>
  <c r="AN928" i="28" s="1" a="1"/>
  <c r="AN928" i="28" s="1"/>
  <c r="AK924" i="28" a="1"/>
  <c r="AK924" i="28" s="1"/>
  <c r="AM924" i="28" s="1" a="1"/>
  <c r="AM924" i="28" s="1"/>
  <c r="AL924" i="28" a="1"/>
  <c r="AL924" i="28" s="1"/>
  <c r="AN924" i="28" s="1" a="1"/>
  <c r="AN924" i="28" s="1"/>
  <c r="AK916" i="28" a="1"/>
  <c r="AK916" i="28" s="1"/>
  <c r="AM916" i="28" s="1" a="1"/>
  <c r="AM916" i="28" s="1"/>
  <c r="AO916" i="28"/>
  <c r="AL916" i="28" a="1"/>
  <c r="AL916" i="28" s="1"/>
  <c r="AN916" i="28" s="1" a="1"/>
  <c r="AN916" i="28" s="1"/>
  <c r="AK900" i="28" a="1"/>
  <c r="AK900" i="28" s="1"/>
  <c r="AM900" i="28" s="1" a="1"/>
  <c r="AM900" i="28" s="1"/>
  <c r="AO900" i="28"/>
  <c r="AO892" i="28"/>
  <c r="AK892" i="28" a="1"/>
  <c r="AK892" i="28" s="1"/>
  <c r="AM892" i="28" s="1" a="1"/>
  <c r="AM892" i="28" s="1"/>
  <c r="AL884" i="28" a="1"/>
  <c r="AL884" i="28" s="1"/>
  <c r="AN884" i="28" s="1" a="1"/>
  <c r="AN884" i="28" s="1"/>
  <c r="AO884" i="28"/>
  <c r="AO880" i="28"/>
  <c r="AL880" i="28" a="1"/>
  <c r="AL880" i="28" s="1"/>
  <c r="AN880" i="28" s="1" a="1"/>
  <c r="AN880" i="28" s="1"/>
  <c r="AO872" i="28"/>
  <c r="AK872" i="28" a="1"/>
  <c r="AK872" i="28" s="1"/>
  <c r="AM872" i="28" s="1" a="1"/>
  <c r="AM872" i="28" s="1"/>
  <c r="AL872" i="28" a="1"/>
  <c r="AL872" i="28" s="1"/>
  <c r="AN872" i="28" s="1" a="1"/>
  <c r="AN872" i="28" s="1"/>
  <c r="AK852" i="28" a="1"/>
  <c r="AK852" i="28" s="1"/>
  <c r="AM852" i="28" s="1" a="1"/>
  <c r="AM852" i="28" s="1"/>
  <c r="AO852" i="28"/>
  <c r="AL844" i="28" a="1"/>
  <c r="AL844" i="28" s="1"/>
  <c r="AN844" i="28" s="1" a="1"/>
  <c r="AN844" i="28" s="1"/>
  <c r="AK844" i="28" a="1"/>
  <c r="AK844" i="28" s="1"/>
  <c r="AM844" i="28" s="1" a="1"/>
  <c r="AM844" i="28" s="1"/>
  <c r="AO844" i="28"/>
  <c r="AK840" i="28" a="1"/>
  <c r="AK840" i="28" s="1"/>
  <c r="AM840" i="28" s="1" a="1"/>
  <c r="AM840" i="28" s="1"/>
  <c r="AO840" i="28"/>
  <c r="AL832" i="28" a="1"/>
  <c r="AL832" i="28" s="1"/>
  <c r="AN832" i="28" s="1" a="1"/>
  <c r="AN832" i="28" s="1"/>
  <c r="AO832" i="28"/>
  <c r="AL816" i="28" a="1"/>
  <c r="AL816" i="28" s="1"/>
  <c r="AN816" i="28" s="1" a="1"/>
  <c r="AN816" i="28" s="1"/>
  <c r="AO816" i="28"/>
  <c r="AO812" i="28"/>
  <c r="AK812" i="28" a="1"/>
  <c r="AK812" i="28" s="1"/>
  <c r="AM812" i="28" s="1" a="1"/>
  <c r="AM812" i="28" s="1"/>
  <c r="AK808" i="28" a="1"/>
  <c r="AK808" i="28" s="1"/>
  <c r="AM808" i="28" s="1" a="1"/>
  <c r="AM808" i="28" s="1"/>
  <c r="AL808" i="28" a="1"/>
  <c r="AL808" i="28" s="1"/>
  <c r="AN808" i="28" s="1" a="1"/>
  <c r="AN808" i="28" s="1"/>
  <c r="AO808" i="28"/>
  <c r="AL804" i="28" a="1"/>
  <c r="AL804" i="28" s="1"/>
  <c r="AN804" i="28" s="1" a="1"/>
  <c r="AN804" i="28" s="1"/>
  <c r="AO804" i="28"/>
  <c r="AO800" i="28"/>
  <c r="AL800" i="28" a="1"/>
  <c r="AL800" i="28" s="1"/>
  <c r="AN800" i="28" s="1" a="1"/>
  <c r="AN800" i="28" s="1"/>
  <c r="AO796" i="28"/>
  <c r="AK796" i="28" a="1"/>
  <c r="AK796" i="28" s="1"/>
  <c r="AM796" i="28" s="1" a="1"/>
  <c r="AM796" i="28" s="1"/>
  <c r="AO788" i="28"/>
  <c r="AL788" i="28" a="1"/>
  <c r="AL788" i="28" s="1"/>
  <c r="AN788" i="28" s="1" a="1"/>
  <c r="AN788" i="28" s="1"/>
  <c r="AL784" i="28" a="1"/>
  <c r="AL784" i="28" s="1"/>
  <c r="AN784" i="28" s="1" a="1"/>
  <c r="AN784" i="28" s="1"/>
  <c r="AK784" i="28" a="1"/>
  <c r="AK784" i="28" s="1"/>
  <c r="AM784" i="28" s="1" a="1"/>
  <c r="AM784" i="28" s="1"/>
  <c r="AO780" i="28"/>
  <c r="AK780" i="28" a="1"/>
  <c r="AK780" i="28" s="1"/>
  <c r="AM780" i="28" s="1" a="1"/>
  <c r="AM780" i="28" s="1"/>
  <c r="AL780" i="28" a="1"/>
  <c r="AL780" i="28" s="1"/>
  <c r="AN780" i="28" s="1" a="1"/>
  <c r="AN780" i="28" s="1"/>
  <c r="AL772" i="28" a="1"/>
  <c r="AL772" i="28" s="1"/>
  <c r="AN772" i="28" s="1" a="1"/>
  <c r="AN772" i="28" s="1"/>
  <c r="AO772" i="28"/>
  <c r="AL768" i="28" a="1"/>
  <c r="AL768" i="28" s="1"/>
  <c r="AN768" i="28" s="1" a="1"/>
  <c r="AN768" i="28" s="1"/>
  <c r="AO768" i="28"/>
  <c r="AL764" i="28" a="1"/>
  <c r="AL764" i="28" s="1"/>
  <c r="AN764" i="28" s="1" a="1"/>
  <c r="AN764" i="28" s="1"/>
  <c r="AK764" i="28" a="1"/>
  <c r="AK764" i="28" s="1"/>
  <c r="AM764" i="28" s="1" a="1"/>
  <c r="AM764" i="28" s="1"/>
  <c r="AO760" i="28"/>
  <c r="AL760" i="28" a="1"/>
  <c r="AL760" i="28" s="1"/>
  <c r="AN760" i="28" s="1" a="1"/>
  <c r="AN760" i="28" s="1"/>
  <c r="AK760" i="28" a="1"/>
  <c r="AK760" i="28" s="1"/>
  <c r="AM760" i="28" s="1" a="1"/>
  <c r="AM760" i="28" s="1"/>
  <c r="AO752" i="28"/>
  <c r="AK752" i="28" a="1"/>
  <c r="AK752" i="28" s="1"/>
  <c r="AM752" i="28" s="1" a="1"/>
  <c r="AM752" i="28" s="1"/>
  <c r="AL752" i="28" a="1"/>
  <c r="AL752" i="28" s="1"/>
  <c r="AN752" i="28" s="1" a="1"/>
  <c r="AN752" i="28" s="1"/>
  <c r="AL744" i="28" a="1"/>
  <c r="AL744" i="28" s="1"/>
  <c r="AN744" i="28" s="1" a="1"/>
  <c r="AN744" i="28" s="1"/>
  <c r="AO744" i="28"/>
  <c r="AK740" i="28" a="1"/>
  <c r="AK740" i="28" s="1"/>
  <c r="AM740" i="28" s="1" a="1"/>
  <c r="AM740" i="28" s="1"/>
  <c r="AL740" i="28" a="1"/>
  <c r="AL740" i="28" s="1"/>
  <c r="AN740" i="28" s="1" a="1"/>
  <c r="AN740" i="28" s="1"/>
  <c r="AO724" i="28"/>
  <c r="AK724" i="28" a="1"/>
  <c r="AK724" i="28" s="1"/>
  <c r="AM724" i="28" s="1" a="1"/>
  <c r="AM724" i="28" s="1"/>
  <c r="AL724" i="28" a="1"/>
  <c r="AL724" i="28" s="1"/>
  <c r="AN724" i="28" s="1" a="1"/>
  <c r="AN724" i="28" s="1"/>
  <c r="AK716" i="28" a="1"/>
  <c r="AK716" i="28" s="1"/>
  <c r="AM716" i="28" s="1" a="1"/>
  <c r="AM716" i="28" s="1"/>
  <c r="AL716" i="28" a="1"/>
  <c r="AL716" i="28" s="1"/>
  <c r="AN716" i="28" s="1" a="1"/>
  <c r="AN716" i="28" s="1"/>
  <c r="AO708" i="28"/>
  <c r="AL708" i="28" a="1"/>
  <c r="AL708" i="28" s="1"/>
  <c r="AN708" i="28" s="1" a="1"/>
  <c r="AN708" i="28" s="1"/>
  <c r="AO696" i="28"/>
  <c r="AK696" i="28" a="1"/>
  <c r="AK696" i="28" s="1"/>
  <c r="AM696" i="28" s="1" a="1"/>
  <c r="AM696" i="28" s="1"/>
  <c r="AL692" i="28" a="1"/>
  <c r="AL692" i="28" s="1"/>
  <c r="AN692" i="28" s="1" a="1"/>
  <c r="AN692" i="28" s="1"/>
  <c r="AK692" i="28" a="1"/>
  <c r="AK692" i="28" s="1"/>
  <c r="AM692" i="28" s="1" a="1"/>
  <c r="AM692" i="28" s="1"/>
  <c r="AO692" i="28"/>
  <c r="AL688" i="28" a="1"/>
  <c r="AL688" i="28" s="1"/>
  <c r="AN688" i="28" s="1" a="1"/>
  <c r="AN688" i="28" s="1"/>
  <c r="AK688" i="28" a="1"/>
  <c r="AK688" i="28" s="1"/>
  <c r="AM688" i="28" s="1" a="1"/>
  <c r="AM688" i="28" s="1"/>
  <c r="AO688" i="28"/>
  <c r="AO684" i="28"/>
  <c r="AL684" i="28" a="1"/>
  <c r="AL684" i="28" s="1"/>
  <c r="AN684" i="28" s="1" a="1"/>
  <c r="AN684" i="28" s="1"/>
  <c r="AO672" i="28"/>
  <c r="AL672" i="28" a="1"/>
  <c r="AL672" i="28" s="1"/>
  <c r="AN672" i="28" s="1" a="1"/>
  <c r="AN672" i="28" s="1"/>
  <c r="AL664" i="28" a="1"/>
  <c r="AL664" i="28" s="1"/>
  <c r="AN664" i="28" s="1" a="1"/>
  <c r="AN664" i="28" s="1"/>
  <c r="AO664" i="28"/>
  <c r="AK664" i="28" a="1"/>
  <c r="AK664" i="28" s="1"/>
  <c r="AM664" i="28" s="1" a="1"/>
  <c r="AM664" i="28" s="1"/>
  <c r="AK656" i="28" a="1"/>
  <c r="AK656" i="28" s="1"/>
  <c r="AM656" i="28" s="1" a="1"/>
  <c r="AM656" i="28" s="1"/>
  <c r="AL656" i="28" a="1"/>
  <c r="AL656" i="28" s="1"/>
  <c r="AN656" i="28" s="1" a="1"/>
  <c r="AN656" i="28" s="1"/>
  <c r="AO656" i="28"/>
  <c r="AK652" i="28" a="1"/>
  <c r="AK652" i="28" s="1"/>
  <c r="AM652" i="28" s="1" a="1"/>
  <c r="AM652" i="28" s="1"/>
  <c r="AO652" i="28"/>
  <c r="AL648" i="28" a="1"/>
  <c r="AL648" i="28" s="1"/>
  <c r="AN648" i="28" s="1" a="1"/>
  <c r="AN648" i="28" s="1"/>
  <c r="AK648" i="28" a="1"/>
  <c r="AK648" i="28" s="1"/>
  <c r="AM648" i="28" s="1" a="1"/>
  <c r="AM648" i="28" s="1"/>
  <c r="AO648" i="28"/>
  <c r="AO632" i="28"/>
  <c r="AL632" i="28" a="1"/>
  <c r="AL632" i="28" s="1"/>
  <c r="AN632" i="28" s="1" a="1"/>
  <c r="AN632" i="28" s="1"/>
  <c r="AK632" i="28" a="1"/>
  <c r="AK632" i="28" s="1"/>
  <c r="AM632" i="28" s="1" a="1"/>
  <c r="AM632" i="28" s="1"/>
  <c r="AK628" i="28" a="1"/>
  <c r="AK628" i="28" s="1"/>
  <c r="AM628" i="28" s="1" a="1"/>
  <c r="AM628" i="28" s="1"/>
  <c r="AO628" i="28"/>
  <c r="AL628" i="28" a="1"/>
  <c r="AL628" i="28" s="1"/>
  <c r="AN628" i="28" s="1" a="1"/>
  <c r="AN628" i="28" s="1"/>
  <c r="AK624" i="28" a="1"/>
  <c r="AK624" i="28" s="1"/>
  <c r="AM624" i="28" s="1" a="1"/>
  <c r="AM624" i="28" s="1"/>
  <c r="AL624" i="28" a="1"/>
  <c r="AL624" i="28" s="1"/>
  <c r="AN624" i="28" s="1" a="1"/>
  <c r="AN624" i="28" s="1"/>
  <c r="AO624" i="28"/>
  <c r="AO620" i="28"/>
  <c r="AK620" i="28" a="1"/>
  <c r="AK620" i="28" s="1"/>
  <c r="AM620" i="28" s="1" a="1"/>
  <c r="AM620" i="28" s="1"/>
  <c r="AO612" i="28"/>
  <c r="AK612" i="28" a="1"/>
  <c r="AK612" i="28" s="1"/>
  <c r="AM612" i="28" s="1" a="1"/>
  <c r="AM612" i="28" s="1"/>
  <c r="AK608" i="28" a="1"/>
  <c r="AK608" i="28" s="1"/>
  <c r="AM608" i="28" s="1" a="1"/>
  <c r="AM608" i="28" s="1"/>
  <c r="AO608" i="28"/>
  <c r="AL596" i="28" a="1"/>
  <c r="AL596" i="28" s="1"/>
  <c r="AN596" i="28" s="1" a="1"/>
  <c r="AN596" i="28" s="1"/>
  <c r="AK596" i="28" a="1"/>
  <c r="AK596" i="28" s="1"/>
  <c r="AM596" i="28" s="1" a="1"/>
  <c r="AM596" i="28" s="1"/>
  <c r="AL592" i="28" a="1"/>
  <c r="AL592" i="28" s="1"/>
  <c r="AN592" i="28" s="1" a="1"/>
  <c r="AN592" i="28" s="1"/>
  <c r="AK592" i="28" a="1"/>
  <c r="AK592" i="28" s="1"/>
  <c r="AM592" i="28" s="1" a="1"/>
  <c r="AM592" i="28" s="1"/>
  <c r="AO588" i="28"/>
  <c r="AK588" i="28" a="1"/>
  <c r="AK588" i="28" s="1"/>
  <c r="AM588" i="28" s="1" a="1"/>
  <c r="AM588" i="28" s="1"/>
  <c r="AO580" i="28"/>
  <c r="AK580" i="28" a="1"/>
  <c r="AK580" i="28" s="1"/>
  <c r="AM580" i="28" s="1" a="1"/>
  <c r="AM580" i="28" s="1"/>
  <c r="AL580" i="28" a="1"/>
  <c r="AL580" i="28" s="1"/>
  <c r="AN580" i="28" s="1" a="1"/>
  <c r="AN580" i="28" s="1"/>
  <c r="AO568" i="28"/>
  <c r="AL568" i="28" a="1"/>
  <c r="AL568" i="28" s="1"/>
  <c r="AN568" i="28" s="1" a="1"/>
  <c r="AN568" i="28" s="1"/>
  <c r="AK564" i="28" a="1"/>
  <c r="AK564" i="28" s="1"/>
  <c r="AM564" i="28" s="1" a="1"/>
  <c r="AM564" i="28" s="1"/>
  <c r="AO564" i="28"/>
  <c r="AL564" i="28" a="1"/>
  <c r="AL564" i="28" s="1"/>
  <c r="AN564" i="28" s="1" a="1"/>
  <c r="AN564" i="28" s="1"/>
  <c r="AK552" i="28" a="1"/>
  <c r="AK552" i="28" s="1"/>
  <c r="AM552" i="28" s="1" a="1"/>
  <c r="AM552" i="28" s="1"/>
  <c r="AO552" i="28"/>
  <c r="AL544" i="28" a="1"/>
  <c r="AL544" i="28" s="1"/>
  <c r="AN544" i="28" s="1" a="1"/>
  <c r="AN544" i="28" s="1"/>
  <c r="AK544" i="28" a="1"/>
  <c r="AK544" i="28" s="1"/>
  <c r="AM544" i="28" s="1" a="1"/>
  <c r="AM544" i="28" s="1"/>
  <c r="AL532" i="28" a="1"/>
  <c r="AL532" i="28" s="1"/>
  <c r="AN532" i="28" s="1" a="1"/>
  <c r="AN532" i="28" s="1"/>
  <c r="AO532" i="28"/>
  <c r="AO524" i="28"/>
  <c r="AK524" i="28" a="1"/>
  <c r="AK524" i="28" s="1"/>
  <c r="AM524" i="28" s="1" a="1"/>
  <c r="AM524" i="28" s="1"/>
  <c r="AK520" i="28" a="1"/>
  <c r="AK520" i="28" s="1"/>
  <c r="AM520" i="28" s="1" a="1"/>
  <c r="AM520" i="28" s="1"/>
  <c r="AL520" i="28" a="1"/>
  <c r="AL520" i="28" s="1"/>
  <c r="AN520" i="28" s="1" a="1"/>
  <c r="AN520" i="28" s="1"/>
  <c r="AL488" i="28" a="1"/>
  <c r="AL488" i="28" s="1"/>
  <c r="AN488" i="28" s="1" a="1"/>
  <c r="AN488" i="28" s="1"/>
  <c r="AK488" i="28" a="1"/>
  <c r="AK488" i="28" s="1"/>
  <c r="AM488" i="28" s="1" a="1"/>
  <c r="AM488" i="28" s="1"/>
  <c r="AO488" i="28"/>
  <c r="AK484" i="28" a="1"/>
  <c r="AK484" i="28" s="1"/>
  <c r="AM484" i="28" s="1" a="1"/>
  <c r="AM484" i="28" s="1"/>
  <c r="AL484" i="28" a="1"/>
  <c r="AL484" i="28" s="1"/>
  <c r="AN484" i="28" s="1" a="1"/>
  <c r="AN484" i="28" s="1"/>
  <c r="AK480" i="28" a="1"/>
  <c r="AK480" i="28" s="1"/>
  <c r="AM480" i="28" s="1" a="1"/>
  <c r="AM480" i="28" s="1"/>
  <c r="AO480" i="28"/>
  <c r="AO472" i="28"/>
  <c r="AK472" i="28" a="1"/>
  <c r="AK472" i="28" s="1"/>
  <c r="AM472" i="28" s="1" a="1"/>
  <c r="AM472" i="28" s="1"/>
  <c r="AL472" i="28" a="1"/>
  <c r="AL472" i="28" s="1"/>
  <c r="AN472" i="28" s="1" a="1"/>
  <c r="AN472" i="28" s="1"/>
  <c r="AO464" i="28"/>
  <c r="AL464" i="28" a="1"/>
  <c r="AL464" i="28" s="1"/>
  <c r="AN464" i="28" s="1" a="1"/>
  <c r="AN464" i="28" s="1"/>
  <c r="AO460" i="28"/>
  <c r="AK460" i="28" a="1"/>
  <c r="AK460" i="28" s="1"/>
  <c r="AM460" i="28" s="1" a="1"/>
  <c r="AM460" i="28" s="1"/>
  <c r="AL460" i="28" a="1"/>
  <c r="AL460" i="28" s="1"/>
  <c r="AN460" i="28" s="1" a="1"/>
  <c r="AN460" i="28" s="1"/>
  <c r="AK452" i="28" a="1"/>
  <c r="AK452" i="28" s="1"/>
  <c r="AM452" i="28" s="1" a="1"/>
  <c r="AM452" i="28" s="1"/>
  <c r="AO452" i="28"/>
  <c r="AL452" i="28" a="1"/>
  <c r="AL452" i="28" s="1"/>
  <c r="AN452" i="28" s="1" a="1"/>
  <c r="AN452" i="28" s="1"/>
  <c r="AK448" i="28" a="1"/>
  <c r="AK448" i="28" s="1"/>
  <c r="AM448" i="28" s="1" a="1"/>
  <c r="AM448" i="28" s="1"/>
  <c r="AO448" i="28"/>
  <c r="AL440" i="28" a="1"/>
  <c r="AL440" i="28" s="1"/>
  <c r="AN440" i="28" s="1" a="1"/>
  <c r="AN440" i="28" s="1"/>
  <c r="AK440" i="28" a="1"/>
  <c r="AK440" i="28" s="1"/>
  <c r="AM440" i="28" s="1" a="1"/>
  <c r="AM440" i="28" s="1"/>
  <c r="AO440" i="28"/>
  <c r="AL436" i="28" a="1"/>
  <c r="AL436" i="28" s="1"/>
  <c r="AN436" i="28" s="1" a="1"/>
  <c r="AN436" i="28" s="1"/>
  <c r="AK436" i="28" a="1"/>
  <c r="AK436" i="28" s="1"/>
  <c r="AM436" i="28" s="1" a="1"/>
  <c r="AM436" i="28" s="1"/>
  <c r="AK432" i="28" a="1"/>
  <c r="AK432" i="28" s="1"/>
  <c r="AM432" i="28" s="1" a="1"/>
  <c r="AM432" i="28" s="1"/>
  <c r="AO432" i="28"/>
  <c r="AL428" i="28" a="1"/>
  <c r="AL428" i="28" s="1"/>
  <c r="AN428" i="28" s="1" a="1"/>
  <c r="AN428" i="28" s="1"/>
  <c r="AK428" i="28" a="1"/>
  <c r="AK428" i="28" s="1"/>
  <c r="AM428" i="28" s="1" a="1"/>
  <c r="AM428" i="28" s="1"/>
  <c r="AO999" i="28"/>
  <c r="AL639" i="28" a="1"/>
  <c r="AL639" i="28" s="1"/>
  <c r="AN639" i="28" s="1" a="1"/>
  <c r="AN639" i="28" s="1"/>
  <c r="AK659" i="28" a="1"/>
  <c r="AK659" i="28" s="1"/>
  <c r="AM659" i="28" s="1" a="1"/>
  <c r="AM659" i="28" s="1"/>
  <c r="AK691" i="28" a="1"/>
  <c r="AK691" i="28" s="1"/>
  <c r="AM691" i="28" s="1" a="1"/>
  <c r="AM691" i="28" s="1"/>
  <c r="AK879" i="28" a="1"/>
  <c r="AK879" i="28" s="1"/>
  <c r="AM879" i="28" s="1" a="1"/>
  <c r="AM879" i="28" s="1"/>
  <c r="AO703" i="28"/>
  <c r="AO551" i="28"/>
  <c r="AL643" i="28" a="1"/>
  <c r="AL643" i="28" s="1"/>
  <c r="AN643" i="28" s="1" a="1"/>
  <c r="AN643" i="28" s="1"/>
  <c r="AO939" i="28"/>
  <c r="AL675" i="28" a="1"/>
  <c r="AL675" i="28" s="1"/>
  <c r="AN675" i="28" s="1" a="1"/>
  <c r="AN675" i="28" s="1"/>
  <c r="AL495" i="28" a="1"/>
  <c r="AL495" i="28" s="1"/>
  <c r="AN495" i="28" s="1" a="1"/>
  <c r="AN495" i="28" s="1"/>
  <c r="AL587" i="28" a="1"/>
  <c r="AL587" i="28" s="1"/>
  <c r="AN587" i="28" s="1" a="1"/>
  <c r="AN587" i="28" s="1"/>
  <c r="AL723" i="28" a="1"/>
  <c r="AL723" i="28" s="1"/>
  <c r="AN723" i="28" s="1" a="1"/>
  <c r="AN723" i="28" s="1"/>
  <c r="AO943" i="28"/>
  <c r="AK891" i="28" a="1"/>
  <c r="AK891" i="28" s="1"/>
  <c r="AM891" i="28" s="1" a="1"/>
  <c r="AM891" i="28" s="1"/>
  <c r="AK955" i="28" a="1"/>
  <c r="AK955" i="28" s="1"/>
  <c r="AM955" i="28" s="1" a="1"/>
  <c r="AM955" i="28" s="1"/>
  <c r="AK595" i="28" a="1"/>
  <c r="AK595" i="28" s="1"/>
  <c r="AM595" i="28" s="1" a="1"/>
  <c r="AM595" i="28" s="1"/>
  <c r="AL863" i="28" a="1"/>
  <c r="AL863" i="28" s="1"/>
  <c r="AN863" i="28" s="1" a="1"/>
  <c r="AN863" i="28" s="1"/>
  <c r="AK919" i="28" a="1"/>
  <c r="AK919" i="28" s="1"/>
  <c r="AM919" i="28" s="1" a="1"/>
  <c r="AM919" i="28" s="1"/>
  <c r="AK591" i="28" a="1"/>
  <c r="AK591" i="28" s="1"/>
  <c r="AM591" i="28" s="1" a="1"/>
  <c r="AM591" i="28" s="1"/>
  <c r="AO795" i="28"/>
  <c r="AL819" i="28" a="1"/>
  <c r="AL819" i="28" s="1"/>
  <c r="AN819" i="28" s="1" a="1"/>
  <c r="AN819" i="28" s="1"/>
  <c r="AO963" i="28"/>
  <c r="AL815" i="28" a="1"/>
  <c r="AL815" i="28" s="1"/>
  <c r="AN815" i="28" s="1" a="1"/>
  <c r="AN815" i="28" s="1"/>
  <c r="AK719" i="28" a="1"/>
  <c r="AK719" i="28" s="1"/>
  <c r="AM719" i="28" s="1" a="1"/>
  <c r="AM719" i="28" s="1"/>
  <c r="AO591" i="28"/>
  <c r="AL695" i="28" a="1"/>
  <c r="AL695" i="28" s="1"/>
  <c r="AN695" i="28" s="1" a="1"/>
  <c r="AN695" i="28" s="1"/>
  <c r="AL931" i="28" a="1"/>
  <c r="AL931" i="28" s="1"/>
  <c r="AN931" i="28" s="1" a="1"/>
  <c r="AN931" i="28" s="1"/>
  <c r="AO975" i="28"/>
  <c r="AL903" i="28" a="1"/>
  <c r="AL903" i="28" s="1"/>
  <c r="AN903" i="28" s="1" a="1"/>
  <c r="AN903" i="28" s="1"/>
  <c r="AL475" i="28" a="1"/>
  <c r="AL475" i="28" s="1"/>
  <c r="AN475" i="28" s="1" a="1"/>
  <c r="AN475" i="28" s="1"/>
  <c r="AK527" i="28" a="1"/>
  <c r="AK527" i="28" s="1"/>
  <c r="AM527" i="28" s="1" a="1"/>
  <c r="AM527" i="28" s="1"/>
  <c r="AL499" i="28" a="1"/>
  <c r="AL499" i="28" s="1"/>
  <c r="AN499" i="28" s="1" a="1"/>
  <c r="AN499" i="28" s="1"/>
  <c r="AK487" i="28" a="1"/>
  <c r="AK487" i="28" s="1"/>
  <c r="AM487" i="28" s="1" a="1"/>
  <c r="AM487" i="28" s="1"/>
  <c r="AK463" i="28" a="1"/>
  <c r="AK463" i="28" s="1"/>
  <c r="AM463" i="28" s="1" a="1"/>
  <c r="AM463" i="28" s="1"/>
  <c r="AL719" i="28" a="1"/>
  <c r="AL719" i="28" s="1"/>
  <c r="AN719" i="28" s="1" a="1"/>
  <c r="AN719" i="28" s="1"/>
  <c r="AK635" i="28" a="1"/>
  <c r="AK635" i="28" s="1"/>
  <c r="AM635" i="28" s="1" a="1"/>
  <c r="AM635" i="28" s="1"/>
  <c r="AK911" i="28" a="1"/>
  <c r="AK911" i="28" s="1"/>
  <c r="AM911" i="28" s="1" a="1"/>
  <c r="AM911" i="28" s="1"/>
  <c r="AK935" i="28" a="1"/>
  <c r="AK935" i="28" s="1"/>
  <c r="AM935" i="28" s="1" a="1"/>
  <c r="AM935" i="28" s="1"/>
  <c r="AL531" i="28" a="1"/>
  <c r="AL531" i="28" s="1"/>
  <c r="AN531" i="28" s="1" a="1"/>
  <c r="AN531" i="28" s="1"/>
  <c r="AO563" i="28"/>
  <c r="AK751" i="28" a="1"/>
  <c r="AK751" i="28" s="1"/>
  <c r="AM751" i="28" s="1" a="1"/>
  <c r="AM751" i="28" s="1"/>
  <c r="AL555" i="28" a="1"/>
  <c r="AL555" i="28" s="1"/>
  <c r="AN555" i="28" s="1" a="1"/>
  <c r="AN555" i="28" s="1"/>
  <c r="AL699" i="28" a="1"/>
  <c r="AL699" i="28" s="1"/>
  <c r="AN699" i="28" s="1" a="1"/>
  <c r="AN699" i="28" s="1"/>
  <c r="AL787" i="28" a="1"/>
  <c r="AL787" i="28" s="1"/>
  <c r="AN787" i="28" s="1" a="1"/>
  <c r="AN787" i="28" s="1"/>
  <c r="AK755" i="28" a="1"/>
  <c r="AK755" i="28" s="1"/>
  <c r="AM755" i="28" s="1" a="1"/>
  <c r="AM755" i="28" s="1"/>
  <c r="AK735" i="28" a="1"/>
  <c r="AK735" i="28" s="1"/>
  <c r="AM735" i="28" s="1" a="1"/>
  <c r="AM735" i="28" s="1"/>
  <c r="AK983" i="28" a="1"/>
  <c r="AK983" i="28" s="1"/>
  <c r="AM983" i="28" s="1" a="1"/>
  <c r="AM983" i="28" s="1"/>
  <c r="AL607" i="28" a="1"/>
  <c r="AL607" i="28" s="1"/>
  <c r="AN607" i="28" s="1" a="1"/>
  <c r="AN607" i="28" s="1"/>
  <c r="AO903" i="28"/>
  <c r="AL683" i="28" a="1"/>
  <c r="AL683" i="28" s="1"/>
  <c r="AN683" i="28" s="1" a="1"/>
  <c r="AN683" i="28" s="1"/>
  <c r="AO871" i="28"/>
  <c r="AL711" i="28" a="1"/>
  <c r="AL711" i="28" s="1"/>
  <c r="AN711" i="28" s="1" a="1"/>
  <c r="AN711" i="28" s="1"/>
  <c r="AK871" i="28" a="1"/>
  <c r="AK871" i="28" s="1"/>
  <c r="AM871" i="28" s="1" a="1"/>
  <c r="AM871" i="28" s="1"/>
  <c r="AL775" i="28" a="1"/>
  <c r="AL775" i="28" s="1"/>
  <c r="AN775" i="28" s="1" a="1"/>
  <c r="AN775" i="28" s="1"/>
  <c r="AK851" i="28" a="1"/>
  <c r="AK851" i="28" s="1"/>
  <c r="AM851" i="28" s="1" a="1"/>
  <c r="AM851" i="28" s="1"/>
  <c r="AO751" i="28"/>
  <c r="AK707" i="28" a="1"/>
  <c r="AK707" i="28" s="1"/>
  <c r="AM707" i="28" s="1" a="1"/>
  <c r="AM707" i="28" s="1"/>
  <c r="AL923" i="28" a="1"/>
  <c r="AL923" i="28" s="1"/>
  <c r="AN923" i="28" s="1" a="1"/>
  <c r="AN923" i="28" s="1"/>
  <c r="AO487" i="28"/>
  <c r="AO435" i="28"/>
  <c r="AK973" i="28" a="1"/>
  <c r="AK973" i="28" s="1"/>
  <c r="AM973" i="28" s="1" a="1"/>
  <c r="AM973" i="28" s="1"/>
  <c r="AO957" i="28"/>
  <c r="AO893" i="28"/>
  <c r="AL877" i="28" a="1"/>
  <c r="AL877" i="28" s="1"/>
  <c r="AN877" i="28" s="1" a="1"/>
  <c r="AN877" i="28" s="1"/>
  <c r="AK821" i="28" a="1"/>
  <c r="AK821" i="28" s="1"/>
  <c r="AM821" i="28" s="1" a="1"/>
  <c r="AM821" i="28" s="1"/>
  <c r="AL765" i="28" a="1"/>
  <c r="AL765" i="28" s="1"/>
  <c r="AN765" i="28" s="1" a="1"/>
  <c r="AN765" i="28" s="1"/>
  <c r="AK961" i="28" a="1"/>
  <c r="AK961" i="28" s="1"/>
  <c r="AM961" i="28" s="1" a="1"/>
  <c r="AM961" i="28" s="1"/>
  <c r="AK849" i="28" a="1"/>
  <c r="AK849" i="28" s="1"/>
  <c r="AM849" i="28" s="1" a="1"/>
  <c r="AM849" i="28" s="1"/>
  <c r="AL965" i="28" a="1"/>
  <c r="AL965" i="28" s="1"/>
  <c r="AN965" i="28" s="1" a="1"/>
  <c r="AN965" i="28" s="1"/>
  <c r="AL685" i="28" a="1"/>
  <c r="AL685" i="28" s="1"/>
  <c r="AN685" i="28" s="1" a="1"/>
  <c r="AN685" i="28" s="1"/>
  <c r="AL609" i="28" a="1"/>
  <c r="AL609" i="28" s="1"/>
  <c r="AN609" i="28" s="1" a="1"/>
  <c r="AN609" i="28" s="1"/>
  <c r="AK977" i="28" a="1"/>
  <c r="AK977" i="28" s="1"/>
  <c r="AM977" i="28" s="1" a="1"/>
  <c r="AM977" i="28" s="1"/>
  <c r="AL637" i="28" a="1"/>
  <c r="AL637" i="28" s="1"/>
  <c r="AN637" i="28" s="1" a="1"/>
  <c r="AN637" i="28" s="1"/>
  <c r="AK773" i="28" a="1"/>
  <c r="AK773" i="28" s="1"/>
  <c r="AM773" i="28" s="1" a="1"/>
  <c r="AM773" i="28" s="1"/>
  <c r="AK681" i="28" a="1"/>
  <c r="AK681" i="28" s="1"/>
  <c r="AM681" i="28" s="1" a="1"/>
  <c r="AM681" i="28" s="1"/>
  <c r="AL853" i="28" a="1"/>
  <c r="AL853" i="28" s="1"/>
  <c r="AN853" i="28" s="1" a="1"/>
  <c r="AN853" i="28" s="1"/>
  <c r="AL825" i="28" a="1"/>
  <c r="AL825" i="28" s="1"/>
  <c r="AN825" i="28" s="1" a="1"/>
  <c r="AN825" i="28" s="1"/>
  <c r="AK1001" i="28" a="1"/>
  <c r="AK1001" i="28" s="1"/>
  <c r="AM1001" i="28" s="1" a="1"/>
  <c r="AM1001" i="28" s="1"/>
  <c r="AO609" i="28"/>
  <c r="AO805" i="28"/>
  <c r="AL777" i="28" a="1"/>
  <c r="AL777" i="28" s="1"/>
  <c r="AN777" i="28" s="1" a="1"/>
  <c r="AN777" i="28" s="1"/>
  <c r="AK733" i="28" a="1"/>
  <c r="AK733" i="28" s="1"/>
  <c r="AM733" i="28" s="1" a="1"/>
  <c r="AM733" i="28" s="1"/>
  <c r="AO749" i="28"/>
  <c r="AK737" i="28" a="1"/>
  <c r="AK737" i="28" s="1"/>
  <c r="AM737" i="28" s="1" a="1"/>
  <c r="AM737" i="28" s="1"/>
  <c r="AO741" i="28"/>
  <c r="AK693" i="28" a="1"/>
  <c r="AK693" i="28" s="1"/>
  <c r="AM693" i="28" s="1" a="1"/>
  <c r="AM693" i="28" s="1"/>
  <c r="AO657" i="28"/>
  <c r="AL797" i="28" a="1"/>
  <c r="AL797" i="28" s="1"/>
  <c r="AN797" i="28" s="1" a="1"/>
  <c r="AN797" i="28" s="1"/>
  <c r="AL517" i="28" a="1"/>
  <c r="AL517" i="28" s="1"/>
  <c r="AN517" i="28" s="1" a="1"/>
  <c r="AN517" i="28" s="1"/>
  <c r="AO529" i="28"/>
  <c r="AL433" i="28" a="1"/>
  <c r="AL433" i="28" s="1"/>
  <c r="AN433" i="28" s="1" a="1"/>
  <c r="AN433" i="28" s="1"/>
  <c r="AK457" i="28" a="1"/>
  <c r="AK457" i="28" s="1"/>
  <c r="AM457" i="28" s="1" a="1"/>
  <c r="AM457" i="28" s="1"/>
  <c r="AO453" i="28"/>
  <c r="AL973" i="28" a="1"/>
  <c r="AL973" i="28" s="1"/>
  <c r="AN973" i="28" s="1" a="1"/>
  <c r="AN973" i="28" s="1"/>
  <c r="AL957" i="28" a="1"/>
  <c r="AL957" i="28" s="1"/>
  <c r="AN957" i="28" s="1" a="1"/>
  <c r="AN957" i="28" s="1"/>
  <c r="AK993" i="28" a="1"/>
  <c r="AK993" i="28" s="1"/>
  <c r="AM993" i="28" s="1" a="1"/>
  <c r="AM993" i="28" s="1"/>
  <c r="AK893" i="28" a="1"/>
  <c r="AK893" i="28" s="1"/>
  <c r="AM893" i="28" s="1" a="1"/>
  <c r="AM893" i="28" s="1"/>
  <c r="AO897" i="28"/>
  <c r="AL953" i="28" a="1"/>
  <c r="AL953" i="28" s="1"/>
  <c r="AN953" i="28" s="1" a="1"/>
  <c r="AN953" i="28" s="1"/>
  <c r="AK965" i="28" a="1"/>
  <c r="AK965" i="28" s="1"/>
  <c r="AM965" i="28" s="1" a="1"/>
  <c r="AM965" i="28" s="1"/>
  <c r="AL937" i="28" a="1"/>
  <c r="AL937" i="28" s="1"/>
  <c r="AN937" i="28" s="1" a="1"/>
  <c r="AN937" i="28" s="1"/>
  <c r="AK945" i="28" a="1"/>
  <c r="AK945" i="28" s="1"/>
  <c r="AM945" i="28" s="1" a="1"/>
  <c r="AM945" i="28" s="1"/>
  <c r="AL701" i="28" a="1"/>
  <c r="AL701" i="28" s="1"/>
  <c r="AN701" i="28" s="1" a="1"/>
  <c r="AN701" i="28" s="1"/>
  <c r="AO801" i="28"/>
  <c r="AO597" i="28"/>
  <c r="AO705" i="28"/>
  <c r="AO773" i="28"/>
  <c r="AL925" i="28" a="1"/>
  <c r="AL925" i="28" s="1"/>
  <c r="AN925" i="28" s="1" a="1"/>
  <c r="AN925" i="28" s="1"/>
  <c r="AO853" i="28"/>
  <c r="AK777" i="28" a="1"/>
  <c r="AK777" i="28" s="1"/>
  <c r="AM777" i="28" s="1" a="1"/>
  <c r="AM777" i="28" s="1"/>
  <c r="AL733" i="28" a="1"/>
  <c r="AL733" i="28" s="1"/>
  <c r="AN733" i="28" s="1" a="1"/>
  <c r="AN733" i="28" s="1"/>
  <c r="AO761" i="28"/>
  <c r="AO701" i="28"/>
  <c r="AO913" i="28"/>
  <c r="AL889" i="28" a="1"/>
  <c r="AL889" i="28" s="1"/>
  <c r="AN889" i="28" s="1" a="1"/>
  <c r="AN889" i="28" s="1"/>
  <c r="AL741" i="28" a="1"/>
  <c r="AL741" i="28" s="1"/>
  <c r="AN741" i="28" s="1" a="1"/>
  <c r="AN741" i="28" s="1"/>
  <c r="AO829" i="28"/>
  <c r="AO909" i="28"/>
  <c r="AK865" i="28" a="1"/>
  <c r="AK865" i="28" s="1"/>
  <c r="AM865" i="28" s="1" a="1"/>
  <c r="AM865" i="28" s="1"/>
  <c r="AO797" i="28"/>
  <c r="AL473" i="28" a="1"/>
  <c r="AL473" i="28" s="1"/>
  <c r="AN473" i="28" s="1" a="1"/>
  <c r="AN473" i="28" s="1"/>
  <c r="AO441" i="28"/>
  <c r="AK469" i="28" a="1"/>
  <c r="AK469" i="28" s="1"/>
  <c r="AM469" i="28" s="1" a="1"/>
  <c r="AM469" i="28" s="1"/>
  <c r="AL861" i="28" a="1"/>
  <c r="AL861" i="28" s="1"/>
  <c r="AN861" i="28" s="1" a="1"/>
  <c r="AN861" i="28" s="1"/>
  <c r="AL833" i="28" a="1"/>
  <c r="AL833" i="28" s="1"/>
  <c r="AN833" i="28" s="1" a="1"/>
  <c r="AN833" i="28" s="1"/>
  <c r="AO993" i="28"/>
  <c r="AL729" i="28" a="1"/>
  <c r="AL729" i="28" s="1"/>
  <c r="AN729" i="28" s="1" a="1"/>
  <c r="AN729" i="28" s="1"/>
  <c r="AK789" i="28" a="1"/>
  <c r="AK789" i="28" s="1"/>
  <c r="AM789" i="28" s="1" a="1"/>
  <c r="AM789" i="28" s="1"/>
  <c r="AK981" i="28" a="1"/>
  <c r="AK981" i="28" s="1"/>
  <c r="AM981" i="28" s="1" a="1"/>
  <c r="AM981" i="28" s="1"/>
  <c r="AK953" i="28" a="1"/>
  <c r="AK953" i="28" s="1"/>
  <c r="AM953" i="28" s="1" a="1"/>
  <c r="AM953" i="28" s="1"/>
  <c r="AK937" i="28" a="1"/>
  <c r="AK937" i="28" s="1"/>
  <c r="AM937" i="28" s="1" a="1"/>
  <c r="AM937" i="28" s="1"/>
  <c r="AK749" i="28" a="1"/>
  <c r="AK749" i="28" s="1"/>
  <c r="AM749" i="28" s="1" a="1"/>
  <c r="AM749" i="28" s="1"/>
  <c r="AL677" i="28" a="1"/>
  <c r="AL677" i="28" s="1"/>
  <c r="AN677" i="28" s="1" a="1"/>
  <c r="AN677" i="28" s="1"/>
  <c r="AL801" i="28" a="1"/>
  <c r="AL801" i="28" s="1"/>
  <c r="AN801" i="28" s="1" a="1"/>
  <c r="AN801" i="28" s="1"/>
  <c r="AO669" i="28"/>
  <c r="AK925" i="28" a="1"/>
  <c r="AK925" i="28" s="1"/>
  <c r="AM925" i="28" s="1" a="1"/>
  <c r="AM925" i="28" s="1"/>
  <c r="AO617" i="28"/>
  <c r="AL809" i="28" a="1"/>
  <c r="AL809" i="28" s="1"/>
  <c r="AN809" i="28" s="1" a="1"/>
  <c r="AN809" i="28" s="1"/>
  <c r="AL909" i="28" a="1"/>
  <c r="AL909" i="28" s="1"/>
  <c r="AN909" i="28" s="1" a="1"/>
  <c r="AN909" i="28" s="1"/>
  <c r="AO789" i="28"/>
  <c r="AL921" i="28" a="1"/>
  <c r="AL921" i="28" s="1"/>
  <c r="AN921" i="28" s="1" a="1"/>
  <c r="AN921" i="28" s="1"/>
  <c r="AL617" i="28" a="1"/>
  <c r="AL617" i="28" s="1"/>
  <c r="AN617" i="28" s="1" a="1"/>
  <c r="AN617" i="28" s="1"/>
  <c r="AK657" i="28" a="1"/>
  <c r="AK657" i="28" s="1"/>
  <c r="AM657" i="28" s="1" a="1"/>
  <c r="AM657" i="28" s="1"/>
  <c r="AO753" i="28"/>
  <c r="BH11" i="1"/>
  <c r="BA11" i="1"/>
  <c r="BQ1026" i="1"/>
  <c r="BQ896" i="1"/>
  <c r="BQ964" i="1"/>
  <c r="BQ1010" i="1"/>
  <c r="BQ1000" i="1"/>
  <c r="BQ1025" i="1"/>
  <c r="BQ921" i="1"/>
  <c r="BQ879" i="1"/>
  <c r="BQ822" i="1"/>
  <c r="BI1049" i="1"/>
  <c r="BQ800" i="1"/>
  <c r="BQ1024" i="1"/>
  <c r="BQ796" i="1"/>
  <c r="BQ936" i="1"/>
  <c r="BQ768" i="1"/>
  <c r="BQ998" i="1"/>
  <c r="BQ732" i="1"/>
  <c r="BQ926" i="1"/>
  <c r="BQ948" i="1"/>
  <c r="BQ944" i="1"/>
  <c r="BQ763" i="1"/>
  <c r="BQ912" i="1"/>
  <c r="BQ1030" i="1"/>
  <c r="BQ1028" i="1"/>
  <c r="BQ1018" i="1"/>
  <c r="BQ1016" i="1"/>
  <c r="BQ1012" i="1"/>
  <c r="BQ1008" i="1"/>
  <c r="BQ1006" i="1"/>
  <c r="BQ1004" i="1"/>
  <c r="BQ1002" i="1"/>
  <c r="BQ994" i="1"/>
  <c r="BQ978" i="1"/>
  <c r="BQ970" i="1"/>
  <c r="BQ968" i="1"/>
  <c r="BQ983" i="1"/>
  <c r="BQ751" i="1"/>
  <c r="BQ1019" i="1"/>
  <c r="BQ903" i="1"/>
  <c r="BQ899" i="1"/>
  <c r="BQ883" i="1"/>
  <c r="BQ792" i="1"/>
  <c r="AO616" i="28"/>
  <c r="AL616" i="28" a="1"/>
  <c r="AL616" i="28" s="1"/>
  <c r="AN616" i="28" s="1" a="1"/>
  <c r="AN616" i="28" s="1"/>
  <c r="AK616" i="28" a="1"/>
  <c r="AK616" i="28" s="1"/>
  <c r="AM616" i="28" s="1" a="1"/>
  <c r="AM616" i="28" s="1"/>
  <c r="BQ975" i="1"/>
  <c r="BQ959" i="1"/>
  <c r="BQ957" i="1"/>
  <c r="BQ951" i="1"/>
  <c r="BQ941" i="1"/>
  <c r="BQ911" i="1"/>
  <c r="BQ950" i="1"/>
  <c r="BQ938" i="1"/>
  <c r="BQ1001" i="1"/>
  <c r="BQ1029" i="1"/>
  <c r="BQ1013" i="1"/>
  <c r="BQ1007" i="1"/>
  <c r="BQ925" i="1"/>
  <c r="BQ909" i="1"/>
  <c r="BQ991" i="1"/>
  <c r="BQ928" i="1"/>
  <c r="BQ910" i="1"/>
  <c r="BQ977" i="1"/>
  <c r="BQ934" i="1"/>
  <c r="BQ989" i="1"/>
  <c r="BQ906" i="1"/>
  <c r="BQ904" i="1"/>
  <c r="Y11" i="1"/>
  <c r="AF11" i="1" s="1"/>
  <c r="BQ881" i="1"/>
  <c r="BQ1009" i="1"/>
  <c r="BQ967" i="1"/>
  <c r="BQ1038" i="1"/>
  <c r="BQ954" i="1"/>
  <c r="BQ923" i="1"/>
  <c r="BQ919" i="1"/>
  <c r="BQ982" i="1"/>
  <c r="BQ1040" i="1"/>
  <c r="BQ1020" i="1"/>
  <c r="BQ1005" i="1"/>
  <c r="H739" i="28"/>
  <c r="BQ887" i="1"/>
  <c r="BQ952" i="1"/>
  <c r="BQ955" i="1"/>
  <c r="BQ905" i="1"/>
  <c r="BQ920" i="1"/>
  <c r="BQ916" i="1"/>
  <c r="H821" i="28"/>
  <c r="H833" i="28"/>
  <c r="I833" i="28" s="1"/>
  <c r="H820" i="28"/>
  <c r="H816" i="28"/>
  <c r="I816" i="28" s="1"/>
  <c r="BQ1037" i="1"/>
  <c r="BQ1034" i="1"/>
  <c r="BQ981" i="1"/>
  <c r="BQ993" i="1"/>
  <c r="H994" i="28"/>
  <c r="H986" i="28"/>
  <c r="H978" i="28"/>
  <c r="I978" i="28" s="1"/>
  <c r="H970" i="28"/>
  <c r="I970" i="28" s="1"/>
  <c r="H962" i="28"/>
  <c r="H954" i="28"/>
  <c r="H817" i="28"/>
  <c r="H809" i="28"/>
  <c r="H801" i="28"/>
  <c r="H793" i="28"/>
  <c r="H785" i="28"/>
  <c r="I785" i="28" s="1"/>
  <c r="H777" i="28"/>
  <c r="I777" i="28" s="1"/>
  <c r="H745" i="28"/>
  <c r="I745" i="28" s="1"/>
  <c r="H738" i="28"/>
  <c r="H829" i="28"/>
  <c r="H824" i="28"/>
  <c r="I824" i="28" s="1"/>
  <c r="H825" i="28"/>
  <c r="H813" i="28"/>
  <c r="H805" i="28"/>
  <c r="H797" i="28"/>
  <c r="I797" i="28" s="1"/>
  <c r="H789" i="28"/>
  <c r="H781" i="28"/>
  <c r="H773" i="28"/>
  <c r="H765" i="28"/>
  <c r="H757" i="28"/>
  <c r="H749" i="28"/>
  <c r="H741" i="28"/>
  <c r="H530" i="28"/>
  <c r="I530" i="28" s="1"/>
  <c r="BG11" i="1"/>
  <c r="AP11" i="1"/>
  <c r="BF11" i="1"/>
  <c r="BQ965" i="1"/>
  <c r="BQ997" i="1"/>
  <c r="BQ1017" i="1"/>
  <c r="H998" i="28"/>
  <c r="H990" i="28"/>
  <c r="H982" i="28"/>
  <c r="H974" i="28"/>
  <c r="H966" i="28"/>
  <c r="I966" i="28" s="1"/>
  <c r="H958" i="28"/>
  <c r="I958" i="28" s="1"/>
  <c r="H950" i="28"/>
  <c r="H942" i="28"/>
  <c r="H934" i="28"/>
  <c r="H926" i="28"/>
  <c r="I926" i="28" s="1"/>
  <c r="H918" i="28"/>
  <c r="H910" i="28"/>
  <c r="H902" i="28"/>
  <c r="H894" i="28"/>
  <c r="H886" i="28"/>
  <c r="H878" i="28"/>
  <c r="H870" i="28"/>
  <c r="I870" i="28" s="1"/>
  <c r="H862" i="28"/>
  <c r="H854" i="28"/>
  <c r="H846" i="28"/>
  <c r="H838" i="28"/>
  <c r="I838" i="28" s="1"/>
  <c r="H1000" i="28"/>
  <c r="H999" i="28"/>
  <c r="H992" i="28"/>
  <c r="H991" i="28"/>
  <c r="I991" i="28" s="1"/>
  <c r="H984" i="28"/>
  <c r="H983" i="28"/>
  <c r="H976" i="28"/>
  <c r="H975" i="28"/>
  <c r="I975" i="28" s="1"/>
  <c r="H968" i="28"/>
  <c r="H967" i="28"/>
  <c r="H960" i="28"/>
  <c r="H959" i="28"/>
  <c r="H952" i="28"/>
  <c r="H951" i="28"/>
  <c r="H944" i="28"/>
  <c r="H943" i="28"/>
  <c r="I943" i="28" s="1"/>
  <c r="H936" i="28"/>
  <c r="H935" i="28"/>
  <c r="H928" i="28"/>
  <c r="H927" i="28"/>
  <c r="H920" i="28"/>
  <c r="H919" i="28"/>
  <c r="H912" i="28"/>
  <c r="H911" i="28"/>
  <c r="I911" i="28" s="1"/>
  <c r="H904" i="28"/>
  <c r="H903" i="28"/>
  <c r="H896" i="28"/>
  <c r="H895" i="28"/>
  <c r="H888" i="28"/>
  <c r="H887" i="28"/>
  <c r="H880" i="28"/>
  <c r="H879" i="28"/>
  <c r="I879" i="28" s="1"/>
  <c r="H872" i="28"/>
  <c r="H871" i="28"/>
  <c r="H864" i="28"/>
  <c r="H863" i="28"/>
  <c r="H856" i="28"/>
  <c r="H855" i="28"/>
  <c r="H848" i="28"/>
  <c r="H847" i="28"/>
  <c r="I847" i="28" s="1"/>
  <c r="H840" i="28"/>
  <c r="H839" i="28"/>
  <c r="H834" i="28"/>
  <c r="H830" i="28"/>
  <c r="H826" i="28"/>
  <c r="H822" i="28"/>
  <c r="H818" i="28"/>
  <c r="H769" i="28"/>
  <c r="H761" i="28"/>
  <c r="I761" i="28" s="1"/>
  <c r="H753" i="28"/>
  <c r="H946" i="28"/>
  <c r="I946" i="28" s="1"/>
  <c r="H938" i="28"/>
  <c r="H930" i="28"/>
  <c r="H922" i="28"/>
  <c r="H914" i="28"/>
  <c r="I914" i="28" s="1"/>
  <c r="H906" i="28"/>
  <c r="H898" i="28"/>
  <c r="H890" i="28"/>
  <c r="H882" i="28"/>
  <c r="I882" i="28" s="1"/>
  <c r="H874" i="28"/>
  <c r="I874" i="28" s="1"/>
  <c r="H866" i="28"/>
  <c r="H858" i="28"/>
  <c r="I858" i="28" s="1"/>
  <c r="H850" i="28"/>
  <c r="I850" i="28" s="1"/>
  <c r="H842" i="28"/>
  <c r="H1001" i="28"/>
  <c r="H995" i="28"/>
  <c r="I995" i="28" s="1"/>
  <c r="H988" i="28"/>
  <c r="H987" i="28"/>
  <c r="H980" i="28"/>
  <c r="I980" i="28" s="1"/>
  <c r="H979" i="28"/>
  <c r="H972" i="28"/>
  <c r="I972" i="28" s="1"/>
  <c r="H971" i="28"/>
  <c r="H964" i="28"/>
  <c r="H963" i="28"/>
  <c r="I963" i="28" s="1"/>
  <c r="H956" i="28"/>
  <c r="H955" i="28"/>
  <c r="H948" i="28"/>
  <c r="I948" i="28" s="1"/>
  <c r="H947" i="28"/>
  <c r="H940" i="28"/>
  <c r="I940" i="28" s="1"/>
  <c r="H939" i="28"/>
  <c r="H932" i="28"/>
  <c r="H931" i="28"/>
  <c r="I931" i="28" s="1"/>
  <c r="H924" i="28"/>
  <c r="H923" i="28"/>
  <c r="H916" i="28"/>
  <c r="H915" i="28"/>
  <c r="H908" i="28"/>
  <c r="I908" i="28" s="1"/>
  <c r="H907" i="28"/>
  <c r="H900" i="28"/>
  <c r="I900" i="28" s="1"/>
  <c r="H899" i="28"/>
  <c r="I899" i="28" s="1"/>
  <c r="H892" i="28"/>
  <c r="H891" i="28"/>
  <c r="H884" i="28"/>
  <c r="H883" i="28"/>
  <c r="H876" i="28"/>
  <c r="I876" i="28" s="1"/>
  <c r="H875" i="28"/>
  <c r="H868" i="28"/>
  <c r="I868" i="28" s="1"/>
  <c r="H867" i="28"/>
  <c r="I867" i="28" s="1"/>
  <c r="H860" i="28"/>
  <c r="H859" i="28"/>
  <c r="H852" i="28"/>
  <c r="I852" i="28" s="1"/>
  <c r="H851" i="28"/>
  <c r="H844" i="28"/>
  <c r="I844" i="28" s="1"/>
  <c r="H843" i="28"/>
  <c r="H836" i="28"/>
  <c r="I836" i="28" s="1"/>
  <c r="H835" i="28"/>
  <c r="I835" i="28" s="1"/>
  <c r="H832" i="28"/>
  <c r="I832" i="28" s="1"/>
  <c r="H831" i="28"/>
  <c r="H828" i="28"/>
  <c r="H827" i="28"/>
  <c r="H823" i="28"/>
  <c r="I823" i="28" s="1"/>
  <c r="H819" i="28"/>
  <c r="H815" i="28"/>
  <c r="H812" i="28"/>
  <c r="H811" i="28"/>
  <c r="I811" i="28" s="1"/>
  <c r="H808" i="28"/>
  <c r="H807" i="28"/>
  <c r="H804" i="28"/>
  <c r="I804" i="28" s="1"/>
  <c r="H803" i="28"/>
  <c r="H800" i="28"/>
  <c r="H799" i="28"/>
  <c r="H796" i="28"/>
  <c r="H795" i="28"/>
  <c r="I795" i="28" s="1"/>
  <c r="H792" i="28"/>
  <c r="H791" i="28"/>
  <c r="H788" i="28"/>
  <c r="H787" i="28"/>
  <c r="H784" i="28"/>
  <c r="H783" i="28"/>
  <c r="I783" i="28" s="1"/>
  <c r="H780" i="28"/>
  <c r="H779" i="28"/>
  <c r="I779" i="28" s="1"/>
  <c r="H776" i="28"/>
  <c r="H775" i="28"/>
  <c r="I775" i="28" s="1"/>
  <c r="H772" i="28"/>
  <c r="I772" i="28" s="1"/>
  <c r="H771" i="28"/>
  <c r="H768" i="28"/>
  <c r="H767" i="28"/>
  <c r="I767" i="28" s="1"/>
  <c r="H764" i="28"/>
  <c r="I764" i="28" s="1"/>
  <c r="H763" i="28"/>
  <c r="H760" i="28"/>
  <c r="H759" i="28"/>
  <c r="H756" i="28"/>
  <c r="H755" i="28"/>
  <c r="I755" i="28" s="1"/>
  <c r="H752" i="28"/>
  <c r="H751" i="28"/>
  <c r="H747" i="28"/>
  <c r="I747" i="28" s="1"/>
  <c r="H743" i="28"/>
  <c r="H729" i="28"/>
  <c r="I729" i="28" s="1"/>
  <c r="H726" i="28"/>
  <c r="I726" i="28" s="1"/>
  <c r="H721" i="28"/>
  <c r="I721" i="28" s="1"/>
  <c r="H718" i="28"/>
  <c r="H713" i="28"/>
  <c r="I713" i="28" s="1"/>
  <c r="H710" i="28"/>
  <c r="H705" i="28"/>
  <c r="I705" i="28" s="1"/>
  <c r="H702" i="28"/>
  <c r="I702" i="28" s="1"/>
  <c r="H697" i="28"/>
  <c r="I697" i="28" s="1"/>
  <c r="H694" i="28"/>
  <c r="H689" i="28"/>
  <c r="H686" i="28"/>
  <c r="H681" i="28"/>
  <c r="I681" i="28" s="1"/>
  <c r="H678" i="28"/>
  <c r="H673" i="28"/>
  <c r="H670" i="28"/>
  <c r="I670" i="28" s="1"/>
  <c r="H665" i="28"/>
  <c r="I665" i="28" s="1"/>
  <c r="H662" i="28"/>
  <c r="I662" i="28" s="1"/>
  <c r="H657" i="28"/>
  <c r="I657" i="28" s="1"/>
  <c r="H654" i="28"/>
  <c r="H649" i="28"/>
  <c r="I649" i="28" s="1"/>
  <c r="H646" i="28"/>
  <c r="I646" i="28" s="1"/>
  <c r="H641" i="28"/>
  <c r="I641" i="28" s="1"/>
  <c r="H638" i="28"/>
  <c r="I638" i="28" s="1"/>
  <c r="H633" i="28"/>
  <c r="I633" i="28" s="1"/>
  <c r="H630" i="28"/>
  <c r="H625" i="28"/>
  <c r="H622" i="28"/>
  <c r="I622" i="28" s="1"/>
  <c r="H617" i="28"/>
  <c r="I617" i="28" s="1"/>
  <c r="H614" i="28"/>
  <c r="H609" i="28"/>
  <c r="H606" i="28"/>
  <c r="H601" i="28"/>
  <c r="I601" i="28" s="1"/>
  <c r="H598" i="28"/>
  <c r="H593" i="28"/>
  <c r="I593" i="28" s="1"/>
  <c r="H590" i="28"/>
  <c r="H585" i="28"/>
  <c r="I585" i="28" s="1"/>
  <c r="H582" i="28"/>
  <c r="H577" i="28"/>
  <c r="I577" i="28" s="1"/>
  <c r="H574" i="28"/>
  <c r="H569" i="28"/>
  <c r="I569" i="28" s="1"/>
  <c r="H566" i="28"/>
  <c r="H561" i="28"/>
  <c r="H558" i="28"/>
  <c r="H550" i="28"/>
  <c r="H542" i="28"/>
  <c r="H534" i="28"/>
  <c r="I534" i="28" s="1"/>
  <c r="H526" i="28"/>
  <c r="I526" i="28" s="1"/>
  <c r="H814" i="28"/>
  <c r="H810" i="28"/>
  <c r="H806" i="28"/>
  <c r="H802" i="28"/>
  <c r="I802" i="28" s="1"/>
  <c r="H798" i="28"/>
  <c r="H794" i="28"/>
  <c r="H790" i="28"/>
  <c r="H786" i="28"/>
  <c r="I786" i="28" s="1"/>
  <c r="H782" i="28"/>
  <c r="H778" i="28"/>
  <c r="I778" i="28" s="1"/>
  <c r="H774" i="28"/>
  <c r="H770" i="28"/>
  <c r="I770" i="28" s="1"/>
  <c r="H766" i="28"/>
  <c r="I766" i="28" s="1"/>
  <c r="H762" i="28"/>
  <c r="H758" i="28"/>
  <c r="I758" i="28" s="1"/>
  <c r="H754" i="28"/>
  <c r="H750" i="28"/>
  <c r="H746" i="28"/>
  <c r="I746" i="28" s="1"/>
  <c r="H742" i="28"/>
  <c r="H735" i="28"/>
  <c r="H734" i="28"/>
  <c r="I734" i="28" s="1"/>
  <c r="H728" i="28"/>
  <c r="H727" i="28"/>
  <c r="H720" i="28"/>
  <c r="H719" i="28"/>
  <c r="H712" i="28"/>
  <c r="H711" i="28"/>
  <c r="H704" i="28"/>
  <c r="I704" i="28" s="1"/>
  <c r="H703" i="28"/>
  <c r="I703" i="28" s="1"/>
  <c r="H696" i="28"/>
  <c r="H695" i="28"/>
  <c r="H688" i="28"/>
  <c r="H687" i="28"/>
  <c r="I687" i="28" s="1"/>
  <c r="H680" i="28"/>
  <c r="I680" i="28" s="1"/>
  <c r="H679" i="28"/>
  <c r="H672" i="28"/>
  <c r="H671" i="28"/>
  <c r="H664" i="28"/>
  <c r="I664" i="28" s="1"/>
  <c r="H663" i="28"/>
  <c r="H656" i="28"/>
  <c r="I656" i="28" s="1"/>
  <c r="H655" i="28"/>
  <c r="H648" i="28"/>
  <c r="H647" i="28"/>
  <c r="H640" i="28"/>
  <c r="I640" i="28" s="1"/>
  <c r="H639" i="28"/>
  <c r="I639" i="28" s="1"/>
  <c r="H632" i="28"/>
  <c r="H631" i="28"/>
  <c r="H624" i="28"/>
  <c r="H623" i="28"/>
  <c r="H616" i="28"/>
  <c r="I616" i="28" s="1"/>
  <c r="H615" i="28"/>
  <c r="H608" i="28"/>
  <c r="I608" i="28" s="1"/>
  <c r="H607" i="28"/>
  <c r="H600" i="28"/>
  <c r="H599" i="28"/>
  <c r="H592" i="28"/>
  <c r="H591" i="28"/>
  <c r="H584" i="28"/>
  <c r="H583" i="28"/>
  <c r="H576" i="28"/>
  <c r="I576" i="28" s="1"/>
  <c r="H575" i="28"/>
  <c r="H568" i="28"/>
  <c r="H567" i="28"/>
  <c r="H730" i="28"/>
  <c r="H722" i="28"/>
  <c r="H714" i="28"/>
  <c r="H706" i="28"/>
  <c r="H698" i="28"/>
  <c r="H690" i="28"/>
  <c r="H682" i="28"/>
  <c r="I682" i="28" s="1"/>
  <c r="H674" i="28"/>
  <c r="H666" i="28"/>
  <c r="H658" i="28"/>
  <c r="H650" i="28"/>
  <c r="H642" i="28"/>
  <c r="I642" i="28" s="1"/>
  <c r="H634" i="28"/>
  <c r="H626" i="28"/>
  <c r="I626" i="28" s="1"/>
  <c r="H618" i="28"/>
  <c r="H610" i="28"/>
  <c r="H602" i="28"/>
  <c r="H594" i="28"/>
  <c r="H586" i="28"/>
  <c r="H578" i="28"/>
  <c r="H570" i="28"/>
  <c r="H562" i="28"/>
  <c r="I562" i="28" s="1"/>
  <c r="H554" i="28"/>
  <c r="H553" i="28"/>
  <c r="I553" i="28" s="1"/>
  <c r="H546" i="28"/>
  <c r="H545" i="28"/>
  <c r="H538" i="28"/>
  <c r="I538" i="28" s="1"/>
  <c r="H537" i="28"/>
  <c r="H529" i="28"/>
  <c r="I529" i="28" s="1"/>
  <c r="H522" i="28"/>
  <c r="I522" i="28" s="1"/>
  <c r="H560" i="28"/>
  <c r="I560" i="28" s="1"/>
  <c r="H559" i="28"/>
  <c r="H552" i="28"/>
  <c r="H551" i="28"/>
  <c r="I551" i="28" s="1"/>
  <c r="H544" i="28"/>
  <c r="I544" i="28" s="1"/>
  <c r="H543" i="28"/>
  <c r="I543" i="28" s="1"/>
  <c r="H536" i="28"/>
  <c r="H535" i="28"/>
  <c r="H528" i="28"/>
  <c r="H527" i="28"/>
  <c r="I527" i="28" s="1"/>
  <c r="H520" i="28"/>
  <c r="H519" i="28"/>
  <c r="I519" i="28" s="1"/>
  <c r="H512" i="28"/>
  <c r="I512" i="28" s="1"/>
  <c r="H511" i="28"/>
  <c r="H504" i="28"/>
  <c r="H503" i="28"/>
  <c r="H496" i="28"/>
  <c r="H495" i="28"/>
  <c r="H488" i="28"/>
  <c r="H487" i="28"/>
  <c r="H480" i="28"/>
  <c r="I480" i="28" s="1"/>
  <c r="H479" i="28"/>
  <c r="H472" i="28"/>
  <c r="H471" i="28"/>
  <c r="I471" i="28" s="1"/>
  <c r="H464" i="28"/>
  <c r="H463" i="28"/>
  <c r="H456" i="28"/>
  <c r="H455" i="28"/>
  <c r="H448" i="28"/>
  <c r="I448" i="28" s="1"/>
  <c r="H447" i="28"/>
  <c r="I447" i="28" s="1"/>
  <c r="H440" i="28"/>
  <c r="H439" i="28"/>
  <c r="I439" i="28" s="1"/>
  <c r="H432" i="28"/>
  <c r="H431" i="28"/>
  <c r="H514" i="28"/>
  <c r="I514" i="28" s="1"/>
  <c r="H506" i="28"/>
  <c r="H498" i="28"/>
  <c r="I498" i="28" s="1"/>
  <c r="H490" i="28"/>
  <c r="H482" i="28"/>
  <c r="I482" i="28" s="1"/>
  <c r="H474" i="28"/>
  <c r="I474" i="28" s="1"/>
  <c r="H466" i="28"/>
  <c r="I466" i="28" s="1"/>
  <c r="H458" i="28"/>
  <c r="I458" i="28" s="1"/>
  <c r="H450" i="28"/>
  <c r="I450" i="28" s="1"/>
  <c r="H442" i="28"/>
  <c r="H434" i="28"/>
  <c r="I434" i="28" s="1"/>
  <c r="H521" i="28"/>
  <c r="H518" i="28"/>
  <c r="H513" i="28"/>
  <c r="H510" i="28"/>
  <c r="H505" i="28"/>
  <c r="H502" i="28"/>
  <c r="H497" i="28"/>
  <c r="H494" i="28"/>
  <c r="H489" i="28"/>
  <c r="H486" i="28"/>
  <c r="I486" i="28" s="1"/>
  <c r="H481" i="28"/>
  <c r="I481" i="28" s="1"/>
  <c r="H478" i="28"/>
  <c r="H473" i="28"/>
  <c r="H470" i="28"/>
  <c r="H465" i="28"/>
  <c r="H462" i="28"/>
  <c r="H457" i="28"/>
  <c r="I457" i="28" s="1"/>
  <c r="H454" i="28"/>
  <c r="H449" i="28"/>
  <c r="I449" i="28" s="1"/>
  <c r="H446" i="28"/>
  <c r="H441" i="28"/>
  <c r="H438" i="28"/>
  <c r="I438" i="28" s="1"/>
  <c r="H433" i="28"/>
  <c r="I433" i="28" s="1"/>
  <c r="H430" i="28"/>
  <c r="AQ361" i="28"/>
  <c r="S361" i="28" s="1"/>
  <c r="AH11" i="1"/>
  <c r="H996" i="28"/>
  <c r="H748" i="28"/>
  <c r="H744" i="28"/>
  <c r="H740" i="28"/>
  <c r="H737" i="28"/>
  <c r="H993" i="28"/>
  <c r="H985" i="28"/>
  <c r="H977" i="28"/>
  <c r="H969" i="28"/>
  <c r="H961" i="28"/>
  <c r="H953" i="28"/>
  <c r="H945" i="28"/>
  <c r="H937" i="28"/>
  <c r="H929" i="28"/>
  <c r="H921" i="28"/>
  <c r="H913" i="28"/>
  <c r="H905" i="28"/>
  <c r="H897" i="28"/>
  <c r="H889" i="28"/>
  <c r="H881" i="28"/>
  <c r="H873" i="28"/>
  <c r="H865" i="28"/>
  <c r="H857" i="28"/>
  <c r="H849" i="28"/>
  <c r="H841" i="28"/>
  <c r="H997" i="28"/>
  <c r="H989" i="28"/>
  <c r="H981" i="28"/>
  <c r="H973" i="28"/>
  <c r="H965" i="28"/>
  <c r="H957" i="28"/>
  <c r="H949" i="28"/>
  <c r="H941" i="28"/>
  <c r="H933" i="28"/>
  <c r="H925" i="28"/>
  <c r="H917" i="28"/>
  <c r="H909" i="28"/>
  <c r="H901" i="28"/>
  <c r="H893" i="28"/>
  <c r="H885" i="28"/>
  <c r="H877" i="28"/>
  <c r="H869" i="28"/>
  <c r="H861" i="28"/>
  <c r="H853" i="28"/>
  <c r="H845" i="28"/>
  <c r="H837" i="28"/>
  <c r="H736" i="28"/>
  <c r="H732" i="28"/>
  <c r="H731" i="28"/>
  <c r="H724" i="28"/>
  <c r="H723" i="28"/>
  <c r="H716" i="28"/>
  <c r="H715" i="28"/>
  <c r="H708" i="28"/>
  <c r="H707" i="28"/>
  <c r="H700" i="28"/>
  <c r="H699" i="28"/>
  <c r="H692" i="28"/>
  <c r="H691" i="28"/>
  <c r="H684" i="28"/>
  <c r="H683" i="28"/>
  <c r="H676" i="28"/>
  <c r="H675" i="28"/>
  <c r="H668" i="28"/>
  <c r="H667" i="28"/>
  <c r="H660" i="28"/>
  <c r="H659" i="28"/>
  <c r="H652" i="28"/>
  <c r="H651" i="28"/>
  <c r="H644" i="28"/>
  <c r="H643" i="28"/>
  <c r="H636" i="28"/>
  <c r="H635" i="28"/>
  <c r="H628" i="28"/>
  <c r="H627" i="28"/>
  <c r="H620" i="28"/>
  <c r="H619" i="28"/>
  <c r="H612" i="28"/>
  <c r="H611" i="28"/>
  <c r="H604" i="28"/>
  <c r="H603" i="28"/>
  <c r="H596" i="28"/>
  <c r="H595" i="28"/>
  <c r="H588" i="28"/>
  <c r="H587" i="28"/>
  <c r="H580" i="28"/>
  <c r="H579" i="28"/>
  <c r="H572" i="28"/>
  <c r="H571" i="28"/>
  <c r="H564" i="28"/>
  <c r="H563" i="28"/>
  <c r="H556" i="28"/>
  <c r="H555" i="28"/>
  <c r="H548" i="28"/>
  <c r="H547" i="28"/>
  <c r="H540" i="28"/>
  <c r="H539" i="28"/>
  <c r="H532" i="28"/>
  <c r="H531" i="28"/>
  <c r="H524" i="28"/>
  <c r="H523" i="28"/>
  <c r="H516" i="28"/>
  <c r="H515" i="28"/>
  <c r="H508" i="28"/>
  <c r="H507" i="28"/>
  <c r="H500" i="28"/>
  <c r="H499" i="28"/>
  <c r="H492" i="28"/>
  <c r="H491" i="28"/>
  <c r="H484" i="28"/>
  <c r="H483" i="28"/>
  <c r="H476" i="28"/>
  <c r="H475" i="28"/>
  <c r="H468" i="28"/>
  <c r="H467" i="28"/>
  <c r="H460" i="28"/>
  <c r="H459" i="28"/>
  <c r="H452" i="28"/>
  <c r="H451" i="28"/>
  <c r="H444" i="28"/>
  <c r="H443" i="28"/>
  <c r="H436" i="28"/>
  <c r="H435" i="28"/>
  <c r="H428" i="28"/>
  <c r="H427" i="28"/>
  <c r="H733" i="28"/>
  <c r="H725" i="28"/>
  <c r="H717" i="28"/>
  <c r="H709" i="28"/>
  <c r="H701" i="28"/>
  <c r="H693" i="28"/>
  <c r="H685" i="28"/>
  <c r="H677" i="28"/>
  <c r="H669" i="28"/>
  <c r="H661" i="28"/>
  <c r="H653" i="28"/>
  <c r="H645" i="28"/>
  <c r="H637" i="28"/>
  <c r="H629" i="28"/>
  <c r="H621" i="28"/>
  <c r="H613" i="28"/>
  <c r="H605" i="28"/>
  <c r="H597" i="28"/>
  <c r="H589" i="28"/>
  <c r="H581" i="28"/>
  <c r="H573" i="28"/>
  <c r="H565" i="28"/>
  <c r="H557" i="28"/>
  <c r="H549" i="28"/>
  <c r="H541" i="28"/>
  <c r="H533" i="28"/>
  <c r="H525" i="28"/>
  <c r="H517" i="28"/>
  <c r="H509" i="28"/>
  <c r="H501" i="28"/>
  <c r="H493" i="28"/>
  <c r="H485" i="28"/>
  <c r="H477" i="28"/>
  <c r="H469" i="28"/>
  <c r="H461" i="28"/>
  <c r="H453" i="28"/>
  <c r="H445" i="28"/>
  <c r="H437" i="28"/>
  <c r="H429" i="28"/>
  <c r="AP4" i="28"/>
  <c r="Q4" i="28" s="1"/>
  <c r="AK11" i="1"/>
  <c r="AJ11" i="1"/>
  <c r="AK995" i="28" a="1"/>
  <c r="AK995" i="28" s="1"/>
  <c r="AM995" i="28" s="1" a="1"/>
  <c r="AM995" i="28" s="1"/>
  <c r="AL995" i="28" a="1"/>
  <c r="AL995" i="28" s="1"/>
  <c r="AN995" i="28" s="1" a="1"/>
  <c r="AN995" i="28" s="1"/>
  <c r="AK987" i="28" a="1"/>
  <c r="AK987" i="28" s="1"/>
  <c r="AM987" i="28" s="1" a="1"/>
  <c r="AM987" i="28" s="1"/>
  <c r="AO987" i="28"/>
  <c r="AL979" i="28" a="1"/>
  <c r="AL979" i="28" s="1"/>
  <c r="AN979" i="28" s="1" a="1"/>
  <c r="AN979" i="28" s="1"/>
  <c r="AK979" i="28" a="1"/>
  <c r="AK979" i="28" s="1"/>
  <c r="AM979" i="28" s="1" a="1"/>
  <c r="AM979" i="28" s="1"/>
  <c r="AO979" i="28"/>
  <c r="AO971" i="28"/>
  <c r="AL971" i="28" a="1"/>
  <c r="AL971" i="28" s="1"/>
  <c r="AN971" i="28" s="1" a="1"/>
  <c r="AN971" i="28" s="1"/>
  <c r="AL947" i="28" a="1"/>
  <c r="AL947" i="28" s="1"/>
  <c r="AN947" i="28" s="1" a="1"/>
  <c r="AN947" i="28" s="1"/>
  <c r="AO947" i="28"/>
  <c r="AO915" i="28"/>
  <c r="AK915" i="28" a="1"/>
  <c r="AK915" i="28" s="1"/>
  <c r="AM915" i="28" s="1" a="1"/>
  <c r="AM915" i="28" s="1"/>
  <c r="AO883" i="28"/>
  <c r="AL883" i="28" a="1"/>
  <c r="AL883" i="28" s="1"/>
  <c r="AN883" i="28" s="1" a="1"/>
  <c r="AN883" i="28" s="1"/>
  <c r="AO875" i="28"/>
  <c r="AL875" i="28" a="1"/>
  <c r="AL875" i="28" s="1"/>
  <c r="AN875" i="28" s="1" a="1"/>
  <c r="AN875" i="28" s="1"/>
  <c r="AL867" i="28" a="1"/>
  <c r="AL867" i="28" s="1"/>
  <c r="AN867" i="28" s="1" a="1"/>
  <c r="AN867" i="28" s="1"/>
  <c r="AK867" i="28" a="1"/>
  <c r="AK867" i="28" s="1"/>
  <c r="AM867" i="28" s="1" a="1"/>
  <c r="AM867" i="28" s="1"/>
  <c r="AO867" i="28"/>
  <c r="AL859" i="28" a="1"/>
  <c r="AL859" i="28" s="1"/>
  <c r="AN859" i="28" s="1" a="1"/>
  <c r="AN859" i="28" s="1"/>
  <c r="AK859" i="28" a="1"/>
  <c r="AK859" i="28" s="1"/>
  <c r="AM859" i="28" s="1" a="1"/>
  <c r="AM859" i="28" s="1"/>
  <c r="AO859" i="28"/>
  <c r="AL843" i="28" a="1"/>
  <c r="AL843" i="28" s="1"/>
  <c r="AN843" i="28" s="1" a="1"/>
  <c r="AN843" i="28" s="1"/>
  <c r="AK843" i="28" a="1"/>
  <c r="AK843" i="28" s="1"/>
  <c r="AM843" i="28" s="1" a="1"/>
  <c r="AM843" i="28" s="1"/>
  <c r="AO843" i="28"/>
  <c r="AL835" i="28" a="1"/>
  <c r="AL835" i="28" s="1"/>
  <c r="AN835" i="28" s="1" a="1"/>
  <c r="AN835" i="28" s="1"/>
  <c r="AK835" i="28" a="1"/>
  <c r="AK835" i="28" s="1"/>
  <c r="AM835" i="28" s="1" a="1"/>
  <c r="AM835" i="28" s="1"/>
  <c r="AO827" i="28"/>
  <c r="AK827" i="28" a="1"/>
  <c r="AK827" i="28" s="1"/>
  <c r="AM827" i="28" s="1" a="1"/>
  <c r="AM827" i="28" s="1"/>
  <c r="AL811" i="28" a="1"/>
  <c r="AL811" i="28" s="1"/>
  <c r="AN811" i="28" s="1" a="1"/>
  <c r="AN811" i="28" s="1"/>
  <c r="AO811" i="28"/>
  <c r="AK803" i="28" a="1"/>
  <c r="AK803" i="28" s="1"/>
  <c r="AM803" i="28" s="1" a="1"/>
  <c r="AM803" i="28" s="1"/>
  <c r="AL803" i="28" a="1"/>
  <c r="AL803" i="28" s="1"/>
  <c r="AN803" i="28" s="1" a="1"/>
  <c r="AN803" i="28" s="1"/>
  <c r="AL779" i="28" a="1"/>
  <c r="AL779" i="28" s="1"/>
  <c r="AN779" i="28" s="1" a="1"/>
  <c r="AN779" i="28" s="1"/>
  <c r="AK779" i="28" a="1"/>
  <c r="AK779" i="28" s="1"/>
  <c r="AM779" i="28" s="1" a="1"/>
  <c r="AM779" i="28" s="1"/>
  <c r="AO779" i="28"/>
  <c r="AL771" i="28" a="1"/>
  <c r="AL771" i="28" s="1"/>
  <c r="AN771" i="28" s="1" a="1"/>
  <c r="AN771" i="28" s="1"/>
  <c r="AO771" i="28"/>
  <c r="AO763" i="28"/>
  <c r="AK763" i="28" a="1"/>
  <c r="AK763" i="28" s="1"/>
  <c r="AM763" i="28" s="1" a="1"/>
  <c r="AM763" i="28" s="1"/>
  <c r="AO739" i="28"/>
  <c r="AL739" i="28" a="1"/>
  <c r="AL739" i="28" s="1"/>
  <c r="AN739" i="28" s="1" a="1"/>
  <c r="AN739" i="28" s="1"/>
  <c r="AL715" i="28" a="1"/>
  <c r="AL715" i="28" s="1"/>
  <c r="AN715" i="28" s="1" a="1"/>
  <c r="AN715" i="28" s="1"/>
  <c r="AK715" i="28" a="1"/>
  <c r="AK715" i="28" s="1"/>
  <c r="AM715" i="28" s="1" a="1"/>
  <c r="AM715" i="28" s="1"/>
  <c r="AO715" i="28"/>
  <c r="AK667" i="28" a="1"/>
  <c r="AK667" i="28" s="1"/>
  <c r="AM667" i="28" s="1" a="1"/>
  <c r="AM667" i="28" s="1"/>
  <c r="AL667" i="28" a="1"/>
  <c r="AL667" i="28" s="1"/>
  <c r="AN667" i="28" s="1" a="1"/>
  <c r="AN667" i="28" s="1"/>
  <c r="AK627" i="28" a="1"/>
  <c r="AK627" i="28" s="1"/>
  <c r="AM627" i="28" s="1" a="1"/>
  <c r="AM627" i="28" s="1"/>
  <c r="AO627" i="28"/>
  <c r="AK619" i="28" a="1"/>
  <c r="AK619" i="28" s="1"/>
  <c r="AM619" i="28" s="1" a="1"/>
  <c r="AM619" i="28" s="1"/>
  <c r="AL619" i="28" a="1"/>
  <c r="AL619" i="28" s="1"/>
  <c r="AN619" i="28" s="1" a="1"/>
  <c r="AN619" i="28" s="1"/>
  <c r="AO619" i="28"/>
  <c r="AO611" i="28"/>
  <c r="AK611" i="28" a="1"/>
  <c r="AK611" i="28" s="1"/>
  <c r="AM611" i="28" s="1" a="1"/>
  <c r="AM611" i="28" s="1"/>
  <c r="AL611" i="28" a="1"/>
  <c r="AL611" i="28" s="1"/>
  <c r="AN611" i="28" s="1" a="1"/>
  <c r="AN611" i="28" s="1"/>
  <c r="AL571" i="28" a="1"/>
  <c r="AL571" i="28" s="1"/>
  <c r="AN571" i="28" s="1" a="1"/>
  <c r="AN571" i="28" s="1"/>
  <c r="AK571" i="28" a="1"/>
  <c r="AK571" i="28" s="1"/>
  <c r="AM571" i="28" s="1" a="1"/>
  <c r="AM571" i="28" s="1"/>
  <c r="AO571" i="28"/>
  <c r="AK547" i="28" a="1"/>
  <c r="AK547" i="28" s="1"/>
  <c r="AM547" i="28" s="1" a="1"/>
  <c r="AM547" i="28" s="1"/>
  <c r="AL547" i="28" a="1"/>
  <c r="AL547" i="28" s="1"/>
  <c r="AN547" i="28" s="1" a="1"/>
  <c r="AN547" i="28" s="1"/>
  <c r="AO547" i="28"/>
  <c r="AO539" i="28"/>
  <c r="AK539" i="28" a="1"/>
  <c r="AK539" i="28" s="1"/>
  <c r="AM539" i="28" s="1" a="1"/>
  <c r="AM539" i="28" s="1"/>
  <c r="AL539" i="28" a="1"/>
  <c r="AL539" i="28" s="1"/>
  <c r="AN539" i="28" s="1" a="1"/>
  <c r="AN539" i="28" s="1"/>
  <c r="AL997" i="28" a="1"/>
  <c r="AL997" i="28" s="1"/>
  <c r="AN997" i="28" s="1" a="1"/>
  <c r="AN997" i="28" s="1"/>
  <c r="AK997" i="28" a="1"/>
  <c r="AK997" i="28" s="1"/>
  <c r="AM997" i="28" s="1" a="1"/>
  <c r="AM997" i="28" s="1"/>
  <c r="AO997" i="28"/>
  <c r="AK989" i="28" a="1"/>
  <c r="AK989" i="28" s="1"/>
  <c r="AM989" i="28" s="1" a="1"/>
  <c r="AM989" i="28" s="1"/>
  <c r="AL989" i="28" a="1"/>
  <c r="AL989" i="28" s="1"/>
  <c r="AN989" i="28" s="1" a="1"/>
  <c r="AN989" i="28" s="1"/>
  <c r="AO989" i="28"/>
  <c r="AL949" i="28" a="1"/>
  <c r="AL949" i="28" s="1"/>
  <c r="AN949" i="28" s="1" a="1"/>
  <c r="AN949" i="28" s="1"/>
  <c r="AO949" i="28"/>
  <c r="AK941" i="28" a="1"/>
  <c r="AK941" i="28" s="1"/>
  <c r="AM941" i="28" s="1" a="1"/>
  <c r="AM941" i="28" s="1"/>
  <c r="AL941" i="28" a="1"/>
  <c r="AL941" i="28" s="1"/>
  <c r="AN941" i="28" s="1" a="1"/>
  <c r="AN941" i="28" s="1"/>
  <c r="AO941" i="28"/>
  <c r="AK933" i="28" a="1"/>
  <c r="AK933" i="28" s="1"/>
  <c r="AM933" i="28" s="1" a="1"/>
  <c r="AM933" i="28" s="1"/>
  <c r="AL933" i="28" a="1"/>
  <c r="AL933" i="28" s="1"/>
  <c r="AN933" i="28" s="1" a="1"/>
  <c r="AN933" i="28" s="1"/>
  <c r="AO933" i="28"/>
  <c r="AK917" i="28" a="1"/>
  <c r="AK917" i="28" s="1"/>
  <c r="AM917" i="28" s="1" a="1"/>
  <c r="AM917" i="28" s="1"/>
  <c r="AO917" i="28"/>
  <c r="AO901" i="28"/>
  <c r="AL901" i="28" a="1"/>
  <c r="AL901" i="28" s="1"/>
  <c r="AN901" i="28" s="1" a="1"/>
  <c r="AN901" i="28" s="1"/>
  <c r="AK901" i="28" a="1"/>
  <c r="AK901" i="28" s="1"/>
  <c r="AM901" i="28" s="1" a="1"/>
  <c r="AM901" i="28" s="1"/>
  <c r="AL885" i="28" a="1"/>
  <c r="AL885" i="28" s="1"/>
  <c r="AN885" i="28" s="1" a="1"/>
  <c r="AN885" i="28" s="1"/>
  <c r="AK885" i="28" a="1"/>
  <c r="AK885" i="28" s="1"/>
  <c r="AM885" i="28" s="1" a="1"/>
  <c r="AM885" i="28" s="1"/>
  <c r="AO885" i="28"/>
  <c r="AL869" i="28" a="1"/>
  <c r="AL869" i="28" s="1"/>
  <c r="AN869" i="28" s="1" a="1"/>
  <c r="AN869" i="28" s="1"/>
  <c r="AK869" i="28" a="1"/>
  <c r="AK869" i="28" s="1"/>
  <c r="AM869" i="28" s="1" a="1"/>
  <c r="AM869" i="28" s="1"/>
  <c r="AO869" i="28"/>
  <c r="AK837" i="28" a="1"/>
  <c r="AK837" i="28" s="1"/>
  <c r="AM837" i="28" s="1" a="1"/>
  <c r="AM837" i="28" s="1"/>
  <c r="AO837" i="28"/>
  <c r="AO813" i="28"/>
  <c r="AL813" i="28" a="1"/>
  <c r="AL813" i="28" s="1"/>
  <c r="AN813" i="28" s="1" a="1"/>
  <c r="AN813" i="28" s="1"/>
  <c r="AK781" i="28" a="1"/>
  <c r="AK781" i="28" s="1"/>
  <c r="AM781" i="28" s="1" a="1"/>
  <c r="AM781" i="28" s="1"/>
  <c r="AL781" i="28" a="1"/>
  <c r="AL781" i="28" s="1"/>
  <c r="AN781" i="28" s="1" a="1"/>
  <c r="AN781" i="28" s="1"/>
  <c r="AO781" i="28"/>
  <c r="AL757" i="28" a="1"/>
  <c r="AL757" i="28" s="1"/>
  <c r="AN757" i="28" s="1" a="1"/>
  <c r="AN757" i="28" s="1"/>
  <c r="AK757" i="28" a="1"/>
  <c r="AK757" i="28" s="1"/>
  <c r="AM757" i="28" s="1" a="1"/>
  <c r="AM757" i="28" s="1"/>
  <c r="AO757" i="28"/>
  <c r="AL725" i="28" a="1"/>
  <c r="AL725" i="28" s="1"/>
  <c r="AN725" i="28" s="1" a="1"/>
  <c r="AN725" i="28" s="1"/>
  <c r="AK725" i="28" a="1"/>
  <c r="AK725" i="28" s="1"/>
  <c r="AM725" i="28" s="1" a="1"/>
  <c r="AM725" i="28" s="1"/>
  <c r="AO725" i="28"/>
  <c r="AO709" i="28"/>
  <c r="AK709" i="28" a="1"/>
  <c r="AK709" i="28" s="1"/>
  <c r="AM709" i="28" s="1" a="1"/>
  <c r="AM709" i="28" s="1"/>
  <c r="AK645" i="28" a="1"/>
  <c r="AK645" i="28" s="1"/>
  <c r="AM645" i="28" s="1" a="1"/>
  <c r="AM645" i="28" s="1"/>
  <c r="AO645" i="28"/>
  <c r="AL645" i="28" a="1"/>
  <c r="AL645" i="28" s="1"/>
  <c r="AN645" i="28" s="1" a="1"/>
  <c r="AN645" i="28" s="1"/>
  <c r="AK621" i="28" a="1"/>
  <c r="AK621" i="28" s="1"/>
  <c r="AM621" i="28" s="1" a="1"/>
  <c r="AM621" i="28" s="1"/>
  <c r="AL621" i="28" a="1"/>
  <c r="AL621" i="28" s="1"/>
  <c r="AN621" i="28" s="1" a="1"/>
  <c r="AN621" i="28" s="1"/>
  <c r="AO621" i="28"/>
  <c r="AO589" i="28"/>
  <c r="AL589" i="28" a="1"/>
  <c r="AL589" i="28" s="1"/>
  <c r="AN589" i="28" s="1" a="1"/>
  <c r="AN589" i="28" s="1"/>
  <c r="AK589" i="28" a="1"/>
  <c r="AK589" i="28" s="1"/>
  <c r="AM589" i="28" s="1" a="1"/>
  <c r="AM589" i="28" s="1"/>
  <c r="AK573" i="28" a="1"/>
  <c r="AK573" i="28" s="1"/>
  <c r="AM573" i="28" s="1" a="1"/>
  <c r="AM573" i="28" s="1"/>
  <c r="AL573" i="28" a="1"/>
  <c r="AL573" i="28" s="1"/>
  <c r="AN573" i="28" s="1" a="1"/>
  <c r="AN573" i="28" s="1"/>
  <c r="AO573" i="28"/>
  <c r="AK557" i="28" a="1"/>
  <c r="AK557" i="28" s="1"/>
  <c r="AM557" i="28" s="1" a="1"/>
  <c r="AM557" i="28" s="1"/>
  <c r="AL557" i="28" a="1"/>
  <c r="AL557" i="28" s="1"/>
  <c r="AN557" i="28" s="1" a="1"/>
  <c r="AN557" i="28" s="1"/>
  <c r="AO557" i="28"/>
  <c r="AK541" i="28" a="1"/>
  <c r="AK541" i="28" s="1"/>
  <c r="AM541" i="28" s="1" a="1"/>
  <c r="AM541" i="28" s="1"/>
  <c r="AO541" i="28"/>
  <c r="AL541" i="28" a="1"/>
  <c r="AL541" i="28" s="1"/>
  <c r="AN541" i="28" s="1" a="1"/>
  <c r="AN541" i="28" s="1"/>
  <c r="AK991" i="28" a="1"/>
  <c r="AK991" i="28" s="1"/>
  <c r="AM991" i="28" s="1" a="1"/>
  <c r="AM991" i="28" s="1"/>
  <c r="AO991" i="28"/>
  <c r="AL967" i="28" a="1"/>
  <c r="AL967" i="28" s="1"/>
  <c r="AN967" i="28" s="1" a="1"/>
  <c r="AN967" i="28" s="1"/>
  <c r="AK967" i="28" a="1"/>
  <c r="AK967" i="28" s="1"/>
  <c r="AM967" i="28" s="1" a="1"/>
  <c r="AM967" i="28" s="1"/>
  <c r="AO967" i="28"/>
  <c r="AK951" i="28" a="1"/>
  <c r="AK951" i="28" s="1"/>
  <c r="AM951" i="28" s="1" a="1"/>
  <c r="AM951" i="28" s="1"/>
  <c r="AL951" i="28" a="1"/>
  <c r="AL951" i="28" s="1"/>
  <c r="AN951" i="28" s="1" a="1"/>
  <c r="AN951" i="28" s="1"/>
  <c r="AL927" i="28" a="1"/>
  <c r="AL927" i="28" s="1"/>
  <c r="AN927" i="28" s="1" a="1"/>
  <c r="AN927" i="28" s="1"/>
  <c r="AO927" i="28"/>
  <c r="AO855" i="28"/>
  <c r="AL855" i="28" a="1"/>
  <c r="AL855" i="28" s="1"/>
  <c r="AN855" i="28" s="1" a="1"/>
  <c r="AN855" i="28" s="1"/>
  <c r="AK855" i="28" a="1"/>
  <c r="AK855" i="28" s="1"/>
  <c r="AM855" i="28" s="1" a="1"/>
  <c r="AM855" i="28" s="1"/>
  <c r="AK847" i="28" a="1"/>
  <c r="AK847" i="28" s="1"/>
  <c r="AM847" i="28" s="1" a="1"/>
  <c r="AM847" i="28" s="1"/>
  <c r="AL847" i="28" a="1"/>
  <c r="AL847" i="28" s="1"/>
  <c r="AN847" i="28" s="1" a="1"/>
  <c r="AN847" i="28" s="1"/>
  <c r="AO839" i="28"/>
  <c r="AL839" i="28" a="1"/>
  <c r="AL839" i="28" s="1"/>
  <c r="AN839" i="28" s="1" a="1"/>
  <c r="AN839" i="28" s="1"/>
  <c r="AK839" i="28" a="1"/>
  <c r="AK839" i="28" s="1"/>
  <c r="AM839" i="28" s="1" a="1"/>
  <c r="AM839" i="28" s="1"/>
  <c r="AK831" i="28" a="1"/>
  <c r="AK831" i="28" s="1"/>
  <c r="AM831" i="28" s="1" a="1"/>
  <c r="AM831" i="28" s="1"/>
  <c r="AO831" i="28"/>
  <c r="AL823" i="28" a="1"/>
  <c r="AL823" i="28" s="1"/>
  <c r="AN823" i="28" s="1" a="1"/>
  <c r="AN823" i="28" s="1"/>
  <c r="AK823" i="28" a="1"/>
  <c r="AK823" i="28" s="1"/>
  <c r="AM823" i="28" s="1" a="1"/>
  <c r="AM823" i="28" s="1"/>
  <c r="AO823" i="28"/>
  <c r="AO807" i="28"/>
  <c r="AL807" i="28" a="1"/>
  <c r="AL807" i="28" s="1"/>
  <c r="AN807" i="28" s="1" a="1"/>
  <c r="AN807" i="28" s="1"/>
  <c r="AL799" i="28" a="1"/>
  <c r="AL799" i="28" s="1"/>
  <c r="AN799" i="28" s="1" a="1"/>
  <c r="AN799" i="28" s="1"/>
  <c r="AK799" i="28" a="1"/>
  <c r="AK799" i="28" s="1"/>
  <c r="AM799" i="28" s="1" a="1"/>
  <c r="AM799" i="28" s="1"/>
  <c r="AO791" i="28"/>
  <c r="AK791" i="28" a="1"/>
  <c r="AK791" i="28" s="1"/>
  <c r="AM791" i="28" s="1" a="1"/>
  <c r="AM791" i="28" s="1"/>
  <c r="AO783" i="28"/>
  <c r="AK783" i="28" a="1"/>
  <c r="AK783" i="28" s="1"/>
  <c r="AM783" i="28" s="1" a="1"/>
  <c r="AM783" i="28" s="1"/>
  <c r="AL767" i="28" a="1"/>
  <c r="AL767" i="28" s="1"/>
  <c r="AN767" i="28" s="1" a="1"/>
  <c r="AN767" i="28" s="1"/>
  <c r="AO767" i="28"/>
  <c r="AK759" i="28" a="1"/>
  <c r="AK759" i="28" s="1"/>
  <c r="AM759" i="28" s="1" a="1"/>
  <c r="AM759" i="28" s="1"/>
  <c r="AL759" i="28" a="1"/>
  <c r="AL759" i="28" s="1"/>
  <c r="AN759" i="28" s="1" a="1"/>
  <c r="AN759" i="28" s="1"/>
  <c r="AK743" i="28" a="1"/>
  <c r="AK743" i="28" s="1"/>
  <c r="AM743" i="28" s="1" a="1"/>
  <c r="AM743" i="28" s="1"/>
  <c r="AO743" i="28"/>
  <c r="AK727" i="28" a="1"/>
  <c r="AK727" i="28" s="1"/>
  <c r="AM727" i="28" s="1" a="1"/>
  <c r="AM727" i="28" s="1"/>
  <c r="AO727" i="28"/>
  <c r="AK687" i="28" a="1"/>
  <c r="AK687" i="28" s="1"/>
  <c r="AM687" i="28" s="1" a="1"/>
  <c r="AM687" i="28" s="1"/>
  <c r="AO687" i="28"/>
  <c r="AK679" i="28" a="1"/>
  <c r="AK679" i="28" s="1"/>
  <c r="AM679" i="28" s="1" a="1"/>
  <c r="AM679" i="28" s="1"/>
  <c r="AL679" i="28" a="1"/>
  <c r="AL679" i="28" s="1"/>
  <c r="AN679" i="28" s="1" a="1"/>
  <c r="AN679" i="28" s="1"/>
  <c r="AO679" i="28"/>
  <c r="AO663" i="28"/>
  <c r="AL663" i="28" a="1"/>
  <c r="AL663" i="28" s="1"/>
  <c r="AN663" i="28" s="1" a="1"/>
  <c r="AN663" i="28" s="1"/>
  <c r="AK663" i="28" a="1"/>
  <c r="AK663" i="28" s="1"/>
  <c r="AM663" i="28" s="1" a="1"/>
  <c r="AM663" i="28" s="1"/>
  <c r="AK647" i="28" a="1"/>
  <c r="AK647" i="28" s="1"/>
  <c r="AM647" i="28" s="1" a="1"/>
  <c r="AM647" i="28" s="1"/>
  <c r="AO647" i="28"/>
  <c r="AL615" i="28" a="1"/>
  <c r="AL615" i="28" s="1"/>
  <c r="AN615" i="28" s="1" a="1"/>
  <c r="AN615" i="28" s="1"/>
  <c r="AO615" i="28"/>
  <c r="AK599" i="28" a="1"/>
  <c r="AK599" i="28" s="1"/>
  <c r="AM599" i="28" s="1" a="1"/>
  <c r="AM599" i="28" s="1"/>
  <c r="AL599" i="28" a="1"/>
  <c r="AL599" i="28" s="1"/>
  <c r="AN599" i="28" s="1" a="1"/>
  <c r="AN599" i="28" s="1"/>
  <c r="AK583" i="28" a="1"/>
  <c r="AK583" i="28" s="1"/>
  <c r="AM583" i="28" s="1" a="1"/>
  <c r="AM583" i="28" s="1"/>
  <c r="AL583" i="28" a="1"/>
  <c r="AL583" i="28" s="1"/>
  <c r="AN583" i="28" s="1" a="1"/>
  <c r="AN583" i="28" s="1"/>
  <c r="AK567" i="28" a="1"/>
  <c r="AK567" i="28" s="1"/>
  <c r="AM567" i="28" s="1" a="1"/>
  <c r="AM567" i="28" s="1"/>
  <c r="AL567" i="28" a="1"/>
  <c r="AL567" i="28" s="1"/>
  <c r="AN567" i="28" s="1" a="1"/>
  <c r="AN567" i="28" s="1"/>
  <c r="AO567" i="28"/>
  <c r="AO535" i="28"/>
  <c r="AK535" i="28" a="1"/>
  <c r="AK535" i="28" s="1"/>
  <c r="AM535" i="28" s="1" a="1"/>
  <c r="AM535" i="28" s="1"/>
  <c r="AL535" i="28" a="1"/>
  <c r="AL535" i="28" s="1"/>
  <c r="AN535" i="28" s="1" a="1"/>
  <c r="AN535" i="28" s="1"/>
  <c r="AL985" i="28" a="1"/>
  <c r="AL985" i="28" s="1"/>
  <c r="AN985" i="28" s="1" a="1"/>
  <c r="AN985" i="28" s="1"/>
  <c r="AO985" i="28"/>
  <c r="AL969" i="28" a="1"/>
  <c r="AL969" i="28" s="1"/>
  <c r="AN969" i="28" s="1" a="1"/>
  <c r="AN969" i="28" s="1"/>
  <c r="AK969" i="28" a="1"/>
  <c r="AK969" i="28" s="1"/>
  <c r="AM969" i="28" s="1" a="1"/>
  <c r="AM969" i="28" s="1"/>
  <c r="AO969" i="28"/>
  <c r="AO929" i="28"/>
  <c r="AK929" i="28" a="1"/>
  <c r="AK929" i="28" s="1"/>
  <c r="AM929" i="28" s="1" a="1"/>
  <c r="AM929" i="28" s="1"/>
  <c r="AL881" i="28" a="1"/>
  <c r="AL881" i="28" s="1"/>
  <c r="AN881" i="28" s="1" a="1"/>
  <c r="AN881" i="28" s="1"/>
  <c r="AO881" i="28"/>
  <c r="AK881" i="28" a="1"/>
  <c r="AK881" i="28" s="1"/>
  <c r="AM881" i="28" s="1" a="1"/>
  <c r="AM881" i="28" s="1"/>
  <c r="AL873" i="28" a="1"/>
  <c r="AL873" i="28" s="1"/>
  <c r="AN873" i="28" s="1" a="1"/>
  <c r="AN873" i="28" s="1"/>
  <c r="AO873" i="28"/>
  <c r="AK857" i="28" a="1"/>
  <c r="AK857" i="28" s="1"/>
  <c r="AM857" i="28" s="1" a="1"/>
  <c r="AM857" i="28" s="1"/>
  <c r="AL857" i="28" a="1"/>
  <c r="AL857" i="28" s="1"/>
  <c r="AN857" i="28" s="1" a="1"/>
  <c r="AN857" i="28" s="1"/>
  <c r="AK841" i="28" a="1"/>
  <c r="AK841" i="28" s="1"/>
  <c r="AM841" i="28" s="1" a="1"/>
  <c r="AM841" i="28" s="1"/>
  <c r="AL841" i="28" a="1"/>
  <c r="AL841" i="28" s="1"/>
  <c r="AN841" i="28" s="1" a="1"/>
  <c r="AN841" i="28" s="1"/>
  <c r="AO841" i="28"/>
  <c r="AK785" i="28" a="1"/>
  <c r="AK785" i="28" s="1"/>
  <c r="AM785" i="28" s="1" a="1"/>
  <c r="AM785" i="28" s="1"/>
  <c r="AL785" i="28" a="1"/>
  <c r="AL785" i="28" s="1"/>
  <c r="AN785" i="28" s="1" a="1"/>
  <c r="AN785" i="28" s="1"/>
  <c r="AO745" i="28"/>
  <c r="AL745" i="28" a="1"/>
  <c r="AL745" i="28" s="1"/>
  <c r="AN745" i="28" s="1" a="1"/>
  <c r="AN745" i="28" s="1"/>
  <c r="AK689" i="28" a="1"/>
  <c r="AK689" i="28" s="1"/>
  <c r="AM689" i="28" s="1" a="1"/>
  <c r="AM689" i="28" s="1"/>
  <c r="AL689" i="28" a="1"/>
  <c r="AL689" i="28" s="1"/>
  <c r="AN689" i="28" s="1" a="1"/>
  <c r="AN689" i="28" s="1"/>
  <c r="AO689" i="28"/>
  <c r="AL673" i="28" a="1"/>
  <c r="AL673" i="28" s="1"/>
  <c r="AN673" i="28" s="1" a="1"/>
  <c r="AN673" i="28" s="1"/>
  <c r="AK673" i="28" a="1"/>
  <c r="AK673" i="28" s="1"/>
  <c r="AM673" i="28" s="1" a="1"/>
  <c r="AM673" i="28" s="1"/>
  <c r="AL665" i="28" a="1"/>
  <c r="AL665" i="28" s="1"/>
  <c r="AN665" i="28" s="1" a="1"/>
  <c r="AN665" i="28" s="1"/>
  <c r="AK665" i="28" a="1"/>
  <c r="AK665" i="28" s="1"/>
  <c r="AM665" i="28" s="1" a="1"/>
  <c r="AM665" i="28" s="1"/>
  <c r="AO633" i="28"/>
  <c r="AK633" i="28" a="1"/>
  <c r="AK633" i="28" s="1"/>
  <c r="AM633" i="28" s="1" a="1"/>
  <c r="AM633" i="28" s="1"/>
  <c r="AL585" i="28" a="1"/>
  <c r="AL585" i="28" s="1"/>
  <c r="AN585" i="28" s="1" a="1"/>
  <c r="AN585" i="28" s="1"/>
  <c r="AK585" i="28" a="1"/>
  <c r="AK585" i="28" s="1"/>
  <c r="AM585" i="28" s="1" a="1"/>
  <c r="AM585" i="28" s="1"/>
  <c r="AO585" i="28"/>
  <c r="AK577" i="28" a="1"/>
  <c r="AK577" i="28" s="1"/>
  <c r="AM577" i="28" s="1" a="1"/>
  <c r="AM577" i="28" s="1"/>
  <c r="AL577" i="28" a="1"/>
  <c r="AL577" i="28" s="1"/>
  <c r="AN577" i="28" s="1" a="1"/>
  <c r="AN577" i="28" s="1"/>
  <c r="AO577" i="28"/>
  <c r="AL569" i="28" a="1"/>
  <c r="AL569" i="28" s="1"/>
  <c r="AN569" i="28" s="1" a="1"/>
  <c r="AN569" i="28" s="1"/>
  <c r="AK569" i="28" a="1"/>
  <c r="AK569" i="28" s="1"/>
  <c r="AM569" i="28" s="1" a="1"/>
  <c r="AM569" i="28" s="1"/>
  <c r="AO569" i="28"/>
  <c r="AK483" i="28" a="1"/>
  <c r="AK483" i="28" s="1"/>
  <c r="AM483" i="28" s="1" a="1"/>
  <c r="AM483" i="28" s="1"/>
  <c r="AK471" i="28" a="1"/>
  <c r="AK471" i="28" s="1"/>
  <c r="AM471" i="28" s="1" a="1"/>
  <c r="AM471" i="28" s="1"/>
  <c r="AL467" i="28" a="1"/>
  <c r="AL467" i="28" s="1"/>
  <c r="AN467" i="28" s="1" a="1"/>
  <c r="AN467" i="28" s="1"/>
  <c r="AL529" i="28" a="1"/>
  <c r="AL529" i="28" s="1"/>
  <c r="AN529" i="28" s="1" a="1"/>
  <c r="AN529" i="28" s="1"/>
  <c r="AO527" i="28"/>
  <c r="AK445" i="28" a="1"/>
  <c r="AK445" i="28" s="1"/>
  <c r="AM445" i="28" s="1" a="1"/>
  <c r="AM445" i="28" s="1"/>
  <c r="AK429" i="28" a="1"/>
  <c r="AK429" i="28" s="1"/>
  <c r="AM429" i="28" s="1" a="1"/>
  <c r="AM429" i="28" s="1"/>
  <c r="AO427" i="28"/>
  <c r="AK442" i="28" a="1"/>
  <c r="AK442" i="28" s="1"/>
  <c r="AM442" i="28" s="1" a="1"/>
  <c r="AM442" i="28" s="1"/>
  <c r="AO457" i="28"/>
  <c r="AO461" i="28"/>
  <c r="AO465" i="28"/>
  <c r="AO467" i="28"/>
  <c r="AL437" i="28" a="1"/>
  <c r="AL437" i="28" s="1"/>
  <c r="AN437" i="28" s="1" a="1"/>
  <c r="AN437" i="28" s="1"/>
  <c r="AL466" i="28" a="1"/>
  <c r="AL466" i="28" s="1"/>
  <c r="AN466" i="28" s="1" a="1"/>
  <c r="AN466" i="28" s="1"/>
  <c r="AO477" i="28"/>
  <c r="AK465" i="28" a="1"/>
  <c r="AK465" i="28" s="1"/>
  <c r="AM465" i="28" s="1" a="1"/>
  <c r="AM465" i="28" s="1"/>
  <c r="AO462" i="28"/>
  <c r="AO431" i="28"/>
  <c r="AK456" i="28" a="1"/>
  <c r="AK456" i="28" s="1"/>
  <c r="AM456" i="28" s="1" a="1"/>
  <c r="AM456" i="28" s="1"/>
  <c r="AL456" i="28" a="1"/>
  <c r="AL456" i="28" s="1"/>
  <c r="AN456" i="28" s="1" a="1"/>
  <c r="AN456" i="28" s="1"/>
  <c r="AL511" i="28" a="1"/>
  <c r="AL511" i="28" s="1"/>
  <c r="AN511" i="28" s="1" a="1"/>
  <c r="AN511" i="28" s="1"/>
  <c r="AK511" i="28" a="1"/>
  <c r="AK511" i="28" s="1"/>
  <c r="AM511" i="28" s="1" a="1"/>
  <c r="AM511" i="28" s="1"/>
  <c r="AL482" i="28" a="1"/>
  <c r="AL482" i="28" s="1"/>
  <c r="AN482" i="28" s="1" a="1"/>
  <c r="AN482" i="28" s="1"/>
  <c r="AK482" i="28" a="1"/>
  <c r="AK482" i="28" s="1"/>
  <c r="AM482" i="28" s="1" a="1"/>
  <c r="AM482" i="28" s="1"/>
  <c r="AL455" i="28" a="1"/>
  <c r="AL455" i="28" s="1"/>
  <c r="AN455" i="28" s="1" a="1"/>
  <c r="AN455" i="28" s="1"/>
  <c r="AK455" i="28" a="1"/>
  <c r="AK455" i="28" s="1"/>
  <c r="AM455" i="28" s="1" a="1"/>
  <c r="AM455" i="28" s="1"/>
  <c r="AK450" i="28" a="1"/>
  <c r="AK450" i="28" s="1"/>
  <c r="AM450" i="28" s="1" a="1"/>
  <c r="AM450" i="28" s="1"/>
  <c r="AL450" i="28" a="1"/>
  <c r="AL450" i="28" s="1"/>
  <c r="AN450" i="28" s="1" a="1"/>
  <c r="AN450" i="28" s="1"/>
  <c r="AL434" i="28" a="1"/>
  <c r="AL434" i="28" s="1"/>
  <c r="AN434" i="28" s="1" a="1"/>
  <c r="AN434" i="28" s="1"/>
  <c r="AO434" i="28"/>
  <c r="AL485" i="28" a="1"/>
  <c r="AL485" i="28" s="1"/>
  <c r="AN485" i="28" s="1" a="1"/>
  <c r="AN485" i="28" s="1"/>
  <c r="AL469" i="28" a="1"/>
  <c r="AL469" i="28" s="1"/>
  <c r="AN469" i="28" s="1" a="1"/>
  <c r="AN469" i="28" s="1"/>
  <c r="AL443" i="28" a="1"/>
  <c r="AL443" i="28" s="1"/>
  <c r="AN443" i="28" s="1" a="1"/>
  <c r="AN443" i="28" s="1"/>
  <c r="AL451" i="28" a="1"/>
  <c r="AL451" i="28" s="1"/>
  <c r="AN451" i="28" s="1" a="1"/>
  <c r="AN451" i="28" s="1"/>
  <c r="AK447" i="28" a="1"/>
  <c r="AK447" i="28" s="1"/>
  <c r="AM447" i="28" s="1" a="1"/>
  <c r="AM447" i="28" s="1"/>
  <c r="AK441" i="28" a="1"/>
  <c r="AK441" i="28" s="1"/>
  <c r="AM441" i="28" s="1" a="1"/>
  <c r="AM441" i="28" s="1"/>
  <c r="AL458" i="28" a="1"/>
  <c r="AL458" i="28" s="1"/>
  <c r="AN458" i="28" s="1" a="1"/>
  <c r="AN458" i="28" s="1"/>
  <c r="AK458" i="28" a="1"/>
  <c r="AK458" i="28" s="1"/>
  <c r="AM458" i="28" s="1" a="1"/>
  <c r="AM458" i="28" s="1"/>
  <c r="AL449" i="28" a="1"/>
  <c r="AL449" i="28" s="1"/>
  <c r="AN449" i="28" s="1" a="1"/>
  <c r="AN449" i="28" s="1"/>
  <c r="AK439" i="28" a="1"/>
  <c r="AK439" i="28" s="1"/>
  <c r="AM439" i="28" s="1" a="1"/>
  <c r="AM439" i="28" s="1"/>
  <c r="AK451" i="28" a="1"/>
  <c r="AK451" i="28" s="1"/>
  <c r="AM451" i="28" s="1" a="1"/>
  <c r="AM451" i="28" s="1"/>
  <c r="AO445" i="28"/>
  <c r="AO447" i="28"/>
  <c r="AK473" i="28" a="1"/>
  <c r="AK473" i="28" s="1"/>
  <c r="AM473" i="28" s="1" a="1"/>
  <c r="AM473" i="28" s="1"/>
  <c r="AL427" i="28" a="1"/>
  <c r="AL427" i="28" s="1"/>
  <c r="AN427" i="28" s="1" a="1"/>
  <c r="AN427" i="28" s="1"/>
  <c r="AK996" i="28" a="1"/>
  <c r="AK996" i="28" s="1"/>
  <c r="AM996" i="28" s="1" a="1"/>
  <c r="AM996" i="28" s="1"/>
  <c r="AL996" i="28" a="1"/>
  <c r="AL996" i="28" s="1"/>
  <c r="AN996" i="28" s="1" a="1"/>
  <c r="AN996" i="28" s="1"/>
  <c r="AK992" i="28" a="1"/>
  <c r="AK992" i="28" s="1"/>
  <c r="AM992" i="28" s="1" a="1"/>
  <c r="AM992" i="28" s="1"/>
  <c r="AO992" i="28"/>
  <c r="AL992" i="28" a="1"/>
  <c r="AL992" i="28" s="1"/>
  <c r="AN992" i="28" s="1" a="1"/>
  <c r="AN992" i="28" s="1"/>
  <c r="AK988" i="28" a="1"/>
  <c r="AK988" i="28" s="1"/>
  <c r="AM988" i="28" s="1" a="1"/>
  <c r="AM988" i="28" s="1"/>
  <c r="AO988" i="28"/>
  <c r="AL970" i="28" a="1"/>
  <c r="AL970" i="28" s="1"/>
  <c r="AN970" i="28" s="1" a="1"/>
  <c r="AN970" i="28" s="1"/>
  <c r="AK970" i="28" a="1"/>
  <c r="AK970" i="28" s="1"/>
  <c r="AM970" i="28" s="1" a="1"/>
  <c r="AM970" i="28" s="1"/>
  <c r="AL964" i="28" a="1"/>
  <c r="AL964" i="28" s="1"/>
  <c r="AN964" i="28" s="1" a="1"/>
  <c r="AN964" i="28" s="1"/>
  <c r="AK964" i="28" a="1"/>
  <c r="AK964" i="28" s="1"/>
  <c r="AM964" i="28" s="1" a="1"/>
  <c r="AM964" i="28" s="1"/>
  <c r="AK962" i="28" a="1"/>
  <c r="AK962" i="28" s="1"/>
  <c r="AM962" i="28" s="1" a="1"/>
  <c r="AM962" i="28" s="1"/>
  <c r="AL962" i="28" a="1"/>
  <c r="AL962" i="28" s="1"/>
  <c r="AN962" i="28" s="1" a="1"/>
  <c r="AN962" i="28" s="1"/>
  <c r="AL958" i="28" a="1"/>
  <c r="AL958" i="28" s="1"/>
  <c r="AN958" i="28" s="1" a="1"/>
  <c r="AN958" i="28" s="1"/>
  <c r="AO958" i="28"/>
  <c r="AL942" i="28" a="1"/>
  <c r="AL942" i="28" s="1"/>
  <c r="AN942" i="28" s="1" a="1"/>
  <c r="AN942" i="28" s="1"/>
  <c r="AK942" i="28" a="1"/>
  <c r="AK942" i="28" s="1"/>
  <c r="AM942" i="28" s="1" a="1"/>
  <c r="AM942" i="28" s="1"/>
  <c r="AK936" i="28" a="1"/>
  <c r="AK936" i="28" s="1"/>
  <c r="AM936" i="28" s="1" a="1"/>
  <c r="AM936" i="28" s="1"/>
  <c r="AO936" i="28"/>
  <c r="AL904" i="28" a="1"/>
  <c r="AL904" i="28" s="1"/>
  <c r="AN904" i="28" s="1" a="1"/>
  <c r="AN904" i="28" s="1"/>
  <c r="AK904" i="28" a="1"/>
  <c r="AK904" i="28" s="1"/>
  <c r="AM904" i="28" s="1" a="1"/>
  <c r="AM904" i="28" s="1"/>
  <c r="AL896" i="28" a="1"/>
  <c r="AL896" i="28" s="1"/>
  <c r="AN896" i="28" s="1" a="1"/>
  <c r="AN896" i="28" s="1"/>
  <c r="AK896" i="28" a="1"/>
  <c r="AK896" i="28" s="1"/>
  <c r="AM896" i="28" s="1" a="1"/>
  <c r="AM896" i="28" s="1"/>
  <c r="AL890" i="28" a="1"/>
  <c r="AL890" i="28" s="1"/>
  <c r="AN890" i="28" s="1" a="1"/>
  <c r="AN890" i="28" s="1"/>
  <c r="AO890" i="28"/>
  <c r="AO888" i="28"/>
  <c r="AL888" i="28" a="1"/>
  <c r="AL888" i="28" s="1"/>
  <c r="AN888" i="28" s="1" a="1"/>
  <c r="AN888" i="28" s="1"/>
  <c r="AK888" i="28" a="1"/>
  <c r="AK888" i="28" s="1"/>
  <c r="AM888" i="28" s="1" a="1"/>
  <c r="AM888" i="28" s="1"/>
  <c r="AL886" i="28" a="1"/>
  <c r="AL886" i="28" s="1"/>
  <c r="AN886" i="28" s="1" a="1"/>
  <c r="AN886" i="28" s="1"/>
  <c r="AK886" i="28" a="1"/>
  <c r="AK886" i="28" s="1"/>
  <c r="AM886" i="28" s="1" a="1"/>
  <c r="AM886" i="28" s="1"/>
  <c r="AO886" i="28"/>
  <c r="AK874" i="28" a="1"/>
  <c r="AK874" i="28" s="1"/>
  <c r="AM874" i="28" s="1" a="1"/>
  <c r="AM874" i="28" s="1"/>
  <c r="AL874" i="28" a="1"/>
  <c r="AL874" i="28" s="1"/>
  <c r="AN874" i="28" s="1" a="1"/>
  <c r="AN874" i="28" s="1"/>
  <c r="AO874" i="28"/>
  <c r="AL868" i="28" a="1"/>
  <c r="AL868" i="28" s="1"/>
  <c r="AN868" i="28" s="1" a="1"/>
  <c r="AN868" i="28" s="1"/>
  <c r="AK868" i="28" a="1"/>
  <c r="AK868" i="28" s="1"/>
  <c r="AM868" i="28" s="1" a="1"/>
  <c r="AM868" i="28" s="1"/>
  <c r="AL860" i="28" a="1"/>
  <c r="AL860" i="28" s="1"/>
  <c r="AN860" i="28" s="1" a="1"/>
  <c r="AN860" i="28" s="1"/>
  <c r="AK860" i="28" a="1"/>
  <c r="AK860" i="28" s="1"/>
  <c r="AM860" i="28" s="1" a="1"/>
  <c r="AM860" i="28" s="1"/>
  <c r="AK856" i="28" a="1"/>
  <c r="AK856" i="28" s="1"/>
  <c r="AM856" i="28" s="1" a="1"/>
  <c r="AM856" i="28" s="1"/>
  <c r="AO856" i="28"/>
  <c r="AK842" i="28" a="1"/>
  <c r="AK842" i="28" s="1"/>
  <c r="AM842" i="28" s="1" a="1"/>
  <c r="AM842" i="28" s="1"/>
  <c r="AO842" i="28"/>
  <c r="AK836" i="28" a="1"/>
  <c r="AK836" i="28" s="1"/>
  <c r="AM836" i="28" s="1" a="1"/>
  <c r="AM836" i="28" s="1"/>
  <c r="AL836" i="28" a="1"/>
  <c r="AL836" i="28" s="1"/>
  <c r="AN836" i="28" s="1" a="1"/>
  <c r="AN836" i="28" s="1"/>
  <c r="AL798" i="28" a="1"/>
  <c r="AL798" i="28" s="1"/>
  <c r="AN798" i="28" s="1" a="1"/>
  <c r="AN798" i="28" s="1"/>
  <c r="AK798" i="28" a="1"/>
  <c r="AK798" i="28" s="1"/>
  <c r="AM798" i="28" s="1" a="1"/>
  <c r="AM798" i="28" s="1"/>
  <c r="AK794" i="28" a="1"/>
  <c r="AK794" i="28" s="1"/>
  <c r="AM794" i="28" s="1" a="1"/>
  <c r="AM794" i="28" s="1"/>
  <c r="AL794" i="28" a="1"/>
  <c r="AL794" i="28" s="1"/>
  <c r="AN794" i="28" s="1" a="1"/>
  <c r="AN794" i="28" s="1"/>
  <c r="AO794" i="28"/>
  <c r="AK792" i="28" a="1"/>
  <c r="AK792" i="28" s="1"/>
  <c r="AM792" i="28" s="1" a="1"/>
  <c r="AM792" i="28" s="1"/>
  <c r="AO792" i="28"/>
  <c r="AK786" i="28" a="1"/>
  <c r="AK786" i="28" s="1"/>
  <c r="AM786" i="28" s="1" a="1"/>
  <c r="AM786" i="28" s="1"/>
  <c r="AL786" i="28" a="1"/>
  <c r="AL786" i="28" s="1"/>
  <c r="AN786" i="28" s="1" a="1"/>
  <c r="AN786" i="28" s="1"/>
  <c r="AO786" i="28"/>
  <c r="AL770" i="28" a="1"/>
  <c r="AL770" i="28" s="1"/>
  <c r="AN770" i="28" s="1" a="1"/>
  <c r="AN770" i="28" s="1"/>
  <c r="AO770" i="28"/>
  <c r="AK770" i="28" a="1"/>
  <c r="AK770" i="28" s="1"/>
  <c r="AM770" i="28" s="1" a="1"/>
  <c r="AM770" i="28" s="1"/>
  <c r="AK756" i="28" a="1"/>
  <c r="AK756" i="28" s="1"/>
  <c r="AM756" i="28" s="1" a="1"/>
  <c r="AM756" i="28" s="1"/>
  <c r="AO756" i="28"/>
  <c r="AL756" i="28" a="1"/>
  <c r="AL756" i="28" s="1"/>
  <c r="AN756" i="28" s="1" a="1"/>
  <c r="AN756" i="28" s="1"/>
  <c r="AK748" i="28" a="1"/>
  <c r="AK748" i="28" s="1"/>
  <c r="AM748" i="28" s="1" a="1"/>
  <c r="AM748" i="28" s="1"/>
  <c r="AL748" i="28" a="1"/>
  <c r="AL748" i="28" s="1"/>
  <c r="AN748" i="28" s="1" a="1"/>
  <c r="AN748" i="28" s="1"/>
  <c r="AO728" i="28"/>
  <c r="AL728" i="28" a="1"/>
  <c r="AL728" i="28" s="1"/>
  <c r="AN728" i="28" s="1" a="1"/>
  <c r="AN728" i="28" s="1"/>
  <c r="AK728" i="28" a="1"/>
  <c r="AK728" i="28" s="1"/>
  <c r="AM728" i="28" s="1" a="1"/>
  <c r="AM728" i="28" s="1"/>
  <c r="AK682" i="28" a="1"/>
  <c r="AK682" i="28" s="1"/>
  <c r="AM682" i="28" s="1" a="1"/>
  <c r="AM682" i="28" s="1"/>
  <c r="AO682" i="28"/>
  <c r="AK680" i="28" a="1"/>
  <c r="AK680" i="28" s="1"/>
  <c r="AM680" i="28" s="1" a="1"/>
  <c r="AM680" i="28" s="1"/>
  <c r="AL680" i="28" a="1"/>
  <c r="AL680" i="28" s="1"/>
  <c r="AN680" i="28" s="1" a="1"/>
  <c r="AN680" i="28" s="1"/>
  <c r="AK668" i="28" a="1"/>
  <c r="AK668" i="28" s="1"/>
  <c r="AM668" i="28" s="1" a="1"/>
  <c r="AM668" i="28" s="1"/>
  <c r="AL668" i="28" a="1"/>
  <c r="AL668" i="28" s="1"/>
  <c r="AN668" i="28" s="1" a="1"/>
  <c r="AN668" i="28" s="1"/>
  <c r="AK666" i="28" a="1"/>
  <c r="AK666" i="28" s="1"/>
  <c r="AM666" i="28" s="1" a="1"/>
  <c r="AM666" i="28" s="1"/>
  <c r="AL666" i="28" a="1"/>
  <c r="AL666" i="28" s="1"/>
  <c r="AN666" i="28" s="1" a="1"/>
  <c r="AN666" i="28" s="1"/>
  <c r="AK660" i="28" a="1"/>
  <c r="AK660" i="28" s="1"/>
  <c r="AM660" i="28" s="1" a="1"/>
  <c r="AM660" i="28" s="1"/>
  <c r="AO660" i="28"/>
  <c r="AO644" i="28"/>
  <c r="AK644" i="28" a="1"/>
  <c r="AK644" i="28" s="1"/>
  <c r="AM644" i="28" s="1" a="1"/>
  <c r="AM644" i="28" s="1"/>
  <c r="AL644" i="28" a="1"/>
  <c r="AL644" i="28" s="1"/>
  <c r="AN644" i="28" s="1" a="1"/>
  <c r="AN644" i="28" s="1"/>
  <c r="AL640" i="28" a="1"/>
  <c r="AL640" i="28" s="1"/>
  <c r="AN640" i="28" s="1" a="1"/>
  <c r="AN640" i="28" s="1"/>
  <c r="AK640" i="28" a="1"/>
  <c r="AK640" i="28" s="1"/>
  <c r="AM640" i="28" s="1" a="1"/>
  <c r="AM640" i="28" s="1"/>
  <c r="AL636" i="28" a="1"/>
  <c r="AL636" i="28" s="1"/>
  <c r="AN636" i="28" s="1" a="1"/>
  <c r="AN636" i="28" s="1"/>
  <c r="AO636" i="28"/>
  <c r="AK618" i="28" a="1"/>
  <c r="AK618" i="28" s="1"/>
  <c r="AM618" i="28" s="1" a="1"/>
  <c r="AM618" i="28" s="1"/>
  <c r="AL618" i="28" a="1"/>
  <c r="AL618" i="28" s="1"/>
  <c r="AN618" i="28" s="1" a="1"/>
  <c r="AN618" i="28" s="1"/>
  <c r="AL600" i="28" a="1"/>
  <c r="AL600" i="28" s="1"/>
  <c r="AN600" i="28" s="1" a="1"/>
  <c r="AN600" i="28" s="1"/>
  <c r="AO600" i="28"/>
  <c r="AK584" i="28" a="1"/>
  <c r="AK584" i="28" s="1"/>
  <c r="AM584" i="28" s="1" a="1"/>
  <c r="AM584" i="28" s="1"/>
  <c r="AO584" i="28"/>
  <c r="AO582" i="28"/>
  <c r="AK582" i="28" a="1"/>
  <c r="AK582" i="28" s="1"/>
  <c r="AM582" i="28" s="1" a="1"/>
  <c r="AM582" i="28" s="1"/>
  <c r="AO574" i="28"/>
  <c r="AK574" i="28" a="1"/>
  <c r="AK574" i="28" s="1"/>
  <c r="AM574" i="28" s="1" a="1"/>
  <c r="AM574" i="28" s="1"/>
  <c r="AK572" i="28" a="1"/>
  <c r="AK572" i="28" s="1"/>
  <c r="AM572" i="28" s="1" a="1"/>
  <c r="AM572" i="28" s="1"/>
  <c r="AO572" i="28"/>
  <c r="AO560" i="28"/>
  <c r="AK560" i="28" a="1"/>
  <c r="AK560" i="28" s="1"/>
  <c r="AM560" i="28" s="1" a="1"/>
  <c r="AM560" i="28" s="1"/>
  <c r="AK558" i="28" a="1"/>
  <c r="AK558" i="28" s="1"/>
  <c r="AM558" i="28" s="1" a="1"/>
  <c r="AM558" i="28" s="1"/>
  <c r="AL558" i="28" a="1"/>
  <c r="AL558" i="28" s="1"/>
  <c r="AN558" i="28" s="1" a="1"/>
  <c r="AN558" i="28" s="1"/>
  <c r="AL554" i="28" a="1"/>
  <c r="AL554" i="28" s="1"/>
  <c r="AN554" i="28" s="1" a="1"/>
  <c r="AN554" i="28" s="1"/>
  <c r="AK554" i="28" a="1"/>
  <c r="AK554" i="28" s="1"/>
  <c r="AM554" i="28" s="1" a="1"/>
  <c r="AM554" i="28" s="1"/>
  <c r="AK534" i="28" a="1"/>
  <c r="AK534" i="28" s="1"/>
  <c r="AM534" i="28" s="1" a="1"/>
  <c r="AM534" i="28" s="1"/>
  <c r="AL534" i="28" a="1"/>
  <c r="AL534" i="28" s="1"/>
  <c r="AN534" i="28" s="1" a="1"/>
  <c r="AN534" i="28" s="1"/>
  <c r="AK444" i="28" a="1"/>
  <c r="AK444" i="28" s="1"/>
  <c r="AM444" i="28" s="1" a="1"/>
  <c r="AM444" i="28" s="1"/>
  <c r="AO444" i="28"/>
  <c r="AO517" i="28"/>
  <c r="AK431" i="28" a="1"/>
  <c r="AK431" i="28" s="1"/>
  <c r="AM431" i="28" s="1" a="1"/>
  <c r="AM431" i="28" s="1"/>
  <c r="AO471" i="28"/>
  <c r="AL461" i="28" a="1"/>
  <c r="AL461" i="28" s="1"/>
  <c r="AN461" i="28" s="1" a="1"/>
  <c r="AN461" i="28" s="1"/>
  <c r="AO439" i="28"/>
  <c r="AK474" i="28" a="1"/>
  <c r="AK474" i="28" s="1"/>
  <c r="AM474" i="28" s="1" a="1"/>
  <c r="AM474" i="28" s="1"/>
  <c r="AL463" i="28" a="1"/>
  <c r="AL463" i="28" s="1"/>
  <c r="AN463" i="28" s="1" a="1"/>
  <c r="AN463" i="28" s="1"/>
  <c r="AK453" i="28" a="1"/>
  <c r="AK453" i="28" s="1"/>
  <c r="AM453" i="28" s="1" a="1"/>
  <c r="AM453" i="28" s="1"/>
  <c r="AK481" i="28" a="1"/>
  <c r="AK481" i="28" s="1"/>
  <c r="AM481" i="28" s="1" a="1"/>
  <c r="AM481" i="28" s="1"/>
  <c r="AL481" i="28" a="1"/>
  <c r="AL481" i="28" s="1"/>
  <c r="AN481" i="28" s="1" a="1"/>
  <c r="AN481" i="28" s="1"/>
  <c r="AL459" i="28" a="1"/>
  <c r="AL459" i="28" s="1"/>
  <c r="AN459" i="28" s="1" a="1"/>
  <c r="AN459" i="28" s="1"/>
  <c r="AO459" i="28"/>
  <c r="AK459" i="28" a="1"/>
  <c r="AK459" i="28" s="1"/>
  <c r="AM459" i="28" s="1" a="1"/>
  <c r="AM459" i="28" s="1"/>
  <c r="AL454" i="28" a="1"/>
  <c r="AL454" i="28" s="1"/>
  <c r="AN454" i="28" s="1" a="1"/>
  <c r="AN454" i="28" s="1"/>
  <c r="AO454" i="28"/>
  <c r="AK446" i="28" a="1"/>
  <c r="AK446" i="28" s="1"/>
  <c r="AM446" i="28" s="1" a="1"/>
  <c r="AM446" i="28" s="1"/>
  <c r="AL446" i="28" a="1"/>
  <c r="AL446" i="28" s="1"/>
  <c r="AN446" i="28" s="1" a="1"/>
  <c r="AN446" i="28" s="1"/>
  <c r="AK438" i="28" a="1"/>
  <c r="AK438" i="28" s="1"/>
  <c r="AM438" i="28" s="1" a="1"/>
  <c r="AM438" i="28" s="1"/>
  <c r="AL438" i="28" a="1"/>
  <c r="AL438" i="28" s="1"/>
  <c r="AN438" i="28" s="1" a="1"/>
  <c r="AN438" i="28" s="1"/>
  <c r="AL430" i="28" a="1"/>
  <c r="AL430" i="28" s="1"/>
  <c r="AN430" i="28" s="1" a="1"/>
  <c r="AN430" i="28" s="1"/>
  <c r="AO430" i="28"/>
  <c r="K113" i="19" l="1"/>
  <c r="K38" i="19"/>
  <c r="BI1050" i="1"/>
  <c r="A58" i="16"/>
  <c r="A164" i="16"/>
  <c r="AT131" i="1"/>
  <c r="AT208" i="1"/>
  <c r="AT410" i="1"/>
  <c r="AT384" i="1"/>
  <c r="AT475" i="1"/>
  <c r="AT464" i="1"/>
  <c r="AT237" i="1"/>
  <c r="AT350" i="1"/>
  <c r="AT564" i="1"/>
  <c r="AT73" i="1"/>
  <c r="AT74" i="1"/>
  <c r="AT541" i="1"/>
  <c r="AT496" i="1"/>
  <c r="AT697" i="1"/>
  <c r="AT649" i="1"/>
  <c r="AT506" i="1"/>
  <c r="AT45" i="1"/>
  <c r="AT800" i="1"/>
  <c r="AT212" i="1"/>
  <c r="AT317" i="1"/>
  <c r="A136" i="16"/>
  <c r="A84" i="16"/>
  <c r="AQ775" i="1"/>
  <c r="BB12" i="1"/>
  <c r="A15" i="16"/>
  <c r="AT807" i="1"/>
  <c r="AT603" i="1"/>
  <c r="AT21" i="1"/>
  <c r="AT88" i="1"/>
  <c r="AT172" i="1"/>
  <c r="AT472" i="1"/>
  <c r="AT168" i="1"/>
  <c r="AT380" i="1"/>
  <c r="AT251" i="1"/>
  <c r="AT49" i="1"/>
  <c r="AT402" i="1"/>
  <c r="AT221" i="1"/>
  <c r="AT480" i="1"/>
  <c r="AT95" i="1"/>
  <c r="AT824" i="1"/>
  <c r="AT809" i="1"/>
  <c r="AT635" i="1"/>
  <c r="AT420" i="1"/>
  <c r="AT81" i="1"/>
  <c r="AT376" i="1"/>
  <c r="J816" i="28"/>
  <c r="J438" i="28"/>
  <c r="J449" i="28"/>
  <c r="J486" i="28"/>
  <c r="J474" i="28"/>
  <c r="J482" i="28"/>
  <c r="J498" i="28"/>
  <c r="J514" i="28"/>
  <c r="J448" i="28"/>
  <c r="J512" i="28"/>
  <c r="J519" i="28"/>
  <c r="J543" i="28"/>
  <c r="J544" i="28"/>
  <c r="J551" i="28"/>
  <c r="J522" i="28"/>
  <c r="J529" i="28"/>
  <c r="J538" i="28"/>
  <c r="J553" i="28"/>
  <c r="J562" i="28"/>
  <c r="J626" i="28"/>
  <c r="J642" i="28"/>
  <c r="J576" i="28"/>
  <c r="J608" i="28"/>
  <c r="J616" i="28"/>
  <c r="J656" i="28"/>
  <c r="J664" i="28"/>
  <c r="J703" i="28"/>
  <c r="J704" i="28"/>
  <c r="J734" i="28"/>
  <c r="J746" i="28"/>
  <c r="J758" i="28"/>
  <c r="J766" i="28"/>
  <c r="J778" i="28"/>
  <c r="J802" i="28"/>
  <c r="J526" i="28"/>
  <c r="J534" i="28"/>
  <c r="J593" i="28"/>
  <c r="J617" i="28"/>
  <c r="J622" i="28"/>
  <c r="J638" i="28"/>
  <c r="J646" i="28"/>
  <c r="J649" i="28"/>
  <c r="J657" i="28"/>
  <c r="J662" i="28"/>
  <c r="J665" i="28"/>
  <c r="J670" i="28"/>
  <c r="J681" i="28"/>
  <c r="J697" i="28"/>
  <c r="J702" i="28"/>
  <c r="J705" i="28"/>
  <c r="J713" i="28"/>
  <c r="J721" i="28"/>
  <c r="J726" i="28"/>
  <c r="J747" i="28"/>
  <c r="J755" i="28"/>
  <c r="J764" i="28"/>
  <c r="J772" i="28"/>
  <c r="J775" i="28"/>
  <c r="J795" i="28"/>
  <c r="J804" i="28"/>
  <c r="J832" i="28"/>
  <c r="J835" i="28"/>
  <c r="J836" i="28"/>
  <c r="J844" i="28"/>
  <c r="J852" i="28"/>
  <c r="J868" i="28"/>
  <c r="J876" i="28"/>
  <c r="J899" i="28"/>
  <c r="J900" i="28"/>
  <c r="J908" i="28"/>
  <c r="J931" i="28"/>
  <c r="J940" i="28"/>
  <c r="J948" i="28"/>
  <c r="J963" i="28"/>
  <c r="J980" i="28"/>
  <c r="J995" i="28"/>
  <c r="J850" i="28"/>
  <c r="J858" i="28"/>
  <c r="J882" i="28"/>
  <c r="J914" i="28"/>
  <c r="J946" i="28"/>
  <c r="J761" i="28"/>
  <c r="J847" i="28"/>
  <c r="J879" i="28"/>
  <c r="J911" i="28"/>
  <c r="J943" i="28"/>
  <c r="J975" i="28"/>
  <c r="J838" i="28"/>
  <c r="J870" i="28"/>
  <c r="J926" i="28"/>
  <c r="J966" i="28"/>
  <c r="J530" i="28"/>
  <c r="J797" i="28"/>
  <c r="J824" i="28"/>
  <c r="J777" i="28"/>
  <c r="J785" i="28"/>
  <c r="J970" i="28"/>
  <c r="J978" i="28"/>
  <c r="J833" i="28"/>
  <c r="AT361" i="1"/>
  <c r="BI361" i="1" s="1"/>
  <c r="AT805" i="1"/>
  <c r="BI805" i="1" s="1"/>
  <c r="AT51" i="1"/>
  <c r="BI51" i="1" s="1"/>
  <c r="AT793" i="1"/>
  <c r="AU793" i="1" s="1"/>
  <c r="AT77" i="1"/>
  <c r="AU77" i="1" s="1"/>
  <c r="AT353" i="1"/>
  <c r="BI353" i="1" s="1"/>
  <c r="AT52" i="1"/>
  <c r="AU52" i="1" s="1"/>
  <c r="AT197" i="1"/>
  <c r="BI197" i="1" s="1"/>
  <c r="AT387" i="1"/>
  <c r="BI387" i="1" s="1"/>
  <c r="AT466" i="1"/>
  <c r="AU466" i="1" s="1"/>
  <c r="AT462" i="1"/>
  <c r="BI462" i="1" s="1"/>
  <c r="AT78" i="1"/>
  <c r="AU78" i="1" s="1"/>
  <c r="AC22" i="15" s="1"/>
  <c r="AT94" i="1"/>
  <c r="BI94" i="1" s="1"/>
  <c r="AT470" i="1"/>
  <c r="AU470" i="1" s="1"/>
  <c r="AT699" i="1"/>
  <c r="AU699" i="1" s="1"/>
  <c r="AT349" i="1"/>
  <c r="BI349" i="1" s="1"/>
  <c r="AT567" i="1"/>
  <c r="BI567" i="1" s="1"/>
  <c r="AT92" i="1"/>
  <c r="BI92" i="1" s="1"/>
  <c r="AT821" i="1"/>
  <c r="BI821" i="1" s="1"/>
  <c r="AT189" i="1"/>
  <c r="AU189" i="1" s="1"/>
  <c r="AT461" i="1"/>
  <c r="AU461" i="1" s="1"/>
  <c r="AT90" i="1"/>
  <c r="AU90" i="1" s="1"/>
  <c r="AT332" i="1"/>
  <c r="AU332" i="1" s="1"/>
  <c r="AT201" i="1"/>
  <c r="BI201" i="1" s="1"/>
  <c r="AT638" i="1"/>
  <c r="BI638" i="1" s="1"/>
  <c r="AT53" i="1"/>
  <c r="AT522" i="1"/>
  <c r="BI522" i="1" s="1"/>
  <c r="AT299" i="1"/>
  <c r="BI299" i="1" s="1"/>
  <c r="AT195" i="1"/>
  <c r="BI195" i="1" s="1"/>
  <c r="AT374" i="1"/>
  <c r="AU374" i="1" s="1"/>
  <c r="AT556" i="1"/>
  <c r="AU556" i="1" s="1"/>
  <c r="AT55" i="1"/>
  <c r="AU55" i="1" s="1"/>
  <c r="AT184" i="1"/>
  <c r="BI184" i="1" s="1"/>
  <c r="AT260" i="1"/>
  <c r="AU260" i="1" s="1"/>
  <c r="AT703" i="1"/>
  <c r="AU703" i="1" s="1"/>
  <c r="AT143" i="1"/>
  <c r="AT289" i="1"/>
  <c r="BI289" i="1" s="1"/>
  <c r="AT655" i="1"/>
  <c r="BI655" i="1" s="1"/>
  <c r="AP3" i="28"/>
  <c r="Q3" i="28" s="1"/>
  <c r="AT337" i="1"/>
  <c r="AU337" i="1" s="1"/>
  <c r="AT233" i="1"/>
  <c r="BI233" i="1" s="1"/>
  <c r="AT467" i="1"/>
  <c r="AT318" i="1"/>
  <c r="AU318" i="1" s="1"/>
  <c r="AT390" i="1"/>
  <c r="AU390" i="1" s="1"/>
  <c r="AT864" i="1"/>
  <c r="AU864" i="1" s="1"/>
  <c r="AT666" i="1"/>
  <c r="AU666" i="1" s="1"/>
  <c r="AT515" i="1"/>
  <c r="BI515" i="1" s="1"/>
  <c r="AT405" i="1"/>
  <c r="AU405" i="1" s="1"/>
  <c r="AT100" i="1"/>
  <c r="AU100" i="1" s="1"/>
  <c r="AT210" i="1"/>
  <c r="AU210" i="1" s="1"/>
  <c r="AT558" i="1"/>
  <c r="BI558" i="1" s="1"/>
  <c r="AT32" i="1"/>
  <c r="AT688" i="1"/>
  <c r="AU688" i="1" s="1"/>
  <c r="AT870" i="1"/>
  <c r="AU870" i="1" s="1"/>
  <c r="AT812" i="1"/>
  <c r="AU812" i="1" s="1"/>
  <c r="W13" i="15" s="1"/>
  <c r="AT705" i="1"/>
  <c r="AU705" i="1" s="1"/>
  <c r="AT681" i="1"/>
  <c r="AU681" i="1" s="1"/>
  <c r="AT321" i="1"/>
  <c r="AU321" i="1" s="1"/>
  <c r="AT205" i="1"/>
  <c r="AU205" i="1" s="1"/>
  <c r="AT450" i="1"/>
  <c r="BI450" i="1" s="1"/>
  <c r="AT61" i="1"/>
  <c r="BI61" i="1" s="1"/>
  <c r="AT214" i="1"/>
  <c r="AU214" i="1" s="1"/>
  <c r="AT533" i="1"/>
  <c r="AU533" i="1" s="1"/>
  <c r="AT625" i="1"/>
  <c r="AU625" i="1" s="1"/>
  <c r="AT192" i="1"/>
  <c r="AU192" i="1" s="1"/>
  <c r="AT795" i="1"/>
  <c r="AU795" i="1" s="1"/>
  <c r="AT239" i="1"/>
  <c r="BI239" i="1" s="1"/>
  <c r="AT560" i="1"/>
  <c r="BI560" i="1" s="1"/>
  <c r="AT96" i="1"/>
  <c r="BI96" i="1" s="1"/>
  <c r="AT796" i="1"/>
  <c r="AU796" i="1" s="1"/>
  <c r="AT693" i="1"/>
  <c r="AU693" i="1" s="1"/>
  <c r="AT85" i="1"/>
  <c r="AU85" i="1" s="1"/>
  <c r="AT357" i="1"/>
  <c r="AU357" i="1" s="1"/>
  <c r="AT324" i="1"/>
  <c r="BI324" i="1" s="1"/>
  <c r="AT348" i="1"/>
  <c r="BI348" i="1" s="1"/>
  <c r="AT536" i="1"/>
  <c r="AU536" i="1" s="1"/>
  <c r="AT501" i="1"/>
  <c r="BI501" i="1" s="1"/>
  <c r="AT129" i="1"/>
  <c r="AU129" i="1" s="1"/>
  <c r="AT213" i="1"/>
  <c r="BI213" i="1" s="1"/>
  <c r="AT513" i="1"/>
  <c r="AU513" i="1" s="1"/>
  <c r="AT209" i="1"/>
  <c r="AU209" i="1" s="1"/>
  <c r="AT200" i="1"/>
  <c r="BI200" i="1" s="1"/>
  <c r="AT434" i="1"/>
  <c r="BI434" i="1" s="1"/>
  <c r="AT300" i="1"/>
  <c r="AU300" i="1" s="1"/>
  <c r="AT704" i="1"/>
  <c r="AU704" i="1" s="1"/>
  <c r="AT109" i="1"/>
  <c r="AU109" i="1" s="1"/>
  <c r="AT836" i="1"/>
  <c r="AU836" i="1" s="1"/>
  <c r="AT360" i="1"/>
  <c r="BI360" i="1" s="1"/>
  <c r="AT497" i="1"/>
  <c r="BI497" i="1" s="1"/>
  <c r="AT663" i="1"/>
  <c r="AU663" i="1" s="1"/>
  <c r="AT382" i="1"/>
  <c r="BI382" i="1" s="1"/>
  <c r="AT582" i="1"/>
  <c r="AT24" i="1"/>
  <c r="BI24" i="1" s="1"/>
  <c r="AT510" i="1"/>
  <c r="AU510" i="1" s="1"/>
  <c r="AT183" i="1"/>
  <c r="BI183" i="1" s="1"/>
  <c r="AT120" i="1"/>
  <c r="BI120" i="1" s="1"/>
  <c r="AT287" i="1"/>
  <c r="AU287" i="1" s="1"/>
  <c r="AT377" i="1"/>
  <c r="AT849" i="1"/>
  <c r="BI849" i="1" s="1"/>
  <c r="AT391" i="1"/>
  <c r="AU391" i="1" s="1"/>
  <c r="AT368" i="1"/>
  <c r="AU368" i="1" s="1"/>
  <c r="AT295" i="1"/>
  <c r="AU295" i="1" s="1"/>
  <c r="AT335" i="1"/>
  <c r="AU335" i="1" s="1"/>
  <c r="AT483" i="1"/>
  <c r="AU483" i="1" s="1"/>
  <c r="AT694" i="1"/>
  <c r="AU694" i="1" s="1"/>
  <c r="AT601" i="1"/>
  <c r="BI601" i="1" s="1"/>
  <c r="AT35" i="1"/>
  <c r="BI35" i="1" s="1"/>
  <c r="AT631" i="1"/>
  <c r="AT523" i="1"/>
  <c r="AU523" i="1" s="1"/>
  <c r="AT397" i="1"/>
  <c r="AU397" i="1" s="1"/>
  <c r="AT217" i="1"/>
  <c r="AU217" i="1" s="1"/>
  <c r="AT140" i="1"/>
  <c r="BI140" i="1" s="1"/>
  <c r="AT244" i="1"/>
  <c r="BI244" i="1" s="1"/>
  <c r="AT79" i="1"/>
  <c r="BI79" i="1" s="1"/>
  <c r="AT339" i="1"/>
  <c r="BI339" i="1" s="1"/>
  <c r="AT230" i="1"/>
  <c r="AU230" i="1" s="1"/>
  <c r="AT194" i="1"/>
  <c r="BI194" i="1" s="1"/>
  <c r="AT847" i="1"/>
  <c r="AU847" i="1" s="1"/>
  <c r="AT568" i="1"/>
  <c r="AU568" i="1" s="1"/>
  <c r="AT645" i="1"/>
  <c r="AU645" i="1" s="1"/>
  <c r="AT546" i="1"/>
  <c r="BI546" i="1" s="1"/>
  <c r="AT672" i="1"/>
  <c r="AT250" i="1"/>
  <c r="AU250" i="1" s="1"/>
  <c r="AT379" i="1"/>
  <c r="AT537" i="1"/>
  <c r="BI537" i="1" s="1"/>
  <c r="BD1050" i="1"/>
  <c r="AT623" i="1"/>
  <c r="AU623" i="1" s="1"/>
  <c r="AT115" i="1"/>
  <c r="AU115" i="1" s="1"/>
  <c r="AT857" i="1"/>
  <c r="BI857" i="1" s="1"/>
  <c r="AT615" i="1"/>
  <c r="AU615" i="1" s="1"/>
  <c r="AT43" i="1"/>
  <c r="AU43" i="1" s="1"/>
  <c r="AT787" i="1"/>
  <c r="AT83" i="1"/>
  <c r="AU83" i="1" s="1"/>
  <c r="AT301" i="1"/>
  <c r="AU301" i="1" s="1"/>
  <c r="AT263" i="1"/>
  <c r="BI263" i="1" s="1"/>
  <c r="AT148" i="1"/>
  <c r="AU148" i="1" s="1"/>
  <c r="AT199" i="1"/>
  <c r="AU199" i="1" s="1"/>
  <c r="AT838" i="1"/>
  <c r="AU838" i="1" s="1"/>
  <c r="AT347" i="1"/>
  <c r="AU347" i="1" s="1"/>
  <c r="AT242" i="1"/>
  <c r="BI242" i="1" s="1"/>
  <c r="AT124" i="1"/>
  <c r="AU124" i="1" s="1"/>
  <c r="AT218" i="1"/>
  <c r="AU218" i="1" s="1"/>
  <c r="AT271" i="1"/>
  <c r="AU271" i="1" s="1"/>
  <c r="AT253" i="1"/>
  <c r="BI253" i="1" s="1"/>
  <c r="AT574" i="1"/>
  <c r="AU574" i="1" s="1"/>
  <c r="AT352" i="1"/>
  <c r="AU352" i="1" s="1"/>
  <c r="AT648" i="1"/>
  <c r="BI648" i="1" s="1"/>
  <c r="AT128" i="1"/>
  <c r="AU128" i="1" s="1"/>
  <c r="AC11" i="1"/>
  <c r="AD11" i="1"/>
  <c r="AT258" i="1"/>
  <c r="AU258" i="1" s="1"/>
  <c r="AT442" i="1"/>
  <c r="BI442" i="1" s="1"/>
  <c r="AT539" i="1"/>
  <c r="BI539" i="1" s="1"/>
  <c r="AT255" i="1"/>
  <c r="BI255" i="1" s="1"/>
  <c r="AT363" i="1"/>
  <c r="AU363" i="1" s="1"/>
  <c r="AT60" i="1"/>
  <c r="AU60" i="1" s="1"/>
  <c r="AT365" i="1"/>
  <c r="BI365" i="1" s="1"/>
  <c r="AT364" i="1"/>
  <c r="AU364" i="1" s="1"/>
  <c r="AT425" i="1"/>
  <c r="AU425" i="1" s="1"/>
  <c r="AT252" i="1"/>
  <c r="BI252" i="1" s="1"/>
  <c r="AT198" i="1"/>
  <c r="AU198" i="1" s="1"/>
  <c r="AT692" i="1"/>
  <c r="BI692" i="1" s="1"/>
  <c r="AT278" i="1"/>
  <c r="AU278" i="1" s="1"/>
  <c r="AT549" i="1"/>
  <c r="BI549" i="1" s="1"/>
  <c r="AT267" i="1"/>
  <c r="BI267" i="1" s="1"/>
  <c r="AT137" i="1"/>
  <c r="AU137" i="1" s="1"/>
  <c r="AT204" i="1"/>
  <c r="BI204" i="1" s="1"/>
  <c r="AT375" i="1"/>
  <c r="BI375" i="1" s="1"/>
  <c r="AT336" i="1"/>
  <c r="BI336" i="1" s="1"/>
  <c r="AT815" i="1"/>
  <c r="AT691" i="1"/>
  <c r="AU691" i="1" s="1"/>
  <c r="AT613" i="1"/>
  <c r="AU613" i="1" s="1"/>
  <c r="AT202" i="1"/>
  <c r="AU202" i="1" s="1"/>
  <c r="AT268" i="1"/>
  <c r="BI268" i="1" s="1"/>
  <c r="AT540" i="1"/>
  <c r="AU540" i="1" s="1"/>
  <c r="AT811" i="1"/>
  <c r="AU811" i="1" s="1"/>
  <c r="AT851" i="1"/>
  <c r="BI851" i="1" s="1"/>
  <c r="AT373" i="1"/>
  <c r="AT526" i="1"/>
  <c r="AU526" i="1" s="1"/>
  <c r="AT628" i="1"/>
  <c r="BI628" i="1" s="1"/>
  <c r="AT563" i="1"/>
  <c r="BI563" i="1" s="1"/>
  <c r="AT520" i="1"/>
  <c r="AU520" i="1" s="1"/>
  <c r="AT117" i="1"/>
  <c r="AU117" i="1" s="1"/>
  <c r="AT229" i="1"/>
  <c r="BI229" i="1" s="1"/>
  <c r="AT58" i="1"/>
  <c r="AU58" i="1" s="1"/>
  <c r="AT191" i="1"/>
  <c r="AU191" i="1" s="1"/>
  <c r="AT778" i="1"/>
  <c r="BI778" i="1" s="1"/>
  <c r="AT832" i="1"/>
  <c r="AU832" i="1" s="1"/>
  <c r="N27" i="15" s="1"/>
  <c r="AT801" i="1"/>
  <c r="BI801" i="1" s="1"/>
  <c r="AT868" i="1"/>
  <c r="AU868" i="1" s="1"/>
  <c r="W27" i="15" s="1"/>
  <c r="AT545" i="1"/>
  <c r="BI545" i="1" s="1"/>
  <c r="AT589" i="1"/>
  <c r="BI589" i="1" s="1"/>
  <c r="AT555" i="1"/>
  <c r="AU555" i="1" s="1"/>
  <c r="AT110" i="1"/>
  <c r="AU110" i="1" s="1"/>
  <c r="AT114" i="1"/>
  <c r="BI114" i="1" s="1"/>
  <c r="AT398" i="1"/>
  <c r="AT588" i="1"/>
  <c r="BI588" i="1" s="1"/>
  <c r="AT102" i="1"/>
  <c r="AU102" i="1" s="1"/>
  <c r="AU131" i="1"/>
  <c r="BI131" i="1"/>
  <c r="AU168" i="1"/>
  <c r="BI168" i="1"/>
  <c r="AU215" i="1"/>
  <c r="BI215" i="1"/>
  <c r="AU208" i="1"/>
  <c r="BI208" i="1"/>
  <c r="AU282" i="1"/>
  <c r="BI282" i="1"/>
  <c r="AU380" i="1"/>
  <c r="BI380" i="1"/>
  <c r="AU346" i="1"/>
  <c r="BI346" i="1"/>
  <c r="AU449" i="1"/>
  <c r="BI449" i="1"/>
  <c r="AU410" i="1"/>
  <c r="BI410" i="1"/>
  <c r="AU475" i="1"/>
  <c r="BI475" i="1"/>
  <c r="AU464" i="1"/>
  <c r="BI464" i="1"/>
  <c r="BI237" i="1"/>
  <c r="AU237" i="1"/>
  <c r="AU255" i="1"/>
  <c r="AU251" i="1"/>
  <c r="BI251" i="1"/>
  <c r="BI363" i="1"/>
  <c r="AU450" i="1"/>
  <c r="AT491" i="1"/>
  <c r="AU564" i="1"/>
  <c r="BI564" i="1"/>
  <c r="AU36" i="1"/>
  <c r="BI36" i="1"/>
  <c r="AU74" i="1"/>
  <c r="BI74" i="1"/>
  <c r="AT273" i="1"/>
  <c r="AT478" i="1"/>
  <c r="AU541" i="1"/>
  <c r="BI541" i="1"/>
  <c r="AT561" i="1"/>
  <c r="AT813" i="1"/>
  <c r="AT617" i="1"/>
  <c r="BI615" i="1"/>
  <c r="AU697" i="1"/>
  <c r="BI697" i="1"/>
  <c r="AT829" i="1"/>
  <c r="AT174" i="1"/>
  <c r="AU372" i="1"/>
  <c r="BI372" i="1"/>
  <c r="AU787" i="1"/>
  <c r="BI787" i="1"/>
  <c r="BI396" i="1"/>
  <c r="AU396" i="1"/>
  <c r="AU498" i="1"/>
  <c r="BI498" i="1"/>
  <c r="AT519" i="1"/>
  <c r="AT605" i="1"/>
  <c r="AT573" i="1"/>
  <c r="AT604" i="1"/>
  <c r="AT33" i="1"/>
  <c r="AT19" i="1"/>
  <c r="AU76" i="1"/>
  <c r="BI76" i="1"/>
  <c r="AT621" i="1"/>
  <c r="AU649" i="1"/>
  <c r="BI649" i="1"/>
  <c r="AT182" i="1"/>
  <c r="AU276" i="1"/>
  <c r="BI276" i="1"/>
  <c r="AU294" i="1"/>
  <c r="BI294" i="1"/>
  <c r="AT798" i="1"/>
  <c r="AU506" i="1"/>
  <c r="BI506" i="1"/>
  <c r="AT871" i="1"/>
  <c r="AT532" i="1"/>
  <c r="AT559" i="1"/>
  <c r="AU71" i="1"/>
  <c r="BI71" i="1"/>
  <c r="AU780" i="1"/>
  <c r="BI780" i="1"/>
  <c r="AT290" i="1"/>
  <c r="AT790" i="1"/>
  <c r="AT400" i="1"/>
  <c r="AT677" i="1"/>
  <c r="AD824" i="1"/>
  <c r="AE824" i="1"/>
  <c r="AC824" i="1"/>
  <c r="AB824" i="1"/>
  <c r="AC590" i="1"/>
  <c r="AD590" i="1"/>
  <c r="AB590" i="1"/>
  <c r="AE590" i="1"/>
  <c r="AE386" i="1"/>
  <c r="AC386" i="1"/>
  <c r="AD386" i="1"/>
  <c r="AB386" i="1"/>
  <c r="AE180" i="1"/>
  <c r="AD180" i="1"/>
  <c r="AB180" i="1"/>
  <c r="AC180" i="1"/>
  <c r="AC644" i="1"/>
  <c r="AB644" i="1"/>
  <c r="AE644" i="1"/>
  <c r="AD644" i="1"/>
  <c r="AD436" i="1"/>
  <c r="AB436" i="1"/>
  <c r="AC436" i="1"/>
  <c r="AE436" i="1"/>
  <c r="AB662" i="1"/>
  <c r="AE662" i="1"/>
  <c r="AC662" i="1"/>
  <c r="AD662" i="1"/>
  <c r="AC828" i="1"/>
  <c r="AD828" i="1"/>
  <c r="AE828" i="1"/>
  <c r="AB828" i="1"/>
  <c r="AC705" i="1"/>
  <c r="AE705" i="1"/>
  <c r="AD705" i="1"/>
  <c r="AB705" i="1"/>
  <c r="AE477" i="1"/>
  <c r="AC477" i="1"/>
  <c r="AD477" i="1"/>
  <c r="AB477" i="1"/>
  <c r="AD220" i="1"/>
  <c r="AB220" i="1"/>
  <c r="AC220" i="1"/>
  <c r="AE220" i="1"/>
  <c r="AC593" i="1"/>
  <c r="AD593" i="1"/>
  <c r="AB593" i="1"/>
  <c r="AE593" i="1"/>
  <c r="AC513" i="1"/>
  <c r="AE513" i="1"/>
  <c r="AD513" i="1"/>
  <c r="AB513" i="1"/>
  <c r="AC485" i="1"/>
  <c r="AE485" i="1"/>
  <c r="AB485" i="1"/>
  <c r="AD485" i="1"/>
  <c r="AD125" i="1"/>
  <c r="AE125" i="1"/>
  <c r="AB125" i="1"/>
  <c r="AC125" i="1"/>
  <c r="AC818" i="1"/>
  <c r="AB818" i="1"/>
  <c r="AE818" i="1"/>
  <c r="AD818" i="1"/>
  <c r="AC578" i="1"/>
  <c r="AE578" i="1"/>
  <c r="AD578" i="1"/>
  <c r="AB578" i="1"/>
  <c r="AD373" i="1"/>
  <c r="AE373" i="1"/>
  <c r="AB373" i="1"/>
  <c r="AC373" i="1"/>
  <c r="AB168" i="1"/>
  <c r="AC168" i="1"/>
  <c r="AE168" i="1"/>
  <c r="AD168" i="1"/>
  <c r="AD566" i="1"/>
  <c r="AE566" i="1"/>
  <c r="AB566" i="1"/>
  <c r="AC566" i="1"/>
  <c r="AD461" i="1"/>
  <c r="AB461" i="1"/>
  <c r="AC461" i="1"/>
  <c r="AE461" i="1"/>
  <c r="AD782" i="1"/>
  <c r="AB782" i="1"/>
  <c r="AC782" i="1"/>
  <c r="AE782" i="1"/>
  <c r="AC854" i="1"/>
  <c r="AE854" i="1"/>
  <c r="AD854" i="1"/>
  <c r="AB854" i="1"/>
  <c r="AE297" i="1"/>
  <c r="AC297" i="1"/>
  <c r="AB297" i="1"/>
  <c r="AD297" i="1"/>
  <c r="AE674" i="1"/>
  <c r="AB674" i="1"/>
  <c r="AD674" i="1"/>
  <c r="AC674" i="1"/>
  <c r="AE474" i="1"/>
  <c r="AB474" i="1"/>
  <c r="AC474" i="1"/>
  <c r="AD474" i="1"/>
  <c r="AB268" i="1"/>
  <c r="AC268" i="1"/>
  <c r="AD268" i="1"/>
  <c r="AE268" i="1"/>
  <c r="AD64" i="1"/>
  <c r="AB64" i="1"/>
  <c r="AC64" i="1"/>
  <c r="AE64" i="1"/>
  <c r="AD808" i="1"/>
  <c r="AB808" i="1"/>
  <c r="AC808" i="1"/>
  <c r="AE808" i="1"/>
  <c r="AE673" i="1"/>
  <c r="AB673" i="1"/>
  <c r="AC673" i="1"/>
  <c r="AD673" i="1"/>
  <c r="AB473" i="1"/>
  <c r="AD473" i="1"/>
  <c r="AC473" i="1"/>
  <c r="AE473" i="1"/>
  <c r="AC267" i="1"/>
  <c r="AD267" i="1"/>
  <c r="AB267" i="1"/>
  <c r="AE267" i="1"/>
  <c r="AE61" i="1"/>
  <c r="AD61" i="1"/>
  <c r="AC61" i="1"/>
  <c r="AB61" i="1"/>
  <c r="AE875" i="1"/>
  <c r="AC875" i="1"/>
  <c r="AD875" i="1"/>
  <c r="AB875" i="1"/>
  <c r="AC672" i="1"/>
  <c r="AE672" i="1"/>
  <c r="AD672" i="1"/>
  <c r="AB672" i="1"/>
  <c r="AC573" i="1"/>
  <c r="AD573" i="1"/>
  <c r="AE573" i="1"/>
  <c r="AB573" i="1"/>
  <c r="AD470" i="1"/>
  <c r="AB470" i="1"/>
  <c r="AE470" i="1"/>
  <c r="AC470" i="1"/>
  <c r="AE369" i="1"/>
  <c r="AD369" i="1"/>
  <c r="AB369" i="1"/>
  <c r="AC369" i="1"/>
  <c r="AC265" i="1"/>
  <c r="AE265" i="1"/>
  <c r="AD265" i="1"/>
  <c r="AB265" i="1"/>
  <c r="AC163" i="1"/>
  <c r="AE163" i="1"/>
  <c r="AD163" i="1"/>
  <c r="AB163" i="1"/>
  <c r="AB60" i="1"/>
  <c r="AC60" i="1"/>
  <c r="AE60" i="1"/>
  <c r="AD60" i="1"/>
  <c r="AD558" i="1"/>
  <c r="AC558" i="1"/>
  <c r="AB558" i="1"/>
  <c r="AE558" i="1"/>
  <c r="AD237" i="1"/>
  <c r="AE237" i="1"/>
  <c r="AB237" i="1"/>
  <c r="AC237" i="1"/>
  <c r="AE649" i="1"/>
  <c r="AC649" i="1"/>
  <c r="AB649" i="1"/>
  <c r="AD649" i="1"/>
  <c r="AD341" i="1"/>
  <c r="AB341" i="1"/>
  <c r="AC341" i="1"/>
  <c r="AE341" i="1"/>
  <c r="AD45" i="1"/>
  <c r="AC45" i="1"/>
  <c r="AB45" i="1"/>
  <c r="AE45" i="1"/>
  <c r="AD634" i="1"/>
  <c r="AB634" i="1"/>
  <c r="AC634" i="1"/>
  <c r="AE634" i="1"/>
  <c r="AE518" i="1"/>
  <c r="AC518" i="1"/>
  <c r="AD518" i="1"/>
  <c r="AB518" i="1"/>
  <c r="AD417" i="1"/>
  <c r="AB417" i="1"/>
  <c r="AE417" i="1"/>
  <c r="AC417" i="1"/>
  <c r="AE313" i="1"/>
  <c r="AC313" i="1"/>
  <c r="AB313" i="1"/>
  <c r="AD313" i="1"/>
  <c r="AB211" i="1"/>
  <c r="AC211" i="1"/>
  <c r="AD211" i="1"/>
  <c r="AE211" i="1"/>
  <c r="AE108" i="1"/>
  <c r="AD108" i="1"/>
  <c r="AC108" i="1"/>
  <c r="AB108" i="1"/>
  <c r="AB692" i="1"/>
  <c r="AD692" i="1"/>
  <c r="AE692" i="1"/>
  <c r="AC692" i="1"/>
  <c r="AE405" i="1"/>
  <c r="AC405" i="1"/>
  <c r="AD405" i="1"/>
  <c r="AB405" i="1"/>
  <c r="AE97" i="1"/>
  <c r="AB97" i="1"/>
  <c r="AD97" i="1"/>
  <c r="AC97" i="1"/>
  <c r="AD690" i="1"/>
  <c r="AE690" i="1"/>
  <c r="AB690" i="1"/>
  <c r="AC690" i="1"/>
  <c r="AE816" i="1"/>
  <c r="AC816" i="1"/>
  <c r="AD816" i="1"/>
  <c r="AB816" i="1"/>
  <c r="AB668" i="1"/>
  <c r="AE668" i="1"/>
  <c r="AC668" i="1"/>
  <c r="AD668" i="1"/>
  <c r="AD569" i="1"/>
  <c r="AB569" i="1"/>
  <c r="AE569" i="1"/>
  <c r="AC569" i="1"/>
  <c r="AE466" i="1"/>
  <c r="AC466" i="1"/>
  <c r="AD466" i="1"/>
  <c r="AB466" i="1"/>
  <c r="AD364" i="1"/>
  <c r="AE364" i="1"/>
  <c r="AC364" i="1"/>
  <c r="AB364" i="1"/>
  <c r="AB260" i="1"/>
  <c r="AD260" i="1"/>
  <c r="AE260" i="1"/>
  <c r="AC260" i="1"/>
  <c r="AE157" i="1"/>
  <c r="AC157" i="1"/>
  <c r="AD157" i="1"/>
  <c r="AB157" i="1"/>
  <c r="AB56" i="1"/>
  <c r="AD56" i="1"/>
  <c r="AC56" i="1"/>
  <c r="AE56" i="1"/>
  <c r="AD568" i="1"/>
  <c r="AC568" i="1"/>
  <c r="AE568" i="1"/>
  <c r="AB568" i="1"/>
  <c r="AB432" i="1"/>
  <c r="AC432" i="1"/>
  <c r="AD432" i="1"/>
  <c r="AE432" i="1"/>
  <c r="AC295" i="1"/>
  <c r="AD295" i="1"/>
  <c r="AE295" i="1"/>
  <c r="AB295" i="1"/>
  <c r="AD167" i="1"/>
  <c r="AC167" i="1"/>
  <c r="AB167" i="1"/>
  <c r="AE167" i="1"/>
  <c r="AD31" i="1"/>
  <c r="AB31" i="1"/>
  <c r="AE31" i="1"/>
  <c r="AC31" i="1"/>
  <c r="AB528" i="1"/>
  <c r="AC528" i="1"/>
  <c r="AD528" i="1"/>
  <c r="AE528" i="1"/>
  <c r="AB408" i="1"/>
  <c r="AC408" i="1"/>
  <c r="AD408" i="1"/>
  <c r="AE408" i="1"/>
  <c r="AD287" i="1"/>
  <c r="AB287" i="1"/>
  <c r="AE287" i="1"/>
  <c r="AC287" i="1"/>
  <c r="AB159" i="1"/>
  <c r="AC159" i="1"/>
  <c r="AD159" i="1"/>
  <c r="AE159" i="1"/>
  <c r="AB39" i="1"/>
  <c r="AE39" i="1"/>
  <c r="AD39" i="1"/>
  <c r="AC39" i="1"/>
  <c r="AD822" i="1"/>
  <c r="AB822" i="1"/>
  <c r="AE822" i="1"/>
  <c r="AC822" i="1"/>
  <c r="AE687" i="1"/>
  <c r="AB687" i="1"/>
  <c r="AC687" i="1"/>
  <c r="AD687" i="1"/>
  <c r="AE623" i="1"/>
  <c r="AB623" i="1"/>
  <c r="AD623" i="1"/>
  <c r="AC623" i="1"/>
  <c r="AD559" i="1"/>
  <c r="AC559" i="1"/>
  <c r="AE559" i="1"/>
  <c r="AB559" i="1"/>
  <c r="AC495" i="1"/>
  <c r="AD495" i="1"/>
  <c r="AE495" i="1"/>
  <c r="AB495" i="1"/>
  <c r="AB431" i="1"/>
  <c r="AC431" i="1"/>
  <c r="AD431" i="1"/>
  <c r="AE431" i="1"/>
  <c r="AB367" i="1"/>
  <c r="AE367" i="1"/>
  <c r="AD367" i="1"/>
  <c r="AC367" i="1"/>
  <c r="AB302" i="1"/>
  <c r="AC302" i="1"/>
  <c r="AD302" i="1"/>
  <c r="AE302" i="1"/>
  <c r="AB238" i="1"/>
  <c r="AD238" i="1"/>
  <c r="AE238" i="1"/>
  <c r="AC238" i="1"/>
  <c r="AC174" i="1"/>
  <c r="AD174" i="1"/>
  <c r="AE174" i="1"/>
  <c r="AB174" i="1"/>
  <c r="AE110" i="1"/>
  <c r="AC110" i="1"/>
  <c r="AD110" i="1"/>
  <c r="AB110" i="1"/>
  <c r="AD46" i="1"/>
  <c r="AB46" i="1"/>
  <c r="AC46" i="1"/>
  <c r="AE46" i="1"/>
  <c r="AB835" i="1"/>
  <c r="AC835" i="1"/>
  <c r="AD835" i="1"/>
  <c r="AE835" i="1"/>
  <c r="AB707" i="1"/>
  <c r="AC707" i="1"/>
  <c r="AE707" i="1"/>
  <c r="AD707" i="1"/>
  <c r="AC643" i="1"/>
  <c r="AD643" i="1"/>
  <c r="AE643" i="1"/>
  <c r="AB643" i="1"/>
  <c r="AE579" i="1"/>
  <c r="AD579" i="1"/>
  <c r="AB579" i="1"/>
  <c r="AC579" i="1"/>
  <c r="AE515" i="1"/>
  <c r="AD515" i="1"/>
  <c r="AB515" i="1"/>
  <c r="AC515" i="1"/>
  <c r="AD451" i="1"/>
  <c r="AE451" i="1"/>
  <c r="AC451" i="1"/>
  <c r="AB451" i="1"/>
  <c r="AB387" i="1"/>
  <c r="AE387" i="1"/>
  <c r="AC387" i="1"/>
  <c r="AD387" i="1"/>
  <c r="AC322" i="1"/>
  <c r="AD322" i="1"/>
  <c r="AE322" i="1"/>
  <c r="AB322" i="1"/>
  <c r="AD258" i="1"/>
  <c r="AC258" i="1"/>
  <c r="AE258" i="1"/>
  <c r="AB258" i="1"/>
  <c r="AB194" i="1"/>
  <c r="AC194" i="1"/>
  <c r="AD194" i="1"/>
  <c r="AE194" i="1"/>
  <c r="AB130" i="1"/>
  <c r="AD130" i="1"/>
  <c r="AC130" i="1"/>
  <c r="AE130" i="1"/>
  <c r="AB66" i="1"/>
  <c r="AD66" i="1"/>
  <c r="AC66" i="1"/>
  <c r="AE66" i="1"/>
  <c r="AT333" i="1"/>
  <c r="AT37" i="1"/>
  <c r="AU45" i="1"/>
  <c r="BI45" i="1"/>
  <c r="AT67" i="1"/>
  <c r="AT135" i="1"/>
  <c r="AT141" i="1"/>
  <c r="AT161" i="1"/>
  <c r="AT155" i="1"/>
  <c r="AT231" i="1"/>
  <c r="BI275" i="1"/>
  <c r="AU275" i="1"/>
  <c r="AT366" i="1"/>
  <c r="AT852" i="1"/>
  <c r="AT409" i="1"/>
  <c r="AT381" i="1"/>
  <c r="AT487" i="1"/>
  <c r="AU800" i="1"/>
  <c r="BI800" i="1"/>
  <c r="AT610" i="1"/>
  <c r="AT675" i="1"/>
  <c r="AT689" i="1"/>
  <c r="AT465" i="1"/>
  <c r="AT668" i="1"/>
  <c r="AT412" i="1"/>
  <c r="AT427" i="1"/>
  <c r="AT575" i="1"/>
  <c r="AT632" i="1"/>
  <c r="AT633" i="1"/>
  <c r="AT159" i="1"/>
  <c r="AT152" i="1"/>
  <c r="AT291" i="1"/>
  <c r="AU49" i="1"/>
  <c r="BI49" i="1"/>
  <c r="AU826" i="1"/>
  <c r="BI826" i="1"/>
  <c r="AU107" i="1"/>
  <c r="BI107" i="1"/>
  <c r="BI148" i="1"/>
  <c r="BI274" i="1"/>
  <c r="AU274" i="1"/>
  <c r="AU356" i="1"/>
  <c r="BI356" i="1"/>
  <c r="BI330" i="1"/>
  <c r="AU330" i="1"/>
  <c r="AU402" i="1"/>
  <c r="BI402" i="1"/>
  <c r="BI463" i="1"/>
  <c r="AU463" i="1"/>
  <c r="AU547" i="1"/>
  <c r="BI547" i="1"/>
  <c r="BI838" i="1"/>
  <c r="AU221" i="1"/>
  <c r="BI221" i="1"/>
  <c r="AT119" i="1"/>
  <c r="BI459" i="1"/>
  <c r="AU459" i="1"/>
  <c r="AU80" i="1"/>
  <c r="BI80" i="1"/>
  <c r="AT235" i="1"/>
  <c r="AU451" i="1"/>
  <c r="BI451" i="1"/>
  <c r="AT394" i="1"/>
  <c r="AU560" i="1"/>
  <c r="AT634" i="1"/>
  <c r="AT64" i="1"/>
  <c r="AU108" i="1"/>
  <c r="BI108" i="1"/>
  <c r="AT142" i="1"/>
  <c r="AU196" i="1"/>
  <c r="BI196" i="1"/>
  <c r="AU265" i="1"/>
  <c r="BI265" i="1"/>
  <c r="AT322" i="1"/>
  <c r="AT848" i="1"/>
  <c r="BI503" i="1"/>
  <c r="AU503" i="1"/>
  <c r="AU480" i="1"/>
  <c r="BI480" i="1"/>
  <c r="AT592" i="1"/>
  <c r="BI669" i="1"/>
  <c r="AU669" i="1"/>
  <c r="AT609" i="1"/>
  <c r="AU692" i="1"/>
  <c r="AT872" i="1"/>
  <c r="AT125" i="1"/>
  <c r="AU314" i="1"/>
  <c r="BI314" i="1"/>
  <c r="AU359" i="1"/>
  <c r="BI359" i="1"/>
  <c r="AT407" i="1"/>
  <c r="AT403" i="1"/>
  <c r="AT863" i="1"/>
  <c r="AU590" i="1"/>
  <c r="BI590" i="1"/>
  <c r="AT22" i="1"/>
  <c r="BI629" i="1"/>
  <c r="AU629" i="1"/>
  <c r="AT660" i="1"/>
  <c r="AT246" i="1"/>
  <c r="AU212" i="1"/>
  <c r="BI212" i="1"/>
  <c r="BI317" i="1"/>
  <c r="AU317" i="1"/>
  <c r="AT406" i="1"/>
  <c r="AT392" i="1"/>
  <c r="AU549" i="1"/>
  <c r="AT500" i="1"/>
  <c r="AT69" i="1"/>
  <c r="AT101" i="1"/>
  <c r="AT834" i="1"/>
  <c r="AU266" i="1"/>
  <c r="BI266" i="1"/>
  <c r="AT386" i="1"/>
  <c r="AT650" i="1"/>
  <c r="AB862" i="1"/>
  <c r="AD862" i="1"/>
  <c r="AE862" i="1"/>
  <c r="AC862" i="1"/>
  <c r="AB810" i="1"/>
  <c r="AC810" i="1"/>
  <c r="AD810" i="1"/>
  <c r="AE810" i="1"/>
  <c r="AC565" i="1"/>
  <c r="AD565" i="1"/>
  <c r="AE565" i="1"/>
  <c r="AB565" i="1"/>
  <c r="AE361" i="1"/>
  <c r="AD361" i="1"/>
  <c r="AB361" i="1"/>
  <c r="AC361" i="1"/>
  <c r="AE155" i="1"/>
  <c r="AC155" i="1"/>
  <c r="AB155" i="1"/>
  <c r="AD155" i="1"/>
  <c r="AC516" i="1"/>
  <c r="AD516" i="1"/>
  <c r="AE516" i="1"/>
  <c r="AB516" i="1"/>
  <c r="AB358" i="1"/>
  <c r="AE358" i="1"/>
  <c r="AC358" i="1"/>
  <c r="AD358" i="1"/>
  <c r="AC588" i="1"/>
  <c r="AB588" i="1"/>
  <c r="AD588" i="1"/>
  <c r="AE588" i="1"/>
  <c r="AB666" i="1"/>
  <c r="AC666" i="1"/>
  <c r="AD666" i="1"/>
  <c r="AE666" i="1"/>
  <c r="AB870" i="1"/>
  <c r="AC870" i="1"/>
  <c r="AD870" i="1"/>
  <c r="AE870" i="1"/>
  <c r="AB426" i="1"/>
  <c r="AC426" i="1"/>
  <c r="AD426" i="1"/>
  <c r="AE426" i="1"/>
  <c r="AB195" i="1"/>
  <c r="AC195" i="1"/>
  <c r="AE195" i="1"/>
  <c r="AD195" i="1"/>
  <c r="AB438" i="1"/>
  <c r="AC438" i="1"/>
  <c r="AD438" i="1"/>
  <c r="AE438" i="1"/>
  <c r="AC410" i="1"/>
  <c r="AD410" i="1"/>
  <c r="AE410" i="1"/>
  <c r="AB410" i="1"/>
  <c r="AB409" i="1"/>
  <c r="AD409" i="1"/>
  <c r="AC409" i="1"/>
  <c r="AE409" i="1"/>
  <c r="AE49" i="1"/>
  <c r="AD49" i="1"/>
  <c r="AB49" i="1"/>
  <c r="AC49" i="1"/>
  <c r="AB801" i="1"/>
  <c r="AC801" i="1"/>
  <c r="AD801" i="1"/>
  <c r="AE801" i="1"/>
  <c r="AE553" i="1"/>
  <c r="AC553" i="1"/>
  <c r="AB553" i="1"/>
  <c r="AD553" i="1"/>
  <c r="AB348" i="1"/>
  <c r="AC348" i="1"/>
  <c r="AD348" i="1"/>
  <c r="AE348" i="1"/>
  <c r="AD141" i="1"/>
  <c r="AC141" i="1"/>
  <c r="AB141" i="1"/>
  <c r="AE141" i="1"/>
  <c r="AE413" i="1"/>
  <c r="AC413" i="1"/>
  <c r="AD413" i="1"/>
  <c r="AB413" i="1"/>
  <c r="AB385" i="1"/>
  <c r="AD385" i="1"/>
  <c r="AC385" i="1"/>
  <c r="AE385" i="1"/>
  <c r="AB684" i="1"/>
  <c r="AC684" i="1"/>
  <c r="AD684" i="1"/>
  <c r="AE684" i="1"/>
  <c r="AC820" i="1"/>
  <c r="AE820" i="1"/>
  <c r="AB820" i="1"/>
  <c r="AD820" i="1"/>
  <c r="AD865" i="1"/>
  <c r="AE865" i="1"/>
  <c r="AB865" i="1"/>
  <c r="AC865" i="1"/>
  <c r="AB653" i="1"/>
  <c r="AC653" i="1"/>
  <c r="AD653" i="1"/>
  <c r="AE653" i="1"/>
  <c r="AD449" i="1"/>
  <c r="AB449" i="1"/>
  <c r="AE449" i="1"/>
  <c r="AC449" i="1"/>
  <c r="AC243" i="1"/>
  <c r="AE243" i="1"/>
  <c r="AB243" i="1"/>
  <c r="AD243" i="1"/>
  <c r="AB37" i="1"/>
  <c r="AE37" i="1"/>
  <c r="AD37" i="1"/>
  <c r="AC37" i="1"/>
  <c r="AB332" i="1"/>
  <c r="AC332" i="1"/>
  <c r="AD332" i="1"/>
  <c r="AE332" i="1"/>
  <c r="AE652" i="1"/>
  <c r="AB652" i="1"/>
  <c r="AC652" i="1"/>
  <c r="AD652" i="1"/>
  <c r="AB446" i="1"/>
  <c r="AE446" i="1"/>
  <c r="AC446" i="1"/>
  <c r="AD446" i="1"/>
  <c r="AE241" i="1"/>
  <c r="AB241" i="1"/>
  <c r="AD241" i="1"/>
  <c r="AC241" i="1"/>
  <c r="AB36" i="1"/>
  <c r="AD36" i="1"/>
  <c r="AC36" i="1"/>
  <c r="AE36" i="1"/>
  <c r="AC809" i="1"/>
  <c r="AD809" i="1"/>
  <c r="AE809" i="1"/>
  <c r="AB809" i="1"/>
  <c r="AD661" i="1"/>
  <c r="AE661" i="1"/>
  <c r="AB661" i="1"/>
  <c r="AC661" i="1"/>
  <c r="AD561" i="1"/>
  <c r="AB561" i="1"/>
  <c r="AE561" i="1"/>
  <c r="AC561" i="1"/>
  <c r="AB458" i="1"/>
  <c r="AD458" i="1"/>
  <c r="AC458" i="1"/>
  <c r="AE458" i="1"/>
  <c r="AE356" i="1"/>
  <c r="AB356" i="1"/>
  <c r="AC356" i="1"/>
  <c r="AD356" i="1"/>
  <c r="AD252" i="1"/>
  <c r="AE252" i="1"/>
  <c r="AB252" i="1"/>
  <c r="AC252" i="1"/>
  <c r="AB149" i="1"/>
  <c r="AE149" i="1"/>
  <c r="AD149" i="1"/>
  <c r="AC149" i="1"/>
  <c r="AE48" i="1"/>
  <c r="AC48" i="1"/>
  <c r="AD48" i="1"/>
  <c r="AB48" i="1"/>
  <c r="AB521" i="1"/>
  <c r="AD521" i="1"/>
  <c r="AC521" i="1"/>
  <c r="AE521" i="1"/>
  <c r="AC200" i="1"/>
  <c r="AD200" i="1"/>
  <c r="AB200" i="1"/>
  <c r="AE200" i="1"/>
  <c r="AC610" i="1"/>
  <c r="AB610" i="1"/>
  <c r="AE610" i="1"/>
  <c r="AD610" i="1"/>
  <c r="AD301" i="1"/>
  <c r="AB301" i="1"/>
  <c r="AC301" i="1"/>
  <c r="AE301" i="1"/>
  <c r="AD858" i="1"/>
  <c r="AE858" i="1"/>
  <c r="AC858" i="1"/>
  <c r="AB858" i="1"/>
  <c r="AD609" i="1"/>
  <c r="AE609" i="1"/>
  <c r="AC609" i="1"/>
  <c r="AB609" i="1"/>
  <c r="AD506" i="1"/>
  <c r="AB506" i="1"/>
  <c r="AC506" i="1"/>
  <c r="AE506" i="1"/>
  <c r="AC404" i="1"/>
  <c r="AD404" i="1"/>
  <c r="AE404" i="1"/>
  <c r="AB404" i="1"/>
  <c r="AE300" i="1"/>
  <c r="AB300" i="1"/>
  <c r="AD300" i="1"/>
  <c r="AC300" i="1"/>
  <c r="AE197" i="1"/>
  <c r="AC197" i="1"/>
  <c r="AD197" i="1"/>
  <c r="AB197" i="1"/>
  <c r="AD96" i="1"/>
  <c r="AC96" i="1"/>
  <c r="AB96" i="1"/>
  <c r="AE96" i="1"/>
  <c r="AB660" i="1"/>
  <c r="AC660" i="1"/>
  <c r="AD660" i="1"/>
  <c r="AE660" i="1"/>
  <c r="AC366" i="1"/>
  <c r="AD366" i="1"/>
  <c r="AB366" i="1"/>
  <c r="AE366" i="1"/>
  <c r="AB59" i="1"/>
  <c r="AD59" i="1"/>
  <c r="AC59" i="1"/>
  <c r="AE59" i="1"/>
  <c r="AD669" i="1"/>
  <c r="AE669" i="1"/>
  <c r="AC669" i="1"/>
  <c r="AB669" i="1"/>
  <c r="AB805" i="1"/>
  <c r="AD805" i="1"/>
  <c r="AC805" i="1"/>
  <c r="AE805" i="1"/>
  <c r="AB657" i="1"/>
  <c r="AC657" i="1"/>
  <c r="AD657" i="1"/>
  <c r="AE657" i="1"/>
  <c r="AC556" i="1"/>
  <c r="AD556" i="1"/>
  <c r="AE556" i="1"/>
  <c r="AB556" i="1"/>
  <c r="AD453" i="1"/>
  <c r="AB453" i="1"/>
  <c r="AC453" i="1"/>
  <c r="AE453" i="1"/>
  <c r="AC350" i="1"/>
  <c r="AE350" i="1"/>
  <c r="AD350" i="1"/>
  <c r="AB350" i="1"/>
  <c r="AD248" i="1"/>
  <c r="AB248" i="1"/>
  <c r="AC248" i="1"/>
  <c r="AE248" i="1"/>
  <c r="AB145" i="1"/>
  <c r="AD145" i="1"/>
  <c r="AC145" i="1"/>
  <c r="AE145" i="1"/>
  <c r="AD43" i="1"/>
  <c r="AE43" i="1"/>
  <c r="AC43" i="1"/>
  <c r="AB43" i="1"/>
  <c r="AE552" i="1"/>
  <c r="AB552" i="1"/>
  <c r="AC552" i="1"/>
  <c r="AD552" i="1"/>
  <c r="AE416" i="1"/>
  <c r="AC416" i="1"/>
  <c r="AB416" i="1"/>
  <c r="AD416" i="1"/>
  <c r="AC279" i="1"/>
  <c r="AD279" i="1"/>
  <c r="AE279" i="1"/>
  <c r="AB279" i="1"/>
  <c r="AC151" i="1"/>
  <c r="AE151" i="1"/>
  <c r="AB151" i="1"/>
  <c r="AD151" i="1"/>
  <c r="AE640" i="1"/>
  <c r="AC640" i="1"/>
  <c r="AD640" i="1"/>
  <c r="AB640" i="1"/>
  <c r="AC512" i="1"/>
  <c r="AB512" i="1"/>
  <c r="AD512" i="1"/>
  <c r="AE512" i="1"/>
  <c r="AE392" i="1"/>
  <c r="AC392" i="1"/>
  <c r="AD392" i="1"/>
  <c r="AB392" i="1"/>
  <c r="AC271" i="1"/>
  <c r="AB271" i="1"/>
  <c r="AD271" i="1"/>
  <c r="AE271" i="1"/>
  <c r="AC143" i="1"/>
  <c r="AD143" i="1"/>
  <c r="AE143" i="1"/>
  <c r="AB143" i="1"/>
  <c r="AC23" i="1"/>
  <c r="AD23" i="1"/>
  <c r="AE23" i="1"/>
  <c r="AB23" i="1"/>
  <c r="AC815" i="1"/>
  <c r="AD815" i="1"/>
  <c r="AE815" i="1"/>
  <c r="AB815" i="1"/>
  <c r="AC679" i="1"/>
  <c r="AE679" i="1"/>
  <c r="AD679" i="1"/>
  <c r="AB679" i="1"/>
  <c r="AE615" i="1"/>
  <c r="AC615" i="1"/>
  <c r="AB615" i="1"/>
  <c r="AD615" i="1"/>
  <c r="AB551" i="1"/>
  <c r="AC551" i="1"/>
  <c r="AE551" i="1"/>
  <c r="AD551" i="1"/>
  <c r="AC487" i="1"/>
  <c r="AD487" i="1"/>
  <c r="AE487" i="1"/>
  <c r="AB487" i="1"/>
  <c r="AD423" i="1"/>
  <c r="AE423" i="1"/>
  <c r="AB423" i="1"/>
  <c r="AC423" i="1"/>
  <c r="AE359" i="1"/>
  <c r="AB359" i="1"/>
  <c r="AC359" i="1"/>
  <c r="AD359" i="1"/>
  <c r="AB294" i="1"/>
  <c r="AC294" i="1"/>
  <c r="AD294" i="1"/>
  <c r="AE294" i="1"/>
  <c r="AE230" i="1"/>
  <c r="AC230" i="1"/>
  <c r="AB230" i="1"/>
  <c r="AD230" i="1"/>
  <c r="AC166" i="1"/>
  <c r="AD166" i="1"/>
  <c r="AE166" i="1"/>
  <c r="AB166" i="1"/>
  <c r="AC102" i="1"/>
  <c r="AE102" i="1"/>
  <c r="AB102" i="1"/>
  <c r="AD102" i="1"/>
  <c r="AE38" i="1"/>
  <c r="AC38" i="1"/>
  <c r="AB38" i="1"/>
  <c r="AD38" i="1"/>
  <c r="AD826" i="1"/>
  <c r="AB826" i="1"/>
  <c r="AC826" i="1"/>
  <c r="AE826" i="1"/>
  <c r="AC699" i="1"/>
  <c r="AB699" i="1"/>
  <c r="AD699" i="1"/>
  <c r="AE699" i="1"/>
  <c r="AD635" i="1"/>
  <c r="AC635" i="1"/>
  <c r="AB635" i="1"/>
  <c r="AE635" i="1"/>
  <c r="AC571" i="1"/>
  <c r="AD571" i="1"/>
  <c r="AB571" i="1"/>
  <c r="AE571" i="1"/>
  <c r="AB507" i="1"/>
  <c r="AD507" i="1"/>
  <c r="AE507" i="1"/>
  <c r="AC507" i="1"/>
  <c r="AD443" i="1"/>
  <c r="AC443" i="1"/>
  <c r="AB443" i="1"/>
  <c r="AE443" i="1"/>
  <c r="AD379" i="1"/>
  <c r="AE379" i="1"/>
  <c r="AB379" i="1"/>
  <c r="AC379" i="1"/>
  <c r="AE314" i="1"/>
  <c r="AB314" i="1"/>
  <c r="AC314" i="1"/>
  <c r="AD314" i="1"/>
  <c r="AD250" i="1"/>
  <c r="AC250" i="1"/>
  <c r="AE250" i="1"/>
  <c r="AB250" i="1"/>
  <c r="AB186" i="1"/>
  <c r="AC186" i="1"/>
  <c r="AD186" i="1"/>
  <c r="AE186" i="1"/>
  <c r="AD122" i="1"/>
  <c r="AB122" i="1"/>
  <c r="AC122" i="1"/>
  <c r="AE122" i="1"/>
  <c r="AD58" i="1"/>
  <c r="AB58" i="1"/>
  <c r="AC58" i="1"/>
  <c r="AE58" i="1"/>
  <c r="AU351" i="1"/>
  <c r="BI351" i="1"/>
  <c r="AU325" i="1"/>
  <c r="BI325" i="1"/>
  <c r="AT59" i="1"/>
  <c r="AT103" i="1"/>
  <c r="AT123" i="1"/>
  <c r="AT151" i="1"/>
  <c r="BI193" i="1"/>
  <c r="AU193" i="1"/>
  <c r="AT313" i="1"/>
  <c r="AT454" i="1"/>
  <c r="AT393" i="1"/>
  <c r="AT411" i="1"/>
  <c r="AT602" i="1"/>
  <c r="AT618" i="1"/>
  <c r="AT667" i="1"/>
  <c r="AU636" i="1"/>
  <c r="BI636" i="1"/>
  <c r="AT457" i="1"/>
  <c r="AT29" i="1"/>
  <c r="AT611" i="1"/>
  <c r="AT791" i="1"/>
  <c r="AT810" i="1"/>
  <c r="AT659" i="1"/>
  <c r="AT167" i="1"/>
  <c r="AT179" i="1"/>
  <c r="AT316" i="1"/>
  <c r="AT383" i="1"/>
  <c r="AT775" i="1"/>
  <c r="AU134" i="1"/>
  <c r="BI134" i="1"/>
  <c r="BI178" i="1"/>
  <c r="AU178" i="1"/>
  <c r="AU422" i="1"/>
  <c r="BI422" i="1"/>
  <c r="AT421" i="1"/>
  <c r="AU244" i="1"/>
  <c r="BI264" i="1"/>
  <c r="AU264" i="1"/>
  <c r="AU807" i="1"/>
  <c r="BI807" i="1"/>
  <c r="AT654" i="1"/>
  <c r="AU95" i="1"/>
  <c r="BI95" i="1"/>
  <c r="AU91" i="1"/>
  <c r="BI91" i="1"/>
  <c r="AT254" i="1"/>
  <c r="AU341" i="1"/>
  <c r="BI341" i="1"/>
  <c r="AU603" i="1"/>
  <c r="BI603" i="1"/>
  <c r="AT839" i="1"/>
  <c r="AT17" i="1"/>
  <c r="AU21" i="1"/>
  <c r="BI21" i="1"/>
  <c r="AU62" i="1"/>
  <c r="BI62" i="1"/>
  <c r="AU88" i="1"/>
  <c r="BI88" i="1"/>
  <c r="AU118" i="1"/>
  <c r="BI118" i="1"/>
  <c r="BI210" i="1"/>
  <c r="AT309" i="1"/>
  <c r="AU846" i="1"/>
  <c r="BI846" i="1"/>
  <c r="AU460" i="1"/>
  <c r="BI460" i="1"/>
  <c r="AU534" i="1"/>
  <c r="BI534" i="1"/>
  <c r="AU509" i="1"/>
  <c r="BI509" i="1"/>
  <c r="AT583" i="1"/>
  <c r="AU672" i="1"/>
  <c r="BI672" i="1"/>
  <c r="AU684" i="1"/>
  <c r="BI684" i="1"/>
  <c r="AU815" i="1"/>
  <c r="BI815" i="1"/>
  <c r="BI703" i="1"/>
  <c r="AT20" i="1"/>
  <c r="AU47" i="1"/>
  <c r="BI47" i="1"/>
  <c r="AU143" i="1"/>
  <c r="BI143" i="1"/>
  <c r="AT158" i="1"/>
  <c r="AT378" i="1"/>
  <c r="AU437" i="1"/>
  <c r="BI437" i="1"/>
  <c r="BI517" i="1"/>
  <c r="AU517" i="1"/>
  <c r="AT593" i="1"/>
  <c r="AT579" i="1"/>
  <c r="AT607" i="1"/>
  <c r="AT28" i="1"/>
  <c r="AT14" i="1"/>
  <c r="BI613" i="1"/>
  <c r="BI188" i="1"/>
  <c r="AU188" i="1"/>
  <c r="AT783" i="1"/>
  <c r="AT296" i="1"/>
  <c r="AT270" i="1"/>
  <c r="AU452" i="1"/>
  <c r="BI452" i="1"/>
  <c r="AT492" i="1"/>
  <c r="AU499" i="1"/>
  <c r="BI499" i="1"/>
  <c r="AT525" i="1"/>
  <c r="AT828" i="1"/>
  <c r="AT136" i="1"/>
  <c r="AT835" i="1"/>
  <c r="AT216" i="1"/>
  <c r="AT297" i="1"/>
  <c r="AU320" i="1"/>
  <c r="BI320" i="1"/>
  <c r="AT453" i="1"/>
  <c r="AT626" i="1"/>
  <c r="AD618" i="1"/>
  <c r="AB618" i="1"/>
  <c r="AC618" i="1"/>
  <c r="AE618" i="1"/>
  <c r="AC790" i="1"/>
  <c r="AD790" i="1"/>
  <c r="AB790" i="1"/>
  <c r="AE790" i="1"/>
  <c r="AC540" i="1"/>
  <c r="AE540" i="1"/>
  <c r="AB540" i="1"/>
  <c r="AD540" i="1"/>
  <c r="AD333" i="1"/>
  <c r="AB333" i="1"/>
  <c r="AC333" i="1"/>
  <c r="AE333" i="1"/>
  <c r="AD129" i="1"/>
  <c r="AE129" i="1"/>
  <c r="AC129" i="1"/>
  <c r="AB129" i="1"/>
  <c r="AD388" i="1"/>
  <c r="AB388" i="1"/>
  <c r="AC388" i="1"/>
  <c r="AE388" i="1"/>
  <c r="AE281" i="1"/>
  <c r="AC281" i="1"/>
  <c r="AB281" i="1"/>
  <c r="AD281" i="1"/>
  <c r="AE510" i="1"/>
  <c r="AD510" i="1"/>
  <c r="AB510" i="1"/>
  <c r="AC510" i="1"/>
  <c r="AE490" i="1"/>
  <c r="AB490" i="1"/>
  <c r="AC490" i="1"/>
  <c r="AD490" i="1"/>
  <c r="AE836" i="1"/>
  <c r="AB836" i="1"/>
  <c r="AC836" i="1"/>
  <c r="AD836" i="1"/>
  <c r="AE401" i="1"/>
  <c r="AC401" i="1"/>
  <c r="AB401" i="1"/>
  <c r="AD401" i="1"/>
  <c r="AB169" i="1"/>
  <c r="AD169" i="1"/>
  <c r="AC169" i="1"/>
  <c r="AE169" i="1"/>
  <c r="AD284" i="1"/>
  <c r="AE284" i="1"/>
  <c r="AC284" i="1"/>
  <c r="AB284" i="1"/>
  <c r="AB256" i="1"/>
  <c r="AE256" i="1"/>
  <c r="AD256" i="1"/>
  <c r="AC256" i="1"/>
  <c r="AD331" i="1"/>
  <c r="AE331" i="1"/>
  <c r="AB331" i="1"/>
  <c r="AC331" i="1"/>
  <c r="AB24" i="1"/>
  <c r="AD24" i="1"/>
  <c r="AE24" i="1"/>
  <c r="AC24" i="1"/>
  <c r="AC780" i="1"/>
  <c r="AD780" i="1"/>
  <c r="AE780" i="1"/>
  <c r="AB780" i="1"/>
  <c r="AD526" i="1"/>
  <c r="AB526" i="1"/>
  <c r="AC526" i="1"/>
  <c r="AE526" i="1"/>
  <c r="AC321" i="1"/>
  <c r="AE321" i="1"/>
  <c r="AD321" i="1"/>
  <c r="AB321" i="1"/>
  <c r="AD116" i="1"/>
  <c r="AB116" i="1"/>
  <c r="AE116" i="1"/>
  <c r="AC116" i="1"/>
  <c r="AC259" i="1"/>
  <c r="AB259" i="1"/>
  <c r="AE259" i="1"/>
  <c r="AD259" i="1"/>
  <c r="AD307" i="1"/>
  <c r="AC307" i="1"/>
  <c r="AE307" i="1"/>
  <c r="AB307" i="1"/>
  <c r="AB613" i="1"/>
  <c r="AD613" i="1"/>
  <c r="AC613" i="1"/>
  <c r="AE613" i="1"/>
  <c r="AB802" i="1"/>
  <c r="AE802" i="1"/>
  <c r="AC802" i="1"/>
  <c r="AD802" i="1"/>
  <c r="AC850" i="1"/>
  <c r="AD850" i="1"/>
  <c r="AE850" i="1"/>
  <c r="AB850" i="1"/>
  <c r="AE628" i="1"/>
  <c r="AB628" i="1"/>
  <c r="AC628" i="1"/>
  <c r="AD628" i="1"/>
  <c r="AB422" i="1"/>
  <c r="AD422" i="1"/>
  <c r="AC422" i="1"/>
  <c r="AE422" i="1"/>
  <c r="AC217" i="1"/>
  <c r="AE217" i="1"/>
  <c r="AD217" i="1"/>
  <c r="AB217" i="1"/>
  <c r="AC845" i="1"/>
  <c r="AE845" i="1"/>
  <c r="AB845" i="1"/>
  <c r="AD845" i="1"/>
  <c r="AD864" i="1"/>
  <c r="AB864" i="1"/>
  <c r="AE864" i="1"/>
  <c r="AC864" i="1"/>
  <c r="AD626" i="1"/>
  <c r="AE626" i="1"/>
  <c r="AB626" i="1"/>
  <c r="AC626" i="1"/>
  <c r="AD421" i="1"/>
  <c r="AB421" i="1"/>
  <c r="AC421" i="1"/>
  <c r="AE421" i="1"/>
  <c r="AE216" i="1"/>
  <c r="AB216" i="1"/>
  <c r="AD216" i="1"/>
  <c r="AC216" i="1"/>
  <c r="AE20" i="1"/>
  <c r="AC20" i="1"/>
  <c r="AD20" i="1"/>
  <c r="AB20" i="1"/>
  <c r="AB798" i="1"/>
  <c r="AD798" i="1"/>
  <c r="AC798" i="1"/>
  <c r="AE798" i="1"/>
  <c r="AD650" i="1"/>
  <c r="AE650" i="1"/>
  <c r="AB650" i="1"/>
  <c r="AC650" i="1"/>
  <c r="AD548" i="1"/>
  <c r="AE548" i="1"/>
  <c r="AC548" i="1"/>
  <c r="AB548" i="1"/>
  <c r="AD445" i="1"/>
  <c r="AB445" i="1"/>
  <c r="AC445" i="1"/>
  <c r="AE445" i="1"/>
  <c r="AC342" i="1"/>
  <c r="AE342" i="1"/>
  <c r="AD342" i="1"/>
  <c r="AB342" i="1"/>
  <c r="AB240" i="1"/>
  <c r="AE240" i="1"/>
  <c r="AC240" i="1"/>
  <c r="AD240" i="1"/>
  <c r="AC137" i="1"/>
  <c r="AD137" i="1"/>
  <c r="AE137" i="1"/>
  <c r="AB137" i="1"/>
  <c r="AE35" i="1"/>
  <c r="AD35" i="1"/>
  <c r="AC35" i="1"/>
  <c r="AB35" i="1"/>
  <c r="AB482" i="1"/>
  <c r="AC482" i="1"/>
  <c r="AD482" i="1"/>
  <c r="AE482" i="1"/>
  <c r="AD161" i="1"/>
  <c r="AB161" i="1"/>
  <c r="AE161" i="1"/>
  <c r="AC161" i="1"/>
  <c r="AC572" i="1"/>
  <c r="AE572" i="1"/>
  <c r="AB572" i="1"/>
  <c r="AD572" i="1"/>
  <c r="AD264" i="1"/>
  <c r="AC264" i="1"/>
  <c r="AE264" i="1"/>
  <c r="AB264" i="1"/>
  <c r="AE838" i="1"/>
  <c r="AB838" i="1"/>
  <c r="AC838" i="1"/>
  <c r="AD838" i="1"/>
  <c r="AB596" i="1"/>
  <c r="AC596" i="1"/>
  <c r="AE596" i="1"/>
  <c r="AD596" i="1"/>
  <c r="AB493" i="1"/>
  <c r="AC493" i="1"/>
  <c r="AE493" i="1"/>
  <c r="AD493" i="1"/>
  <c r="AD390" i="1"/>
  <c r="AB390" i="1"/>
  <c r="AC390" i="1"/>
  <c r="AE390" i="1"/>
  <c r="AE288" i="1"/>
  <c r="AC288" i="1"/>
  <c r="AD288" i="1"/>
  <c r="AB288" i="1"/>
  <c r="AE185" i="1"/>
  <c r="AC185" i="1"/>
  <c r="AB185" i="1"/>
  <c r="AD185" i="1"/>
  <c r="AC83" i="1"/>
  <c r="AD83" i="1"/>
  <c r="AB83" i="1"/>
  <c r="AE83" i="1"/>
  <c r="AC622" i="1"/>
  <c r="AB622" i="1"/>
  <c r="AD622" i="1"/>
  <c r="AE622" i="1"/>
  <c r="AE328" i="1"/>
  <c r="AC328" i="1"/>
  <c r="AB328" i="1"/>
  <c r="AD328" i="1"/>
  <c r="AE869" i="1"/>
  <c r="AC869" i="1"/>
  <c r="AB869" i="1"/>
  <c r="AD869" i="1"/>
  <c r="AB621" i="1"/>
  <c r="AD621" i="1"/>
  <c r="AC621" i="1"/>
  <c r="AE621" i="1"/>
  <c r="AB794" i="1"/>
  <c r="AD794" i="1"/>
  <c r="AE794" i="1"/>
  <c r="AC794" i="1"/>
  <c r="AB645" i="1"/>
  <c r="AC645" i="1"/>
  <c r="AD645" i="1"/>
  <c r="AE645" i="1"/>
  <c r="AD542" i="1"/>
  <c r="AC542" i="1"/>
  <c r="AB542" i="1"/>
  <c r="AE542" i="1"/>
  <c r="AD441" i="1"/>
  <c r="AB441" i="1"/>
  <c r="AE441" i="1"/>
  <c r="AC441" i="1"/>
  <c r="AD337" i="1"/>
  <c r="AB337" i="1"/>
  <c r="AE337" i="1"/>
  <c r="AC337" i="1"/>
  <c r="AC235" i="1"/>
  <c r="AE235" i="1"/>
  <c r="AB235" i="1"/>
  <c r="AD235" i="1"/>
  <c r="AD132" i="1"/>
  <c r="AC132" i="1"/>
  <c r="AE132" i="1"/>
  <c r="AB132" i="1"/>
  <c r="AC29" i="1"/>
  <c r="AB29" i="1"/>
  <c r="AE29" i="1"/>
  <c r="AD29" i="1"/>
  <c r="AC536" i="1"/>
  <c r="AD536" i="1"/>
  <c r="AB536" i="1"/>
  <c r="AE536" i="1"/>
  <c r="AB400" i="1"/>
  <c r="AC400" i="1"/>
  <c r="AD400" i="1"/>
  <c r="AE400" i="1"/>
  <c r="AE263" i="1"/>
  <c r="AC263" i="1"/>
  <c r="AB263" i="1"/>
  <c r="AD263" i="1"/>
  <c r="AE135" i="1"/>
  <c r="AD135" i="1"/>
  <c r="AB135" i="1"/>
  <c r="AC135" i="1"/>
  <c r="AD624" i="1"/>
  <c r="AC624" i="1"/>
  <c r="AB624" i="1"/>
  <c r="AE624" i="1"/>
  <c r="AE496" i="1"/>
  <c r="AB496" i="1"/>
  <c r="AD496" i="1"/>
  <c r="AC496" i="1"/>
  <c r="AB376" i="1"/>
  <c r="AD376" i="1"/>
  <c r="AC376" i="1"/>
  <c r="AE376" i="1"/>
  <c r="AE255" i="1"/>
  <c r="AD255" i="1"/>
  <c r="AC255" i="1"/>
  <c r="AB255" i="1"/>
  <c r="AD127" i="1"/>
  <c r="AB127" i="1"/>
  <c r="AE127" i="1"/>
  <c r="AC127" i="1"/>
  <c r="AE18" i="1"/>
  <c r="AD18" i="1"/>
  <c r="AB18" i="1"/>
  <c r="AC18" i="1"/>
  <c r="AC807" i="1"/>
  <c r="AD807" i="1"/>
  <c r="AE807" i="1"/>
  <c r="AB807" i="1"/>
  <c r="AC671" i="1"/>
  <c r="AB671" i="1"/>
  <c r="AD671" i="1"/>
  <c r="AE671" i="1"/>
  <c r="AC607" i="1"/>
  <c r="AD607" i="1"/>
  <c r="AE607" i="1"/>
  <c r="AB607" i="1"/>
  <c r="AD543" i="1"/>
  <c r="AB543" i="1"/>
  <c r="AC543" i="1"/>
  <c r="AE543" i="1"/>
  <c r="AE479" i="1"/>
  <c r="AC479" i="1"/>
  <c r="AB479" i="1"/>
  <c r="AD479" i="1"/>
  <c r="AE415" i="1"/>
  <c r="AC415" i="1"/>
  <c r="AD415" i="1"/>
  <c r="AB415" i="1"/>
  <c r="AE351" i="1"/>
  <c r="AB351" i="1"/>
  <c r="AD351" i="1"/>
  <c r="AC351" i="1"/>
  <c r="AB286" i="1"/>
  <c r="AD286" i="1"/>
  <c r="AC286" i="1"/>
  <c r="AE286" i="1"/>
  <c r="AD222" i="1"/>
  <c r="AB222" i="1"/>
  <c r="AE222" i="1"/>
  <c r="AC222" i="1"/>
  <c r="AC158" i="1"/>
  <c r="AE158" i="1"/>
  <c r="AD158" i="1"/>
  <c r="AB158" i="1"/>
  <c r="AB94" i="1"/>
  <c r="AC94" i="1"/>
  <c r="AD94" i="1"/>
  <c r="AE94" i="1"/>
  <c r="AC30" i="1"/>
  <c r="AB30" i="1"/>
  <c r="AE30" i="1"/>
  <c r="AD30" i="1"/>
  <c r="AE819" i="1"/>
  <c r="AC819" i="1"/>
  <c r="AD819" i="1"/>
  <c r="AB819" i="1"/>
  <c r="AD691" i="1"/>
  <c r="AB691" i="1"/>
  <c r="AC691" i="1"/>
  <c r="AE691" i="1"/>
  <c r="AB627" i="1"/>
  <c r="AC627" i="1"/>
  <c r="AE627" i="1"/>
  <c r="AD627" i="1"/>
  <c r="AB563" i="1"/>
  <c r="AD563" i="1"/>
  <c r="AC563" i="1"/>
  <c r="AE563" i="1"/>
  <c r="AB499" i="1"/>
  <c r="AD499" i="1"/>
  <c r="AC499" i="1"/>
  <c r="AE499" i="1"/>
  <c r="AD435" i="1"/>
  <c r="AB435" i="1"/>
  <c r="AC435" i="1"/>
  <c r="AE435" i="1"/>
  <c r="AB371" i="1"/>
  <c r="AC371" i="1"/>
  <c r="AD371" i="1"/>
  <c r="AE371" i="1"/>
  <c r="AC306" i="1"/>
  <c r="AD306" i="1"/>
  <c r="AE306" i="1"/>
  <c r="AB306" i="1"/>
  <c r="AD242" i="1"/>
  <c r="AB242" i="1"/>
  <c r="AC242" i="1"/>
  <c r="AE242" i="1"/>
  <c r="AC178" i="1"/>
  <c r="AD178" i="1"/>
  <c r="AE178" i="1"/>
  <c r="AB178" i="1"/>
  <c r="AB114" i="1"/>
  <c r="AD114" i="1"/>
  <c r="AE114" i="1"/>
  <c r="AC114" i="1"/>
  <c r="AD50" i="1"/>
  <c r="AB50" i="1"/>
  <c r="AC50" i="1"/>
  <c r="AE50" i="1"/>
  <c r="AT362" i="1"/>
  <c r="AT331" i="1"/>
  <c r="AU32" i="1"/>
  <c r="BI32" i="1"/>
  <c r="AT48" i="1"/>
  <c r="AT46" i="1"/>
  <c r="AT121" i="1"/>
  <c r="AT169" i="1"/>
  <c r="AT259" i="1"/>
  <c r="BI344" i="1"/>
  <c r="AU344" i="1"/>
  <c r="AT385" i="1"/>
  <c r="AT516" i="1"/>
  <c r="AT493" i="1"/>
  <c r="AT578" i="1"/>
  <c r="AT595" i="1"/>
  <c r="AT700" i="1"/>
  <c r="AT474" i="1"/>
  <c r="BI782" i="1"/>
  <c r="AU782" i="1"/>
  <c r="AT806" i="1"/>
  <c r="AT644" i="1"/>
  <c r="AT792" i="1"/>
  <c r="AT804" i="1"/>
  <c r="AT577" i="1"/>
  <c r="AT651" i="1"/>
  <c r="AT153" i="1"/>
  <c r="AT147" i="1"/>
  <c r="AT424" i="1"/>
  <c r="AT489" i="1"/>
  <c r="AU824" i="1"/>
  <c r="BI824" i="1"/>
  <c r="AU68" i="1"/>
  <c r="BI68" i="1"/>
  <c r="BI54" i="1"/>
  <c r="AU54" i="1"/>
  <c r="AU160" i="1"/>
  <c r="BI160" i="1"/>
  <c r="BI202" i="1"/>
  <c r="AU211" i="1"/>
  <c r="BI211" i="1"/>
  <c r="AU312" i="1"/>
  <c r="BI312" i="1"/>
  <c r="AU326" i="1"/>
  <c r="BI326" i="1"/>
  <c r="AU444" i="1"/>
  <c r="BI444" i="1"/>
  <c r="AT232" i="1"/>
  <c r="BI809" i="1"/>
  <c r="AU809" i="1"/>
  <c r="AU79" i="1"/>
  <c r="AU75" i="1"/>
  <c r="BI75" i="1"/>
  <c r="AU220" i="1"/>
  <c r="BI220" i="1"/>
  <c r="AU222" i="1"/>
  <c r="BI222" i="1"/>
  <c r="AU420" i="1"/>
  <c r="BI420" i="1"/>
  <c r="AT587" i="1"/>
  <c r="AT837" i="1"/>
  <c r="AU87" i="1"/>
  <c r="BI87" i="1"/>
  <c r="AU130" i="1"/>
  <c r="BI130" i="1"/>
  <c r="AU324" i="1"/>
  <c r="BI845" i="1"/>
  <c r="AU845" i="1"/>
  <c r="AT458" i="1"/>
  <c r="AT518" i="1"/>
  <c r="AT502" i="1"/>
  <c r="BI550" i="1"/>
  <c r="AU550" i="1"/>
  <c r="AT485" i="1"/>
  <c r="AT606" i="1"/>
  <c r="AT656" i="1"/>
  <c r="AT652" i="1"/>
  <c r="AT709" i="1"/>
  <c r="AT57" i="1"/>
  <c r="AT827" i="1"/>
  <c r="AT104" i="1"/>
  <c r="AT146" i="1"/>
  <c r="AT228" i="1"/>
  <c r="AU779" i="1"/>
  <c r="BI779" i="1"/>
  <c r="AU370" i="1"/>
  <c r="BI370" i="1"/>
  <c r="AT441" i="1"/>
  <c r="AU429" i="1"/>
  <c r="BI429" i="1"/>
  <c r="AT571" i="1"/>
  <c r="AT658" i="1"/>
  <c r="AT820" i="1"/>
  <c r="AT12" i="1"/>
  <c r="BI635" i="1"/>
  <c r="AU635" i="1"/>
  <c r="AT687" i="1"/>
  <c r="AT236" i="1"/>
  <c r="AU843" i="1"/>
  <c r="BI843" i="1"/>
  <c r="AT280" i="1"/>
  <c r="AT431" i="1"/>
  <c r="AT395" i="1"/>
  <c r="AT530" i="1"/>
  <c r="AT535" i="1"/>
  <c r="AU501" i="1"/>
  <c r="AT833" i="1"/>
  <c r="AT319" i="1"/>
  <c r="AT455" i="1"/>
  <c r="AT682" i="1"/>
  <c r="AT640" i="1"/>
  <c r="AD465" i="1"/>
  <c r="AB465" i="1"/>
  <c r="AE465" i="1"/>
  <c r="AC465" i="1"/>
  <c r="AE708" i="1"/>
  <c r="AB708" i="1"/>
  <c r="AC708" i="1"/>
  <c r="AD708" i="1"/>
  <c r="AD514" i="1"/>
  <c r="AE514" i="1"/>
  <c r="AB514" i="1"/>
  <c r="AC514" i="1"/>
  <c r="AE308" i="1"/>
  <c r="AD308" i="1"/>
  <c r="AB308" i="1"/>
  <c r="AC308" i="1"/>
  <c r="AC104" i="1"/>
  <c r="AB104" i="1"/>
  <c r="AD104" i="1"/>
  <c r="AE104" i="1"/>
  <c r="AE233" i="1"/>
  <c r="AB233" i="1"/>
  <c r="AD233" i="1"/>
  <c r="AC233" i="1"/>
  <c r="AD204" i="1"/>
  <c r="AC204" i="1"/>
  <c r="AE204" i="1"/>
  <c r="AB204" i="1"/>
  <c r="AB434" i="1"/>
  <c r="AC434" i="1"/>
  <c r="AE434" i="1"/>
  <c r="AD434" i="1"/>
  <c r="AE336" i="1"/>
  <c r="AB336" i="1"/>
  <c r="AC336" i="1"/>
  <c r="AD336" i="1"/>
  <c r="AC781" i="1"/>
  <c r="AD781" i="1"/>
  <c r="AE781" i="1"/>
  <c r="AB781" i="1"/>
  <c r="AD374" i="1"/>
  <c r="AE374" i="1"/>
  <c r="AC374" i="1"/>
  <c r="AB374" i="1"/>
  <c r="AE144" i="1"/>
  <c r="AB144" i="1"/>
  <c r="AD144" i="1"/>
  <c r="AC144" i="1"/>
  <c r="AD156" i="1"/>
  <c r="AC156" i="1"/>
  <c r="AE156" i="1"/>
  <c r="AB156" i="1"/>
  <c r="AC76" i="1"/>
  <c r="AE76" i="1"/>
  <c r="AB76" i="1"/>
  <c r="AD76" i="1"/>
  <c r="AB280" i="1"/>
  <c r="AC280" i="1"/>
  <c r="AE280" i="1"/>
  <c r="AD280" i="1"/>
  <c r="AD698" i="1"/>
  <c r="AE698" i="1"/>
  <c r="AC698" i="1"/>
  <c r="AB698" i="1"/>
  <c r="AE697" i="1"/>
  <c r="AB697" i="1"/>
  <c r="AD697" i="1"/>
  <c r="AC697" i="1"/>
  <c r="AB501" i="1"/>
  <c r="AC501" i="1"/>
  <c r="AE501" i="1"/>
  <c r="AD501" i="1"/>
  <c r="AB296" i="1"/>
  <c r="AE296" i="1"/>
  <c r="AC296" i="1"/>
  <c r="AD296" i="1"/>
  <c r="AC91" i="1"/>
  <c r="AE91" i="1"/>
  <c r="AB91" i="1"/>
  <c r="AD91" i="1"/>
  <c r="AD80" i="1"/>
  <c r="AB80" i="1"/>
  <c r="AC80" i="1"/>
  <c r="AE80" i="1"/>
  <c r="AD229" i="1"/>
  <c r="AE229" i="1"/>
  <c r="AB229" i="1"/>
  <c r="AC229" i="1"/>
  <c r="AB537" i="1"/>
  <c r="AD537" i="1"/>
  <c r="AC537" i="1"/>
  <c r="AE537" i="1"/>
  <c r="AD677" i="1"/>
  <c r="AB677" i="1"/>
  <c r="AE677" i="1"/>
  <c r="AC677" i="1"/>
  <c r="AB833" i="1"/>
  <c r="AD833" i="1"/>
  <c r="AE833" i="1"/>
  <c r="AC833" i="1"/>
  <c r="AB602" i="1"/>
  <c r="AD602" i="1"/>
  <c r="AC602" i="1"/>
  <c r="AE602" i="1"/>
  <c r="AE397" i="1"/>
  <c r="AC397" i="1"/>
  <c r="AD397" i="1"/>
  <c r="AB397" i="1"/>
  <c r="AD192" i="1"/>
  <c r="AB192" i="1"/>
  <c r="AC192" i="1"/>
  <c r="AE192" i="1"/>
  <c r="AC709" i="1"/>
  <c r="AD709" i="1"/>
  <c r="AE709" i="1"/>
  <c r="AB709" i="1"/>
  <c r="AC846" i="1"/>
  <c r="AB846" i="1"/>
  <c r="AE846" i="1"/>
  <c r="AD846" i="1"/>
  <c r="AE601" i="1"/>
  <c r="AB601" i="1"/>
  <c r="AD601" i="1"/>
  <c r="AC601" i="1"/>
  <c r="AC396" i="1"/>
  <c r="AD396" i="1"/>
  <c r="AE396" i="1"/>
  <c r="AB396" i="1"/>
  <c r="AE189" i="1"/>
  <c r="AC189" i="1"/>
  <c r="AD189" i="1"/>
  <c r="AB189" i="1"/>
  <c r="AD872" i="1"/>
  <c r="AE872" i="1"/>
  <c r="AC872" i="1"/>
  <c r="AB872" i="1"/>
  <c r="AE788" i="1"/>
  <c r="AC788" i="1"/>
  <c r="AB788" i="1"/>
  <c r="AD788" i="1"/>
  <c r="AB637" i="1"/>
  <c r="AD637" i="1"/>
  <c r="AC637" i="1"/>
  <c r="AE637" i="1"/>
  <c r="AD534" i="1"/>
  <c r="AB534" i="1"/>
  <c r="AE534" i="1"/>
  <c r="AC534" i="1"/>
  <c r="AD433" i="1"/>
  <c r="AB433" i="1"/>
  <c r="AE433" i="1"/>
  <c r="AC433" i="1"/>
  <c r="AD329" i="1"/>
  <c r="AB329" i="1"/>
  <c r="AE329" i="1"/>
  <c r="AC329" i="1"/>
  <c r="AD227" i="1"/>
  <c r="AB227" i="1"/>
  <c r="AE227" i="1"/>
  <c r="AC227" i="1"/>
  <c r="AD124" i="1"/>
  <c r="AC124" i="1"/>
  <c r="AE124" i="1"/>
  <c r="AB124" i="1"/>
  <c r="AB786" i="1"/>
  <c r="AC786" i="1"/>
  <c r="AD786" i="1"/>
  <c r="AE786" i="1"/>
  <c r="AB430" i="1"/>
  <c r="AE430" i="1"/>
  <c r="AC430" i="1"/>
  <c r="AD430" i="1"/>
  <c r="AC123" i="1"/>
  <c r="AE123" i="1"/>
  <c r="AB123" i="1"/>
  <c r="AD123" i="1"/>
  <c r="AC533" i="1"/>
  <c r="AD533" i="1"/>
  <c r="AB533" i="1"/>
  <c r="AE533" i="1"/>
  <c r="AD225" i="1"/>
  <c r="AB225" i="1"/>
  <c r="AE225" i="1"/>
  <c r="AC225" i="1"/>
  <c r="AE796" i="1"/>
  <c r="AB796" i="1"/>
  <c r="AC796" i="1"/>
  <c r="AD796" i="1"/>
  <c r="AC582" i="1"/>
  <c r="AD582" i="1"/>
  <c r="AB582" i="1"/>
  <c r="AE582" i="1"/>
  <c r="AD481" i="1"/>
  <c r="AB481" i="1"/>
  <c r="AE481" i="1"/>
  <c r="AC481" i="1"/>
  <c r="AC378" i="1"/>
  <c r="AD378" i="1"/>
  <c r="AE378" i="1"/>
  <c r="AB378" i="1"/>
  <c r="AE275" i="1"/>
  <c r="AC275" i="1"/>
  <c r="AB275" i="1"/>
  <c r="AD275" i="1"/>
  <c r="AD172" i="1"/>
  <c r="AE172" i="1"/>
  <c r="AB172" i="1"/>
  <c r="AC172" i="1"/>
  <c r="AB69" i="1"/>
  <c r="AC69" i="1"/>
  <c r="AD69" i="1"/>
  <c r="AE69" i="1"/>
  <c r="AD585" i="1"/>
  <c r="AC585" i="1"/>
  <c r="AE585" i="1"/>
  <c r="AB585" i="1"/>
  <c r="AC289" i="1"/>
  <c r="AE289" i="1"/>
  <c r="AD289" i="1"/>
  <c r="AB289" i="1"/>
  <c r="AD849" i="1"/>
  <c r="AC849" i="1"/>
  <c r="AB849" i="1"/>
  <c r="AE849" i="1"/>
  <c r="AD868" i="1"/>
  <c r="AE868" i="1"/>
  <c r="AC868" i="1"/>
  <c r="AB868" i="1"/>
  <c r="AB784" i="1"/>
  <c r="AC784" i="1"/>
  <c r="AE784" i="1"/>
  <c r="AD784" i="1"/>
  <c r="AC633" i="1"/>
  <c r="AB633" i="1"/>
  <c r="AD633" i="1"/>
  <c r="AE633" i="1"/>
  <c r="AE530" i="1"/>
  <c r="AC530" i="1"/>
  <c r="AD530" i="1"/>
  <c r="AB530" i="1"/>
  <c r="AC428" i="1"/>
  <c r="AD428" i="1"/>
  <c r="AE428" i="1"/>
  <c r="AB428" i="1"/>
  <c r="AC324" i="1"/>
  <c r="AD324" i="1"/>
  <c r="AB324" i="1"/>
  <c r="AE324" i="1"/>
  <c r="AE221" i="1"/>
  <c r="AC221" i="1"/>
  <c r="AD221" i="1"/>
  <c r="AB221" i="1"/>
  <c r="AE120" i="1"/>
  <c r="AC120" i="1"/>
  <c r="AD120" i="1"/>
  <c r="AB120" i="1"/>
  <c r="AB648" i="1"/>
  <c r="AD648" i="1"/>
  <c r="AC648" i="1"/>
  <c r="AE648" i="1"/>
  <c r="AB520" i="1"/>
  <c r="AC520" i="1"/>
  <c r="AD520" i="1"/>
  <c r="AE520" i="1"/>
  <c r="AC384" i="1"/>
  <c r="AD384" i="1"/>
  <c r="AE384" i="1"/>
  <c r="AB384" i="1"/>
  <c r="AD247" i="1"/>
  <c r="AE247" i="1"/>
  <c r="AC247" i="1"/>
  <c r="AB247" i="1"/>
  <c r="AC119" i="1"/>
  <c r="AE119" i="1"/>
  <c r="AB119" i="1"/>
  <c r="AD119" i="1"/>
  <c r="AC608" i="1"/>
  <c r="AE608" i="1"/>
  <c r="AB608" i="1"/>
  <c r="AD608" i="1"/>
  <c r="AE480" i="1"/>
  <c r="AC480" i="1"/>
  <c r="AD480" i="1"/>
  <c r="AB480" i="1"/>
  <c r="AD360" i="1"/>
  <c r="AB360" i="1"/>
  <c r="AE360" i="1"/>
  <c r="AC360" i="1"/>
  <c r="AD239" i="1"/>
  <c r="AC239" i="1"/>
  <c r="AB239" i="1"/>
  <c r="AE239" i="1"/>
  <c r="AD111" i="1"/>
  <c r="AE111" i="1"/>
  <c r="AB111" i="1"/>
  <c r="AC111" i="1"/>
  <c r="AD871" i="1"/>
  <c r="AB871" i="1"/>
  <c r="AE871" i="1"/>
  <c r="AC871" i="1"/>
  <c r="AE799" i="1"/>
  <c r="AB799" i="1"/>
  <c r="AD799" i="1"/>
  <c r="AC799" i="1"/>
  <c r="AC663" i="1"/>
  <c r="AD663" i="1"/>
  <c r="AB663" i="1"/>
  <c r="AE663" i="1"/>
  <c r="AB599" i="1"/>
  <c r="AE599" i="1"/>
  <c r="AC599" i="1"/>
  <c r="AD599" i="1"/>
  <c r="AD535" i="1"/>
  <c r="AE535" i="1"/>
  <c r="AC535" i="1"/>
  <c r="AB535" i="1"/>
  <c r="AD471" i="1"/>
  <c r="AB471" i="1"/>
  <c r="AC471" i="1"/>
  <c r="AE471" i="1"/>
  <c r="AD407" i="1"/>
  <c r="AB407" i="1"/>
  <c r="AC407" i="1"/>
  <c r="AE407" i="1"/>
  <c r="AE343" i="1"/>
  <c r="AD343" i="1"/>
  <c r="AC343" i="1"/>
  <c r="AB343" i="1"/>
  <c r="AD278" i="1"/>
  <c r="AB278" i="1"/>
  <c r="AE278" i="1"/>
  <c r="AC278" i="1"/>
  <c r="AC214" i="1"/>
  <c r="AE214" i="1"/>
  <c r="AD214" i="1"/>
  <c r="AB214" i="1"/>
  <c r="AC150" i="1"/>
  <c r="AB150" i="1"/>
  <c r="AE150" i="1"/>
  <c r="AD150" i="1"/>
  <c r="AE86" i="1"/>
  <c r="AD86" i="1"/>
  <c r="AC86" i="1"/>
  <c r="AB86" i="1"/>
  <c r="AE22" i="1"/>
  <c r="AD22" i="1"/>
  <c r="AC22" i="1"/>
  <c r="AB22" i="1"/>
  <c r="AC811" i="1"/>
  <c r="AD811" i="1"/>
  <c r="AE811" i="1"/>
  <c r="AB811" i="1"/>
  <c r="AE683" i="1"/>
  <c r="AD683" i="1"/>
  <c r="AB683" i="1"/>
  <c r="AC683" i="1"/>
  <c r="AD619" i="1"/>
  <c r="AB619" i="1"/>
  <c r="AC619" i="1"/>
  <c r="AE619" i="1"/>
  <c r="AC555" i="1"/>
  <c r="AD555" i="1"/>
  <c r="AE555" i="1"/>
  <c r="AB555" i="1"/>
  <c r="AC491" i="1"/>
  <c r="AE491" i="1"/>
  <c r="AD491" i="1"/>
  <c r="AB491" i="1"/>
  <c r="AE427" i="1"/>
  <c r="AB427" i="1"/>
  <c r="AC427" i="1"/>
  <c r="AD427" i="1"/>
  <c r="AB363" i="1"/>
  <c r="AD363" i="1"/>
  <c r="AC363" i="1"/>
  <c r="AE363" i="1"/>
  <c r="AE298" i="1"/>
  <c r="AB298" i="1"/>
  <c r="AC298" i="1"/>
  <c r="AD298" i="1"/>
  <c r="AD234" i="1"/>
  <c r="AB234" i="1"/>
  <c r="AC234" i="1"/>
  <c r="AE234" i="1"/>
  <c r="AB170" i="1"/>
  <c r="AC170" i="1"/>
  <c r="AD170" i="1"/>
  <c r="AE170" i="1"/>
  <c r="AE106" i="1"/>
  <c r="AC106" i="1"/>
  <c r="AD106" i="1"/>
  <c r="AB106" i="1"/>
  <c r="AC42" i="1"/>
  <c r="AE42" i="1"/>
  <c r="AB42" i="1"/>
  <c r="AD42" i="1"/>
  <c r="AT369" i="1"/>
  <c r="AT345" i="1"/>
  <c r="AT342" i="1"/>
  <c r="AT16" i="1"/>
  <c r="AT874" i="1"/>
  <c r="AT105" i="1"/>
  <c r="AT165" i="1"/>
  <c r="AT243" i="1"/>
  <c r="AT306" i="1"/>
  <c r="AU310" i="1"/>
  <c r="BI310" i="1"/>
  <c r="AT443" i="1"/>
  <c r="AT404" i="1"/>
  <c r="AT858" i="1"/>
  <c r="AU490" i="1"/>
  <c r="BI490" i="1"/>
  <c r="AT528" i="1"/>
  <c r="AT562" i="1"/>
  <c r="AT695" i="1"/>
  <c r="AT13" i="1"/>
  <c r="AT844" i="1"/>
  <c r="AU298" i="1"/>
  <c r="BI298" i="1"/>
  <c r="AT865" i="1"/>
  <c r="AT665" i="1"/>
  <c r="AT106" i="1"/>
  <c r="AT866" i="1"/>
  <c r="AT627" i="1"/>
  <c r="AT620" i="1"/>
  <c r="AT180" i="1"/>
  <c r="AT166" i="1"/>
  <c r="AT401" i="1"/>
  <c r="AT408" i="1"/>
  <c r="AT690" i="1"/>
  <c r="AT170" i="1"/>
  <c r="AU329" i="1"/>
  <c r="BI329" i="1"/>
  <c r="AU789" i="1"/>
  <c r="BI789" i="1"/>
  <c r="AT439" i="1"/>
  <c r="AU384" i="1"/>
  <c r="BI384" i="1"/>
  <c r="AU854" i="1"/>
  <c r="BI854" i="1"/>
  <c r="BI799" i="1"/>
  <c r="AU799" i="1"/>
  <c r="BI226" i="1"/>
  <c r="AU226" i="1"/>
  <c r="AT479" i="1"/>
  <c r="AU622" i="1"/>
  <c r="BI622" i="1"/>
  <c r="AU81" i="1"/>
  <c r="BI81" i="1"/>
  <c r="AU86" i="1"/>
  <c r="BI86" i="1"/>
  <c r="AU245" i="1"/>
  <c r="BI245" i="1"/>
  <c r="AU376" i="1"/>
  <c r="BI376" i="1"/>
  <c r="AU350" i="1"/>
  <c r="BI350" i="1"/>
  <c r="AU538" i="1"/>
  <c r="BI538" i="1"/>
  <c r="AT598" i="1"/>
  <c r="AT680" i="1"/>
  <c r="AT257" i="1"/>
  <c r="AU73" i="1"/>
  <c r="BI73" i="1"/>
  <c r="AT122" i="1"/>
  <c r="AT311" i="1"/>
  <c r="AU373" i="1"/>
  <c r="BI373" i="1"/>
  <c r="AU494" i="1"/>
  <c r="BI494" i="1"/>
  <c r="AT542" i="1"/>
  <c r="AU496" i="1"/>
  <c r="BI496" i="1"/>
  <c r="AT674" i="1"/>
  <c r="AU628" i="1"/>
  <c r="AU99" i="1"/>
  <c r="BI99" i="1"/>
  <c r="AT150" i="1"/>
  <c r="AU293" i="1"/>
  <c r="BI293" i="1"/>
  <c r="AU327" i="1"/>
  <c r="BI327" i="1"/>
  <c r="AU413" i="1"/>
  <c r="BI413" i="1"/>
  <c r="AU797" i="1"/>
  <c r="BI797" i="1"/>
  <c r="AU600" i="1"/>
  <c r="BI600" i="1"/>
  <c r="AU580" i="1"/>
  <c r="BI580" i="1"/>
  <c r="AU708" i="1"/>
  <c r="BI708" i="1"/>
  <c r="AU875" i="1"/>
  <c r="BI875" i="1"/>
  <c r="AU34" i="1"/>
  <c r="BI34" i="1"/>
  <c r="AT619" i="1"/>
  <c r="AU679" i="1"/>
  <c r="BI679" i="1"/>
  <c r="AT841" i="1"/>
  <c r="AT315" i="1"/>
  <c r="AT486" i="1"/>
  <c r="AT70" i="1"/>
  <c r="AT482" i="1"/>
  <c r="AT825" i="1"/>
  <c r="AU200" i="1"/>
  <c r="AT284" i="1"/>
  <c r="AT272" i="1"/>
  <c r="AT389" i="1"/>
  <c r="AT653" i="1"/>
  <c r="AB309" i="1"/>
  <c r="AD309" i="1"/>
  <c r="AE309" i="1"/>
  <c r="AC309" i="1"/>
  <c r="AB686" i="1"/>
  <c r="AE686" i="1"/>
  <c r="AD686" i="1"/>
  <c r="AC686" i="1"/>
  <c r="AE489" i="1"/>
  <c r="AC489" i="1"/>
  <c r="AB489" i="1"/>
  <c r="AD489" i="1"/>
  <c r="AC283" i="1"/>
  <c r="AD283" i="1"/>
  <c r="AE283" i="1"/>
  <c r="AB283" i="1"/>
  <c r="AD77" i="1"/>
  <c r="AC77" i="1"/>
  <c r="AB77" i="1"/>
  <c r="AE77" i="1"/>
  <c r="AC105" i="1"/>
  <c r="AD105" i="1"/>
  <c r="AB105" i="1"/>
  <c r="AE105" i="1"/>
  <c r="AB153" i="1"/>
  <c r="AD153" i="1"/>
  <c r="AC153" i="1"/>
  <c r="AE153" i="1"/>
  <c r="AD357" i="1"/>
  <c r="AE357" i="1"/>
  <c r="AC357" i="1"/>
  <c r="AB357" i="1"/>
  <c r="AE181" i="1"/>
  <c r="AC181" i="1"/>
  <c r="AD181" i="1"/>
  <c r="AB181" i="1"/>
  <c r="AE656" i="1"/>
  <c r="AC656" i="1"/>
  <c r="AB656" i="1"/>
  <c r="AD656" i="1"/>
  <c r="AD349" i="1"/>
  <c r="AB349" i="1"/>
  <c r="AC349" i="1"/>
  <c r="AE349" i="1"/>
  <c r="AB117" i="1"/>
  <c r="AE117" i="1"/>
  <c r="AD117" i="1"/>
  <c r="AC117" i="1"/>
  <c r="AE874" i="1"/>
  <c r="AD874" i="1"/>
  <c r="AC874" i="1"/>
  <c r="AB874" i="1"/>
  <c r="AC873" i="1"/>
  <c r="AB873" i="1"/>
  <c r="AE873" i="1"/>
  <c r="AD873" i="1"/>
  <c r="AE253" i="1"/>
  <c r="AD253" i="1"/>
  <c r="AB253" i="1"/>
  <c r="AC253" i="1"/>
  <c r="AD19" i="1"/>
  <c r="AB19" i="1"/>
  <c r="AE19" i="1"/>
  <c r="AC19" i="1"/>
  <c r="AD676" i="1"/>
  <c r="AE676" i="1"/>
  <c r="AB676" i="1"/>
  <c r="AC676" i="1"/>
  <c r="AD476" i="1"/>
  <c r="AB476" i="1"/>
  <c r="AE476" i="1"/>
  <c r="AC476" i="1"/>
  <c r="AE269" i="1"/>
  <c r="AD269" i="1"/>
  <c r="AB269" i="1"/>
  <c r="AC269" i="1"/>
  <c r="AE65" i="1"/>
  <c r="AB65" i="1"/>
  <c r="AD65" i="1"/>
  <c r="AC65" i="1"/>
  <c r="AC842" i="1"/>
  <c r="AB842" i="1"/>
  <c r="AD842" i="1"/>
  <c r="AE842" i="1"/>
  <c r="AB179" i="1"/>
  <c r="AD179" i="1"/>
  <c r="AC179" i="1"/>
  <c r="AE179" i="1"/>
  <c r="AC460" i="1"/>
  <c r="AD460" i="1"/>
  <c r="AE460" i="1"/>
  <c r="AB460" i="1"/>
  <c r="AC630" i="1"/>
  <c r="AE630" i="1"/>
  <c r="AB630" i="1"/>
  <c r="AD630" i="1"/>
  <c r="AD814" i="1"/>
  <c r="AE814" i="1"/>
  <c r="AB814" i="1"/>
  <c r="AC814" i="1"/>
  <c r="AD577" i="1"/>
  <c r="AB577" i="1"/>
  <c r="AE577" i="1"/>
  <c r="AC577" i="1"/>
  <c r="AC372" i="1"/>
  <c r="AB372" i="1"/>
  <c r="AD372" i="1"/>
  <c r="AE372" i="1"/>
  <c r="AC165" i="1"/>
  <c r="AE165" i="1"/>
  <c r="AB165" i="1"/>
  <c r="AD165" i="1"/>
  <c r="AC541" i="1"/>
  <c r="AD541" i="1"/>
  <c r="AB541" i="1"/>
  <c r="AE541" i="1"/>
  <c r="AD832" i="1"/>
  <c r="AB832" i="1"/>
  <c r="AE832" i="1"/>
  <c r="AC832" i="1"/>
  <c r="AD574" i="1"/>
  <c r="AC574" i="1"/>
  <c r="AE574" i="1"/>
  <c r="AB574" i="1"/>
  <c r="AE370" i="1"/>
  <c r="AD370" i="1"/>
  <c r="AC370" i="1"/>
  <c r="AB370" i="1"/>
  <c r="AD164" i="1"/>
  <c r="AE164" i="1"/>
  <c r="AB164" i="1"/>
  <c r="AC164" i="1"/>
  <c r="AD861" i="1"/>
  <c r="AB861" i="1"/>
  <c r="AC861" i="1"/>
  <c r="AE861" i="1"/>
  <c r="AE777" i="1"/>
  <c r="AC777" i="1"/>
  <c r="AB777" i="1"/>
  <c r="AD777" i="1"/>
  <c r="AC625" i="1"/>
  <c r="AB625" i="1"/>
  <c r="AD625" i="1"/>
  <c r="AE625" i="1"/>
  <c r="AB522" i="1"/>
  <c r="AD522" i="1"/>
  <c r="AC522" i="1"/>
  <c r="AE522" i="1"/>
  <c r="AD420" i="1"/>
  <c r="AE420" i="1"/>
  <c r="AB420" i="1"/>
  <c r="AC420" i="1"/>
  <c r="AC316" i="1"/>
  <c r="AD316" i="1"/>
  <c r="AE316" i="1"/>
  <c r="AB316" i="1"/>
  <c r="AE213" i="1"/>
  <c r="AC213" i="1"/>
  <c r="AD213" i="1"/>
  <c r="AB213" i="1"/>
  <c r="AE112" i="1"/>
  <c r="AD112" i="1"/>
  <c r="AB112" i="1"/>
  <c r="AC112" i="1"/>
  <c r="AC702" i="1"/>
  <c r="AB702" i="1"/>
  <c r="AD702" i="1"/>
  <c r="AE702" i="1"/>
  <c r="AE393" i="1"/>
  <c r="AC393" i="1"/>
  <c r="AB393" i="1"/>
  <c r="AD393" i="1"/>
  <c r="AD84" i="1"/>
  <c r="AE84" i="1"/>
  <c r="AB84" i="1"/>
  <c r="AC84" i="1"/>
  <c r="AC494" i="1"/>
  <c r="AB494" i="1"/>
  <c r="AE494" i="1"/>
  <c r="AD494" i="1"/>
  <c r="AB187" i="1"/>
  <c r="AC187" i="1"/>
  <c r="AE187" i="1"/>
  <c r="AD187" i="1"/>
  <c r="AE701" i="1"/>
  <c r="AB701" i="1"/>
  <c r="AC701" i="1"/>
  <c r="AD701" i="1"/>
  <c r="AD570" i="1"/>
  <c r="AB570" i="1"/>
  <c r="AC570" i="1"/>
  <c r="AE570" i="1"/>
  <c r="AE468" i="1"/>
  <c r="AC468" i="1"/>
  <c r="AD468" i="1"/>
  <c r="AB468" i="1"/>
  <c r="AB365" i="1"/>
  <c r="AE365" i="1"/>
  <c r="AD365" i="1"/>
  <c r="AC365" i="1"/>
  <c r="AE261" i="1"/>
  <c r="AD261" i="1"/>
  <c r="AB261" i="1"/>
  <c r="AC261" i="1"/>
  <c r="AB160" i="1"/>
  <c r="AD160" i="1"/>
  <c r="AC160" i="1"/>
  <c r="AE160" i="1"/>
  <c r="AE57" i="1"/>
  <c r="AD57" i="1"/>
  <c r="AB57" i="1"/>
  <c r="AC57" i="1"/>
  <c r="AD546" i="1"/>
  <c r="AE546" i="1"/>
  <c r="AB546" i="1"/>
  <c r="AC546" i="1"/>
  <c r="AC251" i="1"/>
  <c r="AB251" i="1"/>
  <c r="AE251" i="1"/>
  <c r="AD251" i="1"/>
  <c r="AB827" i="1"/>
  <c r="AC827" i="1"/>
  <c r="AD827" i="1"/>
  <c r="AE827" i="1"/>
  <c r="AD857" i="1"/>
  <c r="AC857" i="1"/>
  <c r="AE857" i="1"/>
  <c r="AB857" i="1"/>
  <c r="AD774" i="1"/>
  <c r="AB774" i="1"/>
  <c r="AC774" i="1"/>
  <c r="AE774" i="1"/>
  <c r="AC620" i="1"/>
  <c r="AD620" i="1"/>
  <c r="AE620" i="1"/>
  <c r="AB620" i="1"/>
  <c r="AD517" i="1"/>
  <c r="AE517" i="1"/>
  <c r="AC517" i="1"/>
  <c r="AB517" i="1"/>
  <c r="AD414" i="1"/>
  <c r="AB414" i="1"/>
  <c r="AC414" i="1"/>
  <c r="AE414" i="1"/>
  <c r="AB312" i="1"/>
  <c r="AE312" i="1"/>
  <c r="AC312" i="1"/>
  <c r="AD312" i="1"/>
  <c r="AC209" i="1"/>
  <c r="AE209" i="1"/>
  <c r="AD209" i="1"/>
  <c r="AB209" i="1"/>
  <c r="AB107" i="1"/>
  <c r="AC107" i="1"/>
  <c r="AE107" i="1"/>
  <c r="AD107" i="1"/>
  <c r="AC632" i="1"/>
  <c r="AB632" i="1"/>
  <c r="AE632" i="1"/>
  <c r="AD632" i="1"/>
  <c r="AB504" i="1"/>
  <c r="AD504" i="1"/>
  <c r="AC504" i="1"/>
  <c r="AE504" i="1"/>
  <c r="AE368" i="1"/>
  <c r="AC368" i="1"/>
  <c r="AB368" i="1"/>
  <c r="AD368" i="1"/>
  <c r="AC231" i="1"/>
  <c r="AD231" i="1"/>
  <c r="AE231" i="1"/>
  <c r="AB231" i="1"/>
  <c r="AB103" i="1"/>
  <c r="AE103" i="1"/>
  <c r="AC103" i="1"/>
  <c r="AD103" i="1"/>
  <c r="AE592" i="1"/>
  <c r="AC592" i="1"/>
  <c r="AB592" i="1"/>
  <c r="AD592" i="1"/>
  <c r="AB472" i="1"/>
  <c r="AC472" i="1"/>
  <c r="AD472" i="1"/>
  <c r="AE472" i="1"/>
  <c r="AB344" i="1"/>
  <c r="AC344" i="1"/>
  <c r="AD344" i="1"/>
  <c r="AE344" i="1"/>
  <c r="AC223" i="1"/>
  <c r="AE223" i="1"/>
  <c r="AB223" i="1"/>
  <c r="AD223" i="1"/>
  <c r="AE95" i="1"/>
  <c r="AB95" i="1"/>
  <c r="AD95" i="1"/>
  <c r="AC95" i="1"/>
  <c r="AE863" i="1"/>
  <c r="AC863" i="1"/>
  <c r="AB863" i="1"/>
  <c r="AD863" i="1"/>
  <c r="AE791" i="1"/>
  <c r="AB791" i="1"/>
  <c r="AC791" i="1"/>
  <c r="AD791" i="1"/>
  <c r="AE655" i="1"/>
  <c r="AB655" i="1"/>
  <c r="AC655" i="1"/>
  <c r="AD655" i="1"/>
  <c r="AB591" i="1"/>
  <c r="AC591" i="1"/>
  <c r="AD591" i="1"/>
  <c r="AE591" i="1"/>
  <c r="AD527" i="1"/>
  <c r="AE527" i="1"/>
  <c r="AB527" i="1"/>
  <c r="AC527" i="1"/>
  <c r="AB463" i="1"/>
  <c r="AD463" i="1"/>
  <c r="AC463" i="1"/>
  <c r="AE463" i="1"/>
  <c r="AD399" i="1"/>
  <c r="AC399" i="1"/>
  <c r="AE399" i="1"/>
  <c r="AB399" i="1"/>
  <c r="AC334" i="1"/>
  <c r="AD334" i="1"/>
  <c r="AE334" i="1"/>
  <c r="AB334" i="1"/>
  <c r="AB270" i="1"/>
  <c r="AC270" i="1"/>
  <c r="AD270" i="1"/>
  <c r="AE270" i="1"/>
  <c r="AB206" i="1"/>
  <c r="AC206" i="1"/>
  <c r="AD206" i="1"/>
  <c r="AE206" i="1"/>
  <c r="AE142" i="1"/>
  <c r="AD142" i="1"/>
  <c r="AB142" i="1"/>
  <c r="AC142" i="1"/>
  <c r="AE78" i="1"/>
  <c r="AC78" i="1"/>
  <c r="AD78" i="1"/>
  <c r="AB78" i="1"/>
  <c r="AD867" i="1"/>
  <c r="AB867" i="1"/>
  <c r="AC867" i="1"/>
  <c r="AE867" i="1"/>
  <c r="AC803" i="1"/>
  <c r="AE803" i="1"/>
  <c r="AD803" i="1"/>
  <c r="AB803" i="1"/>
  <c r="AC675" i="1"/>
  <c r="AD675" i="1"/>
  <c r="AE675" i="1"/>
  <c r="AB675" i="1"/>
  <c r="AD611" i="1"/>
  <c r="AC611" i="1"/>
  <c r="AE611" i="1"/>
  <c r="AB611" i="1"/>
  <c r="AC547" i="1"/>
  <c r="AE547" i="1"/>
  <c r="AB547" i="1"/>
  <c r="AD547" i="1"/>
  <c r="AE483" i="1"/>
  <c r="AB483" i="1"/>
  <c r="AC483" i="1"/>
  <c r="AD483" i="1"/>
  <c r="AB419" i="1"/>
  <c r="AC419" i="1"/>
  <c r="AD419" i="1"/>
  <c r="AE419" i="1"/>
  <c r="AC355" i="1"/>
  <c r="AB355" i="1"/>
  <c r="AE355" i="1"/>
  <c r="AD355" i="1"/>
  <c r="AC290" i="1"/>
  <c r="AD290" i="1"/>
  <c r="AE290" i="1"/>
  <c r="AB290" i="1"/>
  <c r="AE226" i="1"/>
  <c r="AC226" i="1"/>
  <c r="AD226" i="1"/>
  <c r="AB226" i="1"/>
  <c r="AD162" i="1"/>
  <c r="AE162" i="1"/>
  <c r="AB162" i="1"/>
  <c r="AC162" i="1"/>
  <c r="AB98" i="1"/>
  <c r="AD98" i="1"/>
  <c r="AC98" i="1"/>
  <c r="AE98" i="1"/>
  <c r="AD34" i="1"/>
  <c r="AB34" i="1"/>
  <c r="AC34" i="1"/>
  <c r="AE34" i="1"/>
  <c r="AU379" i="1"/>
  <c r="BI379" i="1"/>
  <c r="AT15" i="1"/>
  <c r="AU822" i="1"/>
  <c r="BI822" i="1"/>
  <c r="AT50" i="1"/>
  <c r="AT132" i="1"/>
  <c r="AT830" i="1"/>
  <c r="AT157" i="1"/>
  <c r="AU285" i="1"/>
  <c r="BI285" i="1"/>
  <c r="AT302" i="1"/>
  <c r="AT552" i="1"/>
  <c r="AT505" i="1"/>
  <c r="AT637" i="1"/>
  <c r="AT630" i="1"/>
  <c r="AT701" i="1"/>
  <c r="AT476" i="1"/>
  <c r="AT38" i="1"/>
  <c r="AT784" i="1"/>
  <c r="AT144" i="1"/>
  <c r="AT597" i="1"/>
  <c r="AT686" i="1"/>
  <c r="AT612" i="1"/>
  <c r="AT164" i="1"/>
  <c r="AT446" i="1"/>
  <c r="AT817" i="1"/>
  <c r="AT702" i="1"/>
  <c r="AE11" i="1"/>
  <c r="AU823" i="1"/>
  <c r="BI823" i="1"/>
  <c r="AU162" i="1"/>
  <c r="BI162" i="1"/>
  <c r="AU786" i="1"/>
  <c r="BI786" i="1"/>
  <c r="AU853" i="1"/>
  <c r="BI853" i="1"/>
  <c r="BI466" i="1"/>
  <c r="AU469" i="1"/>
  <c r="BI469" i="1"/>
  <c r="AU89" i="1"/>
  <c r="BI89" i="1"/>
  <c r="AT248" i="1"/>
  <c r="AU388" i="1"/>
  <c r="BI388" i="1"/>
  <c r="BI860" i="1"/>
  <c r="AU860" i="1"/>
  <c r="AU514" i="1"/>
  <c r="BI514" i="1"/>
  <c r="AU594" i="1"/>
  <c r="BI594" i="1"/>
  <c r="AT41" i="1"/>
  <c r="AU94" i="1"/>
  <c r="AT511" i="1"/>
  <c r="AU537" i="1"/>
  <c r="AU862" i="1"/>
  <c r="BI862" i="1"/>
  <c r="BI663" i="1"/>
  <c r="AT840" i="1"/>
  <c r="AU448" i="1"/>
  <c r="BI448" i="1"/>
  <c r="AT529" i="1"/>
  <c r="AT576" i="1"/>
  <c r="AU582" i="1"/>
  <c r="BI582" i="1"/>
  <c r="AT670" i="1"/>
  <c r="AU706" i="1"/>
  <c r="BI706" i="1"/>
  <c r="AT818" i="1"/>
  <c r="AU92" i="1"/>
  <c r="AT671" i="1"/>
  <c r="BI191" i="1"/>
  <c r="AT307" i="1"/>
  <c r="AT399" i="1"/>
  <c r="AT495" i="1"/>
  <c r="AT512" i="1"/>
  <c r="AT504" i="1"/>
  <c r="AT111" i="1"/>
  <c r="AT203" i="1"/>
  <c r="AT308" i="1"/>
  <c r="AU323" i="1"/>
  <c r="BI323" i="1"/>
  <c r="AT624" i="1"/>
  <c r="AE131" i="1"/>
  <c r="AB131" i="1"/>
  <c r="AC131" i="1"/>
  <c r="AD131" i="1"/>
  <c r="AB665" i="1"/>
  <c r="AC665" i="1"/>
  <c r="AD665" i="1"/>
  <c r="AE665" i="1"/>
  <c r="AB462" i="1"/>
  <c r="AD462" i="1"/>
  <c r="AE462" i="1"/>
  <c r="AC462" i="1"/>
  <c r="AC257" i="1"/>
  <c r="AE257" i="1"/>
  <c r="AD257" i="1"/>
  <c r="AB257" i="1"/>
  <c r="AD52" i="1"/>
  <c r="AB52" i="1"/>
  <c r="AE52" i="1"/>
  <c r="AC52" i="1"/>
  <c r="AE706" i="1"/>
  <c r="AC706" i="1"/>
  <c r="AD706" i="1"/>
  <c r="AB706" i="1"/>
  <c r="AD101" i="1"/>
  <c r="AE101" i="1"/>
  <c r="AB101" i="1"/>
  <c r="AC101" i="1"/>
  <c r="AC305" i="1"/>
  <c r="AE305" i="1"/>
  <c r="AD305" i="1"/>
  <c r="AB305" i="1"/>
  <c r="AC53" i="1"/>
  <c r="AB53" i="1"/>
  <c r="AE53" i="1"/>
  <c r="AD53" i="1"/>
  <c r="AE605" i="1"/>
  <c r="AC605" i="1"/>
  <c r="AD605" i="1"/>
  <c r="AB605" i="1"/>
  <c r="AC323" i="1"/>
  <c r="AE323" i="1"/>
  <c r="AB323" i="1"/>
  <c r="AD323" i="1"/>
  <c r="AC92" i="1"/>
  <c r="AB92" i="1"/>
  <c r="AE92" i="1"/>
  <c r="AD92" i="1"/>
  <c r="AC789" i="1"/>
  <c r="AD789" i="1"/>
  <c r="AE789" i="1"/>
  <c r="AB789" i="1"/>
  <c r="AD804" i="1"/>
  <c r="AE804" i="1"/>
  <c r="AB804" i="1"/>
  <c r="AC804" i="1"/>
  <c r="AE203" i="1"/>
  <c r="AD203" i="1"/>
  <c r="AB203" i="1"/>
  <c r="AC203" i="1"/>
  <c r="AC866" i="1"/>
  <c r="AB866" i="1"/>
  <c r="AD866" i="1"/>
  <c r="AE866" i="1"/>
  <c r="AE654" i="1"/>
  <c r="AC654" i="1"/>
  <c r="AD654" i="1"/>
  <c r="AB654" i="1"/>
  <c r="AB450" i="1"/>
  <c r="AC450" i="1"/>
  <c r="AE450" i="1"/>
  <c r="AD450" i="1"/>
  <c r="AB244" i="1"/>
  <c r="AD244" i="1"/>
  <c r="AC244" i="1"/>
  <c r="AE244" i="1"/>
  <c r="AC40" i="1"/>
  <c r="AE40" i="1"/>
  <c r="AB40" i="1"/>
  <c r="AD40" i="1"/>
  <c r="AD685" i="1"/>
  <c r="AC685" i="1"/>
  <c r="AE685" i="1"/>
  <c r="AB685" i="1"/>
  <c r="AE128" i="1"/>
  <c r="AD128" i="1"/>
  <c r="AC128" i="1"/>
  <c r="AB128" i="1"/>
  <c r="AE382" i="1"/>
  <c r="AD382" i="1"/>
  <c r="AB382" i="1"/>
  <c r="AC382" i="1"/>
  <c r="AE580" i="1"/>
  <c r="AC580" i="1"/>
  <c r="AB580" i="1"/>
  <c r="AD580" i="1"/>
  <c r="AC800" i="1"/>
  <c r="AD800" i="1"/>
  <c r="AE800" i="1"/>
  <c r="AB800" i="1"/>
  <c r="AB550" i="1"/>
  <c r="AD550" i="1"/>
  <c r="AE550" i="1"/>
  <c r="AC550" i="1"/>
  <c r="AE346" i="1"/>
  <c r="AB346" i="1"/>
  <c r="AC346" i="1"/>
  <c r="AD346" i="1"/>
  <c r="AB140" i="1"/>
  <c r="AD140" i="1"/>
  <c r="AE140" i="1"/>
  <c r="AC140" i="1"/>
  <c r="AB362" i="1"/>
  <c r="AD362" i="1"/>
  <c r="AE362" i="1"/>
  <c r="AC362" i="1"/>
  <c r="AB813" i="1"/>
  <c r="AE813" i="1"/>
  <c r="AC813" i="1"/>
  <c r="AD813" i="1"/>
  <c r="AE549" i="1"/>
  <c r="AB549" i="1"/>
  <c r="AD549" i="1"/>
  <c r="AC549" i="1"/>
  <c r="AD345" i="1"/>
  <c r="AB345" i="1"/>
  <c r="AE345" i="1"/>
  <c r="AC345" i="1"/>
  <c r="AC139" i="1"/>
  <c r="AB139" i="1"/>
  <c r="AD139" i="1"/>
  <c r="AE139" i="1"/>
  <c r="AD852" i="1"/>
  <c r="AB852" i="1"/>
  <c r="AC852" i="1"/>
  <c r="AE852" i="1"/>
  <c r="AC704" i="1"/>
  <c r="AD704" i="1"/>
  <c r="AE704" i="1"/>
  <c r="AB704" i="1"/>
  <c r="AD612" i="1"/>
  <c r="AC612" i="1"/>
  <c r="AE612" i="1"/>
  <c r="AB612" i="1"/>
  <c r="AD509" i="1"/>
  <c r="AE509" i="1"/>
  <c r="AC509" i="1"/>
  <c r="AB509" i="1"/>
  <c r="AD406" i="1"/>
  <c r="AE406" i="1"/>
  <c r="AB406" i="1"/>
  <c r="AC406" i="1"/>
  <c r="AE304" i="1"/>
  <c r="AB304" i="1"/>
  <c r="AC304" i="1"/>
  <c r="AD304" i="1"/>
  <c r="AE201" i="1"/>
  <c r="AC201" i="1"/>
  <c r="AB201" i="1"/>
  <c r="AD201" i="1"/>
  <c r="AC99" i="1"/>
  <c r="AB99" i="1"/>
  <c r="AE99" i="1"/>
  <c r="AD99" i="1"/>
  <c r="AB670" i="1"/>
  <c r="AD670" i="1"/>
  <c r="AE670" i="1"/>
  <c r="AC670" i="1"/>
  <c r="AE354" i="1"/>
  <c r="AB354" i="1"/>
  <c r="AC354" i="1"/>
  <c r="AD354" i="1"/>
  <c r="AC33" i="1"/>
  <c r="AD33" i="1"/>
  <c r="AB33" i="1"/>
  <c r="AE33" i="1"/>
  <c r="AD457" i="1"/>
  <c r="AB457" i="1"/>
  <c r="AE457" i="1"/>
  <c r="AC457" i="1"/>
  <c r="AD148" i="1"/>
  <c r="AC148" i="1"/>
  <c r="AE148" i="1"/>
  <c r="AB148" i="1"/>
  <c r="AE680" i="1"/>
  <c r="AC680" i="1"/>
  <c r="AD680" i="1"/>
  <c r="AB680" i="1"/>
  <c r="AC557" i="1"/>
  <c r="AD557" i="1"/>
  <c r="AE557" i="1"/>
  <c r="AB557" i="1"/>
  <c r="AB454" i="1"/>
  <c r="AD454" i="1"/>
  <c r="AE454" i="1"/>
  <c r="AC454" i="1"/>
  <c r="AD353" i="1"/>
  <c r="AB353" i="1"/>
  <c r="AE353" i="1"/>
  <c r="AC353" i="1"/>
  <c r="AC249" i="1"/>
  <c r="AE249" i="1"/>
  <c r="AD249" i="1"/>
  <c r="AB249" i="1"/>
  <c r="AE147" i="1"/>
  <c r="AB147" i="1"/>
  <c r="AC147" i="1"/>
  <c r="AD147" i="1"/>
  <c r="AC44" i="1"/>
  <c r="AE44" i="1"/>
  <c r="AD44" i="1"/>
  <c r="AB44" i="1"/>
  <c r="AD508" i="1"/>
  <c r="AB508" i="1"/>
  <c r="AC508" i="1"/>
  <c r="AE508" i="1"/>
  <c r="AE212" i="1"/>
  <c r="AB212" i="1"/>
  <c r="AC212" i="1"/>
  <c r="AD212" i="1"/>
  <c r="AC817" i="1"/>
  <c r="AD817" i="1"/>
  <c r="AE817" i="1"/>
  <c r="AB817" i="1"/>
  <c r="AD848" i="1"/>
  <c r="AE848" i="1"/>
  <c r="AB848" i="1"/>
  <c r="AC848" i="1"/>
  <c r="AB700" i="1"/>
  <c r="AE700" i="1"/>
  <c r="AC700" i="1"/>
  <c r="AD700" i="1"/>
  <c r="AD606" i="1"/>
  <c r="AC606" i="1"/>
  <c r="AE606" i="1"/>
  <c r="AB606" i="1"/>
  <c r="AD505" i="1"/>
  <c r="AB505" i="1"/>
  <c r="AE505" i="1"/>
  <c r="AC505" i="1"/>
  <c r="AC402" i="1"/>
  <c r="AD402" i="1"/>
  <c r="AE402" i="1"/>
  <c r="AB402" i="1"/>
  <c r="AD299" i="1"/>
  <c r="AB299" i="1"/>
  <c r="AE299" i="1"/>
  <c r="AC299" i="1"/>
  <c r="AC196" i="1"/>
  <c r="AE196" i="1"/>
  <c r="AB196" i="1"/>
  <c r="AD196" i="1"/>
  <c r="AE93" i="1"/>
  <c r="AD93" i="1"/>
  <c r="AC93" i="1"/>
  <c r="AB93" i="1"/>
  <c r="AC616" i="1"/>
  <c r="AD616" i="1"/>
  <c r="AB616" i="1"/>
  <c r="AE616" i="1"/>
  <c r="AE488" i="1"/>
  <c r="AB488" i="1"/>
  <c r="AD488" i="1"/>
  <c r="AC488" i="1"/>
  <c r="AE352" i="1"/>
  <c r="AC352" i="1"/>
  <c r="AD352" i="1"/>
  <c r="AB352" i="1"/>
  <c r="AC215" i="1"/>
  <c r="AD215" i="1"/>
  <c r="AB215" i="1"/>
  <c r="AE215" i="1"/>
  <c r="AD87" i="1"/>
  <c r="AC87" i="1"/>
  <c r="AE87" i="1"/>
  <c r="AB87" i="1"/>
  <c r="AD576" i="1"/>
  <c r="AE576" i="1"/>
  <c r="AB576" i="1"/>
  <c r="AC576" i="1"/>
  <c r="AB456" i="1"/>
  <c r="AD456" i="1"/>
  <c r="AC456" i="1"/>
  <c r="AE456" i="1"/>
  <c r="AE327" i="1"/>
  <c r="AC327" i="1"/>
  <c r="AB327" i="1"/>
  <c r="AD327" i="1"/>
  <c r="AD207" i="1"/>
  <c r="AC207" i="1"/>
  <c r="AE207" i="1"/>
  <c r="AB207" i="1"/>
  <c r="AD79" i="1"/>
  <c r="AB79" i="1"/>
  <c r="AE79" i="1"/>
  <c r="AC79" i="1"/>
  <c r="AE847" i="1"/>
  <c r="AC847" i="1"/>
  <c r="AB847" i="1"/>
  <c r="AD847" i="1"/>
  <c r="AE783" i="1"/>
  <c r="AC783" i="1"/>
  <c r="AB783" i="1"/>
  <c r="AD783" i="1"/>
  <c r="AB647" i="1"/>
  <c r="AE647" i="1"/>
  <c r="AD647" i="1"/>
  <c r="AC647" i="1"/>
  <c r="AB583" i="1"/>
  <c r="AD583" i="1"/>
  <c r="AC583" i="1"/>
  <c r="AE583" i="1"/>
  <c r="AD519" i="1"/>
  <c r="AE519" i="1"/>
  <c r="AB519" i="1"/>
  <c r="AC519" i="1"/>
  <c r="AB455" i="1"/>
  <c r="AE455" i="1"/>
  <c r="AC455" i="1"/>
  <c r="AD455" i="1"/>
  <c r="AD391" i="1"/>
  <c r="AB391" i="1"/>
  <c r="AE391" i="1"/>
  <c r="AC391" i="1"/>
  <c r="AD326" i="1"/>
  <c r="AE326" i="1"/>
  <c r="AB326" i="1"/>
  <c r="AC326" i="1"/>
  <c r="AD262" i="1"/>
  <c r="AE262" i="1"/>
  <c r="AB262" i="1"/>
  <c r="AC262" i="1"/>
  <c r="AB198" i="1"/>
  <c r="AC198" i="1"/>
  <c r="AD198" i="1"/>
  <c r="AE198" i="1"/>
  <c r="AD134" i="1"/>
  <c r="AE134" i="1"/>
  <c r="AC134" i="1"/>
  <c r="AB134" i="1"/>
  <c r="AE70" i="1"/>
  <c r="AC70" i="1"/>
  <c r="AB70" i="1"/>
  <c r="AD70" i="1"/>
  <c r="AC859" i="1"/>
  <c r="AE859" i="1"/>
  <c r="AB859" i="1"/>
  <c r="AD859" i="1"/>
  <c r="AE795" i="1"/>
  <c r="AD795" i="1"/>
  <c r="AB795" i="1"/>
  <c r="AC795" i="1"/>
  <c r="AE667" i="1"/>
  <c r="AC667" i="1"/>
  <c r="AD667" i="1"/>
  <c r="AB667" i="1"/>
  <c r="AB603" i="1"/>
  <c r="AC603" i="1"/>
  <c r="AE603" i="1"/>
  <c r="AD603" i="1"/>
  <c r="AD539" i="1"/>
  <c r="AB539" i="1"/>
  <c r="AC539" i="1"/>
  <c r="AE539" i="1"/>
  <c r="AB475" i="1"/>
  <c r="AD475" i="1"/>
  <c r="AC475" i="1"/>
  <c r="AE475" i="1"/>
  <c r="AC411" i="1"/>
  <c r="AE411" i="1"/>
  <c r="AD411" i="1"/>
  <c r="AB411" i="1"/>
  <c r="AC347" i="1"/>
  <c r="AE347" i="1"/>
  <c r="AB347" i="1"/>
  <c r="AD347" i="1"/>
  <c r="AE282" i="1"/>
  <c r="AB282" i="1"/>
  <c r="AC282" i="1"/>
  <c r="AD282" i="1"/>
  <c r="AC218" i="1"/>
  <c r="AD218" i="1"/>
  <c r="AE218" i="1"/>
  <c r="AB218" i="1"/>
  <c r="AB154" i="1"/>
  <c r="AC154" i="1"/>
  <c r="AD154" i="1"/>
  <c r="AE154" i="1"/>
  <c r="AC90" i="1"/>
  <c r="AE90" i="1"/>
  <c r="AB90" i="1"/>
  <c r="AD90" i="1"/>
  <c r="AB26" i="1"/>
  <c r="AD26" i="1"/>
  <c r="AE26" i="1"/>
  <c r="AC26" i="1"/>
  <c r="AT340" i="1"/>
  <c r="AT371" i="1"/>
  <c r="AT39" i="1"/>
  <c r="AT138" i="1"/>
  <c r="AT145" i="1"/>
  <c r="AT149" i="1"/>
  <c r="AT241" i="1"/>
  <c r="AT219" i="1"/>
  <c r="AU304" i="1"/>
  <c r="BI304" i="1"/>
  <c r="AT414" i="1"/>
  <c r="AT426" i="1"/>
  <c r="AT544" i="1"/>
  <c r="AT521" i="1"/>
  <c r="AT861" i="1"/>
  <c r="AT664" i="1"/>
  <c r="AU696" i="1"/>
  <c r="BI696" i="1"/>
  <c r="AT468" i="1"/>
  <c r="AT30" i="1"/>
  <c r="AT661" i="1"/>
  <c r="AT127" i="1"/>
  <c r="AT599" i="1"/>
  <c r="AT685" i="1"/>
  <c r="AT678" i="1"/>
  <c r="AT639" i="1"/>
  <c r="AT156" i="1"/>
  <c r="AU305" i="1"/>
  <c r="BI305" i="1"/>
  <c r="AT436" i="1"/>
  <c r="AT553" i="1"/>
  <c r="AT531" i="1"/>
  <c r="BI189" i="1"/>
  <c r="AU377" i="1"/>
  <c r="BI377" i="1"/>
  <c r="BI352" i="1"/>
  <c r="BI391" i="1"/>
  <c r="AT471" i="1"/>
  <c r="AT240" i="1"/>
  <c r="AU433" i="1"/>
  <c r="BI433" i="1"/>
  <c r="AT423" i="1"/>
  <c r="AU596" i="1"/>
  <c r="BI596" i="1"/>
  <c r="AT247" i="1"/>
  <c r="AT227" i="1"/>
  <c r="AT25" i="1"/>
  <c r="BI128" i="1"/>
  <c r="AU288" i="1"/>
  <c r="BI288" i="1"/>
  <c r="AT292" i="1"/>
  <c r="AU548" i="1"/>
  <c r="BI548" i="1"/>
  <c r="AT803" i="1"/>
  <c r="AT566" i="1"/>
  <c r="AT642" i="1"/>
  <c r="AT647" i="1"/>
  <c r="AT819" i="1"/>
  <c r="AT40" i="1"/>
  <c r="AU53" i="1"/>
  <c r="BI53" i="1"/>
  <c r="BI110" i="1"/>
  <c r="AT163" i="1"/>
  <c r="AT234" i="1"/>
  <c r="AU269" i="1"/>
  <c r="BI269" i="1"/>
  <c r="AT354" i="1"/>
  <c r="AT328" i="1"/>
  <c r="AT432" i="1"/>
  <c r="AU522" i="1"/>
  <c r="AT586" i="1"/>
  <c r="AT698" i="1"/>
  <c r="AU774" i="1"/>
  <c r="BI774" i="1"/>
  <c r="AT646" i="1"/>
  <c r="AU631" i="1"/>
  <c r="BI631" i="1"/>
  <c r="AT256" i="1"/>
  <c r="AU207" i="1"/>
  <c r="BI207" i="1"/>
  <c r="AU187" i="1"/>
  <c r="BI187" i="1"/>
  <c r="AU785" i="1"/>
  <c r="BI785" i="1"/>
  <c r="AU299" i="1"/>
  <c r="AT527" i="1"/>
  <c r="AT551" i="1"/>
  <c r="AT488" i="1"/>
  <c r="AT44" i="1"/>
  <c r="AT554" i="1"/>
  <c r="AT65" i="1"/>
  <c r="AT116" i="1"/>
  <c r="AU186" i="1"/>
  <c r="BI186" i="1"/>
  <c r="AT281" i="1"/>
  <c r="AT417" i="1"/>
  <c r="AT440" i="1"/>
  <c r="AT643" i="1"/>
  <c r="AD860" i="1"/>
  <c r="AC860" i="1"/>
  <c r="AB860" i="1"/>
  <c r="AE860" i="1"/>
  <c r="AD642" i="1"/>
  <c r="AE642" i="1"/>
  <c r="AC642" i="1"/>
  <c r="AB642" i="1"/>
  <c r="AD437" i="1"/>
  <c r="AB437" i="1"/>
  <c r="AC437" i="1"/>
  <c r="AE437" i="1"/>
  <c r="AE232" i="1"/>
  <c r="AD232" i="1"/>
  <c r="AC232" i="1"/>
  <c r="AB232" i="1"/>
  <c r="AC27" i="1"/>
  <c r="AE27" i="1"/>
  <c r="AD27" i="1"/>
  <c r="AB27" i="1"/>
  <c r="AC614" i="1"/>
  <c r="AE614" i="1"/>
  <c r="AB614" i="1"/>
  <c r="AD614" i="1"/>
  <c r="AC51" i="1"/>
  <c r="AB51" i="1"/>
  <c r="AE51" i="1"/>
  <c r="AD51" i="1"/>
  <c r="AE228" i="1"/>
  <c r="AB228" i="1"/>
  <c r="AC228" i="1"/>
  <c r="AD228" i="1"/>
  <c r="AE823" i="1"/>
  <c r="AD823" i="1"/>
  <c r="AB823" i="1"/>
  <c r="AC823" i="1"/>
  <c r="AE554" i="1"/>
  <c r="AB554" i="1"/>
  <c r="AC554" i="1"/>
  <c r="AD554" i="1"/>
  <c r="AC272" i="1"/>
  <c r="AD272" i="1"/>
  <c r="AE272" i="1"/>
  <c r="AB272" i="1"/>
  <c r="AC67" i="1"/>
  <c r="AB67" i="1"/>
  <c r="AE67" i="1"/>
  <c r="AD67" i="1"/>
  <c r="AB664" i="1"/>
  <c r="AC664" i="1"/>
  <c r="AD664" i="1"/>
  <c r="AE664" i="1"/>
  <c r="AC638" i="1"/>
  <c r="AD638" i="1"/>
  <c r="AE638" i="1"/>
  <c r="AB638" i="1"/>
  <c r="AC177" i="1"/>
  <c r="AE177" i="1"/>
  <c r="AD177" i="1"/>
  <c r="AB177" i="1"/>
  <c r="AD853" i="1"/>
  <c r="AC853" i="1"/>
  <c r="AB853" i="1"/>
  <c r="AE853" i="1"/>
  <c r="AB629" i="1"/>
  <c r="AD629" i="1"/>
  <c r="AC629" i="1"/>
  <c r="AE629" i="1"/>
  <c r="AD425" i="1"/>
  <c r="AB425" i="1"/>
  <c r="AE425" i="1"/>
  <c r="AC425" i="1"/>
  <c r="AB219" i="1"/>
  <c r="AE219" i="1"/>
  <c r="AC219" i="1"/>
  <c r="AD219" i="1"/>
  <c r="AB792" i="1"/>
  <c r="AE792" i="1"/>
  <c r="AD792" i="1"/>
  <c r="AC792" i="1"/>
  <c r="AC641" i="1"/>
  <c r="AB641" i="1"/>
  <c r="AD641" i="1"/>
  <c r="AE641" i="1"/>
  <c r="AE25" i="1"/>
  <c r="AB25" i="1"/>
  <c r="AD25" i="1"/>
  <c r="AC25" i="1"/>
  <c r="AB100" i="1"/>
  <c r="AD100" i="1"/>
  <c r="AC100" i="1"/>
  <c r="AE100" i="1"/>
  <c r="AB529" i="1"/>
  <c r="AD529" i="1"/>
  <c r="AC529" i="1"/>
  <c r="AE529" i="1"/>
  <c r="AB778" i="1"/>
  <c r="AD778" i="1"/>
  <c r="AE778" i="1"/>
  <c r="AC778" i="1"/>
  <c r="AC525" i="1"/>
  <c r="AD525" i="1"/>
  <c r="AB525" i="1"/>
  <c r="AE525" i="1"/>
  <c r="AE320" i="1"/>
  <c r="AC320" i="1"/>
  <c r="AD320" i="1"/>
  <c r="AB320" i="1"/>
  <c r="AE115" i="1"/>
  <c r="AD115" i="1"/>
  <c r="AC115" i="1"/>
  <c r="AB115" i="1"/>
  <c r="AB208" i="1"/>
  <c r="AC208" i="1"/>
  <c r="AD208" i="1"/>
  <c r="AE208" i="1"/>
  <c r="AC793" i="1"/>
  <c r="AD793" i="1"/>
  <c r="AE793" i="1"/>
  <c r="AB793" i="1"/>
  <c r="AC524" i="1"/>
  <c r="AD524" i="1"/>
  <c r="AE524" i="1"/>
  <c r="AB524" i="1"/>
  <c r="AD317" i="1"/>
  <c r="AB317" i="1"/>
  <c r="AC317" i="1"/>
  <c r="AE317" i="1"/>
  <c r="AB113" i="1"/>
  <c r="AE113" i="1"/>
  <c r="AC113" i="1"/>
  <c r="AD113" i="1"/>
  <c r="AB841" i="1"/>
  <c r="AD841" i="1"/>
  <c r="AC841" i="1"/>
  <c r="AE841" i="1"/>
  <c r="AC693" i="1"/>
  <c r="AE693" i="1"/>
  <c r="AB693" i="1"/>
  <c r="AD693" i="1"/>
  <c r="AE598" i="1"/>
  <c r="AB598" i="1"/>
  <c r="AD598" i="1"/>
  <c r="AC598" i="1"/>
  <c r="AE497" i="1"/>
  <c r="AC497" i="1"/>
  <c r="AD497" i="1"/>
  <c r="AB497" i="1"/>
  <c r="AB394" i="1"/>
  <c r="AC394" i="1"/>
  <c r="AD394" i="1"/>
  <c r="AE394" i="1"/>
  <c r="AD291" i="1"/>
  <c r="AE291" i="1"/>
  <c r="AB291" i="1"/>
  <c r="AC291" i="1"/>
  <c r="AE188" i="1"/>
  <c r="AC188" i="1"/>
  <c r="AB188" i="1"/>
  <c r="AD188" i="1"/>
  <c r="AD85" i="1"/>
  <c r="AC85" i="1"/>
  <c r="AB85" i="1"/>
  <c r="AE85" i="1"/>
  <c r="AC636" i="1"/>
  <c r="AE636" i="1"/>
  <c r="AB636" i="1"/>
  <c r="AD636" i="1"/>
  <c r="AC315" i="1"/>
  <c r="AD315" i="1"/>
  <c r="AE315" i="1"/>
  <c r="AB315" i="1"/>
  <c r="AB776" i="1"/>
  <c r="AD776" i="1"/>
  <c r="AC776" i="1"/>
  <c r="AE776" i="1"/>
  <c r="AE418" i="1"/>
  <c r="AB418" i="1"/>
  <c r="AC418" i="1"/>
  <c r="AD418" i="1"/>
  <c r="AD109" i="1"/>
  <c r="AC109" i="1"/>
  <c r="AB109" i="1"/>
  <c r="AE109" i="1"/>
  <c r="AC658" i="1"/>
  <c r="AE658" i="1"/>
  <c r="AD658" i="1"/>
  <c r="AB658" i="1"/>
  <c r="AC545" i="1"/>
  <c r="AE545" i="1"/>
  <c r="AD545" i="1"/>
  <c r="AB545" i="1"/>
  <c r="AD442" i="1"/>
  <c r="AE442" i="1"/>
  <c r="AB442" i="1"/>
  <c r="AC442" i="1"/>
  <c r="AB340" i="1"/>
  <c r="AD340" i="1"/>
  <c r="AC340" i="1"/>
  <c r="AE340" i="1"/>
  <c r="AB236" i="1"/>
  <c r="AC236" i="1"/>
  <c r="AE236" i="1"/>
  <c r="AD236" i="1"/>
  <c r="AC133" i="1"/>
  <c r="AB133" i="1"/>
  <c r="AD133" i="1"/>
  <c r="AE133" i="1"/>
  <c r="AD32" i="1"/>
  <c r="AB32" i="1"/>
  <c r="AC32" i="1"/>
  <c r="AE32" i="1"/>
  <c r="AC469" i="1"/>
  <c r="AE469" i="1"/>
  <c r="AB469" i="1"/>
  <c r="AD469" i="1"/>
  <c r="AE173" i="1"/>
  <c r="AC173" i="1"/>
  <c r="AD173" i="1"/>
  <c r="AB173" i="1"/>
  <c r="AB806" i="1"/>
  <c r="AC806" i="1"/>
  <c r="AD806" i="1"/>
  <c r="AE806" i="1"/>
  <c r="AE837" i="1"/>
  <c r="AD837" i="1"/>
  <c r="AB837" i="1"/>
  <c r="AC837" i="1"/>
  <c r="AE689" i="1"/>
  <c r="AB689" i="1"/>
  <c r="AC689" i="1"/>
  <c r="AD689" i="1"/>
  <c r="AB594" i="1"/>
  <c r="AC594" i="1"/>
  <c r="AD594" i="1"/>
  <c r="AE594" i="1"/>
  <c r="AB492" i="1"/>
  <c r="AC492" i="1"/>
  <c r="AD492" i="1"/>
  <c r="AE492" i="1"/>
  <c r="AE389" i="1"/>
  <c r="AC389" i="1"/>
  <c r="AD389" i="1"/>
  <c r="AB389" i="1"/>
  <c r="AD285" i="1"/>
  <c r="AB285" i="1"/>
  <c r="AC285" i="1"/>
  <c r="AE285" i="1"/>
  <c r="AB184" i="1"/>
  <c r="AC184" i="1"/>
  <c r="AD184" i="1"/>
  <c r="AE184" i="1"/>
  <c r="AE81" i="1"/>
  <c r="AB81" i="1"/>
  <c r="AD81" i="1"/>
  <c r="AC81" i="1"/>
  <c r="AE600" i="1"/>
  <c r="AB600" i="1"/>
  <c r="AC600" i="1"/>
  <c r="AD600" i="1"/>
  <c r="AC464" i="1"/>
  <c r="AE464" i="1"/>
  <c r="AD464" i="1"/>
  <c r="AB464" i="1"/>
  <c r="AE335" i="1"/>
  <c r="AB335" i="1"/>
  <c r="AC335" i="1"/>
  <c r="AD335" i="1"/>
  <c r="AC199" i="1"/>
  <c r="AD199" i="1"/>
  <c r="AE199" i="1"/>
  <c r="AB199" i="1"/>
  <c r="AB71" i="1"/>
  <c r="AE71" i="1"/>
  <c r="AD71" i="1"/>
  <c r="AC71" i="1"/>
  <c r="AD560" i="1"/>
  <c r="AC560" i="1"/>
  <c r="AB560" i="1"/>
  <c r="AE560" i="1"/>
  <c r="AD440" i="1"/>
  <c r="AB440" i="1"/>
  <c r="AC440" i="1"/>
  <c r="AE440" i="1"/>
  <c r="AD311" i="1"/>
  <c r="AE311" i="1"/>
  <c r="AB311" i="1"/>
  <c r="AC311" i="1"/>
  <c r="AE191" i="1"/>
  <c r="AB191" i="1"/>
  <c r="AD191" i="1"/>
  <c r="AC191" i="1"/>
  <c r="AE63" i="1"/>
  <c r="AC63" i="1"/>
  <c r="AD63" i="1"/>
  <c r="AB63" i="1"/>
  <c r="AE839" i="1"/>
  <c r="AB839" i="1"/>
  <c r="AD839" i="1"/>
  <c r="AC839" i="1"/>
  <c r="AD703" i="1"/>
  <c r="AB703" i="1"/>
  <c r="AE703" i="1"/>
  <c r="AC703" i="1"/>
  <c r="AB639" i="1"/>
  <c r="AC639" i="1"/>
  <c r="AE639" i="1"/>
  <c r="AD639" i="1"/>
  <c r="AC575" i="1"/>
  <c r="AE575" i="1"/>
  <c r="AB575" i="1"/>
  <c r="AD575" i="1"/>
  <c r="AE511" i="1"/>
  <c r="AC511" i="1"/>
  <c r="AD511" i="1"/>
  <c r="AB511" i="1"/>
  <c r="AB447" i="1"/>
  <c r="AD447" i="1"/>
  <c r="AC447" i="1"/>
  <c r="AE447" i="1"/>
  <c r="AD383" i="1"/>
  <c r="AE383" i="1"/>
  <c r="AB383" i="1"/>
  <c r="AC383" i="1"/>
  <c r="AB318" i="1"/>
  <c r="AD318" i="1"/>
  <c r="AE318" i="1"/>
  <c r="AC318" i="1"/>
  <c r="AB254" i="1"/>
  <c r="AD254" i="1"/>
  <c r="AE254" i="1"/>
  <c r="AC254" i="1"/>
  <c r="AD190" i="1"/>
  <c r="AB190" i="1"/>
  <c r="AE190" i="1"/>
  <c r="AC190" i="1"/>
  <c r="AE126" i="1"/>
  <c r="AB126" i="1"/>
  <c r="AC126" i="1"/>
  <c r="AD126" i="1"/>
  <c r="AE62" i="1"/>
  <c r="AD62" i="1"/>
  <c r="AB62" i="1"/>
  <c r="AC62" i="1"/>
  <c r="AD851" i="1"/>
  <c r="AC851" i="1"/>
  <c r="AB851" i="1"/>
  <c r="AE851" i="1"/>
  <c r="AD787" i="1"/>
  <c r="AB787" i="1"/>
  <c r="AC787" i="1"/>
  <c r="AE787" i="1"/>
  <c r="AC659" i="1"/>
  <c r="AE659" i="1"/>
  <c r="AD659" i="1"/>
  <c r="AB659" i="1"/>
  <c r="AC595" i="1"/>
  <c r="AB595" i="1"/>
  <c r="AE595" i="1"/>
  <c r="AD595" i="1"/>
  <c r="AD531" i="1"/>
  <c r="AE531" i="1"/>
  <c r="AB531" i="1"/>
  <c r="AC531" i="1"/>
  <c r="AC467" i="1"/>
  <c r="AE467" i="1"/>
  <c r="AB467" i="1"/>
  <c r="AD467" i="1"/>
  <c r="AD403" i="1"/>
  <c r="AC403" i="1"/>
  <c r="AB403" i="1"/>
  <c r="AE403" i="1"/>
  <c r="AE339" i="1"/>
  <c r="AB339" i="1"/>
  <c r="AC339" i="1"/>
  <c r="AD339" i="1"/>
  <c r="AB274" i="1"/>
  <c r="AC274" i="1"/>
  <c r="AD274" i="1"/>
  <c r="AE274" i="1"/>
  <c r="AC210" i="1"/>
  <c r="AD210" i="1"/>
  <c r="AE210" i="1"/>
  <c r="AB210" i="1"/>
  <c r="AB146" i="1"/>
  <c r="AE146" i="1"/>
  <c r="AC146" i="1"/>
  <c r="AD146" i="1"/>
  <c r="AC82" i="1"/>
  <c r="AE82" i="1"/>
  <c r="AB82" i="1"/>
  <c r="AD82" i="1"/>
  <c r="AD775" i="1"/>
  <c r="AC775" i="1"/>
  <c r="AE775" i="1"/>
  <c r="AB775" i="1"/>
  <c r="AT355" i="1"/>
  <c r="AT23" i="1"/>
  <c r="AT816" i="1"/>
  <c r="AT63" i="1"/>
  <c r="AT72" i="1"/>
  <c r="AT175" i="1"/>
  <c r="AT176" i="1"/>
  <c r="AT225" i="1"/>
  <c r="AT262" i="1"/>
  <c r="AU398" i="1"/>
  <c r="BI398" i="1"/>
  <c r="AT418" i="1"/>
  <c r="AT507" i="1"/>
  <c r="AT616" i="1"/>
  <c r="AT673" i="1"/>
  <c r="AT707" i="1"/>
  <c r="AT584" i="1"/>
  <c r="AT808" i="1"/>
  <c r="AT662" i="1"/>
  <c r="AT154" i="1"/>
  <c r="AT781" i="1"/>
  <c r="AU277" i="1"/>
  <c r="BI277" i="1"/>
  <c r="AT428" i="1"/>
  <c r="AT419" i="1"/>
  <c r="AT484" i="1"/>
  <c r="AT869" i="1"/>
  <c r="AU776" i="1"/>
  <c r="BI776" i="1"/>
  <c r="BI66" i="1"/>
  <c r="AU66" i="1"/>
  <c r="AU112" i="1"/>
  <c r="BI112" i="1"/>
  <c r="AU172" i="1"/>
  <c r="BI172" i="1"/>
  <c r="BI181" i="1"/>
  <c r="AU181" i="1"/>
  <c r="AU430" i="1"/>
  <c r="BI430" i="1"/>
  <c r="AT842" i="1"/>
  <c r="AU472" i="1"/>
  <c r="BI472" i="1"/>
  <c r="AU805" i="1"/>
  <c r="AU473" i="1"/>
  <c r="BI473" i="1"/>
  <c r="AT570" i="1"/>
  <c r="AU683" i="1"/>
  <c r="BI683" i="1"/>
  <c r="AU93" i="1"/>
  <c r="BI93" i="1"/>
  <c r="AT224" i="1"/>
  <c r="AT435" i="1"/>
  <c r="AU415" i="1"/>
  <c r="BI415" i="1"/>
  <c r="AT557" i="1"/>
  <c r="AU581" i="1"/>
  <c r="BI581" i="1"/>
  <c r="AT572" i="1"/>
  <c r="AU233" i="1"/>
  <c r="BI230" i="1"/>
  <c r="BI777" i="1"/>
  <c r="AU777" i="1"/>
  <c r="AU82" i="1"/>
  <c r="BI82" i="1"/>
  <c r="AT97" i="1"/>
  <c r="AU139" i="1"/>
  <c r="BI139" i="1"/>
  <c r="BI185" i="1"/>
  <c r="AU185" i="1"/>
  <c r="AU286" i="1"/>
  <c r="BI286" i="1"/>
  <c r="AU467" i="1"/>
  <c r="BI467" i="1"/>
  <c r="AT456" i="1"/>
  <c r="BI508" i="1"/>
  <c r="AU508" i="1"/>
  <c r="AT794" i="1"/>
  <c r="AT524" i="1"/>
  <c r="AU657" i="1"/>
  <c r="BI657" i="1"/>
  <c r="AU51" i="1"/>
  <c r="AT133" i="1"/>
  <c r="AT249" i="1"/>
  <c r="AT261" i="1"/>
  <c r="BI318" i="1"/>
  <c r="AT343" i="1"/>
  <c r="BI334" i="1"/>
  <c r="AU334" i="1"/>
  <c r="BI390" i="1"/>
  <c r="AU416" i="1"/>
  <c r="BI416" i="1"/>
  <c r="AU585" i="1"/>
  <c r="BI585" i="1"/>
  <c r="AT31" i="1"/>
  <c r="AT27" i="1"/>
  <c r="AU84" i="1"/>
  <c r="BI84" i="1"/>
  <c r="AT223" i="1"/>
  <c r="AU206" i="1"/>
  <c r="BI206" i="1"/>
  <c r="BI321" i="1"/>
  <c r="AU283" i="1"/>
  <c r="BI283" i="1"/>
  <c r="AU859" i="1"/>
  <c r="BI859" i="1"/>
  <c r="AT543" i="1"/>
  <c r="AT873" i="1"/>
  <c r="AT126" i="1"/>
  <c r="AT190" i="1"/>
  <c r="AT279" i="1"/>
  <c r="AT788" i="1"/>
  <c r="AD844" i="1"/>
  <c r="AE844" i="1"/>
  <c r="AB844" i="1"/>
  <c r="AC844" i="1"/>
  <c r="AC617" i="1"/>
  <c r="AB617" i="1"/>
  <c r="AD617" i="1"/>
  <c r="AE617" i="1"/>
  <c r="AC412" i="1"/>
  <c r="AD412" i="1"/>
  <c r="AE412" i="1"/>
  <c r="AB412" i="1"/>
  <c r="AD205" i="1"/>
  <c r="AB205" i="1"/>
  <c r="AC205" i="1"/>
  <c r="AE205" i="1"/>
  <c r="AB812" i="1"/>
  <c r="AC812" i="1"/>
  <c r="AE812" i="1"/>
  <c r="AD812" i="1"/>
  <c r="AD538" i="1"/>
  <c r="AE538" i="1"/>
  <c r="AB538" i="1"/>
  <c r="AC538" i="1"/>
  <c r="AD821" i="1"/>
  <c r="AB821" i="1"/>
  <c r="AE821" i="1"/>
  <c r="AC821" i="1"/>
  <c r="AC75" i="1"/>
  <c r="AB75" i="1"/>
  <c r="AE75" i="1"/>
  <c r="AD75" i="1"/>
  <c r="AC486" i="1"/>
  <c r="AE486" i="1"/>
  <c r="AD486" i="1"/>
  <c r="AB486" i="1"/>
  <c r="AC502" i="1"/>
  <c r="AD502" i="1"/>
  <c r="AE502" i="1"/>
  <c r="AB502" i="1"/>
  <c r="AE245" i="1"/>
  <c r="AD245" i="1"/>
  <c r="AB245" i="1"/>
  <c r="AC245" i="1"/>
  <c r="AB41" i="1"/>
  <c r="AC41" i="1"/>
  <c r="AE41" i="1"/>
  <c r="AD41" i="1"/>
  <c r="AE589" i="1"/>
  <c r="AC589" i="1"/>
  <c r="AB589" i="1"/>
  <c r="AD589" i="1"/>
  <c r="AD562" i="1"/>
  <c r="AE562" i="1"/>
  <c r="AB562" i="1"/>
  <c r="AC562" i="1"/>
  <c r="AE152" i="1"/>
  <c r="AD152" i="1"/>
  <c r="AB152" i="1"/>
  <c r="AC152" i="1"/>
  <c r="AC834" i="1"/>
  <c r="AB834" i="1"/>
  <c r="AD834" i="1"/>
  <c r="AE834" i="1"/>
  <c r="AD604" i="1"/>
  <c r="AE604" i="1"/>
  <c r="AC604" i="1"/>
  <c r="AB604" i="1"/>
  <c r="AD398" i="1"/>
  <c r="AB398" i="1"/>
  <c r="AC398" i="1"/>
  <c r="AE398" i="1"/>
  <c r="AE193" i="1"/>
  <c r="AC193" i="1"/>
  <c r="AB193" i="1"/>
  <c r="AD193" i="1"/>
  <c r="AC688" i="1"/>
  <c r="AD688" i="1"/>
  <c r="AE688" i="1"/>
  <c r="AB688" i="1"/>
  <c r="AD564" i="1"/>
  <c r="AE564" i="1"/>
  <c r="AC564" i="1"/>
  <c r="AB564" i="1"/>
  <c r="AC840" i="1"/>
  <c r="AE840" i="1"/>
  <c r="AD840" i="1"/>
  <c r="AB840" i="1"/>
  <c r="AB21" i="1"/>
  <c r="AC21" i="1"/>
  <c r="AD21" i="1"/>
  <c r="AE21" i="1"/>
  <c r="AB452" i="1"/>
  <c r="AE452" i="1"/>
  <c r="AC452" i="1"/>
  <c r="AD452" i="1"/>
  <c r="AE696" i="1"/>
  <c r="AB696" i="1"/>
  <c r="AC696" i="1"/>
  <c r="AD696" i="1"/>
  <c r="AC500" i="1"/>
  <c r="AE500" i="1"/>
  <c r="AB500" i="1"/>
  <c r="AD500" i="1"/>
  <c r="AB293" i="1"/>
  <c r="AD293" i="1"/>
  <c r="AE293" i="1"/>
  <c r="AC293" i="1"/>
  <c r="AE89" i="1"/>
  <c r="AB89" i="1"/>
  <c r="AD89" i="1"/>
  <c r="AC89" i="1"/>
  <c r="AB28" i="1"/>
  <c r="AE28" i="1"/>
  <c r="AD28" i="1"/>
  <c r="AC28" i="1"/>
  <c r="AE694" i="1"/>
  <c r="AB694" i="1"/>
  <c r="AC694" i="1"/>
  <c r="AD694" i="1"/>
  <c r="AE498" i="1"/>
  <c r="AB498" i="1"/>
  <c r="AD498" i="1"/>
  <c r="AC498" i="1"/>
  <c r="AE292" i="1"/>
  <c r="AB292" i="1"/>
  <c r="AC292" i="1"/>
  <c r="AD292" i="1"/>
  <c r="AD88" i="1"/>
  <c r="AB88" i="1"/>
  <c r="AC88" i="1"/>
  <c r="AE88" i="1"/>
  <c r="AD829" i="1"/>
  <c r="AB829" i="1"/>
  <c r="AC829" i="1"/>
  <c r="AE829" i="1"/>
  <c r="AD682" i="1"/>
  <c r="AE682" i="1"/>
  <c r="AC682" i="1"/>
  <c r="AB682" i="1"/>
  <c r="AD586" i="1"/>
  <c r="AB586" i="1"/>
  <c r="AC586" i="1"/>
  <c r="AE586" i="1"/>
  <c r="AE484" i="1"/>
  <c r="AC484" i="1"/>
  <c r="AD484" i="1"/>
  <c r="AB484" i="1"/>
  <c r="AE381" i="1"/>
  <c r="AC381" i="1"/>
  <c r="AD381" i="1"/>
  <c r="AB381" i="1"/>
  <c r="AE277" i="1"/>
  <c r="AC277" i="1"/>
  <c r="AD277" i="1"/>
  <c r="AB277" i="1"/>
  <c r="AB176" i="1"/>
  <c r="AC176" i="1"/>
  <c r="AD176" i="1"/>
  <c r="AE176" i="1"/>
  <c r="AE73" i="1"/>
  <c r="AB73" i="1"/>
  <c r="AD73" i="1"/>
  <c r="AC73" i="1"/>
  <c r="AC597" i="1"/>
  <c r="AE597" i="1"/>
  <c r="AD597" i="1"/>
  <c r="AB597" i="1"/>
  <c r="AD276" i="1"/>
  <c r="AC276" i="1"/>
  <c r="AE276" i="1"/>
  <c r="AB276" i="1"/>
  <c r="AE681" i="1"/>
  <c r="AB681" i="1"/>
  <c r="AC681" i="1"/>
  <c r="AD681" i="1"/>
  <c r="AD380" i="1"/>
  <c r="AE380" i="1"/>
  <c r="AC380" i="1"/>
  <c r="AB380" i="1"/>
  <c r="AD72" i="1"/>
  <c r="AB72" i="1"/>
  <c r="AE72" i="1"/>
  <c r="AC72" i="1"/>
  <c r="AB646" i="1"/>
  <c r="AD646" i="1"/>
  <c r="AE646" i="1"/>
  <c r="AC646" i="1"/>
  <c r="AB532" i="1"/>
  <c r="AC532" i="1"/>
  <c r="AD532" i="1"/>
  <c r="AE532" i="1"/>
  <c r="AD429" i="1"/>
  <c r="AB429" i="1"/>
  <c r="AC429" i="1"/>
  <c r="AE429" i="1"/>
  <c r="AE325" i="1"/>
  <c r="AC325" i="1"/>
  <c r="AD325" i="1"/>
  <c r="AB325" i="1"/>
  <c r="AC224" i="1"/>
  <c r="AE224" i="1"/>
  <c r="AD224" i="1"/>
  <c r="AB224" i="1"/>
  <c r="AD121" i="1"/>
  <c r="AC121" i="1"/>
  <c r="AE121" i="1"/>
  <c r="AB121" i="1"/>
  <c r="AC797" i="1"/>
  <c r="AD797" i="1"/>
  <c r="AB797" i="1"/>
  <c r="AE797" i="1"/>
  <c r="AC444" i="1"/>
  <c r="AE444" i="1"/>
  <c r="AB444" i="1"/>
  <c r="AD444" i="1"/>
  <c r="AC136" i="1"/>
  <c r="AD136" i="1"/>
  <c r="AE136" i="1"/>
  <c r="AB136" i="1"/>
  <c r="AD785" i="1"/>
  <c r="AE785" i="1"/>
  <c r="AB785" i="1"/>
  <c r="AC785" i="1"/>
  <c r="AC825" i="1"/>
  <c r="AE825" i="1"/>
  <c r="AB825" i="1"/>
  <c r="AD825" i="1"/>
  <c r="AB678" i="1"/>
  <c r="AC678" i="1"/>
  <c r="AE678" i="1"/>
  <c r="AD678" i="1"/>
  <c r="AE581" i="1"/>
  <c r="AB581" i="1"/>
  <c r="AC581" i="1"/>
  <c r="AD581" i="1"/>
  <c r="AB478" i="1"/>
  <c r="AE478" i="1"/>
  <c r="AC478" i="1"/>
  <c r="AD478" i="1"/>
  <c r="AE377" i="1"/>
  <c r="AB377" i="1"/>
  <c r="AD377" i="1"/>
  <c r="AC377" i="1"/>
  <c r="AE273" i="1"/>
  <c r="AC273" i="1"/>
  <c r="AB273" i="1"/>
  <c r="AD273" i="1"/>
  <c r="AE171" i="1"/>
  <c r="AD171" i="1"/>
  <c r="AC171" i="1"/>
  <c r="AB171" i="1"/>
  <c r="AD68" i="1"/>
  <c r="AC68" i="1"/>
  <c r="AB68" i="1"/>
  <c r="AE68" i="1"/>
  <c r="AE584" i="1"/>
  <c r="AB584" i="1"/>
  <c r="AD584" i="1"/>
  <c r="AC584" i="1"/>
  <c r="AD448" i="1"/>
  <c r="AE448" i="1"/>
  <c r="AB448" i="1"/>
  <c r="AC448" i="1"/>
  <c r="AE319" i="1"/>
  <c r="AB319" i="1"/>
  <c r="AC319" i="1"/>
  <c r="AD319" i="1"/>
  <c r="AB183" i="1"/>
  <c r="AD183" i="1"/>
  <c r="AC183" i="1"/>
  <c r="AE183" i="1"/>
  <c r="AB47" i="1"/>
  <c r="AE47" i="1"/>
  <c r="AD47" i="1"/>
  <c r="AC47" i="1"/>
  <c r="AD544" i="1"/>
  <c r="AE544" i="1"/>
  <c r="AC544" i="1"/>
  <c r="AB544" i="1"/>
  <c r="AD424" i="1"/>
  <c r="AE424" i="1"/>
  <c r="AB424" i="1"/>
  <c r="AC424" i="1"/>
  <c r="AE303" i="1"/>
  <c r="AC303" i="1"/>
  <c r="AB303" i="1"/>
  <c r="AD303" i="1"/>
  <c r="AC175" i="1"/>
  <c r="AE175" i="1"/>
  <c r="AB175" i="1"/>
  <c r="AD175" i="1"/>
  <c r="AE55" i="1"/>
  <c r="AD55" i="1"/>
  <c r="AB55" i="1"/>
  <c r="AC55" i="1"/>
  <c r="AE830" i="1"/>
  <c r="AC830" i="1"/>
  <c r="AD830" i="1"/>
  <c r="AB830" i="1"/>
  <c r="AE695" i="1"/>
  <c r="AB695" i="1"/>
  <c r="AC695" i="1"/>
  <c r="AD695" i="1"/>
  <c r="AB631" i="1"/>
  <c r="AC631" i="1"/>
  <c r="AD631" i="1"/>
  <c r="AE631" i="1"/>
  <c r="AD567" i="1"/>
  <c r="AC567" i="1"/>
  <c r="AB567" i="1"/>
  <c r="AE567" i="1"/>
  <c r="AC503" i="1"/>
  <c r="AD503" i="1"/>
  <c r="AE503" i="1"/>
  <c r="AB503" i="1"/>
  <c r="AB439" i="1"/>
  <c r="AC439" i="1"/>
  <c r="AD439" i="1"/>
  <c r="AE439" i="1"/>
  <c r="AB375" i="1"/>
  <c r="AC375" i="1"/>
  <c r="AD375" i="1"/>
  <c r="AE375" i="1"/>
  <c r="AD310" i="1"/>
  <c r="AB310" i="1"/>
  <c r="AC310" i="1"/>
  <c r="AE310" i="1"/>
  <c r="AB246" i="1"/>
  <c r="AD246" i="1"/>
  <c r="AC246" i="1"/>
  <c r="AE246" i="1"/>
  <c r="AC182" i="1"/>
  <c r="AE182" i="1"/>
  <c r="AD182" i="1"/>
  <c r="AB182" i="1"/>
  <c r="AC118" i="1"/>
  <c r="AB118" i="1"/>
  <c r="AD118" i="1"/>
  <c r="AE118" i="1"/>
  <c r="AC54" i="1"/>
  <c r="AB54" i="1"/>
  <c r="AD54" i="1"/>
  <c r="AE54" i="1"/>
  <c r="AB843" i="1"/>
  <c r="AD843" i="1"/>
  <c r="AE843" i="1"/>
  <c r="AC843" i="1"/>
  <c r="AC779" i="1"/>
  <c r="AE779" i="1"/>
  <c r="AD779" i="1"/>
  <c r="AB779" i="1"/>
  <c r="AE651" i="1"/>
  <c r="AC651" i="1"/>
  <c r="AD651" i="1"/>
  <c r="AB651" i="1"/>
  <c r="AB587" i="1"/>
  <c r="AC587" i="1"/>
  <c r="AD587" i="1"/>
  <c r="AE587" i="1"/>
  <c r="AC523" i="1"/>
  <c r="AE523" i="1"/>
  <c r="AB523" i="1"/>
  <c r="AD523" i="1"/>
  <c r="AC459" i="1"/>
  <c r="AD459" i="1"/>
  <c r="AE459" i="1"/>
  <c r="AB459" i="1"/>
  <c r="AC395" i="1"/>
  <c r="AD395" i="1"/>
  <c r="AE395" i="1"/>
  <c r="AB395" i="1"/>
  <c r="AE330" i="1"/>
  <c r="AB330" i="1"/>
  <c r="AC330" i="1"/>
  <c r="AD330" i="1"/>
  <c r="AD266" i="1"/>
  <c r="AC266" i="1"/>
  <c r="AE266" i="1"/>
  <c r="AB266" i="1"/>
  <c r="AE202" i="1"/>
  <c r="AB202" i="1"/>
  <c r="AC202" i="1"/>
  <c r="AD202" i="1"/>
  <c r="AD138" i="1"/>
  <c r="AB138" i="1"/>
  <c r="AC138" i="1"/>
  <c r="AE138" i="1"/>
  <c r="AC74" i="1"/>
  <c r="AE74" i="1"/>
  <c r="AB74" i="1"/>
  <c r="AD74" i="1"/>
  <c r="AE338" i="1"/>
  <c r="AB338" i="1"/>
  <c r="AC338" i="1"/>
  <c r="AD338" i="1"/>
  <c r="AT358" i="1"/>
  <c r="AT338" i="1"/>
  <c r="AT18" i="1"/>
  <c r="AT42" i="1"/>
  <c r="AT56" i="1"/>
  <c r="AT113" i="1"/>
  <c r="AT98" i="1"/>
  <c r="AT177" i="1"/>
  <c r="AT171" i="1"/>
  <c r="AT238" i="1"/>
  <c r="AT367" i="1"/>
  <c r="AT438" i="1"/>
  <c r="AT445" i="1"/>
  <c r="AT481" i="1"/>
  <c r="BI802" i="1"/>
  <c r="AU802" i="1"/>
  <c r="AT565" i="1"/>
  <c r="AT569" i="1"/>
  <c r="AT641" i="1"/>
  <c r="AT477" i="1"/>
  <c r="AT26" i="1"/>
  <c r="AT608" i="1"/>
  <c r="AT676" i="1"/>
  <c r="AT591" i="1"/>
  <c r="AT867" i="1"/>
  <c r="AT614" i="1"/>
  <c r="AT831" i="1"/>
  <c r="AT173" i="1"/>
  <c r="AT303" i="1"/>
  <c r="AT447" i="1"/>
  <c r="AT814" i="1"/>
  <c r="BB842" i="1"/>
  <c r="BC842" i="1"/>
  <c r="BB843" i="1"/>
  <c r="BC843" i="1"/>
  <c r="BB875" i="1"/>
  <c r="BC875" i="1"/>
  <c r="BC841" i="1"/>
  <c r="BB844" i="1"/>
  <c r="BC844" i="1"/>
  <c r="BB841" i="1"/>
  <c r="BC775" i="1"/>
  <c r="BB775" i="1"/>
  <c r="U480" i="28"/>
  <c r="J480" i="28"/>
  <c r="U560" i="28"/>
  <c r="J560" i="28"/>
  <c r="U682" i="28"/>
  <c r="J682" i="28"/>
  <c r="U680" i="28"/>
  <c r="J680" i="28"/>
  <c r="AE680" i="28" s="1"/>
  <c r="U767" i="28"/>
  <c r="J767" i="28"/>
  <c r="U783" i="28"/>
  <c r="J783" i="28"/>
  <c r="U958" i="28"/>
  <c r="J958" i="28"/>
  <c r="U433" i="28"/>
  <c r="J433" i="28"/>
  <c r="U639" i="28"/>
  <c r="J639" i="28"/>
  <c r="U687" i="28"/>
  <c r="J687" i="28"/>
  <c r="U569" i="28"/>
  <c r="J569" i="28"/>
  <c r="U585" i="28"/>
  <c r="J585" i="28"/>
  <c r="U601" i="28"/>
  <c r="J601" i="28"/>
  <c r="V601" i="28" s="1"/>
  <c r="W601" i="28" s="1"/>
  <c r="X601" i="28" s="1"/>
  <c r="U633" i="28"/>
  <c r="J633" i="28"/>
  <c r="U729" i="28"/>
  <c r="J729" i="28"/>
  <c r="U874" i="28"/>
  <c r="J874" i="28"/>
  <c r="U991" i="28"/>
  <c r="J991" i="28"/>
  <c r="U434" i="28"/>
  <c r="J434" i="28"/>
  <c r="U450" i="28"/>
  <c r="J450" i="28"/>
  <c r="U770" i="28"/>
  <c r="J770" i="28"/>
  <c r="U786" i="28"/>
  <c r="J786" i="28"/>
  <c r="U779" i="28"/>
  <c r="J779" i="28"/>
  <c r="U811" i="28"/>
  <c r="J811" i="28"/>
  <c r="U823" i="28"/>
  <c r="J823" i="28"/>
  <c r="U972" i="28"/>
  <c r="J972" i="28"/>
  <c r="U466" i="28"/>
  <c r="J466" i="28"/>
  <c r="U481" i="28"/>
  <c r="J481" i="28"/>
  <c r="AE481" i="28" s="1"/>
  <c r="U439" i="28"/>
  <c r="J439" i="28"/>
  <c r="U471" i="28"/>
  <c r="J471" i="28"/>
  <c r="U640" i="28"/>
  <c r="J640" i="28"/>
  <c r="U457" i="28"/>
  <c r="J457" i="28"/>
  <c r="U458" i="28"/>
  <c r="J458" i="28"/>
  <c r="U447" i="28"/>
  <c r="J447" i="28"/>
  <c r="U527" i="28"/>
  <c r="J527" i="28"/>
  <c r="U577" i="28"/>
  <c r="J577" i="28"/>
  <c r="U641" i="28"/>
  <c r="J641" i="28"/>
  <c r="U867" i="28"/>
  <c r="J867" i="28"/>
  <c r="U745" i="28"/>
  <c r="J745" i="28"/>
  <c r="BB794" i="1"/>
  <c r="BC785" i="1"/>
  <c r="BB849" i="1"/>
  <c r="BB796" i="1"/>
  <c r="BC859" i="1"/>
  <c r="BC807" i="1"/>
  <c r="BB867" i="1"/>
  <c r="BC812" i="1"/>
  <c r="BB786" i="1"/>
  <c r="BC845" i="1"/>
  <c r="BB791" i="1"/>
  <c r="BB797" i="1"/>
  <c r="BC803" i="1"/>
  <c r="BB808" i="1"/>
  <c r="BC867" i="1"/>
  <c r="BC817" i="1"/>
  <c r="BB845" i="1"/>
  <c r="BC791" i="1"/>
  <c r="BC795" i="1"/>
  <c r="BB800" i="1"/>
  <c r="BB807" i="1"/>
  <c r="BC809" i="1"/>
  <c r="BB813" i="1"/>
  <c r="BB806" i="1"/>
  <c r="BC780" i="1"/>
  <c r="BB787" i="1"/>
  <c r="BC854" i="1"/>
  <c r="BB860" i="1"/>
  <c r="BB805" i="1"/>
  <c r="BB811" i="1"/>
  <c r="BC814" i="1"/>
  <c r="BB783" i="1"/>
  <c r="BC847" i="1"/>
  <c r="BB851" i="1"/>
  <c r="BC857" i="1"/>
  <c r="BB803" i="1"/>
  <c r="BC808" i="1"/>
  <c r="BC793" i="1"/>
  <c r="BB817" i="1"/>
  <c r="BB780" i="1"/>
  <c r="BB847" i="1"/>
  <c r="BD847" i="1" s="1"/>
  <c r="BC851" i="1"/>
  <c r="BC858" i="1"/>
  <c r="BC804" i="1"/>
  <c r="BB866" i="1"/>
  <c r="BB814" i="1"/>
  <c r="BB782" i="1"/>
  <c r="BC846" i="1"/>
  <c r="BB850" i="1"/>
  <c r="BC796" i="1"/>
  <c r="BC802" i="1"/>
  <c r="BB864" i="1"/>
  <c r="BC789" i="1"/>
  <c r="BB870" i="1"/>
  <c r="BB785" i="1"/>
  <c r="BC784" i="1"/>
  <c r="BC790" i="1"/>
  <c r="BB857" i="1"/>
  <c r="BB801" i="1"/>
  <c r="BC806" i="1"/>
  <c r="BC866" i="1"/>
  <c r="BB816" i="1"/>
  <c r="BB784" i="1"/>
  <c r="BC786" i="1"/>
  <c r="BC852" i="1"/>
  <c r="BC799" i="1"/>
  <c r="BB804" i="1"/>
  <c r="BB865" i="1"/>
  <c r="BC868" i="1"/>
  <c r="BB802" i="1"/>
  <c r="BB781" i="1"/>
  <c r="BC787" i="1"/>
  <c r="BB792" i="1"/>
  <c r="BC860" i="1"/>
  <c r="BC864" i="1"/>
  <c r="BC801" i="1"/>
  <c r="BC815" i="1"/>
  <c r="BC781" i="1"/>
  <c r="BB848" i="1"/>
  <c r="BB852" i="1"/>
  <c r="BC798" i="1"/>
  <c r="BB862" i="1"/>
  <c r="BC863" i="1"/>
  <c r="BB868" i="1"/>
  <c r="BB798" i="1"/>
  <c r="BB788" i="1"/>
  <c r="BB846" i="1"/>
  <c r="BC850" i="1"/>
  <c r="BB858" i="1"/>
  <c r="BC861" i="1"/>
  <c r="BC865" i="1"/>
  <c r="BB812" i="1"/>
  <c r="BC869" i="1"/>
  <c r="BC823" i="1"/>
  <c r="BC788" i="1"/>
  <c r="BC794" i="1"/>
  <c r="BC797" i="1"/>
  <c r="BB863" i="1"/>
  <c r="BC811" i="1"/>
  <c r="BB815" i="1"/>
  <c r="BB810" i="1"/>
  <c r="BC782" i="1"/>
  <c r="BB789" i="1"/>
  <c r="BC792" i="1"/>
  <c r="BC800" i="1"/>
  <c r="BC805" i="1"/>
  <c r="BB795" i="1"/>
  <c r="BC816" i="1"/>
  <c r="BC783" i="1"/>
  <c r="BC849" i="1"/>
  <c r="BB854" i="1"/>
  <c r="BB859" i="1"/>
  <c r="BB861" i="1"/>
  <c r="BC810" i="1"/>
  <c r="BB869" i="1"/>
  <c r="BB790" i="1"/>
  <c r="BB823" i="1"/>
  <c r="BC848" i="1"/>
  <c r="BB793" i="1"/>
  <c r="BB799" i="1"/>
  <c r="BC862" i="1"/>
  <c r="BB809" i="1"/>
  <c r="BC813" i="1"/>
  <c r="BC870" i="1"/>
  <c r="BB832" i="1"/>
  <c r="BB831" i="1"/>
  <c r="BB840" i="1"/>
  <c r="BC825" i="1"/>
  <c r="BC779" i="1"/>
  <c r="BB839" i="1"/>
  <c r="BB835" i="1"/>
  <c r="BB777" i="1"/>
  <c r="BC828" i="1"/>
  <c r="BC826" i="1"/>
  <c r="BC830" i="1"/>
  <c r="BC776" i="1"/>
  <c r="BB825" i="1"/>
  <c r="BB834" i="1"/>
  <c r="BC829" i="1"/>
  <c r="BC832" i="1"/>
  <c r="BC824" i="1"/>
  <c r="BB828" i="1"/>
  <c r="BC837" i="1"/>
  <c r="BC835" i="1"/>
  <c r="BB836" i="1"/>
  <c r="BC827" i="1"/>
  <c r="BC833" i="1"/>
  <c r="BB826" i="1"/>
  <c r="BC838" i="1"/>
  <c r="BC839" i="1"/>
  <c r="BC831" i="1"/>
  <c r="BB837" i="1"/>
  <c r="BB829" i="1"/>
  <c r="BC778" i="1"/>
  <c r="BB827" i="1"/>
  <c r="BB776" i="1"/>
  <c r="BB833" i="1"/>
  <c r="BC840" i="1"/>
  <c r="BC834" i="1"/>
  <c r="BB778" i="1"/>
  <c r="BB830" i="1"/>
  <c r="BB824" i="1"/>
  <c r="BC836" i="1"/>
  <c r="BC777" i="1"/>
  <c r="BB838" i="1"/>
  <c r="BD838" i="1" s="1"/>
  <c r="BB779" i="1"/>
  <c r="BB774" i="1"/>
  <c r="BB821" i="1"/>
  <c r="BB820" i="1"/>
  <c r="BC821" i="1"/>
  <c r="BC818" i="1"/>
  <c r="BC820" i="1"/>
  <c r="BB819" i="1"/>
  <c r="BB822" i="1"/>
  <c r="BC819" i="1"/>
  <c r="BB818" i="1"/>
  <c r="BC774" i="1"/>
  <c r="BC822" i="1"/>
  <c r="I902" i="28"/>
  <c r="I805" i="28"/>
  <c r="AQ166" i="1"/>
  <c r="AQ186" i="1"/>
  <c r="AQ160" i="1"/>
  <c r="AQ341" i="1"/>
  <c r="AQ347" i="1"/>
  <c r="AQ25" i="1"/>
  <c r="AQ41" i="1"/>
  <c r="AQ144" i="1"/>
  <c r="AQ345" i="1"/>
  <c r="AQ164" i="1"/>
  <c r="AQ33" i="1"/>
  <c r="AQ18" i="1"/>
  <c r="AQ30" i="1"/>
  <c r="AQ48" i="1"/>
  <c r="AQ54" i="1"/>
  <c r="AQ61" i="1"/>
  <c r="AQ70" i="1"/>
  <c r="AQ109" i="1"/>
  <c r="AQ153" i="1"/>
  <c r="AQ169" i="1"/>
  <c r="AQ180" i="1"/>
  <c r="AQ204" i="1"/>
  <c r="AQ212" i="1"/>
  <c r="AQ220" i="1"/>
  <c r="AQ234" i="1"/>
  <c r="AQ242" i="1"/>
  <c r="AQ250" i="1"/>
  <c r="AQ258" i="1"/>
  <c r="AQ266" i="1"/>
  <c r="AQ274" i="1"/>
  <c r="AQ365" i="1"/>
  <c r="AQ389" i="1"/>
  <c r="AQ394" i="1"/>
  <c r="AQ411" i="1"/>
  <c r="AQ583" i="1"/>
  <c r="AQ462" i="1"/>
  <c r="AQ478" i="1"/>
  <c r="AQ494" i="1"/>
  <c r="AQ510" i="1"/>
  <c r="AQ652" i="1"/>
  <c r="AQ680" i="1"/>
  <c r="AQ693" i="1"/>
  <c r="AQ709" i="1"/>
  <c r="AQ719" i="1"/>
  <c r="AQ755" i="1"/>
  <c r="AQ734" i="1"/>
  <c r="AQ770" i="1"/>
  <c r="AQ786" i="1"/>
  <c r="AQ802" i="1"/>
  <c r="AQ821" i="1"/>
  <c r="AQ853" i="1"/>
  <c r="AQ675" i="1"/>
  <c r="AQ815" i="1"/>
  <c r="AQ846" i="1"/>
  <c r="AQ53" i="1"/>
  <c r="AQ75" i="1"/>
  <c r="AQ82" i="1"/>
  <c r="AQ90" i="1"/>
  <c r="AQ113" i="1"/>
  <c r="AQ129" i="1"/>
  <c r="AQ146" i="1"/>
  <c r="AQ171" i="1"/>
  <c r="AQ211" i="1"/>
  <c r="AQ219" i="1"/>
  <c r="AQ289" i="1"/>
  <c r="AQ314" i="1"/>
  <c r="AQ348" i="1"/>
  <c r="AQ311" i="1"/>
  <c r="AQ319" i="1"/>
  <c r="AQ327" i="1"/>
  <c r="AQ332" i="1"/>
  <c r="AQ336" i="1"/>
  <c r="AQ425" i="1"/>
  <c r="AQ351" i="1"/>
  <c r="AQ382" i="1"/>
  <c r="AQ415" i="1"/>
  <c r="AQ461" i="1"/>
  <c r="AQ477" i="1"/>
  <c r="AQ493" i="1"/>
  <c r="AQ509" i="1"/>
  <c r="AQ563" i="1"/>
  <c r="AQ627" i="1"/>
  <c r="AQ455" i="1"/>
  <c r="AQ471" i="1"/>
  <c r="AQ487" i="1"/>
  <c r="AQ503" i="1"/>
  <c r="AQ519" i="1"/>
  <c r="AQ708" i="1"/>
  <c r="AQ724" i="1"/>
  <c r="AQ740" i="1"/>
  <c r="AQ647" i="1"/>
  <c r="AQ737" i="1"/>
  <c r="AQ662" i="1"/>
  <c r="AQ661" i="1"/>
  <c r="AQ756" i="1"/>
  <c r="AQ742" i="1"/>
  <c r="AQ876" i="1"/>
  <c r="AQ791" i="1"/>
  <c r="AQ807" i="1"/>
  <c r="AQ831" i="1"/>
  <c r="AQ863" i="1"/>
  <c r="AQ730" i="1"/>
  <c r="AQ683" i="1"/>
  <c r="AQ840" i="1"/>
  <c r="AQ868" i="1"/>
  <c r="AQ46" i="1"/>
  <c r="AQ98" i="1"/>
  <c r="AQ143" i="1"/>
  <c r="AQ148" i="1"/>
  <c r="AQ189" i="1"/>
  <c r="AQ175" i="1"/>
  <c r="AQ192" i="1"/>
  <c r="AQ198" i="1"/>
  <c r="AQ210" i="1"/>
  <c r="AQ218" i="1"/>
  <c r="AQ226" i="1"/>
  <c r="AQ233" i="1"/>
  <c r="AQ241" i="1"/>
  <c r="AQ249" i="1"/>
  <c r="AQ257" i="1"/>
  <c r="AQ265" i="1"/>
  <c r="AQ273" i="1"/>
  <c r="AQ292" i="1"/>
  <c r="AQ300" i="1"/>
  <c r="AQ361" i="1"/>
  <c r="AQ429" i="1"/>
  <c r="AQ352" i="1"/>
  <c r="AQ370" i="1"/>
  <c r="AQ434" i="1"/>
  <c r="AQ387" i="1"/>
  <c r="AQ527" i="1"/>
  <c r="AQ591" i="1"/>
  <c r="AQ534" i="1"/>
  <c r="AQ550" i="1"/>
  <c r="AQ566" i="1"/>
  <c r="AQ582" i="1"/>
  <c r="AQ598" i="1"/>
  <c r="AQ614" i="1"/>
  <c r="AQ648" i="1"/>
  <c r="AQ704" i="1"/>
  <c r="AQ733" i="1"/>
  <c r="AQ731" i="1"/>
  <c r="AQ761" i="1"/>
  <c r="AQ768" i="1"/>
  <c r="AQ784" i="1"/>
  <c r="AQ800" i="1"/>
  <c r="AQ818" i="1"/>
  <c r="AQ849" i="1"/>
  <c r="AQ679" i="1"/>
  <c r="AQ691" i="1"/>
  <c r="AQ834" i="1"/>
  <c r="AQ862" i="1"/>
  <c r="AQ22" i="1"/>
  <c r="AQ12" i="1"/>
  <c r="AQ35" i="1"/>
  <c r="AQ36" i="1"/>
  <c r="AQ55" i="1"/>
  <c r="AQ85" i="1"/>
  <c r="AQ93" i="1"/>
  <c r="AQ117" i="1"/>
  <c r="AQ118" i="1"/>
  <c r="AQ137" i="1"/>
  <c r="AQ135" i="1"/>
  <c r="AQ201" i="1"/>
  <c r="AQ187" i="1"/>
  <c r="AQ203" i="1"/>
  <c r="AQ213" i="1"/>
  <c r="AQ221" i="1"/>
  <c r="AQ295" i="1"/>
  <c r="AQ303" i="1"/>
  <c r="AQ287" i="1"/>
  <c r="AQ310" i="1"/>
  <c r="AQ326" i="1"/>
  <c r="AQ376" i="1"/>
  <c r="AQ392" i="1"/>
  <c r="AQ408" i="1"/>
  <c r="AQ424" i="1"/>
  <c r="AQ440" i="1"/>
  <c r="AQ401" i="1"/>
  <c r="AQ452" i="1"/>
  <c r="AQ422" i="1"/>
  <c r="AQ464" i="1"/>
  <c r="AQ480" i="1"/>
  <c r="AQ496" i="1"/>
  <c r="AQ512" i="1"/>
  <c r="AQ528" i="1"/>
  <c r="AQ544" i="1"/>
  <c r="AQ560" i="1"/>
  <c r="AQ576" i="1"/>
  <c r="AQ592" i="1"/>
  <c r="AQ608" i="1"/>
  <c r="AQ624" i="1"/>
  <c r="AQ391" i="1"/>
  <c r="AQ571" i="1"/>
  <c r="AQ637" i="1"/>
  <c r="AQ529" i="1"/>
  <c r="AQ545" i="1"/>
  <c r="AQ561" i="1"/>
  <c r="AQ577" i="1"/>
  <c r="AQ593" i="1"/>
  <c r="AQ609" i="1"/>
  <c r="AQ625" i="1"/>
  <c r="AQ672" i="1"/>
  <c r="AQ643" i="1"/>
  <c r="AQ673" i="1"/>
  <c r="AQ713" i="1"/>
  <c r="AQ650" i="1"/>
  <c r="AQ649" i="1"/>
  <c r="AQ678" i="1"/>
  <c r="AQ769" i="1"/>
  <c r="AQ785" i="1"/>
  <c r="AQ801" i="1"/>
  <c r="AQ875" i="1"/>
  <c r="AQ851" i="1"/>
  <c r="AQ687" i="1"/>
  <c r="AQ836" i="1"/>
  <c r="AQ856" i="1"/>
  <c r="AQ874" i="1"/>
  <c r="AQ50" i="1"/>
  <c r="AQ170" i="1"/>
  <c r="AQ202" i="1"/>
  <c r="AQ168" i="1"/>
  <c r="AQ42" i="1"/>
  <c r="AQ152" i="1"/>
  <c r="AQ24" i="1"/>
  <c r="AQ182" i="1"/>
  <c r="AQ49" i="1"/>
  <c r="AQ32" i="1"/>
  <c r="AQ140" i="1"/>
  <c r="AQ51" i="1"/>
  <c r="AQ63" i="1"/>
  <c r="AQ74" i="1"/>
  <c r="AQ64" i="1"/>
  <c r="AQ76" i="1"/>
  <c r="AQ97" i="1"/>
  <c r="AQ122" i="1"/>
  <c r="AQ147" i="1"/>
  <c r="AQ155" i="1"/>
  <c r="AQ165" i="1"/>
  <c r="AQ181" i="1"/>
  <c r="AQ197" i="1"/>
  <c r="AQ228" i="1"/>
  <c r="AQ236" i="1"/>
  <c r="AQ244" i="1"/>
  <c r="AQ252" i="1"/>
  <c r="AQ260" i="1"/>
  <c r="AQ268" i="1"/>
  <c r="AQ276" i="1"/>
  <c r="AQ294" i="1"/>
  <c r="AQ302" i="1"/>
  <c r="AQ312" i="1"/>
  <c r="AQ328" i="1"/>
  <c r="AQ344" i="1"/>
  <c r="AQ373" i="1"/>
  <c r="AQ437" i="1"/>
  <c r="AQ451" i="1"/>
  <c r="AQ410" i="1"/>
  <c r="AQ427" i="1"/>
  <c r="AQ567" i="1"/>
  <c r="AQ634" i="1"/>
  <c r="AQ466" i="1"/>
  <c r="AQ482" i="1"/>
  <c r="AQ498" i="1"/>
  <c r="AQ514" i="1"/>
  <c r="AQ660" i="1"/>
  <c r="AQ677" i="1"/>
  <c r="AQ697" i="1"/>
  <c r="AQ725" i="1"/>
  <c r="AQ699" i="1"/>
  <c r="AQ727" i="1"/>
  <c r="AQ759" i="1"/>
  <c r="AQ750" i="1"/>
  <c r="AQ774" i="1"/>
  <c r="AQ790" i="1"/>
  <c r="AQ806" i="1"/>
  <c r="AQ829" i="1"/>
  <c r="AQ861" i="1"/>
  <c r="AQ674" i="1"/>
  <c r="AQ822" i="1"/>
  <c r="AQ21" i="1"/>
  <c r="AQ60" i="1"/>
  <c r="AQ84" i="1"/>
  <c r="AQ92" i="1"/>
  <c r="AQ142" i="1"/>
  <c r="AQ205" i="1"/>
  <c r="AQ183" i="1"/>
  <c r="AQ199" i="1"/>
  <c r="AQ293" i="1"/>
  <c r="AQ301" i="1"/>
  <c r="AQ280" i="1"/>
  <c r="AQ305" i="1"/>
  <c r="AQ313" i="1"/>
  <c r="AQ321" i="1"/>
  <c r="AQ329" i="1"/>
  <c r="AQ333" i="1"/>
  <c r="AQ337" i="1"/>
  <c r="AQ380" i="1"/>
  <c r="AQ396" i="1"/>
  <c r="AQ412" i="1"/>
  <c r="AQ428" i="1"/>
  <c r="AQ444" i="1"/>
  <c r="AQ409" i="1"/>
  <c r="AQ446" i="1"/>
  <c r="AQ398" i="1"/>
  <c r="AQ367" i="1"/>
  <c r="AQ431" i="1"/>
  <c r="AQ465" i="1"/>
  <c r="AQ481" i="1"/>
  <c r="AQ497" i="1"/>
  <c r="AQ513" i="1"/>
  <c r="AQ547" i="1"/>
  <c r="AQ611" i="1"/>
  <c r="AQ631" i="1"/>
  <c r="AQ459" i="1"/>
  <c r="AQ475" i="1"/>
  <c r="AQ491" i="1"/>
  <c r="AQ507" i="1"/>
  <c r="AQ523" i="1"/>
  <c r="AQ692" i="1"/>
  <c r="AQ712" i="1"/>
  <c r="AQ728" i="1"/>
  <c r="AQ744" i="1"/>
  <c r="AQ655" i="1"/>
  <c r="AQ681" i="1"/>
  <c r="AQ638" i="1"/>
  <c r="AQ760" i="1"/>
  <c r="AQ763" i="1"/>
  <c r="AQ779" i="1"/>
  <c r="AQ795" i="1"/>
  <c r="AQ811" i="1"/>
  <c r="AQ839" i="1"/>
  <c r="AQ871" i="1"/>
  <c r="AQ817" i="1"/>
  <c r="AQ848" i="1"/>
  <c r="AQ119" i="1"/>
  <c r="AQ100" i="1"/>
  <c r="AQ112" i="1"/>
  <c r="AQ126" i="1"/>
  <c r="AQ102" i="1"/>
  <c r="AQ184" i="1"/>
  <c r="AQ227" i="1"/>
  <c r="AQ235" i="1"/>
  <c r="AQ243" i="1"/>
  <c r="AQ251" i="1"/>
  <c r="AQ259" i="1"/>
  <c r="AQ267" i="1"/>
  <c r="AQ275" i="1"/>
  <c r="AQ278" i="1"/>
  <c r="AQ316" i="1"/>
  <c r="AQ350" i="1"/>
  <c r="AQ349" i="1"/>
  <c r="AQ413" i="1"/>
  <c r="AQ362" i="1"/>
  <c r="AQ449" i="1"/>
  <c r="AQ363" i="1"/>
  <c r="AQ386" i="1"/>
  <c r="AQ403" i="1"/>
  <c r="AQ575" i="1"/>
  <c r="AQ636" i="1"/>
  <c r="AQ538" i="1"/>
  <c r="AQ554" i="1"/>
  <c r="AQ570" i="1"/>
  <c r="AQ586" i="1"/>
  <c r="AQ602" i="1"/>
  <c r="AQ618" i="1"/>
  <c r="AQ656" i="1"/>
  <c r="AQ688" i="1"/>
  <c r="AQ685" i="1"/>
  <c r="AQ749" i="1"/>
  <c r="AQ707" i="1"/>
  <c r="AQ739" i="1"/>
  <c r="AQ698" i="1"/>
  <c r="AQ772" i="1"/>
  <c r="AQ788" i="1"/>
  <c r="AQ804" i="1"/>
  <c r="AQ825" i="1"/>
  <c r="AQ857" i="1"/>
  <c r="AQ690" i="1"/>
  <c r="AQ842" i="1"/>
  <c r="AQ870" i="1"/>
  <c r="AQ13" i="1"/>
  <c r="AQ38" i="1"/>
  <c r="AQ56" i="1"/>
  <c r="AQ71" i="1"/>
  <c r="AQ79" i="1"/>
  <c r="AQ87" i="1"/>
  <c r="AQ104" i="1"/>
  <c r="AQ120" i="1"/>
  <c r="AQ163" i="1"/>
  <c r="AQ194" i="1"/>
  <c r="AQ206" i="1"/>
  <c r="AQ346" i="1"/>
  <c r="AQ385" i="1"/>
  <c r="AQ353" i="1"/>
  <c r="AQ359" i="1"/>
  <c r="AQ374" i="1"/>
  <c r="AQ438" i="1"/>
  <c r="AQ468" i="1"/>
  <c r="AQ484" i="1"/>
  <c r="AQ500" i="1"/>
  <c r="AQ516" i="1"/>
  <c r="AQ532" i="1"/>
  <c r="AQ548" i="1"/>
  <c r="AQ564" i="1"/>
  <c r="AQ580" i="1"/>
  <c r="AQ596" i="1"/>
  <c r="AQ612" i="1"/>
  <c r="AQ407" i="1"/>
  <c r="AQ555" i="1"/>
  <c r="AQ619" i="1"/>
  <c r="AQ533" i="1"/>
  <c r="AQ549" i="1"/>
  <c r="AQ565" i="1"/>
  <c r="AQ581" i="1"/>
  <c r="AQ597" i="1"/>
  <c r="AQ613" i="1"/>
  <c r="AQ628" i="1"/>
  <c r="AQ700" i="1"/>
  <c r="AQ651" i="1"/>
  <c r="AQ729" i="1"/>
  <c r="AQ658" i="1"/>
  <c r="AQ657" i="1"/>
  <c r="AQ702" i="1"/>
  <c r="AQ773" i="1"/>
  <c r="AQ789" i="1"/>
  <c r="AQ805" i="1"/>
  <c r="AQ827" i="1"/>
  <c r="AQ859" i="1"/>
  <c r="AQ714" i="1"/>
  <c r="AQ753" i="1"/>
  <c r="AQ844" i="1"/>
  <c r="AQ864" i="1"/>
  <c r="AQ174" i="1"/>
  <c r="AQ176" i="1"/>
  <c r="AQ14" i="1"/>
  <c r="AQ40" i="1"/>
  <c r="AQ72" i="1"/>
  <c r="AQ190" i="1"/>
  <c r="AQ343" i="1"/>
  <c r="AQ156" i="1"/>
  <c r="AQ19" i="1"/>
  <c r="AQ65" i="1"/>
  <c r="AQ67" i="1"/>
  <c r="AQ73" i="1"/>
  <c r="AQ127" i="1"/>
  <c r="AQ99" i="1"/>
  <c r="AQ103" i="1"/>
  <c r="AQ139" i="1"/>
  <c r="AQ161" i="1"/>
  <c r="AQ177" i="1"/>
  <c r="AQ154" i="1"/>
  <c r="AQ216" i="1"/>
  <c r="AQ224" i="1"/>
  <c r="AQ230" i="1"/>
  <c r="AQ238" i="1"/>
  <c r="AQ246" i="1"/>
  <c r="AQ254" i="1"/>
  <c r="AQ262" i="1"/>
  <c r="AQ270" i="1"/>
  <c r="AQ279" i="1"/>
  <c r="AQ284" i="1"/>
  <c r="AQ356" i="1"/>
  <c r="AQ421" i="1"/>
  <c r="AQ426" i="1"/>
  <c r="AQ379" i="1"/>
  <c r="AQ443" i="1"/>
  <c r="AQ551" i="1"/>
  <c r="AQ615" i="1"/>
  <c r="AQ454" i="1"/>
  <c r="AQ470" i="1"/>
  <c r="AQ486" i="1"/>
  <c r="AQ502" i="1"/>
  <c r="AQ518" i="1"/>
  <c r="AQ668" i="1"/>
  <c r="AQ752" i="1"/>
  <c r="AQ701" i="1"/>
  <c r="AQ741" i="1"/>
  <c r="AQ735" i="1"/>
  <c r="AQ686" i="1"/>
  <c r="AQ762" i="1"/>
  <c r="AQ778" i="1"/>
  <c r="AQ794" i="1"/>
  <c r="AQ810" i="1"/>
  <c r="AQ837" i="1"/>
  <c r="AQ869" i="1"/>
  <c r="AQ722" i="1"/>
  <c r="AQ830" i="1"/>
  <c r="AQ858" i="1"/>
  <c r="AQ159" i="1"/>
  <c r="AQ27" i="1"/>
  <c r="AQ31" i="1"/>
  <c r="AQ59" i="1"/>
  <c r="AQ62" i="1"/>
  <c r="AQ78" i="1"/>
  <c r="AQ86" i="1"/>
  <c r="AQ94" i="1"/>
  <c r="AQ123" i="1"/>
  <c r="AQ121" i="1"/>
  <c r="AQ108" i="1"/>
  <c r="AQ116" i="1"/>
  <c r="AQ193" i="1"/>
  <c r="AQ215" i="1"/>
  <c r="AQ223" i="1"/>
  <c r="AQ306" i="1"/>
  <c r="AQ322" i="1"/>
  <c r="AQ307" i="1"/>
  <c r="AQ315" i="1"/>
  <c r="AQ323" i="1"/>
  <c r="AQ330" i="1"/>
  <c r="AQ334" i="1"/>
  <c r="AQ338" i="1"/>
  <c r="AQ393" i="1"/>
  <c r="AQ366" i="1"/>
  <c r="AQ414" i="1"/>
  <c r="AQ383" i="1"/>
  <c r="AQ453" i="1"/>
  <c r="AQ469" i="1"/>
  <c r="AQ485" i="1"/>
  <c r="AQ501" i="1"/>
  <c r="AQ517" i="1"/>
  <c r="AQ531" i="1"/>
  <c r="AQ595" i="1"/>
  <c r="AQ635" i="1"/>
  <c r="AQ463" i="1"/>
  <c r="AQ479" i="1"/>
  <c r="AQ495" i="1"/>
  <c r="AQ511" i="1"/>
  <c r="AQ626" i="1"/>
  <c r="AQ676" i="1"/>
  <c r="AQ716" i="1"/>
  <c r="AQ732" i="1"/>
  <c r="AQ748" i="1"/>
  <c r="AQ663" i="1"/>
  <c r="AQ646" i="1"/>
  <c r="AQ645" i="1"/>
  <c r="AQ703" i="1"/>
  <c r="AQ694" i="1"/>
  <c r="AQ767" i="1"/>
  <c r="AQ783" i="1"/>
  <c r="AQ799" i="1"/>
  <c r="AQ816" i="1"/>
  <c r="AQ847" i="1"/>
  <c r="AQ824" i="1"/>
  <c r="AQ17" i="1"/>
  <c r="AQ23" i="1"/>
  <c r="AQ58" i="1"/>
  <c r="AQ105" i="1"/>
  <c r="AQ138" i="1"/>
  <c r="AQ149" i="1"/>
  <c r="AQ110" i="1"/>
  <c r="AQ208" i="1"/>
  <c r="AQ214" i="1"/>
  <c r="AQ222" i="1"/>
  <c r="AQ229" i="1"/>
  <c r="AQ237" i="1"/>
  <c r="AQ245" i="1"/>
  <c r="AQ253" i="1"/>
  <c r="AQ261" i="1"/>
  <c r="AQ269" i="1"/>
  <c r="AQ277" i="1"/>
  <c r="AQ296" i="1"/>
  <c r="AQ282" i="1"/>
  <c r="AQ360" i="1"/>
  <c r="AQ397" i="1"/>
  <c r="AQ402" i="1"/>
  <c r="AQ419" i="1"/>
  <c r="AQ559" i="1"/>
  <c r="AQ623" i="1"/>
  <c r="AQ526" i="1"/>
  <c r="AQ542" i="1"/>
  <c r="AQ558" i="1"/>
  <c r="AQ574" i="1"/>
  <c r="AQ590" i="1"/>
  <c r="AQ606" i="1"/>
  <c r="AQ622" i="1"/>
  <c r="AQ664" i="1"/>
  <c r="AQ670" i="1"/>
  <c r="AQ715" i="1"/>
  <c r="AQ747" i="1"/>
  <c r="AQ718" i="1"/>
  <c r="AQ776" i="1"/>
  <c r="AQ792" i="1"/>
  <c r="AQ808" i="1"/>
  <c r="AQ833" i="1"/>
  <c r="AQ865" i="1"/>
  <c r="AQ738" i="1"/>
  <c r="AQ819" i="1"/>
  <c r="AQ850" i="1"/>
  <c r="AQ16" i="1"/>
  <c r="AQ47" i="1"/>
  <c r="AQ57" i="1"/>
  <c r="AQ69" i="1"/>
  <c r="AQ81" i="1"/>
  <c r="AQ89" i="1"/>
  <c r="AQ77" i="1"/>
  <c r="AQ125" i="1"/>
  <c r="AQ124" i="1"/>
  <c r="AQ145" i="1"/>
  <c r="AQ133" i="1"/>
  <c r="AQ150" i="1"/>
  <c r="AQ179" i="1"/>
  <c r="AQ195" i="1"/>
  <c r="AQ209" i="1"/>
  <c r="AQ217" i="1"/>
  <c r="AQ225" i="1"/>
  <c r="AQ291" i="1"/>
  <c r="AQ299" i="1"/>
  <c r="AQ318" i="1"/>
  <c r="AQ368" i="1"/>
  <c r="AQ384" i="1"/>
  <c r="AQ400" i="1"/>
  <c r="AQ416" i="1"/>
  <c r="AQ432" i="1"/>
  <c r="AQ369" i="1"/>
  <c r="AQ433" i="1"/>
  <c r="AQ358" i="1"/>
  <c r="AQ448" i="1"/>
  <c r="AQ390" i="1"/>
  <c r="AQ456" i="1"/>
  <c r="AQ472" i="1"/>
  <c r="AQ488" i="1"/>
  <c r="AQ504" i="1"/>
  <c r="AQ520" i="1"/>
  <c r="AQ536" i="1"/>
  <c r="AQ552" i="1"/>
  <c r="AQ568" i="1"/>
  <c r="AQ584" i="1"/>
  <c r="AQ600" i="1"/>
  <c r="AQ616" i="1"/>
  <c r="AQ423" i="1"/>
  <c r="AQ539" i="1"/>
  <c r="AQ603" i="1"/>
  <c r="AQ629" i="1"/>
  <c r="AQ537" i="1"/>
  <c r="AQ553" i="1"/>
  <c r="AQ569" i="1"/>
  <c r="AQ585" i="1"/>
  <c r="AQ601" i="1"/>
  <c r="AQ617" i="1"/>
  <c r="AQ632" i="1"/>
  <c r="AQ684" i="1"/>
  <c r="AQ659" i="1"/>
  <c r="AQ745" i="1"/>
  <c r="AQ666" i="1"/>
  <c r="AQ665" i="1"/>
  <c r="AQ751" i="1"/>
  <c r="AQ726" i="1"/>
  <c r="AQ777" i="1"/>
  <c r="AQ793" i="1"/>
  <c r="AQ809" i="1"/>
  <c r="AQ835" i="1"/>
  <c r="AQ867" i="1"/>
  <c r="AQ746" i="1"/>
  <c r="AQ820" i="1"/>
  <c r="AQ852" i="1"/>
  <c r="AQ872" i="1"/>
  <c r="AQ45" i="1"/>
  <c r="AQ44" i="1"/>
  <c r="AQ162" i="1"/>
  <c r="AQ178" i="1"/>
  <c r="AQ339" i="1"/>
  <c r="AQ28" i="1"/>
  <c r="AQ34" i="1"/>
  <c r="AQ52" i="1"/>
  <c r="AQ136" i="1"/>
  <c r="AQ37" i="1"/>
  <c r="AQ342" i="1"/>
  <c r="AQ68" i="1"/>
  <c r="AQ196" i="1"/>
  <c r="AQ20" i="1"/>
  <c r="AQ95" i="1"/>
  <c r="AQ101" i="1"/>
  <c r="AQ111" i="1"/>
  <c r="AQ106" i="1"/>
  <c r="AQ173" i="1"/>
  <c r="AQ167" i="1"/>
  <c r="AQ188" i="1"/>
  <c r="AQ232" i="1"/>
  <c r="AQ240" i="1"/>
  <c r="AQ248" i="1"/>
  <c r="AQ256" i="1"/>
  <c r="AQ264" i="1"/>
  <c r="AQ272" i="1"/>
  <c r="AQ290" i="1"/>
  <c r="AQ298" i="1"/>
  <c r="AQ288" i="1"/>
  <c r="AQ304" i="1"/>
  <c r="AQ320" i="1"/>
  <c r="AQ364" i="1"/>
  <c r="AQ357" i="1"/>
  <c r="AQ405" i="1"/>
  <c r="AQ354" i="1"/>
  <c r="AQ447" i="1"/>
  <c r="AQ355" i="1"/>
  <c r="AQ378" i="1"/>
  <c r="AQ442" i="1"/>
  <c r="AQ395" i="1"/>
  <c r="AQ535" i="1"/>
  <c r="AQ599" i="1"/>
  <c r="AQ458" i="1"/>
  <c r="AQ474" i="1"/>
  <c r="AQ490" i="1"/>
  <c r="AQ506" i="1"/>
  <c r="AQ522" i="1"/>
  <c r="AQ644" i="1"/>
  <c r="AQ696" i="1"/>
  <c r="AQ705" i="1"/>
  <c r="AQ711" i="1"/>
  <c r="AQ743" i="1"/>
  <c r="AQ706" i="1"/>
  <c r="AQ766" i="1"/>
  <c r="AQ782" i="1"/>
  <c r="AQ798" i="1"/>
  <c r="AQ814" i="1"/>
  <c r="AQ845" i="1"/>
  <c r="AQ838" i="1"/>
  <c r="AQ866" i="1"/>
  <c r="AQ157" i="1"/>
  <c r="AQ80" i="1"/>
  <c r="AQ88" i="1"/>
  <c r="AQ141" i="1"/>
  <c r="AQ151" i="1"/>
  <c r="AQ191" i="1"/>
  <c r="AQ207" i="1"/>
  <c r="AQ297" i="1"/>
  <c r="AQ285" i="1"/>
  <c r="AQ309" i="1"/>
  <c r="AQ317" i="1"/>
  <c r="AQ325" i="1"/>
  <c r="AQ331" i="1"/>
  <c r="AQ335" i="1"/>
  <c r="AQ372" i="1"/>
  <c r="AQ388" i="1"/>
  <c r="AQ404" i="1"/>
  <c r="AQ420" i="1"/>
  <c r="AQ436" i="1"/>
  <c r="AQ377" i="1"/>
  <c r="AQ441" i="1"/>
  <c r="AQ450" i="1"/>
  <c r="AQ430" i="1"/>
  <c r="AQ399" i="1"/>
  <c r="AQ457" i="1"/>
  <c r="AQ473" i="1"/>
  <c r="AQ489" i="1"/>
  <c r="AQ505" i="1"/>
  <c r="AQ521" i="1"/>
  <c r="AQ579" i="1"/>
  <c r="AQ467" i="1"/>
  <c r="AQ483" i="1"/>
  <c r="AQ499" i="1"/>
  <c r="AQ515" i="1"/>
  <c r="AQ630" i="1"/>
  <c r="AQ720" i="1"/>
  <c r="AQ736" i="1"/>
  <c r="AQ639" i="1"/>
  <c r="AQ669" i="1"/>
  <c r="AQ721" i="1"/>
  <c r="AQ654" i="1"/>
  <c r="AQ653" i="1"/>
  <c r="AQ710" i="1"/>
  <c r="AQ771" i="1"/>
  <c r="AQ787" i="1"/>
  <c r="AQ803" i="1"/>
  <c r="AQ823" i="1"/>
  <c r="AQ855" i="1"/>
  <c r="AQ682" i="1"/>
  <c r="AQ832" i="1"/>
  <c r="AQ860" i="1"/>
  <c r="AQ43" i="1"/>
  <c r="AQ39" i="1"/>
  <c r="AQ131" i="1"/>
  <c r="AQ96" i="1"/>
  <c r="AQ128" i="1"/>
  <c r="AQ107" i="1"/>
  <c r="AQ132" i="1"/>
  <c r="AQ172" i="1"/>
  <c r="AQ200" i="1"/>
  <c r="AQ231" i="1"/>
  <c r="AQ239" i="1"/>
  <c r="AQ247" i="1"/>
  <c r="AQ255" i="1"/>
  <c r="AQ263" i="1"/>
  <c r="AQ271" i="1"/>
  <c r="AQ281" i="1"/>
  <c r="AQ286" i="1"/>
  <c r="AQ308" i="1"/>
  <c r="AQ324" i="1"/>
  <c r="AQ381" i="1"/>
  <c r="AQ445" i="1"/>
  <c r="AQ418" i="1"/>
  <c r="AQ371" i="1"/>
  <c r="AQ435" i="1"/>
  <c r="AQ543" i="1"/>
  <c r="AQ607" i="1"/>
  <c r="AQ530" i="1"/>
  <c r="AQ546" i="1"/>
  <c r="AQ562" i="1"/>
  <c r="AQ578" i="1"/>
  <c r="AQ594" i="1"/>
  <c r="AQ610" i="1"/>
  <c r="AQ640" i="1"/>
  <c r="AQ717" i="1"/>
  <c r="AQ723" i="1"/>
  <c r="AQ757" i="1"/>
  <c r="AQ764" i="1"/>
  <c r="AQ780" i="1"/>
  <c r="AQ796" i="1"/>
  <c r="AQ812" i="1"/>
  <c r="AQ841" i="1"/>
  <c r="AQ754" i="1"/>
  <c r="AQ826" i="1"/>
  <c r="AQ854" i="1"/>
  <c r="AQ15" i="1"/>
  <c r="AQ26" i="1"/>
  <c r="AQ29" i="1"/>
  <c r="AQ66" i="1"/>
  <c r="AQ83" i="1"/>
  <c r="AQ91" i="1"/>
  <c r="AQ115" i="1"/>
  <c r="AQ134" i="1"/>
  <c r="AQ114" i="1"/>
  <c r="AQ130" i="1"/>
  <c r="AQ158" i="1"/>
  <c r="AQ185" i="1"/>
  <c r="AQ283" i="1"/>
  <c r="AQ340" i="1"/>
  <c r="AQ417" i="1"/>
  <c r="AQ406" i="1"/>
  <c r="AQ460" i="1"/>
  <c r="AQ476" i="1"/>
  <c r="AQ492" i="1"/>
  <c r="AQ508" i="1"/>
  <c r="AQ524" i="1"/>
  <c r="AQ540" i="1"/>
  <c r="AQ556" i="1"/>
  <c r="AQ572" i="1"/>
  <c r="AQ588" i="1"/>
  <c r="AQ604" i="1"/>
  <c r="AQ620" i="1"/>
  <c r="AQ375" i="1"/>
  <c r="AQ439" i="1"/>
  <c r="AQ587" i="1"/>
  <c r="AQ633" i="1"/>
  <c r="AQ525" i="1"/>
  <c r="AQ541" i="1"/>
  <c r="AQ557" i="1"/>
  <c r="AQ573" i="1"/>
  <c r="AQ589" i="1"/>
  <c r="AQ605" i="1"/>
  <c r="AQ621" i="1"/>
  <c r="AQ667" i="1"/>
  <c r="AQ689" i="1"/>
  <c r="AQ642" i="1"/>
  <c r="AQ641" i="1"/>
  <c r="AQ671" i="1"/>
  <c r="AQ695" i="1"/>
  <c r="AQ758" i="1"/>
  <c r="AQ765" i="1"/>
  <c r="AQ781" i="1"/>
  <c r="AQ797" i="1"/>
  <c r="AQ813" i="1"/>
  <c r="AQ843" i="1"/>
  <c r="AQ873" i="1"/>
  <c r="AQ828" i="1"/>
  <c r="AB13" i="1"/>
  <c r="AE13" i="1"/>
  <c r="AC13" i="1"/>
  <c r="AD13" i="1"/>
  <c r="BC707" i="1"/>
  <c r="BB669" i="1"/>
  <c r="BB462" i="1"/>
  <c r="BB432" i="1"/>
  <c r="BC428" i="1"/>
  <c r="BB394" i="1"/>
  <c r="BC491" i="1"/>
  <c r="BB421" i="1"/>
  <c r="BB349" i="1"/>
  <c r="BC302" i="1"/>
  <c r="BB266" i="1"/>
  <c r="BB234" i="1"/>
  <c r="BB210" i="1"/>
  <c r="BC243" i="1"/>
  <c r="BB175" i="1"/>
  <c r="BB151" i="1"/>
  <c r="BB96" i="1"/>
  <c r="BB71" i="1"/>
  <c r="BC26" i="1"/>
  <c r="BC195" i="1"/>
  <c r="BC872" i="1"/>
  <c r="BB646" i="1"/>
  <c r="BC674" i="1"/>
  <c r="BB573" i="1"/>
  <c r="BC628" i="1"/>
  <c r="BC615" i="1"/>
  <c r="BC583" i="1"/>
  <c r="BC551" i="1"/>
  <c r="BB512" i="1"/>
  <c r="BB444" i="1"/>
  <c r="BB443" i="1"/>
  <c r="BC403" i="1"/>
  <c r="BC482" i="1"/>
  <c r="BC402" i="1"/>
  <c r="BC301" i="1"/>
  <c r="BB223" i="1"/>
  <c r="BC258" i="1"/>
  <c r="BC210" i="1"/>
  <c r="BC119" i="1"/>
  <c r="BC96" i="1"/>
  <c r="BB80" i="1"/>
  <c r="BC57" i="1"/>
  <c r="BB699" i="1"/>
  <c r="BB652" i="1"/>
  <c r="BC589" i="1"/>
  <c r="BC525" i="1"/>
  <c r="BC542" i="1"/>
  <c r="BB376" i="1"/>
  <c r="BB418" i="1"/>
  <c r="BC493" i="1"/>
  <c r="BB342" i="1"/>
  <c r="BC304" i="1"/>
  <c r="BB263" i="1"/>
  <c r="BB231" i="1"/>
  <c r="BC277" i="1"/>
  <c r="BC166" i="1"/>
  <c r="BB200" i="1"/>
  <c r="BC128" i="1"/>
  <c r="BC67" i="1"/>
  <c r="BB39" i="1"/>
  <c r="BC874" i="1"/>
  <c r="BB634" i="1"/>
  <c r="BB673" i="1"/>
  <c r="BB467" i="1"/>
  <c r="BB517" i="1"/>
  <c r="BB453" i="1"/>
  <c r="BC384" i="1"/>
  <c r="BC500" i="1"/>
  <c r="BC430" i="1"/>
  <c r="BB311" i="1"/>
  <c r="BC299" i="1"/>
  <c r="BB217" i="1"/>
  <c r="BC244" i="1"/>
  <c r="BC178" i="1"/>
  <c r="BB136" i="1"/>
  <c r="BB87" i="1"/>
  <c r="BB60" i="1"/>
  <c r="BC44" i="1"/>
  <c r="BB546" i="1"/>
  <c r="BB32" i="1"/>
  <c r="BC646" i="1"/>
  <c r="BC584" i="1"/>
  <c r="BC676" i="1"/>
  <c r="BC280" i="1"/>
  <c r="BC126" i="1"/>
  <c r="BC645" i="1"/>
  <c r="BC608" i="1"/>
  <c r="BC180" i="1"/>
  <c r="BB703" i="1"/>
  <c r="BB656" i="1"/>
  <c r="BB474" i="1"/>
  <c r="BB365" i="1"/>
  <c r="BB415" i="1"/>
  <c r="BC519" i="1"/>
  <c r="BC455" i="1"/>
  <c r="BC314" i="1"/>
  <c r="BB264" i="1"/>
  <c r="BB232" i="1"/>
  <c r="BC255" i="1"/>
  <c r="BB168" i="1"/>
  <c r="BC143" i="1"/>
  <c r="BC97" i="1"/>
  <c r="BC47" i="1"/>
  <c r="BC350" i="1"/>
  <c r="BC74" i="1"/>
  <c r="BB638" i="1"/>
  <c r="BC690" i="1"/>
  <c r="BB585" i="1"/>
  <c r="BB603" i="1"/>
  <c r="BB620" i="1"/>
  <c r="BB588" i="1"/>
  <c r="BB556" i="1"/>
  <c r="BB524" i="1"/>
  <c r="BB460" i="1"/>
  <c r="BB450" i="1"/>
  <c r="BB438" i="1"/>
  <c r="BC510" i="1"/>
  <c r="BC449" i="1"/>
  <c r="BB318" i="1"/>
  <c r="BC278" i="1"/>
  <c r="BC254" i="1"/>
  <c r="BC173" i="1"/>
  <c r="BB180" i="1"/>
  <c r="BB122" i="1"/>
  <c r="BC86" i="1"/>
  <c r="BB49" i="1"/>
  <c r="BB873" i="1"/>
  <c r="BC687" i="1"/>
  <c r="BC617" i="1"/>
  <c r="BC553" i="1"/>
  <c r="BC558" i="1"/>
  <c r="BC373" i="1"/>
  <c r="BB434" i="1"/>
  <c r="BC505" i="1"/>
  <c r="BB417" i="1"/>
  <c r="BB348" i="1"/>
  <c r="BB302" i="1"/>
  <c r="BB261" i="1"/>
  <c r="BB229" i="1"/>
  <c r="BC241" i="1"/>
  <c r="BB158" i="1"/>
  <c r="BB106" i="1"/>
  <c r="BB51" i="1"/>
  <c r="BB649" i="1"/>
  <c r="BB689" i="1"/>
  <c r="BB479" i="1"/>
  <c r="BB531" i="1"/>
  <c r="BB465" i="1"/>
  <c r="BB452" i="1"/>
  <c r="BC443" i="1"/>
  <c r="BC512" i="1"/>
  <c r="BC450" i="1"/>
  <c r="BB317" i="1"/>
  <c r="BB314" i="1"/>
  <c r="BB303" i="1"/>
  <c r="BC272" i="1"/>
  <c r="BC217" i="1"/>
  <c r="BB191" i="1"/>
  <c r="BC127" i="1"/>
  <c r="BC85" i="1"/>
  <c r="BC59" i="1"/>
  <c r="BB594" i="1"/>
  <c r="BB280" i="1"/>
  <c r="BC23" i="1"/>
  <c r="BC644" i="1"/>
  <c r="BC568" i="1"/>
  <c r="BB554" i="1"/>
  <c r="BC194" i="1"/>
  <c r="BC107" i="1"/>
  <c r="BC659" i="1"/>
  <c r="BB590" i="1"/>
  <c r="BC390" i="1"/>
  <c r="BB116" i="1"/>
  <c r="BB708" i="1"/>
  <c r="BC679" i="1"/>
  <c r="BB502" i="1"/>
  <c r="BB599" i="1"/>
  <c r="BB416" i="1"/>
  <c r="BC380" i="1"/>
  <c r="BC515" i="1"/>
  <c r="BB445" i="1"/>
  <c r="BB381" i="1"/>
  <c r="BC326" i="1"/>
  <c r="BB296" i="1"/>
  <c r="BB254" i="1"/>
  <c r="BD254" i="1" s="1"/>
  <c r="BB186" i="1"/>
  <c r="BC251" i="1"/>
  <c r="BC174" i="1"/>
  <c r="BC148" i="1"/>
  <c r="BC115" i="1"/>
  <c r="BC124" i="1"/>
  <c r="BB75" i="1"/>
  <c r="BB45" i="1"/>
  <c r="BC346" i="1"/>
  <c r="BC25" i="1"/>
  <c r="BB662" i="1"/>
  <c r="BB613" i="1"/>
  <c r="BB549" i="1"/>
  <c r="BB555" i="1"/>
  <c r="BC611" i="1"/>
  <c r="BC579" i="1"/>
  <c r="BC547" i="1"/>
  <c r="BB504" i="1"/>
  <c r="BB428" i="1"/>
  <c r="BC435" i="1"/>
  <c r="BC506" i="1"/>
  <c r="BC447" i="1"/>
  <c r="BC337" i="1"/>
  <c r="BC293" i="1"/>
  <c r="BB219" i="1"/>
  <c r="BC250" i="1"/>
  <c r="BC201" i="1"/>
  <c r="BB183" i="1"/>
  <c r="BC129" i="1"/>
  <c r="BB90" i="1"/>
  <c r="BC71" i="1"/>
  <c r="BC20" i="1"/>
  <c r="BB700" i="1"/>
  <c r="BB702" i="1"/>
  <c r="BC613" i="1"/>
  <c r="BC549" i="1"/>
  <c r="BB527" i="1"/>
  <c r="BC357" i="1"/>
  <c r="BC431" i="1"/>
  <c r="BC501" i="1"/>
  <c r="BB316" i="1"/>
  <c r="BB275" i="1"/>
  <c r="BB243" i="1"/>
  <c r="BB220" i="1"/>
  <c r="BC208" i="1"/>
  <c r="BB145" i="1"/>
  <c r="BB97" i="1"/>
  <c r="BB54" i="1"/>
  <c r="BB31" i="1"/>
  <c r="BB641" i="1"/>
  <c r="BC682" i="1"/>
  <c r="BB475" i="1"/>
  <c r="BB547" i="1"/>
  <c r="BB477" i="1"/>
  <c r="BC401" i="1"/>
  <c r="BC368" i="1"/>
  <c r="BC508" i="1"/>
  <c r="BC448" i="1"/>
  <c r="BB323" i="1"/>
  <c r="BC323" i="1"/>
  <c r="BB202" i="1"/>
  <c r="BC268" i="1"/>
  <c r="BC215" i="1"/>
  <c r="BB138" i="1"/>
  <c r="BB93" i="1"/>
  <c r="BB55" i="1"/>
  <c r="BB578" i="1"/>
  <c r="BB204" i="1"/>
  <c r="BC642" i="1"/>
  <c r="BC552" i="1"/>
  <c r="BB602" i="1"/>
  <c r="BC233" i="1"/>
  <c r="BC103" i="1"/>
  <c r="BC657" i="1"/>
  <c r="BB574" i="1"/>
  <c r="BC374" i="1"/>
  <c r="BC701" i="1"/>
  <c r="BB693" i="1"/>
  <c r="BB482" i="1"/>
  <c r="BB551" i="1"/>
  <c r="BC381" i="1"/>
  <c r="BB442" i="1"/>
  <c r="BC511" i="1"/>
  <c r="BC354" i="1"/>
  <c r="BB276" i="1"/>
  <c r="BB244" i="1"/>
  <c r="BB190" i="1"/>
  <c r="BC231" i="1"/>
  <c r="BB179" i="1"/>
  <c r="BB119" i="1"/>
  <c r="BB98" i="1"/>
  <c r="BC69" i="1"/>
  <c r="BC38" i="1"/>
  <c r="BC342" i="1"/>
  <c r="BB29" i="1"/>
  <c r="BB654" i="1"/>
  <c r="BB625" i="1"/>
  <c r="BB561" i="1"/>
  <c r="BC618" i="1"/>
  <c r="BB616" i="1"/>
  <c r="BB584" i="1"/>
  <c r="BB552" i="1"/>
  <c r="BD552" i="1" s="1"/>
  <c r="BB516" i="1"/>
  <c r="BC425" i="1"/>
  <c r="BC424" i="1"/>
  <c r="BC518" i="1"/>
  <c r="BC454" i="1"/>
  <c r="BB335" i="1"/>
  <c r="BB326" i="1"/>
  <c r="BC291" i="1"/>
  <c r="BC262" i="1"/>
  <c r="BC212" i="1"/>
  <c r="BB121" i="1"/>
  <c r="BB112" i="1"/>
  <c r="BC88" i="1"/>
  <c r="BB67" i="1"/>
  <c r="BB42" i="1"/>
  <c r="BB678" i="1"/>
  <c r="BC625" i="1"/>
  <c r="BC561" i="1"/>
  <c r="BC590" i="1"/>
  <c r="BB626" i="1"/>
  <c r="BB439" i="1"/>
  <c r="BC383" i="1"/>
  <c r="BC481" i="1"/>
  <c r="BB393" i="1"/>
  <c r="BB343" i="1"/>
  <c r="BB298" i="1"/>
  <c r="BB257" i="1"/>
  <c r="BB208" i="1"/>
  <c r="BC185" i="1"/>
  <c r="BB203" i="1"/>
  <c r="BB103" i="1"/>
  <c r="BC76" i="1"/>
  <c r="BB24" i="1"/>
  <c r="BB696" i="1"/>
  <c r="BB674" i="1"/>
  <c r="BB503" i="1"/>
  <c r="BC630" i="1"/>
  <c r="BB521" i="1"/>
  <c r="BB457" i="1"/>
  <c r="BC361" i="1"/>
  <c r="BC360" i="1"/>
  <c r="BC504" i="1"/>
  <c r="BC446" i="1"/>
  <c r="BB321" i="1"/>
  <c r="BC330" i="1"/>
  <c r="BC303" i="1"/>
  <c r="BB291" i="1"/>
  <c r="BC264" i="1"/>
  <c r="BC213" i="1"/>
  <c r="BB104" i="1"/>
  <c r="BC91" i="1"/>
  <c r="BB62" i="1"/>
  <c r="BC680" i="1"/>
  <c r="BC548" i="1"/>
  <c r="BC31" i="1"/>
  <c r="BC640" i="1"/>
  <c r="BC536" i="1"/>
  <c r="BB586" i="1"/>
  <c r="BB155" i="1"/>
  <c r="BC37" i="1"/>
  <c r="BC639" i="1"/>
  <c r="BC560" i="1"/>
  <c r="BB40" i="1"/>
  <c r="BC12" i="1"/>
  <c r="BD12" i="1" s="1"/>
  <c r="AE17" i="1"/>
  <c r="AC17" i="1"/>
  <c r="AB17" i="1"/>
  <c r="AD17" i="1"/>
  <c r="AE12" i="1"/>
  <c r="AB12" i="1"/>
  <c r="AC12" i="1"/>
  <c r="AD12" i="1"/>
  <c r="BB709" i="1"/>
  <c r="BB510" i="1"/>
  <c r="BC614" i="1"/>
  <c r="BB400" i="1"/>
  <c r="BC396" i="1"/>
  <c r="BC375" i="1"/>
  <c r="BC475" i="1"/>
  <c r="BB405" i="1"/>
  <c r="BB320" i="1"/>
  <c r="BB300" i="1"/>
  <c r="BB258" i="1"/>
  <c r="BB288" i="1"/>
  <c r="BC165" i="1"/>
  <c r="BC227" i="1"/>
  <c r="BB192" i="1"/>
  <c r="BC134" i="1"/>
  <c r="BC116" i="1"/>
  <c r="BB58" i="1"/>
  <c r="BC32" i="1"/>
  <c r="BC203" i="1"/>
  <c r="BC697" i="1"/>
  <c r="BC675" i="1"/>
  <c r="BB621" i="1"/>
  <c r="BB557" i="1"/>
  <c r="BB587" i="1"/>
  <c r="BC607" i="1"/>
  <c r="BC575" i="1"/>
  <c r="BC543" i="1"/>
  <c r="BB496" i="1"/>
  <c r="BB412" i="1"/>
  <c r="BB411" i="1"/>
  <c r="BB353" i="1"/>
  <c r="BC466" i="1"/>
  <c r="BC370" i="1"/>
  <c r="BC284" i="1"/>
  <c r="BB215" i="1"/>
  <c r="BC242" i="1"/>
  <c r="BB182" i="1"/>
  <c r="BB144" i="1"/>
  <c r="BB92" i="1"/>
  <c r="BC68" i="1"/>
  <c r="BB44" i="1"/>
  <c r="BB694" i="1"/>
  <c r="BB631" i="1"/>
  <c r="BC573" i="1"/>
  <c r="BB623" i="1"/>
  <c r="BB632" i="1"/>
  <c r="BC436" i="1"/>
  <c r="BC399" i="1"/>
  <c r="BC477" i="1"/>
  <c r="BB324" i="1"/>
  <c r="BC283" i="1"/>
  <c r="BB255" i="1"/>
  <c r="BB286" i="1"/>
  <c r="BC261" i="1"/>
  <c r="BB174" i="1"/>
  <c r="BB137" i="1"/>
  <c r="BC112" i="1"/>
  <c r="BC34" i="1"/>
  <c r="BC14" i="1"/>
  <c r="BC689" i="1"/>
  <c r="BB690" i="1"/>
  <c r="BB515" i="1"/>
  <c r="BC626" i="1"/>
  <c r="BB501" i="1"/>
  <c r="BC417" i="1"/>
  <c r="BC427" i="1"/>
  <c r="BC484" i="1"/>
  <c r="BC345" i="1"/>
  <c r="BC336" i="1"/>
  <c r="BC282" i="1"/>
  <c r="BB209" i="1"/>
  <c r="BC228" i="1"/>
  <c r="BB162" i="1"/>
  <c r="BB130" i="1"/>
  <c r="BB83" i="1"/>
  <c r="BC51" i="1"/>
  <c r="BC18" i="1"/>
  <c r="BC461" i="1"/>
  <c r="BB19" i="1"/>
  <c r="BC638" i="1"/>
  <c r="BB146" i="1"/>
  <c r="BB570" i="1"/>
  <c r="BC202" i="1"/>
  <c r="BB72" i="1"/>
  <c r="BC637" i="1"/>
  <c r="BC544" i="1"/>
  <c r="BC154" i="1"/>
  <c r="BC703" i="1"/>
  <c r="BB522" i="1"/>
  <c r="BB458" i="1"/>
  <c r="BC429" i="1"/>
  <c r="BB383" i="1"/>
  <c r="BC503" i="1"/>
  <c r="BB350" i="1"/>
  <c r="BC298" i="1"/>
  <c r="BB256" i="1"/>
  <c r="BB284" i="1"/>
  <c r="BC239" i="1"/>
  <c r="BC142" i="1"/>
  <c r="BB117" i="1"/>
  <c r="BC72" i="1"/>
  <c r="BB46" i="1"/>
  <c r="BC179" i="1"/>
  <c r="BC13" i="1"/>
  <c r="BC691" i="1"/>
  <c r="BB672" i="1"/>
  <c r="BB569" i="1"/>
  <c r="BC586" i="1"/>
  <c r="BB612" i="1"/>
  <c r="BB580" i="1"/>
  <c r="BB548" i="1"/>
  <c r="BB508" i="1"/>
  <c r="BC441" i="1"/>
  <c r="BC440" i="1"/>
  <c r="BC419" i="1"/>
  <c r="BC494" i="1"/>
  <c r="BC426" i="1"/>
  <c r="BC329" i="1"/>
  <c r="BC189" i="1"/>
  <c r="BC238" i="1"/>
  <c r="BC170" i="1"/>
  <c r="BB131" i="1"/>
  <c r="BC108" i="1"/>
  <c r="BC82" i="1"/>
  <c r="BC53" i="1"/>
  <c r="BC677" i="1"/>
  <c r="BC694" i="1"/>
  <c r="BC601" i="1"/>
  <c r="BC537" i="1"/>
  <c r="BB630" i="1"/>
  <c r="BB447" i="1"/>
  <c r="BC415" i="1"/>
  <c r="BC489" i="1"/>
  <c r="BB401" i="1"/>
  <c r="BC316" i="1"/>
  <c r="BB294" i="1"/>
  <c r="BB253" i="1"/>
  <c r="BC281" i="1"/>
  <c r="BB205" i="1"/>
  <c r="BB156" i="1"/>
  <c r="BB139" i="1"/>
  <c r="BB35" i="1"/>
  <c r="BB658" i="1"/>
  <c r="BB670" i="1"/>
  <c r="BB463" i="1"/>
  <c r="BB513" i="1"/>
  <c r="BB436" i="1"/>
  <c r="BB435" i="1"/>
  <c r="BB398" i="1"/>
  <c r="BC496" i="1"/>
  <c r="BC414" i="1"/>
  <c r="BB309" i="1"/>
  <c r="BC327" i="1"/>
  <c r="BB295" i="1"/>
  <c r="BC256" i="1"/>
  <c r="BC209" i="1"/>
  <c r="BB172" i="1"/>
  <c r="BC106" i="1"/>
  <c r="BC81" i="1"/>
  <c r="BC36" i="1"/>
  <c r="BB530" i="1"/>
  <c r="BB126" i="1"/>
  <c r="BB872" i="1"/>
  <c r="BC636" i="1"/>
  <c r="BC22" i="1"/>
  <c r="BC604" i="1"/>
  <c r="BC176" i="1"/>
  <c r="BB27" i="1"/>
  <c r="BC651" i="1"/>
  <c r="BB526" i="1"/>
  <c r="BB338" i="1"/>
  <c r="BB38" i="1"/>
  <c r="BC685" i="1"/>
  <c r="BB677" i="1"/>
  <c r="BD677" i="1" s="1"/>
  <c r="BB486" i="1"/>
  <c r="BC582" i="1"/>
  <c r="BB384" i="1"/>
  <c r="BB426" i="1"/>
  <c r="BC499" i="1"/>
  <c r="BB429" i="1"/>
  <c r="BC362" i="1"/>
  <c r="BC310" i="1"/>
  <c r="BB279" i="1"/>
  <c r="BB246" i="1"/>
  <c r="BB222" i="1"/>
  <c r="BC235" i="1"/>
  <c r="BC204" i="1"/>
  <c r="BB141" i="1"/>
  <c r="BB143" i="1"/>
  <c r="BD143" i="1" s="1"/>
  <c r="BC130" i="1"/>
  <c r="BB63" i="1"/>
  <c r="BB41" i="1"/>
  <c r="BC199" i="1"/>
  <c r="BB13" i="1"/>
  <c r="BB663" i="1"/>
  <c r="BB597" i="1"/>
  <c r="BB533" i="1"/>
  <c r="BC538" i="1"/>
  <c r="BC603" i="1"/>
  <c r="BC571" i="1"/>
  <c r="BC539" i="1"/>
  <c r="BB488" i="1"/>
  <c r="BB396" i="1"/>
  <c r="BB390" i="1"/>
  <c r="BD390" i="1" s="1"/>
  <c r="BC490" i="1"/>
  <c r="BC418" i="1"/>
  <c r="BB339" i="1"/>
  <c r="BB301" i="1"/>
  <c r="BB211" i="1"/>
  <c r="BC234" i="1"/>
  <c r="BB165" i="1"/>
  <c r="BB164" i="1"/>
  <c r="BB120" i="1"/>
  <c r="BB86" i="1"/>
  <c r="BB53" i="1"/>
  <c r="BC24" i="1"/>
  <c r="BC669" i="1"/>
  <c r="BC670" i="1"/>
  <c r="BC597" i="1"/>
  <c r="BC533" i="1"/>
  <c r="BB628" i="1"/>
  <c r="BD628" i="1" s="1"/>
  <c r="BC420" i="1"/>
  <c r="BB386" i="1"/>
  <c r="BC485" i="1"/>
  <c r="BC328" i="1"/>
  <c r="BB267" i="1"/>
  <c r="BB235" i="1"/>
  <c r="BB212" i="1"/>
  <c r="BC158" i="1"/>
  <c r="BC147" i="1"/>
  <c r="BC120" i="1"/>
  <c r="BC56" i="1"/>
  <c r="BB20" i="1"/>
  <c r="BD20" i="1" s="1"/>
  <c r="BB650" i="1"/>
  <c r="BB523" i="1"/>
  <c r="BB459" i="1"/>
  <c r="BC530" i="1"/>
  <c r="BD530" i="1" s="1"/>
  <c r="BB461" i="1"/>
  <c r="BD461" i="1" s="1"/>
  <c r="BC369" i="1"/>
  <c r="BB414" i="1"/>
  <c r="BC492" i="1"/>
  <c r="BC398" i="1"/>
  <c r="BB315" i="1"/>
  <c r="BC307" i="1"/>
  <c r="BB221" i="1"/>
  <c r="BC252" i="1"/>
  <c r="BC198" i="1"/>
  <c r="BB147" i="1"/>
  <c r="BB89" i="1"/>
  <c r="BC55" i="1"/>
  <c r="BC469" i="1"/>
  <c r="BC666" i="1"/>
  <c r="BC634" i="1"/>
  <c r="BC200" i="1"/>
  <c r="BB538" i="1"/>
  <c r="BC184" i="1"/>
  <c r="BC873" i="1"/>
  <c r="BC649" i="1"/>
  <c r="BC631" i="1"/>
  <c r="BB337" i="1"/>
  <c r="BB676" i="1"/>
  <c r="BB640" i="1"/>
  <c r="BB466" i="1"/>
  <c r="BC534" i="1"/>
  <c r="BB431" i="1"/>
  <c r="BC423" i="1"/>
  <c r="BC495" i="1"/>
  <c r="BC343" i="1"/>
  <c r="BB268" i="1"/>
  <c r="BB236" i="1"/>
  <c r="BC169" i="1"/>
  <c r="BB169" i="1"/>
  <c r="BB163" i="1"/>
  <c r="BB154" i="1"/>
  <c r="BB118" i="1"/>
  <c r="BB64" i="1"/>
  <c r="BB37" i="1"/>
  <c r="BC183" i="1"/>
  <c r="BB704" i="1"/>
  <c r="BB682" i="1"/>
  <c r="BD682" i="1" s="1"/>
  <c r="BB609" i="1"/>
  <c r="BB545" i="1"/>
  <c r="BB571" i="1"/>
  <c r="BB608" i="1"/>
  <c r="BB576" i="1"/>
  <c r="BB544" i="1"/>
  <c r="BD544" i="1" s="1"/>
  <c r="BB500" i="1"/>
  <c r="BC393" i="1"/>
  <c r="BC392" i="1"/>
  <c r="BC502" i="1"/>
  <c r="BC442" i="1"/>
  <c r="BB346" i="1"/>
  <c r="BB310" i="1"/>
  <c r="BC288" i="1"/>
  <c r="BC246" i="1"/>
  <c r="BC150" i="1"/>
  <c r="BC133" i="1"/>
  <c r="BC118" i="1"/>
  <c r="BC84" i="1"/>
  <c r="BC50" i="1"/>
  <c r="BC693" i="1"/>
  <c r="BB685" i="1"/>
  <c r="BC609" i="1"/>
  <c r="BC545" i="1"/>
  <c r="BB543" i="1"/>
  <c r="BC421" i="1"/>
  <c r="BB407" i="1"/>
  <c r="BC359" i="1"/>
  <c r="BB441" i="1"/>
  <c r="BD441" i="1" s="1"/>
  <c r="BB377" i="1"/>
  <c r="BC324" i="1"/>
  <c r="BB290" i="1"/>
  <c r="BB249" i="1"/>
  <c r="BC156" i="1"/>
  <c r="BB197" i="1"/>
  <c r="BB160" i="1"/>
  <c r="BB127" i="1"/>
  <c r="BC48" i="1"/>
  <c r="BB26" i="1"/>
  <c r="BD26" i="1" s="1"/>
  <c r="BB665" i="1"/>
  <c r="BB643" i="1"/>
  <c r="BB487" i="1"/>
  <c r="BC610" i="1"/>
  <c r="BB505" i="1"/>
  <c r="BB358" i="1"/>
  <c r="BB448" i="1"/>
  <c r="BB430" i="1"/>
  <c r="BD430" i="1" s="1"/>
  <c r="BC488" i="1"/>
  <c r="BC382" i="1"/>
  <c r="BB313" i="1"/>
  <c r="BB322" i="1"/>
  <c r="BC290" i="1"/>
  <c r="BB289" i="1"/>
  <c r="BC248" i="1"/>
  <c r="BB178" i="1"/>
  <c r="BB124" i="1"/>
  <c r="BC87" i="1"/>
  <c r="BC66" i="1"/>
  <c r="BB562" i="1"/>
  <c r="BC206" i="1"/>
  <c r="BC664" i="1"/>
  <c r="BB614" i="1"/>
  <c r="BC114" i="1"/>
  <c r="BC629" i="1"/>
  <c r="BC168" i="1"/>
  <c r="BC663" i="1"/>
  <c r="BB622" i="1"/>
  <c r="BC422" i="1"/>
  <c r="BC35" i="1"/>
  <c r="BB21" i="1"/>
  <c r="AC16" i="1"/>
  <c r="AD16" i="1"/>
  <c r="AB16" i="1"/>
  <c r="AE16" i="1"/>
  <c r="AD14" i="1"/>
  <c r="AB14" i="1"/>
  <c r="AE14" i="1"/>
  <c r="AC14" i="1"/>
  <c r="BB853" i="1"/>
  <c r="BC686" i="1"/>
  <c r="BB494" i="1"/>
  <c r="BB567" i="1"/>
  <c r="BB368" i="1"/>
  <c r="BC364" i="1"/>
  <c r="BC523" i="1"/>
  <c r="BC459" i="1"/>
  <c r="BB389" i="1"/>
  <c r="BB304" i="1"/>
  <c r="BD304" i="1" s="1"/>
  <c r="BB292" i="1"/>
  <c r="BB250" i="1"/>
  <c r="BB226" i="1"/>
  <c r="BC275" i="1"/>
  <c r="BB201" i="1"/>
  <c r="BC145" i="1"/>
  <c r="BB129" i="1"/>
  <c r="BC101" i="1"/>
  <c r="BC62" i="1"/>
  <c r="BB360" i="1"/>
  <c r="BC171" i="1"/>
  <c r="BB653" i="1"/>
  <c r="BB647" i="1"/>
  <c r="BB605" i="1"/>
  <c r="BB541" i="1"/>
  <c r="BC570" i="1"/>
  <c r="BC599" i="1"/>
  <c r="BC567" i="1"/>
  <c r="BC535" i="1"/>
  <c r="BB480" i="1"/>
  <c r="BB380" i="1"/>
  <c r="BB379" i="1"/>
  <c r="BC514" i="1"/>
  <c r="BC451" i="1"/>
  <c r="BC333" i="1"/>
  <c r="BB297" i="1"/>
  <c r="BC193" i="1"/>
  <c r="BC226" i="1"/>
  <c r="BB196" i="1"/>
  <c r="BC113" i="1"/>
  <c r="BB88" i="1"/>
  <c r="BB59" i="1"/>
  <c r="BC709" i="1"/>
  <c r="BB701" i="1"/>
  <c r="BC621" i="1"/>
  <c r="BC557" i="1"/>
  <c r="BC606" i="1"/>
  <c r="BB440" i="1"/>
  <c r="BC404" i="1"/>
  <c r="BB352" i="1"/>
  <c r="BC352" i="1"/>
  <c r="BB308" i="1"/>
  <c r="BB281" i="1"/>
  <c r="BB247" i="1"/>
  <c r="BB224" i="1"/>
  <c r="BC245" i="1"/>
  <c r="BC196" i="1"/>
  <c r="BC121" i="1"/>
  <c r="BB95" i="1"/>
  <c r="BC33" i="1"/>
  <c r="BB22" i="1"/>
  <c r="BB657" i="1"/>
  <c r="BB667" i="1"/>
  <c r="BB499" i="1"/>
  <c r="BB579" i="1"/>
  <c r="BD579" i="1" s="1"/>
  <c r="BB485" i="1"/>
  <c r="BD485" i="1" s="1"/>
  <c r="BC385" i="1"/>
  <c r="BB382" i="1"/>
  <c r="BC468" i="1"/>
  <c r="BB327" i="1"/>
  <c r="BB347" i="1"/>
  <c r="BB285" i="1"/>
  <c r="BC276" i="1"/>
  <c r="BC219" i="1"/>
  <c r="BB188" i="1"/>
  <c r="BC110" i="1"/>
  <c r="BB79" i="1"/>
  <c r="BB57" i="1"/>
  <c r="BC704" i="1"/>
  <c r="BC596" i="1"/>
  <c r="BC662" i="1"/>
  <c r="BB598" i="1"/>
  <c r="BC70" i="1"/>
  <c r="BC620" i="1"/>
  <c r="BB148" i="1"/>
  <c r="BC661" i="1"/>
  <c r="BB606" i="1"/>
  <c r="BC406" i="1"/>
  <c r="BB68" i="1"/>
  <c r="BB686" i="1"/>
  <c r="BD686" i="1" s="1"/>
  <c r="BB506" i="1"/>
  <c r="BB583" i="1"/>
  <c r="BC397" i="1"/>
  <c r="BB410" i="1"/>
  <c r="BC487" i="1"/>
  <c r="BB351" i="1"/>
  <c r="BC289" i="1"/>
  <c r="BB248" i="1"/>
  <c r="BC197" i="1"/>
  <c r="BB198" i="1"/>
  <c r="BB125" i="1"/>
  <c r="BB105" i="1"/>
  <c r="BB65" i="1"/>
  <c r="BC16" i="1"/>
  <c r="BC187" i="1"/>
  <c r="BB688" i="1"/>
  <c r="BC671" i="1"/>
  <c r="BB617" i="1"/>
  <c r="BB553" i="1"/>
  <c r="BB539" i="1"/>
  <c r="BB604" i="1"/>
  <c r="BB572" i="1"/>
  <c r="BB540" i="1"/>
  <c r="BB492" i="1"/>
  <c r="BC409" i="1"/>
  <c r="BC408" i="1"/>
  <c r="BB374" i="1"/>
  <c r="BC478" i="1"/>
  <c r="BC394" i="1"/>
  <c r="BC313" i="1"/>
  <c r="BC153" i="1"/>
  <c r="BC224" i="1"/>
  <c r="BB170" i="1"/>
  <c r="BD170" i="1" s="1"/>
  <c r="BC117" i="1"/>
  <c r="BC94" i="1"/>
  <c r="BC78" i="1"/>
  <c r="BB36" i="1"/>
  <c r="BB687" i="1"/>
  <c r="BB644" i="1"/>
  <c r="BD644" i="1" s="1"/>
  <c r="BC585" i="1"/>
  <c r="BC622" i="1"/>
  <c r="BC437" i="1"/>
  <c r="BB423" i="1"/>
  <c r="BB370" i="1"/>
  <c r="BC473" i="1"/>
  <c r="BB385" i="1"/>
  <c r="BC300" i="1"/>
  <c r="BB277" i="1"/>
  <c r="BB245" i="1"/>
  <c r="BC273" i="1"/>
  <c r="BB189" i="1"/>
  <c r="BB184" i="1"/>
  <c r="BB99" i="1"/>
  <c r="BC705" i="1"/>
  <c r="BC683" i="1"/>
  <c r="BB511" i="1"/>
  <c r="BD511" i="1" s="1"/>
  <c r="BB595" i="1"/>
  <c r="BB497" i="1"/>
  <c r="BB404" i="1"/>
  <c r="BB403" i="1"/>
  <c r="BC379" i="1"/>
  <c r="BC480" i="1"/>
  <c r="BC341" i="1"/>
  <c r="BC334" i="1"/>
  <c r="BC311" i="1"/>
  <c r="BC279" i="1"/>
  <c r="BC240" i="1"/>
  <c r="BB173" i="1"/>
  <c r="BC149" i="1"/>
  <c r="BC93" i="1"/>
  <c r="BC52" i="1"/>
  <c r="BB18" i="1"/>
  <c r="BC457" i="1"/>
  <c r="BB52" i="1"/>
  <c r="BC660" i="1"/>
  <c r="BB582" i="1"/>
  <c r="BC700" i="1"/>
  <c r="BC540" i="1"/>
  <c r="BC160" i="1"/>
  <c r="BB17" i="1"/>
  <c r="BC643" i="1"/>
  <c r="BC592" i="1"/>
  <c r="BB332" i="1"/>
  <c r="BC43" i="1"/>
  <c r="BB695" i="1"/>
  <c r="BB648" i="1"/>
  <c r="BB470" i="1"/>
  <c r="BB535" i="1"/>
  <c r="BC444" i="1"/>
  <c r="BC407" i="1"/>
  <c r="BC483" i="1"/>
  <c r="BB413" i="1"/>
  <c r="BB328" i="1"/>
  <c r="BD328" i="1" s="1"/>
  <c r="BC294" i="1"/>
  <c r="BB270" i="1"/>
  <c r="BB238" i="1"/>
  <c r="BD238" i="1" s="1"/>
  <c r="BB214" i="1"/>
  <c r="BC182" i="1"/>
  <c r="BB195" i="1"/>
  <c r="BB102" i="1"/>
  <c r="BB123" i="1"/>
  <c r="BC109" i="1"/>
  <c r="BC30" i="1"/>
  <c r="BC27" i="1"/>
  <c r="BD27" i="1" s="1"/>
  <c r="BC191" i="1"/>
  <c r="BC681" i="1"/>
  <c r="BC706" i="1"/>
  <c r="BB581" i="1"/>
  <c r="BB619" i="1"/>
  <c r="BB354" i="1"/>
  <c r="BC595" i="1"/>
  <c r="BC563" i="1"/>
  <c r="BC531" i="1"/>
  <c r="BB472" i="1"/>
  <c r="BB427" i="1"/>
  <c r="BC371" i="1"/>
  <c r="BC474" i="1"/>
  <c r="BC386" i="1"/>
  <c r="BC325" i="1"/>
  <c r="BB293" i="1"/>
  <c r="BC181" i="1"/>
  <c r="BC222" i="1"/>
  <c r="BB207" i="1"/>
  <c r="BC131" i="1"/>
  <c r="BC104" i="1"/>
  <c r="BB82" i="1"/>
  <c r="BC39" i="1"/>
  <c r="BB28" i="1"/>
  <c r="BB633" i="1"/>
  <c r="BB636" i="1"/>
  <c r="BC581" i="1"/>
  <c r="BB591" i="1"/>
  <c r="BB424" i="1"/>
  <c r="BC388" i="1"/>
  <c r="BC367" i="1"/>
  <c r="BC366" i="1"/>
  <c r="BC312" i="1"/>
  <c r="BB259" i="1"/>
  <c r="BB227" i="1"/>
  <c r="BC269" i="1"/>
  <c r="BB152" i="1"/>
  <c r="BB111" i="1"/>
  <c r="BC122" i="1"/>
  <c r="BC45" i="1"/>
  <c r="BB871" i="1"/>
  <c r="BB651" i="1"/>
  <c r="BB507" i="1"/>
  <c r="BB611" i="1"/>
  <c r="BB509" i="1"/>
  <c r="BB366" i="1"/>
  <c r="BC432" i="1"/>
  <c r="BC395" i="1"/>
  <c r="BC476" i="1"/>
  <c r="BC344" i="1"/>
  <c r="BB307" i="1"/>
  <c r="BC292" i="1"/>
  <c r="BB213" i="1"/>
  <c r="BC236" i="1"/>
  <c r="BB157" i="1"/>
  <c r="BB114" i="1"/>
  <c r="BB85" i="1"/>
  <c r="BC15" i="1"/>
  <c r="BC453" i="1"/>
  <c r="BC658" i="1"/>
  <c r="BB566" i="1"/>
  <c r="BB48" i="1"/>
  <c r="BC588" i="1"/>
  <c r="BC172" i="1"/>
  <c r="BC28" i="1"/>
  <c r="BC641" i="1"/>
  <c r="BC576" i="1"/>
  <c r="BB331" i="1"/>
  <c r="BB679" i="1"/>
  <c r="BB514" i="1"/>
  <c r="BB615" i="1"/>
  <c r="BC445" i="1"/>
  <c r="BB399" i="1"/>
  <c r="BB378" i="1"/>
  <c r="BC479" i="1"/>
  <c r="BC322" i="1"/>
  <c r="BB260" i="1"/>
  <c r="BB228" i="1"/>
  <c r="BC263" i="1"/>
  <c r="BB166" i="1"/>
  <c r="BD166" i="1" s="1"/>
  <c r="BC136" i="1"/>
  <c r="BB107" i="1"/>
  <c r="BC105" i="1"/>
  <c r="BB61" i="1"/>
  <c r="BB364" i="1"/>
  <c r="BC175" i="1"/>
  <c r="BB661" i="1"/>
  <c r="BB655" i="1"/>
  <c r="BB593" i="1"/>
  <c r="BB529" i="1"/>
  <c r="BC554" i="1"/>
  <c r="BB600" i="1"/>
  <c r="BB568" i="1"/>
  <c r="BB536" i="1"/>
  <c r="BB484" i="1"/>
  <c r="BD484" i="1" s="1"/>
  <c r="BC340" i="1"/>
  <c r="BB406" i="1"/>
  <c r="BC486" i="1"/>
  <c r="BC410" i="1"/>
  <c r="BC335" i="1"/>
  <c r="BC321" i="1"/>
  <c r="BB287" i="1"/>
  <c r="BC230" i="1"/>
  <c r="BC125" i="1"/>
  <c r="BB108" i="1"/>
  <c r="BC100" i="1"/>
  <c r="BC80" i="1"/>
  <c r="BC61" i="1"/>
  <c r="BB707" i="1"/>
  <c r="BD707" i="1" s="1"/>
  <c r="BB660" i="1"/>
  <c r="BC593" i="1"/>
  <c r="BC529" i="1"/>
  <c r="BC526" i="1"/>
  <c r="BC389" i="1"/>
  <c r="BB375" i="1"/>
  <c r="BD375" i="1" s="1"/>
  <c r="BC513" i="1"/>
  <c r="BB425" i="1"/>
  <c r="BD425" i="1" s="1"/>
  <c r="BC358" i="1"/>
  <c r="BC308" i="1"/>
  <c r="BB273" i="1"/>
  <c r="BB241" i="1"/>
  <c r="BC265" i="1"/>
  <c r="BB181" i="1"/>
  <c r="BC141" i="1"/>
  <c r="BB109" i="1"/>
  <c r="BB30" i="1"/>
  <c r="BB14" i="1"/>
  <c r="BD14" i="1" s="1"/>
  <c r="BB683" i="1"/>
  <c r="BC698" i="1"/>
  <c r="BB471" i="1"/>
  <c r="BB563" i="1"/>
  <c r="BB489" i="1"/>
  <c r="BB420" i="1"/>
  <c r="BB419" i="1"/>
  <c r="BC411" i="1"/>
  <c r="BC472" i="1"/>
  <c r="BC349" i="1"/>
  <c r="BB305" i="1"/>
  <c r="BB306" i="1"/>
  <c r="BC286" i="1"/>
  <c r="BC186" i="1"/>
  <c r="BC232" i="1"/>
  <c r="BB115" i="1"/>
  <c r="BC77" i="1"/>
  <c r="BC83" i="1"/>
  <c r="BC49" i="1"/>
  <c r="BC465" i="1"/>
  <c r="BC138" i="1"/>
  <c r="BC656" i="1"/>
  <c r="BB550" i="1"/>
  <c r="BC17" i="1"/>
  <c r="BC572" i="1"/>
  <c r="BB133" i="1"/>
  <c r="BC655" i="1"/>
  <c r="BB558" i="1"/>
  <c r="BB334" i="1"/>
  <c r="BB25" i="1"/>
  <c r="BC19" i="1"/>
  <c r="AC15" i="1"/>
  <c r="AE15" i="1"/>
  <c r="AB15" i="1"/>
  <c r="AD15" i="1"/>
  <c r="BC672" i="1"/>
  <c r="BB664" i="1"/>
  <c r="BB478" i="1"/>
  <c r="BC550" i="1"/>
  <c r="BD550" i="1" s="1"/>
  <c r="BB449" i="1"/>
  <c r="BC439" i="1"/>
  <c r="BC507" i="1"/>
  <c r="BB437" i="1"/>
  <c r="BD437" i="1" s="1"/>
  <c r="BB373" i="1"/>
  <c r="BC318" i="1"/>
  <c r="BB274" i="1"/>
  <c r="BB242" i="1"/>
  <c r="BB218" i="1"/>
  <c r="BC259" i="1"/>
  <c r="BB185" i="1"/>
  <c r="BC151" i="1"/>
  <c r="BB113" i="1"/>
  <c r="BB76" i="1"/>
  <c r="BB50" i="1"/>
  <c r="BB355" i="1"/>
  <c r="BC157" i="1"/>
  <c r="BB675" i="1"/>
  <c r="BB697" i="1"/>
  <c r="BB589" i="1"/>
  <c r="BB525" i="1"/>
  <c r="BC623" i="1"/>
  <c r="BC591" i="1"/>
  <c r="BC559" i="1"/>
  <c r="BC527" i="1"/>
  <c r="BB464" i="1"/>
  <c r="BB330" i="1"/>
  <c r="BB422" i="1"/>
  <c r="BC498" i="1"/>
  <c r="BC434" i="1"/>
  <c r="BC317" i="1"/>
  <c r="BB283" i="1"/>
  <c r="BC274" i="1"/>
  <c r="BC218" i="1"/>
  <c r="BB149" i="1"/>
  <c r="BB77" i="1"/>
  <c r="BB84" i="1"/>
  <c r="BD84" i="1" s="1"/>
  <c r="BC46" i="1"/>
  <c r="BB684" i="1"/>
  <c r="BC678" i="1"/>
  <c r="BC605" i="1"/>
  <c r="BC541" i="1"/>
  <c r="BB559" i="1"/>
  <c r="BB408" i="1"/>
  <c r="BD408" i="1" s="1"/>
  <c r="BC372" i="1"/>
  <c r="BC509" i="1"/>
  <c r="BB341" i="1"/>
  <c r="BC320" i="1"/>
  <c r="BB271" i="1"/>
  <c r="BB239" i="1"/>
  <c r="BB216" i="1"/>
  <c r="BB177" i="1"/>
  <c r="BB187" i="1"/>
  <c r="BB101" i="1"/>
  <c r="BB74" i="1"/>
  <c r="BD74" i="1" s="1"/>
  <c r="BC21" i="1"/>
  <c r="BD21" i="1" s="1"/>
  <c r="BC871" i="1"/>
  <c r="BB666" i="1"/>
  <c r="BB635" i="1"/>
  <c r="BB483" i="1"/>
  <c r="BC562" i="1"/>
  <c r="BD562" i="1" s="1"/>
  <c r="BB469" i="1"/>
  <c r="BC416" i="1"/>
  <c r="BC516" i="1"/>
  <c r="BC452" i="1"/>
  <c r="BB319" i="1"/>
  <c r="BC315" i="1"/>
  <c r="BB225" i="1"/>
  <c r="BC260" i="1"/>
  <c r="BC211" i="1"/>
  <c r="BC135" i="1"/>
  <c r="BB91" i="1"/>
  <c r="BB70" i="1"/>
  <c r="BC63" i="1"/>
  <c r="BB610" i="1"/>
  <c r="BC532" i="1"/>
  <c r="BC654" i="1"/>
  <c r="BB534" i="1"/>
  <c r="BC708" i="1"/>
  <c r="BC556" i="1"/>
  <c r="BC164" i="1"/>
  <c r="BC653" i="1"/>
  <c r="BB542" i="1"/>
  <c r="BB333" i="1"/>
  <c r="BB692" i="1"/>
  <c r="BC702" i="1"/>
  <c r="BB490" i="1"/>
  <c r="BD490" i="1" s="1"/>
  <c r="BC566" i="1"/>
  <c r="BC365" i="1"/>
  <c r="BC391" i="1"/>
  <c r="BC471" i="1"/>
  <c r="BB278" i="1"/>
  <c r="BB272" i="1"/>
  <c r="BB240" i="1"/>
  <c r="BC271" i="1"/>
  <c r="BB171" i="1"/>
  <c r="BB110" i="1"/>
  <c r="BC75" i="1"/>
  <c r="BC58" i="1"/>
  <c r="BB356" i="1"/>
  <c r="BC167" i="1"/>
  <c r="BB645" i="1"/>
  <c r="BB639" i="1"/>
  <c r="BB601" i="1"/>
  <c r="BB537" i="1"/>
  <c r="BD537" i="1" s="1"/>
  <c r="BB362" i="1"/>
  <c r="BB596" i="1"/>
  <c r="BB564" i="1"/>
  <c r="BB532" i="1"/>
  <c r="BB476" i="1"/>
  <c r="BC377" i="1"/>
  <c r="BC376" i="1"/>
  <c r="BB336" i="1"/>
  <c r="BD336" i="1" s="1"/>
  <c r="BC462" i="1"/>
  <c r="BC331" i="1"/>
  <c r="BC297" i="1"/>
  <c r="BC270" i="1"/>
  <c r="BC216" i="1"/>
  <c r="BB199" i="1"/>
  <c r="BD199" i="1" s="1"/>
  <c r="BB128" i="1"/>
  <c r="BC90" i="1"/>
  <c r="BC65" i="1"/>
  <c r="BB33" i="1"/>
  <c r="BB706" i="1"/>
  <c r="BB629" i="1"/>
  <c r="BC569" i="1"/>
  <c r="BB575" i="1"/>
  <c r="BC405" i="1"/>
  <c r="BB391" i="1"/>
  <c r="BC521" i="1"/>
  <c r="BB433" i="1"/>
  <c r="BB369" i="1"/>
  <c r="BB282" i="1"/>
  <c r="BB269" i="1"/>
  <c r="BD269" i="1" s="1"/>
  <c r="BB237" i="1"/>
  <c r="BC257" i="1"/>
  <c r="BB161" i="1"/>
  <c r="BC146" i="1"/>
  <c r="BC60" i="1"/>
  <c r="BB680" i="1"/>
  <c r="BB659" i="1"/>
  <c r="BB495" i="1"/>
  <c r="BC578" i="1"/>
  <c r="BB481" i="1"/>
  <c r="BD481" i="1" s="1"/>
  <c r="BB372" i="1"/>
  <c r="BB371" i="1"/>
  <c r="BC348" i="1"/>
  <c r="BC464" i="1"/>
  <c r="BB325" i="1"/>
  <c r="BC339" i="1"/>
  <c r="BC295" i="1"/>
  <c r="BB206" i="1"/>
  <c r="BC225" i="1"/>
  <c r="BC162" i="1"/>
  <c r="BB142" i="1"/>
  <c r="BC89" i="1"/>
  <c r="BB56" i="1"/>
  <c r="BC696" i="1"/>
  <c r="BC580" i="1"/>
  <c r="BB34" i="1"/>
  <c r="BC652" i="1"/>
  <c r="BC627" i="1"/>
  <c r="BB618" i="1"/>
  <c r="BC237" i="1"/>
  <c r="BB135" i="1"/>
  <c r="BC667" i="1"/>
  <c r="BC635" i="1"/>
  <c r="BC528" i="1"/>
  <c r="BB153" i="1"/>
  <c r="BB23" i="1"/>
  <c r="BD23" i="1" s="1"/>
  <c r="BC699" i="1"/>
  <c r="BB518" i="1"/>
  <c r="BB454" i="1"/>
  <c r="BB357" i="1"/>
  <c r="BC412" i="1"/>
  <c r="BC363" i="1"/>
  <c r="BC467" i="1"/>
  <c r="BB397" i="1"/>
  <c r="BB312" i="1"/>
  <c r="BD312" i="1" s="1"/>
  <c r="BC285" i="1"/>
  <c r="BB262" i="1"/>
  <c r="BB230" i="1"/>
  <c r="BC267" i="1"/>
  <c r="BB193" i="1"/>
  <c r="BB167" i="1"/>
  <c r="BC139" i="1"/>
  <c r="BB100" i="1"/>
  <c r="BC95" i="1"/>
  <c r="BC54" i="1"/>
  <c r="BB363" i="1"/>
  <c r="BC163" i="1"/>
  <c r="BB637" i="1"/>
  <c r="BB668" i="1"/>
  <c r="BB565" i="1"/>
  <c r="BC602" i="1"/>
  <c r="BC619" i="1"/>
  <c r="BC587" i="1"/>
  <c r="BC555" i="1"/>
  <c r="BB520" i="1"/>
  <c r="BB456" i="1"/>
  <c r="BB395" i="1"/>
  <c r="BC522" i="1"/>
  <c r="BC458" i="1"/>
  <c r="BC353" i="1"/>
  <c r="BC309" i="1"/>
  <c r="BC161" i="1"/>
  <c r="BC266" i="1"/>
  <c r="BC214" i="1"/>
  <c r="BC192" i="1"/>
  <c r="BC140" i="1"/>
  <c r="BB94" i="1"/>
  <c r="BB78" i="1"/>
  <c r="BC29" i="1"/>
  <c r="BC853" i="1"/>
  <c r="BC668" i="1"/>
  <c r="BB627" i="1"/>
  <c r="BC565" i="1"/>
  <c r="BC574" i="1"/>
  <c r="BD574" i="1" s="1"/>
  <c r="BB392" i="1"/>
  <c r="BD392" i="1" s="1"/>
  <c r="BC356" i="1"/>
  <c r="BC517" i="1"/>
  <c r="BB344" i="1"/>
  <c r="BC296" i="1"/>
  <c r="BB251" i="1"/>
  <c r="BC205" i="1"/>
  <c r="BC253" i="1"/>
  <c r="BB176" i="1"/>
  <c r="BC132" i="1"/>
  <c r="BC73" i="1"/>
  <c r="BB47" i="1"/>
  <c r="BC673" i="1"/>
  <c r="BB705" i="1"/>
  <c r="BD705" i="1" s="1"/>
  <c r="BB491" i="1"/>
  <c r="BD491" i="1" s="1"/>
  <c r="BC594" i="1"/>
  <c r="BB493" i="1"/>
  <c r="BC433" i="1"/>
  <c r="BC400" i="1"/>
  <c r="BC524" i="1"/>
  <c r="BC460" i="1"/>
  <c r="BB345" i="1"/>
  <c r="BC332" i="1"/>
  <c r="BD332" i="1" s="1"/>
  <c r="BC207" i="1"/>
  <c r="BC190" i="1"/>
  <c r="BC223" i="1"/>
  <c r="BB159" i="1"/>
  <c r="BC102" i="1"/>
  <c r="BB81" i="1"/>
  <c r="BC688" i="1"/>
  <c r="BC564" i="1"/>
  <c r="BC650" i="1"/>
  <c r="BC616" i="1"/>
  <c r="BC692" i="1"/>
  <c r="BC351" i="1"/>
  <c r="BB134" i="1"/>
  <c r="BC665" i="1"/>
  <c r="BC633" i="1"/>
  <c r="BC438" i="1"/>
  <c r="BC40" i="1"/>
  <c r="BC695" i="1"/>
  <c r="BB498" i="1"/>
  <c r="BC598" i="1"/>
  <c r="BC413" i="1"/>
  <c r="BB367" i="1"/>
  <c r="BC355" i="1"/>
  <c r="BC463" i="1"/>
  <c r="BC306" i="1"/>
  <c r="BB252" i="1"/>
  <c r="BC177" i="1"/>
  <c r="BC247" i="1"/>
  <c r="BC188" i="1"/>
  <c r="BC137" i="1"/>
  <c r="BB140" i="1"/>
  <c r="BB73" i="1"/>
  <c r="BC41" i="1"/>
  <c r="BB359" i="1"/>
  <c r="BC159" i="1"/>
  <c r="BB691" i="1"/>
  <c r="BD691" i="1" s="1"/>
  <c r="BB681" i="1"/>
  <c r="BB577" i="1"/>
  <c r="BC632" i="1"/>
  <c r="BB624" i="1"/>
  <c r="BB592" i="1"/>
  <c r="BB560" i="1"/>
  <c r="BD560" i="1" s="1"/>
  <c r="BB528" i="1"/>
  <c r="BB468" i="1"/>
  <c r="BD468" i="1" s="1"/>
  <c r="BB446" i="1"/>
  <c r="BC387" i="1"/>
  <c r="BC470" i="1"/>
  <c r="BC378" i="1"/>
  <c r="BC347" i="1"/>
  <c r="BC305" i="1"/>
  <c r="BC152" i="1"/>
  <c r="BC220" i="1"/>
  <c r="BB150" i="1"/>
  <c r="BC123" i="1"/>
  <c r="BC92" i="1"/>
  <c r="BC64" i="1"/>
  <c r="BC42" i="1"/>
  <c r="BB698" i="1"/>
  <c r="BD698" i="1" s="1"/>
  <c r="BB671" i="1"/>
  <c r="BC577" i="1"/>
  <c r="BB607" i="1"/>
  <c r="BB361" i="1"/>
  <c r="BB451" i="1"/>
  <c r="BB402" i="1"/>
  <c r="BC497" i="1"/>
  <c r="BB409" i="1"/>
  <c r="BD409" i="1" s="1"/>
  <c r="BB340" i="1"/>
  <c r="BC287" i="1"/>
  <c r="BB265" i="1"/>
  <c r="BB233" i="1"/>
  <c r="BD233" i="1" s="1"/>
  <c r="BC249" i="1"/>
  <c r="BC155" i="1"/>
  <c r="BB132" i="1"/>
  <c r="BC111" i="1"/>
  <c r="BB43" i="1"/>
  <c r="BB16" i="1"/>
  <c r="BB642" i="1"/>
  <c r="BB519" i="1"/>
  <c r="BB455" i="1"/>
  <c r="BC546" i="1"/>
  <c r="BD546" i="1" s="1"/>
  <c r="BB473" i="1"/>
  <c r="BB388" i="1"/>
  <c r="BB387" i="1"/>
  <c r="BC520" i="1"/>
  <c r="BC456" i="1"/>
  <c r="BB329" i="1"/>
  <c r="BC338" i="1"/>
  <c r="BC319" i="1"/>
  <c r="BB299" i="1"/>
  <c r="BB194" i="1"/>
  <c r="BC221" i="1"/>
  <c r="BC144" i="1"/>
  <c r="BC98" i="1"/>
  <c r="BC79" i="1"/>
  <c r="BB874" i="1"/>
  <c r="BC612" i="1"/>
  <c r="BB69" i="1"/>
  <c r="BC648" i="1"/>
  <c r="BC600" i="1"/>
  <c r="BC684" i="1"/>
  <c r="BC229" i="1"/>
  <c r="BC99" i="1"/>
  <c r="BC647" i="1"/>
  <c r="BC624" i="1"/>
  <c r="BB66" i="1"/>
  <c r="BB15" i="1"/>
  <c r="AP121" i="28"/>
  <c r="Q121" i="28" s="1"/>
  <c r="AQ175" i="28"/>
  <c r="S175" i="28" s="1"/>
  <c r="I840" i="28"/>
  <c r="I904" i="28"/>
  <c r="I894" i="28"/>
  <c r="U894" i="28" s="1"/>
  <c r="V836" i="28"/>
  <c r="I932" i="28"/>
  <c r="U932" i="28" s="1"/>
  <c r="I1000" i="28"/>
  <c r="AP282" i="28"/>
  <c r="Q282" i="28" s="1"/>
  <c r="I741" i="28"/>
  <c r="I962" i="28"/>
  <c r="I592" i="28"/>
  <c r="I688" i="28"/>
  <c r="I898" i="28"/>
  <c r="I830" i="28"/>
  <c r="I934" i="28"/>
  <c r="I863" i="28"/>
  <c r="U863" i="28" s="1"/>
  <c r="I927" i="28"/>
  <c r="AP252" i="28"/>
  <c r="Q252" i="28" s="1"/>
  <c r="I936" i="28"/>
  <c r="I455" i="28"/>
  <c r="I842" i="28"/>
  <c r="I872" i="28"/>
  <c r="AR56" i="28"/>
  <c r="R56" i="28" s="1"/>
  <c r="AR251" i="28"/>
  <c r="R251" i="28" s="1"/>
  <c r="AP113" i="28"/>
  <c r="Q113" i="28" s="1"/>
  <c r="AR108" i="28"/>
  <c r="R108" i="28" s="1"/>
  <c r="AP292" i="28"/>
  <c r="Q292" i="28" s="1"/>
  <c r="BD1051" i="1"/>
  <c r="AP136" i="28"/>
  <c r="Q136" i="28" s="1"/>
  <c r="AP47" i="28"/>
  <c r="Q47" i="28" s="1"/>
  <c r="AP90" i="28"/>
  <c r="Q90" i="28" s="1"/>
  <c r="AP369" i="28"/>
  <c r="Q369" i="28" s="1"/>
  <c r="AR177" i="28"/>
  <c r="R177" i="28" s="1"/>
  <c r="I598" i="28"/>
  <c r="AQ121" i="28"/>
  <c r="S121" i="28" s="1"/>
  <c r="AP251" i="28"/>
  <c r="Q251" i="28" s="1"/>
  <c r="I630" i="28"/>
  <c r="AP56" i="28"/>
  <c r="Q56" i="28" s="1"/>
  <c r="AQ108" i="28"/>
  <c r="S108" i="28" s="1"/>
  <c r="AR185" i="28"/>
  <c r="R185" i="28" s="1"/>
  <c r="AP299" i="28"/>
  <c r="Q299" i="28" s="1"/>
  <c r="AP177" i="28"/>
  <c r="Q177" i="28" s="1"/>
  <c r="I999" i="28"/>
  <c r="I968" i="28"/>
  <c r="U968" i="28" s="1"/>
  <c r="I820" i="28"/>
  <c r="I809" i="28"/>
  <c r="I690" i="28"/>
  <c r="I720" i="28"/>
  <c r="AP134" i="28"/>
  <c r="Q134" i="28" s="1"/>
  <c r="I487" i="28"/>
  <c r="U487" i="28" s="1"/>
  <c r="AR175" i="28"/>
  <c r="R175" i="28" s="1"/>
  <c r="V914" i="28"/>
  <c r="AR5" i="28"/>
  <c r="R5" i="28" s="1"/>
  <c r="I814" i="28"/>
  <c r="U814" i="28" s="1"/>
  <c r="I673" i="28"/>
  <c r="I856" i="28"/>
  <c r="I807" i="28"/>
  <c r="I609" i="28"/>
  <c r="V926" i="28"/>
  <c r="V641" i="28"/>
  <c r="W641" i="28" s="1"/>
  <c r="X641" i="28" s="1"/>
  <c r="I930" i="28"/>
  <c r="I773" i="28"/>
  <c r="I920" i="28"/>
  <c r="I990" i="28"/>
  <c r="I862" i="28"/>
  <c r="I801" i="28"/>
  <c r="V705" i="28"/>
  <c r="I994" i="28"/>
  <c r="I826" i="28"/>
  <c r="I866" i="28"/>
  <c r="I952" i="28"/>
  <c r="I828" i="28"/>
  <c r="U828" i="28" s="1"/>
  <c r="V980" i="28"/>
  <c r="V593" i="28"/>
  <c r="AP70" i="28"/>
  <c r="Q70" i="28" s="1"/>
  <c r="AQ97" i="28"/>
  <c r="S97" i="28" s="1"/>
  <c r="AQ5" i="28"/>
  <c r="S5" i="28" s="1"/>
  <c r="I992" i="28"/>
  <c r="I782" i="28"/>
  <c r="I895" i="28"/>
  <c r="I545" i="28"/>
  <c r="V850" i="28"/>
  <c r="I607" i="28"/>
  <c r="I710" i="28"/>
  <c r="I888" i="28"/>
  <c r="I984" i="28"/>
  <c r="I671" i="28"/>
  <c r="V734" i="28"/>
  <c r="I884" i="28"/>
  <c r="V526" i="28"/>
  <c r="I495" i="28"/>
  <c r="I578" i="28"/>
  <c r="I559" i="28"/>
  <c r="I854" i="28"/>
  <c r="I982" i="28"/>
  <c r="I568" i="28"/>
  <c r="I762" i="28"/>
  <c r="V664" i="28"/>
  <c r="I575" i="28"/>
  <c r="V766" i="28"/>
  <c r="I678" i="28"/>
  <c r="I542" i="28"/>
  <c r="I658" i="28"/>
  <c r="I582" i="28"/>
  <c r="I689" i="28"/>
  <c r="I655" i="28"/>
  <c r="U655" i="28" s="1"/>
  <c r="I623" i="28"/>
  <c r="I719" i="28"/>
  <c r="I561" i="28"/>
  <c r="I750" i="28"/>
  <c r="I722" i="28"/>
  <c r="I594" i="28"/>
  <c r="AR365" i="28"/>
  <c r="R365" i="28" s="1"/>
  <c r="I890" i="28"/>
  <c r="I654" i="28"/>
  <c r="V746" i="28"/>
  <c r="AR71" i="28"/>
  <c r="R71" i="28" s="1"/>
  <c r="AR72" i="28"/>
  <c r="R72" i="28" s="1"/>
  <c r="I821" i="28"/>
  <c r="I712" i="28"/>
  <c r="I753" i="28"/>
  <c r="I674" i="28"/>
  <c r="U674" i="28" s="1"/>
  <c r="V778" i="28"/>
  <c r="V482" i="28"/>
  <c r="I696" i="28"/>
  <c r="V858" i="28"/>
  <c r="I794" i="28"/>
  <c r="AR64" i="28"/>
  <c r="R64" i="28" s="1"/>
  <c r="AP154" i="28"/>
  <c r="Q154" i="28" s="1"/>
  <c r="AR271" i="28"/>
  <c r="R271" i="28" s="1"/>
  <c r="I490" i="28"/>
  <c r="AP55" i="28"/>
  <c r="Q55" i="28" s="1"/>
  <c r="AG11" i="1"/>
  <c r="I442" i="28"/>
  <c r="I506" i="28"/>
  <c r="AQ120" i="28"/>
  <c r="S120" i="28" s="1"/>
  <c r="AQ251" i="28"/>
  <c r="S251" i="28" s="1"/>
  <c r="AQ90" i="28"/>
  <c r="S90" i="28" s="1"/>
  <c r="AQ3" i="28"/>
  <c r="S3" i="28" s="1"/>
  <c r="I503" i="28"/>
  <c r="U503" i="28" s="1"/>
  <c r="I591" i="28"/>
  <c r="AQ59" i="28"/>
  <c r="S59" i="28" s="1"/>
  <c r="A111" i="16"/>
  <c r="A137" i="16"/>
  <c r="D123" i="2"/>
  <c r="D97" i="2"/>
  <c r="AP82" i="28"/>
  <c r="Q82" i="28" s="1"/>
  <c r="I738" i="28"/>
  <c r="U738" i="28" s="1"/>
  <c r="AP97" i="28"/>
  <c r="Q97" i="28" s="1"/>
  <c r="AR298" i="28"/>
  <c r="R298" i="28" s="1"/>
  <c r="AR47" i="28"/>
  <c r="R47" i="28" s="1"/>
  <c r="AP11" i="28"/>
  <c r="Q11" i="28" s="1"/>
  <c r="AR113" i="28"/>
  <c r="R113" i="28" s="1"/>
  <c r="AR59" i="28"/>
  <c r="R59" i="28" s="1"/>
  <c r="AP170" i="28"/>
  <c r="Q170" i="28" s="1"/>
  <c r="AP229" i="28"/>
  <c r="Q229" i="28" s="1"/>
  <c r="I625" i="28"/>
  <c r="I938" i="28"/>
  <c r="I959" i="28"/>
  <c r="A125" i="14"/>
  <c r="A11" i="14"/>
  <c r="A228" i="14"/>
  <c r="D228" i="14" s="1"/>
  <c r="A176" i="14"/>
  <c r="A150" i="14"/>
  <c r="D150" i="14" s="1"/>
  <c r="K99" i="19"/>
  <c r="V946" i="28"/>
  <c r="AQ136" i="28"/>
  <c r="S136" i="28" s="1"/>
  <c r="D156" i="16"/>
  <c r="D77" i="16"/>
  <c r="E7" i="16"/>
  <c r="E111" i="16" s="1"/>
  <c r="D129" i="16"/>
  <c r="D103" i="16"/>
  <c r="D50" i="16"/>
  <c r="A77" i="11"/>
  <c r="A51" i="11"/>
  <c r="A12" i="11"/>
  <c r="AQ232" i="28"/>
  <c r="S232" i="28" s="1"/>
  <c r="V882" i="28"/>
  <c r="AR376" i="28"/>
  <c r="R376" i="28" s="1"/>
  <c r="AQ82" i="28"/>
  <c r="S82" i="28" s="1"/>
  <c r="AP361" i="28"/>
  <c r="Q361" i="28" s="1"/>
  <c r="AQ241" i="28"/>
  <c r="S241" i="28" s="1"/>
  <c r="AR139" i="28"/>
  <c r="R139" i="28" s="1"/>
  <c r="AR241" i="28"/>
  <c r="R241" i="28" s="1"/>
  <c r="I432" i="28"/>
  <c r="I464" i="28"/>
  <c r="V514" i="28"/>
  <c r="V448" i="28"/>
  <c r="V512" i="28"/>
  <c r="AQ22" i="28"/>
  <c r="S22" i="28" s="1"/>
  <c r="AR136" i="28"/>
  <c r="R136" i="28" s="1"/>
  <c r="AP297" i="28"/>
  <c r="Q297" i="28" s="1"/>
  <c r="I554" i="28"/>
  <c r="I618" i="28"/>
  <c r="I496" i="28"/>
  <c r="I528" i="28"/>
  <c r="U528" i="28" s="1"/>
  <c r="I735" i="28"/>
  <c r="I754" i="28"/>
  <c r="AP130" i="28"/>
  <c r="Q130" i="28" s="1"/>
  <c r="AQ402" i="28"/>
  <c r="S402" i="28" s="1"/>
  <c r="AR87" i="28"/>
  <c r="R87" i="28" s="1"/>
  <c r="AP139" i="28"/>
  <c r="Q139" i="28" s="1"/>
  <c r="V519" i="28"/>
  <c r="I624" i="28"/>
  <c r="U624" i="28" s="1"/>
  <c r="I906" i="28"/>
  <c r="I535" i="28"/>
  <c r="I672" i="28"/>
  <c r="I566" i="28"/>
  <c r="I694" i="28"/>
  <c r="I998" i="28"/>
  <c r="AP244" i="28"/>
  <c r="Q244" i="28" s="1"/>
  <c r="AQ244" i="28"/>
  <c r="S244" i="28" s="1"/>
  <c r="I757" i="28"/>
  <c r="I789" i="28"/>
  <c r="I829" i="28"/>
  <c r="I817" i="28"/>
  <c r="AP58" i="28"/>
  <c r="Q58" i="28" s="1"/>
  <c r="AP263" i="28"/>
  <c r="Q263" i="28" s="1"/>
  <c r="AP376" i="28"/>
  <c r="Q376" i="28" s="1"/>
  <c r="I614" i="28"/>
  <c r="U614" i="28" s="1"/>
  <c r="I825" i="28"/>
  <c r="AP284" i="28"/>
  <c r="Q284" i="28" s="1"/>
  <c r="AQ360" i="28"/>
  <c r="S360" i="28" s="1"/>
  <c r="AQ369" i="28"/>
  <c r="S369" i="28" s="1"/>
  <c r="AQ233" i="28"/>
  <c r="S233" i="28" s="1"/>
  <c r="C74" i="17"/>
  <c r="D7" i="17"/>
  <c r="C49" i="17"/>
  <c r="C126" i="17"/>
  <c r="C100" i="17"/>
  <c r="C153" i="17"/>
  <c r="A165" i="16"/>
  <c r="A16" i="16"/>
  <c r="A59" i="16"/>
  <c r="A112" i="16"/>
  <c r="A86" i="16"/>
  <c r="A138" i="16"/>
  <c r="D145" i="14"/>
  <c r="D120" i="14"/>
  <c r="D70" i="14"/>
  <c r="D223" i="14"/>
  <c r="D45" i="14"/>
  <c r="E6" i="14"/>
  <c r="D171" i="14"/>
  <c r="D95" i="14"/>
  <c r="D197" i="14"/>
  <c r="A103" i="2"/>
  <c r="A52" i="2"/>
  <c r="E52" i="2" s="1"/>
  <c r="A129" i="2"/>
  <c r="A10" i="2"/>
  <c r="A77" i="2"/>
  <c r="E103" i="2" s="1"/>
  <c r="D102" i="2"/>
  <c r="B102" i="2"/>
  <c r="C102" i="2"/>
  <c r="AR67" i="28"/>
  <c r="R67" i="28" s="1"/>
  <c r="AP235" i="28"/>
  <c r="Q235" i="28" s="1"/>
  <c r="AP271" i="28"/>
  <c r="Q271" i="28" s="1"/>
  <c r="I586" i="28"/>
  <c r="I650" i="28"/>
  <c r="I714" i="28"/>
  <c r="B101" i="2"/>
  <c r="C101" i="2"/>
  <c r="E71" i="2"/>
  <c r="E46" i="2"/>
  <c r="E97" i="2"/>
  <c r="E100" i="2"/>
  <c r="E102" i="2"/>
  <c r="E101" i="2"/>
  <c r="F4" i="2"/>
  <c r="E123" i="2"/>
  <c r="K89" i="19"/>
  <c r="K33" i="19"/>
  <c r="K100" i="19"/>
  <c r="K59" i="19"/>
  <c r="K94" i="19"/>
  <c r="K32" i="19"/>
  <c r="K46" i="19"/>
  <c r="K26" i="19"/>
  <c r="K104" i="19"/>
  <c r="K47" i="19"/>
  <c r="K23" i="19"/>
  <c r="K62" i="19"/>
  <c r="K96" i="19"/>
  <c r="K93" i="19"/>
  <c r="K82" i="19"/>
  <c r="K42" i="19"/>
  <c r="K13" i="19"/>
  <c r="K10" i="19"/>
  <c r="K73" i="19"/>
  <c r="K21" i="19"/>
  <c r="K39" i="19"/>
  <c r="K31" i="19"/>
  <c r="K84" i="19"/>
  <c r="K76" i="19"/>
  <c r="K12" i="19"/>
  <c r="K50" i="19"/>
  <c r="K74" i="19"/>
  <c r="K56" i="19"/>
  <c r="K81" i="19"/>
  <c r="K22" i="19"/>
  <c r="K110" i="19"/>
  <c r="K11" i="19"/>
  <c r="K61" i="19"/>
  <c r="K27" i="19"/>
  <c r="K52" i="19"/>
  <c r="K109" i="19"/>
  <c r="K57" i="19"/>
  <c r="K88" i="19"/>
  <c r="K67" i="19"/>
  <c r="K90" i="19"/>
  <c r="AP232" i="28"/>
  <c r="Q232" i="28" s="1"/>
  <c r="A158" i="17"/>
  <c r="A54" i="17"/>
  <c r="A105" i="17"/>
  <c r="D105" i="17" s="1"/>
  <c r="A12" i="17"/>
  <c r="A131" i="17"/>
  <c r="A79" i="17"/>
  <c r="S13" i="12"/>
  <c r="S35" i="12"/>
  <c r="K53" i="19"/>
  <c r="D101" i="2"/>
  <c r="AR11" i="28"/>
  <c r="R11" i="28" s="1"/>
  <c r="AP207" i="28"/>
  <c r="Q207" i="28" s="1"/>
  <c r="BI11" i="1"/>
  <c r="AP138" i="28"/>
  <c r="Q138" i="28" s="1"/>
  <c r="I610" i="28"/>
  <c r="I463" i="28"/>
  <c r="I511" i="28"/>
  <c r="I584" i="28"/>
  <c r="I632" i="28"/>
  <c r="I648" i="28"/>
  <c r="I728" i="28"/>
  <c r="I558" i="28"/>
  <c r="I574" i="28"/>
  <c r="I686" i="28"/>
  <c r="I922" i="28"/>
  <c r="I739" i="28"/>
  <c r="I822" i="28"/>
  <c r="I855" i="28"/>
  <c r="I887" i="28"/>
  <c r="I919" i="28"/>
  <c r="I951" i="28"/>
  <c r="I983" i="28"/>
  <c r="I781" i="28"/>
  <c r="V804" i="28"/>
  <c r="I883" i="28"/>
  <c r="I915" i="28"/>
  <c r="I979" i="28"/>
  <c r="I706" i="28"/>
  <c r="I431" i="28"/>
  <c r="I479" i="28"/>
  <c r="I600" i="28"/>
  <c r="I489" i="28"/>
  <c r="I537" i="28"/>
  <c r="U537" i="28" s="1"/>
  <c r="I590" i="28"/>
  <c r="I606" i="28"/>
  <c r="I718" i="28"/>
  <c r="I810" i="28"/>
  <c r="I839" i="28"/>
  <c r="I871" i="28"/>
  <c r="U871" i="28" s="1"/>
  <c r="I903" i="28"/>
  <c r="I935" i="28"/>
  <c r="U935" i="28" s="1"/>
  <c r="I967" i="28"/>
  <c r="I950" i="28"/>
  <c r="I749" i="28"/>
  <c r="I813" i="28"/>
  <c r="I886" i="28"/>
  <c r="I918" i="28"/>
  <c r="I798" i="28"/>
  <c r="I964" i="28"/>
  <c r="U964" i="28" s="1"/>
  <c r="I799" i="28"/>
  <c r="I751" i="28"/>
  <c r="I791" i="28"/>
  <c r="I1001" i="28"/>
  <c r="U1001" i="28" s="1"/>
  <c r="V816" i="28"/>
  <c r="I473" i="28"/>
  <c r="I759" i="28"/>
  <c r="I815" i="28"/>
  <c r="I916" i="28"/>
  <c r="AR122" i="28"/>
  <c r="R122" i="28" s="1"/>
  <c r="AR170" i="28"/>
  <c r="R170" i="28" s="1"/>
  <c r="AP400" i="28"/>
  <c r="Q400" i="28" s="1"/>
  <c r="AQ166" i="28"/>
  <c r="S166" i="28" s="1"/>
  <c r="AP370" i="28"/>
  <c r="Q370" i="28" s="1"/>
  <c r="AR55" i="28"/>
  <c r="R55" i="28" s="1"/>
  <c r="AP25" i="28"/>
  <c r="Q25" i="28" s="1"/>
  <c r="AP108" i="28"/>
  <c r="Q108" i="28" s="1"/>
  <c r="AP120" i="28"/>
  <c r="Q120" i="28" s="1"/>
  <c r="AR244" i="28"/>
  <c r="R244" i="28" s="1"/>
  <c r="AR263" i="28"/>
  <c r="R263" i="28" s="1"/>
  <c r="AP298" i="28"/>
  <c r="Q298" i="28" s="1"/>
  <c r="AQ216" i="28"/>
  <c r="S216" i="28" s="1"/>
  <c r="AR362" i="28"/>
  <c r="R362" i="28" s="1"/>
  <c r="I520" i="28"/>
  <c r="I465" i="28"/>
  <c r="I497" i="28"/>
  <c r="U497" i="28" s="1"/>
  <c r="AQ162" i="28"/>
  <c r="S162" i="28" s="1"/>
  <c r="AP300" i="28"/>
  <c r="Q300" i="28" s="1"/>
  <c r="I513" i="28"/>
  <c r="AQ58" i="28"/>
  <c r="S58" i="28" s="1"/>
  <c r="AP233" i="28"/>
  <c r="Q233" i="28" s="1"/>
  <c r="AP241" i="28"/>
  <c r="Q241" i="28" s="1"/>
  <c r="AQ365" i="28"/>
  <c r="S365" i="28" s="1"/>
  <c r="AQ298" i="28"/>
  <c r="S298" i="28" s="1"/>
  <c r="I536" i="28"/>
  <c r="AR184" i="28"/>
  <c r="R184" i="28" s="1"/>
  <c r="AP225" i="28"/>
  <c r="Q225" i="28" s="1"/>
  <c r="AP390" i="28"/>
  <c r="Q390" i="28" s="1"/>
  <c r="H38" i="28" s="1"/>
  <c r="AQ417" i="28"/>
  <c r="S417" i="28" s="1"/>
  <c r="AR383" i="28"/>
  <c r="R383" i="28" s="1"/>
  <c r="I454" i="28"/>
  <c r="I756" i="28"/>
  <c r="AR360" i="28"/>
  <c r="R360" i="28" s="1"/>
  <c r="AP208" i="28"/>
  <c r="Q208" i="28" s="1"/>
  <c r="I470" i="28"/>
  <c r="AE486" i="28"/>
  <c r="I502" i="28"/>
  <c r="I440" i="28"/>
  <c r="I472" i="28"/>
  <c r="I456" i="28"/>
  <c r="I504" i="28"/>
  <c r="V616" i="28"/>
  <c r="I788" i="28"/>
  <c r="I796" i="28"/>
  <c r="I851" i="28"/>
  <c r="AP5" i="28"/>
  <c r="Q5" i="28" s="1"/>
  <c r="I441" i="28"/>
  <c r="I521" i="28"/>
  <c r="U521" i="28" s="1"/>
  <c r="AP363" i="28"/>
  <c r="Q363" i="28" s="1"/>
  <c r="I505" i="28"/>
  <c r="AQ75" i="28"/>
  <c r="S75" i="28" s="1"/>
  <c r="AP94" i="28"/>
  <c r="Q94" i="28" s="1"/>
  <c r="AR242" i="28"/>
  <c r="R242" i="28" s="1"/>
  <c r="AQ242" i="28"/>
  <c r="S242" i="28" s="1"/>
  <c r="AQ252" i="28"/>
  <c r="S252" i="28" s="1"/>
  <c r="AR361" i="28"/>
  <c r="R361" i="28" s="1"/>
  <c r="AR208" i="28"/>
  <c r="R208" i="28" s="1"/>
  <c r="AQ376" i="28"/>
  <c r="S376" i="28" s="1"/>
  <c r="AP328" i="28"/>
  <c r="Q328" i="28" s="1"/>
  <c r="AP199" i="28"/>
  <c r="Q199" i="28" s="1"/>
  <c r="AR188" i="28"/>
  <c r="R188" i="28" s="1"/>
  <c r="AR252" i="28"/>
  <c r="R252" i="28" s="1"/>
  <c r="AP422" i="28"/>
  <c r="Q422" i="28" s="1"/>
  <c r="AP421" i="28"/>
  <c r="Q421" i="28" s="1"/>
  <c r="AQ421" i="28"/>
  <c r="S421" i="28" s="1"/>
  <c r="AP274" i="28"/>
  <c r="Q274" i="28" s="1"/>
  <c r="I488" i="28"/>
  <c r="I552" i="28"/>
  <c r="AR289" i="28"/>
  <c r="R289" i="28" s="1"/>
  <c r="I780" i="28"/>
  <c r="U780" i="28" s="1"/>
  <c r="I827" i="28"/>
  <c r="I518" i="28"/>
  <c r="AR75" i="28"/>
  <c r="R75" i="28" s="1"/>
  <c r="AQ396" i="28"/>
  <c r="S396" i="28" s="1"/>
  <c r="AR374" i="28"/>
  <c r="R374" i="28" s="1"/>
  <c r="AQ263" i="28"/>
  <c r="S263" i="28" s="1"/>
  <c r="AR262" i="28"/>
  <c r="R262" i="28" s="1"/>
  <c r="AQ177" i="28"/>
  <c r="S177" i="28" s="1"/>
  <c r="H177" i="28" s="1"/>
  <c r="I812" i="28"/>
  <c r="I947" i="28"/>
  <c r="AP261" i="28"/>
  <c r="Q261" i="28" s="1"/>
  <c r="AR330" i="28"/>
  <c r="R330" i="28" s="1"/>
  <c r="AP374" i="28"/>
  <c r="Q374" i="28" s="1"/>
  <c r="AR246" i="28"/>
  <c r="R246" i="28" s="1"/>
  <c r="AP360" i="28"/>
  <c r="Q360" i="28" s="1"/>
  <c r="AQ374" i="28"/>
  <c r="S374" i="28" s="1"/>
  <c r="AQ363" i="28"/>
  <c r="S363" i="28" s="1"/>
  <c r="AP378" i="28"/>
  <c r="Q378" i="28" s="1"/>
  <c r="H378" i="28" s="1"/>
  <c r="AP403" i="28"/>
  <c r="Q403" i="28" s="1"/>
  <c r="AP314" i="28"/>
  <c r="Q314" i="28" s="1"/>
  <c r="I742" i="28"/>
  <c r="I806" i="28"/>
  <c r="I430" i="28"/>
  <c r="I446" i="28"/>
  <c r="I462" i="28"/>
  <c r="I478" i="28"/>
  <c r="I494" i="28"/>
  <c r="I510" i="28"/>
  <c r="I570" i="28"/>
  <c r="I602" i="28"/>
  <c r="I634" i="28"/>
  <c r="I666" i="28"/>
  <c r="U666" i="28" s="1"/>
  <c r="I698" i="28"/>
  <c r="I730" i="28"/>
  <c r="I567" i="28"/>
  <c r="I583" i="28"/>
  <c r="U583" i="28" s="1"/>
  <c r="I599" i="28"/>
  <c r="I615" i="28"/>
  <c r="I631" i="28"/>
  <c r="I647" i="28"/>
  <c r="I663" i="28"/>
  <c r="I679" i="28"/>
  <c r="I695" i="28"/>
  <c r="I711" i="28"/>
  <c r="I727" i="28"/>
  <c r="I550" i="28"/>
  <c r="I743" i="28"/>
  <c r="I763" i="28"/>
  <c r="I771" i="28"/>
  <c r="I787" i="28"/>
  <c r="I803" i="28"/>
  <c r="I860" i="28"/>
  <c r="I892" i="28"/>
  <c r="I924" i="28"/>
  <c r="I956" i="28"/>
  <c r="I988" i="28"/>
  <c r="I818" i="28"/>
  <c r="I834" i="28"/>
  <c r="U834" i="28" s="1"/>
  <c r="I848" i="28"/>
  <c r="I864" i="28"/>
  <c r="I880" i="28"/>
  <c r="I896" i="28"/>
  <c r="U896" i="28" s="1"/>
  <c r="I912" i="28"/>
  <c r="I928" i="28"/>
  <c r="U928" i="28" s="1"/>
  <c r="I944" i="28"/>
  <c r="I960" i="28"/>
  <c r="I976" i="28"/>
  <c r="I846" i="28"/>
  <c r="I878" i="28"/>
  <c r="I910" i="28"/>
  <c r="I942" i="28"/>
  <c r="I974" i="28"/>
  <c r="I765" i="28"/>
  <c r="I793" i="28"/>
  <c r="U793" i="28" s="1"/>
  <c r="I954" i="28"/>
  <c r="I986" i="28"/>
  <c r="V498" i="28"/>
  <c r="V529" i="28"/>
  <c r="I790" i="28"/>
  <c r="I546" i="28"/>
  <c r="V697" i="28"/>
  <c r="I774" i="28"/>
  <c r="AP242" i="28"/>
  <c r="Q242" i="28" s="1"/>
  <c r="AE729" i="28"/>
  <c r="V622" i="28"/>
  <c r="I752" i="28"/>
  <c r="I760" i="28"/>
  <c r="I769" i="28"/>
  <c r="V657" i="28"/>
  <c r="I776" i="28"/>
  <c r="I784" i="28"/>
  <c r="I987" i="28"/>
  <c r="I800" i="28"/>
  <c r="AQ47" i="28"/>
  <c r="S47" i="28" s="1"/>
  <c r="AR130" i="28"/>
  <c r="R130" i="28" s="1"/>
  <c r="AQ122" i="28"/>
  <c r="S122" i="28" s="1"/>
  <c r="AQ409" i="28"/>
  <c r="S409" i="28" s="1"/>
  <c r="I831" i="28"/>
  <c r="I808" i="28"/>
  <c r="I768" i="28"/>
  <c r="I792" i="28"/>
  <c r="I859" i="28"/>
  <c r="I923" i="28"/>
  <c r="I891" i="28"/>
  <c r="I955" i="28"/>
  <c r="I819" i="28"/>
  <c r="I875" i="28"/>
  <c r="I939" i="28"/>
  <c r="I843" i="28"/>
  <c r="I907" i="28"/>
  <c r="I971" i="28"/>
  <c r="AQ84" i="28"/>
  <c r="S84" i="28" s="1"/>
  <c r="BQ727" i="1"/>
  <c r="AQ35" i="28"/>
  <c r="S35" i="28" s="1"/>
  <c r="AR261" i="28"/>
  <c r="R261" i="28" s="1"/>
  <c r="V551" i="28"/>
  <c r="AP335" i="28"/>
  <c r="Q335" i="28" s="1"/>
  <c r="AR258" i="28"/>
  <c r="R258" i="28" s="1"/>
  <c r="AR306" i="28"/>
  <c r="R306" i="28" s="1"/>
  <c r="AQ353" i="28"/>
  <c r="S353" i="28" s="1"/>
  <c r="AP72" i="28"/>
  <c r="Q72" i="28" s="1"/>
  <c r="AQ113" i="28"/>
  <c r="S113" i="28" s="1"/>
  <c r="AQ139" i="28"/>
  <c r="S139" i="28" s="1"/>
  <c r="AR232" i="28"/>
  <c r="R232" i="28" s="1"/>
  <c r="AR166" i="28"/>
  <c r="R166" i="28" s="1"/>
  <c r="AR216" i="28"/>
  <c r="R216" i="28" s="1"/>
  <c r="AR299" i="28"/>
  <c r="R299" i="28" s="1"/>
  <c r="AQ345" i="28"/>
  <c r="S345" i="28" s="1"/>
  <c r="AQ300" i="28"/>
  <c r="S300" i="28" s="1"/>
  <c r="AQ87" i="28"/>
  <c r="S87" i="28" s="1"/>
  <c r="AP64" i="28"/>
  <c r="Q64" i="28" s="1"/>
  <c r="AP246" i="28"/>
  <c r="Q246" i="28" s="1"/>
  <c r="AQ293" i="28"/>
  <c r="S293" i="28" s="1"/>
  <c r="AP281" i="28"/>
  <c r="Q281" i="28" s="1"/>
  <c r="AQ279" i="28"/>
  <c r="S279" i="28" s="1"/>
  <c r="AQ326" i="28"/>
  <c r="S326" i="28" s="1"/>
  <c r="AP24" i="28"/>
  <c r="Q24" i="28" s="1"/>
  <c r="AR97" i="28"/>
  <c r="R97" i="28" s="1"/>
  <c r="AR279" i="28"/>
  <c r="R279" i="28" s="1"/>
  <c r="AP279" i="28"/>
  <c r="Q279" i="28" s="1"/>
  <c r="AQ80" i="28"/>
  <c r="S80" i="28" s="1"/>
  <c r="AP22" i="28"/>
  <c r="Q22" i="28" s="1"/>
  <c r="AQ30" i="28"/>
  <c r="S30" i="28" s="1"/>
  <c r="AP77" i="28"/>
  <c r="Q77" i="28" s="1"/>
  <c r="AQ185" i="28"/>
  <c r="S185" i="28" s="1"/>
  <c r="AQ211" i="28"/>
  <c r="S211" i="28" s="1"/>
  <c r="AP304" i="28"/>
  <c r="Q304" i="28" s="1"/>
  <c r="AQ344" i="28"/>
  <c r="S344" i="28" s="1"/>
  <c r="AQ407" i="28"/>
  <c r="S407" i="28" s="1"/>
  <c r="AP270" i="28"/>
  <c r="Q270" i="28" s="1"/>
  <c r="AR284" i="28"/>
  <c r="R284" i="28" s="1"/>
  <c r="AP338" i="28"/>
  <c r="Q338" i="28" s="1"/>
  <c r="AP345" i="28"/>
  <c r="Q345" i="28" s="1"/>
  <c r="AR406" i="28"/>
  <c r="R406" i="28" s="1"/>
  <c r="AP122" i="28"/>
  <c r="Q122" i="28" s="1"/>
  <c r="AP91" i="28"/>
  <c r="Q91" i="28" s="1"/>
  <c r="BQ819" i="1"/>
  <c r="B105" i="17"/>
  <c r="B104" i="17"/>
  <c r="BQ4" i="1"/>
  <c r="BQ5" i="1" s="1"/>
  <c r="BQ7" i="1" s="1"/>
  <c r="D106" i="16"/>
  <c r="D108" i="16"/>
  <c r="E106" i="16"/>
  <c r="B110" i="16"/>
  <c r="B112" i="16"/>
  <c r="C104" i="17"/>
  <c r="B107" i="16"/>
  <c r="B103" i="17"/>
  <c r="B108" i="16"/>
  <c r="D110" i="16"/>
  <c r="E107" i="16"/>
  <c r="C110" i="16"/>
  <c r="B111" i="16"/>
  <c r="C112" i="16"/>
  <c r="D103" i="17"/>
  <c r="C106" i="16"/>
  <c r="C105" i="17"/>
  <c r="C108" i="16"/>
  <c r="B109" i="16"/>
  <c r="D109" i="16"/>
  <c r="E110" i="16"/>
  <c r="C111" i="16"/>
  <c r="D112" i="16"/>
  <c r="C107" i="16"/>
  <c r="B106" i="16"/>
  <c r="C103" i="17"/>
  <c r="D104" i="17"/>
  <c r="C109" i="16"/>
  <c r="D107" i="16"/>
  <c r="D111" i="16"/>
  <c r="AP87" i="28"/>
  <c r="Q87" i="28" s="1"/>
  <c r="AQ200" i="28"/>
  <c r="S200" i="28" s="1"/>
  <c r="AP193" i="28"/>
  <c r="Q193" i="28" s="1"/>
  <c r="AR315" i="28"/>
  <c r="R315" i="28" s="1"/>
  <c r="AR335" i="28"/>
  <c r="R335" i="28" s="1"/>
  <c r="AR233" i="28"/>
  <c r="R233" i="28" s="1"/>
  <c r="AQ314" i="28"/>
  <c r="S314" i="28" s="1"/>
  <c r="AP306" i="28"/>
  <c r="Q306" i="28" s="1"/>
  <c r="AP406" i="28"/>
  <c r="Q406" i="28" s="1"/>
  <c r="AP18" i="28"/>
  <c r="Q18" i="28" s="1"/>
  <c r="AP35" i="28"/>
  <c r="Q35" i="28" s="1"/>
  <c r="AR35" i="28"/>
  <c r="R35" i="28" s="1"/>
  <c r="AQ94" i="28"/>
  <c r="S94" i="28" s="1"/>
  <c r="AR94" i="28"/>
  <c r="R94" i="28" s="1"/>
  <c r="AP408" i="28"/>
  <c r="Q408" i="28" s="1"/>
  <c r="AR408" i="28"/>
  <c r="R408" i="28" s="1"/>
  <c r="AR260" i="28"/>
  <c r="R260" i="28" s="1"/>
  <c r="AP260" i="28"/>
  <c r="Q260" i="28" s="1"/>
  <c r="AP278" i="28"/>
  <c r="Q278" i="28" s="1"/>
  <c r="AR278" i="28"/>
  <c r="R278" i="28" s="1"/>
  <c r="AP280" i="28"/>
  <c r="Q280" i="28" s="1"/>
  <c r="AR280" i="28"/>
  <c r="R280" i="28" s="1"/>
  <c r="AQ53" i="28"/>
  <c r="S53" i="28" s="1"/>
  <c r="AQ71" i="28"/>
  <c r="S71" i="28" s="1"/>
  <c r="AR100" i="28"/>
  <c r="R100" i="28" s="1"/>
  <c r="AP79" i="28"/>
  <c r="Q79" i="28" s="1"/>
  <c r="AQ154" i="28"/>
  <c r="S154" i="28" s="1"/>
  <c r="AQ203" i="28"/>
  <c r="S203" i="28" s="1"/>
  <c r="AP142" i="28"/>
  <c r="Q142" i="28" s="1"/>
  <c r="AP158" i="28"/>
  <c r="Q158" i="28" s="1"/>
  <c r="AR193" i="28"/>
  <c r="R193" i="28" s="1"/>
  <c r="AQ193" i="28"/>
  <c r="S193" i="28" s="1"/>
  <c r="AP210" i="28"/>
  <c r="Q210" i="28" s="1"/>
  <c r="AQ301" i="28"/>
  <c r="S301" i="28" s="1"/>
  <c r="AQ282" i="28"/>
  <c r="S282" i="28" s="1"/>
  <c r="AR281" i="28"/>
  <c r="R281" i="28" s="1"/>
  <c r="AR407" i="28"/>
  <c r="R407" i="28" s="1"/>
  <c r="AQ296" i="28"/>
  <c r="S296" i="28" s="1"/>
  <c r="AQ406" i="28"/>
  <c r="S406" i="28" s="1"/>
  <c r="AQ397" i="28"/>
  <c r="S397" i="28" s="1"/>
  <c r="AQ170" i="28"/>
  <c r="S170" i="28" s="1"/>
  <c r="AP365" i="28"/>
  <c r="Q365" i="28" s="1"/>
  <c r="AR14" i="28"/>
  <c r="R14" i="28" s="1"/>
  <c r="AR9" i="28"/>
  <c r="R9" i="28" s="1"/>
  <c r="AP9" i="28"/>
  <c r="Q9" i="28" s="1"/>
  <c r="AQ192" i="28"/>
  <c r="S192" i="28" s="1"/>
  <c r="AR192" i="28"/>
  <c r="R192" i="28" s="1"/>
  <c r="AP88" i="28"/>
  <c r="Q88" i="28" s="1"/>
  <c r="AR88" i="28"/>
  <c r="R88" i="28" s="1"/>
  <c r="AQ88" i="28"/>
  <c r="S88" i="28" s="1"/>
  <c r="AR268" i="28"/>
  <c r="R268" i="28" s="1"/>
  <c r="AP268" i="28"/>
  <c r="Q268" i="28" s="1"/>
  <c r="AP368" i="28"/>
  <c r="Q368" i="28" s="1"/>
  <c r="AR368" i="28"/>
  <c r="R368" i="28" s="1"/>
  <c r="AQ368" i="28"/>
  <c r="S368" i="28" s="1"/>
  <c r="AP184" i="28"/>
  <c r="Q184" i="28" s="1"/>
  <c r="AP194" i="28"/>
  <c r="Q194" i="28" s="1"/>
  <c r="AP166" i="28"/>
  <c r="Q166" i="28" s="1"/>
  <c r="H166" i="28" s="1"/>
  <c r="AP289" i="28"/>
  <c r="Q289" i="28" s="1"/>
  <c r="AQ378" i="28"/>
  <c r="S378" i="28" s="1"/>
  <c r="AQ24" i="28"/>
  <c r="S24" i="28" s="1"/>
  <c r="AR24" i="28"/>
  <c r="R24" i="28" s="1"/>
  <c r="AP48" i="28"/>
  <c r="Q48" i="28" s="1"/>
  <c r="AR48" i="28"/>
  <c r="R48" i="28" s="1"/>
  <c r="AP259" i="28"/>
  <c r="Q259" i="28" s="1"/>
  <c r="AR259" i="28"/>
  <c r="R259" i="28" s="1"/>
  <c r="AQ372" i="28"/>
  <c r="S372" i="28" s="1"/>
  <c r="AR53" i="28"/>
  <c r="R53" i="28" s="1"/>
  <c r="AQ15" i="28"/>
  <c r="S15" i="28" s="1"/>
  <c r="AP27" i="28"/>
  <c r="Q27" i="28" s="1"/>
  <c r="AP30" i="28"/>
  <c r="Q30" i="28" s="1"/>
  <c r="AQ67" i="28"/>
  <c r="S67" i="28" s="1"/>
  <c r="AR4" i="28"/>
  <c r="R4" i="28" s="1"/>
  <c r="AQ138" i="28"/>
  <c r="S138" i="28" s="1"/>
  <c r="AQ208" i="28"/>
  <c r="S208" i="28" s="1"/>
  <c r="AR282" i="28"/>
  <c r="R282" i="28" s="1"/>
  <c r="AR314" i="28"/>
  <c r="R314" i="28" s="1"/>
  <c r="AP180" i="28"/>
  <c r="Q180" i="28" s="1"/>
  <c r="AR300" i="28"/>
  <c r="R300" i="28" s="1"/>
  <c r="AP288" i="28"/>
  <c r="Q288" i="28" s="1"/>
  <c r="AP171" i="28"/>
  <c r="Q171" i="28" s="1"/>
  <c r="AR171" i="28"/>
  <c r="R171" i="28" s="1"/>
  <c r="AQ171" i="28"/>
  <c r="S171" i="28" s="1"/>
  <c r="AQ274" i="28"/>
  <c r="S274" i="28" s="1"/>
  <c r="AR274" i="28"/>
  <c r="R274" i="28" s="1"/>
  <c r="AR294" i="28"/>
  <c r="R294" i="28" s="1"/>
  <c r="AQ27" i="28"/>
  <c r="S27" i="28" s="1"/>
  <c r="AQ105" i="28"/>
  <c r="S105" i="28" s="1"/>
  <c r="AP315" i="28"/>
  <c r="Q315" i="28" s="1"/>
  <c r="AR422" i="28"/>
  <c r="R422" i="28" s="1"/>
  <c r="AP397" i="28"/>
  <c r="Q397" i="28" s="1"/>
  <c r="AQ123" i="28"/>
  <c r="S123" i="28" s="1"/>
  <c r="AR123" i="28"/>
  <c r="R123" i="28" s="1"/>
  <c r="AP123" i="28"/>
  <c r="Q123" i="28" s="1"/>
  <c r="AQ110" i="28"/>
  <c r="S110" i="28" s="1"/>
  <c r="AP267" i="28"/>
  <c r="Q267" i="28" s="1"/>
  <c r="AQ267" i="28"/>
  <c r="S267" i="28" s="1"/>
  <c r="AR267" i="28"/>
  <c r="R267" i="28" s="1"/>
  <c r="AQ370" i="28"/>
  <c r="S370" i="28" s="1"/>
  <c r="AR18" i="28"/>
  <c r="R18" i="28" s="1"/>
  <c r="AP71" i="28"/>
  <c r="Q71" i="28" s="1"/>
  <c r="AP84" i="28"/>
  <c r="Q84" i="28" s="1"/>
  <c r="AR80" i="28"/>
  <c r="R80" i="28" s="1"/>
  <c r="AQ86" i="28"/>
  <c r="S86" i="28" s="1"/>
  <c r="AQ104" i="28"/>
  <c r="S104" i="28" s="1"/>
  <c r="AR154" i="28"/>
  <c r="R154" i="28" s="1"/>
  <c r="AP204" i="28"/>
  <c r="Q204" i="28" s="1"/>
  <c r="AQ270" i="28"/>
  <c r="S270" i="28" s="1"/>
  <c r="AQ224" i="28"/>
  <c r="S224" i="28" s="1"/>
  <c r="AQ306" i="28"/>
  <c r="S306" i="28" s="1"/>
  <c r="AQ422" i="28"/>
  <c r="S422" i="28" s="1"/>
  <c r="AR62" i="28"/>
  <c r="R62" i="28" s="1"/>
  <c r="AQ66" i="28"/>
  <c r="S66" i="28" s="1"/>
  <c r="AP66" i="28"/>
  <c r="Q66" i="28" s="1"/>
  <c r="AR95" i="28"/>
  <c r="R95" i="28" s="1"/>
  <c r="AP145" i="28"/>
  <c r="Q145" i="28" s="1"/>
  <c r="AR145" i="28"/>
  <c r="R145" i="28" s="1"/>
  <c r="AQ99" i="28"/>
  <c r="S99" i="28" s="1"/>
  <c r="AP99" i="28"/>
  <c r="Q99" i="28" s="1"/>
  <c r="AR65" i="28"/>
  <c r="R65" i="28" s="1"/>
  <c r="AP93" i="28"/>
  <c r="Q93" i="28" s="1"/>
  <c r="AR93" i="28"/>
  <c r="R93" i="28" s="1"/>
  <c r="AP128" i="28"/>
  <c r="Q128" i="28" s="1"/>
  <c r="AR128" i="28"/>
  <c r="R128" i="28" s="1"/>
  <c r="AP114" i="28"/>
  <c r="Q114" i="28" s="1"/>
  <c r="AQ114" i="28"/>
  <c r="S114" i="28" s="1"/>
  <c r="AR114" i="28"/>
  <c r="R114" i="28" s="1"/>
  <c r="AP188" i="28"/>
  <c r="Q188" i="28" s="1"/>
  <c r="AQ188" i="28"/>
  <c r="S188" i="28" s="1"/>
  <c r="AR159" i="28"/>
  <c r="R159" i="28" s="1"/>
  <c r="AR254" i="28"/>
  <c r="R254" i="28" s="1"/>
  <c r="AP191" i="28"/>
  <c r="Q191" i="28" s="1"/>
  <c r="AR191" i="28"/>
  <c r="R191" i="28" s="1"/>
  <c r="AR324" i="28"/>
  <c r="R324" i="28" s="1"/>
  <c r="AQ324" i="28"/>
  <c r="S324" i="28" s="1"/>
  <c r="AP324" i="28"/>
  <c r="Q324" i="28" s="1"/>
  <c r="AP358" i="28"/>
  <c r="Q358" i="28" s="1"/>
  <c r="AR358" i="28"/>
  <c r="R358" i="28" s="1"/>
  <c r="AQ410" i="28"/>
  <c r="S410" i="28" s="1"/>
  <c r="AP410" i="28"/>
  <c r="Q410" i="28" s="1"/>
  <c r="AQ416" i="28"/>
  <c r="S416" i="28" s="1"/>
  <c r="AP416" i="28"/>
  <c r="Q416" i="28" s="1"/>
  <c r="AR84" i="28"/>
  <c r="R84" i="28" s="1"/>
  <c r="AP67" i="28"/>
  <c r="Q67" i="28" s="1"/>
  <c r="H67" i="28" s="1"/>
  <c r="AR104" i="28"/>
  <c r="R104" i="28" s="1"/>
  <c r="AR91" i="28"/>
  <c r="R91" i="28" s="1"/>
  <c r="AR99" i="28"/>
  <c r="R99" i="28" s="1"/>
  <c r="AP104" i="28"/>
  <c r="Q104" i="28" s="1"/>
  <c r="AP126" i="28"/>
  <c r="Q126" i="28" s="1"/>
  <c r="AQ207" i="28"/>
  <c r="S207" i="28" s="1"/>
  <c r="AP162" i="28"/>
  <c r="Q162" i="28" s="1"/>
  <c r="AQ297" i="28"/>
  <c r="S297" i="28" s="1"/>
  <c r="AP224" i="28"/>
  <c r="Q224" i="28" s="1"/>
  <c r="AR346" i="28"/>
  <c r="R346" i="28" s="1"/>
  <c r="AP353" i="28"/>
  <c r="Q353" i="28" s="1"/>
  <c r="AR421" i="28"/>
  <c r="R421" i="28" s="1"/>
  <c r="AP258" i="28"/>
  <c r="Q258" i="28" s="1"/>
  <c r="AP296" i="28"/>
  <c r="Q296" i="28" s="1"/>
  <c r="AQ408" i="28"/>
  <c r="S408" i="28" s="1"/>
  <c r="AQ411" i="28"/>
  <c r="S411" i="28" s="1"/>
  <c r="AQ288" i="28"/>
  <c r="S288" i="28" s="1"/>
  <c r="AP326" i="28"/>
  <c r="Q326" i="28" s="1"/>
  <c r="AP348" i="28"/>
  <c r="Q348" i="28" s="1"/>
  <c r="AQ264" i="28"/>
  <c r="S264" i="28" s="1"/>
  <c r="AP330" i="28"/>
  <c r="Q330" i="28" s="1"/>
  <c r="AP396" i="28"/>
  <c r="Q396" i="28" s="1"/>
  <c r="AP407" i="28"/>
  <c r="Q407" i="28" s="1"/>
  <c r="AP12" i="28"/>
  <c r="Q12" i="28" s="1"/>
  <c r="AP146" i="28"/>
  <c r="Q146" i="28" s="1"/>
  <c r="AR146" i="28"/>
  <c r="R146" i="28" s="1"/>
  <c r="AQ146" i="28"/>
  <c r="S146" i="28" s="1"/>
  <c r="AR165" i="28"/>
  <c r="R165" i="28" s="1"/>
  <c r="AQ165" i="28"/>
  <c r="S165" i="28" s="1"/>
  <c r="AR178" i="28"/>
  <c r="R178" i="28" s="1"/>
  <c r="AP178" i="28"/>
  <c r="Q178" i="28" s="1"/>
  <c r="AP287" i="28"/>
  <c r="Q287" i="28" s="1"/>
  <c r="AR287" i="28"/>
  <c r="R287" i="28" s="1"/>
  <c r="AQ287" i="28"/>
  <c r="S287" i="28" s="1"/>
  <c r="AR199" i="28"/>
  <c r="R199" i="28" s="1"/>
  <c r="AQ249" i="28"/>
  <c r="S249" i="28" s="1"/>
  <c r="AP249" i="28"/>
  <c r="Q249" i="28" s="1"/>
  <c r="AQ311" i="28"/>
  <c r="S311" i="28" s="1"/>
  <c r="AP311" i="28"/>
  <c r="Q311" i="28" s="1"/>
  <c r="AP409" i="28"/>
  <c r="Q409" i="28" s="1"/>
  <c r="AR369" i="28"/>
  <c r="R369" i="28" s="1"/>
  <c r="AR392" i="28"/>
  <c r="R392" i="28" s="1"/>
  <c r="AP392" i="28"/>
  <c r="Q392" i="28" s="1"/>
  <c r="AQ392" i="28"/>
  <c r="S392" i="28" s="1"/>
  <c r="AR301" i="28"/>
  <c r="R301" i="28" s="1"/>
  <c r="AR334" i="28"/>
  <c r="R334" i="28" s="1"/>
  <c r="AP334" i="28"/>
  <c r="Q334" i="28" s="1"/>
  <c r="AQ334" i="28"/>
  <c r="S334" i="28" s="1"/>
  <c r="AP411" i="28"/>
  <c r="Q411" i="28" s="1"/>
  <c r="AR411" i="28"/>
  <c r="R411" i="28" s="1"/>
  <c r="I16" i="15"/>
  <c r="J16" i="15"/>
  <c r="H16" i="15" s="1"/>
  <c r="I28" i="15"/>
  <c r="J28" i="15"/>
  <c r="H28" i="15" s="1"/>
  <c r="AQ72" i="28"/>
  <c r="S72" i="28" s="1"/>
  <c r="AR200" i="28"/>
  <c r="R200" i="28" s="1"/>
  <c r="AQ400" i="28"/>
  <c r="S400" i="28" s="1"/>
  <c r="AQ57" i="28"/>
  <c r="S57" i="28" s="1"/>
  <c r="AP57" i="28"/>
  <c r="Q57" i="28" s="1"/>
  <c r="AR57" i="28"/>
  <c r="R57" i="28" s="1"/>
  <c r="AP10" i="28"/>
  <c r="Q10" i="28" s="1"/>
  <c r="AP26" i="28"/>
  <c r="Q26" i="28" s="1"/>
  <c r="AQ26" i="28"/>
  <c r="S26" i="28" s="1"/>
  <c r="AR41" i="28"/>
  <c r="R41" i="28" s="1"/>
  <c r="AQ41" i="28"/>
  <c r="S41" i="28" s="1"/>
  <c r="AP41" i="28"/>
  <c r="Q41" i="28" s="1"/>
  <c r="AP60" i="28"/>
  <c r="Q60" i="28" s="1"/>
  <c r="AP69" i="28"/>
  <c r="Q69" i="28" s="1"/>
  <c r="AQ69" i="28"/>
  <c r="S69" i="28" s="1"/>
  <c r="AR69" i="28"/>
  <c r="R69" i="28" s="1"/>
  <c r="AP132" i="28"/>
  <c r="Q132" i="28" s="1"/>
  <c r="H132" i="28" s="1"/>
  <c r="AR132" i="28"/>
  <c r="R132" i="28" s="1"/>
  <c r="AP133" i="28"/>
  <c r="Q133" i="28" s="1"/>
  <c r="AQ133" i="28"/>
  <c r="S133" i="28" s="1"/>
  <c r="AR133" i="28"/>
  <c r="R133" i="28" s="1"/>
  <c r="AQ176" i="28"/>
  <c r="S176" i="28" s="1"/>
  <c r="AP176" i="28"/>
  <c r="Q176" i="28" s="1"/>
  <c r="AR176" i="28"/>
  <c r="R176" i="28" s="1"/>
  <c r="AR264" i="28"/>
  <c r="R264" i="28" s="1"/>
  <c r="AQ302" i="28"/>
  <c r="S302" i="28" s="1"/>
  <c r="AR183" i="28"/>
  <c r="R183" i="28" s="1"/>
  <c r="AP183" i="28"/>
  <c r="Q183" i="28" s="1"/>
  <c r="AQ183" i="28"/>
  <c r="S183" i="28" s="1"/>
  <c r="AR239" i="28"/>
  <c r="R239" i="28" s="1"/>
  <c r="AP239" i="28"/>
  <c r="Q239" i="28" s="1"/>
  <c r="AQ239" i="28"/>
  <c r="S239" i="28" s="1"/>
  <c r="AP147" i="28"/>
  <c r="Q147" i="28" s="1"/>
  <c r="AR147" i="28"/>
  <c r="R147" i="28" s="1"/>
  <c r="AP293" i="28"/>
  <c r="Q293" i="28" s="1"/>
  <c r="AR293" i="28"/>
  <c r="R293" i="28" s="1"/>
  <c r="AP327" i="28"/>
  <c r="Q327" i="28" s="1"/>
  <c r="AR327" i="28"/>
  <c r="R327" i="28" s="1"/>
  <c r="AQ327" i="28"/>
  <c r="S327" i="28" s="1"/>
  <c r="AR250" i="28"/>
  <c r="R250" i="28" s="1"/>
  <c r="AP250" i="28"/>
  <c r="Q250" i="28" s="1"/>
  <c r="AQ275" i="28"/>
  <c r="S275" i="28" s="1"/>
  <c r="AR275" i="28"/>
  <c r="R275" i="28" s="1"/>
  <c r="AR307" i="28"/>
  <c r="R307" i="28" s="1"/>
  <c r="AQ307" i="28"/>
  <c r="S307" i="28" s="1"/>
  <c r="AP387" i="28"/>
  <c r="Q387" i="28" s="1"/>
  <c r="AR387" i="28"/>
  <c r="R387" i="28" s="1"/>
  <c r="AP354" i="28"/>
  <c r="Q354" i="28" s="1"/>
  <c r="AR354" i="28"/>
  <c r="R354" i="28" s="1"/>
  <c r="AQ354" i="28"/>
  <c r="S354" i="28" s="1"/>
  <c r="AP357" i="28"/>
  <c r="Q357" i="28" s="1"/>
  <c r="AR357" i="28"/>
  <c r="R357" i="28" s="1"/>
  <c r="AP377" i="28"/>
  <c r="Q377" i="28" s="1"/>
  <c r="AP386" i="28"/>
  <c r="Q386" i="28" s="1"/>
  <c r="AR386" i="28"/>
  <c r="R386" i="28" s="1"/>
  <c r="AR336" i="28"/>
  <c r="R336" i="28" s="1"/>
  <c r="AP372" i="28"/>
  <c r="Q372" i="28" s="1"/>
  <c r="AP401" i="28"/>
  <c r="Q401" i="28" s="1"/>
  <c r="AP424" i="28"/>
  <c r="Q424" i="28" s="1"/>
  <c r="AQ424" i="28"/>
  <c r="S424" i="28" s="1"/>
  <c r="AR424" i="28"/>
  <c r="R424" i="28" s="1"/>
  <c r="AP100" i="28"/>
  <c r="Q100" i="28" s="1"/>
  <c r="AP185" i="28"/>
  <c r="Q185" i="28" s="1"/>
  <c r="AP216" i="28"/>
  <c r="Q216" i="28" s="1"/>
  <c r="AR224" i="28"/>
  <c r="R224" i="28" s="1"/>
  <c r="AQ357" i="28"/>
  <c r="S357" i="28" s="1"/>
  <c r="AQ225" i="28"/>
  <c r="S225" i="28" s="1"/>
  <c r="AQ289" i="28"/>
  <c r="S289" i="28" s="1"/>
  <c r="AP337" i="28"/>
  <c r="Q337" i="28" s="1"/>
  <c r="AR51" i="28"/>
  <c r="R51" i="28" s="1"/>
  <c r="AP51" i="28"/>
  <c r="Q51" i="28" s="1"/>
  <c r="AQ51" i="28"/>
  <c r="S51" i="28" s="1"/>
  <c r="AR21" i="28"/>
  <c r="R21" i="28" s="1"/>
  <c r="AP21" i="28"/>
  <c r="Q21" i="28" s="1"/>
  <c r="AQ21" i="28"/>
  <c r="S21" i="28" s="1"/>
  <c r="AQ46" i="28"/>
  <c r="S46" i="28" s="1"/>
  <c r="AP46" i="28"/>
  <c r="Q46" i="28" s="1"/>
  <c r="AR46" i="28"/>
  <c r="R46" i="28" s="1"/>
  <c r="AP68" i="28"/>
  <c r="Q68" i="28" s="1"/>
  <c r="AQ68" i="28"/>
  <c r="S68" i="28" s="1"/>
  <c r="AR68" i="28"/>
  <c r="R68" i="28" s="1"/>
  <c r="AQ124" i="28"/>
  <c r="S124" i="28" s="1"/>
  <c r="AR124" i="28"/>
  <c r="R124" i="28" s="1"/>
  <c r="AP124" i="28"/>
  <c r="Q124" i="28" s="1"/>
  <c r="AP54" i="28"/>
  <c r="Q54" i="28" s="1"/>
  <c r="AR54" i="28"/>
  <c r="R54" i="28" s="1"/>
  <c r="AQ54" i="28"/>
  <c r="S54" i="28" s="1"/>
  <c r="AP135" i="28"/>
  <c r="Q135" i="28" s="1"/>
  <c r="AP86" i="28"/>
  <c r="Q86" i="28" s="1"/>
  <c r="AR86" i="28"/>
  <c r="R86" i="28" s="1"/>
  <c r="AP245" i="28"/>
  <c r="Q245" i="28" s="1"/>
  <c r="AR245" i="28"/>
  <c r="R245" i="28" s="1"/>
  <c r="AQ245" i="28"/>
  <c r="S245" i="28" s="1"/>
  <c r="AR152" i="28"/>
  <c r="R152" i="28" s="1"/>
  <c r="AP203" i="28"/>
  <c r="Q203" i="28" s="1"/>
  <c r="AR203" i="28"/>
  <c r="R203" i="28" s="1"/>
  <c r="AQ283" i="28"/>
  <c r="S283" i="28" s="1"/>
  <c r="AR303" i="28"/>
  <c r="R303" i="28" s="1"/>
  <c r="AP332" i="28"/>
  <c r="Q332" i="28" s="1"/>
  <c r="AR332" i="28"/>
  <c r="R332" i="28" s="1"/>
  <c r="AQ332" i="28"/>
  <c r="S332" i="28" s="1"/>
  <c r="AP366" i="28"/>
  <c r="Q366" i="28" s="1"/>
  <c r="AR366" i="28"/>
  <c r="R366" i="28" s="1"/>
  <c r="AQ366" i="28"/>
  <c r="S366" i="28" s="1"/>
  <c r="AP383" i="28"/>
  <c r="Q383" i="28" s="1"/>
  <c r="AQ383" i="28"/>
  <c r="S383" i="28" s="1"/>
  <c r="AR325" i="28"/>
  <c r="R325" i="28" s="1"/>
  <c r="AP418" i="28"/>
  <c r="Q418" i="28" s="1"/>
  <c r="AP391" i="28"/>
  <c r="Q391" i="28" s="1"/>
  <c r="AR391" i="28"/>
  <c r="R391" i="28" s="1"/>
  <c r="AP320" i="28"/>
  <c r="Q320" i="28" s="1"/>
  <c r="AR320" i="28"/>
  <c r="R320" i="28" s="1"/>
  <c r="AR379" i="28"/>
  <c r="R379" i="28" s="1"/>
  <c r="AR28" i="28"/>
  <c r="R28" i="28" s="1"/>
  <c r="AQ28" i="28"/>
  <c r="S28" i="28" s="1"/>
  <c r="AP28" i="28"/>
  <c r="Q28" i="28" s="1"/>
  <c r="AQ11" i="28"/>
  <c r="S11" i="28" s="1"/>
  <c r="AR6" i="28"/>
  <c r="R6" i="28" s="1"/>
  <c r="AR15" i="28"/>
  <c r="R15" i="28" s="1"/>
  <c r="AR27" i="28"/>
  <c r="R27" i="28" s="1"/>
  <c r="AQ31" i="28"/>
  <c r="S31" i="28" s="1"/>
  <c r="AQ40" i="28"/>
  <c r="S40" i="28" s="1"/>
  <c r="AR40" i="28"/>
  <c r="R40" i="28" s="1"/>
  <c r="AP61" i="28"/>
  <c r="Q61" i="28" s="1"/>
  <c r="AR61" i="28"/>
  <c r="R61" i="28" s="1"/>
  <c r="AQ61" i="28"/>
  <c r="S61" i="28" s="1"/>
  <c r="AR66" i="28"/>
  <c r="R66" i="28" s="1"/>
  <c r="AP74" i="28"/>
  <c r="Q74" i="28" s="1"/>
  <c r="AQ74" i="28"/>
  <c r="S74" i="28" s="1"/>
  <c r="AR82" i="28"/>
  <c r="R82" i="28" s="1"/>
  <c r="AR77" i="28"/>
  <c r="R77" i="28" s="1"/>
  <c r="AP80" i="28"/>
  <c r="Q80" i="28" s="1"/>
  <c r="AP102" i="28"/>
  <c r="Q102" i="28" s="1"/>
  <c r="AR102" i="28"/>
  <c r="R102" i="28" s="1"/>
  <c r="AQ102" i="28"/>
  <c r="S102" i="28" s="1"/>
  <c r="AR110" i="28"/>
  <c r="R110" i="28" s="1"/>
  <c r="AR70" i="28"/>
  <c r="R70" i="28" s="1"/>
  <c r="AQ79" i="28"/>
  <c r="S79" i="28" s="1"/>
  <c r="AR105" i="28"/>
  <c r="R105" i="28" s="1"/>
  <c r="AP106" i="28"/>
  <c r="Q106" i="28" s="1"/>
  <c r="AQ119" i="28"/>
  <c r="S119" i="28" s="1"/>
  <c r="AP119" i="28"/>
  <c r="Q119" i="28" s="1"/>
  <c r="AR119" i="28"/>
  <c r="R119" i="28" s="1"/>
  <c r="AQ155" i="28"/>
  <c r="S155" i="28" s="1"/>
  <c r="AQ126" i="28"/>
  <c r="S126" i="28" s="1"/>
  <c r="AP169" i="28"/>
  <c r="Q169" i="28" s="1"/>
  <c r="AR169" i="28"/>
  <c r="R169" i="28" s="1"/>
  <c r="AQ169" i="28"/>
  <c r="S169" i="28" s="1"/>
  <c r="AP189" i="28"/>
  <c r="Q189" i="28" s="1"/>
  <c r="AQ189" i="28"/>
  <c r="S189" i="28" s="1"/>
  <c r="AR142" i="28"/>
  <c r="R142" i="28" s="1"/>
  <c r="AR158" i="28"/>
  <c r="R158" i="28" s="1"/>
  <c r="AQ128" i="28"/>
  <c r="S128" i="28" s="1"/>
  <c r="AQ132" i="28"/>
  <c r="S132" i="28" s="1"/>
  <c r="AP173" i="28"/>
  <c r="Q173" i="28" s="1"/>
  <c r="AR173" i="28"/>
  <c r="R173" i="28" s="1"/>
  <c r="AQ173" i="28"/>
  <c r="S173" i="28" s="1"/>
  <c r="AP200" i="28"/>
  <c r="Q200" i="28" s="1"/>
  <c r="AR202" i="28"/>
  <c r="R202" i="28" s="1"/>
  <c r="AP202" i="28"/>
  <c r="Q202" i="28" s="1"/>
  <c r="AP206" i="28"/>
  <c r="Q206" i="28" s="1"/>
  <c r="AR209" i="28"/>
  <c r="R209" i="28" s="1"/>
  <c r="AP209" i="28"/>
  <c r="Q209" i="28" s="1"/>
  <c r="AQ209" i="28"/>
  <c r="S209" i="28" s="1"/>
  <c r="AP211" i="28"/>
  <c r="Q211" i="28" s="1"/>
  <c r="AQ150" i="28"/>
  <c r="S150" i="28" s="1"/>
  <c r="AP192" i="28"/>
  <c r="Q192" i="28" s="1"/>
  <c r="AQ210" i="28"/>
  <c r="S210" i="28" s="1"/>
  <c r="AR229" i="28"/>
  <c r="R229" i="28" s="1"/>
  <c r="AR235" i="28"/>
  <c r="R235" i="28" s="1"/>
  <c r="AQ299" i="28"/>
  <c r="S299" i="28" s="1"/>
  <c r="AQ180" i="28"/>
  <c r="S180" i="28" s="1"/>
  <c r="AR190" i="28"/>
  <c r="R190" i="28" s="1"/>
  <c r="AR204" i="28"/>
  <c r="R204" i="28" s="1"/>
  <c r="AR225" i="28"/>
  <c r="R225" i="28" s="1"/>
  <c r="AR248" i="28"/>
  <c r="R248" i="28" s="1"/>
  <c r="AQ281" i="28"/>
  <c r="S281" i="28" s="1"/>
  <c r="AQ286" i="28"/>
  <c r="S286" i="28" s="1"/>
  <c r="AP286" i="28"/>
  <c r="Q286" i="28" s="1"/>
  <c r="AR286" i="28"/>
  <c r="R286" i="28" s="1"/>
  <c r="AR290" i="28"/>
  <c r="R290" i="28" s="1"/>
  <c r="AP290" i="28"/>
  <c r="Q290" i="28" s="1"/>
  <c r="AR292" i="28"/>
  <c r="R292" i="28" s="1"/>
  <c r="AP312" i="28"/>
  <c r="Q312" i="28" s="1"/>
  <c r="AQ315" i="28"/>
  <c r="S315" i="28" s="1"/>
  <c r="H315" i="28" s="1"/>
  <c r="AQ338" i="28"/>
  <c r="S338" i="28" s="1"/>
  <c r="AQ373" i="28"/>
  <c r="S373" i="28" s="1"/>
  <c r="AP415" i="28"/>
  <c r="Q415" i="28" s="1"/>
  <c r="AR415" i="28"/>
  <c r="R415" i="28" s="1"/>
  <c r="AP262" i="28"/>
  <c r="Q262" i="28" s="1"/>
  <c r="AR337" i="28"/>
  <c r="R337" i="28" s="1"/>
  <c r="AP384" i="28"/>
  <c r="Q384" i="28" s="1"/>
  <c r="AQ384" i="28"/>
  <c r="S384" i="28" s="1"/>
  <c r="AQ259" i="28"/>
  <c r="S259" i="28" s="1"/>
  <c r="AQ278" i="28"/>
  <c r="S278" i="28" s="1"/>
  <c r="AQ280" i="28"/>
  <c r="S280" i="28" s="1"/>
  <c r="AR288" i="28"/>
  <c r="R288" i="28" s="1"/>
  <c r="AP316" i="28"/>
  <c r="Q316" i="28" s="1"/>
  <c r="AQ348" i="28"/>
  <c r="S348" i="28" s="1"/>
  <c r="AQ380" i="28"/>
  <c r="S380" i="28" s="1"/>
  <c r="AP380" i="28"/>
  <c r="Q380" i="28" s="1"/>
  <c r="AR380" i="28"/>
  <c r="R380" i="28" s="1"/>
  <c r="AP413" i="28"/>
  <c r="Q413" i="28" s="1"/>
  <c r="AR317" i="28"/>
  <c r="R317" i="28" s="1"/>
  <c r="AQ349" i="28"/>
  <c r="S349" i="28" s="1"/>
  <c r="AQ362" i="28"/>
  <c r="S362" i="28" s="1"/>
  <c r="AR400" i="28"/>
  <c r="R400" i="28" s="1"/>
  <c r="I445" i="28"/>
  <c r="I477" i="28"/>
  <c r="I509" i="28"/>
  <c r="U522" i="28"/>
  <c r="AE522" i="28"/>
  <c r="I541" i="28"/>
  <c r="U554" i="28"/>
  <c r="I573" i="28"/>
  <c r="I605" i="28"/>
  <c r="I637" i="28"/>
  <c r="I669" i="28"/>
  <c r="I701" i="28"/>
  <c r="I733" i="28"/>
  <c r="AR363" i="28"/>
  <c r="R363" i="28" s="1"/>
  <c r="AR378" i="28"/>
  <c r="R378" i="28" s="1"/>
  <c r="AQ403" i="28"/>
  <c r="S403" i="28" s="1"/>
  <c r="U432" i="28"/>
  <c r="U448" i="28"/>
  <c r="U512" i="28"/>
  <c r="AE512" i="28"/>
  <c r="U544" i="28"/>
  <c r="AE544" i="28"/>
  <c r="U576" i="28"/>
  <c r="AE576" i="28"/>
  <c r="U608" i="28"/>
  <c r="AE608" i="28"/>
  <c r="U616" i="28"/>
  <c r="AE616" i="28"/>
  <c r="U656" i="28"/>
  <c r="AE656" i="28"/>
  <c r="U664" i="28"/>
  <c r="AE664" i="28"/>
  <c r="U672" i="28"/>
  <c r="U704" i="28"/>
  <c r="AE704" i="28"/>
  <c r="AR412" i="28"/>
  <c r="R412" i="28" s="1"/>
  <c r="U438" i="28"/>
  <c r="AE438" i="28"/>
  <c r="U470" i="28"/>
  <c r="U486" i="28"/>
  <c r="U526" i="28"/>
  <c r="AE526" i="28"/>
  <c r="U534" i="28"/>
  <c r="AE534" i="28"/>
  <c r="U558" i="28"/>
  <c r="U622" i="28"/>
  <c r="AE622" i="28"/>
  <c r="U630" i="28"/>
  <c r="U638" i="28"/>
  <c r="AE638" i="28"/>
  <c r="U646" i="28"/>
  <c r="AE646" i="28"/>
  <c r="U654" i="28"/>
  <c r="U678" i="28"/>
  <c r="U686" i="28"/>
  <c r="U718" i="28"/>
  <c r="AQ401" i="28"/>
  <c r="S401" i="28" s="1"/>
  <c r="I427" i="28"/>
  <c r="I443" i="28"/>
  <c r="I459" i="28"/>
  <c r="I475" i="28"/>
  <c r="I491" i="28"/>
  <c r="I507" i="28"/>
  <c r="I523" i="28"/>
  <c r="I539" i="28"/>
  <c r="I555" i="28"/>
  <c r="I571" i="28"/>
  <c r="I587" i="28"/>
  <c r="I603" i="28"/>
  <c r="I619" i="28"/>
  <c r="I635" i="28"/>
  <c r="I651" i="28"/>
  <c r="I667" i="28"/>
  <c r="I683" i="28"/>
  <c r="I699" i="28"/>
  <c r="I715" i="28"/>
  <c r="I731" i="28"/>
  <c r="I861" i="28"/>
  <c r="I893" i="28"/>
  <c r="U906" i="28"/>
  <c r="I925" i="28"/>
  <c r="I957" i="28"/>
  <c r="U970" i="28"/>
  <c r="AE970" i="28"/>
  <c r="I989" i="28"/>
  <c r="U742" i="28"/>
  <c r="U782" i="28"/>
  <c r="U790" i="28"/>
  <c r="U847" i="28"/>
  <c r="AE847" i="28"/>
  <c r="U879" i="28"/>
  <c r="AE879" i="28"/>
  <c r="U903" i="28"/>
  <c r="U911" i="28"/>
  <c r="AE911" i="28"/>
  <c r="U943" i="28"/>
  <c r="AE943" i="28"/>
  <c r="U959" i="28"/>
  <c r="U975" i="28"/>
  <c r="AE975" i="28"/>
  <c r="U983" i="28"/>
  <c r="I865" i="28"/>
  <c r="U878" i="28"/>
  <c r="I897" i="28"/>
  <c r="I929" i="28"/>
  <c r="I961" i="28"/>
  <c r="I993" i="28"/>
  <c r="I740" i="28"/>
  <c r="U747" i="28"/>
  <c r="AE747" i="28"/>
  <c r="K49" i="11"/>
  <c r="K9" i="11" s="1"/>
  <c r="G74" i="11"/>
  <c r="H49" i="11"/>
  <c r="H9" i="11" s="1"/>
  <c r="D48" i="11"/>
  <c r="D8" i="11" s="1"/>
  <c r="C200" i="14"/>
  <c r="F75" i="11"/>
  <c r="B201" i="14"/>
  <c r="C48" i="11"/>
  <c r="C8" i="11" s="1"/>
  <c r="J74" i="11"/>
  <c r="G93" i="11"/>
  <c r="I50" i="11"/>
  <c r="I10" i="11" s="1"/>
  <c r="J50" i="11"/>
  <c r="J10" i="11" s="1"/>
  <c r="H74" i="11"/>
  <c r="G49" i="11"/>
  <c r="G9" i="11" s="1"/>
  <c r="F74" i="11"/>
  <c r="I74" i="11"/>
  <c r="E49" i="11"/>
  <c r="E9" i="11" s="1"/>
  <c r="G50" i="11"/>
  <c r="G10" i="11" s="1"/>
  <c r="C50" i="11"/>
  <c r="C10" i="11" s="1"/>
  <c r="C201" i="14"/>
  <c r="H75" i="11"/>
  <c r="H76" i="11"/>
  <c r="D49" i="11"/>
  <c r="D9" i="11" s="1"/>
  <c r="D50" i="11"/>
  <c r="D10" i="11" s="1"/>
  <c r="B174" i="14"/>
  <c r="J75" i="11"/>
  <c r="C75" i="11"/>
  <c r="B48" i="11"/>
  <c r="B8" i="11" s="1"/>
  <c r="G76" i="11"/>
  <c r="C148" i="14"/>
  <c r="K75" i="11"/>
  <c r="C175" i="14"/>
  <c r="H93" i="11"/>
  <c r="D93" i="11"/>
  <c r="F93" i="11"/>
  <c r="G75" i="11"/>
  <c r="H48" i="11"/>
  <c r="H8" i="11" s="1"/>
  <c r="J48" i="11"/>
  <c r="J8" i="11" s="1"/>
  <c r="E75" i="11"/>
  <c r="F48" i="11"/>
  <c r="F8" i="11" s="1"/>
  <c r="B200" i="14"/>
  <c r="D74" i="11"/>
  <c r="B93" i="11"/>
  <c r="B74" i="11"/>
  <c r="D75" i="11"/>
  <c r="C227" i="14"/>
  <c r="E74" i="11"/>
  <c r="I93" i="11"/>
  <c r="C226" i="14"/>
  <c r="B175" i="14"/>
  <c r="D76" i="11"/>
  <c r="K48" i="11"/>
  <c r="K8" i="11" s="1"/>
  <c r="J49" i="11"/>
  <c r="J9" i="11" s="1"/>
  <c r="J76" i="11"/>
  <c r="E50" i="11"/>
  <c r="E10" i="11" s="1"/>
  <c r="B227" i="14"/>
  <c r="E76" i="11"/>
  <c r="E93" i="11"/>
  <c r="B75" i="11"/>
  <c r="B76" i="11"/>
  <c r="B50" i="11"/>
  <c r="B10" i="11" s="1"/>
  <c r="C93" i="11"/>
  <c r="B226" i="14"/>
  <c r="C76" i="11"/>
  <c r="F76" i="11"/>
  <c r="C149" i="14"/>
  <c r="H50" i="11"/>
  <c r="H10" i="11" s="1"/>
  <c r="K50" i="11"/>
  <c r="K10" i="11" s="1"/>
  <c r="G48" i="11"/>
  <c r="G8" i="11" s="1"/>
  <c r="E48" i="11"/>
  <c r="E8" i="11" s="1"/>
  <c r="C49" i="11"/>
  <c r="C9" i="11" s="1"/>
  <c r="K76" i="11"/>
  <c r="K93" i="11"/>
  <c r="C174" i="14"/>
  <c r="I75" i="11"/>
  <c r="B148" i="14"/>
  <c r="B149" i="14"/>
  <c r="F49" i="11"/>
  <c r="F9" i="11" s="1"/>
  <c r="C74" i="11"/>
  <c r="D202" i="14"/>
  <c r="D227" i="14"/>
  <c r="D149" i="14"/>
  <c r="B176" i="14"/>
  <c r="B202" i="14"/>
  <c r="D51" i="11"/>
  <c r="D11" i="11" s="1"/>
  <c r="H77" i="11"/>
  <c r="I51" i="11"/>
  <c r="I11" i="11" s="1"/>
  <c r="I77" i="11"/>
  <c r="G77" i="11"/>
  <c r="E149" i="14"/>
  <c r="E228" i="14"/>
  <c r="I49" i="11"/>
  <c r="I9" i="11" s="1"/>
  <c r="I76" i="11"/>
  <c r="D226" i="14"/>
  <c r="D148" i="14"/>
  <c r="D176" i="14"/>
  <c r="B150" i="14"/>
  <c r="C176" i="14"/>
  <c r="J51" i="11"/>
  <c r="J11" i="11" s="1"/>
  <c r="C51" i="11"/>
  <c r="C11" i="11" s="1"/>
  <c r="E51" i="11"/>
  <c r="E11" i="11" s="1"/>
  <c r="G51" i="11"/>
  <c r="G11" i="11" s="1"/>
  <c r="K77" i="11"/>
  <c r="E77" i="11"/>
  <c r="C228" i="14"/>
  <c r="E227" i="14"/>
  <c r="F50" i="11"/>
  <c r="F10" i="11" s="1"/>
  <c r="J93" i="11"/>
  <c r="D174" i="14"/>
  <c r="D201" i="14"/>
  <c r="C150" i="14"/>
  <c r="J77" i="11"/>
  <c r="C77" i="11"/>
  <c r="F51" i="11"/>
  <c r="F11" i="11" s="1"/>
  <c r="B228" i="14"/>
  <c r="E175" i="14"/>
  <c r="E174" i="14"/>
  <c r="E226" i="14"/>
  <c r="E148" i="14"/>
  <c r="E202" i="14"/>
  <c r="B49" i="11"/>
  <c r="B9" i="11" s="1"/>
  <c r="K74" i="11"/>
  <c r="I48" i="11"/>
  <c r="I8" i="11" s="1"/>
  <c r="D200" i="14"/>
  <c r="D175" i="14"/>
  <c r="C202" i="14"/>
  <c r="H51" i="11"/>
  <c r="H11" i="11" s="1"/>
  <c r="K51" i="11"/>
  <c r="K11" i="11" s="1"/>
  <c r="B77" i="11"/>
  <c r="D77" i="11"/>
  <c r="B51" i="11"/>
  <c r="B11" i="11" s="1"/>
  <c r="F77" i="11"/>
  <c r="E201" i="14"/>
  <c r="E150" i="14"/>
  <c r="E200" i="14"/>
  <c r="E176" i="14"/>
  <c r="AB8" i="15"/>
  <c r="AA14" i="15"/>
  <c r="AA9" i="15"/>
  <c r="AF10" i="15"/>
  <c r="M15" i="15"/>
  <c r="Y10" i="15"/>
  <c r="AH15" i="15"/>
  <c r="F10" i="15"/>
  <c r="AG12" i="15"/>
  <c r="V12" i="15"/>
  <c r="P9" i="15"/>
  <c r="O12" i="15"/>
  <c r="Y8" i="15"/>
  <c r="AA12" i="15"/>
  <c r="V8" i="15"/>
  <c r="C14" i="15"/>
  <c r="AC9" i="15"/>
  <c r="AD14" i="15"/>
  <c r="J10" i="15"/>
  <c r="H10" i="15" s="1"/>
  <c r="L10" i="15"/>
  <c r="AE13" i="15"/>
  <c r="AC8" i="15"/>
  <c r="G12" i="15"/>
  <c r="L8" i="15"/>
  <c r="G11" i="15"/>
  <c r="I8" i="15"/>
  <c r="C11" i="15"/>
  <c r="AH11" i="15"/>
  <c r="I10" i="15"/>
  <c r="AD13" i="15"/>
  <c r="J8" i="15"/>
  <c r="D10" i="15"/>
  <c r="B10" i="15" s="1"/>
  <c r="K14" i="15"/>
  <c r="W9" i="15"/>
  <c r="F13" i="15"/>
  <c r="AD8" i="15"/>
  <c r="L11" i="15"/>
  <c r="M8" i="15"/>
  <c r="M11" i="15"/>
  <c r="I14" i="15"/>
  <c r="G10" i="15"/>
  <c r="Y13" i="15"/>
  <c r="V13" i="15"/>
  <c r="AQ9" i="28"/>
  <c r="S9" i="28" s="1"/>
  <c r="AR29" i="28"/>
  <c r="R29" i="28" s="1"/>
  <c r="AQ29" i="28"/>
  <c r="S29" i="28" s="1"/>
  <c r="AP29" i="28"/>
  <c r="Q29" i="28" s="1"/>
  <c r="AR33" i="28"/>
  <c r="R33" i="28" s="1"/>
  <c r="AP33" i="28"/>
  <c r="Q33" i="28" s="1"/>
  <c r="AQ33" i="28"/>
  <c r="S33" i="28" s="1"/>
  <c r="AP8" i="28"/>
  <c r="Q8" i="28" s="1"/>
  <c r="AQ8" i="28"/>
  <c r="S8" i="28" s="1"/>
  <c r="AR8" i="28"/>
  <c r="R8" i="28" s="1"/>
  <c r="AP13" i="28"/>
  <c r="Q13" i="28" s="1"/>
  <c r="AP17" i="28"/>
  <c r="Q17" i="28" s="1"/>
  <c r="AR17" i="28"/>
  <c r="R17" i="28" s="1"/>
  <c r="AQ23" i="28"/>
  <c r="S23" i="28" s="1"/>
  <c r="AP53" i="28"/>
  <c r="Q53" i="28" s="1"/>
  <c r="AP6" i="28"/>
  <c r="Q6" i="28" s="1"/>
  <c r="AP15" i="28"/>
  <c r="Q15" i="28" s="1"/>
  <c r="AR30" i="28"/>
  <c r="R30" i="28" s="1"/>
  <c r="AP31" i="28"/>
  <c r="Q31" i="28" s="1"/>
  <c r="AQ12" i="28"/>
  <c r="S12" i="28" s="1"/>
  <c r="AQ16" i="28"/>
  <c r="S16" i="28" s="1"/>
  <c r="AQ18" i="28"/>
  <c r="S18" i="28" s="1"/>
  <c r="AQ25" i="28"/>
  <c r="S25" i="28" s="1"/>
  <c r="AR44" i="28"/>
  <c r="R44" i="28" s="1"/>
  <c r="AP44" i="28"/>
  <c r="Q44" i="28" s="1"/>
  <c r="AQ44" i="28"/>
  <c r="S44" i="28" s="1"/>
  <c r="AP39" i="28"/>
  <c r="Q39" i="28" s="1"/>
  <c r="AR39" i="28"/>
  <c r="R39" i="28" s="1"/>
  <c r="AP42" i="28"/>
  <c r="Q42" i="28" s="1"/>
  <c r="AQ42" i="28"/>
  <c r="S42" i="28" s="1"/>
  <c r="AQ48" i="28"/>
  <c r="S48" i="28" s="1"/>
  <c r="AQ55" i="28"/>
  <c r="S55" i="28" s="1"/>
  <c r="AR58" i="28"/>
  <c r="R58" i="28" s="1"/>
  <c r="AR74" i="28"/>
  <c r="R74" i="28" s="1"/>
  <c r="AP78" i="28"/>
  <c r="Q78" i="28" s="1"/>
  <c r="AR78" i="28"/>
  <c r="R78" i="28" s="1"/>
  <c r="AQ78" i="28"/>
  <c r="S78" i="28" s="1"/>
  <c r="AP83" i="28"/>
  <c r="Q83" i="28" s="1"/>
  <c r="AR83" i="28"/>
  <c r="R83" i="28" s="1"/>
  <c r="AQ83" i="28"/>
  <c r="S83" i="28" s="1"/>
  <c r="AR90" i="28"/>
  <c r="R90" i="28" s="1"/>
  <c r="AQ96" i="28"/>
  <c r="S96" i="28" s="1"/>
  <c r="AR96" i="28"/>
  <c r="R96" i="28" s="1"/>
  <c r="AQ77" i="28"/>
  <c r="S77" i="28" s="1"/>
  <c r="AP115" i="28"/>
  <c r="Q115" i="28" s="1"/>
  <c r="AR115" i="28"/>
  <c r="R115" i="28" s="1"/>
  <c r="AQ115" i="28"/>
  <c r="S115" i="28" s="1"/>
  <c r="AQ93" i="28"/>
  <c r="S93" i="28" s="1"/>
  <c r="AQ100" i="28"/>
  <c r="S100" i="28" s="1"/>
  <c r="AP110" i="28"/>
  <c r="Q110" i="28" s="1"/>
  <c r="AQ145" i="28"/>
  <c r="S145" i="28" s="1"/>
  <c r="AR79" i="28"/>
  <c r="R79" i="28" s="1"/>
  <c r="AQ91" i="28"/>
  <c r="S91" i="28" s="1"/>
  <c r="AP105" i="28"/>
  <c r="Q105" i="28" s="1"/>
  <c r="AQ107" i="28"/>
  <c r="S107" i="28" s="1"/>
  <c r="AP107" i="28"/>
  <c r="Q107" i="28" s="1"/>
  <c r="AR107" i="28"/>
  <c r="R107" i="28" s="1"/>
  <c r="AR120" i="28"/>
  <c r="R120" i="28" s="1"/>
  <c r="AR129" i="28"/>
  <c r="R129" i="28" s="1"/>
  <c r="AP129" i="28"/>
  <c r="Q129" i="28" s="1"/>
  <c r="AQ129" i="28"/>
  <c r="S129" i="28" s="1"/>
  <c r="AR134" i="28"/>
  <c r="R134" i="28" s="1"/>
  <c r="AR138" i="28"/>
  <c r="R138" i="28" s="1"/>
  <c r="H138" i="28" s="1"/>
  <c r="AP143" i="28"/>
  <c r="Q143" i="28" s="1"/>
  <c r="AQ148" i="28"/>
  <c r="S148" i="28" s="1"/>
  <c r="AP148" i="28"/>
  <c r="Q148" i="28" s="1"/>
  <c r="AR148" i="28"/>
  <c r="R148" i="28" s="1"/>
  <c r="AP75" i="28"/>
  <c r="Q75" i="28" s="1"/>
  <c r="AQ106" i="28"/>
  <c r="S106" i="28" s="1"/>
  <c r="AR121" i="28"/>
  <c r="R121" i="28" s="1"/>
  <c r="AQ130" i="28"/>
  <c r="S130" i="28" s="1"/>
  <c r="AQ134" i="28"/>
  <c r="S134" i="28" s="1"/>
  <c r="AP156" i="28"/>
  <c r="Q156" i="28" s="1"/>
  <c r="AR156" i="28"/>
  <c r="R156" i="28" s="1"/>
  <c r="AQ156" i="28"/>
  <c r="S156" i="28" s="1"/>
  <c r="AR126" i="28"/>
  <c r="R126" i="28" s="1"/>
  <c r="AP144" i="28"/>
  <c r="Q144" i="28" s="1"/>
  <c r="AQ147" i="28"/>
  <c r="S147" i="28" s="1"/>
  <c r="AQ168" i="28"/>
  <c r="S168" i="28" s="1"/>
  <c r="AR168" i="28"/>
  <c r="R168" i="28" s="1"/>
  <c r="AP168" i="28"/>
  <c r="Q168" i="28" s="1"/>
  <c r="AR182" i="28"/>
  <c r="R182" i="28" s="1"/>
  <c r="AQ182" i="28"/>
  <c r="S182" i="28" s="1"/>
  <c r="AR207" i="28"/>
  <c r="R207" i="28" s="1"/>
  <c r="AQ135" i="28"/>
  <c r="S135" i="28" s="1"/>
  <c r="AP175" i="28"/>
  <c r="Q175" i="28" s="1"/>
  <c r="H175" i="28" s="1"/>
  <c r="AR196" i="28"/>
  <c r="R196" i="28" s="1"/>
  <c r="AQ196" i="28"/>
  <c r="S196" i="28" s="1"/>
  <c r="AP196" i="28"/>
  <c r="Q196" i="28" s="1"/>
  <c r="AP165" i="28"/>
  <c r="Q165" i="28" s="1"/>
  <c r="AQ184" i="28"/>
  <c r="S184" i="28" s="1"/>
  <c r="AR195" i="28"/>
  <c r="R195" i="28" s="1"/>
  <c r="AQ195" i="28"/>
  <c r="S195" i="28" s="1"/>
  <c r="AP195" i="28"/>
  <c r="Q195" i="28" s="1"/>
  <c r="AR205" i="28"/>
  <c r="R205" i="28" s="1"/>
  <c r="AP205" i="28"/>
  <c r="Q205" i="28" s="1"/>
  <c r="AR211" i="28"/>
  <c r="R211" i="28" s="1"/>
  <c r="AR150" i="28"/>
  <c r="R150" i="28" s="1"/>
  <c r="AR206" i="28"/>
  <c r="R206" i="28" s="1"/>
  <c r="AR228" i="28"/>
  <c r="R228" i="28" s="1"/>
  <c r="AQ229" i="28"/>
  <c r="S229" i="28" s="1"/>
  <c r="AP240" i="28"/>
  <c r="Q240" i="28" s="1"/>
  <c r="AQ240" i="28"/>
  <c r="S240" i="28" s="1"/>
  <c r="AR326" i="28"/>
  <c r="R326" i="28" s="1"/>
  <c r="AQ235" i="28"/>
  <c r="S235" i="28" s="1"/>
  <c r="AQ284" i="28"/>
  <c r="S284" i="28" s="1"/>
  <c r="AR309" i="28"/>
  <c r="R309" i="28" s="1"/>
  <c r="AQ337" i="28"/>
  <c r="S337" i="28" s="1"/>
  <c r="AP342" i="28"/>
  <c r="Q342" i="28" s="1"/>
  <c r="AR345" i="28"/>
  <c r="R345" i="28" s="1"/>
  <c r="AR180" i="28"/>
  <c r="R180" i="28" s="1"/>
  <c r="AP190" i="28"/>
  <c r="Q190" i="28" s="1"/>
  <c r="AR194" i="28"/>
  <c r="R194" i="28" s="1"/>
  <c r="AP243" i="28"/>
  <c r="Q243" i="28" s="1"/>
  <c r="AQ250" i="28"/>
  <c r="S250" i="28" s="1"/>
  <c r="AQ258" i="28"/>
  <c r="S258" i="28" s="1"/>
  <c r="AQ290" i="28"/>
  <c r="S290" i="28" s="1"/>
  <c r="AR313" i="28"/>
  <c r="R313" i="28" s="1"/>
  <c r="AP313" i="28"/>
  <c r="Q313" i="28" s="1"/>
  <c r="AQ335" i="28"/>
  <c r="S335" i="28" s="1"/>
  <c r="AR341" i="28"/>
  <c r="R341" i="28" s="1"/>
  <c r="AP341" i="28"/>
  <c r="Q341" i="28" s="1"/>
  <c r="AQ341" i="28"/>
  <c r="S341" i="28" s="1"/>
  <c r="AQ343" i="28"/>
  <c r="S343" i="28" s="1"/>
  <c r="AP343" i="28"/>
  <c r="Q343" i="28" s="1"/>
  <c r="AQ191" i="28"/>
  <c r="S191" i="28" s="1"/>
  <c r="AP197" i="28"/>
  <c r="Q197" i="28" s="1"/>
  <c r="AR214" i="28"/>
  <c r="R214" i="28" s="1"/>
  <c r="AQ214" i="28"/>
  <c r="S214" i="28" s="1"/>
  <c r="AP217" i="28"/>
  <c r="Q217" i="28" s="1"/>
  <c r="AQ217" i="28"/>
  <c r="S217" i="28" s="1"/>
  <c r="AR217" i="28"/>
  <c r="R217" i="28" s="1"/>
  <c r="AQ219" i="28"/>
  <c r="S219" i="28" s="1"/>
  <c r="AP253" i="28"/>
  <c r="Q253" i="28" s="1"/>
  <c r="AQ261" i="28"/>
  <c r="S261" i="28" s="1"/>
  <c r="AQ268" i="28"/>
  <c r="S268" i="28" s="1"/>
  <c r="AP277" i="28"/>
  <c r="Q277" i="28" s="1"/>
  <c r="AR277" i="28"/>
  <c r="R277" i="28" s="1"/>
  <c r="AQ277" i="28"/>
  <c r="S277" i="28" s="1"/>
  <c r="AR312" i="28"/>
  <c r="R312" i="28" s="1"/>
  <c r="AP269" i="28"/>
  <c r="Q269" i="28" s="1"/>
  <c r="AP294" i="28"/>
  <c r="Q294" i="28" s="1"/>
  <c r="AQ325" i="28"/>
  <c r="S325" i="28" s="1"/>
  <c r="AR353" i="28"/>
  <c r="R353" i="28" s="1"/>
  <c r="AQ358" i="28"/>
  <c r="S358" i="28" s="1"/>
  <c r="AQ390" i="28"/>
  <c r="S390" i="28" s="1"/>
  <c r="AR249" i="28"/>
  <c r="R249" i="28" s="1"/>
  <c r="AQ262" i="28"/>
  <c r="S262" i="28" s="1"/>
  <c r="AR296" i="28"/>
  <c r="R296" i="28" s="1"/>
  <c r="H296" i="28" s="1"/>
  <c r="AR328" i="28"/>
  <c r="R328" i="28" s="1"/>
  <c r="AR367" i="28"/>
  <c r="R367" i="28" s="1"/>
  <c r="AQ367" i="28"/>
  <c r="S367" i="28" s="1"/>
  <c r="AP367" i="28"/>
  <c r="Q367" i="28" s="1"/>
  <c r="AQ387" i="28"/>
  <c r="S387" i="28" s="1"/>
  <c r="AQ391" i="28"/>
  <c r="S391" i="28" s="1"/>
  <c r="AP414" i="28"/>
  <c r="Q414" i="28" s="1"/>
  <c r="AR420" i="28"/>
  <c r="R420" i="28" s="1"/>
  <c r="AR426" i="28"/>
  <c r="R426" i="28" s="1"/>
  <c r="AP426" i="28"/>
  <c r="Q426" i="28" s="1"/>
  <c r="AQ304" i="28"/>
  <c r="S304" i="28" s="1"/>
  <c r="AQ316" i="28"/>
  <c r="S316" i="28" s="1"/>
  <c r="AP344" i="28"/>
  <c r="Q344" i="28" s="1"/>
  <c r="AR348" i="28"/>
  <c r="R348" i="28" s="1"/>
  <c r="AR390" i="28"/>
  <c r="R390" i="28" s="1"/>
  <c r="AP264" i="28"/>
  <c r="Q264" i="28" s="1"/>
  <c r="AP317" i="28"/>
  <c r="Q317" i="28" s="1"/>
  <c r="AR329" i="28"/>
  <c r="R329" i="28" s="1"/>
  <c r="AR338" i="28"/>
  <c r="R338" i="28" s="1"/>
  <c r="AP362" i="28"/>
  <c r="Q362" i="28" s="1"/>
  <c r="AR410" i="28"/>
  <c r="R410" i="28" s="1"/>
  <c r="AP417" i="28"/>
  <c r="Q417" i="28" s="1"/>
  <c r="I437" i="28"/>
  <c r="I469" i="28"/>
  <c r="U482" i="28"/>
  <c r="AE482" i="28"/>
  <c r="I501" i="28"/>
  <c r="U514" i="28"/>
  <c r="W514" i="28" s="1"/>
  <c r="X514" i="28" s="1"/>
  <c r="AE514" i="28"/>
  <c r="I533" i="28"/>
  <c r="I565" i="28"/>
  <c r="I597" i="28"/>
  <c r="I629" i="28"/>
  <c r="U642" i="28"/>
  <c r="AE642" i="28"/>
  <c r="I661" i="28"/>
  <c r="I693" i="28"/>
  <c r="U706" i="28"/>
  <c r="I725" i="28"/>
  <c r="AR418" i="28"/>
  <c r="R418" i="28" s="1"/>
  <c r="AR377" i="28"/>
  <c r="R377" i="28" s="1"/>
  <c r="AQ379" i="28"/>
  <c r="S379" i="28" s="1"/>
  <c r="AQ386" i="28"/>
  <c r="S386" i="28" s="1"/>
  <c r="AR397" i="28"/>
  <c r="R397" i="28" s="1"/>
  <c r="AP412" i="28"/>
  <c r="Q412" i="28" s="1"/>
  <c r="U662" i="28"/>
  <c r="AE662" i="28"/>
  <c r="U670" i="28"/>
  <c r="AE670" i="28"/>
  <c r="U694" i="28"/>
  <c r="U702" i="28"/>
  <c r="AE702" i="28"/>
  <c r="U726" i="28"/>
  <c r="AE726" i="28"/>
  <c r="AR419" i="28"/>
  <c r="R419" i="28" s="1"/>
  <c r="I428" i="28"/>
  <c r="I444" i="28"/>
  <c r="I460" i="28"/>
  <c r="I476" i="28"/>
  <c r="I492" i="28"/>
  <c r="I508" i="28"/>
  <c r="I524" i="28"/>
  <c r="I540" i="28"/>
  <c r="I556" i="28"/>
  <c r="I572" i="28"/>
  <c r="I588" i="28"/>
  <c r="I604" i="28"/>
  <c r="I620" i="28"/>
  <c r="I636" i="28"/>
  <c r="I652" i="28"/>
  <c r="I668" i="28"/>
  <c r="I684" i="28"/>
  <c r="I700" i="28"/>
  <c r="I716" i="28"/>
  <c r="I732" i="28"/>
  <c r="I853" i="28"/>
  <c r="I885" i="28"/>
  <c r="U898" i="28"/>
  <c r="I917" i="28"/>
  <c r="U930" i="28"/>
  <c r="I949" i="28"/>
  <c r="I981" i="28"/>
  <c r="U758" i="28"/>
  <c r="AE758" i="28"/>
  <c r="U766" i="28"/>
  <c r="AE766" i="28"/>
  <c r="U838" i="28"/>
  <c r="AE838" i="28"/>
  <c r="I857" i="28"/>
  <c r="U870" i="28"/>
  <c r="AE870" i="28"/>
  <c r="I889" i="28"/>
  <c r="I921" i="28"/>
  <c r="U934" i="28"/>
  <c r="I953" i="28"/>
  <c r="U966" i="28"/>
  <c r="AE966" i="28"/>
  <c r="I985" i="28"/>
  <c r="U999" i="28"/>
  <c r="I737" i="28"/>
  <c r="U741" i="28"/>
  <c r="I744" i="28"/>
  <c r="U753" i="28"/>
  <c r="U759" i="28"/>
  <c r="U761" i="28"/>
  <c r="AE761" i="28"/>
  <c r="U764" i="28"/>
  <c r="AE764" i="28"/>
  <c r="U772" i="28"/>
  <c r="AE772" i="28"/>
  <c r="U775" i="28"/>
  <c r="AE775" i="28"/>
  <c r="U777" i="28"/>
  <c r="AE777" i="28"/>
  <c r="U785" i="28"/>
  <c r="AE785" i="28"/>
  <c r="U788" i="28"/>
  <c r="U804" i="28"/>
  <c r="W804" i="28" s="1"/>
  <c r="X804" i="28" s="1"/>
  <c r="AE804" i="28"/>
  <c r="U812" i="28"/>
  <c r="U820" i="28"/>
  <c r="U825" i="28"/>
  <c r="U833" i="28"/>
  <c r="AE833" i="28"/>
  <c r="U836" i="28"/>
  <c r="W836" i="28" s="1"/>
  <c r="X836" i="28" s="1"/>
  <c r="AE836" i="28"/>
  <c r="U844" i="28"/>
  <c r="AE844" i="28"/>
  <c r="U852" i="28"/>
  <c r="AE852" i="28"/>
  <c r="U868" i="28"/>
  <c r="AE868" i="28"/>
  <c r="U876" i="28"/>
  <c r="AE876" i="28"/>
  <c r="U884" i="28"/>
  <c r="U892" i="28"/>
  <c r="U900" i="28"/>
  <c r="AE900" i="28"/>
  <c r="U908" i="28"/>
  <c r="AE908" i="28"/>
  <c r="U916" i="28"/>
  <c r="U940" i="28"/>
  <c r="AE940" i="28"/>
  <c r="U948" i="28"/>
  <c r="AE948" i="28"/>
  <c r="U956" i="28"/>
  <c r="U980" i="28"/>
  <c r="W980" i="28" s="1"/>
  <c r="X980" i="28" s="1"/>
  <c r="AE980" i="28"/>
  <c r="I996" i="28"/>
  <c r="U1000" i="28"/>
  <c r="Z13" i="15"/>
  <c r="P14" i="15"/>
  <c r="O14" i="15"/>
  <c r="G14" i="15"/>
  <c r="E14" i="15" s="1"/>
  <c r="U14" i="15"/>
  <c r="R15" i="15"/>
  <c r="R14" i="15"/>
  <c r="AG14" i="15"/>
  <c r="AC17" i="15"/>
  <c r="AC11" i="15"/>
  <c r="K10" i="15"/>
  <c r="F17" i="15"/>
  <c r="C17" i="15"/>
  <c r="O17" i="15"/>
  <c r="M17" i="15"/>
  <c r="M16" i="15"/>
  <c r="L16" i="15"/>
  <c r="G17" i="15"/>
  <c r="E17" i="15" s="1"/>
  <c r="D17" i="15"/>
  <c r="B17" i="15" s="1"/>
  <c r="D16" i="15"/>
  <c r="AB16" i="15"/>
  <c r="AE16" i="15"/>
  <c r="N16" i="15"/>
  <c r="W19" i="15"/>
  <c r="O18" i="15"/>
  <c r="Y19" i="15"/>
  <c r="I19" i="15"/>
  <c r="P19" i="15"/>
  <c r="J18" i="15"/>
  <c r="AH18" i="15"/>
  <c r="Z19" i="15"/>
  <c r="L18" i="15"/>
  <c r="K19" i="15"/>
  <c r="M19" i="15"/>
  <c r="L19" i="15"/>
  <c r="Y20" i="15"/>
  <c r="O21" i="15"/>
  <c r="L21" i="15"/>
  <c r="V21" i="15"/>
  <c r="T21" i="15" s="1"/>
  <c r="S20" i="15"/>
  <c r="Q20" i="15" s="1"/>
  <c r="R20" i="15"/>
  <c r="P20" i="15"/>
  <c r="M21" i="15"/>
  <c r="O20" i="15"/>
  <c r="AH21" i="15"/>
  <c r="I21" i="15"/>
  <c r="K20" i="15"/>
  <c r="AC20" i="15"/>
  <c r="AE20" i="15"/>
  <c r="AC21" i="15"/>
  <c r="N20" i="15"/>
  <c r="AD23" i="15"/>
  <c r="C22" i="15"/>
  <c r="U23" i="15"/>
  <c r="Y22" i="15"/>
  <c r="J22" i="15"/>
  <c r="H22" i="15" s="1"/>
  <c r="O22" i="15"/>
  <c r="X23" i="15"/>
  <c r="AH22" i="15"/>
  <c r="G22" i="15"/>
  <c r="AB22" i="15"/>
  <c r="AD22" i="15"/>
  <c r="AE22" i="15"/>
  <c r="R24" i="15"/>
  <c r="I24" i="15"/>
  <c r="F25" i="15"/>
  <c r="AA24" i="15"/>
  <c r="J25" i="15"/>
  <c r="Z25" i="15"/>
  <c r="K24" i="15"/>
  <c r="Z24" i="15"/>
  <c r="AA25" i="15"/>
  <c r="S25" i="15"/>
  <c r="Q25" i="15" s="1"/>
  <c r="X25" i="15"/>
  <c r="AG27" i="15"/>
  <c r="AH27" i="15"/>
  <c r="AF26" i="15"/>
  <c r="I27" i="15"/>
  <c r="C27" i="15"/>
  <c r="O26" i="15"/>
  <c r="V27" i="15"/>
  <c r="S27" i="15"/>
  <c r="Q27" i="15" s="1"/>
  <c r="P27" i="15"/>
  <c r="M27" i="15"/>
  <c r="D26" i="15"/>
  <c r="K27" i="15"/>
  <c r="AG29" i="15"/>
  <c r="V28" i="15"/>
  <c r="AE29" i="15"/>
  <c r="AC29" i="15"/>
  <c r="M28" i="15"/>
  <c r="G28" i="15"/>
  <c r="P29" i="15"/>
  <c r="J29" i="15"/>
  <c r="AB29" i="15"/>
  <c r="L28" i="15"/>
  <c r="AG30" i="15"/>
  <c r="AF30" i="15"/>
  <c r="M31" i="15"/>
  <c r="Z30" i="15"/>
  <c r="F31" i="15"/>
  <c r="AA31" i="15"/>
  <c r="O30" i="15"/>
  <c r="M30" i="15"/>
  <c r="J30" i="15"/>
  <c r="H30" i="15" s="1"/>
  <c r="P31" i="15"/>
  <c r="V30" i="15"/>
  <c r="T30" i="15" s="1"/>
  <c r="AB31" i="15"/>
  <c r="Z31" i="15"/>
  <c r="X31" i="15"/>
  <c r="U31" i="15"/>
  <c r="W31" i="15"/>
  <c r="AG32" i="15"/>
  <c r="AA32" i="15"/>
  <c r="R33" i="15"/>
  <c r="S32" i="15"/>
  <c r="Q32" i="15" s="1"/>
  <c r="AA33" i="15"/>
  <c r="Y33" i="15"/>
  <c r="V33" i="15"/>
  <c r="T33" i="15" s="1"/>
  <c r="I33" i="15"/>
  <c r="AD33" i="15"/>
  <c r="R32" i="15"/>
  <c r="AC32" i="15"/>
  <c r="W33" i="15"/>
  <c r="AG34" i="15"/>
  <c r="AC34" i="15"/>
  <c r="J35" i="15"/>
  <c r="H35" i="15" s="1"/>
  <c r="G35" i="15"/>
  <c r="E35" i="15" s="1"/>
  <c r="S34" i="15"/>
  <c r="Q34" i="15" s="1"/>
  <c r="P34" i="15"/>
  <c r="AB34" i="15"/>
  <c r="R35" i="15"/>
  <c r="X34" i="15"/>
  <c r="AC35" i="15"/>
  <c r="Y35" i="15"/>
  <c r="I34" i="15"/>
  <c r="Z12" i="15"/>
  <c r="S15" i="15"/>
  <c r="AE15" i="15"/>
  <c r="AD15" i="15"/>
  <c r="F14" i="15"/>
  <c r="X15" i="15"/>
  <c r="G15" i="15"/>
  <c r="E15" i="15" s="1"/>
  <c r="J14" i="15"/>
  <c r="AH14" i="15"/>
  <c r="W11" i="15"/>
  <c r="AE17" i="15"/>
  <c r="G16" i="15"/>
  <c r="S16" i="15"/>
  <c r="R16" i="15"/>
  <c r="V17" i="15"/>
  <c r="AB17" i="15"/>
  <c r="F16" i="15"/>
  <c r="Z16" i="15"/>
  <c r="O16" i="15"/>
  <c r="V16" i="15"/>
  <c r="S19" i="15"/>
  <c r="Q19" i="15" s="1"/>
  <c r="P18" i="15"/>
  <c r="O19" i="15"/>
  <c r="J19" i="15"/>
  <c r="G18" i="15"/>
  <c r="E18" i="15" s="1"/>
  <c r="U18" i="15"/>
  <c r="G19" i="15"/>
  <c r="D18" i="15"/>
  <c r="B18" i="15" s="1"/>
  <c r="F19" i="15"/>
  <c r="AH19" i="15"/>
  <c r="AD19" i="15"/>
  <c r="AE19" i="15"/>
  <c r="AC19" i="15"/>
  <c r="AB19" i="15"/>
  <c r="J20" i="15"/>
  <c r="H20" i="15" s="1"/>
  <c r="X20" i="15"/>
  <c r="U20" i="15"/>
  <c r="S21" i="15"/>
  <c r="Q21" i="15" s="1"/>
  <c r="F20" i="15"/>
  <c r="AA20" i="15"/>
  <c r="AG20" i="15"/>
  <c r="F21" i="15"/>
  <c r="D21" i="15"/>
  <c r="B21" i="15" s="1"/>
  <c r="I20" i="15"/>
  <c r="AA21" i="15"/>
  <c r="M20" i="15"/>
  <c r="AF20" i="15"/>
  <c r="Z20" i="15"/>
  <c r="G23" i="15"/>
  <c r="Y23" i="15"/>
  <c r="C23" i="15"/>
  <c r="L22" i="15"/>
  <c r="O23" i="15"/>
  <c r="D22" i="15"/>
  <c r="J23" i="15"/>
  <c r="H23" i="15" s="1"/>
  <c r="S22" i="15"/>
  <c r="I23" i="15"/>
  <c r="X22" i="15"/>
  <c r="AF23" i="15"/>
  <c r="K23" i="15"/>
  <c r="M23" i="15"/>
  <c r="AF22" i="15"/>
  <c r="V24" i="15"/>
  <c r="T24" i="15" s="1"/>
  <c r="P24" i="15"/>
  <c r="AH25" i="15"/>
  <c r="Y24" i="15"/>
  <c r="D25" i="15"/>
  <c r="B25" i="15" s="1"/>
  <c r="C24" i="15"/>
  <c r="O25" i="15"/>
  <c r="AG25" i="15"/>
  <c r="J24" i="15"/>
  <c r="AB24" i="15"/>
  <c r="AC24" i="15"/>
  <c r="AF24" i="15"/>
  <c r="Y25" i="15"/>
  <c r="R25" i="15"/>
  <c r="F26" i="15"/>
  <c r="O27" i="15"/>
  <c r="F27" i="15"/>
  <c r="AC27" i="15"/>
  <c r="AC26" i="15"/>
  <c r="C26" i="15"/>
  <c r="AB27" i="15"/>
  <c r="Z27" i="15"/>
  <c r="X27" i="15"/>
  <c r="U27" i="15"/>
  <c r="AG28" i="15"/>
  <c r="Y28" i="15"/>
  <c r="S28" i="15"/>
  <c r="P28" i="15"/>
  <c r="I29" i="15"/>
  <c r="F29" i="15"/>
  <c r="D28" i="15"/>
  <c r="AB28" i="15"/>
  <c r="AF29" i="15"/>
  <c r="AD29" i="15"/>
  <c r="O28" i="15"/>
  <c r="K28" i="15"/>
  <c r="K29" i="15"/>
  <c r="AH30" i="15"/>
  <c r="AG31" i="15"/>
  <c r="O31" i="15"/>
  <c r="C30" i="15"/>
  <c r="I31" i="15"/>
  <c r="AC31" i="15"/>
  <c r="R30" i="15"/>
  <c r="AC30" i="15"/>
  <c r="AA30" i="15"/>
  <c r="G30" i="15"/>
  <c r="E30" i="15" s="1"/>
  <c r="N31" i="15"/>
  <c r="S30" i="15"/>
  <c r="Q30" i="15" s="1"/>
  <c r="P30" i="15"/>
  <c r="N30" i="15"/>
  <c r="L30" i="15"/>
  <c r="K30" i="15"/>
  <c r="AH33" i="15"/>
  <c r="U33" i="15"/>
  <c r="I32" i="15"/>
  <c r="O33" i="15"/>
  <c r="P32" i="15"/>
  <c r="N32" i="15"/>
  <c r="S33" i="15"/>
  <c r="Q33" i="15" s="1"/>
  <c r="AF32" i="15"/>
  <c r="AD32" i="15"/>
  <c r="AB32" i="15"/>
  <c r="AF33" i="15"/>
  <c r="U32" i="15"/>
  <c r="AE32" i="15"/>
  <c r="X33" i="15"/>
  <c r="K33" i="15"/>
  <c r="AG35" i="15"/>
  <c r="AH34" i="15"/>
  <c r="L35" i="15"/>
  <c r="D35" i="15"/>
  <c r="B35" i="15" s="1"/>
  <c r="AD34" i="15"/>
  <c r="U35" i="15"/>
  <c r="Z11" i="15"/>
  <c r="AQ11" i="1"/>
  <c r="U15" i="15"/>
  <c r="D15" i="15"/>
  <c r="P15" i="15"/>
  <c r="O15" i="15"/>
  <c r="Y15" i="15"/>
  <c r="I15" i="15"/>
  <c r="C15" i="15"/>
  <c r="N14" i="15"/>
  <c r="N15" i="15"/>
  <c r="W17" i="15"/>
  <c r="S17" i="15"/>
  <c r="Q17" i="15" s="1"/>
  <c r="AD17" i="15"/>
  <c r="X17" i="15"/>
  <c r="U17" i="15"/>
  <c r="X16" i="15"/>
  <c r="AH16" i="15"/>
  <c r="AG16" i="15"/>
  <c r="J17" i="15"/>
  <c r="C16" i="15"/>
  <c r="U16" i="15"/>
  <c r="AC16" i="15"/>
  <c r="P16" i="15"/>
  <c r="R19" i="15"/>
  <c r="X18" i="15"/>
  <c r="F18" i="15"/>
  <c r="Y18" i="15"/>
  <c r="C18" i="15"/>
  <c r="AB18" i="15"/>
  <c r="Z18" i="15"/>
  <c r="AF19" i="15"/>
  <c r="AA18" i="15"/>
  <c r="M18" i="15"/>
  <c r="G20" i="15"/>
  <c r="D20" i="15"/>
  <c r="B20" i="15" s="1"/>
  <c r="J21" i="15"/>
  <c r="H21" i="15" s="1"/>
  <c r="U21" i="15"/>
  <c r="AD21" i="15"/>
  <c r="V20" i="15"/>
  <c r="T20" i="15" s="1"/>
  <c r="Y21" i="15"/>
  <c r="AG21" i="15"/>
  <c r="Z21" i="15"/>
  <c r="L20" i="15"/>
  <c r="W20" i="15"/>
  <c r="F23" i="15"/>
  <c r="M22" i="15"/>
  <c r="P23" i="15"/>
  <c r="U22" i="15"/>
  <c r="F22" i="15"/>
  <c r="V23" i="15"/>
  <c r="T23" i="15" s="1"/>
  <c r="AG22" i="15"/>
  <c r="Z23" i="15"/>
  <c r="Z22" i="15"/>
  <c r="L23" i="15"/>
  <c r="N22" i="15"/>
  <c r="O24" i="15"/>
  <c r="AG24" i="15"/>
  <c r="AE25" i="15"/>
  <c r="F24" i="15"/>
  <c r="L25" i="15"/>
  <c r="X24" i="15"/>
  <c r="D24" i="15"/>
  <c r="AE24" i="15"/>
  <c r="AD24" i="15"/>
  <c r="AF25" i="15"/>
  <c r="V25" i="15"/>
  <c r="P25" i="15"/>
  <c r="N24" i="15"/>
  <c r="AH26" i="15"/>
  <c r="X26" i="15"/>
  <c r="R26" i="15"/>
  <c r="L27" i="15"/>
  <c r="AE27" i="15"/>
  <c r="AE26" i="15"/>
  <c r="Y27" i="15"/>
  <c r="I26" i="15"/>
  <c r="AF27" i="15"/>
  <c r="AD27" i="15"/>
  <c r="P26" i="15"/>
  <c r="M26" i="15"/>
  <c r="J26" i="15"/>
  <c r="G26" i="15"/>
  <c r="E26" i="15" s="1"/>
  <c r="AD26" i="15"/>
  <c r="AH28" i="15"/>
  <c r="AA28" i="15"/>
  <c r="U29" i="15"/>
  <c r="R29" i="15"/>
  <c r="L29" i="15"/>
  <c r="Y29" i="15"/>
  <c r="V29" i="15"/>
  <c r="C29" i="15"/>
  <c r="M29" i="15"/>
  <c r="X28" i="15"/>
  <c r="U28" i="15"/>
  <c r="R28" i="15"/>
  <c r="AD28" i="15"/>
  <c r="AC28" i="15"/>
  <c r="W29" i="15"/>
  <c r="R31" i="15"/>
  <c r="F30" i="15"/>
  <c r="AB30" i="15"/>
  <c r="AE31" i="15"/>
  <c r="U30" i="15"/>
  <c r="AE30" i="15"/>
  <c r="V31" i="15"/>
  <c r="T31" i="15" s="1"/>
  <c r="S31" i="15"/>
  <c r="Q31" i="15" s="1"/>
  <c r="AF31" i="15"/>
  <c r="D30" i="15"/>
  <c r="B30" i="15" s="1"/>
  <c r="J31" i="15"/>
  <c r="H31" i="15" s="1"/>
  <c r="G31" i="15"/>
  <c r="E31" i="15" s="1"/>
  <c r="D31" i="15"/>
  <c r="B31" i="15" s="1"/>
  <c r="W30" i="15"/>
  <c r="K32" i="15"/>
  <c r="AE33" i="15"/>
  <c r="F32" i="15"/>
  <c r="M33" i="15"/>
  <c r="J33" i="15"/>
  <c r="H33" i="15" s="1"/>
  <c r="G33" i="15"/>
  <c r="E33" i="15" s="1"/>
  <c r="L32" i="15"/>
  <c r="P33" i="15"/>
  <c r="N33" i="15"/>
  <c r="L33" i="15"/>
  <c r="X32" i="15"/>
  <c r="C33" i="15"/>
  <c r="Z33" i="15"/>
  <c r="M32" i="15"/>
  <c r="N35" i="15"/>
  <c r="C34" i="15"/>
  <c r="AF35" i="15"/>
  <c r="AD35" i="15"/>
  <c r="AF34" i="15"/>
  <c r="X35" i="15"/>
  <c r="L34" i="15"/>
  <c r="G34" i="15"/>
  <c r="E34" i="15" s="1"/>
  <c r="M35" i="15"/>
  <c r="R34" i="15"/>
  <c r="I35" i="15"/>
  <c r="F35" i="15"/>
  <c r="C35" i="15"/>
  <c r="W35" i="15"/>
  <c r="Z10" i="15"/>
  <c r="S8" i="15"/>
  <c r="F15" i="15"/>
  <c r="Y14" i="15"/>
  <c r="V14" i="15"/>
  <c r="J15" i="15"/>
  <c r="S14" i="15"/>
  <c r="Q14" i="15" s="1"/>
  <c r="V15" i="15"/>
  <c r="W15" i="15"/>
  <c r="Z17" i="15"/>
  <c r="W14" i="15"/>
  <c r="R17" i="15"/>
  <c r="AA17" i="15"/>
  <c r="Y17" i="15"/>
  <c r="L17" i="15"/>
  <c r="I17" i="15"/>
  <c r="P17" i="15"/>
  <c r="AH17" i="15"/>
  <c r="AG17" i="15"/>
  <c r="Y16" i="15"/>
  <c r="AD16" i="15"/>
  <c r="AF17" i="15"/>
  <c r="AA16" i="15"/>
  <c r="AF16" i="15"/>
  <c r="N19" i="15"/>
  <c r="D19" i="15"/>
  <c r="C19" i="15"/>
  <c r="I18" i="15"/>
  <c r="V18" i="15"/>
  <c r="X19" i="15"/>
  <c r="V19" i="15"/>
  <c r="T19" i="15" s="1"/>
  <c r="S18" i="15"/>
  <c r="U19" i="15"/>
  <c r="R18" i="15"/>
  <c r="AG19" i="15"/>
  <c r="AG18" i="15"/>
  <c r="AD18" i="15"/>
  <c r="AA19" i="15"/>
  <c r="AE18" i="15"/>
  <c r="AC18" i="15"/>
  <c r="AF18" i="15"/>
  <c r="P21" i="15"/>
  <c r="AE21" i="15"/>
  <c r="X21" i="15"/>
  <c r="C21" i="15"/>
  <c r="AB20" i="15"/>
  <c r="R21" i="15"/>
  <c r="AH20" i="15"/>
  <c r="C20" i="15"/>
  <c r="G21" i="15"/>
  <c r="E21" i="15" s="1"/>
  <c r="AF21" i="15"/>
  <c r="AD20" i="15"/>
  <c r="AB21" i="15"/>
  <c r="N21" i="15"/>
  <c r="K21" i="15"/>
  <c r="R22" i="15"/>
  <c r="P22" i="15"/>
  <c r="R23" i="15"/>
  <c r="V22" i="15"/>
  <c r="T22" i="15" s="1"/>
  <c r="I22" i="15"/>
  <c r="AE23" i="15"/>
  <c r="D23" i="15"/>
  <c r="AH23" i="15"/>
  <c r="S23" i="15"/>
  <c r="AG23" i="15"/>
  <c r="AA23" i="15"/>
  <c r="AB23" i="15"/>
  <c r="AA22" i="15"/>
  <c r="AC23" i="15"/>
  <c r="S24" i="15"/>
  <c r="AH24" i="15"/>
  <c r="U24" i="15"/>
  <c r="C25" i="15"/>
  <c r="G25" i="15"/>
  <c r="E25" i="15" s="1"/>
  <c r="G24" i="15"/>
  <c r="I25" i="15"/>
  <c r="M25" i="15"/>
  <c r="U25" i="15"/>
  <c r="L24" i="15"/>
  <c r="M24" i="15"/>
  <c r="AD25" i="15"/>
  <c r="AB25" i="15"/>
  <c r="N25" i="15"/>
  <c r="AG26" i="15"/>
  <c r="L26" i="15"/>
  <c r="AB26" i="15"/>
  <c r="Z26" i="15"/>
  <c r="U26" i="15"/>
  <c r="AA27" i="15"/>
  <c r="AA26" i="15"/>
  <c r="Y26" i="15"/>
  <c r="V26" i="15"/>
  <c r="T26" i="15" s="1"/>
  <c r="S26" i="15"/>
  <c r="J27" i="15"/>
  <c r="G27" i="15"/>
  <c r="D27" i="15"/>
  <c r="B27" i="15" s="1"/>
  <c r="R27" i="15"/>
  <c r="AH29" i="15"/>
  <c r="X29" i="15"/>
  <c r="F28" i="15"/>
  <c r="C28" i="15"/>
  <c r="O29" i="15"/>
  <c r="AA29" i="15"/>
  <c r="S29" i="15"/>
  <c r="Q29" i="15" s="1"/>
  <c r="AE28" i="15"/>
  <c r="Z28" i="15"/>
  <c r="G29" i="15"/>
  <c r="E29" i="15" s="1"/>
  <c r="D29" i="15"/>
  <c r="B29" i="15" s="1"/>
  <c r="AF28" i="15"/>
  <c r="Z29" i="15"/>
  <c r="N29" i="15"/>
  <c r="N28" i="15"/>
  <c r="AH31" i="15"/>
  <c r="I30" i="15"/>
  <c r="AD30" i="15"/>
  <c r="K31" i="15"/>
  <c r="X30" i="15"/>
  <c r="C31" i="15"/>
  <c r="Y31" i="15"/>
  <c r="Y30" i="15"/>
  <c r="AD31" i="15"/>
  <c r="L31" i="15"/>
  <c r="AH32" i="15"/>
  <c r="AG33" i="15"/>
  <c r="Y32" i="15"/>
  <c r="V32" i="15"/>
  <c r="T32" i="15" s="1"/>
  <c r="AC33" i="15"/>
  <c r="C32" i="15"/>
  <c r="D33" i="15"/>
  <c r="B33" i="15" s="1"/>
  <c r="J32" i="15"/>
  <c r="H32" i="15" s="1"/>
  <c r="G32" i="15"/>
  <c r="E32" i="15" s="1"/>
  <c r="D32" i="15"/>
  <c r="B32" i="15" s="1"/>
  <c r="Z32" i="15"/>
  <c r="F33" i="15"/>
  <c r="AB33" i="15"/>
  <c r="O32" i="15"/>
  <c r="W32" i="15"/>
  <c r="Y34" i="15"/>
  <c r="N34" i="15"/>
  <c r="O35" i="15"/>
  <c r="AA35" i="15"/>
  <c r="M34" i="15"/>
  <c r="AE34" i="15"/>
  <c r="AG36" i="15"/>
  <c r="AH37" i="15"/>
  <c r="Y36" i="15"/>
  <c r="AA37" i="15"/>
  <c r="M37" i="15"/>
  <c r="M36" i="15"/>
  <c r="J37" i="15"/>
  <c r="H37" i="15" s="1"/>
  <c r="F36" i="15"/>
  <c r="G37" i="15"/>
  <c r="E37" i="15" s="1"/>
  <c r="X37" i="15"/>
  <c r="AE36" i="15"/>
  <c r="Z37" i="15"/>
  <c r="Z36" i="15"/>
  <c r="X36" i="15"/>
  <c r="J36" i="15"/>
  <c r="H36" i="15" s="1"/>
  <c r="AG39" i="15"/>
  <c r="AH38" i="15"/>
  <c r="G38" i="15"/>
  <c r="E38" i="15" s="1"/>
  <c r="N38" i="15"/>
  <c r="J39" i="15"/>
  <c r="H39" i="15" s="1"/>
  <c r="D39" i="15"/>
  <c r="B39" i="15" s="1"/>
  <c r="AD38" i="15"/>
  <c r="AE39" i="15"/>
  <c r="AF38" i="15"/>
  <c r="AE38" i="15"/>
  <c r="AB38" i="15"/>
  <c r="AA38" i="15"/>
  <c r="X38" i="15"/>
  <c r="W38" i="15"/>
  <c r="Z39" i="15"/>
  <c r="F40" i="15"/>
  <c r="X41" i="15"/>
  <c r="X40" i="15"/>
  <c r="S40" i="15"/>
  <c r="Q40" i="15" s="1"/>
  <c r="N41" i="15"/>
  <c r="V41" i="15"/>
  <c r="T41" i="15" s="1"/>
  <c r="U41" i="15"/>
  <c r="AC40" i="15"/>
  <c r="O41" i="15"/>
  <c r="AE41" i="15"/>
  <c r="AA41" i="15"/>
  <c r="F41" i="15"/>
  <c r="O40" i="15"/>
  <c r="AH43" i="15"/>
  <c r="I42" i="15"/>
  <c r="Y42" i="15"/>
  <c r="K43" i="15"/>
  <c r="U42" i="15"/>
  <c r="AF43" i="15"/>
  <c r="AF42" i="15"/>
  <c r="AA42" i="15"/>
  <c r="F42" i="15"/>
  <c r="W42" i="15"/>
  <c r="I43" i="15"/>
  <c r="Y43" i="15"/>
  <c r="N42" i="15"/>
  <c r="L44" i="15"/>
  <c r="N45" i="15"/>
  <c r="AC44" i="15"/>
  <c r="AD45" i="15"/>
  <c r="Y44" i="15"/>
  <c r="M45" i="15"/>
  <c r="AD44" i="15"/>
  <c r="I45" i="15"/>
  <c r="P45" i="15"/>
  <c r="AF44" i="15"/>
  <c r="K44" i="15"/>
  <c r="AA44" i="15"/>
  <c r="S45" i="15"/>
  <c r="Q45" i="15" s="1"/>
  <c r="AG47" i="15"/>
  <c r="AB47" i="15"/>
  <c r="O47" i="15"/>
  <c r="I46" i="15"/>
  <c r="AB46" i="15"/>
  <c r="D47" i="15"/>
  <c r="B47" i="15" s="1"/>
  <c r="L46" i="15"/>
  <c r="M46" i="15"/>
  <c r="Z47" i="15"/>
  <c r="AF47" i="15"/>
  <c r="AA46" i="15"/>
  <c r="K46" i="15"/>
  <c r="Z46" i="15"/>
  <c r="Y47" i="15"/>
  <c r="AE47" i="15"/>
  <c r="U47" i="15"/>
  <c r="AH35" i="15"/>
  <c r="V34" i="15"/>
  <c r="T34" i="15" s="1"/>
  <c r="Z34" i="15"/>
  <c r="K35" i="15"/>
  <c r="S35" i="15"/>
  <c r="Q35" i="15" s="1"/>
  <c r="W34" i="15"/>
  <c r="AH36" i="15"/>
  <c r="AC36" i="15"/>
  <c r="D36" i="15"/>
  <c r="B36" i="15" s="1"/>
  <c r="U37" i="15"/>
  <c r="P37" i="15"/>
  <c r="K36" i="15"/>
  <c r="V37" i="15"/>
  <c r="T37" i="15" s="1"/>
  <c r="AD37" i="15"/>
  <c r="AF36" i="15"/>
  <c r="AA36" i="15"/>
  <c r="Y37" i="15"/>
  <c r="V36" i="15"/>
  <c r="T36" i="15" s="1"/>
  <c r="O37" i="15"/>
  <c r="P36" i="15"/>
  <c r="AH39" i="15"/>
  <c r="Y39" i="15"/>
  <c r="R39" i="15"/>
  <c r="AC38" i="15"/>
  <c r="K38" i="15"/>
  <c r="G39" i="15"/>
  <c r="E39" i="15" s="1"/>
  <c r="F39" i="15"/>
  <c r="I39" i="15"/>
  <c r="AB39" i="15"/>
  <c r="U38" i="15"/>
  <c r="X39" i="15"/>
  <c r="O38" i="15"/>
  <c r="S39" i="15"/>
  <c r="Q39" i="15" s="1"/>
  <c r="S38" i="15"/>
  <c r="Q38" i="15" s="1"/>
  <c r="AG40" i="15"/>
  <c r="AE40" i="15"/>
  <c r="R41" i="15"/>
  <c r="P40" i="15"/>
  <c r="AC41" i="15"/>
  <c r="L40" i="15"/>
  <c r="G40" i="15"/>
  <c r="E40" i="15" s="1"/>
  <c r="M40" i="15"/>
  <c r="P41" i="15"/>
  <c r="I40" i="15"/>
  <c r="Y40" i="15"/>
  <c r="K41" i="15"/>
  <c r="U40" i="15"/>
  <c r="AF41" i="15"/>
  <c r="AF40" i="15"/>
  <c r="AG42" i="15"/>
  <c r="D43" i="15"/>
  <c r="B43" i="15" s="1"/>
  <c r="L43" i="15"/>
  <c r="C42" i="15"/>
  <c r="G43" i="15"/>
  <c r="E43" i="15" s="1"/>
  <c r="Z42" i="15"/>
  <c r="AE42" i="15"/>
  <c r="R43" i="15"/>
  <c r="X43" i="15"/>
  <c r="AD43" i="15"/>
  <c r="S43" i="15"/>
  <c r="Q43" i="15" s="1"/>
  <c r="Z43" i="15"/>
  <c r="R42" i="15"/>
  <c r="C43" i="15"/>
  <c r="U43" i="15"/>
  <c r="AC42" i="15"/>
  <c r="AG45" i="15"/>
  <c r="O45" i="15"/>
  <c r="AA45" i="15"/>
  <c r="C45" i="15"/>
  <c r="W45" i="15"/>
  <c r="J44" i="15"/>
  <c r="H44" i="15" s="1"/>
  <c r="I44" i="15"/>
  <c r="AC45" i="15"/>
  <c r="Z45" i="15"/>
  <c r="U44" i="15"/>
  <c r="V45" i="15"/>
  <c r="T45" i="15" s="1"/>
  <c r="F45" i="15"/>
  <c r="AE44" i="15"/>
  <c r="AB44" i="15"/>
  <c r="P44" i="15"/>
  <c r="AG46" i="15"/>
  <c r="AA47" i="15"/>
  <c r="J46" i="15"/>
  <c r="H46" i="15" s="1"/>
  <c r="J47" i="15"/>
  <c r="H47" i="15" s="1"/>
  <c r="K47" i="15"/>
  <c r="V46" i="15"/>
  <c r="T46" i="15" s="1"/>
  <c r="AD47" i="15"/>
  <c r="M47" i="15"/>
  <c r="S46" i="15"/>
  <c r="Q46" i="15" s="1"/>
  <c r="I47" i="15"/>
  <c r="C47" i="15"/>
  <c r="AC47" i="15"/>
  <c r="AC46" i="15"/>
  <c r="R46" i="15"/>
  <c r="N46" i="15"/>
  <c r="F34" i="15"/>
  <c r="AB35" i="15"/>
  <c r="J34" i="15"/>
  <c r="H34" i="15" s="1"/>
  <c r="U34" i="15"/>
  <c r="O34" i="15"/>
  <c r="K34" i="15"/>
  <c r="G36" i="15"/>
  <c r="E36" i="15" s="1"/>
  <c r="U36" i="15"/>
  <c r="N37" i="15"/>
  <c r="I37" i="15"/>
  <c r="AB37" i="15"/>
  <c r="D37" i="15"/>
  <c r="B37" i="15" s="1"/>
  <c r="C36" i="15"/>
  <c r="AD36" i="15"/>
  <c r="W36" i="15"/>
  <c r="R36" i="15"/>
  <c r="L36" i="15"/>
  <c r="AE37" i="15"/>
  <c r="W37" i="15"/>
  <c r="R38" i="15"/>
  <c r="V39" i="15"/>
  <c r="T39" i="15" s="1"/>
  <c r="U39" i="15"/>
  <c r="P39" i="15"/>
  <c r="O39" i="15"/>
  <c r="L39" i="15"/>
  <c r="K39" i="15"/>
  <c r="AF39" i="15"/>
  <c r="W39" i="15"/>
  <c r="V38" i="15"/>
  <c r="T38" i="15" s="1"/>
  <c r="C39" i="15"/>
  <c r="P38" i="15"/>
  <c r="F38" i="15"/>
  <c r="AG41" i="15"/>
  <c r="AB41" i="15"/>
  <c r="AB40" i="15"/>
  <c r="M41" i="15"/>
  <c r="W40" i="15"/>
  <c r="I41" i="15"/>
  <c r="Y41" i="15"/>
  <c r="N40" i="15"/>
  <c r="J41" i="15"/>
  <c r="H41" i="15" s="1"/>
  <c r="J40" i="15"/>
  <c r="H40" i="15" s="1"/>
  <c r="D41" i="15"/>
  <c r="B41" i="15" s="1"/>
  <c r="L41" i="15"/>
  <c r="C40" i="15"/>
  <c r="G41" i="15"/>
  <c r="E41" i="15" s="1"/>
  <c r="Z40" i="15"/>
  <c r="AG43" i="15"/>
  <c r="AH42" i="15"/>
  <c r="D42" i="15"/>
  <c r="B42" i="15" s="1"/>
  <c r="AD42" i="15"/>
  <c r="W43" i="15"/>
  <c r="AB43" i="15"/>
  <c r="K42" i="15"/>
  <c r="P42" i="15"/>
  <c r="X42" i="15"/>
  <c r="S42" i="15"/>
  <c r="Q42" i="15" s="1"/>
  <c r="N43" i="15"/>
  <c r="V43" i="15"/>
  <c r="T43" i="15" s="1"/>
  <c r="M42" i="15"/>
  <c r="P43" i="15"/>
  <c r="AG44" i="15"/>
  <c r="AH45" i="15"/>
  <c r="S44" i="15"/>
  <c r="Q44" i="15" s="1"/>
  <c r="R44" i="15"/>
  <c r="N44" i="15"/>
  <c r="M44" i="15"/>
  <c r="D45" i="15"/>
  <c r="B45" i="15" s="1"/>
  <c r="D44" i="15"/>
  <c r="B44" i="15" s="1"/>
  <c r="Y45" i="15"/>
  <c r="K45" i="15"/>
  <c r="Z44" i="15"/>
  <c r="V44" i="15"/>
  <c r="T44" i="15" s="1"/>
  <c r="X45" i="15"/>
  <c r="F44" i="15"/>
  <c r="AE45" i="15"/>
  <c r="AH47" i="15"/>
  <c r="U46" i="15"/>
  <c r="W47" i="15"/>
  <c r="D46" i="15"/>
  <c r="B46" i="15" s="1"/>
  <c r="X46" i="15"/>
  <c r="G46" i="15"/>
  <c r="E46" i="15" s="1"/>
  <c r="V47" i="15"/>
  <c r="T47" i="15" s="1"/>
  <c r="P47" i="15"/>
  <c r="W46" i="15"/>
  <c r="L47" i="15"/>
  <c r="S47" i="15"/>
  <c r="Q47" i="15" s="1"/>
  <c r="Y46" i="15"/>
  <c r="AA34" i="15"/>
  <c r="Z35" i="15"/>
  <c r="AE35" i="15"/>
  <c r="D34" i="15"/>
  <c r="B34" i="15" s="1"/>
  <c r="V35" i="15"/>
  <c r="T35" i="15" s="1"/>
  <c r="P35" i="15"/>
  <c r="AG37" i="15"/>
  <c r="R37" i="15"/>
  <c r="O36" i="15"/>
  <c r="AF37" i="15"/>
  <c r="L37" i="15"/>
  <c r="I36" i="15"/>
  <c r="C37" i="15"/>
  <c r="K37" i="15"/>
  <c r="AC37" i="15"/>
  <c r="AB36" i="15"/>
  <c r="N36" i="15"/>
  <c r="S37" i="15"/>
  <c r="Q37" i="15" s="1"/>
  <c r="F37" i="15"/>
  <c r="S36" i="15"/>
  <c r="Q36" i="15" s="1"/>
  <c r="AG38" i="15"/>
  <c r="N39" i="15"/>
  <c r="M38" i="15"/>
  <c r="J38" i="15"/>
  <c r="H38" i="15" s="1"/>
  <c r="I38" i="15"/>
  <c r="D38" i="15"/>
  <c r="B38" i="15" s="1"/>
  <c r="C38" i="15"/>
  <c r="AA39" i="15"/>
  <c r="Z38" i="15"/>
  <c r="M39" i="15"/>
  <c r="Y38" i="15"/>
  <c r="AD39" i="15"/>
  <c r="AC39" i="15"/>
  <c r="L38" i="15"/>
  <c r="AH40" i="15"/>
  <c r="AH41" i="15"/>
  <c r="V40" i="15"/>
  <c r="T40" i="15" s="1"/>
  <c r="AA40" i="15"/>
  <c r="AD41" i="15"/>
  <c r="S41" i="15"/>
  <c r="Q41" i="15" s="1"/>
  <c r="Z41" i="15"/>
  <c r="R40" i="15"/>
  <c r="C41" i="15"/>
  <c r="K40" i="15"/>
  <c r="D40" i="15"/>
  <c r="B40" i="15" s="1"/>
  <c r="AD40" i="15"/>
  <c r="W41" i="15"/>
  <c r="O43" i="15"/>
  <c r="AE43" i="15"/>
  <c r="AA43" i="15"/>
  <c r="F43" i="15"/>
  <c r="O42" i="15"/>
  <c r="V42" i="15"/>
  <c r="T42" i="15" s="1"/>
  <c r="AB42" i="15"/>
  <c r="M43" i="15"/>
  <c r="AC43" i="15"/>
  <c r="L42" i="15"/>
  <c r="G42" i="15"/>
  <c r="E42" i="15" s="1"/>
  <c r="J43" i="15"/>
  <c r="H43" i="15" s="1"/>
  <c r="J42" i="15"/>
  <c r="H42" i="15" s="1"/>
  <c r="AH44" i="15"/>
  <c r="W44" i="15"/>
  <c r="G44" i="15"/>
  <c r="E44" i="15" s="1"/>
  <c r="J45" i="15"/>
  <c r="H45" i="15" s="1"/>
  <c r="U45" i="15"/>
  <c r="R45" i="15"/>
  <c r="C44" i="15"/>
  <c r="AF45" i="15"/>
  <c r="AB45" i="15"/>
  <c r="O44" i="15"/>
  <c r="L45" i="15"/>
  <c r="X44" i="15"/>
  <c r="G45" i="15"/>
  <c r="E45" i="15" s="1"/>
  <c r="AH46" i="15"/>
  <c r="AD46" i="15"/>
  <c r="AF46" i="15"/>
  <c r="X47" i="15"/>
  <c r="P46" i="15"/>
  <c r="R47" i="15"/>
  <c r="F47" i="15"/>
  <c r="AE46" i="15"/>
  <c r="O46" i="15"/>
  <c r="N47" i="15"/>
  <c r="F46" i="15"/>
  <c r="C46" i="15"/>
  <c r="G47" i="15"/>
  <c r="E47" i="15" s="1"/>
  <c r="D49" i="2"/>
  <c r="C52" i="17"/>
  <c r="C49" i="2"/>
  <c r="C53" i="17"/>
  <c r="C49" i="14"/>
  <c r="B53" i="16"/>
  <c r="B54" i="17"/>
  <c r="C98" i="14"/>
  <c r="B52" i="17"/>
  <c r="B48" i="14"/>
  <c r="C54" i="16"/>
  <c r="B53" i="17"/>
  <c r="C55" i="16"/>
  <c r="D53" i="17"/>
  <c r="B50" i="2"/>
  <c r="B55" i="16"/>
  <c r="B98" i="14"/>
  <c r="B49" i="2"/>
  <c r="D52" i="17"/>
  <c r="D50" i="2"/>
  <c r="C48" i="14"/>
  <c r="D54" i="17"/>
  <c r="B49" i="14"/>
  <c r="C54" i="17"/>
  <c r="C50" i="2"/>
  <c r="B99" i="14"/>
  <c r="C53" i="16"/>
  <c r="D98" i="14"/>
  <c r="C51" i="2"/>
  <c r="C56" i="16"/>
  <c r="E51" i="2"/>
  <c r="D54" i="16"/>
  <c r="E53" i="16"/>
  <c r="E55" i="16"/>
  <c r="E100" i="14"/>
  <c r="D58" i="16"/>
  <c r="E59" i="16"/>
  <c r="B54" i="16"/>
  <c r="B100" i="14"/>
  <c r="B56" i="16"/>
  <c r="E49" i="2"/>
  <c r="D53" i="16"/>
  <c r="D55" i="16"/>
  <c r="E57" i="16"/>
  <c r="E98" i="14"/>
  <c r="E48" i="14"/>
  <c r="F49" i="2"/>
  <c r="F50" i="2"/>
  <c r="B59" i="16"/>
  <c r="C99" i="14"/>
  <c r="D49" i="14"/>
  <c r="D48" i="14"/>
  <c r="D99" i="14"/>
  <c r="D50" i="14"/>
  <c r="B51" i="2"/>
  <c r="C100" i="14"/>
  <c r="B50" i="14"/>
  <c r="D57" i="16"/>
  <c r="D56" i="16"/>
  <c r="E56" i="16"/>
  <c r="C57" i="16"/>
  <c r="B58" i="16"/>
  <c r="C59" i="16"/>
  <c r="D100" i="14"/>
  <c r="D51" i="2"/>
  <c r="E50" i="2"/>
  <c r="C50" i="14"/>
  <c r="E54" i="16"/>
  <c r="B57" i="16"/>
  <c r="E49" i="14"/>
  <c r="E50" i="14"/>
  <c r="E99" i="14"/>
  <c r="F51" i="2"/>
  <c r="C58" i="16"/>
  <c r="E58" i="16"/>
  <c r="D59" i="16"/>
  <c r="L9" i="15"/>
  <c r="AF15" i="15"/>
  <c r="AE10" i="15"/>
  <c r="AB14" i="15"/>
  <c r="AB11" i="15"/>
  <c r="R8" i="15"/>
  <c r="C13" i="15"/>
  <c r="Y11" i="15"/>
  <c r="S10" i="15"/>
  <c r="AH13" i="15"/>
  <c r="C12" i="15"/>
  <c r="AD9" i="15"/>
  <c r="D13" i="15"/>
  <c r="M9" i="15"/>
  <c r="AA13" i="15"/>
  <c r="D9" i="15"/>
  <c r="C8" i="15"/>
  <c r="AC10" i="15"/>
  <c r="AH9" i="15"/>
  <c r="AD11" i="15"/>
  <c r="P11" i="15"/>
  <c r="S13" i="15"/>
  <c r="R9" i="15"/>
  <c r="AE12" i="15"/>
  <c r="Z8" i="15"/>
  <c r="M12" i="15"/>
  <c r="AA8" i="15"/>
  <c r="O10" i="15"/>
  <c r="O11" i="15"/>
  <c r="U12" i="15"/>
  <c r="X8" i="15"/>
  <c r="AD10" i="15"/>
  <c r="AA15" i="15"/>
  <c r="AA10" i="15"/>
  <c r="L14" i="15"/>
  <c r="J9" i="15"/>
  <c r="AB12" i="15"/>
  <c r="AE8" i="15"/>
  <c r="AC12" i="15"/>
  <c r="AG10" i="15"/>
  <c r="I11" i="15"/>
  <c r="X12" i="15"/>
  <c r="AG8" i="15"/>
  <c r="AR7" i="28"/>
  <c r="R7" i="28" s="1"/>
  <c r="AP7" i="28"/>
  <c r="Q7" i="28" s="1"/>
  <c r="AQ7" i="28"/>
  <c r="S7" i="28" s="1"/>
  <c r="AQ17" i="28"/>
  <c r="S17" i="28" s="1"/>
  <c r="AP45" i="28"/>
  <c r="Q45" i="28" s="1"/>
  <c r="AQ45" i="28"/>
  <c r="S45" i="28" s="1"/>
  <c r="AR45" i="28"/>
  <c r="R45" i="28" s="1"/>
  <c r="AR31" i="28"/>
  <c r="R31" i="28" s="1"/>
  <c r="AQ37" i="28"/>
  <c r="S37" i="28" s="1"/>
  <c r="AQ4" i="28"/>
  <c r="S4" i="28" s="1"/>
  <c r="AR13" i="28"/>
  <c r="R13" i="28" s="1"/>
  <c r="AP16" i="28"/>
  <c r="Q16" i="28" s="1"/>
  <c r="AR25" i="28"/>
  <c r="R25" i="28" s="1"/>
  <c r="AP40" i="28"/>
  <c r="Q40" i="28" s="1"/>
  <c r="AP43" i="28"/>
  <c r="Q43" i="28" s="1"/>
  <c r="AR43" i="28"/>
  <c r="R43" i="28" s="1"/>
  <c r="AQ43" i="28"/>
  <c r="S43" i="28" s="1"/>
  <c r="AP52" i="28"/>
  <c r="Q52" i="28" s="1"/>
  <c r="AQ52" i="28"/>
  <c r="S52" i="28" s="1"/>
  <c r="AR52" i="28"/>
  <c r="R52" i="28" s="1"/>
  <c r="AQ64" i="28"/>
  <c r="S64" i="28" s="1"/>
  <c r="AP73" i="28"/>
  <c r="Q73" i="28" s="1"/>
  <c r="AR73" i="28"/>
  <c r="R73" i="28" s="1"/>
  <c r="AQ73" i="28"/>
  <c r="S73" i="28" s="1"/>
  <c r="AP81" i="28"/>
  <c r="Q81" i="28" s="1"/>
  <c r="AR81" i="28"/>
  <c r="R81" i="28" s="1"/>
  <c r="AQ81" i="28"/>
  <c r="S81" i="28" s="1"/>
  <c r="AP85" i="28"/>
  <c r="Q85" i="28" s="1"/>
  <c r="AR85" i="28"/>
  <c r="R85" i="28" s="1"/>
  <c r="AQ85" i="28"/>
  <c r="S85" i="28" s="1"/>
  <c r="AR92" i="28"/>
  <c r="R92" i="28" s="1"/>
  <c r="AQ92" i="28"/>
  <c r="S92" i="28" s="1"/>
  <c r="AP96" i="28"/>
  <c r="Q96" i="28" s="1"/>
  <c r="AQ117" i="28"/>
  <c r="S117" i="28" s="1"/>
  <c r="AP117" i="28"/>
  <c r="Q117" i="28" s="1"/>
  <c r="AR117" i="28"/>
  <c r="R117" i="28" s="1"/>
  <c r="AP109" i="28"/>
  <c r="Q109" i="28" s="1"/>
  <c r="AQ109" i="28"/>
  <c r="S109" i="28" s="1"/>
  <c r="AR109" i="28"/>
  <c r="R109" i="28" s="1"/>
  <c r="AR116" i="28"/>
  <c r="R116" i="28" s="1"/>
  <c r="AP116" i="28"/>
  <c r="Q116" i="28" s="1"/>
  <c r="AQ140" i="28"/>
  <c r="S140" i="28" s="1"/>
  <c r="AP140" i="28"/>
  <c r="Q140" i="28" s="1"/>
  <c r="AR140" i="28"/>
  <c r="R140" i="28" s="1"/>
  <c r="AQ143" i="28"/>
  <c r="S143" i="28" s="1"/>
  <c r="AR153" i="28"/>
  <c r="R153" i="28" s="1"/>
  <c r="AQ153" i="28"/>
  <c r="S153" i="28" s="1"/>
  <c r="AP153" i="28"/>
  <c r="Q153" i="28" s="1"/>
  <c r="AQ62" i="28"/>
  <c r="S62" i="28" s="1"/>
  <c r="AP131" i="28"/>
  <c r="Q131" i="28" s="1"/>
  <c r="AR131" i="28"/>
  <c r="R131" i="28" s="1"/>
  <c r="AQ131" i="28"/>
  <c r="S131" i="28" s="1"/>
  <c r="AR144" i="28"/>
  <c r="R144" i="28" s="1"/>
  <c r="AR155" i="28"/>
  <c r="R155" i="28" s="1"/>
  <c r="AQ167" i="28"/>
  <c r="S167" i="28" s="1"/>
  <c r="AR167" i="28"/>
  <c r="R167" i="28" s="1"/>
  <c r="AP167" i="28"/>
  <c r="Q167" i="28" s="1"/>
  <c r="AR181" i="28"/>
  <c r="R181" i="28" s="1"/>
  <c r="AP181" i="28"/>
  <c r="Q181" i="28" s="1"/>
  <c r="AQ181" i="28"/>
  <c r="S181" i="28" s="1"/>
  <c r="AR186" i="28"/>
  <c r="R186" i="28" s="1"/>
  <c r="AQ186" i="28"/>
  <c r="S186" i="28" s="1"/>
  <c r="AP186" i="28"/>
  <c r="Q186" i="28" s="1"/>
  <c r="AR201" i="28"/>
  <c r="R201" i="28" s="1"/>
  <c r="AQ201" i="28"/>
  <c r="S201" i="28" s="1"/>
  <c r="AP201" i="28"/>
  <c r="Q201" i="28" s="1"/>
  <c r="AQ202" i="28"/>
  <c r="S202" i="28" s="1"/>
  <c r="AP182" i="28"/>
  <c r="Q182" i="28" s="1"/>
  <c r="AR210" i="28"/>
  <c r="R210" i="28" s="1"/>
  <c r="AQ228" i="28"/>
  <c r="S228" i="28" s="1"/>
  <c r="AR238" i="28"/>
  <c r="R238" i="28" s="1"/>
  <c r="AP238" i="28"/>
  <c r="Q238" i="28" s="1"/>
  <c r="AQ238" i="28"/>
  <c r="S238" i="28" s="1"/>
  <c r="AQ351" i="28"/>
  <c r="S351" i="28" s="1"/>
  <c r="AP351" i="28"/>
  <c r="Q351" i="28" s="1"/>
  <c r="AQ213" i="28"/>
  <c r="S213" i="28" s="1"/>
  <c r="AP213" i="28"/>
  <c r="Q213" i="28" s="1"/>
  <c r="AR213" i="28"/>
  <c r="R213" i="28" s="1"/>
  <c r="AP220" i="28"/>
  <c r="Q220" i="28" s="1"/>
  <c r="AQ220" i="28"/>
  <c r="S220" i="28" s="1"/>
  <c r="AR220" i="28"/>
  <c r="R220" i="28" s="1"/>
  <c r="AQ248" i="28"/>
  <c r="S248" i="28" s="1"/>
  <c r="AR257" i="28"/>
  <c r="R257" i="28" s="1"/>
  <c r="AQ257" i="28"/>
  <c r="S257" i="28" s="1"/>
  <c r="AP257" i="28"/>
  <c r="Q257" i="28" s="1"/>
  <c r="AQ312" i="28"/>
  <c r="S312" i="28" s="1"/>
  <c r="AR339" i="28"/>
  <c r="R339" i="28" s="1"/>
  <c r="AP339" i="28"/>
  <c r="Q339" i="28" s="1"/>
  <c r="AQ339" i="28"/>
  <c r="S339" i="28" s="1"/>
  <c r="AR342" i="28"/>
  <c r="R342" i="28" s="1"/>
  <c r="AQ347" i="28"/>
  <c r="S347" i="28" s="1"/>
  <c r="AR237" i="28"/>
  <c r="R237" i="28" s="1"/>
  <c r="AR256" i="28"/>
  <c r="R256" i="28" s="1"/>
  <c r="AQ256" i="28"/>
  <c r="S256" i="28" s="1"/>
  <c r="AP256" i="28"/>
  <c r="Q256" i="28" s="1"/>
  <c r="AR291" i="28"/>
  <c r="R291" i="28" s="1"/>
  <c r="AQ291" i="28"/>
  <c r="S291" i="28" s="1"/>
  <c r="AP291" i="28"/>
  <c r="Q291" i="28" s="1"/>
  <c r="AQ309" i="28"/>
  <c r="S309" i="28" s="1"/>
  <c r="AR321" i="28"/>
  <c r="R321" i="28" s="1"/>
  <c r="AP321" i="28"/>
  <c r="Q321" i="28" s="1"/>
  <c r="AR197" i="28"/>
  <c r="R197" i="28" s="1"/>
  <c r="AP212" i="28"/>
  <c r="Q212" i="28" s="1"/>
  <c r="AQ212" i="28"/>
  <c r="S212" i="28" s="1"/>
  <c r="AP214" i="28"/>
  <c r="Q214" i="28" s="1"/>
  <c r="AR221" i="28"/>
  <c r="R221" i="28" s="1"/>
  <c r="AQ221" i="28"/>
  <c r="S221" i="28" s="1"/>
  <c r="AP221" i="28"/>
  <c r="Q221" i="28" s="1"/>
  <c r="AP219" i="28"/>
  <c r="Q219" i="28" s="1"/>
  <c r="AQ226" i="28"/>
  <c r="S226" i="28" s="1"/>
  <c r="AR226" i="28"/>
  <c r="R226" i="28" s="1"/>
  <c r="AP247" i="28"/>
  <c r="Q247" i="28" s="1"/>
  <c r="AR247" i="28"/>
  <c r="R247" i="28" s="1"/>
  <c r="AQ247" i="28"/>
  <c r="S247" i="28" s="1"/>
  <c r="AR265" i="28"/>
  <c r="R265" i="28" s="1"/>
  <c r="AQ305" i="28"/>
  <c r="S305" i="28" s="1"/>
  <c r="AR305" i="28"/>
  <c r="R305" i="28" s="1"/>
  <c r="AQ269" i="28"/>
  <c r="S269" i="28" s="1"/>
  <c r="AQ294" i="28"/>
  <c r="S294" i="28" s="1"/>
  <c r="AP355" i="28"/>
  <c r="Q355" i="28" s="1"/>
  <c r="AR355" i="28"/>
  <c r="R355" i="28" s="1"/>
  <c r="AR384" i="28"/>
  <c r="R384" i="28" s="1"/>
  <c r="AQ399" i="28"/>
  <c r="S399" i="28" s="1"/>
  <c r="AP399" i="28"/>
  <c r="Q399" i="28" s="1"/>
  <c r="AR399" i="28"/>
  <c r="R399" i="28" s="1"/>
  <c r="AP425" i="28"/>
  <c r="Q425" i="28" s="1"/>
  <c r="AQ425" i="28"/>
  <c r="S425" i="28" s="1"/>
  <c r="AR425" i="28"/>
  <c r="R425" i="28" s="1"/>
  <c r="AQ253" i="28"/>
  <c r="S253" i="28" s="1"/>
  <c r="AR343" i="28"/>
  <c r="R343" i="28" s="1"/>
  <c r="AR364" i="28"/>
  <c r="R364" i="28" s="1"/>
  <c r="AQ364" i="28"/>
  <c r="S364" i="28" s="1"/>
  <c r="AR388" i="28"/>
  <c r="R388" i="28" s="1"/>
  <c r="AQ388" i="28"/>
  <c r="S388" i="28" s="1"/>
  <c r="AR393" i="28"/>
  <c r="R393" i="28" s="1"/>
  <c r="AP393" i="28"/>
  <c r="Q393" i="28" s="1"/>
  <c r="AQ393" i="28"/>
  <c r="S393" i="28" s="1"/>
  <c r="AQ398" i="28"/>
  <c r="S398" i="28" s="1"/>
  <c r="AP398" i="28"/>
  <c r="Q398" i="28" s="1"/>
  <c r="H34" i="28" s="1"/>
  <c r="AR398" i="28"/>
  <c r="R398" i="28" s="1"/>
  <c r="AR414" i="28"/>
  <c r="R414" i="28" s="1"/>
  <c r="AQ420" i="28"/>
  <c r="S420" i="28" s="1"/>
  <c r="AR371" i="28"/>
  <c r="R371" i="28" s="1"/>
  <c r="AQ371" i="28"/>
  <c r="S371" i="28" s="1"/>
  <c r="AP371" i="28"/>
  <c r="Q371" i="28" s="1"/>
  <c r="AQ317" i="28"/>
  <c r="S317" i="28" s="1"/>
  <c r="AR349" i="28"/>
  <c r="R349" i="28" s="1"/>
  <c r="AR417" i="28"/>
  <c r="R417" i="28" s="1"/>
  <c r="I429" i="28"/>
  <c r="I461" i="28"/>
  <c r="U474" i="28"/>
  <c r="AE474" i="28"/>
  <c r="I493" i="28"/>
  <c r="U506" i="28"/>
  <c r="I525" i="28"/>
  <c r="U538" i="28"/>
  <c r="AE538" i="28"/>
  <c r="I557" i="28"/>
  <c r="U570" i="28"/>
  <c r="I589" i="28"/>
  <c r="I621" i="28"/>
  <c r="U634" i="28"/>
  <c r="I653" i="28"/>
  <c r="I685" i="28"/>
  <c r="U698" i="28"/>
  <c r="I717" i="28"/>
  <c r="AQ415" i="28"/>
  <c r="S415" i="28" s="1"/>
  <c r="U463" i="28"/>
  <c r="U479" i="28"/>
  <c r="U495" i="28"/>
  <c r="U519" i="28"/>
  <c r="W519" i="28" s="1"/>
  <c r="X519" i="28" s="1"/>
  <c r="AE519" i="28"/>
  <c r="U543" i="28"/>
  <c r="AE543" i="28"/>
  <c r="U551" i="28"/>
  <c r="AE551" i="28"/>
  <c r="U559" i="28"/>
  <c r="U575" i="28"/>
  <c r="U591" i="28"/>
  <c r="U599" i="28"/>
  <c r="U623" i="28"/>
  <c r="U631" i="28"/>
  <c r="U671" i="28"/>
  <c r="U695" i="28"/>
  <c r="U703" i="28"/>
  <c r="AE703" i="28"/>
  <c r="AP379" i="28"/>
  <c r="Q379" i="28" s="1"/>
  <c r="AQ412" i="28"/>
  <c r="S412" i="28" s="1"/>
  <c r="U441" i="28"/>
  <c r="U449" i="28"/>
  <c r="AE449" i="28"/>
  <c r="U489" i="28"/>
  <c r="U513" i="28"/>
  <c r="U529" i="28"/>
  <c r="AE529" i="28"/>
  <c r="U545" i="28"/>
  <c r="U553" i="28"/>
  <c r="AE553" i="28"/>
  <c r="U561" i="28"/>
  <c r="U593" i="28"/>
  <c r="AE593" i="28"/>
  <c r="U609" i="28"/>
  <c r="U617" i="28"/>
  <c r="AE617" i="28"/>
  <c r="U649" i="28"/>
  <c r="AE649" i="28"/>
  <c r="U657" i="28"/>
  <c r="W657" i="28" s="1"/>
  <c r="X657" i="28" s="1"/>
  <c r="AE657" i="28"/>
  <c r="U665" i="28"/>
  <c r="AE665" i="28"/>
  <c r="U673" i="28"/>
  <c r="U681" i="28"/>
  <c r="AE681" i="28"/>
  <c r="U697" i="28"/>
  <c r="W697" i="28" s="1"/>
  <c r="X697" i="28" s="1"/>
  <c r="AE697" i="28"/>
  <c r="U705" i="28"/>
  <c r="W705" i="28" s="1"/>
  <c r="X705" i="28" s="1"/>
  <c r="AE705" i="28"/>
  <c r="U713" i="28"/>
  <c r="AE713" i="28"/>
  <c r="U721" i="28"/>
  <c r="AE721" i="28"/>
  <c r="AP419" i="28"/>
  <c r="Q419" i="28" s="1"/>
  <c r="AQ426" i="28"/>
  <c r="S426" i="28" s="1"/>
  <c r="I435" i="28"/>
  <c r="I451" i="28"/>
  <c r="I467" i="28"/>
  <c r="I483" i="28"/>
  <c r="I499" i="28"/>
  <c r="I515" i="28"/>
  <c r="I531" i="28"/>
  <c r="I547" i="28"/>
  <c r="I563" i="28"/>
  <c r="I579" i="28"/>
  <c r="I595" i="28"/>
  <c r="I611" i="28"/>
  <c r="I627" i="28"/>
  <c r="I643" i="28"/>
  <c r="I659" i="28"/>
  <c r="I675" i="28"/>
  <c r="I691" i="28"/>
  <c r="I707" i="28"/>
  <c r="I723" i="28"/>
  <c r="I736" i="28"/>
  <c r="I845" i="28"/>
  <c r="U858" i="28"/>
  <c r="W858" i="28" s="1"/>
  <c r="X858" i="28" s="1"/>
  <c r="AE858" i="28"/>
  <c r="I877" i="28"/>
  <c r="I909" i="28"/>
  <c r="U922" i="28"/>
  <c r="I941" i="28"/>
  <c r="U954" i="28"/>
  <c r="I973" i="28"/>
  <c r="U986" i="28"/>
  <c r="U746" i="28"/>
  <c r="AE746" i="28"/>
  <c r="U754" i="28"/>
  <c r="U762" i="28"/>
  <c r="U778" i="28"/>
  <c r="W778" i="28" s="1"/>
  <c r="X778" i="28" s="1"/>
  <c r="AE778" i="28"/>
  <c r="U802" i="28"/>
  <c r="AE802" i="28"/>
  <c r="U818" i="28"/>
  <c r="U826" i="28"/>
  <c r="U840" i="28"/>
  <c r="U848" i="28"/>
  <c r="U872" i="28"/>
  <c r="U880" i="28"/>
  <c r="U904" i="28"/>
  <c r="U912" i="28"/>
  <c r="U920" i="28"/>
  <c r="U944" i="28"/>
  <c r="U952" i="28"/>
  <c r="U976" i="28"/>
  <c r="U984" i="28"/>
  <c r="I849" i="28"/>
  <c r="I881" i="28"/>
  <c r="I913" i="28"/>
  <c r="U926" i="28"/>
  <c r="W926" i="28" s="1"/>
  <c r="X926" i="28" s="1"/>
  <c r="AE926" i="28"/>
  <c r="I945" i="28"/>
  <c r="I977" i="28"/>
  <c r="U990" i="28"/>
  <c r="I748" i="28"/>
  <c r="BB11" i="1"/>
  <c r="BC11" i="1"/>
  <c r="Z9" i="15"/>
  <c r="U8" i="15"/>
  <c r="AF11" i="15"/>
  <c r="AF12" i="15"/>
  <c r="F9" i="15"/>
  <c r="Z14" i="15"/>
  <c r="AH10" i="15"/>
  <c r="X11" i="15"/>
  <c r="R12" i="15"/>
  <c r="D8" i="15"/>
  <c r="V10" i="15"/>
  <c r="T10" i="15" s="1"/>
  <c r="AE14" i="15"/>
  <c r="AE9" i="15"/>
  <c r="AF14" i="15"/>
  <c r="AF9" i="15"/>
  <c r="W8" i="15"/>
  <c r="J12" i="15"/>
  <c r="AG11" i="15"/>
  <c r="R10" i="15"/>
  <c r="J13" i="15"/>
  <c r="I13" i="15"/>
  <c r="K15" i="15"/>
  <c r="W10" i="15"/>
  <c r="AF13" i="15"/>
  <c r="S9" i="15"/>
  <c r="G13" i="15"/>
  <c r="E13" i="15" s="1"/>
  <c r="O9" i="15"/>
  <c r="Z15" i="15"/>
  <c r="P10" i="15"/>
  <c r="U13" i="15"/>
  <c r="Y12" i="15"/>
  <c r="G9" i="15"/>
  <c r="E9" i="15" s="1"/>
  <c r="F12" i="15"/>
  <c r="O8" i="15"/>
  <c r="AA11" i="15"/>
  <c r="AB15" i="15"/>
  <c r="X9" i="15"/>
  <c r="L13" i="15"/>
  <c r="U9" i="15"/>
  <c r="D14" i="15"/>
  <c r="J11" i="15"/>
  <c r="AE11" i="15"/>
  <c r="S12" i="15"/>
  <c r="AQ19" i="28"/>
  <c r="S19" i="28" s="1"/>
  <c r="AQ39" i="28"/>
  <c r="S39" i="28" s="1"/>
  <c r="AQ6" i="28"/>
  <c r="S6" i="28" s="1"/>
  <c r="AR22" i="28"/>
  <c r="R22" i="28" s="1"/>
  <c r="AP36" i="28"/>
  <c r="Q36" i="28" s="1"/>
  <c r="AQ36" i="28"/>
  <c r="S36" i="28" s="1"/>
  <c r="AR36" i="28"/>
  <c r="R36" i="28" s="1"/>
  <c r="AR42" i="28"/>
  <c r="R42" i="28" s="1"/>
  <c r="AR12" i="28"/>
  <c r="R12" i="28" s="1"/>
  <c r="AQ13" i="28"/>
  <c r="S13" i="28" s="1"/>
  <c r="AR16" i="28"/>
  <c r="R16" i="28" s="1"/>
  <c r="AP37" i="28"/>
  <c r="Q37" i="28" s="1"/>
  <c r="AR50" i="28"/>
  <c r="R50" i="28" s="1"/>
  <c r="AP50" i="28"/>
  <c r="Q50" i="28" s="1"/>
  <c r="AQ50" i="28"/>
  <c r="S50" i="28" s="1"/>
  <c r="AQ56" i="28"/>
  <c r="S56" i="28" s="1"/>
  <c r="H56" i="28" s="1"/>
  <c r="AP63" i="28"/>
  <c r="Q63" i="28" s="1"/>
  <c r="AQ63" i="28"/>
  <c r="S63" i="28" s="1"/>
  <c r="AR63" i="28"/>
  <c r="R63" i="28" s="1"/>
  <c r="AP76" i="28"/>
  <c r="Q76" i="28" s="1"/>
  <c r="AR76" i="28"/>
  <c r="R76" i="28" s="1"/>
  <c r="AQ76" i="28"/>
  <c r="S76" i="28" s="1"/>
  <c r="AP89" i="28"/>
  <c r="Q89" i="28" s="1"/>
  <c r="AR89" i="28"/>
  <c r="R89" i="28" s="1"/>
  <c r="AQ89" i="28"/>
  <c r="S89" i="28" s="1"/>
  <c r="AP92" i="28"/>
  <c r="Q92" i="28" s="1"/>
  <c r="AP103" i="28"/>
  <c r="Q103" i="28" s="1"/>
  <c r="AQ103" i="28"/>
  <c r="S103" i="28" s="1"/>
  <c r="AR103" i="28"/>
  <c r="R103" i="28" s="1"/>
  <c r="AQ112" i="28"/>
  <c r="S112" i="28" s="1"/>
  <c r="AQ116" i="28"/>
  <c r="S116" i="28" s="1"/>
  <c r="AR143" i="28"/>
  <c r="R143" i="28" s="1"/>
  <c r="AP59" i="28"/>
  <c r="Q59" i="28" s="1"/>
  <c r="H59" i="28" s="1"/>
  <c r="AQ70" i="28"/>
  <c r="S70" i="28" s="1"/>
  <c r="AP111" i="28"/>
  <c r="Q111" i="28" s="1"/>
  <c r="AQ111" i="28"/>
  <c r="S111" i="28" s="1"/>
  <c r="AR111" i="28"/>
  <c r="R111" i="28" s="1"/>
  <c r="AP118" i="28"/>
  <c r="Q118" i="28" s="1"/>
  <c r="AQ118" i="28"/>
  <c r="S118" i="28" s="1"/>
  <c r="AR118" i="28"/>
  <c r="R118" i="28" s="1"/>
  <c r="AR137" i="28"/>
  <c r="R137" i="28" s="1"/>
  <c r="AQ137" i="28"/>
  <c r="S137" i="28" s="1"/>
  <c r="AP137" i="28"/>
  <c r="Q137" i="28" s="1"/>
  <c r="AR141" i="28"/>
  <c r="R141" i="28" s="1"/>
  <c r="AP141" i="28"/>
  <c r="Q141" i="28" s="1"/>
  <c r="AQ141" i="28"/>
  <c r="S141" i="28" s="1"/>
  <c r="AR151" i="28"/>
  <c r="R151" i="28" s="1"/>
  <c r="AP151" i="28"/>
  <c r="Q151" i="28" s="1"/>
  <c r="AQ151" i="28"/>
  <c r="S151" i="28" s="1"/>
  <c r="AR106" i="28"/>
  <c r="R106" i="28" s="1"/>
  <c r="AP127" i="28"/>
  <c r="Q127" i="28" s="1"/>
  <c r="AR127" i="28"/>
  <c r="R127" i="28" s="1"/>
  <c r="AQ127" i="28"/>
  <c r="S127" i="28" s="1"/>
  <c r="AP155" i="28"/>
  <c r="Q155" i="28" s="1"/>
  <c r="AP174" i="28"/>
  <c r="Q174" i="28" s="1"/>
  <c r="AR174" i="28"/>
  <c r="R174" i="28" s="1"/>
  <c r="AQ174" i="28"/>
  <c r="S174" i="28" s="1"/>
  <c r="AQ178" i="28"/>
  <c r="S178" i="28" s="1"/>
  <c r="AQ198" i="28"/>
  <c r="S198" i="28" s="1"/>
  <c r="AP198" i="28"/>
  <c r="Q198" i="28" s="1"/>
  <c r="AR198" i="28"/>
  <c r="R198" i="28" s="1"/>
  <c r="AR135" i="28"/>
  <c r="R135" i="28" s="1"/>
  <c r="AQ142" i="28"/>
  <c r="S142" i="28" s="1"/>
  <c r="H142" i="28" s="1"/>
  <c r="AQ158" i="28"/>
  <c r="S158" i="28" s="1"/>
  <c r="H158" i="28" s="1"/>
  <c r="AQ179" i="28"/>
  <c r="S179" i="28" s="1"/>
  <c r="AP172" i="28"/>
  <c r="Q172" i="28" s="1"/>
  <c r="AR172" i="28"/>
  <c r="R172" i="28" s="1"/>
  <c r="AQ172" i="28"/>
  <c r="S172" i="28" s="1"/>
  <c r="AR187" i="28"/>
  <c r="R187" i="28" s="1"/>
  <c r="AQ187" i="28"/>
  <c r="S187" i="28" s="1"/>
  <c r="AP187" i="28"/>
  <c r="Q187" i="28" s="1"/>
  <c r="AQ205" i="28"/>
  <c r="S205" i="28" s="1"/>
  <c r="AP150" i="28"/>
  <c r="Q150" i="28" s="1"/>
  <c r="AR161" i="28"/>
  <c r="R161" i="28" s="1"/>
  <c r="AQ161" i="28"/>
  <c r="S161" i="28" s="1"/>
  <c r="AP161" i="28"/>
  <c r="Q161" i="28" s="1"/>
  <c r="AR162" i="28"/>
  <c r="R162" i="28" s="1"/>
  <c r="AQ206" i="28"/>
  <c r="S206" i="28" s="1"/>
  <c r="AP228" i="28"/>
  <c r="Q228" i="28" s="1"/>
  <c r="AP331" i="28"/>
  <c r="Q331" i="28" s="1"/>
  <c r="AR230" i="28"/>
  <c r="R230" i="28" s="1"/>
  <c r="AR236" i="28"/>
  <c r="R236" i="28" s="1"/>
  <c r="AR240" i="28"/>
  <c r="R240" i="28" s="1"/>
  <c r="AR243" i="28"/>
  <c r="R243" i="28" s="1"/>
  <c r="AQ246" i="28"/>
  <c r="S246" i="28" s="1"/>
  <c r="AR297" i="28"/>
  <c r="R297" i="28" s="1"/>
  <c r="AR308" i="28"/>
  <c r="R308" i="28" s="1"/>
  <c r="AP308" i="28"/>
  <c r="Q308" i="28" s="1"/>
  <c r="AQ308" i="28"/>
  <c r="S308" i="28" s="1"/>
  <c r="AQ328" i="28"/>
  <c r="S328" i="28" s="1"/>
  <c r="H328" i="28" s="1"/>
  <c r="AQ342" i="28"/>
  <c r="S342" i="28" s="1"/>
  <c r="AQ355" i="28"/>
  <c r="S355" i="28" s="1"/>
  <c r="AQ190" i="28"/>
  <c r="S190" i="28" s="1"/>
  <c r="AQ194" i="28"/>
  <c r="S194" i="28" s="1"/>
  <c r="AQ204" i="28"/>
  <c r="S204" i="28" s="1"/>
  <c r="H204" i="28" s="1"/>
  <c r="AR212" i="28"/>
  <c r="R212" i="28" s="1"/>
  <c r="AP226" i="28"/>
  <c r="Q226" i="28" s="1"/>
  <c r="AQ231" i="28"/>
  <c r="S231" i="28" s="1"/>
  <c r="AR231" i="28"/>
  <c r="R231" i="28" s="1"/>
  <c r="AP231" i="28"/>
  <c r="Q231" i="28" s="1"/>
  <c r="AP248" i="28"/>
  <c r="Q248" i="28" s="1"/>
  <c r="AQ260" i="28"/>
  <c r="S260" i="28" s="1"/>
  <c r="AQ273" i="28"/>
  <c r="S273" i="28" s="1"/>
  <c r="AP273" i="28"/>
  <c r="Q273" i="28" s="1"/>
  <c r="AR273" i="28"/>
  <c r="R273" i="28" s="1"/>
  <c r="AR276" i="28"/>
  <c r="R276" i="28" s="1"/>
  <c r="AP276" i="28"/>
  <c r="Q276" i="28" s="1"/>
  <c r="AQ276" i="28"/>
  <c r="S276" i="28" s="1"/>
  <c r="AR295" i="28"/>
  <c r="R295" i="28" s="1"/>
  <c r="AP295" i="28"/>
  <c r="Q295" i="28" s="1"/>
  <c r="AQ295" i="28"/>
  <c r="S295" i="28" s="1"/>
  <c r="AQ310" i="28"/>
  <c r="S310" i="28" s="1"/>
  <c r="AR310" i="28"/>
  <c r="R310" i="28" s="1"/>
  <c r="AP310" i="28"/>
  <c r="Q310" i="28" s="1"/>
  <c r="AQ313" i="28"/>
  <c r="S313" i="28" s="1"/>
  <c r="AR319" i="28"/>
  <c r="R319" i="28" s="1"/>
  <c r="AQ319" i="28"/>
  <c r="S319" i="28" s="1"/>
  <c r="AP319" i="28"/>
  <c r="Q319" i="28" s="1"/>
  <c r="AQ321" i="28"/>
  <c r="S321" i="28" s="1"/>
  <c r="AR333" i="28"/>
  <c r="R333" i="28" s="1"/>
  <c r="AQ350" i="28"/>
  <c r="S350" i="28" s="1"/>
  <c r="AP350" i="28"/>
  <c r="Q350" i="28" s="1"/>
  <c r="AR350" i="28"/>
  <c r="R350" i="28" s="1"/>
  <c r="AP218" i="28"/>
  <c r="Q218" i="28" s="1"/>
  <c r="AR218" i="28"/>
  <c r="R218" i="28" s="1"/>
  <c r="AQ218" i="28"/>
  <c r="S218" i="28" s="1"/>
  <c r="AR227" i="28"/>
  <c r="R227" i="28" s="1"/>
  <c r="AQ227" i="28"/>
  <c r="S227" i="28" s="1"/>
  <c r="AP227" i="28"/>
  <c r="Q227" i="28" s="1"/>
  <c r="AQ243" i="28"/>
  <c r="S243" i="28" s="1"/>
  <c r="AP255" i="28"/>
  <c r="Q255" i="28" s="1"/>
  <c r="AR255" i="28"/>
  <c r="R255" i="28" s="1"/>
  <c r="AQ255" i="28"/>
  <c r="S255" i="28" s="1"/>
  <c r="AQ292" i="28"/>
  <c r="S292" i="28" s="1"/>
  <c r="AR269" i="28"/>
  <c r="R269" i="28" s="1"/>
  <c r="AQ271" i="28"/>
  <c r="S271" i="28" s="1"/>
  <c r="H271" i="28" s="1"/>
  <c r="AP352" i="28"/>
  <c r="Q352" i="28" s="1"/>
  <c r="AR352" i="28"/>
  <c r="R352" i="28" s="1"/>
  <c r="AQ352" i="28"/>
  <c r="S352" i="28" s="1"/>
  <c r="AP375" i="28"/>
  <c r="Q375" i="28" s="1"/>
  <c r="AR375" i="28"/>
  <c r="R375" i="28" s="1"/>
  <c r="AQ375" i="28"/>
  <c r="S375" i="28" s="1"/>
  <c r="AQ394" i="28"/>
  <c r="S394" i="28" s="1"/>
  <c r="AP394" i="28"/>
  <c r="Q394" i="28" s="1"/>
  <c r="AR394" i="28"/>
  <c r="R394" i="28" s="1"/>
  <c r="AR253" i="28"/>
  <c r="R253" i="28" s="1"/>
  <c r="AQ404" i="28"/>
  <c r="S404" i="28" s="1"/>
  <c r="AQ414" i="28"/>
  <c r="S414" i="28" s="1"/>
  <c r="AQ423" i="28"/>
  <c r="S423" i="28" s="1"/>
  <c r="AP423" i="28"/>
  <c r="Q423" i="28" s="1"/>
  <c r="AR423" i="28"/>
  <c r="R423" i="28" s="1"/>
  <c r="AR304" i="28"/>
  <c r="R304" i="28" s="1"/>
  <c r="H304" i="28" s="1"/>
  <c r="AP305" i="28"/>
  <c r="Q305" i="28" s="1"/>
  <c r="AP307" i="28"/>
  <c r="Q307" i="28" s="1"/>
  <c r="AR316" i="28"/>
  <c r="R316" i="28" s="1"/>
  <c r="AR344" i="28"/>
  <c r="R344" i="28" s="1"/>
  <c r="AP356" i="28"/>
  <c r="Q356" i="28" s="1"/>
  <c r="AR356" i="28"/>
  <c r="R356" i="28" s="1"/>
  <c r="AQ356" i="28"/>
  <c r="S356" i="28" s="1"/>
  <c r="AQ389" i="28"/>
  <c r="S389" i="28" s="1"/>
  <c r="AR389" i="28"/>
  <c r="R389" i="28" s="1"/>
  <c r="AP389" i="28"/>
  <c r="Q389" i="28" s="1"/>
  <c r="AQ329" i="28"/>
  <c r="S329" i="28" s="1"/>
  <c r="AQ330" i="28"/>
  <c r="S330" i="28" s="1"/>
  <c r="AP349" i="28"/>
  <c r="Q349" i="28" s="1"/>
  <c r="AP364" i="28"/>
  <c r="Q364" i="28" s="1"/>
  <c r="I453" i="28"/>
  <c r="I485" i="28"/>
  <c r="U498" i="28"/>
  <c r="W498" i="28" s="1"/>
  <c r="X498" i="28" s="1"/>
  <c r="AE498" i="28"/>
  <c r="I517" i="28"/>
  <c r="U530" i="28"/>
  <c r="AE530" i="28"/>
  <c r="I549" i="28"/>
  <c r="U562" i="28"/>
  <c r="AE562" i="28"/>
  <c r="I581" i="28"/>
  <c r="U594" i="28"/>
  <c r="I613" i="28"/>
  <c r="U626" i="28"/>
  <c r="AE626" i="28"/>
  <c r="I645" i="28"/>
  <c r="U658" i="28"/>
  <c r="I677" i="28"/>
  <c r="U690" i="28"/>
  <c r="I709" i="28"/>
  <c r="U722" i="28"/>
  <c r="AR396" i="28"/>
  <c r="R396" i="28" s="1"/>
  <c r="H396" i="28" s="1"/>
  <c r="AR403" i="28"/>
  <c r="R403" i="28" s="1"/>
  <c r="H403" i="28" s="1"/>
  <c r="AQ377" i="28"/>
  <c r="S377" i="28" s="1"/>
  <c r="AP388" i="28"/>
  <c r="Q388" i="28" s="1"/>
  <c r="AR401" i="28"/>
  <c r="R401" i="28" s="1"/>
  <c r="H401" i="28" s="1"/>
  <c r="AR416" i="28"/>
  <c r="R416" i="28" s="1"/>
  <c r="AQ419" i="28"/>
  <c r="S419" i="28" s="1"/>
  <c r="I436" i="28"/>
  <c r="I452" i="28"/>
  <c r="I468" i="28"/>
  <c r="I484" i="28"/>
  <c r="I500" i="28"/>
  <c r="I516" i="28"/>
  <c r="I532" i="28"/>
  <c r="I548" i="28"/>
  <c r="I564" i="28"/>
  <c r="I580" i="28"/>
  <c r="I596" i="28"/>
  <c r="I612" i="28"/>
  <c r="I628" i="28"/>
  <c r="I644" i="28"/>
  <c r="I660" i="28"/>
  <c r="I676" i="28"/>
  <c r="I692" i="28"/>
  <c r="I708" i="28"/>
  <c r="I724" i="28"/>
  <c r="I837" i="28"/>
  <c r="U850" i="28"/>
  <c r="W850" i="28" s="1"/>
  <c r="X850" i="28" s="1"/>
  <c r="AE850" i="28"/>
  <c r="I869" i="28"/>
  <c r="U882" i="28"/>
  <c r="W882" i="28" s="1"/>
  <c r="X882" i="28" s="1"/>
  <c r="AE882" i="28"/>
  <c r="I901" i="28"/>
  <c r="U914" i="28"/>
  <c r="W914" i="28" s="1"/>
  <c r="X914" i="28" s="1"/>
  <c r="AE914" i="28"/>
  <c r="I933" i="28"/>
  <c r="U946" i="28"/>
  <c r="W946" i="28" s="1"/>
  <c r="X946" i="28" s="1"/>
  <c r="AE946" i="28"/>
  <c r="I965" i="28"/>
  <c r="U978" i="28"/>
  <c r="AE978" i="28"/>
  <c r="I997" i="28"/>
  <c r="U734" i="28"/>
  <c r="W734" i="28" s="1"/>
  <c r="X734" i="28" s="1"/>
  <c r="AE734" i="28"/>
  <c r="I841" i="28"/>
  <c r="U854" i="28"/>
  <c r="I873" i="28"/>
  <c r="I905" i="28"/>
  <c r="U918" i="28"/>
  <c r="I937" i="28"/>
  <c r="U950" i="28"/>
  <c r="I969" i="28"/>
  <c r="U982" i="28"/>
  <c r="U749" i="28"/>
  <c r="U752" i="28"/>
  <c r="U755" i="28"/>
  <c r="AE755" i="28"/>
  <c r="U760" i="28"/>
  <c r="U765" i="28"/>
  <c r="U773" i="28"/>
  <c r="U776" i="28"/>
  <c r="U784" i="28"/>
  <c r="U787" i="28"/>
  <c r="U789" i="28"/>
  <c r="U795" i="28"/>
  <c r="AE795" i="28"/>
  <c r="U797" i="28"/>
  <c r="AE797" i="28"/>
  <c r="U800" i="28"/>
  <c r="U803" i="28"/>
  <c r="U805" i="28"/>
  <c r="U808" i="28"/>
  <c r="U816" i="28"/>
  <c r="W816" i="28" s="1"/>
  <c r="X816" i="28" s="1"/>
  <c r="AE816" i="28"/>
  <c r="U819" i="28"/>
  <c r="U821" i="28"/>
  <c r="U824" i="28"/>
  <c r="AE824" i="28"/>
  <c r="U829" i="28"/>
  <c r="U832" i="28"/>
  <c r="AE832" i="28"/>
  <c r="U835" i="28"/>
  <c r="AE835" i="28"/>
  <c r="U851" i="28"/>
  <c r="U899" i="28"/>
  <c r="AE899" i="28"/>
  <c r="U907" i="28"/>
  <c r="U923" i="28"/>
  <c r="U931" i="28"/>
  <c r="AE931" i="28"/>
  <c r="U939" i="28"/>
  <c r="U955" i="28"/>
  <c r="U963" i="28"/>
  <c r="AE963" i="28"/>
  <c r="U995" i="28"/>
  <c r="AE995" i="28"/>
  <c r="U998" i="28"/>
  <c r="B80" i="16"/>
  <c r="B123" i="14"/>
  <c r="D74" i="2"/>
  <c r="D78" i="17"/>
  <c r="D75" i="2"/>
  <c r="B126" i="2"/>
  <c r="B74" i="2"/>
  <c r="C74" i="14"/>
  <c r="C124" i="14"/>
  <c r="B78" i="17"/>
  <c r="C123" i="14"/>
  <c r="B127" i="2"/>
  <c r="B74" i="14"/>
  <c r="B82" i="16"/>
  <c r="C79" i="17"/>
  <c r="B77" i="17"/>
  <c r="C73" i="14"/>
  <c r="B124" i="14"/>
  <c r="C74" i="2"/>
  <c r="C127" i="2"/>
  <c r="C126" i="2"/>
  <c r="C75" i="2"/>
  <c r="C82" i="16"/>
  <c r="C81" i="16"/>
  <c r="D77" i="17"/>
  <c r="D126" i="2"/>
  <c r="C78" i="17"/>
  <c r="D127" i="2"/>
  <c r="B75" i="2"/>
  <c r="D79" i="17"/>
  <c r="B81" i="16"/>
  <c r="D124" i="14"/>
  <c r="D128" i="2"/>
  <c r="D76" i="2"/>
  <c r="B125" i="14"/>
  <c r="C83" i="16"/>
  <c r="E76" i="2"/>
  <c r="E128" i="2"/>
  <c r="D81" i="16"/>
  <c r="D84" i="16"/>
  <c r="E80" i="16"/>
  <c r="C84" i="16"/>
  <c r="B129" i="2"/>
  <c r="B77" i="2"/>
  <c r="E129" i="2"/>
  <c r="E124" i="14"/>
  <c r="E74" i="14"/>
  <c r="E73" i="14"/>
  <c r="E85" i="16"/>
  <c r="F128" i="2"/>
  <c r="F77" i="2"/>
  <c r="F129" i="2"/>
  <c r="C85" i="16"/>
  <c r="C86" i="16"/>
  <c r="B79" i="17"/>
  <c r="D75" i="14"/>
  <c r="D74" i="14"/>
  <c r="D73" i="14"/>
  <c r="C128" i="2"/>
  <c r="C76" i="2"/>
  <c r="B75" i="14"/>
  <c r="E75" i="2"/>
  <c r="E77" i="2"/>
  <c r="E84" i="16"/>
  <c r="C77" i="2"/>
  <c r="E125" i="14"/>
  <c r="F127" i="2"/>
  <c r="B85" i="16"/>
  <c r="B86" i="16"/>
  <c r="C77" i="17"/>
  <c r="B128" i="2"/>
  <c r="C75" i="14"/>
  <c r="E74" i="2"/>
  <c r="E126" i="2"/>
  <c r="D82" i="16"/>
  <c r="D83" i="16"/>
  <c r="E82" i="16"/>
  <c r="E83" i="16"/>
  <c r="D129" i="2"/>
  <c r="E75" i="14"/>
  <c r="F75" i="2"/>
  <c r="F76" i="2"/>
  <c r="F126" i="2"/>
  <c r="D85" i="16"/>
  <c r="D86" i="16"/>
  <c r="B73" i="14"/>
  <c r="C80" i="16"/>
  <c r="D123" i="14"/>
  <c r="D125" i="14"/>
  <c r="B76" i="2"/>
  <c r="C125" i="14"/>
  <c r="B83" i="16"/>
  <c r="E127" i="2"/>
  <c r="D80" i="16"/>
  <c r="E81" i="16"/>
  <c r="B84" i="16"/>
  <c r="C129" i="2"/>
  <c r="D77" i="2"/>
  <c r="E123" i="14"/>
  <c r="F74" i="2"/>
  <c r="E86" i="16"/>
  <c r="N8" i="15"/>
  <c r="I9" i="15"/>
  <c r="P12" i="15"/>
  <c r="AB9" i="15"/>
  <c r="AB13" i="15"/>
  <c r="Y9" i="15"/>
  <c r="AG9" i="15"/>
  <c r="R11" i="15"/>
  <c r="M10" i="15"/>
  <c r="P13" i="15"/>
  <c r="AF8" i="15"/>
  <c r="D11" i="15"/>
  <c r="F8" i="15"/>
  <c r="F11" i="15"/>
  <c r="G8" i="15"/>
  <c r="I12" i="15"/>
  <c r="M13" i="15"/>
  <c r="X14" i="15"/>
  <c r="V11" i="15"/>
  <c r="O13" i="15"/>
  <c r="K8" i="15"/>
  <c r="L15" i="15"/>
  <c r="X10" i="15"/>
  <c r="M14" i="15"/>
  <c r="C10" i="15"/>
  <c r="AG13" i="15"/>
  <c r="U11" i="15"/>
  <c r="D12" i="15"/>
  <c r="X13" i="15"/>
  <c r="AH8" i="15"/>
  <c r="V9" i="15"/>
  <c r="T9" i="15" s="1"/>
  <c r="AD12" i="15"/>
  <c r="C9" i="15"/>
  <c r="L12" i="15"/>
  <c r="P8" i="15"/>
  <c r="AB10" i="15"/>
  <c r="AC14" i="15"/>
  <c r="U10" i="15"/>
  <c r="AG15" i="15"/>
  <c r="S11" i="15"/>
  <c r="AH12" i="15"/>
  <c r="R13" i="15"/>
  <c r="V439" i="28"/>
  <c r="W439" i="28" s="1"/>
  <c r="X439" i="28" s="1"/>
  <c r="AE439" i="28"/>
  <c r="V471" i="28"/>
  <c r="W471" i="28" s="1"/>
  <c r="X471" i="28" s="1"/>
  <c r="AE471" i="28"/>
  <c r="V560" i="28"/>
  <c r="W560" i="28" s="1"/>
  <c r="X560" i="28" s="1"/>
  <c r="AE560" i="28"/>
  <c r="V682" i="28"/>
  <c r="W682" i="28" s="1"/>
  <c r="X682" i="28" s="1"/>
  <c r="AE682" i="28"/>
  <c r="V770" i="28"/>
  <c r="W770" i="28" s="1"/>
  <c r="X770" i="28" s="1"/>
  <c r="AE770" i="28"/>
  <c r="V786" i="28"/>
  <c r="W786" i="28" s="1"/>
  <c r="X786" i="28" s="1"/>
  <c r="AE786" i="28"/>
  <c r="V874" i="28"/>
  <c r="W874" i="28" s="1"/>
  <c r="X874" i="28" s="1"/>
  <c r="AE874" i="28"/>
  <c r="V958" i="28"/>
  <c r="W958" i="28" s="1"/>
  <c r="X958" i="28" s="1"/>
  <c r="AE958" i="28"/>
  <c r="V447" i="28"/>
  <c r="W447" i="28" s="1"/>
  <c r="X447" i="28" s="1"/>
  <c r="AE447" i="28"/>
  <c r="V434" i="28"/>
  <c r="W434" i="28" s="1"/>
  <c r="X434" i="28" s="1"/>
  <c r="AE434" i="28"/>
  <c r="V457" i="28"/>
  <c r="W457" i="28" s="1"/>
  <c r="X457" i="28" s="1"/>
  <c r="AE457" i="28"/>
  <c r="V527" i="28"/>
  <c r="W527" i="28" s="1"/>
  <c r="X527" i="28" s="1"/>
  <c r="AE527" i="28"/>
  <c r="V569" i="28"/>
  <c r="W569" i="28" s="1"/>
  <c r="X569" i="28" s="1"/>
  <c r="AE569" i="28"/>
  <c r="V577" i="28"/>
  <c r="W577" i="28" s="1"/>
  <c r="X577" i="28" s="1"/>
  <c r="AE577" i="28"/>
  <c r="V585" i="28"/>
  <c r="W585" i="28" s="1"/>
  <c r="X585" i="28" s="1"/>
  <c r="AE585" i="28"/>
  <c r="V633" i="28"/>
  <c r="W633" i="28" s="1"/>
  <c r="X633" i="28" s="1"/>
  <c r="AE633" i="28"/>
  <c r="V745" i="28"/>
  <c r="W745" i="28" s="1"/>
  <c r="X745" i="28" s="1"/>
  <c r="AE745" i="28"/>
  <c r="V687" i="28"/>
  <c r="W687" i="28" s="1"/>
  <c r="X687" i="28" s="1"/>
  <c r="AE687" i="28"/>
  <c r="V767" i="28"/>
  <c r="W767" i="28" s="1"/>
  <c r="X767" i="28" s="1"/>
  <c r="AE767" i="28"/>
  <c r="V783" i="28"/>
  <c r="W783" i="28" s="1"/>
  <c r="X783" i="28" s="1"/>
  <c r="AE783" i="28"/>
  <c r="V823" i="28"/>
  <c r="W823" i="28" s="1"/>
  <c r="X823" i="28" s="1"/>
  <c r="AE823" i="28"/>
  <c r="V991" i="28"/>
  <c r="W991" i="28" s="1"/>
  <c r="X991" i="28" s="1"/>
  <c r="AE991" i="28"/>
  <c r="V779" i="28"/>
  <c r="W779" i="28" s="1"/>
  <c r="X779" i="28" s="1"/>
  <c r="AE779" i="28"/>
  <c r="V811" i="28"/>
  <c r="W811" i="28" s="1"/>
  <c r="X811" i="28" s="1"/>
  <c r="AE811" i="28"/>
  <c r="V867" i="28"/>
  <c r="W867" i="28" s="1"/>
  <c r="X867" i="28" s="1"/>
  <c r="AE867" i="28"/>
  <c r="D52" i="2" l="1"/>
  <c r="C52" i="2"/>
  <c r="B52" i="2"/>
  <c r="E109" i="16"/>
  <c r="E108" i="16"/>
  <c r="AU462" i="1"/>
  <c r="AU434" i="1"/>
  <c r="AU348" i="1"/>
  <c r="AU267" i="1"/>
  <c r="AU588" i="1"/>
  <c r="F52" i="2"/>
  <c r="E112" i="16"/>
  <c r="BI90" i="1"/>
  <c r="AU365" i="1"/>
  <c r="BI209" i="1"/>
  <c r="AU96" i="1"/>
  <c r="AC13" i="15" s="1"/>
  <c r="BI43" i="1"/>
  <c r="AU857" i="1"/>
  <c r="H22" i="28"/>
  <c r="H87" i="28"/>
  <c r="H70" i="28"/>
  <c r="AU546" i="1"/>
  <c r="AU375" i="1"/>
  <c r="AU442" i="1"/>
  <c r="BI374" i="1"/>
  <c r="AU601" i="1"/>
  <c r="AU801" i="1"/>
  <c r="W16" i="15" s="1"/>
  <c r="AU229" i="1"/>
  <c r="BI847" i="1"/>
  <c r="BI513" i="1"/>
  <c r="BI526" i="1"/>
  <c r="BI260" i="1"/>
  <c r="BI795" i="1"/>
  <c r="AU589" i="1"/>
  <c r="AU567" i="1"/>
  <c r="BI83" i="1"/>
  <c r="BI864" i="1"/>
  <c r="AU638" i="1"/>
  <c r="AU655" i="1"/>
  <c r="AU289" i="1"/>
  <c r="BI85" i="1"/>
  <c r="AU61" i="1"/>
  <c r="H12" i="15"/>
  <c r="BI666" i="1"/>
  <c r="AU360" i="1"/>
  <c r="AU252" i="1"/>
  <c r="H292" i="28"/>
  <c r="W593" i="28"/>
  <c r="X593" i="28" s="1"/>
  <c r="H233" i="28"/>
  <c r="H64" i="28"/>
  <c r="H135" i="28"/>
  <c r="BI645" i="1"/>
  <c r="BI397" i="1"/>
  <c r="BI115" i="1"/>
  <c r="T17" i="15"/>
  <c r="E12" i="15"/>
  <c r="BD813" i="1"/>
  <c r="BI832" i="1"/>
  <c r="AU253" i="1"/>
  <c r="BI60" i="1"/>
  <c r="AU194" i="1"/>
  <c r="BI536" i="1"/>
  <c r="BI811" i="1"/>
  <c r="AU353" i="1"/>
  <c r="BI793" i="1"/>
  <c r="BD841" i="1"/>
  <c r="BI705" i="1"/>
  <c r="BI337" i="1"/>
  <c r="BI483" i="1"/>
  <c r="BI368" i="1"/>
  <c r="AU849" i="1"/>
  <c r="W28" i="15" s="1"/>
  <c r="BI470" i="1"/>
  <c r="BI78" i="1"/>
  <c r="BI704" i="1"/>
  <c r="BI300" i="1"/>
  <c r="AU242" i="1"/>
  <c r="BI691" i="1"/>
  <c r="BI405" i="1"/>
  <c r="BI137" i="1"/>
  <c r="BI625" i="1"/>
  <c r="AU140" i="1"/>
  <c r="BI77" i="1"/>
  <c r="AU648" i="1"/>
  <c r="BI332" i="1"/>
  <c r="AU120" i="1"/>
  <c r="BI124" i="1"/>
  <c r="BI523" i="1"/>
  <c r="BI278" i="1"/>
  <c r="H314" i="28"/>
  <c r="H126" i="28"/>
  <c r="H246" i="28"/>
  <c r="H162" i="28"/>
  <c r="H58" i="28"/>
  <c r="H397" i="28"/>
  <c r="H120" i="28"/>
  <c r="H68" i="28"/>
  <c r="H72" i="28"/>
  <c r="W551" i="28"/>
  <c r="X551" i="28" s="1"/>
  <c r="H377" i="28"/>
  <c r="W529" i="28"/>
  <c r="X529" i="28" s="1"/>
  <c r="H4" i="28"/>
  <c r="W482" i="28"/>
  <c r="X482" i="28" s="1"/>
  <c r="H345" i="28"/>
  <c r="H121" i="28"/>
  <c r="H133" i="28"/>
  <c r="H146" i="28"/>
  <c r="H422" i="28"/>
  <c r="H288" i="28"/>
  <c r="H178" i="28"/>
  <c r="H210" i="28"/>
  <c r="H40" i="28"/>
  <c r="W664" i="28"/>
  <c r="X664" i="28" s="1"/>
  <c r="H25" i="28"/>
  <c r="H90" i="28"/>
  <c r="H306" i="28"/>
  <c r="W526" i="28"/>
  <c r="X526" i="28" s="1"/>
  <c r="H27" i="28"/>
  <c r="U960" i="28"/>
  <c r="U864" i="28"/>
  <c r="U924" i="28"/>
  <c r="U860" i="28"/>
  <c r="U602" i="28"/>
  <c r="U505" i="28"/>
  <c r="U810" i="28"/>
  <c r="U951" i="28"/>
  <c r="U511" i="28"/>
  <c r="U817" i="28"/>
  <c r="U566" i="28"/>
  <c r="U938" i="28"/>
  <c r="U750" i="28"/>
  <c r="U542" i="28"/>
  <c r="U720" i="28"/>
  <c r="H207" i="28"/>
  <c r="H194" i="28"/>
  <c r="H297" i="28"/>
  <c r="U801" i="28"/>
  <c r="T13" i="15"/>
  <c r="H251" i="28"/>
  <c r="H150" i="28"/>
  <c r="W746" i="28"/>
  <c r="X746" i="28" s="1"/>
  <c r="U751" i="28"/>
  <c r="E10" i="15"/>
  <c r="E11" i="15"/>
  <c r="U887" i="28"/>
  <c r="U806" i="28"/>
  <c r="U520" i="28"/>
  <c r="U799" i="28"/>
  <c r="U798" i="28"/>
  <c r="U590" i="28"/>
  <c r="U822" i="28"/>
  <c r="U648" i="28"/>
  <c r="U632" i="28"/>
  <c r="U610" i="28"/>
  <c r="U714" i="28"/>
  <c r="U712" i="28"/>
  <c r="U568" i="28"/>
  <c r="U578" i="28"/>
  <c r="U710" i="28"/>
  <c r="U895" i="28"/>
  <c r="U866" i="28"/>
  <c r="U994" i="28"/>
  <c r="U809" i="28"/>
  <c r="U598" i="28"/>
  <c r="U688" i="28"/>
  <c r="U962" i="28"/>
  <c r="H184" i="28"/>
  <c r="H100" i="28"/>
  <c r="H30" i="28"/>
  <c r="H11" i="28"/>
  <c r="W766" i="28"/>
  <c r="X766" i="28" s="1"/>
  <c r="W448" i="28"/>
  <c r="X448" i="28" s="1"/>
  <c r="V640" i="28"/>
  <c r="W640" i="28" s="1"/>
  <c r="X640" i="28" s="1"/>
  <c r="AU539" i="1"/>
  <c r="BI555" i="1"/>
  <c r="BI58" i="1"/>
  <c r="AU851" i="1"/>
  <c r="V530" i="28"/>
  <c r="V534" i="28"/>
  <c r="W534" i="28" s="1"/>
  <c r="X534" i="28" s="1"/>
  <c r="AE639" i="28"/>
  <c r="AE480" i="28"/>
  <c r="AU339" i="1"/>
  <c r="AU35" i="1"/>
  <c r="AU24" i="1"/>
  <c r="AU563" i="1"/>
  <c r="H55" i="28"/>
  <c r="H139" i="28"/>
  <c r="I139" i="28" s="1"/>
  <c r="BI681" i="1"/>
  <c r="AU361" i="1"/>
  <c r="BI357" i="1"/>
  <c r="BI198" i="1"/>
  <c r="V466" i="28"/>
  <c r="W466" i="28" s="1"/>
  <c r="X466" i="28" s="1"/>
  <c r="AE641" i="28"/>
  <c r="AE458" i="28"/>
  <c r="V680" i="28"/>
  <c r="W680" i="28" s="1"/>
  <c r="X680" i="28" s="1"/>
  <c r="AU114" i="1"/>
  <c r="AU195" i="1"/>
  <c r="AU821" i="1"/>
  <c r="H18" i="15" s="1"/>
  <c r="AU778" i="1"/>
  <c r="BI688" i="1"/>
  <c r="AU558" i="1"/>
  <c r="BI347" i="1"/>
  <c r="AU239" i="1"/>
  <c r="BI192" i="1"/>
  <c r="V970" i="28"/>
  <c r="W970" i="28" s="1"/>
  <c r="X970" i="28" s="1"/>
  <c r="BI100" i="1"/>
  <c r="AU336" i="1"/>
  <c r="BI199" i="1"/>
  <c r="V638" i="28"/>
  <c r="W638" i="28" s="1"/>
  <c r="X638" i="28" s="1"/>
  <c r="W512" i="28"/>
  <c r="X512" i="28" s="1"/>
  <c r="BI205" i="1"/>
  <c r="BI461" i="1"/>
  <c r="BI287" i="1"/>
  <c r="AU382" i="1"/>
  <c r="AU387" i="1"/>
  <c r="BI250" i="1"/>
  <c r="W530" i="28"/>
  <c r="X530" i="28" s="1"/>
  <c r="U496" i="28"/>
  <c r="BI694" i="1"/>
  <c r="AU497" i="1"/>
  <c r="BI574" i="1"/>
  <c r="AU184" i="1"/>
  <c r="V747" i="28"/>
  <c r="W747" i="28" s="1"/>
  <c r="X747" i="28" s="1"/>
  <c r="V617" i="28"/>
  <c r="W617" i="28" s="1"/>
  <c r="X617" i="28" s="1"/>
  <c r="H113" i="28"/>
  <c r="BD701" i="1"/>
  <c r="BD843" i="1"/>
  <c r="BD666" i="1"/>
  <c r="AU201" i="1"/>
  <c r="AU197" i="1"/>
  <c r="BD875" i="1"/>
  <c r="AU268" i="1"/>
  <c r="J937" i="28"/>
  <c r="J905" i="28"/>
  <c r="J965" i="28"/>
  <c r="J724" i="28"/>
  <c r="J708" i="28"/>
  <c r="J692" i="28"/>
  <c r="J676" i="28"/>
  <c r="J628" i="28"/>
  <c r="J612" i="28"/>
  <c r="J596" i="28"/>
  <c r="J580" i="28"/>
  <c r="J564" i="28"/>
  <c r="J548" i="28"/>
  <c r="J532" i="28"/>
  <c r="J516" i="28"/>
  <c r="J500" i="28"/>
  <c r="J484" i="28"/>
  <c r="J468" i="28"/>
  <c r="J452" i="28"/>
  <c r="J436" i="28"/>
  <c r="J677" i="28"/>
  <c r="J613" i="28"/>
  <c r="J581" i="28"/>
  <c r="J549" i="28"/>
  <c r="J485" i="28"/>
  <c r="J453" i="28"/>
  <c r="J748" i="28"/>
  <c r="J977" i="28"/>
  <c r="J945" i="28"/>
  <c r="J913" i="28"/>
  <c r="J849" i="28"/>
  <c r="J973" i="28"/>
  <c r="J909" i="28"/>
  <c r="J877" i="28"/>
  <c r="J845" i="28"/>
  <c r="J736" i="28"/>
  <c r="J723" i="28"/>
  <c r="J707" i="28"/>
  <c r="J691" i="28"/>
  <c r="J675" i="28"/>
  <c r="J659" i="28"/>
  <c r="J643" i="28"/>
  <c r="J595" i="28"/>
  <c r="J579" i="28"/>
  <c r="J563" i="28"/>
  <c r="J531" i="28"/>
  <c r="J515" i="28"/>
  <c r="J499" i="28"/>
  <c r="J483" i="28"/>
  <c r="J451" i="28"/>
  <c r="J435" i="28"/>
  <c r="J717" i="28"/>
  <c r="J685" i="28"/>
  <c r="J653" i="28"/>
  <c r="J525" i="28"/>
  <c r="J493" i="28"/>
  <c r="J429" i="28"/>
  <c r="J996" i="28"/>
  <c r="J744" i="28"/>
  <c r="J737" i="28"/>
  <c r="J953" i="28"/>
  <c r="J921" i="28"/>
  <c r="J889" i="28"/>
  <c r="J857" i="28"/>
  <c r="J981" i="28"/>
  <c r="J853" i="28"/>
  <c r="J732" i="28"/>
  <c r="J716" i="28"/>
  <c r="J700" i="28"/>
  <c r="J684" i="28"/>
  <c r="J668" i="28"/>
  <c r="J652" i="28"/>
  <c r="J620" i="28"/>
  <c r="J604" i="28"/>
  <c r="J588" i="28"/>
  <c r="J556" i="28"/>
  <c r="J540" i="28"/>
  <c r="J524" i="28"/>
  <c r="J508" i="28"/>
  <c r="J492" i="28"/>
  <c r="J476" i="28"/>
  <c r="J460" i="28"/>
  <c r="J428" i="28"/>
  <c r="J693" i="28"/>
  <c r="J661" i="28"/>
  <c r="J629" i="28"/>
  <c r="J597" i="28"/>
  <c r="J565" i="28"/>
  <c r="J533" i="28"/>
  <c r="J501" i="28"/>
  <c r="J469" i="28"/>
  <c r="J437" i="28"/>
  <c r="J740" i="28"/>
  <c r="J993" i="28"/>
  <c r="J961" i="28"/>
  <c r="J897" i="28"/>
  <c r="J865" i="28"/>
  <c r="J957" i="28"/>
  <c r="J925" i="28"/>
  <c r="J893" i="28"/>
  <c r="J861" i="28"/>
  <c r="J731" i="28"/>
  <c r="J699" i="28"/>
  <c r="J683" i="28"/>
  <c r="J667" i="28"/>
  <c r="J651" i="28"/>
  <c r="J635" i="28"/>
  <c r="J603" i="28"/>
  <c r="J587" i="28"/>
  <c r="J555" i="28"/>
  <c r="J523" i="28"/>
  <c r="J507" i="28"/>
  <c r="J491" i="28"/>
  <c r="J475" i="28"/>
  <c r="J443" i="28"/>
  <c r="J733" i="28"/>
  <c r="J701" i="28"/>
  <c r="J669" i="28"/>
  <c r="J637" i="28"/>
  <c r="J605" i="28"/>
  <c r="J509" i="28"/>
  <c r="J907" i="28"/>
  <c r="J939" i="28"/>
  <c r="J819" i="28"/>
  <c r="J955" i="28"/>
  <c r="J923" i="28"/>
  <c r="J808" i="28"/>
  <c r="J800" i="28"/>
  <c r="J784" i="28"/>
  <c r="J776" i="28"/>
  <c r="J760" i="28"/>
  <c r="J752" i="28"/>
  <c r="J774" i="28"/>
  <c r="V774" i="28" s="1"/>
  <c r="J546" i="28"/>
  <c r="J790" i="28"/>
  <c r="J986" i="28"/>
  <c r="AE986" i="28" s="1"/>
  <c r="J954" i="28"/>
  <c r="AE954" i="28" s="1"/>
  <c r="J793" i="28"/>
  <c r="AE793" i="28" s="1"/>
  <c r="J765" i="28"/>
  <c r="J942" i="28"/>
  <c r="AE942" i="28" s="1"/>
  <c r="J878" i="28"/>
  <c r="J976" i="28"/>
  <c r="AE976" i="28" s="1"/>
  <c r="J960" i="28"/>
  <c r="J944" i="28"/>
  <c r="AE944" i="28" s="1"/>
  <c r="J928" i="28"/>
  <c r="AE928" i="28" s="1"/>
  <c r="J912" i="28"/>
  <c r="AE912" i="28" s="1"/>
  <c r="J896" i="28"/>
  <c r="J880" i="28"/>
  <c r="AE880" i="28" s="1"/>
  <c r="J864" i="28"/>
  <c r="AE864" i="28" s="1"/>
  <c r="J848" i="28"/>
  <c r="AE848" i="28" s="1"/>
  <c r="J834" i="28"/>
  <c r="J818" i="28"/>
  <c r="AE818" i="28" s="1"/>
  <c r="J956" i="28"/>
  <c r="AE956" i="28" s="1"/>
  <c r="J924" i="28"/>
  <c r="AE924" i="28" s="1"/>
  <c r="J892" i="28"/>
  <c r="J860" i="28"/>
  <c r="AE860" i="28" s="1"/>
  <c r="J803" i="28"/>
  <c r="AE803" i="28" s="1"/>
  <c r="J787" i="28"/>
  <c r="AE787" i="28" s="1"/>
  <c r="J550" i="28"/>
  <c r="J695" i="28"/>
  <c r="AE695" i="28" s="1"/>
  <c r="J631" i="28"/>
  <c r="J599" i="28"/>
  <c r="AE599" i="28" s="1"/>
  <c r="J583" i="28"/>
  <c r="J730" i="28"/>
  <c r="J698" i="28"/>
  <c r="AE698" i="28" s="1"/>
  <c r="J666" i="28"/>
  <c r="AE666" i="28" s="1"/>
  <c r="J634" i="28"/>
  <c r="J602" i="28"/>
  <c r="AE602" i="28" s="1"/>
  <c r="J570" i="28"/>
  <c r="AE570" i="28" s="1"/>
  <c r="J494" i="28"/>
  <c r="J446" i="28"/>
  <c r="J806" i="28"/>
  <c r="J812" i="28"/>
  <c r="J780" i="28"/>
  <c r="J505" i="28"/>
  <c r="J521" i="28"/>
  <c r="J441" i="28"/>
  <c r="J851" i="28"/>
  <c r="J796" i="28"/>
  <c r="J788" i="28"/>
  <c r="U504" i="28"/>
  <c r="J502" i="28"/>
  <c r="V502" i="28" s="1"/>
  <c r="J513" i="28"/>
  <c r="J497" i="28"/>
  <c r="J520" i="28"/>
  <c r="V520" i="28" s="1"/>
  <c r="J916" i="28"/>
  <c r="J759" i="28"/>
  <c r="J1001" i="28"/>
  <c r="J751" i="28"/>
  <c r="J799" i="28"/>
  <c r="J964" i="28"/>
  <c r="J798" i="28"/>
  <c r="J918" i="28"/>
  <c r="J749" i="28"/>
  <c r="J950" i="28"/>
  <c r="J935" i="28"/>
  <c r="J903" i="28"/>
  <c r="J871" i="28"/>
  <c r="J810" i="28"/>
  <c r="J718" i="28"/>
  <c r="J606" i="28"/>
  <c r="J590" i="28"/>
  <c r="J537" i="28"/>
  <c r="J489" i="28"/>
  <c r="J479" i="28"/>
  <c r="J706" i="28"/>
  <c r="J983" i="28"/>
  <c r="J951" i="28"/>
  <c r="J887" i="28"/>
  <c r="J822" i="28"/>
  <c r="J922" i="28"/>
  <c r="J686" i="28"/>
  <c r="J558" i="28"/>
  <c r="J648" i="28"/>
  <c r="J632" i="28"/>
  <c r="J511" i="28"/>
  <c r="J463" i="28"/>
  <c r="J610" i="28"/>
  <c r="J714" i="28"/>
  <c r="J825" i="28"/>
  <c r="J614" i="28"/>
  <c r="J817" i="28"/>
  <c r="AE817" i="28" s="1"/>
  <c r="J829" i="28"/>
  <c r="J789" i="28"/>
  <c r="J998" i="28"/>
  <c r="J694" i="28"/>
  <c r="J566" i="28"/>
  <c r="J672" i="28"/>
  <c r="J906" i="28"/>
  <c r="J624" i="28"/>
  <c r="J754" i="28"/>
  <c r="J528" i="28"/>
  <c r="J554" i="28"/>
  <c r="AE554" i="28" s="1"/>
  <c r="J432" i="28"/>
  <c r="J959" i="28"/>
  <c r="J938" i="28"/>
  <c r="J738" i="28"/>
  <c r="J591" i="28"/>
  <c r="J503" i="28"/>
  <c r="J506" i="28"/>
  <c r="J674" i="28"/>
  <c r="J753" i="28"/>
  <c r="J712" i="28"/>
  <c r="J821" i="28"/>
  <c r="J654" i="28"/>
  <c r="J594" i="28"/>
  <c r="J722" i="28"/>
  <c r="J750" i="28"/>
  <c r="J561" i="28"/>
  <c r="J623" i="28"/>
  <c r="J655" i="28"/>
  <c r="J658" i="28"/>
  <c r="J678" i="28"/>
  <c r="J575" i="28"/>
  <c r="J762" i="28"/>
  <c r="J568" i="28"/>
  <c r="J982" i="28"/>
  <c r="J854" i="28"/>
  <c r="J559" i="28"/>
  <c r="J578" i="28"/>
  <c r="J495" i="28"/>
  <c r="J884" i="28"/>
  <c r="J671" i="28"/>
  <c r="J984" i="28"/>
  <c r="J710" i="28"/>
  <c r="J545" i="28"/>
  <c r="J895" i="28"/>
  <c r="J782" i="28"/>
  <c r="J828" i="28"/>
  <c r="J952" i="28"/>
  <c r="J866" i="28"/>
  <c r="J826" i="28"/>
  <c r="J994" i="28"/>
  <c r="J801" i="28"/>
  <c r="J990" i="28"/>
  <c r="J920" i="28"/>
  <c r="J773" i="28"/>
  <c r="J930" i="28"/>
  <c r="J609" i="28"/>
  <c r="J673" i="28"/>
  <c r="J814" i="28"/>
  <c r="J487" i="28"/>
  <c r="J720" i="28"/>
  <c r="J690" i="28"/>
  <c r="J809" i="28"/>
  <c r="J820" i="28"/>
  <c r="J968" i="28"/>
  <c r="J999" i="28"/>
  <c r="J630" i="28"/>
  <c r="J598" i="28"/>
  <c r="J872" i="28"/>
  <c r="J863" i="28"/>
  <c r="J934" i="28"/>
  <c r="J898" i="28"/>
  <c r="J688" i="28"/>
  <c r="J962" i="28"/>
  <c r="J741" i="28"/>
  <c r="J1000" i="28"/>
  <c r="J932" i="28"/>
  <c r="J894" i="28"/>
  <c r="J904" i="28"/>
  <c r="J840" i="28"/>
  <c r="J805" i="28"/>
  <c r="AU349" i="1"/>
  <c r="AU213" i="1"/>
  <c r="BI55" i="1"/>
  <c r="BD858" i="1"/>
  <c r="BD842" i="1"/>
  <c r="BI520" i="1"/>
  <c r="BI218" i="1"/>
  <c r="AU204" i="1"/>
  <c r="BI214" i="1"/>
  <c r="BI556" i="1"/>
  <c r="BD128" i="1"/>
  <c r="BD91" i="1"/>
  <c r="BD440" i="1"/>
  <c r="BD103" i="1"/>
  <c r="BD584" i="1"/>
  <c r="BD547" i="1"/>
  <c r="BD854" i="1"/>
  <c r="BI870" i="1"/>
  <c r="BI510" i="1"/>
  <c r="AU263" i="1"/>
  <c r="BI102" i="1"/>
  <c r="BI129" i="1"/>
  <c r="BI301" i="1"/>
  <c r="E28" i="15"/>
  <c r="BI295" i="1"/>
  <c r="BI109" i="1"/>
  <c r="BI796" i="1"/>
  <c r="BI364" i="1"/>
  <c r="H25" i="15"/>
  <c r="BD150" i="1"/>
  <c r="BD101" i="1"/>
  <c r="BD611" i="1"/>
  <c r="BD403" i="1"/>
  <c r="BD184" i="1"/>
  <c r="BI868" i="1"/>
  <c r="BI699" i="1"/>
  <c r="BI52" i="1"/>
  <c r="AR3" i="28"/>
  <c r="R3" i="28" s="1"/>
  <c r="BD798" i="1"/>
  <c r="BI693" i="1"/>
  <c r="AU515" i="1"/>
  <c r="AU545" i="1"/>
  <c r="AU183" i="1"/>
  <c r="BI540" i="1"/>
  <c r="BI623" i="1"/>
  <c r="BI117" i="1"/>
  <c r="BI217" i="1"/>
  <c r="BI258" i="1"/>
  <c r="BI812" i="1"/>
  <c r="BI335" i="1"/>
  <c r="BI425" i="1"/>
  <c r="B22" i="15"/>
  <c r="BI836" i="1"/>
  <c r="BI271" i="1"/>
  <c r="BI533" i="1"/>
  <c r="BI568" i="1"/>
  <c r="AU447" i="1"/>
  <c r="BI447" i="1"/>
  <c r="AU608" i="1"/>
  <c r="BI608" i="1"/>
  <c r="BI177" i="1"/>
  <c r="AU177" i="1"/>
  <c r="AU557" i="1"/>
  <c r="BI557" i="1"/>
  <c r="BI484" i="1"/>
  <c r="AU484" i="1"/>
  <c r="AU808" i="1"/>
  <c r="Q22" i="15" s="1"/>
  <c r="BI808" i="1"/>
  <c r="AU418" i="1"/>
  <c r="BI418" i="1"/>
  <c r="BI488" i="1"/>
  <c r="AU488" i="1"/>
  <c r="AU647" i="1"/>
  <c r="BI647" i="1"/>
  <c r="AU227" i="1"/>
  <c r="BI227" i="1"/>
  <c r="AU661" i="1"/>
  <c r="BI661" i="1"/>
  <c r="AU544" i="1"/>
  <c r="BI544" i="1"/>
  <c r="AU145" i="1"/>
  <c r="BI145" i="1"/>
  <c r="AU399" i="1"/>
  <c r="BI399" i="1"/>
  <c r="AU702" i="1"/>
  <c r="BI702" i="1"/>
  <c r="AU784" i="1"/>
  <c r="B9" i="15" s="1"/>
  <c r="BI784" i="1"/>
  <c r="AU50" i="1"/>
  <c r="BI50" i="1"/>
  <c r="AU690" i="1"/>
  <c r="BI690" i="1"/>
  <c r="AU106" i="1"/>
  <c r="BI106" i="1"/>
  <c r="AU562" i="1"/>
  <c r="BI562" i="1"/>
  <c r="AU345" i="1"/>
  <c r="BI345" i="1"/>
  <c r="BI455" i="1"/>
  <c r="AU455" i="1"/>
  <c r="H9" i="15" s="1"/>
  <c r="AU530" i="1"/>
  <c r="BI530" i="1"/>
  <c r="AU236" i="1"/>
  <c r="BI236" i="1"/>
  <c r="AU656" i="1"/>
  <c r="BI656" i="1"/>
  <c r="BI792" i="1"/>
  <c r="AU792" i="1"/>
  <c r="B12" i="15" s="1"/>
  <c r="AU453" i="1"/>
  <c r="BI453" i="1"/>
  <c r="AU525" i="1"/>
  <c r="BI525" i="1"/>
  <c r="BI270" i="1"/>
  <c r="AU270" i="1"/>
  <c r="AU28" i="1"/>
  <c r="BI28" i="1"/>
  <c r="BI20" i="1"/>
  <c r="AU20" i="1"/>
  <c r="AU775" i="1"/>
  <c r="H19" i="15" s="1"/>
  <c r="BI775" i="1"/>
  <c r="AU611" i="1"/>
  <c r="BI611" i="1"/>
  <c r="AU392" i="1"/>
  <c r="BI392" i="1"/>
  <c r="BI246" i="1"/>
  <c r="AU246" i="1"/>
  <c r="AU609" i="1"/>
  <c r="BI609" i="1"/>
  <c r="AU235" i="1"/>
  <c r="BI235" i="1"/>
  <c r="AU291" i="1"/>
  <c r="BI291" i="1"/>
  <c r="AU668" i="1"/>
  <c r="BI668" i="1"/>
  <c r="BI231" i="1"/>
  <c r="AU231" i="1"/>
  <c r="AU37" i="1"/>
  <c r="BI37" i="1"/>
  <c r="AU605" i="1"/>
  <c r="BI605" i="1"/>
  <c r="AU303" i="1"/>
  <c r="BI303" i="1"/>
  <c r="BI26" i="1"/>
  <c r="AU26" i="1"/>
  <c r="BI98" i="1"/>
  <c r="AU98" i="1"/>
  <c r="AU126" i="1"/>
  <c r="BI126" i="1"/>
  <c r="AU419" i="1"/>
  <c r="BI419" i="1"/>
  <c r="AU584" i="1"/>
  <c r="BI584" i="1"/>
  <c r="AU72" i="1"/>
  <c r="BI72" i="1"/>
  <c r="AU551" i="1"/>
  <c r="BI551" i="1"/>
  <c r="AU432" i="1"/>
  <c r="BI432" i="1"/>
  <c r="BI247" i="1"/>
  <c r="AU247" i="1"/>
  <c r="BI240" i="1"/>
  <c r="AU240" i="1"/>
  <c r="AU30" i="1"/>
  <c r="BI30" i="1"/>
  <c r="AU426" i="1"/>
  <c r="BI426" i="1"/>
  <c r="AU138" i="1"/>
  <c r="BI138" i="1"/>
  <c r="AU307" i="1"/>
  <c r="BI307" i="1"/>
  <c r="AU817" i="1"/>
  <c r="BI817" i="1"/>
  <c r="AU38" i="1"/>
  <c r="BI38" i="1"/>
  <c r="AU486" i="1"/>
  <c r="BI486" i="1"/>
  <c r="BI408" i="1"/>
  <c r="AU408" i="1"/>
  <c r="AU665" i="1"/>
  <c r="BI665" i="1"/>
  <c r="AU528" i="1"/>
  <c r="BI528" i="1"/>
  <c r="AU306" i="1"/>
  <c r="BI306" i="1"/>
  <c r="AU369" i="1"/>
  <c r="BI369" i="1"/>
  <c r="AU319" i="1"/>
  <c r="BI319" i="1"/>
  <c r="BI395" i="1"/>
  <c r="AU395" i="1"/>
  <c r="AU687" i="1"/>
  <c r="BI687" i="1"/>
  <c r="BI228" i="1"/>
  <c r="AU228" i="1"/>
  <c r="K9" i="15" s="1"/>
  <c r="AU489" i="1"/>
  <c r="BI489" i="1"/>
  <c r="BI644" i="1"/>
  <c r="AU644" i="1"/>
  <c r="AU595" i="1"/>
  <c r="BI595" i="1"/>
  <c r="BI331" i="1"/>
  <c r="AU331" i="1"/>
  <c r="AU296" i="1"/>
  <c r="BI296" i="1"/>
  <c r="AU583" i="1"/>
  <c r="BI583" i="1"/>
  <c r="AU17" i="1"/>
  <c r="BI17" i="1"/>
  <c r="AU383" i="1"/>
  <c r="BI383" i="1"/>
  <c r="BI29" i="1"/>
  <c r="AU29" i="1"/>
  <c r="AU406" i="1"/>
  <c r="BI406" i="1"/>
  <c r="AU660" i="1"/>
  <c r="BI660" i="1"/>
  <c r="AU152" i="1"/>
  <c r="BI152" i="1"/>
  <c r="AU465" i="1"/>
  <c r="BI465" i="1"/>
  <c r="BI487" i="1"/>
  <c r="AU487" i="1"/>
  <c r="AU155" i="1"/>
  <c r="BI155" i="1"/>
  <c r="AU333" i="1"/>
  <c r="BI333" i="1"/>
  <c r="AU798" i="1"/>
  <c r="B14" i="15" s="1"/>
  <c r="BI798" i="1"/>
  <c r="BI621" i="1"/>
  <c r="AU621" i="1"/>
  <c r="BI519" i="1"/>
  <c r="AU519" i="1"/>
  <c r="AU173" i="1"/>
  <c r="BI173" i="1"/>
  <c r="AU477" i="1"/>
  <c r="BI477" i="1"/>
  <c r="AU481" i="1"/>
  <c r="BI481" i="1"/>
  <c r="AU113" i="1"/>
  <c r="BI113" i="1"/>
  <c r="AU873" i="1"/>
  <c r="BI873" i="1"/>
  <c r="BI261" i="1"/>
  <c r="AU261" i="1"/>
  <c r="AU428" i="1"/>
  <c r="BI428" i="1"/>
  <c r="AU707" i="1"/>
  <c r="BI707" i="1"/>
  <c r="AU63" i="1"/>
  <c r="BI63" i="1"/>
  <c r="AU527" i="1"/>
  <c r="BI527" i="1"/>
  <c r="BI328" i="1"/>
  <c r="AU328" i="1"/>
  <c r="AU423" i="1"/>
  <c r="BI423" i="1"/>
  <c r="AU156" i="1"/>
  <c r="BI156" i="1"/>
  <c r="AU468" i="1"/>
  <c r="BI468" i="1"/>
  <c r="AU414" i="1"/>
  <c r="BI414" i="1"/>
  <c r="AU111" i="1"/>
  <c r="BI111" i="1"/>
  <c r="AU248" i="1"/>
  <c r="BI248" i="1"/>
  <c r="BI446" i="1"/>
  <c r="AU446" i="1"/>
  <c r="BI476" i="1"/>
  <c r="AU476" i="1"/>
  <c r="AU302" i="1"/>
  <c r="BI302" i="1"/>
  <c r="AU619" i="1"/>
  <c r="BI619" i="1"/>
  <c r="AU674" i="1"/>
  <c r="BI674" i="1"/>
  <c r="AU401" i="1"/>
  <c r="BI401" i="1"/>
  <c r="BI865" i="1"/>
  <c r="AU865" i="1"/>
  <c r="W24" i="15" s="1"/>
  <c r="AU243" i="1"/>
  <c r="BI243" i="1"/>
  <c r="BI833" i="1"/>
  <c r="AU833" i="1"/>
  <c r="AU431" i="1"/>
  <c r="BI431" i="1"/>
  <c r="AU441" i="1"/>
  <c r="BI441" i="1"/>
  <c r="AU146" i="1"/>
  <c r="BI146" i="1"/>
  <c r="AU518" i="1"/>
  <c r="BI518" i="1"/>
  <c r="AU837" i="1"/>
  <c r="W26" i="15" s="1"/>
  <c r="BI837" i="1"/>
  <c r="BI232" i="1"/>
  <c r="AU232" i="1"/>
  <c r="AU424" i="1"/>
  <c r="BI424" i="1"/>
  <c r="AU806" i="1"/>
  <c r="H14" i="15" s="1"/>
  <c r="BI806" i="1"/>
  <c r="BI578" i="1"/>
  <c r="AU578" i="1"/>
  <c r="BI259" i="1"/>
  <c r="AU259" i="1"/>
  <c r="AU362" i="1"/>
  <c r="BI362" i="1"/>
  <c r="AU783" i="1"/>
  <c r="T14" i="15" s="1"/>
  <c r="BI783" i="1"/>
  <c r="AU378" i="1"/>
  <c r="N11" i="15" s="1"/>
  <c r="BI378" i="1"/>
  <c r="AU316" i="1"/>
  <c r="BI316" i="1"/>
  <c r="AU457" i="1"/>
  <c r="BI457" i="1"/>
  <c r="AU411" i="1"/>
  <c r="BI411" i="1"/>
  <c r="AU151" i="1"/>
  <c r="BI151" i="1"/>
  <c r="AU834" i="1"/>
  <c r="Q26" i="15" s="1"/>
  <c r="BI834" i="1"/>
  <c r="AU848" i="1"/>
  <c r="W25" i="15" s="1"/>
  <c r="BI848" i="1"/>
  <c r="AU142" i="1"/>
  <c r="BI142" i="1"/>
  <c r="AU634" i="1"/>
  <c r="BI634" i="1"/>
  <c r="AU159" i="1"/>
  <c r="BI159" i="1"/>
  <c r="AU689" i="1"/>
  <c r="BI689" i="1"/>
  <c r="AU381" i="1"/>
  <c r="BI381" i="1"/>
  <c r="BI161" i="1"/>
  <c r="AU161" i="1"/>
  <c r="Q11" i="15" s="1"/>
  <c r="AU174" i="1"/>
  <c r="BI174" i="1"/>
  <c r="BI617" i="1"/>
  <c r="AU617" i="1"/>
  <c r="H15" i="15"/>
  <c r="BD776" i="1"/>
  <c r="BD812" i="1"/>
  <c r="AU831" i="1"/>
  <c r="E24" i="15" s="1"/>
  <c r="BI831" i="1"/>
  <c r="AU641" i="1"/>
  <c r="BI641" i="1"/>
  <c r="AU445" i="1"/>
  <c r="BI445" i="1"/>
  <c r="AU56" i="1"/>
  <c r="BI56" i="1"/>
  <c r="AU543" i="1"/>
  <c r="BI543" i="1"/>
  <c r="AU27" i="1"/>
  <c r="BI27" i="1"/>
  <c r="BI249" i="1"/>
  <c r="AU249" i="1"/>
  <c r="AU456" i="1"/>
  <c r="BI456" i="1"/>
  <c r="AU435" i="1"/>
  <c r="BI435" i="1"/>
  <c r="AU673" i="1"/>
  <c r="BI673" i="1"/>
  <c r="BI262" i="1"/>
  <c r="AU262" i="1"/>
  <c r="AU816" i="1"/>
  <c r="BI816" i="1"/>
  <c r="AU256" i="1"/>
  <c r="BI256" i="1"/>
  <c r="AU698" i="1"/>
  <c r="BI698" i="1"/>
  <c r="AU354" i="1"/>
  <c r="BI354" i="1"/>
  <c r="AU642" i="1"/>
  <c r="BI642" i="1"/>
  <c r="AU639" i="1"/>
  <c r="BI639" i="1"/>
  <c r="AU624" i="1"/>
  <c r="BI624" i="1"/>
  <c r="AU504" i="1"/>
  <c r="BI504" i="1"/>
  <c r="AU818" i="1"/>
  <c r="H26" i="15" s="1"/>
  <c r="BI818" i="1"/>
  <c r="AU576" i="1"/>
  <c r="BI576" i="1"/>
  <c r="AU840" i="1"/>
  <c r="W23" i="15" s="1"/>
  <c r="BI840" i="1"/>
  <c r="AU41" i="1"/>
  <c r="BI41" i="1"/>
  <c r="AU164" i="1"/>
  <c r="BI164" i="1"/>
  <c r="AU701" i="1"/>
  <c r="BI701" i="1"/>
  <c r="AU15" i="1"/>
  <c r="BI15" i="1"/>
  <c r="AU166" i="1"/>
  <c r="BI166" i="1"/>
  <c r="AU165" i="1"/>
  <c r="BI165" i="1"/>
  <c r="AU104" i="1"/>
  <c r="BI104" i="1"/>
  <c r="AU606" i="1"/>
  <c r="BI606" i="1"/>
  <c r="AU458" i="1"/>
  <c r="BI458" i="1"/>
  <c r="BI587" i="1"/>
  <c r="AU587" i="1"/>
  <c r="BI147" i="1"/>
  <c r="AU147" i="1"/>
  <c r="BI493" i="1"/>
  <c r="AU493" i="1"/>
  <c r="AU169" i="1"/>
  <c r="BI169" i="1"/>
  <c r="AU297" i="1"/>
  <c r="BI297" i="1"/>
  <c r="BI492" i="1"/>
  <c r="AU492" i="1"/>
  <c r="AU607" i="1"/>
  <c r="BI607" i="1"/>
  <c r="AU158" i="1"/>
  <c r="BI158" i="1"/>
  <c r="AU179" i="1"/>
  <c r="N9" i="15" s="1"/>
  <c r="BI179" i="1"/>
  <c r="AU393" i="1"/>
  <c r="BI393" i="1"/>
  <c r="AU123" i="1"/>
  <c r="BI123" i="1"/>
  <c r="BI101" i="1"/>
  <c r="AU101" i="1"/>
  <c r="AU592" i="1"/>
  <c r="BI592" i="1"/>
  <c r="AU322" i="1"/>
  <c r="BI322" i="1"/>
  <c r="AU633" i="1"/>
  <c r="BI633" i="1"/>
  <c r="AU409" i="1"/>
  <c r="BI409" i="1"/>
  <c r="AU141" i="1"/>
  <c r="BI141" i="1"/>
  <c r="BI829" i="1"/>
  <c r="AU829" i="1"/>
  <c r="K22" i="15" s="1"/>
  <c r="BI813" i="1"/>
  <c r="AU813" i="1"/>
  <c r="AU478" i="1"/>
  <c r="BI478" i="1"/>
  <c r="H13" i="15"/>
  <c r="U942" i="28"/>
  <c r="AU614" i="1"/>
  <c r="BI614" i="1"/>
  <c r="AU569" i="1"/>
  <c r="BI569" i="1"/>
  <c r="AU438" i="1"/>
  <c r="BI438" i="1"/>
  <c r="AU42" i="1"/>
  <c r="BI42" i="1"/>
  <c r="AU788" i="1"/>
  <c r="Q24" i="15" s="1"/>
  <c r="BI788" i="1"/>
  <c r="AU223" i="1"/>
  <c r="BI223" i="1"/>
  <c r="AU31" i="1"/>
  <c r="BI31" i="1"/>
  <c r="AU133" i="1"/>
  <c r="BI133" i="1"/>
  <c r="AU97" i="1"/>
  <c r="BI97" i="1"/>
  <c r="AU842" i="1"/>
  <c r="Q28" i="15" s="1"/>
  <c r="BI842" i="1"/>
  <c r="BI616" i="1"/>
  <c r="AU616" i="1"/>
  <c r="AU225" i="1"/>
  <c r="BI225" i="1"/>
  <c r="AU23" i="1"/>
  <c r="BI23" i="1"/>
  <c r="AU643" i="1"/>
  <c r="BI643" i="1"/>
  <c r="AU116" i="1"/>
  <c r="BI116" i="1"/>
  <c r="AU40" i="1"/>
  <c r="BI40" i="1"/>
  <c r="BI566" i="1"/>
  <c r="AU566" i="1"/>
  <c r="AU678" i="1"/>
  <c r="BI678" i="1"/>
  <c r="AU39" i="1"/>
  <c r="BI39" i="1"/>
  <c r="AU529" i="1"/>
  <c r="BI529" i="1"/>
  <c r="AU612" i="1"/>
  <c r="BI612" i="1"/>
  <c r="AU630" i="1"/>
  <c r="BI630" i="1"/>
  <c r="AU653" i="1"/>
  <c r="BI653" i="1"/>
  <c r="AU825" i="1"/>
  <c r="K26" i="15" s="1"/>
  <c r="BI825" i="1"/>
  <c r="AU315" i="1"/>
  <c r="BI315" i="1"/>
  <c r="AU311" i="1"/>
  <c r="BI311" i="1"/>
  <c r="BI257" i="1"/>
  <c r="AU257" i="1"/>
  <c r="AU180" i="1"/>
  <c r="N13" i="15" s="1"/>
  <c r="BI180" i="1"/>
  <c r="BI858" i="1"/>
  <c r="AU858" i="1"/>
  <c r="T28" i="15" s="1"/>
  <c r="AU105" i="1"/>
  <c r="BI105" i="1"/>
  <c r="AU12" i="1"/>
  <c r="BI12" i="1"/>
  <c r="AU827" i="1"/>
  <c r="B28" i="15" s="1"/>
  <c r="BI827" i="1"/>
  <c r="BI485" i="1"/>
  <c r="AU485" i="1"/>
  <c r="AU153" i="1"/>
  <c r="K16" i="15" s="1"/>
  <c r="BI153" i="1"/>
  <c r="BI516" i="1"/>
  <c r="AU516" i="1"/>
  <c r="AU121" i="1"/>
  <c r="BI121" i="1"/>
  <c r="AU216" i="1"/>
  <c r="BI216" i="1"/>
  <c r="AU579" i="1"/>
  <c r="BI579" i="1"/>
  <c r="AU309" i="1"/>
  <c r="BI309" i="1"/>
  <c r="AU839" i="1"/>
  <c r="B24" i="15" s="1"/>
  <c r="BI839" i="1"/>
  <c r="AU167" i="1"/>
  <c r="BI167" i="1"/>
  <c r="AU454" i="1"/>
  <c r="BI454" i="1"/>
  <c r="AU103" i="1"/>
  <c r="BI103" i="1"/>
  <c r="AU69" i="1"/>
  <c r="BI69" i="1"/>
  <c r="AU125" i="1"/>
  <c r="BI125" i="1"/>
  <c r="AU632" i="1"/>
  <c r="BI632" i="1"/>
  <c r="BI852" i="1"/>
  <c r="AU852" i="1"/>
  <c r="E22" i="15" s="1"/>
  <c r="AU135" i="1"/>
  <c r="BI135" i="1"/>
  <c r="AU677" i="1"/>
  <c r="BI677" i="1"/>
  <c r="AU559" i="1"/>
  <c r="BI559" i="1"/>
  <c r="AU19" i="1"/>
  <c r="BI19" i="1"/>
  <c r="AU561" i="1"/>
  <c r="BI561" i="1"/>
  <c r="AU273" i="1"/>
  <c r="BI273" i="1"/>
  <c r="H225" i="28"/>
  <c r="BD149" i="1"/>
  <c r="BD510" i="1"/>
  <c r="BD809" i="1"/>
  <c r="AU867" i="1"/>
  <c r="B26" i="15" s="1"/>
  <c r="BI867" i="1"/>
  <c r="AU565" i="1"/>
  <c r="BI565" i="1"/>
  <c r="AU367" i="1"/>
  <c r="BI367" i="1"/>
  <c r="AU18" i="1"/>
  <c r="BI18" i="1"/>
  <c r="BI279" i="1"/>
  <c r="AU279" i="1"/>
  <c r="AU524" i="1"/>
  <c r="BI524" i="1"/>
  <c r="AU572" i="1"/>
  <c r="BI572" i="1"/>
  <c r="AU570" i="1"/>
  <c r="BI570" i="1"/>
  <c r="BI781" i="1"/>
  <c r="AU781" i="1"/>
  <c r="T27" i="15" s="1"/>
  <c r="AU176" i="1"/>
  <c r="BI176" i="1"/>
  <c r="AU355" i="1"/>
  <c r="BI355" i="1"/>
  <c r="AU440" i="1"/>
  <c r="BI440" i="1"/>
  <c r="AU65" i="1"/>
  <c r="BI65" i="1"/>
  <c r="AU819" i="1"/>
  <c r="Q13" i="15" s="1"/>
  <c r="BI819" i="1"/>
  <c r="AU803" i="1"/>
  <c r="T25" i="15" s="1"/>
  <c r="BI803" i="1"/>
  <c r="AU531" i="1"/>
  <c r="BI531" i="1"/>
  <c r="AU685" i="1"/>
  <c r="BI685" i="1"/>
  <c r="AU664" i="1"/>
  <c r="BI664" i="1"/>
  <c r="AU219" i="1"/>
  <c r="BI219" i="1"/>
  <c r="AU371" i="1"/>
  <c r="BI371" i="1"/>
  <c r="AU686" i="1"/>
  <c r="BI686" i="1"/>
  <c r="AU637" i="1"/>
  <c r="BI637" i="1"/>
  <c r="AU157" i="1"/>
  <c r="BI157" i="1"/>
  <c r="AU389" i="1"/>
  <c r="BI389" i="1"/>
  <c r="AU482" i="1"/>
  <c r="BI482" i="1"/>
  <c r="AU841" i="1"/>
  <c r="H24" i="15" s="1"/>
  <c r="BI841" i="1"/>
  <c r="AU542" i="1"/>
  <c r="BI542" i="1"/>
  <c r="AU680" i="1"/>
  <c r="BI680" i="1"/>
  <c r="BI479" i="1"/>
  <c r="AU479" i="1"/>
  <c r="AU170" i="1"/>
  <c r="BI170" i="1"/>
  <c r="AU620" i="1"/>
  <c r="BI620" i="1"/>
  <c r="BI844" i="1"/>
  <c r="AU844" i="1"/>
  <c r="B23" i="15" s="1"/>
  <c r="AU404" i="1"/>
  <c r="BI404" i="1"/>
  <c r="AU874" i="1"/>
  <c r="BI874" i="1"/>
  <c r="AU535" i="1"/>
  <c r="BI535" i="1"/>
  <c r="BI280" i="1"/>
  <c r="AU280" i="1"/>
  <c r="AU820" i="1"/>
  <c r="H29" i="15" s="1"/>
  <c r="BI820" i="1"/>
  <c r="AU57" i="1"/>
  <c r="BI57" i="1"/>
  <c r="BI651" i="1"/>
  <c r="AU651" i="1"/>
  <c r="AU474" i="1"/>
  <c r="BI474" i="1"/>
  <c r="AU385" i="1"/>
  <c r="BI385" i="1"/>
  <c r="AU46" i="1"/>
  <c r="BI46" i="1"/>
  <c r="AU835" i="1"/>
  <c r="Q18" i="15" s="1"/>
  <c r="BI835" i="1"/>
  <c r="AU593" i="1"/>
  <c r="BI593" i="1"/>
  <c r="AU421" i="1"/>
  <c r="BI421" i="1"/>
  <c r="AU659" i="1"/>
  <c r="BI659" i="1"/>
  <c r="AU667" i="1"/>
  <c r="BI667" i="1"/>
  <c r="AU59" i="1"/>
  <c r="BI59" i="1"/>
  <c r="BI500" i="1"/>
  <c r="AU500" i="1"/>
  <c r="AU863" i="1"/>
  <c r="E27" i="15" s="1"/>
  <c r="BI863" i="1"/>
  <c r="BI872" i="1"/>
  <c r="AU872" i="1"/>
  <c r="BI394" i="1"/>
  <c r="AU394" i="1"/>
  <c r="AU575" i="1"/>
  <c r="BI575" i="1"/>
  <c r="AU675" i="1"/>
  <c r="BI675" i="1"/>
  <c r="AU366" i="1"/>
  <c r="BI366" i="1"/>
  <c r="AU67" i="1"/>
  <c r="BI67" i="1"/>
  <c r="AU400" i="1"/>
  <c r="BI400" i="1"/>
  <c r="AU532" i="1"/>
  <c r="BI532" i="1"/>
  <c r="AU33" i="1"/>
  <c r="BI33" i="1"/>
  <c r="BD371" i="1"/>
  <c r="AU591" i="1"/>
  <c r="BI591" i="1"/>
  <c r="AU238" i="1"/>
  <c r="BI238" i="1"/>
  <c r="AU338" i="1"/>
  <c r="N18" i="15" s="1"/>
  <c r="BI338" i="1"/>
  <c r="AU190" i="1"/>
  <c r="BI190" i="1"/>
  <c r="BI794" i="1"/>
  <c r="AU794" i="1"/>
  <c r="W12" i="15" s="1"/>
  <c r="AU224" i="1"/>
  <c r="BI224" i="1"/>
  <c r="AU154" i="1"/>
  <c r="BI154" i="1"/>
  <c r="BI175" i="1"/>
  <c r="AU175" i="1"/>
  <c r="AU417" i="1"/>
  <c r="BI417" i="1"/>
  <c r="AU554" i="1"/>
  <c r="BI554" i="1"/>
  <c r="AU646" i="1"/>
  <c r="BI646" i="1"/>
  <c r="AU586" i="1"/>
  <c r="BI586" i="1"/>
  <c r="AU234" i="1"/>
  <c r="BI234" i="1"/>
  <c r="BI292" i="1"/>
  <c r="AU292" i="1"/>
  <c r="AU471" i="1"/>
  <c r="BI471" i="1"/>
  <c r="BI553" i="1"/>
  <c r="AU553" i="1"/>
  <c r="AU599" i="1"/>
  <c r="BI599" i="1"/>
  <c r="AU861" i="1"/>
  <c r="W22" i="15" s="1"/>
  <c r="BI861" i="1"/>
  <c r="AU241" i="1"/>
  <c r="BI241" i="1"/>
  <c r="BI340" i="1"/>
  <c r="AU340" i="1"/>
  <c r="AU308" i="1"/>
  <c r="BI308" i="1"/>
  <c r="AU512" i="1"/>
  <c r="BI512" i="1"/>
  <c r="AU671" i="1"/>
  <c r="BI671" i="1"/>
  <c r="AU670" i="1"/>
  <c r="BI670" i="1"/>
  <c r="BI511" i="1"/>
  <c r="AU511" i="1"/>
  <c r="AU597" i="1"/>
  <c r="BI597" i="1"/>
  <c r="AU505" i="1"/>
  <c r="BI505" i="1"/>
  <c r="AU830" i="1"/>
  <c r="T18" i="15" s="1"/>
  <c r="BI830" i="1"/>
  <c r="AU272" i="1"/>
  <c r="BI272" i="1"/>
  <c r="AU70" i="1"/>
  <c r="BI70" i="1"/>
  <c r="AU598" i="1"/>
  <c r="BI598" i="1"/>
  <c r="AU439" i="1"/>
  <c r="BI439" i="1"/>
  <c r="AU627" i="1"/>
  <c r="BI627" i="1"/>
  <c r="AU13" i="1"/>
  <c r="BI13" i="1"/>
  <c r="AU443" i="1"/>
  <c r="BI443" i="1"/>
  <c r="BI16" i="1"/>
  <c r="AU16" i="1"/>
  <c r="AU640" i="1"/>
  <c r="BI640" i="1"/>
  <c r="BI658" i="1"/>
  <c r="AU658" i="1"/>
  <c r="AU709" i="1"/>
  <c r="BI709" i="1"/>
  <c r="AU577" i="1"/>
  <c r="BI577" i="1"/>
  <c r="AU700" i="1"/>
  <c r="BI700" i="1"/>
  <c r="AU48" i="1"/>
  <c r="BI48" i="1"/>
  <c r="AU136" i="1"/>
  <c r="BI136" i="1"/>
  <c r="AU654" i="1"/>
  <c r="BI654" i="1"/>
  <c r="AU810" i="1"/>
  <c r="BI810" i="1"/>
  <c r="AU618" i="1"/>
  <c r="BI618" i="1"/>
  <c r="AU650" i="1"/>
  <c r="BI650" i="1"/>
  <c r="AU22" i="1"/>
  <c r="BI22" i="1"/>
  <c r="AU403" i="1"/>
  <c r="BI403" i="1"/>
  <c r="AU427" i="1"/>
  <c r="BI427" i="1"/>
  <c r="AU610" i="1"/>
  <c r="BI610" i="1"/>
  <c r="AU790" i="1"/>
  <c r="T15" i="15" s="1"/>
  <c r="BI790" i="1"/>
  <c r="AU871" i="1"/>
  <c r="BI871" i="1"/>
  <c r="AU182" i="1"/>
  <c r="BI182" i="1"/>
  <c r="AU604" i="1"/>
  <c r="BI604" i="1"/>
  <c r="AU814" i="1"/>
  <c r="B11" i="15" s="1"/>
  <c r="BI814" i="1"/>
  <c r="AU676" i="1"/>
  <c r="BI676" i="1"/>
  <c r="AU171" i="1"/>
  <c r="B16" i="15" s="1"/>
  <c r="BI171" i="1"/>
  <c r="AU358" i="1"/>
  <c r="BI358" i="1"/>
  <c r="BI343" i="1"/>
  <c r="AU343" i="1"/>
  <c r="AU869" i="1"/>
  <c r="E23" i="15" s="1"/>
  <c r="BI869" i="1"/>
  <c r="BI662" i="1"/>
  <c r="AU662" i="1"/>
  <c r="AU507" i="1"/>
  <c r="BI507" i="1"/>
  <c r="AU281" i="1"/>
  <c r="BI281" i="1"/>
  <c r="AU44" i="1"/>
  <c r="BI44" i="1"/>
  <c r="BI163" i="1"/>
  <c r="AU163" i="1"/>
  <c r="AU25" i="1"/>
  <c r="BI25" i="1"/>
  <c r="AU436" i="1"/>
  <c r="BI436" i="1"/>
  <c r="AU127" i="1"/>
  <c r="BI127" i="1"/>
  <c r="AU521" i="1"/>
  <c r="BI521" i="1"/>
  <c r="AU149" i="1"/>
  <c r="BI149" i="1"/>
  <c r="AU203" i="1"/>
  <c r="BI203" i="1"/>
  <c r="BI495" i="1"/>
  <c r="AU495" i="1"/>
  <c r="AU144" i="1"/>
  <c r="AC15" i="15" s="1"/>
  <c r="BI144" i="1"/>
  <c r="AU552" i="1"/>
  <c r="BI552" i="1"/>
  <c r="AU132" i="1"/>
  <c r="E16" i="15" s="1"/>
  <c r="BI132" i="1"/>
  <c r="BI284" i="1"/>
  <c r="AU284" i="1"/>
  <c r="AU150" i="1"/>
  <c r="BI150" i="1"/>
  <c r="AU122" i="1"/>
  <c r="BI122" i="1"/>
  <c r="AU866" i="1"/>
  <c r="T29" i="15" s="1"/>
  <c r="BI866" i="1"/>
  <c r="AU695" i="1"/>
  <c r="BI695" i="1"/>
  <c r="BI342" i="1"/>
  <c r="AU342" i="1"/>
  <c r="AU682" i="1"/>
  <c r="BI682" i="1"/>
  <c r="BI571" i="1"/>
  <c r="AU571" i="1"/>
  <c r="AU652" i="1"/>
  <c r="BI652" i="1"/>
  <c r="AU502" i="1"/>
  <c r="BI502" i="1"/>
  <c r="AU804" i="1"/>
  <c r="B13" i="15" s="1"/>
  <c r="BI804" i="1"/>
  <c r="AU626" i="1"/>
  <c r="BI626" i="1"/>
  <c r="AU828" i="1"/>
  <c r="AC25" i="15" s="1"/>
  <c r="BI828" i="1"/>
  <c r="BI14" i="1"/>
  <c r="AU14" i="1"/>
  <c r="BI254" i="1"/>
  <c r="AU254" i="1"/>
  <c r="AU791" i="1"/>
  <c r="BI791" i="1"/>
  <c r="AU602" i="1"/>
  <c r="BI602" i="1"/>
  <c r="AU313" i="1"/>
  <c r="BI313" i="1"/>
  <c r="AU386" i="1"/>
  <c r="BI386" i="1"/>
  <c r="AU407" i="1"/>
  <c r="BI407" i="1"/>
  <c r="AU64" i="1"/>
  <c r="BI64" i="1"/>
  <c r="AU119" i="1"/>
  <c r="T11" i="15" s="1"/>
  <c r="BI119" i="1"/>
  <c r="AU412" i="1"/>
  <c r="BI412" i="1"/>
  <c r="AU290" i="1"/>
  <c r="BI290" i="1"/>
  <c r="BI573" i="1"/>
  <c r="AU573" i="1"/>
  <c r="AU491" i="1"/>
  <c r="BI491" i="1"/>
  <c r="BD844" i="1"/>
  <c r="BD775" i="1"/>
  <c r="H348" i="28"/>
  <c r="H250" i="28"/>
  <c r="H363" i="28"/>
  <c r="BD789" i="1"/>
  <c r="H214" i="28"/>
  <c r="U546" i="28"/>
  <c r="U606" i="28"/>
  <c r="AE878" i="28"/>
  <c r="BD142" i="1"/>
  <c r="H379" i="28"/>
  <c r="H338" i="28"/>
  <c r="H332" i="28"/>
  <c r="H54" i="28"/>
  <c r="H105" i="28"/>
  <c r="H326" i="28"/>
  <c r="H353" i="28"/>
  <c r="H229" i="28"/>
  <c r="H53" i="28"/>
  <c r="H362" i="28"/>
  <c r="H15" i="28"/>
  <c r="AE790" i="28"/>
  <c r="U774" i="28"/>
  <c r="W774" i="28" s="1"/>
  <c r="X774" i="28" s="1"/>
  <c r="U494" i="28"/>
  <c r="BD380" i="1"/>
  <c r="BD676" i="1"/>
  <c r="H383" i="28"/>
  <c r="AE774" i="28"/>
  <c r="H361" i="28"/>
  <c r="I361" i="28" s="1"/>
  <c r="AE502" i="28"/>
  <c r="BD227" i="1"/>
  <c r="BD374" i="1"/>
  <c r="BD368" i="1"/>
  <c r="W520" i="28"/>
  <c r="X520" i="28" s="1"/>
  <c r="H391" i="28"/>
  <c r="H79" i="28"/>
  <c r="U502" i="28"/>
  <c r="AE520" i="28"/>
  <c r="BD94" i="1"/>
  <c r="BD108" i="1"/>
  <c r="BD543" i="1"/>
  <c r="BD37" i="1"/>
  <c r="BD384" i="1"/>
  <c r="BD690" i="1"/>
  <c r="BD67" i="1"/>
  <c r="U550" i="28"/>
  <c r="BD338" i="1"/>
  <c r="BD498" i="1"/>
  <c r="BD251" i="1"/>
  <c r="BD637" i="1"/>
  <c r="BD193" i="1"/>
  <c r="BD518" i="1"/>
  <c r="BD706" i="1"/>
  <c r="BD171" i="1"/>
  <c r="BD483" i="1"/>
  <c r="BD283" i="1"/>
  <c r="BD589" i="1"/>
  <c r="BD419" i="1"/>
  <c r="BD107" i="1"/>
  <c r="BD651" i="1"/>
  <c r="BD354" i="1"/>
  <c r="BD617" i="1"/>
  <c r="BD583" i="1"/>
  <c r="BD499" i="1"/>
  <c r="BD250" i="1"/>
  <c r="BD448" i="1"/>
  <c r="BD86" i="1"/>
  <c r="BD126" i="1"/>
  <c r="BD258" i="1"/>
  <c r="BD793" i="1"/>
  <c r="BD846" i="1"/>
  <c r="BD804" i="1"/>
  <c r="BD784" i="1"/>
  <c r="BD785" i="1"/>
  <c r="BD817" i="1"/>
  <c r="W622" i="28"/>
  <c r="X622" i="28" s="1"/>
  <c r="BD607" i="1"/>
  <c r="BD397" i="1"/>
  <c r="BD495" i="1"/>
  <c r="BD146" i="1"/>
  <c r="BD362" i="1"/>
  <c r="BD240" i="1"/>
  <c r="BD469" i="1"/>
  <c r="BD675" i="1"/>
  <c r="BD664" i="1"/>
  <c r="BD489" i="1"/>
  <c r="BD293" i="1"/>
  <c r="BD18" i="1"/>
  <c r="BD370" i="1"/>
  <c r="BD492" i="1"/>
  <c r="BD539" i="1"/>
  <c r="BD327" i="1"/>
  <c r="BD657" i="1"/>
  <c r="BD59" i="1"/>
  <c r="BD212" i="1"/>
  <c r="BD301" i="1"/>
  <c r="BD435" i="1"/>
  <c r="BD501" i="1"/>
  <c r="BD255" i="1"/>
  <c r="BD116" i="1"/>
  <c r="BD482" i="1"/>
  <c r="BD428" i="1"/>
  <c r="BD823" i="1"/>
  <c r="BD861" i="1"/>
  <c r="BD807" i="1"/>
  <c r="BD845" i="1"/>
  <c r="BD779" i="1"/>
  <c r="BD824" i="1"/>
  <c r="BD828" i="1"/>
  <c r="BD863" i="1"/>
  <c r="BD802" i="1"/>
  <c r="BD857" i="1"/>
  <c r="BD814" i="1"/>
  <c r="BD22" i="1"/>
  <c r="BD204" i="1"/>
  <c r="BD548" i="1"/>
  <c r="BD244" i="1"/>
  <c r="BD799" i="1"/>
  <c r="BD790" i="1"/>
  <c r="BD859" i="1"/>
  <c r="BD815" i="1"/>
  <c r="BD868" i="1"/>
  <c r="BD852" i="1"/>
  <c r="BD780" i="1"/>
  <c r="BD803" i="1"/>
  <c r="BD869" i="1"/>
  <c r="U969" i="28"/>
  <c r="J969" i="28"/>
  <c r="U873" i="28"/>
  <c r="J873" i="28"/>
  <c r="U841" i="28"/>
  <c r="J841" i="28"/>
  <c r="U997" i="28"/>
  <c r="J997" i="28"/>
  <c r="U933" i="28"/>
  <c r="J933" i="28"/>
  <c r="U901" i="28"/>
  <c r="J901" i="28"/>
  <c r="U869" i="28"/>
  <c r="J869" i="28"/>
  <c r="U837" i="28"/>
  <c r="J837" i="28"/>
  <c r="U660" i="28"/>
  <c r="J660" i="28"/>
  <c r="U644" i="28"/>
  <c r="J644" i="28"/>
  <c r="U709" i="28"/>
  <c r="J709" i="28"/>
  <c r="U645" i="28"/>
  <c r="J645" i="28"/>
  <c r="U517" i="28"/>
  <c r="J517" i="28"/>
  <c r="U881" i="28"/>
  <c r="J881" i="28"/>
  <c r="U941" i="28"/>
  <c r="J941" i="28"/>
  <c r="U627" i="28"/>
  <c r="J627" i="28"/>
  <c r="U611" i="28"/>
  <c r="J611" i="28"/>
  <c r="U547" i="28"/>
  <c r="J547" i="28"/>
  <c r="U467" i="28"/>
  <c r="J467" i="28"/>
  <c r="U621" i="28"/>
  <c r="J621" i="28"/>
  <c r="U589" i="28"/>
  <c r="J589" i="28"/>
  <c r="U557" i="28"/>
  <c r="J557" i="28"/>
  <c r="U461" i="28"/>
  <c r="J461" i="28"/>
  <c r="U985" i="28"/>
  <c r="J985" i="28"/>
  <c r="U949" i="28"/>
  <c r="J949" i="28"/>
  <c r="U917" i="28"/>
  <c r="J917" i="28"/>
  <c r="U885" i="28"/>
  <c r="J885" i="28"/>
  <c r="U636" i="28"/>
  <c r="J636" i="28"/>
  <c r="U572" i="28"/>
  <c r="J572" i="28"/>
  <c r="U444" i="28"/>
  <c r="J444" i="28"/>
  <c r="U725" i="28"/>
  <c r="J725" i="28"/>
  <c r="U929" i="28"/>
  <c r="J929" i="28"/>
  <c r="U989" i="28"/>
  <c r="J989" i="28"/>
  <c r="U715" i="28"/>
  <c r="J715" i="28"/>
  <c r="U619" i="28"/>
  <c r="J619" i="28"/>
  <c r="U571" i="28"/>
  <c r="J571" i="28"/>
  <c r="U539" i="28"/>
  <c r="J539" i="28"/>
  <c r="U459" i="28"/>
  <c r="J459" i="28"/>
  <c r="U427" i="28"/>
  <c r="J427" i="28"/>
  <c r="U573" i="28"/>
  <c r="J573" i="28"/>
  <c r="U541" i="28"/>
  <c r="J541" i="28"/>
  <c r="U477" i="28"/>
  <c r="J477" i="28"/>
  <c r="U445" i="28"/>
  <c r="J445" i="28"/>
  <c r="U971" i="28"/>
  <c r="J971" i="28"/>
  <c r="U843" i="28"/>
  <c r="J843" i="28"/>
  <c r="U875" i="28"/>
  <c r="J875" i="28"/>
  <c r="U891" i="28"/>
  <c r="J891" i="28"/>
  <c r="U859" i="28"/>
  <c r="J859" i="28"/>
  <c r="U792" i="28"/>
  <c r="J792" i="28"/>
  <c r="U768" i="28"/>
  <c r="J768" i="28"/>
  <c r="U831" i="28"/>
  <c r="J831" i="28"/>
  <c r="U987" i="28"/>
  <c r="J987" i="28"/>
  <c r="U769" i="28"/>
  <c r="J769" i="28"/>
  <c r="U974" i="28"/>
  <c r="J974" i="28"/>
  <c r="U910" i="28"/>
  <c r="J910" i="28"/>
  <c r="U846" i="28"/>
  <c r="J846" i="28"/>
  <c r="U988" i="28"/>
  <c r="J988" i="28"/>
  <c r="U771" i="28"/>
  <c r="J771" i="28"/>
  <c r="U763" i="28"/>
  <c r="J763" i="28"/>
  <c r="U743" i="28"/>
  <c r="J743" i="28"/>
  <c r="U727" i="28"/>
  <c r="J727" i="28"/>
  <c r="U711" i="28"/>
  <c r="J711" i="28"/>
  <c r="U679" i="28"/>
  <c r="J679" i="28"/>
  <c r="U663" i="28"/>
  <c r="J663" i="28"/>
  <c r="U647" i="28"/>
  <c r="J647" i="28"/>
  <c r="U615" i="28"/>
  <c r="J615" i="28"/>
  <c r="U567" i="28"/>
  <c r="J567" i="28"/>
  <c r="U510" i="28"/>
  <c r="J510" i="28"/>
  <c r="U478" i="28"/>
  <c r="J478" i="28"/>
  <c r="U462" i="28"/>
  <c r="J462" i="28"/>
  <c r="U430" i="28"/>
  <c r="J430" i="28"/>
  <c r="J742" i="28"/>
  <c r="U947" i="28"/>
  <c r="J947" i="28"/>
  <c r="U518" i="28"/>
  <c r="J518" i="28"/>
  <c r="U827" i="28"/>
  <c r="J827" i="28"/>
  <c r="J552" i="28"/>
  <c r="J488" i="28"/>
  <c r="J504" i="28"/>
  <c r="U456" i="28"/>
  <c r="J456" i="28"/>
  <c r="U472" i="28"/>
  <c r="J472" i="28"/>
  <c r="U440" i="28"/>
  <c r="J440" i="28"/>
  <c r="J470" i="28"/>
  <c r="U756" i="28"/>
  <c r="J756" i="28"/>
  <c r="U454" i="28"/>
  <c r="J454" i="28"/>
  <c r="U536" i="28"/>
  <c r="J536" i="28"/>
  <c r="U465" i="28"/>
  <c r="J465" i="28"/>
  <c r="U815" i="28"/>
  <c r="J815" i="28"/>
  <c r="U473" i="28"/>
  <c r="J473" i="28"/>
  <c r="U791" i="28"/>
  <c r="J791" i="28"/>
  <c r="U886" i="28"/>
  <c r="J886" i="28"/>
  <c r="U813" i="28"/>
  <c r="J813" i="28"/>
  <c r="U967" i="28"/>
  <c r="J967" i="28"/>
  <c r="U839" i="28"/>
  <c r="J839" i="28"/>
  <c r="U600" i="28"/>
  <c r="J600" i="28"/>
  <c r="U431" i="28"/>
  <c r="J431" i="28"/>
  <c r="U979" i="28"/>
  <c r="J979" i="28"/>
  <c r="U915" i="28"/>
  <c r="J915" i="28"/>
  <c r="U883" i="28"/>
  <c r="J883" i="28"/>
  <c r="U781" i="28"/>
  <c r="J781" i="28"/>
  <c r="U919" i="28"/>
  <c r="J919" i="28"/>
  <c r="U855" i="28"/>
  <c r="J855" i="28"/>
  <c r="U739" i="28"/>
  <c r="J739" i="28"/>
  <c r="U574" i="28"/>
  <c r="J574" i="28"/>
  <c r="U728" i="28"/>
  <c r="J728" i="28"/>
  <c r="U584" i="28"/>
  <c r="J584" i="28"/>
  <c r="U650" i="28"/>
  <c r="J650" i="28"/>
  <c r="U586" i="28"/>
  <c r="J586" i="28"/>
  <c r="U757" i="28"/>
  <c r="J757" i="28"/>
  <c r="U535" i="28"/>
  <c r="J535" i="28"/>
  <c r="U735" i="28"/>
  <c r="J735" i="28"/>
  <c r="J496" i="28"/>
  <c r="U618" i="28"/>
  <c r="J618" i="28"/>
  <c r="U464" i="28"/>
  <c r="J464" i="28"/>
  <c r="U625" i="28"/>
  <c r="J625" i="28"/>
  <c r="U442" i="28"/>
  <c r="J442" i="28"/>
  <c r="U490" i="28"/>
  <c r="J490" i="28"/>
  <c r="U794" i="28"/>
  <c r="J794" i="28"/>
  <c r="U696" i="28"/>
  <c r="J696" i="28"/>
  <c r="U890" i="28"/>
  <c r="J890" i="28"/>
  <c r="U719" i="28"/>
  <c r="J719" i="28"/>
  <c r="U689" i="28"/>
  <c r="J689" i="28"/>
  <c r="U582" i="28"/>
  <c r="J582" i="28"/>
  <c r="J542" i="28"/>
  <c r="U888" i="28"/>
  <c r="J888" i="28"/>
  <c r="U607" i="28"/>
  <c r="J607" i="28"/>
  <c r="U992" i="28"/>
  <c r="J992" i="28"/>
  <c r="U862" i="28"/>
  <c r="J862" i="28"/>
  <c r="U807" i="28"/>
  <c r="J807" i="28"/>
  <c r="U856" i="28"/>
  <c r="J856" i="28"/>
  <c r="U842" i="28"/>
  <c r="J842" i="28"/>
  <c r="U455" i="28"/>
  <c r="J455" i="28"/>
  <c r="U936" i="28"/>
  <c r="J936" i="28"/>
  <c r="U927" i="28"/>
  <c r="J927" i="28"/>
  <c r="U830" i="28"/>
  <c r="J830" i="28"/>
  <c r="U592" i="28"/>
  <c r="J592" i="28"/>
  <c r="U902" i="28"/>
  <c r="J902" i="28"/>
  <c r="W502" i="28"/>
  <c r="X502" i="28" s="1"/>
  <c r="BD865" i="1"/>
  <c r="BD864" i="1"/>
  <c r="BD783" i="1"/>
  <c r="BD860" i="1"/>
  <c r="BD806" i="1"/>
  <c r="BD800" i="1"/>
  <c r="BD797" i="1"/>
  <c r="BD796" i="1"/>
  <c r="BD848" i="1"/>
  <c r="BD781" i="1"/>
  <c r="BD801" i="1"/>
  <c r="BD782" i="1"/>
  <c r="BD795" i="1"/>
  <c r="BD791" i="1"/>
  <c r="BD867" i="1"/>
  <c r="BD849" i="1"/>
  <c r="BD788" i="1"/>
  <c r="BD862" i="1"/>
  <c r="BD816" i="1"/>
  <c r="BD870" i="1"/>
  <c r="BD851" i="1"/>
  <c r="BD811" i="1"/>
  <c r="BD787" i="1"/>
  <c r="BD808" i="1"/>
  <c r="BD810" i="1"/>
  <c r="BD792" i="1"/>
  <c r="BD850" i="1"/>
  <c r="BD866" i="1"/>
  <c r="BD805" i="1"/>
  <c r="BD786" i="1"/>
  <c r="BD794" i="1"/>
  <c r="BD345" i="1"/>
  <c r="BD680" i="1"/>
  <c r="BD278" i="1"/>
  <c r="BD194" i="1"/>
  <c r="BD359" i="1"/>
  <c r="BD602" i="1"/>
  <c r="BD578" i="1"/>
  <c r="BD331" i="1"/>
  <c r="BD639" i="1"/>
  <c r="BD330" i="1"/>
  <c r="BD697" i="1"/>
  <c r="BD50" i="1"/>
  <c r="BD185" i="1"/>
  <c r="BD478" i="1"/>
  <c r="BD241" i="1"/>
  <c r="BD364" i="1"/>
  <c r="BD399" i="1"/>
  <c r="BD85" i="1"/>
  <c r="BD213" i="1"/>
  <c r="BD36" i="1"/>
  <c r="BD201" i="1"/>
  <c r="V838" i="28"/>
  <c r="W838" i="28" s="1"/>
  <c r="X838" i="28" s="1"/>
  <c r="BD262" i="1"/>
  <c r="BD454" i="1"/>
  <c r="BD272" i="1"/>
  <c r="BD373" i="1"/>
  <c r="BD195" i="1"/>
  <c r="AE448" i="28"/>
  <c r="BD43" i="1"/>
  <c r="BD340" i="1"/>
  <c r="BD451" i="1"/>
  <c r="BD671" i="1"/>
  <c r="BD78" i="1"/>
  <c r="BD206" i="1"/>
  <c r="BD601" i="1"/>
  <c r="BD422" i="1"/>
  <c r="BD242" i="1"/>
  <c r="BD536" i="1"/>
  <c r="BD228" i="1"/>
  <c r="BD636" i="1"/>
  <c r="BD82" i="1"/>
  <c r="BD687" i="1"/>
  <c r="BD360" i="1"/>
  <c r="BD401" i="1"/>
  <c r="BD630" i="1"/>
  <c r="BD350" i="1"/>
  <c r="BD515" i="1"/>
  <c r="BD32" i="1"/>
  <c r="BD837" i="1"/>
  <c r="BD494" i="1"/>
  <c r="BD431" i="1"/>
  <c r="BD551" i="1"/>
  <c r="V522" i="28"/>
  <c r="W522" i="28" s="1"/>
  <c r="X522" i="28" s="1"/>
  <c r="BD473" i="1"/>
  <c r="BD476" i="1"/>
  <c r="V543" i="28"/>
  <c r="W543" i="28" s="1"/>
  <c r="X543" i="28" s="1"/>
  <c r="V544" i="28"/>
  <c r="W544" i="28" s="1"/>
  <c r="X544" i="28" s="1"/>
  <c r="V458" i="28"/>
  <c r="W458" i="28" s="1"/>
  <c r="X458" i="28" s="1"/>
  <c r="BD598" i="1"/>
  <c r="BD395" i="1"/>
  <c r="BD56" i="1"/>
  <c r="BD629" i="1"/>
  <c r="BD70" i="1"/>
  <c r="BD661" i="1"/>
  <c r="BD307" i="1"/>
  <c r="BD88" i="1"/>
  <c r="BD500" i="1"/>
  <c r="BD466" i="1"/>
  <c r="BD165" i="1"/>
  <c r="BD396" i="1"/>
  <c r="BD174" i="1"/>
  <c r="BD830" i="1"/>
  <c r="BD829" i="1"/>
  <c r="BD826" i="1"/>
  <c r="BD827" i="1"/>
  <c r="H241" i="28"/>
  <c r="I241" i="28" s="1"/>
  <c r="V433" i="28"/>
  <c r="W433" i="28" s="1"/>
  <c r="X433" i="28" s="1"/>
  <c r="H335" i="28"/>
  <c r="H258" i="28"/>
  <c r="H77" i="28"/>
  <c r="AE974" i="28"/>
  <c r="H82" i="28"/>
  <c r="V538" i="28"/>
  <c r="W538" i="28" s="1"/>
  <c r="X538" i="28" s="1"/>
  <c r="H263" i="28"/>
  <c r="BD15" i="1"/>
  <c r="BD329" i="1"/>
  <c r="BD388" i="1"/>
  <c r="BD519" i="1"/>
  <c r="BD252" i="1"/>
  <c r="BD493" i="1"/>
  <c r="BD575" i="1"/>
  <c r="BD33" i="1"/>
  <c r="BD596" i="1"/>
  <c r="BD420" i="1"/>
  <c r="BD526" i="1"/>
  <c r="BD406" i="1"/>
  <c r="BD568" i="1"/>
  <c r="BD424" i="1"/>
  <c r="BD604" i="1"/>
  <c r="BD506" i="1"/>
  <c r="BD44" i="1"/>
  <c r="BD302" i="1"/>
  <c r="V562" i="28"/>
  <c r="W562" i="28" s="1"/>
  <c r="X562" i="28" s="1"/>
  <c r="BD642" i="1"/>
  <c r="BD265" i="1"/>
  <c r="BD446" i="1"/>
  <c r="BD592" i="1"/>
  <c r="BD681" i="1"/>
  <c r="BD594" i="1"/>
  <c r="BD344" i="1"/>
  <c r="BD645" i="1"/>
  <c r="BD239" i="1"/>
  <c r="BD173" i="1"/>
  <c r="BD57" i="1"/>
  <c r="BD570" i="1"/>
  <c r="BD505" i="1"/>
  <c r="BD346" i="1"/>
  <c r="BD508" i="1"/>
  <c r="BD97" i="1"/>
  <c r="BD243" i="1"/>
  <c r="BD16" i="1"/>
  <c r="BD155" i="1"/>
  <c r="BD402" i="1"/>
  <c r="BD659" i="1"/>
  <c r="BD282" i="1"/>
  <c r="BD110" i="1"/>
  <c r="BD525" i="1"/>
  <c r="BD113" i="1"/>
  <c r="BD449" i="1"/>
  <c r="BD115" i="1"/>
  <c r="BD615" i="1"/>
  <c r="BD427" i="1"/>
  <c r="BD423" i="1"/>
  <c r="BD553" i="1"/>
  <c r="BD281" i="1"/>
  <c r="BD129" i="1"/>
  <c r="BD178" i="1"/>
  <c r="BD208" i="1"/>
  <c r="H47" i="28"/>
  <c r="V553" i="28"/>
  <c r="W553" i="28" s="1"/>
  <c r="X553" i="28" s="1"/>
  <c r="V481" i="28"/>
  <c r="W481" i="28" s="1"/>
  <c r="X481" i="28" s="1"/>
  <c r="V729" i="28"/>
  <c r="W729" i="28" s="1"/>
  <c r="X729" i="28" s="1"/>
  <c r="BD778" i="1"/>
  <c r="H5" i="28"/>
  <c r="I5" i="28" s="1"/>
  <c r="AE450" i="28"/>
  <c r="BD248" i="1"/>
  <c r="BD818" i="1"/>
  <c r="BD777" i="1"/>
  <c r="BD835" i="1"/>
  <c r="BD840" i="1"/>
  <c r="BD834" i="1"/>
  <c r="BD839" i="1"/>
  <c r="BD831" i="1"/>
  <c r="BD833" i="1"/>
  <c r="BD836" i="1"/>
  <c r="BD825" i="1"/>
  <c r="BD832" i="1"/>
  <c r="BD821" i="1"/>
  <c r="H170" i="28"/>
  <c r="I170" i="28" s="1"/>
  <c r="V642" i="28"/>
  <c r="W642" i="28" s="1"/>
  <c r="X642" i="28" s="1"/>
  <c r="BD590" i="1"/>
  <c r="BD100" i="1"/>
  <c r="AE919" i="28"/>
  <c r="BD273" i="1"/>
  <c r="BD167" i="1"/>
  <c r="BD372" i="1"/>
  <c r="H108" i="28"/>
  <c r="I108" i="28" s="1"/>
  <c r="V868" i="28"/>
  <c r="W868" i="28" s="1"/>
  <c r="X868" i="28" s="1"/>
  <c r="BD822" i="1"/>
  <c r="BD819" i="1"/>
  <c r="U552" i="28"/>
  <c r="BD820" i="1"/>
  <c r="H369" i="28"/>
  <c r="I369" i="28" s="1"/>
  <c r="BD774" i="1"/>
  <c r="V703" i="28"/>
  <c r="W703" i="28" s="1"/>
  <c r="X703" i="28" s="1"/>
  <c r="BD528" i="1"/>
  <c r="BD299" i="1"/>
  <c r="BD683" i="1"/>
  <c r="BD114" i="1"/>
  <c r="BD277" i="1"/>
  <c r="BD124" i="1"/>
  <c r="BD455" i="1"/>
  <c r="BD514" i="1"/>
  <c r="BD640" i="1"/>
  <c r="BD326" i="1"/>
  <c r="BD361" i="1"/>
  <c r="BD367" i="1"/>
  <c r="BD81" i="1"/>
  <c r="BD341" i="1"/>
  <c r="BD679" i="1"/>
  <c r="BD127" i="1"/>
  <c r="BD268" i="1"/>
  <c r="BD47" i="1"/>
  <c r="BD230" i="1"/>
  <c r="BD357" i="1"/>
  <c r="BD76" i="1"/>
  <c r="BD608" i="1"/>
  <c r="BD325" i="1"/>
  <c r="BD187" i="1"/>
  <c r="BD554" i="1"/>
  <c r="BD189" i="1"/>
  <c r="BD436" i="1"/>
  <c r="BD447" i="1"/>
  <c r="BD119" i="1"/>
  <c r="BD369" i="1"/>
  <c r="BD198" i="1"/>
  <c r="BD154" i="1"/>
  <c r="BD674" i="1"/>
  <c r="BD176" i="1"/>
  <c r="BD73" i="1"/>
  <c r="V649" i="28"/>
  <c r="W649" i="28" s="1"/>
  <c r="X649" i="28" s="1"/>
  <c r="BD13" i="1"/>
  <c r="V474" i="28"/>
  <c r="W474" i="28" s="1"/>
  <c r="X474" i="28" s="1"/>
  <c r="BD404" i="1"/>
  <c r="BD535" i="1"/>
  <c r="BD622" i="1"/>
  <c r="BD660" i="1"/>
  <c r="V639" i="28"/>
  <c r="W639" i="28" s="1"/>
  <c r="X639" i="28" s="1"/>
  <c r="V566" i="28"/>
  <c r="W566" i="28" s="1"/>
  <c r="X566" i="28" s="1"/>
  <c r="V626" i="28"/>
  <c r="W626" i="28" s="1"/>
  <c r="X626" i="28" s="1"/>
  <c r="V576" i="28"/>
  <c r="W576" i="28" s="1"/>
  <c r="X576" i="28" s="1"/>
  <c r="BD563" i="1"/>
  <c r="BD571" i="1"/>
  <c r="BD215" i="1"/>
  <c r="BD280" i="1"/>
  <c r="BD314" i="1"/>
  <c r="V670" i="28"/>
  <c r="W670" i="28" s="1"/>
  <c r="X670" i="28" s="1"/>
  <c r="BD109" i="1"/>
  <c r="BD310" i="1"/>
  <c r="BD391" i="1"/>
  <c r="BD235" i="1"/>
  <c r="V870" i="28"/>
  <c r="W870" i="28" s="1"/>
  <c r="X870" i="28" s="1"/>
  <c r="V721" i="28"/>
  <c r="W721" i="28" s="1"/>
  <c r="X721" i="28" s="1"/>
  <c r="BD181" i="1"/>
  <c r="BD180" i="1"/>
  <c r="BD140" i="1"/>
  <c r="BD627" i="1"/>
  <c r="BD77" i="1"/>
  <c r="BD532" i="1"/>
  <c r="V824" i="28"/>
  <c r="W824" i="28" s="1"/>
  <c r="X824" i="28" s="1"/>
  <c r="BD72" i="1"/>
  <c r="BD284" i="1"/>
  <c r="BD161" i="1"/>
  <c r="BD218" i="1"/>
  <c r="BD414" i="1"/>
  <c r="BD429" i="1"/>
  <c r="BD291" i="1"/>
  <c r="V785" i="28"/>
  <c r="W785" i="28" s="1"/>
  <c r="X785" i="28" s="1"/>
  <c r="BD586" i="1"/>
  <c r="BD383" i="1"/>
  <c r="BD668" i="1"/>
  <c r="BD271" i="1"/>
  <c r="BD53" i="1"/>
  <c r="V777" i="28"/>
  <c r="W777" i="28" s="1"/>
  <c r="X777" i="28" s="1"/>
  <c r="V761" i="28"/>
  <c r="W761" i="28" s="1"/>
  <c r="X761" i="28" s="1"/>
  <c r="BD387" i="1"/>
  <c r="BD456" i="1"/>
  <c r="BD566" i="1"/>
  <c r="BD471" i="1"/>
  <c r="BD30" i="1"/>
  <c r="BD385" i="1"/>
  <c r="BD382" i="1"/>
  <c r="BD685" i="1"/>
  <c r="BD426" i="1"/>
  <c r="V900" i="28"/>
  <c r="W900" i="28" s="1"/>
  <c r="X900" i="28" s="1"/>
  <c r="BD132" i="1"/>
  <c r="BD565" i="1"/>
  <c r="BD363" i="1"/>
  <c r="BD319" i="1"/>
  <c r="BD464" i="1"/>
  <c r="BD600" i="1"/>
  <c r="BD655" i="1"/>
  <c r="BD61" i="1"/>
  <c r="BD352" i="1"/>
  <c r="BD147" i="1"/>
  <c r="BD624" i="1"/>
  <c r="BD159" i="1"/>
  <c r="BD692" i="1"/>
  <c r="BD306" i="1"/>
  <c r="BD52" i="1"/>
  <c r="BD564" i="1"/>
  <c r="BD356" i="1"/>
  <c r="BD225" i="1"/>
  <c r="BD177" i="1"/>
  <c r="BD355" i="1"/>
  <c r="BD305" i="1"/>
  <c r="BD287" i="1"/>
  <c r="BD577" i="1"/>
  <c r="BD520" i="1"/>
  <c r="BD237" i="1"/>
  <c r="BD433" i="1"/>
  <c r="BD135" i="1"/>
  <c r="BD635" i="1"/>
  <c r="BD216" i="1"/>
  <c r="BD559" i="1"/>
  <c r="BD684" i="1"/>
  <c r="BD274" i="1"/>
  <c r="BD593" i="1"/>
  <c r="BD245" i="1"/>
  <c r="BD157" i="1"/>
  <c r="BD507" i="1"/>
  <c r="BD207" i="1"/>
  <c r="BD270" i="1"/>
  <c r="BD470" i="1"/>
  <c r="BD153" i="1"/>
  <c r="BD540" i="1"/>
  <c r="BD125" i="1"/>
  <c r="BD79" i="1"/>
  <c r="BD541" i="1"/>
  <c r="BD226" i="1"/>
  <c r="BD389" i="1"/>
  <c r="BD853" i="1"/>
  <c r="BD322" i="1"/>
  <c r="BD610" i="1"/>
  <c r="BD197" i="1"/>
  <c r="BD407" i="1"/>
  <c r="BD704" i="1"/>
  <c r="BD118" i="1"/>
  <c r="BD315" i="1"/>
  <c r="BD523" i="1"/>
  <c r="BD386" i="1"/>
  <c r="BD339" i="1"/>
  <c r="BD663" i="1"/>
  <c r="BD63" i="1"/>
  <c r="BD279" i="1"/>
  <c r="BD486" i="1"/>
  <c r="BD658" i="1"/>
  <c r="BD205" i="1"/>
  <c r="BD569" i="1"/>
  <c r="BD19" i="1"/>
  <c r="BD83" i="1"/>
  <c r="BD209" i="1"/>
  <c r="BD631" i="1"/>
  <c r="BD92" i="1"/>
  <c r="BD353" i="1"/>
  <c r="BD557" i="1"/>
  <c r="BD134" i="1"/>
  <c r="BD288" i="1"/>
  <c r="BD405" i="1"/>
  <c r="BD400" i="1"/>
  <c r="BD62" i="1"/>
  <c r="BD321" i="1"/>
  <c r="BD503" i="1"/>
  <c r="BD393" i="1"/>
  <c r="BD626" i="1"/>
  <c r="BD678" i="1"/>
  <c r="BD112" i="1"/>
  <c r="BD561" i="1"/>
  <c r="BD442" i="1"/>
  <c r="BD693" i="1"/>
  <c r="BD55" i="1"/>
  <c r="BD477" i="1"/>
  <c r="BD641" i="1"/>
  <c r="BD145" i="1"/>
  <c r="BD275" i="1"/>
  <c r="BD702" i="1"/>
  <c r="BD90" i="1"/>
  <c r="BD504" i="1"/>
  <c r="BD555" i="1"/>
  <c r="BD25" i="1"/>
  <c r="BD303" i="1"/>
  <c r="BD531" i="1"/>
  <c r="BD51" i="1"/>
  <c r="BD229" i="1"/>
  <c r="BD417" i="1"/>
  <c r="BD558" i="1"/>
  <c r="BD873" i="1"/>
  <c r="BD318" i="1"/>
  <c r="BD450" i="1"/>
  <c r="BD588" i="1"/>
  <c r="BD474" i="1"/>
  <c r="BD136" i="1"/>
  <c r="BD673" i="1"/>
  <c r="BD342" i="1"/>
  <c r="BD542" i="1"/>
  <c r="BD699" i="1"/>
  <c r="BD443" i="1"/>
  <c r="BD175" i="1"/>
  <c r="BD266" i="1"/>
  <c r="BD462" i="1"/>
  <c r="BD529" i="1"/>
  <c r="BD378" i="1"/>
  <c r="BD366" i="1"/>
  <c r="BD111" i="1"/>
  <c r="BD259" i="1"/>
  <c r="BD472" i="1"/>
  <c r="BD648" i="1"/>
  <c r="BD497" i="1"/>
  <c r="BD572" i="1"/>
  <c r="BD351" i="1"/>
  <c r="BD285" i="1"/>
  <c r="BD308" i="1"/>
  <c r="BD297" i="1"/>
  <c r="BD379" i="1"/>
  <c r="BD605" i="1"/>
  <c r="BD567" i="1"/>
  <c r="BD66" i="1"/>
  <c r="BD313" i="1"/>
  <c r="BD487" i="1"/>
  <c r="BD48" i="1"/>
  <c r="BD377" i="1"/>
  <c r="BD545" i="1"/>
  <c r="BD236" i="1"/>
  <c r="BD650" i="1"/>
  <c r="BD267" i="1"/>
  <c r="BD488" i="1"/>
  <c r="BD538" i="1"/>
  <c r="BD295" i="1"/>
  <c r="BD513" i="1"/>
  <c r="BD35" i="1"/>
  <c r="BD131" i="1"/>
  <c r="BD580" i="1"/>
  <c r="BD672" i="1"/>
  <c r="BD46" i="1"/>
  <c r="BD458" i="1"/>
  <c r="BD130" i="1"/>
  <c r="BD34" i="1"/>
  <c r="BD324" i="1"/>
  <c r="BD632" i="1"/>
  <c r="BD694" i="1"/>
  <c r="BD144" i="1"/>
  <c r="BD411" i="1"/>
  <c r="BD621" i="1"/>
  <c r="BD192" i="1"/>
  <c r="BD614" i="1"/>
  <c r="BD40" i="1"/>
  <c r="BD457" i="1"/>
  <c r="BD257" i="1"/>
  <c r="BD42" i="1"/>
  <c r="BD121" i="1"/>
  <c r="BD625" i="1"/>
  <c r="BD38" i="1"/>
  <c r="BD179" i="1"/>
  <c r="BD276" i="1"/>
  <c r="BD93" i="1"/>
  <c r="BD202" i="1"/>
  <c r="BD31" i="1"/>
  <c r="BD316" i="1"/>
  <c r="BD527" i="1"/>
  <c r="BD700" i="1"/>
  <c r="BD219" i="1"/>
  <c r="BD549" i="1"/>
  <c r="BD186" i="1"/>
  <c r="BD381" i="1"/>
  <c r="BD416" i="1"/>
  <c r="BD708" i="1"/>
  <c r="BD191" i="1"/>
  <c r="BD479" i="1"/>
  <c r="BD106" i="1"/>
  <c r="BD261" i="1"/>
  <c r="BD49" i="1"/>
  <c r="BD460" i="1"/>
  <c r="BD620" i="1"/>
  <c r="BD638" i="1"/>
  <c r="BD232" i="1"/>
  <c r="BD656" i="1"/>
  <c r="BD311" i="1"/>
  <c r="BD453" i="1"/>
  <c r="BD634" i="1"/>
  <c r="BD231" i="1"/>
  <c r="BD444" i="1"/>
  <c r="BD646" i="1"/>
  <c r="BD71" i="1"/>
  <c r="BD394" i="1"/>
  <c r="BD669" i="1"/>
  <c r="BD260" i="1"/>
  <c r="BD509" i="1"/>
  <c r="BD871" i="1"/>
  <c r="BD152" i="1"/>
  <c r="BD633" i="1"/>
  <c r="BD619" i="1"/>
  <c r="BD123" i="1"/>
  <c r="BD214" i="1"/>
  <c r="BD695" i="1"/>
  <c r="BD595" i="1"/>
  <c r="BD99" i="1"/>
  <c r="BD65" i="1"/>
  <c r="BD188" i="1"/>
  <c r="BD347" i="1"/>
  <c r="BD667" i="1"/>
  <c r="BD95" i="1"/>
  <c r="BD224" i="1"/>
  <c r="BD606" i="1"/>
  <c r="BD196" i="1"/>
  <c r="BD333" i="1"/>
  <c r="BD647" i="1"/>
  <c r="BD292" i="1"/>
  <c r="BD289" i="1"/>
  <c r="BD358" i="1"/>
  <c r="BD643" i="1"/>
  <c r="BD249" i="1"/>
  <c r="BD133" i="1"/>
  <c r="BD576" i="1"/>
  <c r="BD609" i="1"/>
  <c r="BD163" i="1"/>
  <c r="BD89" i="1"/>
  <c r="BD221" i="1"/>
  <c r="BD120" i="1"/>
  <c r="BD211" i="1"/>
  <c r="BD533" i="1"/>
  <c r="BD222" i="1"/>
  <c r="BD172" i="1"/>
  <c r="BD398" i="1"/>
  <c r="BD463" i="1"/>
  <c r="BD139" i="1"/>
  <c r="BD253" i="1"/>
  <c r="BD612" i="1"/>
  <c r="BD522" i="1"/>
  <c r="BD162" i="1"/>
  <c r="BD286" i="1"/>
  <c r="BD623" i="1"/>
  <c r="BD182" i="1"/>
  <c r="BD412" i="1"/>
  <c r="BD58" i="1"/>
  <c r="BD300" i="1"/>
  <c r="BD104" i="1"/>
  <c r="BD521" i="1"/>
  <c r="BD696" i="1"/>
  <c r="BD203" i="1"/>
  <c r="BD298" i="1"/>
  <c r="BD335" i="1"/>
  <c r="BD616" i="1"/>
  <c r="BD654" i="1"/>
  <c r="BD69" i="1"/>
  <c r="BD138" i="1"/>
  <c r="BD475" i="1"/>
  <c r="BD54" i="1"/>
  <c r="BD220" i="1"/>
  <c r="BD183" i="1"/>
  <c r="BD613" i="1"/>
  <c r="BD45" i="1"/>
  <c r="BD148" i="1"/>
  <c r="BD445" i="1"/>
  <c r="BD599" i="1"/>
  <c r="BD317" i="1"/>
  <c r="BD452" i="1"/>
  <c r="BD689" i="1"/>
  <c r="BD158" i="1"/>
  <c r="BD434" i="1"/>
  <c r="BD524" i="1"/>
  <c r="BD603" i="1"/>
  <c r="BD264" i="1"/>
  <c r="BD415" i="1"/>
  <c r="BD703" i="1"/>
  <c r="BD60" i="1"/>
  <c r="BD517" i="1"/>
  <c r="BD874" i="1"/>
  <c r="BD200" i="1"/>
  <c r="BD263" i="1"/>
  <c r="BD418" i="1"/>
  <c r="BD80" i="1"/>
  <c r="BD512" i="1"/>
  <c r="BD872" i="1"/>
  <c r="BD96" i="1"/>
  <c r="BD210" i="1"/>
  <c r="BD349" i="1"/>
  <c r="BD591" i="1"/>
  <c r="BD28" i="1"/>
  <c r="BD581" i="1"/>
  <c r="BD102" i="1"/>
  <c r="BD413" i="1"/>
  <c r="BD17" i="1"/>
  <c r="BD334" i="1"/>
  <c r="BD688" i="1"/>
  <c r="BD105" i="1"/>
  <c r="BD410" i="1"/>
  <c r="BD247" i="1"/>
  <c r="BD480" i="1"/>
  <c r="BD653" i="1"/>
  <c r="BD665" i="1"/>
  <c r="BD160" i="1"/>
  <c r="BD290" i="1"/>
  <c r="BD64" i="1"/>
  <c r="BD169" i="1"/>
  <c r="BD534" i="1"/>
  <c r="BD459" i="1"/>
  <c r="BD164" i="1"/>
  <c r="BD597" i="1"/>
  <c r="BD41" i="1"/>
  <c r="BD141" i="1"/>
  <c r="BD246" i="1"/>
  <c r="BD582" i="1"/>
  <c r="BD309" i="1"/>
  <c r="BD670" i="1"/>
  <c r="BD156" i="1"/>
  <c r="BD294" i="1"/>
  <c r="BD117" i="1"/>
  <c r="BD256" i="1"/>
  <c r="BD137" i="1"/>
  <c r="BD68" i="1"/>
  <c r="BD496" i="1"/>
  <c r="BD587" i="1"/>
  <c r="BD320" i="1"/>
  <c r="BD709" i="1"/>
  <c r="BD24" i="1"/>
  <c r="BD343" i="1"/>
  <c r="BD439" i="1"/>
  <c r="BD516" i="1"/>
  <c r="BD618" i="1"/>
  <c r="BD29" i="1"/>
  <c r="BD98" i="1"/>
  <c r="BD190" i="1"/>
  <c r="BD323" i="1"/>
  <c r="BD337" i="1"/>
  <c r="BD662" i="1"/>
  <c r="BD75" i="1"/>
  <c r="BD296" i="1"/>
  <c r="BD502" i="1"/>
  <c r="BD465" i="1"/>
  <c r="BD649" i="1"/>
  <c r="BD348" i="1"/>
  <c r="BD122" i="1"/>
  <c r="BD438" i="1"/>
  <c r="BD556" i="1"/>
  <c r="BD585" i="1"/>
  <c r="BD168" i="1"/>
  <c r="BD365" i="1"/>
  <c r="BD87" i="1"/>
  <c r="BD217" i="1"/>
  <c r="BD467" i="1"/>
  <c r="BD39" i="1"/>
  <c r="BD376" i="1"/>
  <c r="BD652" i="1"/>
  <c r="BD223" i="1"/>
  <c r="BD573" i="1"/>
  <c r="BD151" i="1"/>
  <c r="BD234" i="1"/>
  <c r="BD421" i="1"/>
  <c r="BD432" i="1"/>
  <c r="AR331" i="28"/>
  <c r="R331" i="28" s="1"/>
  <c r="H180" i="28"/>
  <c r="H349" i="28"/>
  <c r="I349" i="28" s="1"/>
  <c r="H110" i="28"/>
  <c r="AQ199" i="28"/>
  <c r="S199" i="28" s="1"/>
  <c r="H199" i="28" s="1"/>
  <c r="I199" i="28" s="1"/>
  <c r="AE433" i="28"/>
  <c r="H11" i="15"/>
  <c r="H17" i="15"/>
  <c r="V449" i="28"/>
  <c r="W449" i="28" s="1"/>
  <c r="X449" i="28" s="1"/>
  <c r="V450" i="28"/>
  <c r="W450" i="28" s="1"/>
  <c r="X450" i="28" s="1"/>
  <c r="AQ320" i="28"/>
  <c r="S320" i="28" s="1"/>
  <c r="H320" i="28" s="1"/>
  <c r="I320" i="28" s="1"/>
  <c r="H252" i="28"/>
  <c r="V646" i="28"/>
  <c r="W646" i="28" s="1"/>
  <c r="X646" i="28" s="1"/>
  <c r="H232" i="28"/>
  <c r="V833" i="28"/>
  <c r="W833" i="28" s="1"/>
  <c r="X833" i="28" s="1"/>
  <c r="K12" i="15"/>
  <c r="AE510" i="28"/>
  <c r="H330" i="28"/>
  <c r="Q23" i="15"/>
  <c r="AP402" i="28"/>
  <c r="Q402" i="28" s="1"/>
  <c r="H298" i="28"/>
  <c r="I298" i="28" s="1"/>
  <c r="AQ237" i="28"/>
  <c r="S237" i="28" s="1"/>
  <c r="AE518" i="28"/>
  <c r="AQ413" i="28"/>
  <c r="S413" i="28" s="1"/>
  <c r="AR189" i="28"/>
  <c r="R189" i="28" s="1"/>
  <c r="H189" i="28" s="1"/>
  <c r="I189" i="28" s="1"/>
  <c r="V698" i="28"/>
  <c r="W698" i="28" s="1"/>
  <c r="X698" i="28" s="1"/>
  <c r="AR270" i="28"/>
  <c r="R270" i="28" s="1"/>
  <c r="H270" i="28" s="1"/>
  <c r="I270" i="28" s="1"/>
  <c r="AE494" i="28"/>
  <c r="AR402" i="28"/>
  <c r="R402" i="28" s="1"/>
  <c r="N23" i="15"/>
  <c r="AQ163" i="28"/>
  <c r="S163" i="28" s="1"/>
  <c r="AP275" i="28"/>
  <c r="Q275" i="28" s="1"/>
  <c r="H275" i="28" s="1"/>
  <c r="I275" i="28" s="1"/>
  <c r="AP301" i="28"/>
  <c r="Q301" i="28" s="1"/>
  <c r="H301" i="28" s="1"/>
  <c r="I301" i="28" s="1"/>
  <c r="H97" i="28"/>
  <c r="I97" i="28" s="1"/>
  <c r="U488" i="28"/>
  <c r="T12" i="15"/>
  <c r="H27" i="15"/>
  <c r="N17" i="15"/>
  <c r="V940" i="28"/>
  <c r="W940" i="28" s="1"/>
  <c r="X940" i="28" s="1"/>
  <c r="V963" i="28"/>
  <c r="W963" i="28" s="1"/>
  <c r="X963" i="28" s="1"/>
  <c r="AE841" i="28"/>
  <c r="V656" i="28"/>
  <c r="W656" i="28" s="1"/>
  <c r="X656" i="28" s="1"/>
  <c r="AR26" i="28"/>
  <c r="R26" i="28" s="1"/>
  <c r="H26" i="28" s="1"/>
  <c r="I26" i="28" s="1"/>
  <c r="K25" i="15"/>
  <c r="W616" i="28"/>
  <c r="X616" i="28" s="1"/>
  <c r="AR370" i="28"/>
  <c r="R370" i="28" s="1"/>
  <c r="H370" i="28" s="1"/>
  <c r="I370" i="28" s="1"/>
  <c r="H376" i="28"/>
  <c r="I376" i="28" s="1"/>
  <c r="V704" i="28"/>
  <c r="W704" i="28" s="1"/>
  <c r="X704" i="28" s="1"/>
  <c r="AE640" i="28"/>
  <c r="V599" i="28"/>
  <c r="W599" i="28" s="1"/>
  <c r="X599" i="28" s="1"/>
  <c r="H226" i="28"/>
  <c r="I226" i="28" s="1"/>
  <c r="V608" i="28"/>
  <c r="W608" i="28" s="1"/>
  <c r="X608" i="28" s="1"/>
  <c r="H365" i="28"/>
  <c r="I365" i="28" s="1"/>
  <c r="H3" i="28"/>
  <c r="I3" i="28" s="1"/>
  <c r="AE601" i="28"/>
  <c r="H136" i="28"/>
  <c r="I136" i="28" s="1"/>
  <c r="AE473" i="28"/>
  <c r="H228" i="28"/>
  <c r="I228" i="28" s="1"/>
  <c r="K18" i="15"/>
  <c r="AE969" i="28"/>
  <c r="I34" i="28"/>
  <c r="V631" i="28"/>
  <c r="W631" i="28" s="1"/>
  <c r="X631" i="28" s="1"/>
  <c r="H388" i="28"/>
  <c r="I388" i="28" s="1"/>
  <c r="AR19" i="28"/>
  <c r="R19" i="28" s="1"/>
  <c r="H248" i="28"/>
  <c r="I248" i="28" s="1"/>
  <c r="AR413" i="28"/>
  <c r="R413" i="28" s="1"/>
  <c r="V681" i="28"/>
  <c r="W681" i="28" s="1"/>
  <c r="X681" i="28" s="1"/>
  <c r="H244" i="28"/>
  <c r="I244" i="28" s="1"/>
  <c r="AR322" i="28"/>
  <c r="R322" i="28" s="1"/>
  <c r="AQ254" i="28"/>
  <c r="S254" i="28" s="1"/>
  <c r="V797" i="28"/>
  <c r="W797" i="28" s="1"/>
  <c r="X797" i="28" s="1"/>
  <c r="AP329" i="28"/>
  <c r="Q329" i="28" s="1"/>
  <c r="H329" i="28" s="1"/>
  <c r="I329" i="28" s="1"/>
  <c r="AR351" i="28"/>
  <c r="R351" i="28" s="1"/>
  <c r="H351" i="28" s="1"/>
  <c r="I351" i="28" s="1"/>
  <c r="A51" i="14"/>
  <c r="A101" i="14"/>
  <c r="A203" i="14"/>
  <c r="A126" i="14"/>
  <c r="A177" i="14"/>
  <c r="A12" i="14"/>
  <c r="A151" i="14"/>
  <c r="A229" i="14"/>
  <c r="A76" i="14"/>
  <c r="V480" i="28"/>
  <c r="W480" i="28" s="1"/>
  <c r="X480" i="28" s="1"/>
  <c r="H360" i="28"/>
  <c r="I360" i="28" s="1"/>
  <c r="A52" i="11"/>
  <c r="A13" i="11"/>
  <c r="A78" i="11"/>
  <c r="H284" i="28"/>
  <c r="E19" i="15"/>
  <c r="E156" i="16"/>
  <c r="E103" i="16"/>
  <c r="F7" i="16"/>
  <c r="E50" i="16"/>
  <c r="E129" i="16"/>
  <c r="E77" i="16"/>
  <c r="V702" i="28"/>
  <c r="W702" i="28" s="1"/>
  <c r="X702" i="28" s="1"/>
  <c r="H364" i="28"/>
  <c r="I364" i="28" s="1"/>
  <c r="E20" i="15"/>
  <c r="V978" i="28"/>
  <c r="W978" i="28" s="1"/>
  <c r="X978" i="28" s="1"/>
  <c r="V726" i="28"/>
  <c r="W726" i="28" s="1"/>
  <c r="X726" i="28" s="1"/>
  <c r="V817" i="28"/>
  <c r="W817" i="28" s="1"/>
  <c r="X817" i="28" s="1"/>
  <c r="V789" i="28"/>
  <c r="W789" i="28" s="1"/>
  <c r="X789" i="28" s="1"/>
  <c r="V998" i="28"/>
  <c r="W998" i="28" s="1"/>
  <c r="X998" i="28" s="1"/>
  <c r="V662" i="28"/>
  <c r="W662" i="28" s="1"/>
  <c r="X662" i="28" s="1"/>
  <c r="K17" i="15"/>
  <c r="AE873" i="28"/>
  <c r="K11" i="15"/>
  <c r="T16" i="15"/>
  <c r="K14" i="19"/>
  <c r="D126" i="17"/>
  <c r="E7" i="17"/>
  <c r="D49" i="17"/>
  <c r="D100" i="17"/>
  <c r="D153" i="17"/>
  <c r="D74" i="17"/>
  <c r="H91" i="28"/>
  <c r="I91" i="28" s="1"/>
  <c r="B19" i="15"/>
  <c r="Q9" i="15"/>
  <c r="K116" i="19"/>
  <c r="W21" i="15"/>
  <c r="W18" i="15"/>
  <c r="N12" i="15"/>
  <c r="S14" i="12"/>
  <c r="S36" i="12"/>
  <c r="K25" i="19" s="1"/>
  <c r="F123" i="2"/>
  <c r="F97" i="2"/>
  <c r="F46" i="2"/>
  <c r="F100" i="2"/>
  <c r="G4" i="2"/>
  <c r="F71" i="2"/>
  <c r="F101" i="2"/>
  <c r="F103" i="2"/>
  <c r="F102" i="2"/>
  <c r="C103" i="2"/>
  <c r="B103" i="2"/>
  <c r="D103" i="2"/>
  <c r="F6" i="14"/>
  <c r="E145" i="14"/>
  <c r="E45" i="14"/>
  <c r="E70" i="14"/>
  <c r="E197" i="14"/>
  <c r="E95" i="14"/>
  <c r="E120" i="14"/>
  <c r="E223" i="14"/>
  <c r="E171" i="14"/>
  <c r="Q10" i="15"/>
  <c r="K5" i="19"/>
  <c r="A78" i="2"/>
  <c r="F104" i="2" s="1"/>
  <c r="A11" i="2"/>
  <c r="A104" i="2"/>
  <c r="A130" i="2"/>
  <c r="A53" i="2"/>
  <c r="N10" i="15"/>
  <c r="N26" i="15"/>
  <c r="A17" i="16"/>
  <c r="A166" i="16"/>
  <c r="A113" i="16"/>
  <c r="A60" i="16"/>
  <c r="A87" i="16"/>
  <c r="A139" i="16"/>
  <c r="A132" i="17"/>
  <c r="A106" i="17"/>
  <c r="A159" i="17"/>
  <c r="A13" i="17"/>
  <c r="A55" i="17"/>
  <c r="A80" i="17"/>
  <c r="V602" i="28"/>
  <c r="W602" i="28" s="1"/>
  <c r="X602" i="28" s="1"/>
  <c r="I38" i="28"/>
  <c r="AR311" i="28"/>
  <c r="R311" i="28" s="1"/>
  <c r="H311" i="28" s="1"/>
  <c r="I311" i="28" s="1"/>
  <c r="V899" i="28"/>
  <c r="W899" i="28" s="1"/>
  <c r="X899" i="28" s="1"/>
  <c r="V764" i="28"/>
  <c r="W764" i="28" s="1"/>
  <c r="X764" i="28" s="1"/>
  <c r="V835" i="28"/>
  <c r="W835" i="28" s="1"/>
  <c r="X835" i="28" s="1"/>
  <c r="V772" i="28"/>
  <c r="W772" i="28" s="1"/>
  <c r="X772" i="28" s="1"/>
  <c r="V852" i="28"/>
  <c r="W852" i="28" s="1"/>
  <c r="X852" i="28" s="1"/>
  <c r="V775" i="28"/>
  <c r="W775" i="28" s="1"/>
  <c r="X775" i="28" s="1"/>
  <c r="V975" i="28"/>
  <c r="W975" i="28" s="1"/>
  <c r="X975" i="28" s="1"/>
  <c r="V966" i="28"/>
  <c r="W966" i="28" s="1"/>
  <c r="X966" i="28" s="1"/>
  <c r="V943" i="28"/>
  <c r="W943" i="28" s="1"/>
  <c r="X943" i="28" s="1"/>
  <c r="V911" i="28"/>
  <c r="W911" i="28" s="1"/>
  <c r="X911" i="28" s="1"/>
  <c r="V879" i="28"/>
  <c r="W879" i="28" s="1"/>
  <c r="X879" i="28" s="1"/>
  <c r="V847" i="28"/>
  <c r="W847" i="28" s="1"/>
  <c r="X847" i="28" s="1"/>
  <c r="V802" i="28"/>
  <c r="W802" i="28" s="1"/>
  <c r="X802" i="28" s="1"/>
  <c r="H239" i="28"/>
  <c r="I239" i="28" s="1"/>
  <c r="V948" i="28"/>
  <c r="W948" i="28" s="1"/>
  <c r="X948" i="28" s="1"/>
  <c r="H130" i="28"/>
  <c r="I130" i="28" s="1"/>
  <c r="AQ418" i="28"/>
  <c r="S418" i="28" s="1"/>
  <c r="H418" i="28" s="1"/>
  <c r="I418" i="28" s="1"/>
  <c r="H128" i="28"/>
  <c r="I128" i="28" s="1"/>
  <c r="AQ159" i="28"/>
  <c r="S159" i="28" s="1"/>
  <c r="AQ382" i="28"/>
  <c r="S382" i="28" s="1"/>
  <c r="AP404" i="28"/>
  <c r="Q404" i="28" s="1"/>
  <c r="H104" i="28"/>
  <c r="I104" i="28" s="1"/>
  <c r="AP62" i="28"/>
  <c r="Q62" i="28" s="1"/>
  <c r="H62" i="28" s="1"/>
  <c r="I62" i="28" s="1"/>
  <c r="V713" i="28"/>
  <c r="W713" i="28" s="1"/>
  <c r="X713" i="28" s="1"/>
  <c r="V665" i="28"/>
  <c r="W665" i="28" s="1"/>
  <c r="X665" i="28" s="1"/>
  <c r="AP322" i="28"/>
  <c r="Q322" i="28" s="1"/>
  <c r="AQ222" i="28"/>
  <c r="S222" i="28" s="1"/>
  <c r="H267" i="28"/>
  <c r="I267" i="28" s="1"/>
  <c r="H300" i="28"/>
  <c r="I300" i="28" s="1"/>
  <c r="H208" i="28"/>
  <c r="I208" i="28" s="1"/>
  <c r="AR409" i="28"/>
  <c r="R409" i="28" s="1"/>
  <c r="H409" i="28" s="1"/>
  <c r="I409" i="28" s="1"/>
  <c r="AR404" i="28"/>
  <c r="R404" i="28" s="1"/>
  <c r="AR373" i="28"/>
  <c r="R373" i="28" s="1"/>
  <c r="H334" i="28"/>
  <c r="I334" i="28" s="1"/>
  <c r="AE711" i="28"/>
  <c r="V486" i="28"/>
  <c r="W486" i="28" s="1"/>
  <c r="X486" i="28" s="1"/>
  <c r="V438" i="28"/>
  <c r="W438" i="28" s="1"/>
  <c r="X438" i="28" s="1"/>
  <c r="H260" i="28"/>
  <c r="I260" i="28" s="1"/>
  <c r="AP222" i="28"/>
  <c r="Q222" i="28" s="1"/>
  <c r="AP347" i="28"/>
  <c r="Q347" i="28" s="1"/>
  <c r="AP179" i="28"/>
  <c r="Q179" i="28" s="1"/>
  <c r="U796" i="28"/>
  <c r="AE796" i="28"/>
  <c r="AP382" i="28"/>
  <c r="Q382" i="28" s="1"/>
  <c r="AP283" i="28"/>
  <c r="Q283" i="28" s="1"/>
  <c r="AP101" i="28"/>
  <c r="Q101" i="28" s="1"/>
  <c r="AQ395" i="28"/>
  <c r="S395" i="28" s="1"/>
  <c r="AR222" i="28"/>
  <c r="R222" i="28" s="1"/>
  <c r="AP346" i="28"/>
  <c r="Q346" i="28" s="1"/>
  <c r="H282" i="28"/>
  <c r="I282" i="28" s="1"/>
  <c r="H416" i="28"/>
  <c r="I416" i="28" s="1"/>
  <c r="AP163" i="28"/>
  <c r="Q163" i="28" s="1"/>
  <c r="H374" i="28"/>
  <c r="I374" i="28" s="1"/>
  <c r="AR318" i="28"/>
  <c r="R318" i="28" s="1"/>
  <c r="AP149" i="28"/>
  <c r="Q149" i="28" s="1"/>
  <c r="H80" i="28"/>
  <c r="I80" i="28" s="1"/>
  <c r="H407" i="28"/>
  <c r="I407" i="28" s="1"/>
  <c r="H358" i="28"/>
  <c r="I358" i="28" s="1"/>
  <c r="H406" i="28"/>
  <c r="I406" i="28" s="1"/>
  <c r="H261" i="28"/>
  <c r="I261" i="28" s="1"/>
  <c r="H242" i="28"/>
  <c r="I242" i="28" s="1"/>
  <c r="H424" i="28"/>
  <c r="I424" i="28" s="1"/>
  <c r="H193" i="28"/>
  <c r="I193" i="28" s="1"/>
  <c r="H35" i="28"/>
  <c r="I35" i="28" s="1"/>
  <c r="H18" i="28"/>
  <c r="I18" i="28" s="1"/>
  <c r="AP302" i="28"/>
  <c r="Q302" i="28" s="1"/>
  <c r="AQ10" i="28"/>
  <c r="S10" i="28" s="1"/>
  <c r="AQ49" i="28"/>
  <c r="S49" i="28" s="1"/>
  <c r="H259" i="28"/>
  <c r="I259" i="28" s="1"/>
  <c r="H75" i="28"/>
  <c r="I75" i="28" s="1"/>
  <c r="AP373" i="28"/>
  <c r="Q373" i="28" s="1"/>
  <c r="AR347" i="28"/>
  <c r="R347" i="28" s="1"/>
  <c r="AQ265" i="28"/>
  <c r="S265" i="28" s="1"/>
  <c r="H224" i="28"/>
  <c r="I224" i="28" s="1"/>
  <c r="AR372" i="28"/>
  <c r="R372" i="28" s="1"/>
  <c r="H372" i="28" s="1"/>
  <c r="I372" i="28" s="1"/>
  <c r="AQ322" i="28"/>
  <c r="S322" i="28" s="1"/>
  <c r="AQ197" i="28"/>
  <c r="S197" i="28" s="1"/>
  <c r="H197" i="28" s="1"/>
  <c r="I197" i="28" s="1"/>
  <c r="AR23" i="28"/>
  <c r="R23" i="28" s="1"/>
  <c r="AQ14" i="28"/>
  <c r="S14" i="28" s="1"/>
  <c r="AR49" i="28"/>
  <c r="R49" i="28" s="1"/>
  <c r="H249" i="28"/>
  <c r="I249" i="28" s="1"/>
  <c r="H411" i="28"/>
  <c r="I411" i="28" s="1"/>
  <c r="AP159" i="28"/>
  <c r="Q159" i="28" s="1"/>
  <c r="AQ95" i="28"/>
  <c r="S95" i="28" s="1"/>
  <c r="AQ346" i="28"/>
  <c r="S346" i="28" s="1"/>
  <c r="H122" i="28"/>
  <c r="I122" i="28" s="1"/>
  <c r="AQ318" i="28"/>
  <c r="S318" i="28" s="1"/>
  <c r="AQ303" i="28"/>
  <c r="S303" i="28" s="1"/>
  <c r="H216" i="28"/>
  <c r="I216" i="28" s="1"/>
  <c r="H99" i="28"/>
  <c r="I99" i="28" s="1"/>
  <c r="H421" i="28"/>
  <c r="I421" i="28" s="1"/>
  <c r="V795" i="28"/>
  <c r="W795" i="28" s="1"/>
  <c r="X795" i="28" s="1"/>
  <c r="V995" i="28"/>
  <c r="W995" i="28" s="1"/>
  <c r="X995" i="28" s="1"/>
  <c r="AE972" i="28"/>
  <c r="V972" i="28"/>
  <c r="W972" i="28" s="1"/>
  <c r="X972" i="28" s="1"/>
  <c r="AE660" i="28"/>
  <c r="H324" i="28"/>
  <c r="I324" i="28" s="1"/>
  <c r="V931" i="28"/>
  <c r="W931" i="28" s="1"/>
  <c r="X931" i="28" s="1"/>
  <c r="V844" i="28"/>
  <c r="W844" i="28" s="1"/>
  <c r="X844" i="28" s="1"/>
  <c r="H9" i="28"/>
  <c r="I9" i="28" s="1"/>
  <c r="AR382" i="28"/>
  <c r="R382" i="28" s="1"/>
  <c r="AR385" i="28"/>
  <c r="R385" i="28" s="1"/>
  <c r="AP303" i="28"/>
  <c r="Q303" i="28" s="1"/>
  <c r="AR149" i="28"/>
  <c r="R149" i="28" s="1"/>
  <c r="AR101" i="28"/>
  <c r="R101" i="28" s="1"/>
  <c r="AR10" i="28"/>
  <c r="R10" i="28" s="1"/>
  <c r="H289" i="28"/>
  <c r="I289" i="28" s="1"/>
  <c r="H307" i="28"/>
  <c r="I307" i="28" s="1"/>
  <c r="AP420" i="28"/>
  <c r="Q420" i="28" s="1"/>
  <c r="H420" i="28" s="1"/>
  <c r="I420" i="28" s="1"/>
  <c r="AQ385" i="28"/>
  <c r="S385" i="28" s="1"/>
  <c r="AR219" i="28"/>
  <c r="R219" i="28" s="1"/>
  <c r="H219" i="28" s="1"/>
  <c r="I219" i="28" s="1"/>
  <c r="AP265" i="28"/>
  <c r="Q265" i="28" s="1"/>
  <c r="H299" i="28"/>
  <c r="I299" i="28" s="1"/>
  <c r="H200" i="28"/>
  <c r="I200" i="28" s="1"/>
  <c r="AR179" i="28"/>
  <c r="R179" i="28" s="1"/>
  <c r="AQ98" i="28"/>
  <c r="S98" i="28" s="1"/>
  <c r="AR283" i="28"/>
  <c r="R283" i="28" s="1"/>
  <c r="AR302" i="28"/>
  <c r="R302" i="28" s="1"/>
  <c r="AQ101" i="28"/>
  <c r="S101" i="28" s="1"/>
  <c r="AQ60" i="28"/>
  <c r="S60" i="28" s="1"/>
  <c r="AP14" i="28"/>
  <c r="Q14" i="28" s="1"/>
  <c r="AP385" i="28"/>
  <c r="Q385" i="28" s="1"/>
  <c r="AP309" i="28"/>
  <c r="Q309" i="28" s="1"/>
  <c r="H309" i="28" s="1"/>
  <c r="I309" i="28" s="1"/>
  <c r="AR163" i="28"/>
  <c r="R163" i="28" s="1"/>
  <c r="AP95" i="28"/>
  <c r="Q95" i="28" s="1"/>
  <c r="H155" i="28"/>
  <c r="H264" i="28"/>
  <c r="I264" i="28" s="1"/>
  <c r="H400" i="28"/>
  <c r="I400" i="28" s="1"/>
  <c r="H341" i="28"/>
  <c r="I341" i="28" s="1"/>
  <c r="H185" i="28"/>
  <c r="I185" i="28" s="1"/>
  <c r="H354" i="28"/>
  <c r="I354" i="28" s="1"/>
  <c r="AE644" i="28"/>
  <c r="H33" i="28"/>
  <c r="I33" i="28" s="1"/>
  <c r="H154" i="28"/>
  <c r="I154" i="28" s="1"/>
  <c r="H280" i="28"/>
  <c r="I280" i="28" s="1"/>
  <c r="H281" i="28"/>
  <c r="I281" i="28" s="1"/>
  <c r="H86" i="28"/>
  <c r="I86" i="28" s="1"/>
  <c r="H71" i="28"/>
  <c r="I71" i="28" s="1"/>
  <c r="H123" i="28"/>
  <c r="I123" i="28" s="1"/>
  <c r="AE768" i="28"/>
  <c r="H156" i="28"/>
  <c r="I156" i="28" s="1"/>
  <c r="H182" i="28"/>
  <c r="I182" i="28" s="1"/>
  <c r="H137" i="28"/>
  <c r="I137" i="28" s="1"/>
  <c r="H268" i="28"/>
  <c r="I268" i="28" s="1"/>
  <c r="H165" i="28"/>
  <c r="I165" i="28" s="1"/>
  <c r="H145" i="28"/>
  <c r="I145" i="28" s="1"/>
  <c r="V908" i="28"/>
  <c r="W908" i="28" s="1"/>
  <c r="X908" i="28" s="1"/>
  <c r="V832" i="28"/>
  <c r="W832" i="28" s="1"/>
  <c r="X832" i="28" s="1"/>
  <c r="AE466" i="28"/>
  <c r="V986" i="28"/>
  <c r="W986" i="28" s="1"/>
  <c r="X986" i="28" s="1"/>
  <c r="V954" i="28"/>
  <c r="W954" i="28" s="1"/>
  <c r="X954" i="28" s="1"/>
  <c r="V793" i="28"/>
  <c r="W793" i="28" s="1"/>
  <c r="X793" i="28" s="1"/>
  <c r="V765" i="28"/>
  <c r="W765" i="28" s="1"/>
  <c r="X765" i="28" s="1"/>
  <c r="V942" i="28"/>
  <c r="W942" i="28" s="1"/>
  <c r="X942" i="28" s="1"/>
  <c r="V910" i="28"/>
  <c r="W910" i="28" s="1"/>
  <c r="X910" i="28" s="1"/>
  <c r="V878" i="28"/>
  <c r="W878" i="28" s="1"/>
  <c r="X878" i="28" s="1"/>
  <c r="V846" i="28"/>
  <c r="W846" i="28" s="1"/>
  <c r="X846" i="28" s="1"/>
  <c r="V976" i="28"/>
  <c r="W976" i="28" s="1"/>
  <c r="X976" i="28" s="1"/>
  <c r="V960" i="28"/>
  <c r="W960" i="28" s="1"/>
  <c r="X960" i="28" s="1"/>
  <c r="V944" i="28"/>
  <c r="W944" i="28" s="1"/>
  <c r="X944" i="28" s="1"/>
  <c r="V928" i="28"/>
  <c r="W928" i="28" s="1"/>
  <c r="X928" i="28" s="1"/>
  <c r="V912" i="28"/>
  <c r="W912" i="28" s="1"/>
  <c r="X912" i="28" s="1"/>
  <c r="V896" i="28"/>
  <c r="W896" i="28" s="1"/>
  <c r="X896" i="28" s="1"/>
  <c r="V880" i="28"/>
  <c r="W880" i="28" s="1"/>
  <c r="X880" i="28" s="1"/>
  <c r="V864" i="28"/>
  <c r="W864" i="28" s="1"/>
  <c r="X864" i="28" s="1"/>
  <c r="V848" i="28"/>
  <c r="W848" i="28" s="1"/>
  <c r="X848" i="28" s="1"/>
  <c r="V834" i="28"/>
  <c r="W834" i="28" s="1"/>
  <c r="X834" i="28" s="1"/>
  <c r="V818" i="28"/>
  <c r="W818" i="28" s="1"/>
  <c r="X818" i="28" s="1"/>
  <c r="V956" i="28"/>
  <c r="W956" i="28" s="1"/>
  <c r="X956" i="28" s="1"/>
  <c r="V924" i="28"/>
  <c r="W924" i="28" s="1"/>
  <c r="X924" i="28" s="1"/>
  <c r="V892" i="28"/>
  <c r="W892" i="28" s="1"/>
  <c r="X892" i="28" s="1"/>
  <c r="V860" i="28"/>
  <c r="W860" i="28" s="1"/>
  <c r="X860" i="28" s="1"/>
  <c r="V803" i="28"/>
  <c r="W803" i="28" s="1"/>
  <c r="X803" i="28" s="1"/>
  <c r="V787" i="28"/>
  <c r="W787" i="28" s="1"/>
  <c r="X787" i="28" s="1"/>
  <c r="V550" i="28"/>
  <c r="W550" i="28" s="1"/>
  <c r="X550" i="28" s="1"/>
  <c r="V711" i="28"/>
  <c r="W711" i="28" s="1"/>
  <c r="X711" i="28" s="1"/>
  <c r="V695" i="28"/>
  <c r="W695" i="28" s="1"/>
  <c r="X695" i="28" s="1"/>
  <c r="V730" i="28"/>
  <c r="U730" i="28"/>
  <c r="AE730" i="28"/>
  <c r="V666" i="28"/>
  <c r="W666" i="28" s="1"/>
  <c r="X666" i="28" s="1"/>
  <c r="V570" i="28"/>
  <c r="W570" i="28" s="1"/>
  <c r="X570" i="28" s="1"/>
  <c r="V510" i="28"/>
  <c r="W510" i="28" s="1"/>
  <c r="X510" i="28" s="1"/>
  <c r="V494" i="28"/>
  <c r="W494" i="28" s="1"/>
  <c r="X494" i="28" s="1"/>
  <c r="V478" i="28"/>
  <c r="W478" i="28" s="1"/>
  <c r="X478" i="28" s="1"/>
  <c r="U446" i="28"/>
  <c r="AE446" i="28"/>
  <c r="V446" i="28"/>
  <c r="V876" i="28"/>
  <c r="W876" i="28" s="1"/>
  <c r="X876" i="28" s="1"/>
  <c r="V755" i="28"/>
  <c r="W755" i="28" s="1"/>
  <c r="X755" i="28" s="1"/>
  <c r="V758" i="28"/>
  <c r="W758" i="28" s="1"/>
  <c r="X758" i="28" s="1"/>
  <c r="H66" i="28"/>
  <c r="I66" i="28" s="1"/>
  <c r="H410" i="28"/>
  <c r="I410" i="28" s="1"/>
  <c r="H390" i="28"/>
  <c r="I390" i="28" s="1"/>
  <c r="H93" i="28"/>
  <c r="I93" i="28" s="1"/>
  <c r="H41" i="28"/>
  <c r="I41" i="28" s="1"/>
  <c r="H169" i="28"/>
  <c r="I169" i="28" s="1"/>
  <c r="H279" i="28"/>
  <c r="I279" i="28" s="1"/>
  <c r="AP230" i="28"/>
  <c r="Q230" i="28" s="1"/>
  <c r="AQ223" i="28"/>
  <c r="S223" i="28" s="1"/>
  <c r="H83" i="28"/>
  <c r="I83" i="28" s="1"/>
  <c r="H386" i="28"/>
  <c r="I386" i="28" s="1"/>
  <c r="H293" i="28"/>
  <c r="I293" i="28" s="1"/>
  <c r="H183" i="28"/>
  <c r="I183" i="28" s="1"/>
  <c r="H392" i="28"/>
  <c r="I392" i="28" s="1"/>
  <c r="H203" i="28"/>
  <c r="I203" i="28" s="1"/>
  <c r="H57" i="28"/>
  <c r="I57" i="28" s="1"/>
  <c r="H94" i="28"/>
  <c r="I94" i="28" s="1"/>
  <c r="AP223" i="28"/>
  <c r="Q223" i="28" s="1"/>
  <c r="AQ152" i="28"/>
  <c r="S152" i="28" s="1"/>
  <c r="H124" i="28"/>
  <c r="I124" i="28" s="1"/>
  <c r="H46" i="28"/>
  <c r="I46" i="28" s="1"/>
  <c r="H277" i="28"/>
  <c r="I277" i="28" s="1"/>
  <c r="AQ230" i="28"/>
  <c r="S230" i="28" s="1"/>
  <c r="H408" i="28"/>
  <c r="I408" i="28" s="1"/>
  <c r="H394" i="28"/>
  <c r="I394" i="28" s="1"/>
  <c r="H375" i="28"/>
  <c r="I375" i="28" s="1"/>
  <c r="H350" i="28"/>
  <c r="I350" i="28" s="1"/>
  <c r="H399" i="28"/>
  <c r="I399" i="28" s="1"/>
  <c r="H85" i="28"/>
  <c r="I85" i="28" s="1"/>
  <c r="AE517" i="28"/>
  <c r="H278" i="28"/>
  <c r="I278" i="28" s="1"/>
  <c r="H356" i="28"/>
  <c r="I356" i="28" s="1"/>
  <c r="H305" i="28"/>
  <c r="I305" i="28" s="1"/>
  <c r="H172" i="28"/>
  <c r="I172" i="28" s="1"/>
  <c r="AQ236" i="28"/>
  <c r="S236" i="28" s="1"/>
  <c r="H294" i="28"/>
  <c r="AP340" i="28"/>
  <c r="Q340" i="28" s="1"/>
  <c r="H8" i="28"/>
  <c r="I8" i="28" s="1"/>
  <c r="H29" i="28"/>
  <c r="H28" i="28"/>
  <c r="I28" i="28" s="1"/>
  <c r="H51" i="28"/>
  <c r="I51" i="28" s="1"/>
  <c r="H357" i="28"/>
  <c r="H387" i="28"/>
  <c r="I387" i="28" s="1"/>
  <c r="H147" i="28"/>
  <c r="I147" i="28" s="1"/>
  <c r="H287" i="28"/>
  <c r="I287" i="28" s="1"/>
  <c r="H188" i="28"/>
  <c r="I188" i="28" s="1"/>
  <c r="H24" i="28"/>
  <c r="I24" i="28" s="1"/>
  <c r="N7" i="15"/>
  <c r="H174" i="28"/>
  <c r="I174" i="28" s="1"/>
  <c r="H127" i="28"/>
  <c r="I127" i="28" s="1"/>
  <c r="H151" i="28"/>
  <c r="I151" i="28" s="1"/>
  <c r="H92" i="28"/>
  <c r="I92" i="28" s="1"/>
  <c r="H76" i="28"/>
  <c r="I76" i="28" s="1"/>
  <c r="H213" i="28"/>
  <c r="I213" i="28" s="1"/>
  <c r="H181" i="28"/>
  <c r="I181" i="28" s="1"/>
  <c r="H107" i="28"/>
  <c r="AP381" i="28"/>
  <c r="Q381" i="28" s="1"/>
  <c r="AQ333" i="28"/>
  <c r="S333" i="28" s="1"/>
  <c r="AR223" i="28"/>
  <c r="R223" i="28" s="1"/>
  <c r="AQ157" i="28"/>
  <c r="S157" i="28" s="1"/>
  <c r="H148" i="28"/>
  <c r="I148" i="28" s="1"/>
  <c r="H129" i="28"/>
  <c r="I129" i="28" s="1"/>
  <c r="H78" i="28"/>
  <c r="I78" i="28" s="1"/>
  <c r="H44" i="28"/>
  <c r="I44" i="28" s="1"/>
  <c r="AR37" i="28"/>
  <c r="R37" i="28" s="1"/>
  <c r="H37" i="28" s="1"/>
  <c r="I37" i="28" s="1"/>
  <c r="H235" i="28"/>
  <c r="I235" i="28" s="1"/>
  <c r="AP325" i="28"/>
  <c r="Q325" i="28" s="1"/>
  <c r="H325" i="28" s="1"/>
  <c r="I325" i="28" s="1"/>
  <c r="AP23" i="28"/>
  <c r="Q23" i="28" s="1"/>
  <c r="H171" i="28"/>
  <c r="I171" i="28" s="1"/>
  <c r="H48" i="28"/>
  <c r="H88" i="28"/>
  <c r="I88" i="28" s="1"/>
  <c r="H96" i="28"/>
  <c r="H337" i="28"/>
  <c r="I337" i="28" s="1"/>
  <c r="H262" i="28"/>
  <c r="H415" i="28"/>
  <c r="I415" i="28" s="1"/>
  <c r="AP112" i="28"/>
  <c r="Q112" i="28" s="1"/>
  <c r="H21" i="28"/>
  <c r="I21" i="28" s="1"/>
  <c r="H327" i="28"/>
  <c r="I327" i="28" s="1"/>
  <c r="H368" i="28"/>
  <c r="I368" i="28" s="1"/>
  <c r="H247" i="28"/>
  <c r="I247" i="28" s="1"/>
  <c r="H339" i="28"/>
  <c r="I339" i="28" s="1"/>
  <c r="H220" i="28"/>
  <c r="I220" i="28" s="1"/>
  <c r="H140" i="28"/>
  <c r="I140" i="28" s="1"/>
  <c r="H412" i="28"/>
  <c r="I412" i="28" s="1"/>
  <c r="H367" i="28"/>
  <c r="I367" i="28" s="1"/>
  <c r="H195" i="28"/>
  <c r="I195" i="28" s="1"/>
  <c r="H168" i="28"/>
  <c r="I168" i="28" s="1"/>
  <c r="H134" i="28"/>
  <c r="I134" i="28" s="1"/>
  <c r="H115" i="28"/>
  <c r="I115" i="28" s="1"/>
  <c r="H380" i="28"/>
  <c r="I380" i="28" s="1"/>
  <c r="H191" i="28"/>
  <c r="I191" i="28" s="1"/>
  <c r="AP234" i="28"/>
  <c r="Q234" i="28" s="1"/>
  <c r="H173" i="28"/>
  <c r="I173" i="28" s="1"/>
  <c r="AQ144" i="28"/>
  <c r="S144" i="28" s="1"/>
  <c r="H144" i="28" s="1"/>
  <c r="I144" i="28" s="1"/>
  <c r="AP98" i="28"/>
  <c r="Q98" i="28" s="1"/>
  <c r="H61" i="28"/>
  <c r="I61" i="28" s="1"/>
  <c r="H245" i="28"/>
  <c r="I245" i="28" s="1"/>
  <c r="AQ336" i="28"/>
  <c r="S336" i="28" s="1"/>
  <c r="H274" i="28"/>
  <c r="I274" i="28" s="1"/>
  <c r="AQ160" i="28"/>
  <c r="S160" i="28" s="1"/>
  <c r="H211" i="28"/>
  <c r="I211" i="28" s="1"/>
  <c r="AR112" i="28"/>
  <c r="R112" i="28" s="1"/>
  <c r="AP152" i="28"/>
  <c r="Q152" i="28" s="1"/>
  <c r="H69" i="28"/>
  <c r="AR395" i="28"/>
  <c r="R395" i="28" s="1"/>
  <c r="AR164" i="28"/>
  <c r="R164" i="28" s="1"/>
  <c r="AP20" i="28"/>
  <c r="Q20" i="28" s="1"/>
  <c r="AP65" i="28"/>
  <c r="Q65" i="28" s="1"/>
  <c r="AR60" i="28"/>
  <c r="R60" i="28" s="1"/>
  <c r="AP160" i="28"/>
  <c r="Q160" i="28" s="1"/>
  <c r="H74" i="28"/>
  <c r="I74" i="28" s="1"/>
  <c r="H366" i="28"/>
  <c r="AP318" i="28"/>
  <c r="Q318" i="28" s="1"/>
  <c r="AP395" i="28"/>
  <c r="Q395" i="28" s="1"/>
  <c r="AQ164" i="28"/>
  <c r="S164" i="28" s="1"/>
  <c r="AQ149" i="28"/>
  <c r="S149" i="28" s="1"/>
  <c r="AP49" i="28"/>
  <c r="Q49" i="28" s="1"/>
  <c r="AR234" i="28"/>
  <c r="R234" i="28" s="1"/>
  <c r="AR160" i="28"/>
  <c r="R160" i="28" s="1"/>
  <c r="H209" i="28"/>
  <c r="I209" i="28" s="1"/>
  <c r="H119" i="28"/>
  <c r="I119" i="28" s="1"/>
  <c r="H102" i="28"/>
  <c r="I102" i="28" s="1"/>
  <c r="AR98" i="28"/>
  <c r="R98" i="28" s="1"/>
  <c r="AP164" i="28"/>
  <c r="Q164" i="28" s="1"/>
  <c r="AQ20" i="28"/>
  <c r="S20" i="28" s="1"/>
  <c r="AP336" i="28"/>
  <c r="Q336" i="28" s="1"/>
  <c r="AP254" i="28"/>
  <c r="Q254" i="28" s="1"/>
  <c r="AQ65" i="28"/>
  <c r="S65" i="28" s="1"/>
  <c r="H312" i="28"/>
  <c r="I312" i="28" s="1"/>
  <c r="H286" i="28"/>
  <c r="I286" i="28" s="1"/>
  <c r="AQ234" i="28"/>
  <c r="S234" i="28" s="1"/>
  <c r="H192" i="28"/>
  <c r="I192" i="28" s="1"/>
  <c r="H114" i="28"/>
  <c r="AR20" i="28"/>
  <c r="R20" i="28" s="1"/>
  <c r="H84" i="28"/>
  <c r="I84" i="28" s="1"/>
  <c r="H36" i="28"/>
  <c r="I36" i="28" s="1"/>
  <c r="AR285" i="28"/>
  <c r="R285" i="28" s="1"/>
  <c r="H273" i="28"/>
  <c r="I273" i="28" s="1"/>
  <c r="H111" i="28"/>
  <c r="H89" i="28"/>
  <c r="AQ331" i="28"/>
  <c r="S331" i="28" s="1"/>
  <c r="H331" i="28" s="1"/>
  <c r="I331" i="28" s="1"/>
  <c r="AR272" i="28"/>
  <c r="R272" i="28" s="1"/>
  <c r="H218" i="28"/>
  <c r="I218" i="28" s="1"/>
  <c r="H276" i="28"/>
  <c r="I276" i="28" s="1"/>
  <c r="H231" i="28"/>
  <c r="I231" i="28" s="1"/>
  <c r="H308" i="28"/>
  <c r="I308" i="28" s="1"/>
  <c r="H118" i="28"/>
  <c r="H103" i="28"/>
  <c r="I103" i="28" s="1"/>
  <c r="H52" i="28"/>
  <c r="I52" i="28" s="1"/>
  <c r="AR125" i="28"/>
  <c r="R125" i="28" s="1"/>
  <c r="H389" i="28"/>
  <c r="I389" i="28" s="1"/>
  <c r="H423" i="28"/>
  <c r="I423" i="28" s="1"/>
  <c r="H255" i="28"/>
  <c r="I255" i="28" s="1"/>
  <c r="H319" i="28"/>
  <c r="I319" i="28" s="1"/>
  <c r="H295" i="28"/>
  <c r="I295" i="28" s="1"/>
  <c r="H161" i="28"/>
  <c r="I161" i="28" s="1"/>
  <c r="H141" i="28"/>
  <c r="I141" i="28" s="1"/>
  <c r="H50" i="28"/>
  <c r="I50" i="28" s="1"/>
  <c r="AP359" i="28"/>
  <c r="Q359" i="28" s="1"/>
  <c r="H419" i="28"/>
  <c r="I419" i="28" s="1"/>
  <c r="H355" i="28"/>
  <c r="I355" i="28" s="1"/>
  <c r="AP323" i="28"/>
  <c r="Q323" i="28" s="1"/>
  <c r="H321" i="28"/>
  <c r="I321" i="28" s="1"/>
  <c r="H291" i="28"/>
  <c r="I291" i="28" s="1"/>
  <c r="AP272" i="28"/>
  <c r="Q272" i="28" s="1"/>
  <c r="H257" i="28"/>
  <c r="I257" i="28" s="1"/>
  <c r="AP215" i="28"/>
  <c r="Q215" i="28" s="1"/>
  <c r="H201" i="28"/>
  <c r="I201" i="28" s="1"/>
  <c r="H116" i="28"/>
  <c r="I116" i="28" s="1"/>
  <c r="H43" i="28"/>
  <c r="H417" i="28"/>
  <c r="I417" i="28" s="1"/>
  <c r="H313" i="28"/>
  <c r="I313" i="28" s="1"/>
  <c r="H342" i="28"/>
  <c r="I342" i="28" s="1"/>
  <c r="AR340" i="28"/>
  <c r="R340" i="28" s="1"/>
  <c r="H31" i="28"/>
  <c r="I31" i="28" s="1"/>
  <c r="AR32" i="28"/>
  <c r="R32" i="28" s="1"/>
  <c r="AP266" i="28"/>
  <c r="Q266" i="28" s="1"/>
  <c r="H202" i="28"/>
  <c r="I202" i="28" s="1"/>
  <c r="H13" i="28"/>
  <c r="I13" i="28" s="1"/>
  <c r="H176" i="28"/>
  <c r="AQ359" i="28"/>
  <c r="S359" i="28" s="1"/>
  <c r="AQ323" i="28"/>
  <c r="S323" i="28" s="1"/>
  <c r="AQ272" i="28"/>
  <c r="S272" i="28" s="1"/>
  <c r="AP285" i="28"/>
  <c r="Q285" i="28" s="1"/>
  <c r="AQ215" i="28"/>
  <c r="S215" i="28" s="1"/>
  <c r="H167" i="28"/>
  <c r="I167" i="28" s="1"/>
  <c r="AQ125" i="28"/>
  <c r="S125" i="28" s="1"/>
  <c r="H109" i="28"/>
  <c r="I109" i="28" s="1"/>
  <c r="H73" i="28"/>
  <c r="I73" i="28" s="1"/>
  <c r="AP19" i="28"/>
  <c r="Q19" i="28" s="1"/>
  <c r="H344" i="28"/>
  <c r="I344" i="28" s="1"/>
  <c r="H414" i="28"/>
  <c r="I414" i="28" s="1"/>
  <c r="AR381" i="28"/>
  <c r="R381" i="28" s="1"/>
  <c r="AP333" i="28"/>
  <c r="Q333" i="28" s="1"/>
  <c r="AP157" i="28"/>
  <c r="Q157" i="28" s="1"/>
  <c r="AP32" i="28"/>
  <c r="Q32" i="28" s="1"/>
  <c r="H253" i="28"/>
  <c r="I253" i="28" s="1"/>
  <c r="AR405" i="28"/>
  <c r="R405" i="28" s="1"/>
  <c r="AR266" i="28"/>
  <c r="R266" i="28" s="1"/>
  <c r="H206" i="28"/>
  <c r="I206" i="28" s="1"/>
  <c r="H106" i="28"/>
  <c r="I106" i="28" s="1"/>
  <c r="H12" i="28"/>
  <c r="I12" i="28" s="1"/>
  <c r="H371" i="28"/>
  <c r="I371" i="28" s="1"/>
  <c r="AR359" i="28"/>
  <c r="R359" i="28" s="1"/>
  <c r="H221" i="28"/>
  <c r="I221" i="28" s="1"/>
  <c r="AR323" i="28"/>
  <c r="R323" i="28" s="1"/>
  <c r="H256" i="28"/>
  <c r="I256" i="28" s="1"/>
  <c r="AQ285" i="28"/>
  <c r="S285" i="28" s="1"/>
  <c r="AP236" i="28"/>
  <c r="Q236" i="28" s="1"/>
  <c r="AR215" i="28"/>
  <c r="R215" i="28" s="1"/>
  <c r="H153" i="28"/>
  <c r="I153" i="28" s="1"/>
  <c r="AP125" i="28"/>
  <c r="Q125" i="28" s="1"/>
  <c r="H117" i="28"/>
  <c r="H81" i="28"/>
  <c r="I81" i="28" s="1"/>
  <c r="H16" i="28"/>
  <c r="I16" i="28" s="1"/>
  <c r="H45" i="28"/>
  <c r="H269" i="28"/>
  <c r="I269" i="28" s="1"/>
  <c r="AP237" i="28"/>
  <c r="Q237" i="28" s="1"/>
  <c r="AQ340" i="28"/>
  <c r="S340" i="28" s="1"/>
  <c r="AR157" i="28"/>
  <c r="R157" i="28" s="1"/>
  <c r="AQ32" i="28"/>
  <c r="S32" i="28" s="1"/>
  <c r="H316" i="28"/>
  <c r="I316" i="28" s="1"/>
  <c r="AP405" i="28"/>
  <c r="Q405" i="28" s="1"/>
  <c r="H240" i="28"/>
  <c r="I240" i="28" s="1"/>
  <c r="H426" i="28"/>
  <c r="I426" i="28" s="1"/>
  <c r="H317" i="28"/>
  <c r="I317" i="28" s="1"/>
  <c r="AQ381" i="28"/>
  <c r="S381" i="28" s="1"/>
  <c r="H190" i="28"/>
  <c r="I190" i="28" s="1"/>
  <c r="H205" i="28"/>
  <c r="I205" i="28" s="1"/>
  <c r="H196" i="28"/>
  <c r="I196" i="28" s="1"/>
  <c r="H143" i="28"/>
  <c r="I143" i="28" s="1"/>
  <c r="H6" i="28"/>
  <c r="I6" i="28" s="1"/>
  <c r="AQ405" i="28"/>
  <c r="S405" i="28" s="1"/>
  <c r="H243" i="28"/>
  <c r="I243" i="28" s="1"/>
  <c r="AQ266" i="28"/>
  <c r="S266" i="28" s="1"/>
  <c r="H42" i="28"/>
  <c r="I42" i="28" s="1"/>
  <c r="BC8" i="1"/>
  <c r="H3" i="1" s="1"/>
  <c r="AF7" i="15"/>
  <c r="AC7" i="15"/>
  <c r="E10" i="14"/>
  <c r="E9" i="2"/>
  <c r="E9" i="14"/>
  <c r="E7" i="2"/>
  <c r="D8" i="2"/>
  <c r="F9" i="2"/>
  <c r="F8" i="2"/>
  <c r="C10" i="14"/>
  <c r="D9" i="2"/>
  <c r="D8" i="14"/>
  <c r="F6" i="2"/>
  <c r="E8" i="14"/>
  <c r="E6" i="2"/>
  <c r="B9" i="2"/>
  <c r="E8" i="2"/>
  <c r="C7" i="2"/>
  <c r="C8" i="14"/>
  <c r="C9" i="14"/>
  <c r="D6" i="2"/>
  <c r="B8" i="2"/>
  <c r="D9" i="14"/>
  <c r="D7" i="2"/>
  <c r="K7" i="15"/>
  <c r="Z7" i="15"/>
  <c r="D10" i="14"/>
  <c r="B9" i="14"/>
  <c r="B7" i="2"/>
  <c r="C6" i="2"/>
  <c r="W7" i="15"/>
  <c r="B10" i="14"/>
  <c r="F7" i="2"/>
  <c r="C9" i="2"/>
  <c r="C8" i="2"/>
  <c r="B6" i="2"/>
  <c r="B8" i="14"/>
  <c r="H398" i="28"/>
  <c r="I398" i="28" s="1"/>
  <c r="H343" i="28"/>
  <c r="I343" i="28" s="1"/>
  <c r="H39" i="28"/>
  <c r="I39" i="28" s="1"/>
  <c r="H17" i="28"/>
  <c r="I17" i="28" s="1"/>
  <c r="H352" i="28"/>
  <c r="I352" i="28" s="1"/>
  <c r="H131" i="28"/>
  <c r="I131" i="28" s="1"/>
  <c r="H186" i="28"/>
  <c r="I186" i="28" s="1"/>
  <c r="H7" i="28"/>
  <c r="I7" i="28" s="1"/>
  <c r="H198" i="28"/>
  <c r="I198" i="28" s="1"/>
  <c r="H384" i="28"/>
  <c r="I384" i="28" s="1"/>
  <c r="H187" i="28"/>
  <c r="I187" i="28" s="1"/>
  <c r="H290" i="28"/>
  <c r="I290" i="28" s="1"/>
  <c r="H212" i="28"/>
  <c r="I212" i="28" s="1"/>
  <c r="H238" i="28"/>
  <c r="I238" i="28" s="1"/>
  <c r="H227" i="28"/>
  <c r="I227" i="28" s="1"/>
  <c r="H217" i="28"/>
  <c r="I217" i="28" s="1"/>
  <c r="H63" i="28"/>
  <c r="I63" i="28" s="1"/>
  <c r="H393" i="28"/>
  <c r="I393" i="28" s="1"/>
  <c r="H310" i="28"/>
  <c r="I310" i="28" s="1"/>
  <c r="H425" i="28"/>
  <c r="I425" i="28" s="1"/>
  <c r="E8" i="15"/>
  <c r="E7" i="15"/>
  <c r="U937" i="28"/>
  <c r="AE937" i="28"/>
  <c r="V937" i="28"/>
  <c r="U905" i="28"/>
  <c r="AE905" i="28"/>
  <c r="V905" i="28"/>
  <c r="U965" i="28"/>
  <c r="AE965" i="28"/>
  <c r="V965" i="28"/>
  <c r="U724" i="28"/>
  <c r="AE724" i="28"/>
  <c r="V724" i="28"/>
  <c r="U708" i="28"/>
  <c r="AE708" i="28"/>
  <c r="V708" i="28"/>
  <c r="U692" i="28"/>
  <c r="AE692" i="28"/>
  <c r="V692" i="28"/>
  <c r="U676" i="28"/>
  <c r="AE676" i="28"/>
  <c r="V676" i="28"/>
  <c r="U628" i="28"/>
  <c r="AE628" i="28"/>
  <c r="V628" i="28"/>
  <c r="U612" i="28"/>
  <c r="AE612" i="28"/>
  <c r="V612" i="28"/>
  <c r="U596" i="28"/>
  <c r="AE596" i="28"/>
  <c r="V596" i="28"/>
  <c r="U580" i="28"/>
  <c r="AE580" i="28"/>
  <c r="V580" i="28"/>
  <c r="U564" i="28"/>
  <c r="AE564" i="28"/>
  <c r="V564" i="28"/>
  <c r="U548" i="28"/>
  <c r="AE548" i="28"/>
  <c r="V548" i="28"/>
  <c r="U532" i="28"/>
  <c r="AE532" i="28"/>
  <c r="V532" i="28"/>
  <c r="U516" i="28"/>
  <c r="AE516" i="28"/>
  <c r="V516" i="28"/>
  <c r="U500" i="28"/>
  <c r="AE500" i="28"/>
  <c r="V500" i="28"/>
  <c r="U484" i="28"/>
  <c r="AE484" i="28"/>
  <c r="V484" i="28"/>
  <c r="U468" i="28"/>
  <c r="AE468" i="28"/>
  <c r="V468" i="28"/>
  <c r="U452" i="28"/>
  <c r="AE452" i="28"/>
  <c r="V452" i="28"/>
  <c r="U436" i="28"/>
  <c r="AE436" i="28"/>
  <c r="V436" i="28"/>
  <c r="U677" i="28"/>
  <c r="AE677" i="28"/>
  <c r="V677" i="28"/>
  <c r="U613" i="28"/>
  <c r="AE613" i="28"/>
  <c r="V613" i="28"/>
  <c r="U581" i="28"/>
  <c r="AE581" i="28"/>
  <c r="V581" i="28"/>
  <c r="U549" i="28"/>
  <c r="AE549" i="28"/>
  <c r="V549" i="28"/>
  <c r="U485" i="28"/>
  <c r="AE485" i="28"/>
  <c r="V485" i="28"/>
  <c r="U453" i="28"/>
  <c r="AE453" i="28"/>
  <c r="V453" i="28"/>
  <c r="I422" i="28"/>
  <c r="I297" i="28"/>
  <c r="I296" i="28"/>
  <c r="I328" i="28"/>
  <c r="I252" i="28"/>
  <c r="I233" i="28"/>
  <c r="I210" i="28"/>
  <c r="I150" i="28"/>
  <c r="I138" i="28"/>
  <c r="I178" i="28"/>
  <c r="I132" i="28"/>
  <c r="I126" i="28"/>
  <c r="I87" i="28"/>
  <c r="I59" i="28"/>
  <c r="I25" i="28"/>
  <c r="B8" i="15"/>
  <c r="B7" i="15"/>
  <c r="BB8" i="1"/>
  <c r="G3" i="1" s="1"/>
  <c r="BD11" i="1"/>
  <c r="U748" i="28"/>
  <c r="AE748" i="28"/>
  <c r="V748" i="28"/>
  <c r="U977" i="28"/>
  <c r="AE977" i="28"/>
  <c r="V977" i="28"/>
  <c r="U945" i="28"/>
  <c r="AE945" i="28"/>
  <c r="V945" i="28"/>
  <c r="U913" i="28"/>
  <c r="AE913" i="28"/>
  <c r="V913" i="28"/>
  <c r="U849" i="28"/>
  <c r="AE849" i="28"/>
  <c r="V849" i="28"/>
  <c r="U973" i="28"/>
  <c r="AE973" i="28"/>
  <c r="V973" i="28"/>
  <c r="U909" i="28"/>
  <c r="AE909" i="28"/>
  <c r="V909" i="28"/>
  <c r="U877" i="28"/>
  <c r="AE877" i="28"/>
  <c r="V877" i="28"/>
  <c r="U845" i="28"/>
  <c r="AE845" i="28"/>
  <c r="V845" i="28"/>
  <c r="U736" i="28"/>
  <c r="AE736" i="28"/>
  <c r="V736" i="28"/>
  <c r="U723" i="28"/>
  <c r="AE723" i="28"/>
  <c r="V723" i="28"/>
  <c r="U707" i="28"/>
  <c r="AE707" i="28"/>
  <c r="V707" i="28"/>
  <c r="U691" i="28"/>
  <c r="AE691" i="28"/>
  <c r="V691" i="28"/>
  <c r="U675" i="28"/>
  <c r="AE675" i="28"/>
  <c r="V675" i="28"/>
  <c r="U659" i="28"/>
  <c r="AE659" i="28"/>
  <c r="V659" i="28"/>
  <c r="U643" i="28"/>
  <c r="AE643" i="28"/>
  <c r="V643" i="28"/>
  <c r="U595" i="28"/>
  <c r="AE595" i="28"/>
  <c r="V595" i="28"/>
  <c r="U579" i="28"/>
  <c r="AE579" i="28"/>
  <c r="V579" i="28"/>
  <c r="U563" i="28"/>
  <c r="AE563" i="28"/>
  <c r="V563" i="28"/>
  <c r="U531" i="28"/>
  <c r="AE531" i="28"/>
  <c r="V531" i="28"/>
  <c r="U515" i="28"/>
  <c r="AE515" i="28"/>
  <c r="V515" i="28"/>
  <c r="U499" i="28"/>
  <c r="AE499" i="28"/>
  <c r="V499" i="28"/>
  <c r="U483" i="28"/>
  <c r="AE483" i="28"/>
  <c r="V483" i="28"/>
  <c r="U451" i="28"/>
  <c r="AE451" i="28"/>
  <c r="V451" i="28"/>
  <c r="U435" i="28"/>
  <c r="AE435" i="28"/>
  <c r="V435" i="28"/>
  <c r="I397" i="28"/>
  <c r="I379" i="28"/>
  <c r="U717" i="28"/>
  <c r="AE717" i="28"/>
  <c r="V717" i="28"/>
  <c r="U685" i="28"/>
  <c r="AE685" i="28"/>
  <c r="V685" i="28"/>
  <c r="U653" i="28"/>
  <c r="AE653" i="28"/>
  <c r="V653" i="28"/>
  <c r="U525" i="28"/>
  <c r="AE525" i="28"/>
  <c r="V525" i="28"/>
  <c r="U493" i="28"/>
  <c r="AE493" i="28"/>
  <c r="V493" i="28"/>
  <c r="U429" i="28"/>
  <c r="AE429" i="28"/>
  <c r="V429" i="28"/>
  <c r="I378" i="28"/>
  <c r="I330" i="28"/>
  <c r="I306" i="28"/>
  <c r="I348" i="28"/>
  <c r="I315" i="28"/>
  <c r="I314" i="28"/>
  <c r="I288" i="28"/>
  <c r="I232" i="28"/>
  <c r="I345" i="28"/>
  <c r="I353" i="28"/>
  <c r="I335" i="28"/>
  <c r="I284" i="28"/>
  <c r="I271" i="28"/>
  <c r="I250" i="28"/>
  <c r="I214" i="28"/>
  <c r="I204" i="28"/>
  <c r="I194" i="28"/>
  <c r="I180" i="28"/>
  <c r="I166" i="28"/>
  <c r="I229" i="28"/>
  <c r="I177" i="28"/>
  <c r="I158" i="28"/>
  <c r="I146" i="28"/>
  <c r="I142" i="28"/>
  <c r="I135" i="28"/>
  <c r="I133" i="28"/>
  <c r="I121" i="28"/>
  <c r="I90" i="28"/>
  <c r="I68" i="28"/>
  <c r="I58" i="28"/>
  <c r="I79" i="28"/>
  <c r="I100" i="28"/>
  <c r="I77" i="28"/>
  <c r="I72" i="28"/>
  <c r="I55" i="28"/>
  <c r="I47" i="28"/>
  <c r="I40" i="28"/>
  <c r="I30" i="28"/>
  <c r="I27" i="28"/>
  <c r="Q8" i="15"/>
  <c r="Q7" i="15"/>
  <c r="AM7" i="1"/>
  <c r="D3" i="1" s="1"/>
  <c r="AQ8" i="1"/>
  <c r="E3" i="1" s="1"/>
  <c r="U996" i="28"/>
  <c r="AE996" i="28"/>
  <c r="V996" i="28"/>
  <c r="U744" i="28"/>
  <c r="AE744" i="28"/>
  <c r="V744" i="28"/>
  <c r="U737" i="28"/>
  <c r="AE737" i="28"/>
  <c r="V737" i="28"/>
  <c r="U953" i="28"/>
  <c r="AE953" i="28"/>
  <c r="V953" i="28"/>
  <c r="U921" i="28"/>
  <c r="AE921" i="28"/>
  <c r="V921" i="28"/>
  <c r="U889" i="28"/>
  <c r="AE889" i="28"/>
  <c r="V889" i="28"/>
  <c r="U857" i="28"/>
  <c r="AE857" i="28"/>
  <c r="V857" i="28"/>
  <c r="U981" i="28"/>
  <c r="AE981" i="28"/>
  <c r="V981" i="28"/>
  <c r="U853" i="28"/>
  <c r="AE853" i="28"/>
  <c r="V853" i="28"/>
  <c r="U732" i="28"/>
  <c r="AE732" i="28"/>
  <c r="V732" i="28"/>
  <c r="U716" i="28"/>
  <c r="AE716" i="28"/>
  <c r="V716" i="28"/>
  <c r="U700" i="28"/>
  <c r="AE700" i="28"/>
  <c r="V700" i="28"/>
  <c r="U684" i="28"/>
  <c r="AE684" i="28"/>
  <c r="V684" i="28"/>
  <c r="U668" i="28"/>
  <c r="AE668" i="28"/>
  <c r="V668" i="28"/>
  <c r="U652" i="28"/>
  <c r="AE652" i="28"/>
  <c r="V652" i="28"/>
  <c r="U620" i="28"/>
  <c r="AE620" i="28"/>
  <c r="V620" i="28"/>
  <c r="U604" i="28"/>
  <c r="AE604" i="28"/>
  <c r="V604" i="28"/>
  <c r="U588" i="28"/>
  <c r="AE588" i="28"/>
  <c r="V588" i="28"/>
  <c r="U556" i="28"/>
  <c r="AE556" i="28"/>
  <c r="V556" i="28"/>
  <c r="U540" i="28"/>
  <c r="AE540" i="28"/>
  <c r="V540" i="28"/>
  <c r="U524" i="28"/>
  <c r="AE524" i="28"/>
  <c r="V524" i="28"/>
  <c r="U508" i="28"/>
  <c r="AE508" i="28"/>
  <c r="V508" i="28"/>
  <c r="U492" i="28"/>
  <c r="AE492" i="28"/>
  <c r="V492" i="28"/>
  <c r="U476" i="28"/>
  <c r="AE476" i="28"/>
  <c r="V476" i="28"/>
  <c r="U460" i="28"/>
  <c r="AE460" i="28"/>
  <c r="V460" i="28"/>
  <c r="U428" i="28"/>
  <c r="AE428" i="28"/>
  <c r="V428" i="28"/>
  <c r="I401" i="28"/>
  <c r="I403" i="28"/>
  <c r="I363" i="28"/>
  <c r="U693" i="28"/>
  <c r="AE693" i="28"/>
  <c r="V693" i="28"/>
  <c r="U661" i="28"/>
  <c r="AE661" i="28"/>
  <c r="V661" i="28"/>
  <c r="U629" i="28"/>
  <c r="AE629" i="28"/>
  <c r="V629" i="28"/>
  <c r="U597" i="28"/>
  <c r="AE597" i="28"/>
  <c r="V597" i="28"/>
  <c r="U565" i="28"/>
  <c r="AE565" i="28"/>
  <c r="V565" i="28"/>
  <c r="U533" i="28"/>
  <c r="AE533" i="28"/>
  <c r="V533" i="28"/>
  <c r="U501" i="28"/>
  <c r="AE501" i="28"/>
  <c r="V501" i="28"/>
  <c r="U469" i="28"/>
  <c r="AE469" i="28"/>
  <c r="V469" i="28"/>
  <c r="U437" i="28"/>
  <c r="AE437" i="28"/>
  <c r="V437" i="28"/>
  <c r="I391" i="28"/>
  <c r="I383" i="28"/>
  <c r="I362" i="28"/>
  <c r="I332" i="28"/>
  <c r="I225" i="28"/>
  <c r="I175" i="28"/>
  <c r="I105" i="28"/>
  <c r="I70" i="28"/>
  <c r="I110" i="28"/>
  <c r="I67" i="28"/>
  <c r="I54" i="28"/>
  <c r="I4" i="28"/>
  <c r="I15" i="28"/>
  <c r="I53" i="28"/>
  <c r="H8" i="15"/>
  <c r="H7" i="15"/>
  <c r="T8" i="15"/>
  <c r="T7" i="15"/>
  <c r="U740" i="28"/>
  <c r="AE740" i="28"/>
  <c r="V740" i="28"/>
  <c r="U993" i="28"/>
  <c r="AE993" i="28"/>
  <c r="V993" i="28"/>
  <c r="U961" i="28"/>
  <c r="AE961" i="28"/>
  <c r="V961" i="28"/>
  <c r="U897" i="28"/>
  <c r="AE897" i="28"/>
  <c r="V897" i="28"/>
  <c r="U865" i="28"/>
  <c r="AE865" i="28"/>
  <c r="V865" i="28"/>
  <c r="U957" i="28"/>
  <c r="AE957" i="28"/>
  <c r="V957" i="28"/>
  <c r="U925" i="28"/>
  <c r="AE925" i="28"/>
  <c r="V925" i="28"/>
  <c r="U893" i="28"/>
  <c r="AE893" i="28"/>
  <c r="V893" i="28"/>
  <c r="U861" i="28"/>
  <c r="AE861" i="28"/>
  <c r="V861" i="28"/>
  <c r="U731" i="28"/>
  <c r="AE731" i="28"/>
  <c r="V731" i="28"/>
  <c r="U699" i="28"/>
  <c r="AE699" i="28"/>
  <c r="V699" i="28"/>
  <c r="U683" i="28"/>
  <c r="AE683" i="28"/>
  <c r="V683" i="28"/>
  <c r="U667" i="28"/>
  <c r="AE667" i="28"/>
  <c r="V667" i="28"/>
  <c r="U651" i="28"/>
  <c r="AE651" i="28"/>
  <c r="V651" i="28"/>
  <c r="U635" i="28"/>
  <c r="AE635" i="28"/>
  <c r="V635" i="28"/>
  <c r="U603" i="28"/>
  <c r="AE603" i="28"/>
  <c r="V603" i="28"/>
  <c r="U587" i="28"/>
  <c r="AE587" i="28"/>
  <c r="V587" i="28"/>
  <c r="U555" i="28"/>
  <c r="AE555" i="28"/>
  <c r="V555" i="28"/>
  <c r="U523" i="28"/>
  <c r="AE523" i="28"/>
  <c r="V523" i="28"/>
  <c r="U507" i="28"/>
  <c r="AE507" i="28"/>
  <c r="V507" i="28"/>
  <c r="U491" i="28"/>
  <c r="AE491" i="28"/>
  <c r="V491" i="28"/>
  <c r="U475" i="28"/>
  <c r="AE475" i="28"/>
  <c r="V475" i="28"/>
  <c r="U443" i="28"/>
  <c r="AE443" i="28"/>
  <c r="V443" i="28"/>
  <c r="I377" i="28"/>
  <c r="U733" i="28"/>
  <c r="AE733" i="28"/>
  <c r="V733" i="28"/>
  <c r="U701" i="28"/>
  <c r="AE701" i="28"/>
  <c r="V701" i="28"/>
  <c r="U669" i="28"/>
  <c r="AE669" i="28"/>
  <c r="V669" i="28"/>
  <c r="U637" i="28"/>
  <c r="AE637" i="28"/>
  <c r="V637" i="28"/>
  <c r="U605" i="28"/>
  <c r="AE605" i="28"/>
  <c r="V605" i="28"/>
  <c r="U509" i="28"/>
  <c r="AE509" i="28"/>
  <c r="V509" i="28"/>
  <c r="I304" i="28"/>
  <c r="I292" i="28"/>
  <c r="I251" i="28"/>
  <c r="I162" i="28"/>
  <c r="I113" i="28"/>
  <c r="I120" i="28"/>
  <c r="I64" i="28"/>
  <c r="I82" i="28"/>
  <c r="I11" i="28"/>
  <c r="I22" i="28"/>
  <c r="I338" i="28"/>
  <c r="I263" i="28"/>
  <c r="I207" i="28"/>
  <c r="I184" i="28"/>
  <c r="I396" i="28"/>
  <c r="I326" i="28"/>
  <c r="I258" i="28"/>
  <c r="I246" i="28"/>
  <c r="I56" i="28"/>
  <c r="K890" i="28" l="1"/>
  <c r="K840" i="28"/>
  <c r="K820" i="28"/>
  <c r="K930" i="28"/>
  <c r="K952" i="28"/>
  <c r="K575" i="28"/>
  <c r="K594" i="28"/>
  <c r="K591" i="28"/>
  <c r="K648" i="28"/>
  <c r="K706" i="28"/>
  <c r="K799" i="28"/>
  <c r="K780" i="28"/>
  <c r="K698" i="28"/>
  <c r="K801" i="28"/>
  <c r="K753" i="28"/>
  <c r="K822" i="28"/>
  <c r="K851" i="28"/>
  <c r="K927" i="28"/>
  <c r="K856" i="28"/>
  <c r="K757" i="28"/>
  <c r="K728" i="28"/>
  <c r="K979" i="28"/>
  <c r="K967" i="28"/>
  <c r="K454" i="28"/>
  <c r="K817" i="28"/>
  <c r="K446" i="28"/>
  <c r="K860" i="28"/>
  <c r="K701" i="28"/>
  <c r="K587" i="28"/>
  <c r="K661" i="28"/>
  <c r="K540" i="28"/>
  <c r="K685" i="28"/>
  <c r="K563" i="28"/>
  <c r="K677" i="28"/>
  <c r="K647" i="28"/>
  <c r="K727" i="28"/>
  <c r="K988" i="28"/>
  <c r="K792" i="28"/>
  <c r="K843" i="28"/>
  <c r="K541" i="28"/>
  <c r="K539" i="28"/>
  <c r="K989" i="28"/>
  <c r="K572" i="28"/>
  <c r="K949" i="28"/>
  <c r="K589" i="28"/>
  <c r="K611" i="28"/>
  <c r="K933" i="28"/>
  <c r="K1000" i="28"/>
  <c r="K545" i="28"/>
  <c r="K432" i="28"/>
  <c r="K590" i="28"/>
  <c r="K441" i="28"/>
  <c r="K494" i="28"/>
  <c r="K603" i="28"/>
  <c r="K893" i="28"/>
  <c r="K556" i="28"/>
  <c r="K716" i="28"/>
  <c r="K579" i="28"/>
  <c r="K736" i="28"/>
  <c r="K564" i="28"/>
  <c r="K936" i="28"/>
  <c r="K807" i="28"/>
  <c r="K888" i="28"/>
  <c r="K574" i="28"/>
  <c r="K781" i="28"/>
  <c r="K431" i="28"/>
  <c r="K813" i="28"/>
  <c r="K756" i="28"/>
  <c r="K947" i="28"/>
  <c r="K502" i="28"/>
  <c r="K510" i="28"/>
  <c r="K663" i="28"/>
  <c r="K743" i="28"/>
  <c r="K987" i="28"/>
  <c r="K859" i="28"/>
  <c r="K971" i="28"/>
  <c r="K573" i="28"/>
  <c r="K571" i="28"/>
  <c r="K929" i="28"/>
  <c r="K636" i="28"/>
  <c r="K985" i="28"/>
  <c r="K621" i="28"/>
  <c r="K627" i="28"/>
  <c r="K598" i="28"/>
  <c r="K854" i="28"/>
  <c r="K694" i="28"/>
  <c r="K749" i="28"/>
  <c r="K776" i="28"/>
  <c r="K907" i="28"/>
  <c r="K651" i="28"/>
  <c r="K957" i="28"/>
  <c r="K501" i="28"/>
  <c r="K604" i="28"/>
  <c r="K853" i="28"/>
  <c r="K996" i="28"/>
  <c r="K643" i="28"/>
  <c r="K877" i="28"/>
  <c r="K453" i="28"/>
  <c r="K596" i="28"/>
  <c r="K905" i="28"/>
  <c r="K542" i="28"/>
  <c r="K735" i="28"/>
  <c r="K650" i="28"/>
  <c r="K739" i="28"/>
  <c r="K883" i="28"/>
  <c r="K600" i="28"/>
  <c r="K886" i="28"/>
  <c r="K465" i="28"/>
  <c r="K784" i="28"/>
  <c r="K509" i="28"/>
  <c r="K491" i="28"/>
  <c r="K865" i="28"/>
  <c r="K533" i="28"/>
  <c r="K476" i="28"/>
  <c r="K981" i="28"/>
  <c r="K429" i="28"/>
  <c r="K483" i="28"/>
  <c r="K909" i="28"/>
  <c r="K485" i="28"/>
  <c r="K484" i="28"/>
  <c r="K937" i="28"/>
  <c r="K582" i="28"/>
  <c r="K430" i="28"/>
  <c r="K567" i="28"/>
  <c r="K679" i="28"/>
  <c r="K763" i="28"/>
  <c r="K831" i="28"/>
  <c r="K445" i="28"/>
  <c r="K619" i="28"/>
  <c r="K725" i="28"/>
  <c r="K885" i="28"/>
  <c r="K461" i="28"/>
  <c r="K467" i="28"/>
  <c r="K941" i="28"/>
  <c r="K709" i="28"/>
  <c r="K869" i="28"/>
  <c r="K487" i="28"/>
  <c r="K623" i="28"/>
  <c r="K610" i="28"/>
  <c r="K916" i="28"/>
  <c r="K605" i="28"/>
  <c r="K507" i="28"/>
  <c r="K683" i="28"/>
  <c r="K565" i="28"/>
  <c r="K492" i="28"/>
  <c r="K652" i="28"/>
  <c r="K493" i="28"/>
  <c r="K499" i="28"/>
  <c r="K675" i="28"/>
  <c r="K549" i="28"/>
  <c r="K500" i="28"/>
  <c r="K628" i="28"/>
  <c r="K842" i="28"/>
  <c r="K992" i="28"/>
  <c r="K535" i="28"/>
  <c r="K584" i="28"/>
  <c r="K855" i="28"/>
  <c r="K915" i="28"/>
  <c r="K839" i="28"/>
  <c r="K791" i="28"/>
  <c r="K536" i="28"/>
  <c r="K827" i="28"/>
  <c r="K898" i="28"/>
  <c r="K884" i="28"/>
  <c r="K624" i="28"/>
  <c r="K871" i="28"/>
  <c r="K689" i="28"/>
  <c r="K794" i="28"/>
  <c r="K464" i="28"/>
  <c r="K462" i="28"/>
  <c r="K615" i="28"/>
  <c r="K711" i="28"/>
  <c r="K771" i="28"/>
  <c r="K875" i="28"/>
  <c r="K477" i="28"/>
  <c r="K459" i="28"/>
  <c r="K715" i="28"/>
  <c r="K444" i="28"/>
  <c r="K917" i="28"/>
  <c r="K557" i="28"/>
  <c r="K547" i="28"/>
  <c r="K881" i="28"/>
  <c r="K901" i="28"/>
  <c r="K806" i="28"/>
  <c r="K923" i="28"/>
  <c r="K669" i="28"/>
  <c r="K993" i="28"/>
  <c r="K629" i="28"/>
  <c r="K921" i="28"/>
  <c r="K653" i="28"/>
  <c r="K913" i="28"/>
  <c r="K613" i="28"/>
  <c r="V902" i="28"/>
  <c r="K902" i="28"/>
  <c r="V592" i="28"/>
  <c r="K592" i="28"/>
  <c r="V830" i="28"/>
  <c r="K830" i="28"/>
  <c r="V455" i="28"/>
  <c r="K455" i="28"/>
  <c r="V862" i="28"/>
  <c r="K862" i="28"/>
  <c r="V607" i="28"/>
  <c r="K607" i="28"/>
  <c r="V719" i="28"/>
  <c r="K719" i="28"/>
  <c r="V696" i="28"/>
  <c r="K696" i="28"/>
  <c r="V490" i="28"/>
  <c r="K490" i="28"/>
  <c r="V442" i="28"/>
  <c r="K442" i="28"/>
  <c r="V625" i="28"/>
  <c r="K625" i="28"/>
  <c r="V618" i="28"/>
  <c r="K618" i="28"/>
  <c r="V496" i="28"/>
  <c r="W496" i="28" s="1"/>
  <c r="X496" i="28" s="1"/>
  <c r="K496" i="28"/>
  <c r="V586" i="28"/>
  <c r="K586" i="28"/>
  <c r="V919" i="28"/>
  <c r="K919" i="28"/>
  <c r="V473" i="28"/>
  <c r="K473" i="28"/>
  <c r="V815" i="28"/>
  <c r="W815" i="28" s="1"/>
  <c r="X815" i="28" s="1"/>
  <c r="K815" i="28"/>
  <c r="V470" i="28"/>
  <c r="W470" i="28" s="1"/>
  <c r="X470" i="28" s="1"/>
  <c r="K470" i="28"/>
  <c r="V440" i="28"/>
  <c r="K440" i="28"/>
  <c r="V472" i="28"/>
  <c r="W472" i="28" s="1"/>
  <c r="X472" i="28" s="1"/>
  <c r="K472" i="28"/>
  <c r="V456" i="28"/>
  <c r="K456" i="28"/>
  <c r="V504" i="28"/>
  <c r="W504" i="28" s="1"/>
  <c r="X504" i="28" s="1"/>
  <c r="K504" i="28"/>
  <c r="V488" i="28"/>
  <c r="K488" i="28"/>
  <c r="AE552" i="28"/>
  <c r="K552" i="28"/>
  <c r="V518" i="28"/>
  <c r="K518" i="28"/>
  <c r="V742" i="28"/>
  <c r="W742" i="28" s="1"/>
  <c r="X742" i="28" s="1"/>
  <c r="K742" i="28"/>
  <c r="AE478" i="28"/>
  <c r="K478" i="28"/>
  <c r="AE846" i="28"/>
  <c r="K846" i="28"/>
  <c r="AE910" i="28"/>
  <c r="K910" i="28"/>
  <c r="V974" i="28"/>
  <c r="W974" i="28" s="1"/>
  <c r="X974" i="28" s="1"/>
  <c r="K974" i="28"/>
  <c r="V769" i="28"/>
  <c r="W769" i="28" s="1"/>
  <c r="X769" i="28" s="1"/>
  <c r="K769" i="28"/>
  <c r="V768" i="28"/>
  <c r="W768" i="28" s="1"/>
  <c r="X768" i="28" s="1"/>
  <c r="K768" i="28"/>
  <c r="V891" i="28"/>
  <c r="W891" i="28" s="1"/>
  <c r="X891" i="28" s="1"/>
  <c r="K891" i="28"/>
  <c r="K633" i="28"/>
  <c r="K797" i="28"/>
  <c r="K734" i="28"/>
  <c r="K879" i="28"/>
  <c r="K704" i="28"/>
  <c r="K639" i="28"/>
  <c r="K657" i="28"/>
  <c r="K705" i="28"/>
  <c r="K680" i="28"/>
  <c r="K852" i="28"/>
  <c r="K816" i="28"/>
  <c r="K764" i="28"/>
  <c r="K450" i="28"/>
  <c r="K755" i="28"/>
  <c r="K747" i="28"/>
  <c r="K745" i="28"/>
  <c r="K687" i="28"/>
  <c r="K911" i="28"/>
  <c r="K642" i="28"/>
  <c r="K995" i="28"/>
  <c r="K626" i="28"/>
  <c r="K867" i="28"/>
  <c r="K833" i="28"/>
  <c r="K526" i="28"/>
  <c r="K649" i="28"/>
  <c r="K458" i="28"/>
  <c r="K527" i="28"/>
  <c r="K783" i="28"/>
  <c r="K850" i="28"/>
  <c r="K544" i="28"/>
  <c r="K899" i="28"/>
  <c r="K543" i="28"/>
  <c r="K447" i="28"/>
  <c r="K767" i="28"/>
  <c r="K966" i="28"/>
  <c r="K703" i="28"/>
  <c r="K978" i="28"/>
  <c r="K802" i="28"/>
  <c r="K439" i="28"/>
  <c r="K702" i="28"/>
  <c r="K638" i="28"/>
  <c r="K569" i="28"/>
  <c r="K622" i="28"/>
  <c r="K560" i="28"/>
  <c r="K900" i="28"/>
  <c r="K474" i="28"/>
  <c r="K804" i="28"/>
  <c r="K486" i="28"/>
  <c r="K471" i="28"/>
  <c r="K640" i="28"/>
  <c r="K832" i="28"/>
  <c r="K721" i="28"/>
  <c r="K972" i="28"/>
  <c r="K480" i="28"/>
  <c r="K980" i="28"/>
  <c r="K519" i="28"/>
  <c r="K438" i="28"/>
  <c r="K761" i="28"/>
  <c r="K553" i="28"/>
  <c r="K770" i="28"/>
  <c r="K778" i="28"/>
  <c r="K838" i="28"/>
  <c r="K766" i="28"/>
  <c r="K577" i="28"/>
  <c r="K466" i="28"/>
  <c r="K726" i="28"/>
  <c r="K662" i="28"/>
  <c r="K786" i="28"/>
  <c r="K876" i="28"/>
  <c r="K449" i="28"/>
  <c r="K963" i="28"/>
  <c r="K512" i="28"/>
  <c r="K874" i="28"/>
  <c r="K870" i="28"/>
  <c r="K656" i="28"/>
  <c r="K914" i="28"/>
  <c r="K616" i="28"/>
  <c r="K457" i="28"/>
  <c r="K779" i="28"/>
  <c r="K665" i="28"/>
  <c r="K530" i="28"/>
  <c r="K534" i="28"/>
  <c r="K991" i="28"/>
  <c r="K795" i="28"/>
  <c r="K868" i="28"/>
  <c r="K585" i="28"/>
  <c r="K946" i="28"/>
  <c r="K538" i="28"/>
  <c r="K940" i="28"/>
  <c r="K529" i="28"/>
  <c r="K481" i="28"/>
  <c r="K931" i="28"/>
  <c r="K498" i="28"/>
  <c r="K835" i="28"/>
  <c r="K551" i="28"/>
  <c r="K434" i="28"/>
  <c r="K593" i="28"/>
  <c r="K601" i="28"/>
  <c r="K713" i="28"/>
  <c r="K775" i="28"/>
  <c r="K641" i="28"/>
  <c r="K433" i="28"/>
  <c r="K948" i="28"/>
  <c r="K448" i="28"/>
  <c r="K844" i="28"/>
  <c r="K514" i="28"/>
  <c r="K811" i="28"/>
  <c r="K836" i="28"/>
  <c r="K482" i="28"/>
  <c r="K926" i="28"/>
  <c r="K823" i="28"/>
  <c r="K785" i="28"/>
  <c r="K608" i="28"/>
  <c r="K908" i="28"/>
  <c r="K724" i="28"/>
  <c r="K548" i="28"/>
  <c r="K878" i="28"/>
  <c r="K848" i="28"/>
  <c r="K730" i="28"/>
  <c r="K812" i="28"/>
  <c r="K427" i="28"/>
  <c r="K664" i="28"/>
  <c r="K697" i="28"/>
  <c r="K522" i="28"/>
  <c r="K612" i="28"/>
  <c r="K468" i="28"/>
  <c r="K973" i="28"/>
  <c r="K659" i="28"/>
  <c r="K451" i="28"/>
  <c r="K857" i="28"/>
  <c r="K620" i="28"/>
  <c r="K460" i="28"/>
  <c r="K897" i="28"/>
  <c r="K667" i="28"/>
  <c r="K475" i="28"/>
  <c r="K800" i="28"/>
  <c r="K954" i="28"/>
  <c r="K912" i="28"/>
  <c r="K695" i="28"/>
  <c r="K570" i="28"/>
  <c r="K729" i="28"/>
  <c r="K670" i="28"/>
  <c r="K708" i="28"/>
  <c r="K532" i="28"/>
  <c r="K977" i="28"/>
  <c r="K723" i="28"/>
  <c r="K531" i="28"/>
  <c r="K737" i="28"/>
  <c r="K700" i="28"/>
  <c r="K524" i="28"/>
  <c r="K437" i="28"/>
  <c r="K861" i="28"/>
  <c r="K555" i="28"/>
  <c r="K819" i="28"/>
  <c r="K774" i="28"/>
  <c r="K976" i="28"/>
  <c r="K970" i="28"/>
  <c r="K958" i="28"/>
  <c r="K777" i="28"/>
  <c r="K617" i="28"/>
  <c r="K682" i="28"/>
  <c r="K975" i="28"/>
  <c r="K692" i="28"/>
  <c r="K436" i="28"/>
  <c r="K945" i="28"/>
  <c r="K707" i="28"/>
  <c r="K717" i="28"/>
  <c r="K953" i="28"/>
  <c r="K684" i="28"/>
  <c r="K693" i="28"/>
  <c r="K740" i="28"/>
  <c r="K731" i="28"/>
  <c r="K733" i="28"/>
  <c r="K955" i="28"/>
  <c r="K546" i="28"/>
  <c r="K880" i="28"/>
  <c r="K803" i="28"/>
  <c r="K666" i="28"/>
  <c r="K847" i="28"/>
  <c r="K772" i="28"/>
  <c r="K882" i="28"/>
  <c r="K824" i="28"/>
  <c r="K746" i="28"/>
  <c r="K562" i="28"/>
  <c r="K646" i="28"/>
  <c r="K681" i="28"/>
  <c r="K943" i="28"/>
  <c r="K576" i="28"/>
  <c r="K758" i="28"/>
  <c r="K858" i="28"/>
  <c r="V517" i="28"/>
  <c r="W517" i="28" s="1"/>
  <c r="X517" i="28" s="1"/>
  <c r="K517" i="28"/>
  <c r="V644" i="28"/>
  <c r="W644" i="28" s="1"/>
  <c r="X644" i="28" s="1"/>
  <c r="K644" i="28"/>
  <c r="V660" i="28"/>
  <c r="W660" i="28" s="1"/>
  <c r="X660" i="28" s="1"/>
  <c r="K660" i="28"/>
  <c r="V841" i="28"/>
  <c r="W841" i="28" s="1"/>
  <c r="X841" i="28" s="1"/>
  <c r="K841" i="28"/>
  <c r="V873" i="28"/>
  <c r="W873" i="28" s="1"/>
  <c r="X873" i="28" s="1"/>
  <c r="K873" i="28"/>
  <c r="V969" i="28"/>
  <c r="W969" i="28" s="1"/>
  <c r="X969" i="28" s="1"/>
  <c r="K969" i="28"/>
  <c r="V805" i="28"/>
  <c r="W805" i="28" s="1"/>
  <c r="X805" i="28" s="1"/>
  <c r="AE805" i="28"/>
  <c r="K805" i="28"/>
  <c r="V840" i="28"/>
  <c r="W840" i="28" s="1"/>
  <c r="X840" i="28" s="1"/>
  <c r="AE840" i="28"/>
  <c r="AE904" i="28"/>
  <c r="V904" i="28"/>
  <c r="W904" i="28" s="1"/>
  <c r="X904" i="28" s="1"/>
  <c r="K904" i="28"/>
  <c r="V894" i="28"/>
  <c r="W894" i="28" s="1"/>
  <c r="X894" i="28" s="1"/>
  <c r="AE894" i="28"/>
  <c r="K894" i="28"/>
  <c r="V932" i="28"/>
  <c r="W932" i="28" s="1"/>
  <c r="X932" i="28" s="1"/>
  <c r="AE932" i="28"/>
  <c r="K932" i="28"/>
  <c r="V1000" i="28"/>
  <c r="W1000" i="28" s="1"/>
  <c r="X1000" i="28" s="1"/>
  <c r="AE1000" i="28"/>
  <c r="AE741" i="28"/>
  <c r="V741" i="28"/>
  <c r="W741" i="28" s="1"/>
  <c r="X741" i="28" s="1"/>
  <c r="K741" i="28"/>
  <c r="V962" i="28"/>
  <c r="W962" i="28" s="1"/>
  <c r="X962" i="28" s="1"/>
  <c r="AE962" i="28"/>
  <c r="K962" i="28"/>
  <c r="V688" i="28"/>
  <c r="W688" i="28" s="1"/>
  <c r="X688" i="28" s="1"/>
  <c r="AE688" i="28"/>
  <c r="K688" i="28"/>
  <c r="V898" i="28"/>
  <c r="W898" i="28" s="1"/>
  <c r="X898" i="28" s="1"/>
  <c r="AE898" i="28"/>
  <c r="V934" i="28"/>
  <c r="W934" i="28" s="1"/>
  <c r="X934" i="28" s="1"/>
  <c r="AE934" i="28"/>
  <c r="K934" i="28"/>
  <c r="V863" i="28"/>
  <c r="W863" i="28" s="1"/>
  <c r="X863" i="28" s="1"/>
  <c r="AE863" i="28"/>
  <c r="K863" i="28"/>
  <c r="V872" i="28"/>
  <c r="W872" i="28" s="1"/>
  <c r="X872" i="28" s="1"/>
  <c r="AE872" i="28"/>
  <c r="K872" i="28"/>
  <c r="V598" i="28"/>
  <c r="W598" i="28" s="1"/>
  <c r="X598" i="28" s="1"/>
  <c r="AE598" i="28"/>
  <c r="V630" i="28"/>
  <c r="W630" i="28" s="1"/>
  <c r="X630" i="28" s="1"/>
  <c r="AE630" i="28"/>
  <c r="K630" i="28"/>
  <c r="AE999" i="28"/>
  <c r="V999" i="28"/>
  <c r="W999" i="28" s="1"/>
  <c r="X999" i="28" s="1"/>
  <c r="K999" i="28"/>
  <c r="V968" i="28"/>
  <c r="W968" i="28" s="1"/>
  <c r="X968" i="28" s="1"/>
  <c r="AE968" i="28"/>
  <c r="K968" i="28"/>
  <c r="V820" i="28"/>
  <c r="W820" i="28" s="1"/>
  <c r="X820" i="28" s="1"/>
  <c r="AE820" i="28"/>
  <c r="V809" i="28"/>
  <c r="W809" i="28" s="1"/>
  <c r="X809" i="28" s="1"/>
  <c r="AE809" i="28"/>
  <c r="K809" i="28"/>
  <c r="V690" i="28"/>
  <c r="W690" i="28" s="1"/>
  <c r="X690" i="28" s="1"/>
  <c r="AE690" i="28"/>
  <c r="K690" i="28"/>
  <c r="V720" i="28"/>
  <c r="W720" i="28" s="1"/>
  <c r="X720" i="28" s="1"/>
  <c r="AE720" i="28"/>
  <c r="K720" i="28"/>
  <c r="V487" i="28"/>
  <c r="W487" i="28" s="1"/>
  <c r="X487" i="28" s="1"/>
  <c r="AE487" i="28"/>
  <c r="V814" i="28"/>
  <c r="W814" i="28" s="1"/>
  <c r="X814" i="28" s="1"/>
  <c r="AE814" i="28"/>
  <c r="K814" i="28"/>
  <c r="AE673" i="28"/>
  <c r="V673" i="28"/>
  <c r="W673" i="28" s="1"/>
  <c r="X673" i="28" s="1"/>
  <c r="K673" i="28"/>
  <c r="AE609" i="28"/>
  <c r="V609" i="28"/>
  <c r="W609" i="28" s="1"/>
  <c r="X609" i="28" s="1"/>
  <c r="K609" i="28"/>
  <c r="V930" i="28"/>
  <c r="W930" i="28" s="1"/>
  <c r="X930" i="28" s="1"/>
  <c r="AE930" i="28"/>
  <c r="AE773" i="28"/>
  <c r="V773" i="28"/>
  <c r="W773" i="28" s="1"/>
  <c r="X773" i="28" s="1"/>
  <c r="K773" i="28"/>
  <c r="V920" i="28"/>
  <c r="W920" i="28" s="1"/>
  <c r="X920" i="28" s="1"/>
  <c r="AE920" i="28"/>
  <c r="K920" i="28"/>
  <c r="V990" i="28"/>
  <c r="W990" i="28" s="1"/>
  <c r="X990" i="28" s="1"/>
  <c r="AE990" i="28"/>
  <c r="K990" i="28"/>
  <c r="V801" i="28"/>
  <c r="W801" i="28" s="1"/>
  <c r="X801" i="28" s="1"/>
  <c r="AE801" i="28"/>
  <c r="V994" i="28"/>
  <c r="W994" i="28" s="1"/>
  <c r="X994" i="28" s="1"/>
  <c r="AE994" i="28"/>
  <c r="K994" i="28"/>
  <c r="AE826" i="28"/>
  <c r="V826" i="28"/>
  <c r="W826" i="28" s="1"/>
  <c r="X826" i="28" s="1"/>
  <c r="K826" i="28"/>
  <c r="V866" i="28"/>
  <c r="W866" i="28" s="1"/>
  <c r="X866" i="28" s="1"/>
  <c r="AE866" i="28"/>
  <c r="K866" i="28"/>
  <c r="V952" i="28"/>
  <c r="W952" i="28" s="1"/>
  <c r="X952" i="28" s="1"/>
  <c r="AE952" i="28"/>
  <c r="AE828" i="28"/>
  <c r="V828" i="28"/>
  <c r="W828" i="28" s="1"/>
  <c r="X828" i="28" s="1"/>
  <c r="K828" i="28"/>
  <c r="V782" i="28"/>
  <c r="W782" i="28" s="1"/>
  <c r="X782" i="28" s="1"/>
  <c r="AE782" i="28"/>
  <c r="K782" i="28"/>
  <c r="V895" i="28"/>
  <c r="W895" i="28" s="1"/>
  <c r="X895" i="28" s="1"/>
  <c r="AE895" i="28"/>
  <c r="K895" i="28"/>
  <c r="V545" i="28"/>
  <c r="W545" i="28" s="1"/>
  <c r="X545" i="28" s="1"/>
  <c r="AE545" i="28"/>
  <c r="V710" i="28"/>
  <c r="W710" i="28" s="1"/>
  <c r="X710" i="28" s="1"/>
  <c r="AE710" i="28"/>
  <c r="K710" i="28"/>
  <c r="V984" i="28"/>
  <c r="W984" i="28" s="1"/>
  <c r="X984" i="28" s="1"/>
  <c r="AE984" i="28"/>
  <c r="K984" i="28"/>
  <c r="V671" i="28"/>
  <c r="W671" i="28" s="1"/>
  <c r="X671" i="28" s="1"/>
  <c r="AE671" i="28"/>
  <c r="K671" i="28"/>
  <c r="V884" i="28"/>
  <c r="W884" i="28" s="1"/>
  <c r="X884" i="28" s="1"/>
  <c r="AE884" i="28"/>
  <c r="V495" i="28"/>
  <c r="W495" i="28" s="1"/>
  <c r="X495" i="28" s="1"/>
  <c r="AE495" i="28"/>
  <c r="K495" i="28"/>
  <c r="V578" i="28"/>
  <c r="W578" i="28" s="1"/>
  <c r="X578" i="28" s="1"/>
  <c r="AE578" i="28"/>
  <c r="K578" i="28"/>
  <c r="V559" i="28"/>
  <c r="W559" i="28" s="1"/>
  <c r="X559" i="28" s="1"/>
  <c r="AE559" i="28"/>
  <c r="K559" i="28"/>
  <c r="V854" i="28"/>
  <c r="W854" i="28" s="1"/>
  <c r="X854" i="28" s="1"/>
  <c r="AE854" i="28"/>
  <c r="V982" i="28"/>
  <c r="W982" i="28" s="1"/>
  <c r="X982" i="28" s="1"/>
  <c r="AE982" i="28"/>
  <c r="K982" i="28"/>
  <c r="V568" i="28"/>
  <c r="W568" i="28" s="1"/>
  <c r="X568" i="28" s="1"/>
  <c r="AE568" i="28"/>
  <c r="K568" i="28"/>
  <c r="V762" i="28"/>
  <c r="W762" i="28" s="1"/>
  <c r="X762" i="28" s="1"/>
  <c r="AE762" i="28"/>
  <c r="K762" i="28"/>
  <c r="AE575" i="28"/>
  <c r="V575" i="28"/>
  <c r="W575" i="28" s="1"/>
  <c r="X575" i="28" s="1"/>
  <c r="AE678" i="28"/>
  <c r="V678" i="28"/>
  <c r="W678" i="28" s="1"/>
  <c r="X678" i="28" s="1"/>
  <c r="K678" i="28"/>
  <c r="V658" i="28"/>
  <c r="W658" i="28" s="1"/>
  <c r="X658" i="28" s="1"/>
  <c r="AE658" i="28"/>
  <c r="K658" i="28"/>
  <c r="V655" i="28"/>
  <c r="W655" i="28" s="1"/>
  <c r="X655" i="28" s="1"/>
  <c r="AE655" i="28"/>
  <c r="K655" i="28"/>
  <c r="V623" i="28"/>
  <c r="W623" i="28" s="1"/>
  <c r="X623" i="28" s="1"/>
  <c r="AE623" i="28"/>
  <c r="V561" i="28"/>
  <c r="W561" i="28" s="1"/>
  <c r="X561" i="28" s="1"/>
  <c r="AE561" i="28"/>
  <c r="K561" i="28"/>
  <c r="V750" i="28"/>
  <c r="W750" i="28" s="1"/>
  <c r="X750" i="28" s="1"/>
  <c r="AE750" i="28"/>
  <c r="K750" i="28"/>
  <c r="V722" i="28"/>
  <c r="W722" i="28" s="1"/>
  <c r="X722" i="28" s="1"/>
  <c r="AE722" i="28"/>
  <c r="K722" i="28"/>
  <c r="V594" i="28"/>
  <c r="W594" i="28" s="1"/>
  <c r="X594" i="28" s="1"/>
  <c r="AE594" i="28"/>
  <c r="V654" i="28"/>
  <c r="W654" i="28" s="1"/>
  <c r="X654" i="28" s="1"/>
  <c r="AE654" i="28"/>
  <c r="K654" i="28"/>
  <c r="V821" i="28"/>
  <c r="W821" i="28" s="1"/>
  <c r="X821" i="28" s="1"/>
  <c r="AE821" i="28"/>
  <c r="K821" i="28"/>
  <c r="V712" i="28"/>
  <c r="W712" i="28" s="1"/>
  <c r="X712" i="28" s="1"/>
  <c r="AE712" i="28"/>
  <c r="K712" i="28"/>
  <c r="V753" i="28"/>
  <c r="W753" i="28" s="1"/>
  <c r="X753" i="28" s="1"/>
  <c r="AE753" i="28"/>
  <c r="V674" i="28"/>
  <c r="W674" i="28" s="1"/>
  <c r="X674" i="28" s="1"/>
  <c r="AE674" i="28"/>
  <c r="K674" i="28"/>
  <c r="V506" i="28"/>
  <c r="W506" i="28" s="1"/>
  <c r="X506" i="28" s="1"/>
  <c r="AE506" i="28"/>
  <c r="K506" i="28"/>
  <c r="V503" i="28"/>
  <c r="W503" i="28" s="1"/>
  <c r="X503" i="28" s="1"/>
  <c r="AE503" i="28"/>
  <c r="K503" i="28"/>
  <c r="V591" i="28"/>
  <c r="W591" i="28" s="1"/>
  <c r="X591" i="28" s="1"/>
  <c r="AE591" i="28"/>
  <c r="V738" i="28"/>
  <c r="W738" i="28" s="1"/>
  <c r="X738" i="28" s="1"/>
  <c r="AE738" i="28"/>
  <c r="K738" i="28"/>
  <c r="V938" i="28"/>
  <c r="W938" i="28" s="1"/>
  <c r="X938" i="28" s="1"/>
  <c r="AE938" i="28"/>
  <c r="K938" i="28"/>
  <c r="V959" i="28"/>
  <c r="W959" i="28" s="1"/>
  <c r="X959" i="28" s="1"/>
  <c r="AE959" i="28"/>
  <c r="K959" i="28"/>
  <c r="V432" i="28"/>
  <c r="W432" i="28" s="1"/>
  <c r="X432" i="28" s="1"/>
  <c r="AE432" i="28"/>
  <c r="V554" i="28"/>
  <c r="W554" i="28" s="1"/>
  <c r="X554" i="28" s="1"/>
  <c r="K554" i="28"/>
  <c r="V528" i="28"/>
  <c r="W528" i="28" s="1"/>
  <c r="X528" i="28" s="1"/>
  <c r="AE528" i="28"/>
  <c r="K528" i="28"/>
  <c r="V754" i="28"/>
  <c r="W754" i="28" s="1"/>
  <c r="X754" i="28" s="1"/>
  <c r="AE754" i="28"/>
  <c r="K754" i="28"/>
  <c r="V624" i="28"/>
  <c r="W624" i="28" s="1"/>
  <c r="X624" i="28" s="1"/>
  <c r="AE624" i="28"/>
  <c r="V906" i="28"/>
  <c r="W906" i="28" s="1"/>
  <c r="X906" i="28" s="1"/>
  <c r="AE906" i="28"/>
  <c r="K906" i="28"/>
  <c r="V672" i="28"/>
  <c r="W672" i="28" s="1"/>
  <c r="X672" i="28" s="1"/>
  <c r="AE672" i="28"/>
  <c r="K672" i="28"/>
  <c r="AE566" i="28"/>
  <c r="K566" i="28"/>
  <c r="V694" i="28"/>
  <c r="W694" i="28" s="1"/>
  <c r="X694" i="28" s="1"/>
  <c r="AE694" i="28"/>
  <c r="AE998" i="28"/>
  <c r="K998" i="28"/>
  <c r="AE789" i="28"/>
  <c r="K789" i="28"/>
  <c r="V829" i="28"/>
  <c r="W829" i="28" s="1"/>
  <c r="X829" i="28" s="1"/>
  <c r="AE829" i="28"/>
  <c r="K829" i="28"/>
  <c r="V614" i="28"/>
  <c r="W614" i="28" s="1"/>
  <c r="X614" i="28" s="1"/>
  <c r="AE614" i="28"/>
  <c r="K614" i="28"/>
  <c r="V825" i="28"/>
  <c r="W825" i="28" s="1"/>
  <c r="X825" i="28" s="1"/>
  <c r="AE825" i="28"/>
  <c r="K825" i="28"/>
  <c r="V714" i="28"/>
  <c r="W714" i="28" s="1"/>
  <c r="X714" i="28" s="1"/>
  <c r="AE714" i="28"/>
  <c r="K714" i="28"/>
  <c r="V610" i="28"/>
  <c r="W610" i="28" s="1"/>
  <c r="X610" i="28" s="1"/>
  <c r="AE610" i="28"/>
  <c r="V463" i="28"/>
  <c r="W463" i="28" s="1"/>
  <c r="X463" i="28" s="1"/>
  <c r="AE463" i="28"/>
  <c r="K463" i="28"/>
  <c r="V511" i="28"/>
  <c r="W511" i="28" s="1"/>
  <c r="X511" i="28" s="1"/>
  <c r="AE511" i="28"/>
  <c r="K511" i="28"/>
  <c r="V632" i="28"/>
  <c r="W632" i="28" s="1"/>
  <c r="X632" i="28" s="1"/>
  <c r="AE632" i="28"/>
  <c r="K632" i="28"/>
  <c r="V648" i="28"/>
  <c r="W648" i="28" s="1"/>
  <c r="X648" i="28" s="1"/>
  <c r="AE648" i="28"/>
  <c r="V558" i="28"/>
  <c r="W558" i="28" s="1"/>
  <c r="X558" i="28" s="1"/>
  <c r="AE558" i="28"/>
  <c r="K558" i="28"/>
  <c r="V686" i="28"/>
  <c r="W686" i="28" s="1"/>
  <c r="X686" i="28" s="1"/>
  <c r="AE686" i="28"/>
  <c r="K686" i="28"/>
  <c r="V922" i="28"/>
  <c r="W922" i="28" s="1"/>
  <c r="X922" i="28" s="1"/>
  <c r="AE922" i="28"/>
  <c r="K922" i="28"/>
  <c r="V822" i="28"/>
  <c r="W822" i="28" s="1"/>
  <c r="X822" i="28" s="1"/>
  <c r="AE822" i="28"/>
  <c r="V887" i="28"/>
  <c r="W887" i="28" s="1"/>
  <c r="X887" i="28" s="1"/>
  <c r="AE887" i="28"/>
  <c r="K887" i="28"/>
  <c r="V951" i="28"/>
  <c r="W951" i="28" s="1"/>
  <c r="X951" i="28" s="1"/>
  <c r="AE951" i="28"/>
  <c r="K951" i="28"/>
  <c r="V983" i="28"/>
  <c r="W983" i="28" s="1"/>
  <c r="X983" i="28" s="1"/>
  <c r="AE983" i="28"/>
  <c r="K983" i="28"/>
  <c r="V706" i="28"/>
  <c r="W706" i="28" s="1"/>
  <c r="X706" i="28" s="1"/>
  <c r="AE706" i="28"/>
  <c r="V479" i="28"/>
  <c r="W479" i="28" s="1"/>
  <c r="X479" i="28" s="1"/>
  <c r="AE479" i="28"/>
  <c r="K479" i="28"/>
  <c r="V489" i="28"/>
  <c r="W489" i="28" s="1"/>
  <c r="X489" i="28" s="1"/>
  <c r="AE489" i="28"/>
  <c r="K489" i="28"/>
  <c r="V537" i="28"/>
  <c r="W537" i="28" s="1"/>
  <c r="X537" i="28" s="1"/>
  <c r="AE537" i="28"/>
  <c r="K537" i="28"/>
  <c r="V590" i="28"/>
  <c r="W590" i="28" s="1"/>
  <c r="X590" i="28" s="1"/>
  <c r="AE590" i="28"/>
  <c r="V606" i="28"/>
  <c r="W606" i="28" s="1"/>
  <c r="X606" i="28" s="1"/>
  <c r="AE606" i="28"/>
  <c r="K606" i="28"/>
  <c r="V718" i="28"/>
  <c r="W718" i="28" s="1"/>
  <c r="X718" i="28" s="1"/>
  <c r="AE718" i="28"/>
  <c r="K718" i="28"/>
  <c r="V810" i="28"/>
  <c r="W810" i="28" s="1"/>
  <c r="X810" i="28" s="1"/>
  <c r="AE810" i="28"/>
  <c r="K810" i="28"/>
  <c r="V871" i="28"/>
  <c r="W871" i="28" s="1"/>
  <c r="X871" i="28" s="1"/>
  <c r="AE871" i="28"/>
  <c r="V903" i="28"/>
  <c r="W903" i="28" s="1"/>
  <c r="X903" i="28" s="1"/>
  <c r="AE903" i="28"/>
  <c r="K903" i="28"/>
  <c r="V935" i="28"/>
  <c r="W935" i="28" s="1"/>
  <c r="X935" i="28" s="1"/>
  <c r="AE935" i="28"/>
  <c r="K935" i="28"/>
  <c r="V950" i="28"/>
  <c r="W950" i="28" s="1"/>
  <c r="X950" i="28" s="1"/>
  <c r="AE950" i="28"/>
  <c r="K950" i="28"/>
  <c r="V749" i="28"/>
  <c r="W749" i="28" s="1"/>
  <c r="X749" i="28" s="1"/>
  <c r="AE749" i="28"/>
  <c r="V918" i="28"/>
  <c r="W918" i="28" s="1"/>
  <c r="X918" i="28" s="1"/>
  <c r="AE918" i="28"/>
  <c r="K918" i="28"/>
  <c r="V798" i="28"/>
  <c r="W798" i="28" s="1"/>
  <c r="X798" i="28" s="1"/>
  <c r="AE798" i="28"/>
  <c r="K798" i="28"/>
  <c r="V964" i="28"/>
  <c r="W964" i="28" s="1"/>
  <c r="X964" i="28" s="1"/>
  <c r="AE964" i="28"/>
  <c r="K964" i="28"/>
  <c r="V799" i="28"/>
  <c r="W799" i="28" s="1"/>
  <c r="X799" i="28" s="1"/>
  <c r="AE799" i="28"/>
  <c r="V751" i="28"/>
  <c r="W751" i="28" s="1"/>
  <c r="X751" i="28" s="1"/>
  <c r="AE751" i="28"/>
  <c r="K751" i="28"/>
  <c r="V1001" i="28"/>
  <c r="W1001" i="28" s="1"/>
  <c r="X1001" i="28" s="1"/>
  <c r="AE1001" i="28"/>
  <c r="K1001" i="28"/>
  <c r="V759" i="28"/>
  <c r="W759" i="28" s="1"/>
  <c r="X759" i="28" s="1"/>
  <c r="AE759" i="28"/>
  <c r="K759" i="28"/>
  <c r="V916" i="28"/>
  <c r="W916" i="28" s="1"/>
  <c r="X916" i="28" s="1"/>
  <c r="AE916" i="28"/>
  <c r="V497" i="28"/>
  <c r="W497" i="28" s="1"/>
  <c r="X497" i="28" s="1"/>
  <c r="AE497" i="28"/>
  <c r="K497" i="28"/>
  <c r="V513" i="28"/>
  <c r="W513" i="28" s="1"/>
  <c r="X513" i="28" s="1"/>
  <c r="AE513" i="28"/>
  <c r="K513" i="28"/>
  <c r="V788" i="28"/>
  <c r="W788" i="28" s="1"/>
  <c r="X788" i="28" s="1"/>
  <c r="AE788" i="28"/>
  <c r="K788" i="28"/>
  <c r="V796" i="28"/>
  <c r="W796" i="28" s="1"/>
  <c r="X796" i="28" s="1"/>
  <c r="K796" i="28"/>
  <c r="V521" i="28"/>
  <c r="W521" i="28" s="1"/>
  <c r="X521" i="28" s="1"/>
  <c r="AE521" i="28"/>
  <c r="K521" i="28"/>
  <c r="AE631" i="28"/>
  <c r="K631" i="28"/>
  <c r="K645" i="28"/>
  <c r="K837" i="28"/>
  <c r="K997" i="28"/>
  <c r="K520" i="28"/>
  <c r="V812" i="28"/>
  <c r="W812" i="28" s="1"/>
  <c r="X812" i="28" s="1"/>
  <c r="AE812" i="28"/>
  <c r="K602" i="28"/>
  <c r="AE550" i="28"/>
  <c r="K550" i="28"/>
  <c r="K924" i="28"/>
  <c r="K928" i="28"/>
  <c r="K986" i="28"/>
  <c r="V752" i="28"/>
  <c r="W752" i="28" s="1"/>
  <c r="X752" i="28" s="1"/>
  <c r="AE752" i="28"/>
  <c r="V808" i="28"/>
  <c r="W808" i="28" s="1"/>
  <c r="X808" i="28" s="1"/>
  <c r="AE808" i="28"/>
  <c r="K808" i="28"/>
  <c r="K961" i="28"/>
  <c r="K889" i="28"/>
  <c r="K849" i="28"/>
  <c r="V441" i="28"/>
  <c r="W441" i="28" s="1"/>
  <c r="X441" i="28" s="1"/>
  <c r="AE441" i="28"/>
  <c r="V583" i="28"/>
  <c r="W583" i="28" s="1"/>
  <c r="X583" i="28" s="1"/>
  <c r="AE583" i="28"/>
  <c r="K583" i="28"/>
  <c r="K787" i="28"/>
  <c r="K864" i="28"/>
  <c r="K942" i="28"/>
  <c r="V760" i="28"/>
  <c r="W760" i="28" s="1"/>
  <c r="X760" i="28" s="1"/>
  <c r="AE760" i="28"/>
  <c r="K760" i="28"/>
  <c r="V907" i="28"/>
  <c r="W907" i="28" s="1"/>
  <c r="X907" i="28" s="1"/>
  <c r="AE907" i="28"/>
  <c r="K925" i="28"/>
  <c r="K732" i="28"/>
  <c r="K845" i="28"/>
  <c r="K965" i="28"/>
  <c r="V806" i="28"/>
  <c r="W806" i="28" s="1"/>
  <c r="X806" i="28" s="1"/>
  <c r="AE806" i="28"/>
  <c r="V634" i="28"/>
  <c r="W634" i="28" s="1"/>
  <c r="X634" i="28" s="1"/>
  <c r="AE634" i="28"/>
  <c r="K634" i="28"/>
  <c r="K599" i="28"/>
  <c r="K956" i="28"/>
  <c r="K944" i="28"/>
  <c r="V790" i="28"/>
  <c r="W790" i="28" s="1"/>
  <c r="X790" i="28" s="1"/>
  <c r="K790" i="28"/>
  <c r="V923" i="28"/>
  <c r="W923" i="28" s="1"/>
  <c r="X923" i="28" s="1"/>
  <c r="AE923" i="28"/>
  <c r="K699" i="28"/>
  <c r="K668" i="28"/>
  <c r="K691" i="28"/>
  <c r="K676" i="28"/>
  <c r="AE765" i="28"/>
  <c r="K765" i="28"/>
  <c r="V776" i="28"/>
  <c r="W776" i="28" s="1"/>
  <c r="X776" i="28" s="1"/>
  <c r="AE776" i="28"/>
  <c r="K635" i="28"/>
  <c r="K588" i="28"/>
  <c r="K595" i="28"/>
  <c r="K580" i="28"/>
  <c r="V505" i="28"/>
  <c r="W505" i="28" s="1"/>
  <c r="X505" i="28" s="1"/>
  <c r="AE505" i="28"/>
  <c r="K505" i="28"/>
  <c r="K818" i="28"/>
  <c r="AE960" i="28"/>
  <c r="K960" i="28"/>
  <c r="K793" i="28"/>
  <c r="V546" i="28"/>
  <c r="W546" i="28" s="1"/>
  <c r="X546" i="28" s="1"/>
  <c r="AE546" i="28"/>
  <c r="V955" i="28"/>
  <c r="W955" i="28" s="1"/>
  <c r="X955" i="28" s="1"/>
  <c r="AE955" i="28"/>
  <c r="K523" i="28"/>
  <c r="K508" i="28"/>
  <c r="K515" i="28"/>
  <c r="K516" i="28"/>
  <c r="AE896" i="28"/>
  <c r="K896" i="28"/>
  <c r="V784" i="28"/>
  <c r="W784" i="28" s="1"/>
  <c r="X784" i="28" s="1"/>
  <c r="AE784" i="28"/>
  <c r="K443" i="28"/>
  <c r="K428" i="28"/>
  <c r="K435" i="28"/>
  <c r="K452" i="28"/>
  <c r="V780" i="28"/>
  <c r="W780" i="28" s="1"/>
  <c r="X780" i="28" s="1"/>
  <c r="AE780" i="28"/>
  <c r="AE834" i="28"/>
  <c r="K834" i="28"/>
  <c r="V819" i="28"/>
  <c r="W819" i="28" s="1"/>
  <c r="X819" i="28" s="1"/>
  <c r="AE819" i="28"/>
  <c r="K637" i="28"/>
  <c r="K597" i="28"/>
  <c r="K525" i="28"/>
  <c r="K581" i="28"/>
  <c r="V851" i="28"/>
  <c r="W851" i="28" s="1"/>
  <c r="X851" i="28" s="1"/>
  <c r="AE851" i="28"/>
  <c r="AE892" i="28"/>
  <c r="K892" i="28"/>
  <c r="K752" i="28"/>
  <c r="V800" i="28"/>
  <c r="W800" i="28" s="1"/>
  <c r="X800" i="28" s="1"/>
  <c r="AE800" i="28"/>
  <c r="V939" i="28"/>
  <c r="W939" i="28" s="1"/>
  <c r="X939" i="28" s="1"/>
  <c r="AE939" i="28"/>
  <c r="K939" i="28"/>
  <c r="K469" i="28"/>
  <c r="K744" i="28"/>
  <c r="K748" i="28"/>
  <c r="W919" i="28"/>
  <c r="X919" i="28" s="1"/>
  <c r="W473" i="28"/>
  <c r="X473" i="28" s="1"/>
  <c r="AE891" i="28"/>
  <c r="AE769" i="28"/>
  <c r="AE456" i="28"/>
  <c r="AE902" i="28"/>
  <c r="AE586" i="28"/>
  <c r="AE862" i="28"/>
  <c r="K30" i="19"/>
  <c r="K58" i="19"/>
  <c r="H254" i="28"/>
  <c r="I254" i="28" s="1"/>
  <c r="J251" i="28" s="1"/>
  <c r="AE815" i="28"/>
  <c r="W719" i="28"/>
  <c r="X719" i="28" s="1"/>
  <c r="W625" i="28"/>
  <c r="X625" i="28" s="1"/>
  <c r="W440" i="28"/>
  <c r="X440" i="28" s="1"/>
  <c r="W456" i="28"/>
  <c r="X456" i="28" s="1"/>
  <c r="H237" i="28"/>
  <c r="I237" i="28" s="1"/>
  <c r="W902" i="28"/>
  <c r="X902" i="28" s="1"/>
  <c r="W830" i="28"/>
  <c r="X830" i="28" s="1"/>
  <c r="W442" i="28"/>
  <c r="X442" i="28" s="1"/>
  <c r="J304" i="28"/>
  <c r="J180" i="28"/>
  <c r="J417" i="28"/>
  <c r="J296" i="28"/>
  <c r="AE625" i="28"/>
  <c r="AE592" i="28"/>
  <c r="AE442" i="28"/>
  <c r="W592" i="28"/>
  <c r="X592" i="28" s="1"/>
  <c r="W455" i="28"/>
  <c r="X455" i="28" s="1"/>
  <c r="W862" i="28"/>
  <c r="X862" i="28" s="1"/>
  <c r="W607" i="28"/>
  <c r="X607" i="28" s="1"/>
  <c r="W518" i="28"/>
  <c r="X518" i="28" s="1"/>
  <c r="W586" i="28"/>
  <c r="X586" i="28" s="1"/>
  <c r="J203" i="28"/>
  <c r="J41" i="28"/>
  <c r="J184" i="28"/>
  <c r="J188" i="28"/>
  <c r="J209" i="28"/>
  <c r="J299" i="28"/>
  <c r="J420" i="28"/>
  <c r="J242" i="28"/>
  <c r="J189" i="28"/>
  <c r="J298" i="28"/>
  <c r="J297" i="28"/>
  <c r="J198" i="28"/>
  <c r="J240" i="28"/>
  <c r="J313" i="28"/>
  <c r="J201" i="28"/>
  <c r="J419" i="28"/>
  <c r="J38" i="28"/>
  <c r="J199" i="28"/>
  <c r="J193" i="28"/>
  <c r="J239" i="28"/>
  <c r="J40" i="28"/>
  <c r="J194" i="28"/>
  <c r="J310" i="28"/>
  <c r="J181" i="28"/>
  <c r="J183" i="28"/>
  <c r="W488" i="28"/>
  <c r="X488" i="28" s="1"/>
  <c r="AE455" i="28"/>
  <c r="AE607" i="28"/>
  <c r="AE719" i="28"/>
  <c r="AE440" i="28"/>
  <c r="AE472" i="28"/>
  <c r="AE618" i="28"/>
  <c r="W696" i="28"/>
  <c r="X696" i="28" s="1"/>
  <c r="W490" i="28"/>
  <c r="X490" i="28" s="1"/>
  <c r="W618" i="28"/>
  <c r="X618" i="28" s="1"/>
  <c r="AE470" i="28"/>
  <c r="AE504" i="28"/>
  <c r="AE742" i="28"/>
  <c r="AE927" i="28"/>
  <c r="V927" i="28"/>
  <c r="W927" i="28" s="1"/>
  <c r="X927" i="28" s="1"/>
  <c r="AE856" i="28"/>
  <c r="V856" i="28"/>
  <c r="W856" i="28" s="1"/>
  <c r="X856" i="28" s="1"/>
  <c r="V542" i="28"/>
  <c r="W542" i="28" s="1"/>
  <c r="X542" i="28" s="1"/>
  <c r="V689" i="28"/>
  <c r="W689" i="28" s="1"/>
  <c r="X689" i="28" s="1"/>
  <c r="AE689" i="28"/>
  <c r="V890" i="28"/>
  <c r="W890" i="28" s="1"/>
  <c r="X890" i="28" s="1"/>
  <c r="AE890" i="28"/>
  <c r="AE794" i="28"/>
  <c r="V794" i="28"/>
  <c r="W794" i="28" s="1"/>
  <c r="X794" i="28" s="1"/>
  <c r="V464" i="28"/>
  <c r="W464" i="28" s="1"/>
  <c r="X464" i="28" s="1"/>
  <c r="AE464" i="28"/>
  <c r="V535" i="28"/>
  <c r="W535" i="28" s="1"/>
  <c r="X535" i="28" s="1"/>
  <c r="AE535" i="28"/>
  <c r="V584" i="28"/>
  <c r="W584" i="28" s="1"/>
  <c r="X584" i="28" s="1"/>
  <c r="AE584" i="28"/>
  <c r="AE574" i="28"/>
  <c r="V574" i="28"/>
  <c r="W574" i="28" s="1"/>
  <c r="X574" i="28" s="1"/>
  <c r="V855" i="28"/>
  <c r="W855" i="28" s="1"/>
  <c r="X855" i="28" s="1"/>
  <c r="AE855" i="28"/>
  <c r="V781" i="28"/>
  <c r="W781" i="28" s="1"/>
  <c r="X781" i="28" s="1"/>
  <c r="AE781" i="28"/>
  <c r="AE915" i="28"/>
  <c r="V915" i="28"/>
  <c r="W915" i="28" s="1"/>
  <c r="X915" i="28" s="1"/>
  <c r="V431" i="28"/>
  <c r="W431" i="28" s="1"/>
  <c r="X431" i="28" s="1"/>
  <c r="AE431" i="28"/>
  <c r="AE839" i="28"/>
  <c r="V839" i="28"/>
  <c r="W839" i="28" s="1"/>
  <c r="X839" i="28" s="1"/>
  <c r="V813" i="28"/>
  <c r="W813" i="28" s="1"/>
  <c r="X813" i="28" s="1"/>
  <c r="AE813" i="28"/>
  <c r="V791" i="28"/>
  <c r="W791" i="28" s="1"/>
  <c r="X791" i="28" s="1"/>
  <c r="AE791" i="28"/>
  <c r="V536" i="28"/>
  <c r="W536" i="28" s="1"/>
  <c r="X536" i="28" s="1"/>
  <c r="AE536" i="28"/>
  <c r="V756" i="28"/>
  <c r="W756" i="28" s="1"/>
  <c r="X756" i="28" s="1"/>
  <c r="AE756" i="28"/>
  <c r="AE827" i="28"/>
  <c r="V827" i="28"/>
  <c r="W827" i="28" s="1"/>
  <c r="X827" i="28" s="1"/>
  <c r="V947" i="28"/>
  <c r="W947" i="28" s="1"/>
  <c r="X947" i="28" s="1"/>
  <c r="AE947" i="28"/>
  <c r="V430" i="28"/>
  <c r="W430" i="28" s="1"/>
  <c r="X430" i="28" s="1"/>
  <c r="AE430" i="28"/>
  <c r="V567" i="28"/>
  <c r="W567" i="28" s="1"/>
  <c r="X567" i="28" s="1"/>
  <c r="AE567" i="28"/>
  <c r="V647" i="28"/>
  <c r="W647" i="28" s="1"/>
  <c r="X647" i="28" s="1"/>
  <c r="AE647" i="28"/>
  <c r="V679" i="28"/>
  <c r="W679" i="28" s="1"/>
  <c r="X679" i="28" s="1"/>
  <c r="AE679" i="28"/>
  <c r="V727" i="28"/>
  <c r="W727" i="28" s="1"/>
  <c r="X727" i="28" s="1"/>
  <c r="AE727" i="28"/>
  <c r="V763" i="28"/>
  <c r="W763" i="28" s="1"/>
  <c r="X763" i="28" s="1"/>
  <c r="AE763" i="28"/>
  <c r="V988" i="28"/>
  <c r="W988" i="28" s="1"/>
  <c r="X988" i="28" s="1"/>
  <c r="AE988" i="28"/>
  <c r="V831" i="28"/>
  <c r="W831" i="28" s="1"/>
  <c r="X831" i="28" s="1"/>
  <c r="AE831" i="28"/>
  <c r="V792" i="28"/>
  <c r="W792" i="28" s="1"/>
  <c r="X792" i="28" s="1"/>
  <c r="AE792" i="28"/>
  <c r="V843" i="28"/>
  <c r="W843" i="28" s="1"/>
  <c r="X843" i="28" s="1"/>
  <c r="AE843" i="28"/>
  <c r="V445" i="28"/>
  <c r="W445" i="28" s="1"/>
  <c r="X445" i="28" s="1"/>
  <c r="AE445" i="28"/>
  <c r="V541" i="28"/>
  <c r="W541" i="28" s="1"/>
  <c r="X541" i="28" s="1"/>
  <c r="AE541" i="28"/>
  <c r="V427" i="28"/>
  <c r="W427" i="28" s="1"/>
  <c r="X427" i="28" s="1"/>
  <c r="AE427" i="28"/>
  <c r="AE539" i="28"/>
  <c r="V539" i="28"/>
  <c r="W539" i="28" s="1"/>
  <c r="X539" i="28" s="1"/>
  <c r="AE619" i="28"/>
  <c r="V619" i="28"/>
  <c r="W619" i="28" s="1"/>
  <c r="X619" i="28" s="1"/>
  <c r="V989" i="28"/>
  <c r="W989" i="28" s="1"/>
  <c r="X989" i="28" s="1"/>
  <c r="AE989" i="28"/>
  <c r="V725" i="28"/>
  <c r="W725" i="28" s="1"/>
  <c r="X725" i="28" s="1"/>
  <c r="AE725" i="28"/>
  <c r="V572" i="28"/>
  <c r="W572" i="28" s="1"/>
  <c r="X572" i="28" s="1"/>
  <c r="AE572" i="28"/>
  <c r="V885" i="28"/>
  <c r="W885" i="28" s="1"/>
  <c r="X885" i="28" s="1"/>
  <c r="AE885" i="28"/>
  <c r="V949" i="28"/>
  <c r="W949" i="28" s="1"/>
  <c r="X949" i="28" s="1"/>
  <c r="AE949" i="28"/>
  <c r="V461" i="28"/>
  <c r="W461" i="28" s="1"/>
  <c r="X461" i="28" s="1"/>
  <c r="AE461" i="28"/>
  <c r="V589" i="28"/>
  <c r="W589" i="28" s="1"/>
  <c r="X589" i="28" s="1"/>
  <c r="AE589" i="28"/>
  <c r="AE467" i="28"/>
  <c r="V467" i="28"/>
  <c r="W467" i="28" s="1"/>
  <c r="X467" i="28" s="1"/>
  <c r="V611" i="28"/>
  <c r="W611" i="28" s="1"/>
  <c r="X611" i="28" s="1"/>
  <c r="AE611" i="28"/>
  <c r="V941" i="28"/>
  <c r="W941" i="28" s="1"/>
  <c r="X941" i="28" s="1"/>
  <c r="AE941" i="28"/>
  <c r="V709" i="28"/>
  <c r="W709" i="28" s="1"/>
  <c r="X709" i="28" s="1"/>
  <c r="AE709" i="28"/>
  <c r="V869" i="28"/>
  <c r="W869" i="28" s="1"/>
  <c r="X869" i="28" s="1"/>
  <c r="AE869" i="28"/>
  <c r="V933" i="28"/>
  <c r="W933" i="28" s="1"/>
  <c r="X933" i="28" s="1"/>
  <c r="AE933" i="28"/>
  <c r="AE830" i="28"/>
  <c r="AE490" i="28"/>
  <c r="AE696" i="28"/>
  <c r="AE542" i="28"/>
  <c r="AE496" i="28"/>
  <c r="AE488" i="28"/>
  <c r="V936" i="28"/>
  <c r="W936" i="28" s="1"/>
  <c r="X936" i="28" s="1"/>
  <c r="AE936" i="28"/>
  <c r="V842" i="28"/>
  <c r="W842" i="28" s="1"/>
  <c r="X842" i="28" s="1"/>
  <c r="AE842" i="28"/>
  <c r="V807" i="28"/>
  <c r="W807" i="28" s="1"/>
  <c r="X807" i="28" s="1"/>
  <c r="AE807" i="28"/>
  <c r="V992" i="28"/>
  <c r="W992" i="28" s="1"/>
  <c r="X992" i="28" s="1"/>
  <c r="AE992" i="28"/>
  <c r="AE888" i="28"/>
  <c r="V888" i="28"/>
  <c r="W888" i="28" s="1"/>
  <c r="X888" i="28" s="1"/>
  <c r="V582" i="28"/>
  <c r="W582" i="28" s="1"/>
  <c r="X582" i="28" s="1"/>
  <c r="AE582" i="28"/>
  <c r="V735" i="28"/>
  <c r="W735" i="28" s="1"/>
  <c r="X735" i="28" s="1"/>
  <c r="AE735" i="28"/>
  <c r="AE757" i="28"/>
  <c r="V757" i="28"/>
  <c r="W757" i="28" s="1"/>
  <c r="X757" i="28" s="1"/>
  <c r="V650" i="28"/>
  <c r="W650" i="28" s="1"/>
  <c r="X650" i="28" s="1"/>
  <c r="AE650" i="28"/>
  <c r="V728" i="28"/>
  <c r="W728" i="28" s="1"/>
  <c r="X728" i="28" s="1"/>
  <c r="AE728" i="28"/>
  <c r="AE739" i="28"/>
  <c r="V739" i="28"/>
  <c r="W739" i="28" s="1"/>
  <c r="X739" i="28" s="1"/>
  <c r="V883" i="28"/>
  <c r="W883" i="28" s="1"/>
  <c r="X883" i="28" s="1"/>
  <c r="AE883" i="28"/>
  <c r="V979" i="28"/>
  <c r="W979" i="28" s="1"/>
  <c r="X979" i="28" s="1"/>
  <c r="AE979" i="28"/>
  <c r="V600" i="28"/>
  <c r="W600" i="28" s="1"/>
  <c r="X600" i="28" s="1"/>
  <c r="AE600" i="28"/>
  <c r="V967" i="28"/>
  <c r="W967" i="28" s="1"/>
  <c r="X967" i="28" s="1"/>
  <c r="AE967" i="28"/>
  <c r="V886" i="28"/>
  <c r="W886" i="28" s="1"/>
  <c r="X886" i="28" s="1"/>
  <c r="AE886" i="28"/>
  <c r="V465" i="28"/>
  <c r="W465" i="28" s="1"/>
  <c r="X465" i="28" s="1"/>
  <c r="AE465" i="28"/>
  <c r="V454" i="28"/>
  <c r="W454" i="28" s="1"/>
  <c r="X454" i="28" s="1"/>
  <c r="AE454" i="28"/>
  <c r="V552" i="28"/>
  <c r="W552" i="28" s="1"/>
  <c r="X552" i="28" s="1"/>
  <c r="AE462" i="28"/>
  <c r="V462" i="28"/>
  <c r="W462" i="28" s="1"/>
  <c r="X462" i="28" s="1"/>
  <c r="V615" i="28"/>
  <c r="W615" i="28" s="1"/>
  <c r="X615" i="28" s="1"/>
  <c r="AE615" i="28"/>
  <c r="V663" i="28"/>
  <c r="W663" i="28" s="1"/>
  <c r="X663" i="28" s="1"/>
  <c r="AE663" i="28"/>
  <c r="AE743" i="28"/>
  <c r="V743" i="28"/>
  <c r="W743" i="28" s="1"/>
  <c r="X743" i="28" s="1"/>
  <c r="AE771" i="28"/>
  <c r="V771" i="28"/>
  <c r="W771" i="28" s="1"/>
  <c r="X771" i="28" s="1"/>
  <c r="AE987" i="28"/>
  <c r="V987" i="28"/>
  <c r="W987" i="28" s="1"/>
  <c r="X987" i="28" s="1"/>
  <c r="AE859" i="28"/>
  <c r="V859" i="28"/>
  <c r="W859" i="28" s="1"/>
  <c r="X859" i="28" s="1"/>
  <c r="AE875" i="28"/>
  <c r="V875" i="28"/>
  <c r="W875" i="28" s="1"/>
  <c r="X875" i="28" s="1"/>
  <c r="AE971" i="28"/>
  <c r="V971" i="28"/>
  <c r="W971" i="28" s="1"/>
  <c r="X971" i="28" s="1"/>
  <c r="V477" i="28"/>
  <c r="W477" i="28" s="1"/>
  <c r="X477" i="28" s="1"/>
  <c r="AE477" i="28"/>
  <c r="V573" i="28"/>
  <c r="W573" i="28" s="1"/>
  <c r="X573" i="28" s="1"/>
  <c r="AE573" i="28"/>
  <c r="V459" i="28"/>
  <c r="W459" i="28" s="1"/>
  <c r="X459" i="28" s="1"/>
  <c r="AE459" i="28"/>
  <c r="AE571" i="28"/>
  <c r="V571" i="28"/>
  <c r="W571" i="28" s="1"/>
  <c r="X571" i="28" s="1"/>
  <c r="V715" i="28"/>
  <c r="W715" i="28" s="1"/>
  <c r="X715" i="28" s="1"/>
  <c r="AE715" i="28"/>
  <c r="V929" i="28"/>
  <c r="W929" i="28" s="1"/>
  <c r="X929" i="28" s="1"/>
  <c r="AE929" i="28"/>
  <c r="V444" i="28"/>
  <c r="W444" i="28" s="1"/>
  <c r="X444" i="28" s="1"/>
  <c r="AE444" i="28"/>
  <c r="V636" i="28"/>
  <c r="W636" i="28" s="1"/>
  <c r="X636" i="28" s="1"/>
  <c r="AE636" i="28"/>
  <c r="V917" i="28"/>
  <c r="W917" i="28" s="1"/>
  <c r="X917" i="28" s="1"/>
  <c r="AE917" i="28"/>
  <c r="AE985" i="28"/>
  <c r="V985" i="28"/>
  <c r="W985" i="28" s="1"/>
  <c r="X985" i="28" s="1"/>
  <c r="V557" i="28"/>
  <c r="W557" i="28" s="1"/>
  <c r="X557" i="28" s="1"/>
  <c r="AE557" i="28"/>
  <c r="V621" i="28"/>
  <c r="W621" i="28" s="1"/>
  <c r="X621" i="28" s="1"/>
  <c r="AE621" i="28"/>
  <c r="V547" i="28"/>
  <c r="W547" i="28" s="1"/>
  <c r="X547" i="28" s="1"/>
  <c r="AE547" i="28"/>
  <c r="AE627" i="28"/>
  <c r="V627" i="28"/>
  <c r="W627" i="28" s="1"/>
  <c r="X627" i="28" s="1"/>
  <c r="AE881" i="28"/>
  <c r="V881" i="28"/>
  <c r="W881" i="28" s="1"/>
  <c r="X881" i="28" s="1"/>
  <c r="V645" i="28"/>
  <c r="W645" i="28" s="1"/>
  <c r="X645" i="28" s="1"/>
  <c r="AE645" i="28"/>
  <c r="V837" i="28"/>
  <c r="W837" i="28" s="1"/>
  <c r="X837" i="28" s="1"/>
  <c r="AE837" i="28"/>
  <c r="V901" i="28"/>
  <c r="W901" i="28" s="1"/>
  <c r="X901" i="28" s="1"/>
  <c r="AE901" i="28"/>
  <c r="V997" i="28"/>
  <c r="W997" i="28" s="1"/>
  <c r="X997" i="28" s="1"/>
  <c r="AE997" i="28"/>
  <c r="U3" i="28"/>
  <c r="H413" i="28"/>
  <c r="I413" i="28" s="1"/>
  <c r="U407" i="28" s="1"/>
  <c r="H402" i="28"/>
  <c r="I402" i="28" s="1"/>
  <c r="H19" i="28"/>
  <c r="I19" i="28" s="1"/>
  <c r="AH20" i="28" s="1"/>
  <c r="H265" i="28"/>
  <c r="I265" i="28" s="1"/>
  <c r="H385" i="28"/>
  <c r="I385" i="28" s="1"/>
  <c r="H49" i="28"/>
  <c r="I49" i="28" s="1"/>
  <c r="H373" i="28"/>
  <c r="I373" i="28" s="1"/>
  <c r="H149" i="28"/>
  <c r="I149" i="28" s="1"/>
  <c r="H60" i="28"/>
  <c r="I60" i="28" s="1"/>
  <c r="AH60" i="28" s="1"/>
  <c r="H14" i="28"/>
  <c r="I14" i="28" s="1"/>
  <c r="U12" i="28" s="1"/>
  <c r="H222" i="28"/>
  <c r="I222" i="28" s="1"/>
  <c r="H10" i="28"/>
  <c r="H382" i="28"/>
  <c r="I382" i="28" s="1"/>
  <c r="H347" i="28"/>
  <c r="I347" i="28" s="1"/>
  <c r="H163" i="28"/>
  <c r="I163" i="28" s="1"/>
  <c r="Q16" i="15"/>
  <c r="K13" i="15"/>
  <c r="Q12" i="15"/>
  <c r="B15" i="15"/>
  <c r="Q15" i="15"/>
  <c r="H101" i="28"/>
  <c r="I101" i="28" s="1"/>
  <c r="H95" i="28"/>
  <c r="I95" i="28" s="1"/>
  <c r="H283" i="28"/>
  <c r="I283" i="28" s="1"/>
  <c r="AH287" i="28" s="1"/>
  <c r="H404" i="28"/>
  <c r="I404" i="28" s="1"/>
  <c r="H179" i="28"/>
  <c r="I179" i="28" s="1"/>
  <c r="H302" i="28"/>
  <c r="I302" i="28" s="1"/>
  <c r="H318" i="28"/>
  <c r="I318" i="28" s="1"/>
  <c r="H23" i="28"/>
  <c r="I23" i="28" s="1"/>
  <c r="I155" i="28"/>
  <c r="E229" i="14"/>
  <c r="D229" i="14"/>
  <c r="C229" i="14"/>
  <c r="B229" i="14"/>
  <c r="F103" i="16"/>
  <c r="F50" i="16"/>
  <c r="F156" i="16"/>
  <c r="F77" i="16"/>
  <c r="F129" i="16"/>
  <c r="G7" i="16"/>
  <c r="G60" i="16" s="1"/>
  <c r="F54" i="16"/>
  <c r="F110" i="16"/>
  <c r="F56" i="16"/>
  <c r="F107" i="16"/>
  <c r="F59" i="16"/>
  <c r="F58" i="16"/>
  <c r="F53" i="16"/>
  <c r="F112" i="16"/>
  <c r="F108" i="16"/>
  <c r="F57" i="16"/>
  <c r="F55" i="16"/>
  <c r="F109" i="16"/>
  <c r="F111" i="16"/>
  <c r="F84" i="16"/>
  <c r="F80" i="16"/>
  <c r="F86" i="16"/>
  <c r="F81" i="16"/>
  <c r="F106" i="16"/>
  <c r="F85" i="16"/>
  <c r="F83" i="16"/>
  <c r="F82" i="16"/>
  <c r="C151" i="14"/>
  <c r="B151" i="14"/>
  <c r="E151" i="14"/>
  <c r="D151" i="14"/>
  <c r="A14" i="11"/>
  <c r="A79" i="11"/>
  <c r="A53" i="11"/>
  <c r="A13" i="14"/>
  <c r="A152" i="14"/>
  <c r="F152" i="14" s="1"/>
  <c r="A178" i="14"/>
  <c r="F178" i="14" s="1"/>
  <c r="A52" i="14"/>
  <c r="A102" i="14"/>
  <c r="A230" i="14"/>
  <c r="F230" i="14" s="1"/>
  <c r="A127" i="14"/>
  <c r="F127" i="14" s="1"/>
  <c r="A204" i="14"/>
  <c r="F204" i="14" s="1"/>
  <c r="A77" i="14"/>
  <c r="K115" i="19"/>
  <c r="E78" i="11"/>
  <c r="D78" i="11"/>
  <c r="E52" i="11"/>
  <c r="E12" i="11" s="1"/>
  <c r="C78" i="11"/>
  <c r="K78" i="11"/>
  <c r="J52" i="11"/>
  <c r="J12" i="11" s="1"/>
  <c r="F78" i="11"/>
  <c r="K52" i="11"/>
  <c r="K12" i="11" s="1"/>
  <c r="C52" i="11"/>
  <c r="C12" i="11" s="1"/>
  <c r="H78" i="11"/>
  <c r="G52" i="11"/>
  <c r="G12" i="11" s="1"/>
  <c r="D52" i="11"/>
  <c r="D12" i="11" s="1"/>
  <c r="B78" i="11"/>
  <c r="H52" i="11"/>
  <c r="H12" i="11" s="1"/>
  <c r="I52" i="11"/>
  <c r="I12" i="11" s="1"/>
  <c r="I78" i="11"/>
  <c r="J78" i="11"/>
  <c r="F52" i="11"/>
  <c r="F12" i="11" s="1"/>
  <c r="B52" i="11"/>
  <c r="B12" i="11" s="1"/>
  <c r="G78" i="11"/>
  <c r="C177" i="14"/>
  <c r="E177" i="14"/>
  <c r="D177" i="14"/>
  <c r="B177" i="14"/>
  <c r="E126" i="14"/>
  <c r="D126" i="14"/>
  <c r="B126" i="14"/>
  <c r="C126" i="14"/>
  <c r="D203" i="14"/>
  <c r="E203" i="14"/>
  <c r="B203" i="14"/>
  <c r="C203" i="14"/>
  <c r="D101" i="14"/>
  <c r="B101" i="14"/>
  <c r="C101" i="14"/>
  <c r="E101" i="14"/>
  <c r="C76" i="14"/>
  <c r="B76" i="14"/>
  <c r="E76" i="14"/>
  <c r="D76" i="14"/>
  <c r="E51" i="14"/>
  <c r="D51" i="14"/>
  <c r="C51" i="14"/>
  <c r="B51" i="14"/>
  <c r="H346" i="28"/>
  <c r="I346" i="28" s="1"/>
  <c r="B55" i="17"/>
  <c r="C55" i="17"/>
  <c r="D55" i="17"/>
  <c r="E113" i="16"/>
  <c r="G113" i="16"/>
  <c r="C113" i="16"/>
  <c r="D113" i="16"/>
  <c r="B113" i="16"/>
  <c r="F113" i="16"/>
  <c r="A56" i="17"/>
  <c r="E56" i="17" s="1"/>
  <c r="A81" i="17"/>
  <c r="E81" i="17" s="1"/>
  <c r="A160" i="17"/>
  <c r="A107" i="17"/>
  <c r="E107" i="17" s="1"/>
  <c r="A133" i="17"/>
  <c r="A14" i="17"/>
  <c r="K24" i="19"/>
  <c r="A140" i="16"/>
  <c r="A61" i="16"/>
  <c r="A88" i="16"/>
  <c r="A114" i="16"/>
  <c r="A18" i="16"/>
  <c r="A167" i="16"/>
  <c r="F197" i="14"/>
  <c r="F95" i="14"/>
  <c r="F171" i="14"/>
  <c r="F120" i="14"/>
  <c r="F45" i="14"/>
  <c r="F145" i="14"/>
  <c r="G6" i="14"/>
  <c r="F223" i="14"/>
  <c r="F70" i="14"/>
  <c r="F176" i="14"/>
  <c r="F174" i="14"/>
  <c r="F227" i="14"/>
  <c r="F175" i="14"/>
  <c r="F226" i="14"/>
  <c r="F50" i="14"/>
  <c r="F151" i="14"/>
  <c r="F229" i="14"/>
  <c r="F200" i="14"/>
  <c r="F149" i="14"/>
  <c r="F228" i="14"/>
  <c r="F201" i="14"/>
  <c r="F202" i="14"/>
  <c r="F203" i="14"/>
  <c r="F148" i="14"/>
  <c r="F177" i="14"/>
  <c r="F150" i="14"/>
  <c r="F100" i="14"/>
  <c r="F98" i="14"/>
  <c r="F49" i="14"/>
  <c r="F101" i="14"/>
  <c r="F48" i="14"/>
  <c r="F102" i="14"/>
  <c r="F51" i="14"/>
  <c r="F99" i="14"/>
  <c r="F52" i="14"/>
  <c r="F124" i="14"/>
  <c r="F76" i="14"/>
  <c r="F125" i="14"/>
  <c r="F73" i="14"/>
  <c r="F77" i="14"/>
  <c r="F74" i="14"/>
  <c r="F75" i="14"/>
  <c r="F123" i="14"/>
  <c r="F126" i="14"/>
  <c r="S15" i="12"/>
  <c r="S37" i="12"/>
  <c r="B106" i="17"/>
  <c r="D106" i="17"/>
  <c r="C106" i="17"/>
  <c r="D53" i="2"/>
  <c r="E53" i="2"/>
  <c r="C53" i="2"/>
  <c r="F53" i="2"/>
  <c r="B53" i="2"/>
  <c r="K66" i="19"/>
  <c r="K40" i="19"/>
  <c r="G71" i="2"/>
  <c r="G103" i="2"/>
  <c r="H4" i="2"/>
  <c r="G46" i="2"/>
  <c r="G123" i="2"/>
  <c r="G101" i="2"/>
  <c r="G97" i="2"/>
  <c r="G100" i="2"/>
  <c r="G104" i="2"/>
  <c r="G102" i="2"/>
  <c r="G51" i="2"/>
  <c r="G50" i="2"/>
  <c r="G52" i="2"/>
  <c r="G49" i="2"/>
  <c r="G53" i="2"/>
  <c r="G77" i="2"/>
  <c r="G126" i="2"/>
  <c r="G127" i="2"/>
  <c r="G128" i="2"/>
  <c r="G129" i="2"/>
  <c r="G78" i="2"/>
  <c r="G75" i="2"/>
  <c r="G74" i="2"/>
  <c r="G76" i="2"/>
  <c r="G130" i="2"/>
  <c r="K6" i="19"/>
  <c r="E87" i="16"/>
  <c r="D87" i="16"/>
  <c r="B87" i="16"/>
  <c r="C87" i="16"/>
  <c r="G87" i="16"/>
  <c r="F87" i="16"/>
  <c r="A105" i="2"/>
  <c r="A79" i="2"/>
  <c r="A12" i="2"/>
  <c r="A54" i="2"/>
  <c r="G54" i="2" s="1"/>
  <c r="A131" i="2"/>
  <c r="B80" i="17"/>
  <c r="C80" i="17"/>
  <c r="D80" i="17"/>
  <c r="D60" i="16"/>
  <c r="B60" i="16"/>
  <c r="F60" i="16"/>
  <c r="E60" i="16"/>
  <c r="C60" i="16"/>
  <c r="D104" i="2"/>
  <c r="B104" i="2"/>
  <c r="C104" i="2"/>
  <c r="E104" i="2"/>
  <c r="E130" i="2"/>
  <c r="C78" i="2"/>
  <c r="D78" i="2"/>
  <c r="B78" i="2"/>
  <c r="C130" i="2"/>
  <c r="F78" i="2"/>
  <c r="B130" i="2"/>
  <c r="D130" i="2"/>
  <c r="F130" i="2"/>
  <c r="E78" i="2"/>
  <c r="E74" i="17"/>
  <c r="E126" i="17"/>
  <c r="E100" i="17"/>
  <c r="F7" i="17"/>
  <c r="E153" i="17"/>
  <c r="E49" i="17"/>
  <c r="E105" i="17"/>
  <c r="E104" i="17"/>
  <c r="E103" i="17"/>
  <c r="E106" i="17"/>
  <c r="E53" i="17"/>
  <c r="E55" i="17"/>
  <c r="E54" i="17"/>
  <c r="E52" i="17"/>
  <c r="E77" i="17"/>
  <c r="E80" i="17"/>
  <c r="E79" i="17"/>
  <c r="E78" i="17"/>
  <c r="K29" i="19"/>
  <c r="I262" i="28"/>
  <c r="I45" i="28"/>
  <c r="H322" i="28"/>
  <c r="I322" i="28" s="1"/>
  <c r="I48" i="28"/>
  <c r="H303" i="28"/>
  <c r="H159" i="28"/>
  <c r="I159" i="28" s="1"/>
  <c r="H230" i="28"/>
  <c r="I230" i="28" s="1"/>
  <c r="I294" i="28"/>
  <c r="I96" i="28"/>
  <c r="H333" i="28"/>
  <c r="I333" i="28" s="1"/>
  <c r="H234" i="28"/>
  <c r="I234" i="28" s="1"/>
  <c r="H160" i="28"/>
  <c r="I160" i="28" s="1"/>
  <c r="H98" i="28"/>
  <c r="I98" i="28" s="1"/>
  <c r="I107" i="28"/>
  <c r="I29" i="28"/>
  <c r="H112" i="28"/>
  <c r="I112" i="28" s="1"/>
  <c r="H236" i="28"/>
  <c r="H285" i="28"/>
  <c r="I285" i="28" s="1"/>
  <c r="H223" i="28"/>
  <c r="I223" i="28" s="1"/>
  <c r="I118" i="28"/>
  <c r="AH370" i="28"/>
  <c r="I89" i="28"/>
  <c r="U88" i="28" s="1"/>
  <c r="U361" i="28"/>
  <c r="I43" i="28"/>
  <c r="I117" i="28"/>
  <c r="I111" i="28"/>
  <c r="H152" i="28"/>
  <c r="I152" i="28" s="1"/>
  <c r="AH152" i="28" s="1"/>
  <c r="H157" i="28"/>
  <c r="I157" i="28" s="1"/>
  <c r="H405" i="28"/>
  <c r="I405" i="28" s="1"/>
  <c r="H32" i="28"/>
  <c r="I32" i="28" s="1"/>
  <c r="AH3" i="28"/>
  <c r="AH360" i="28"/>
  <c r="H359" i="28"/>
  <c r="I359" i="28" s="1"/>
  <c r="H20" i="28"/>
  <c r="I20" i="28" s="1"/>
  <c r="H164" i="28"/>
  <c r="I164" i="28" s="1"/>
  <c r="H65" i="28"/>
  <c r="I65" i="28" s="1"/>
  <c r="AH5" i="28"/>
  <c r="H381" i="28"/>
  <c r="I381" i="28" s="1"/>
  <c r="W446" i="28"/>
  <c r="X446" i="28" s="1"/>
  <c r="W730" i="28"/>
  <c r="X730" i="28" s="1"/>
  <c r="W475" i="28"/>
  <c r="X475" i="28" s="1"/>
  <c r="W491" i="28"/>
  <c r="X491" i="28" s="1"/>
  <c r="W507" i="28"/>
  <c r="X507" i="28" s="1"/>
  <c r="W523" i="28"/>
  <c r="X523" i="28" s="1"/>
  <c r="W555" i="28"/>
  <c r="X555" i="28" s="1"/>
  <c r="W587" i="28"/>
  <c r="X587" i="28" s="1"/>
  <c r="W603" i="28"/>
  <c r="X603" i="28" s="1"/>
  <c r="W635" i="28"/>
  <c r="X635" i="28" s="1"/>
  <c r="W683" i="28"/>
  <c r="X683" i="28" s="1"/>
  <c r="W699" i="28"/>
  <c r="X699" i="28" s="1"/>
  <c r="W731" i="28"/>
  <c r="X731" i="28" s="1"/>
  <c r="W861" i="28"/>
  <c r="X861" i="28" s="1"/>
  <c r="W893" i="28"/>
  <c r="X893" i="28" s="1"/>
  <c r="W925" i="28"/>
  <c r="X925" i="28" s="1"/>
  <c r="W957" i="28"/>
  <c r="X957" i="28" s="1"/>
  <c r="W897" i="28"/>
  <c r="X897" i="28" s="1"/>
  <c r="W961" i="28"/>
  <c r="X961" i="28" s="1"/>
  <c r="W993" i="28"/>
  <c r="X993" i="28" s="1"/>
  <c r="W740" i="28"/>
  <c r="X740" i="28" s="1"/>
  <c r="U5" i="28"/>
  <c r="U421" i="28"/>
  <c r="U57" i="28"/>
  <c r="W435" i="28"/>
  <c r="X435" i="28" s="1"/>
  <c r="W451" i="28"/>
  <c r="X451" i="28" s="1"/>
  <c r="W515" i="28"/>
  <c r="X515" i="28" s="1"/>
  <c r="W531" i="28"/>
  <c r="X531" i="28" s="1"/>
  <c r="W563" i="28"/>
  <c r="X563" i="28" s="1"/>
  <c r="W579" i="28"/>
  <c r="X579" i="28" s="1"/>
  <c r="W595" i="28"/>
  <c r="X595" i="28" s="1"/>
  <c r="W643" i="28"/>
  <c r="X643" i="28" s="1"/>
  <c r="W659" i="28"/>
  <c r="X659" i="28" s="1"/>
  <c r="W691" i="28"/>
  <c r="X691" i="28" s="1"/>
  <c r="W707" i="28"/>
  <c r="X707" i="28" s="1"/>
  <c r="W736" i="28"/>
  <c r="X736" i="28" s="1"/>
  <c r="W845" i="28"/>
  <c r="X845" i="28" s="1"/>
  <c r="W909" i="28"/>
  <c r="X909" i="28" s="1"/>
  <c r="W973" i="28"/>
  <c r="X973" i="28" s="1"/>
  <c r="W849" i="28"/>
  <c r="X849" i="28" s="1"/>
  <c r="W945" i="28"/>
  <c r="X945" i="28" s="1"/>
  <c r="W977" i="28"/>
  <c r="X977" i="28" s="1"/>
  <c r="W748" i="28"/>
  <c r="X748" i="28" s="1"/>
  <c r="AH71" i="28"/>
  <c r="AH368" i="28"/>
  <c r="AH65" i="28"/>
  <c r="U84" i="28"/>
  <c r="AH298" i="28"/>
  <c r="AH21" i="28"/>
  <c r="W564" i="28"/>
  <c r="X564" i="28" s="1"/>
  <c r="W580" i="28"/>
  <c r="X580" i="28" s="1"/>
  <c r="W708" i="28"/>
  <c r="X708" i="28" s="1"/>
  <c r="W724" i="28"/>
  <c r="X724" i="28" s="1"/>
  <c r="W937" i="28"/>
  <c r="X937" i="28" s="1"/>
  <c r="I236" i="28"/>
  <c r="H272" i="28"/>
  <c r="I272" i="28" s="1"/>
  <c r="U95" i="28"/>
  <c r="AH193" i="28"/>
  <c r="AH185" i="28"/>
  <c r="H125" i="28"/>
  <c r="I125" i="28" s="1"/>
  <c r="H340" i="28"/>
  <c r="I340" i="28" s="1"/>
  <c r="AH334" i="28" s="1"/>
  <c r="AH24" i="28"/>
  <c r="AH57" i="28"/>
  <c r="U21" i="28"/>
  <c r="U24" i="28"/>
  <c r="W509" i="28"/>
  <c r="X509" i="28" s="1"/>
  <c r="W605" i="28"/>
  <c r="X605" i="28" s="1"/>
  <c r="W637" i="28"/>
  <c r="X637" i="28" s="1"/>
  <c r="W669" i="28"/>
  <c r="X669" i="28" s="1"/>
  <c r="W701" i="28"/>
  <c r="X701" i="28" s="1"/>
  <c r="W733" i="28"/>
  <c r="X733" i="28" s="1"/>
  <c r="H336" i="28"/>
  <c r="I336" i="28" s="1"/>
  <c r="I357" i="28"/>
  <c r="H266" i="28"/>
  <c r="I266" i="28" s="1"/>
  <c r="AH260" i="28" s="1"/>
  <c r="H215" i="28"/>
  <c r="I215" i="28" s="1"/>
  <c r="U360" i="28"/>
  <c r="U368" i="28"/>
  <c r="U370" i="28"/>
  <c r="H395" i="28"/>
  <c r="U71" i="28"/>
  <c r="H323" i="28"/>
  <c r="I323" i="28" s="1"/>
  <c r="AH320" i="28" s="1"/>
  <c r="I10" i="28"/>
  <c r="I69" i="28"/>
  <c r="I114" i="28"/>
  <c r="I366" i="28"/>
  <c r="I176" i="28"/>
  <c r="U311" i="28"/>
  <c r="AH311" i="28"/>
  <c r="AH49" i="28"/>
  <c r="U241" i="28"/>
  <c r="AH244" i="28"/>
  <c r="U244" i="28"/>
  <c r="U245" i="28"/>
  <c r="AH242" i="28"/>
  <c r="AH245" i="28"/>
  <c r="U242" i="28"/>
  <c r="AH241" i="28"/>
  <c r="U298" i="28"/>
  <c r="U65" i="28"/>
  <c r="U193" i="28"/>
  <c r="AH108" i="28"/>
  <c r="AH95" i="28"/>
  <c r="AH188" i="28"/>
  <c r="U185" i="28"/>
  <c r="W437" i="28"/>
  <c r="X437" i="28" s="1"/>
  <c r="W565" i="28"/>
  <c r="X565" i="28" s="1"/>
  <c r="W492" i="28"/>
  <c r="X492" i="28" s="1"/>
  <c r="W684" i="28"/>
  <c r="X684" i="28" s="1"/>
  <c r="W744" i="28"/>
  <c r="X744" i="28" s="1"/>
  <c r="U139" i="28"/>
  <c r="AH421" i="28"/>
  <c r="U188" i="28"/>
  <c r="U108" i="28"/>
  <c r="AH139" i="28"/>
  <c r="AH84" i="28"/>
  <c r="W443" i="28"/>
  <c r="X443" i="28" s="1"/>
  <c r="W651" i="28"/>
  <c r="X651" i="28" s="1"/>
  <c r="W667" i="28"/>
  <c r="X667" i="28" s="1"/>
  <c r="W865" i="28"/>
  <c r="X865" i="28" s="1"/>
  <c r="W469" i="28"/>
  <c r="X469" i="28" s="1"/>
  <c r="W501" i="28"/>
  <c r="X501" i="28" s="1"/>
  <c r="W533" i="28"/>
  <c r="X533" i="28" s="1"/>
  <c r="W597" i="28"/>
  <c r="X597" i="28" s="1"/>
  <c r="W629" i="28"/>
  <c r="X629" i="28" s="1"/>
  <c r="W661" i="28"/>
  <c r="X661" i="28" s="1"/>
  <c r="W693" i="28"/>
  <c r="X693" i="28" s="1"/>
  <c r="W428" i="28"/>
  <c r="X428" i="28" s="1"/>
  <c r="W460" i="28"/>
  <c r="X460" i="28" s="1"/>
  <c r="W476" i="28"/>
  <c r="X476" i="28" s="1"/>
  <c r="W508" i="28"/>
  <c r="X508" i="28" s="1"/>
  <c r="W524" i="28"/>
  <c r="X524" i="28" s="1"/>
  <c r="W540" i="28"/>
  <c r="X540" i="28" s="1"/>
  <c r="W556" i="28"/>
  <c r="X556" i="28" s="1"/>
  <c r="W588" i="28"/>
  <c r="X588" i="28" s="1"/>
  <c r="W604" i="28"/>
  <c r="X604" i="28" s="1"/>
  <c r="W620" i="28"/>
  <c r="X620" i="28" s="1"/>
  <c r="W652" i="28"/>
  <c r="X652" i="28" s="1"/>
  <c r="W668" i="28"/>
  <c r="X668" i="28" s="1"/>
  <c r="W700" i="28"/>
  <c r="X700" i="28" s="1"/>
  <c r="W716" i="28"/>
  <c r="X716" i="28" s="1"/>
  <c r="W732" i="28"/>
  <c r="X732" i="28" s="1"/>
  <c r="W853" i="28"/>
  <c r="X853" i="28" s="1"/>
  <c r="W981" i="28"/>
  <c r="X981" i="28" s="1"/>
  <c r="W857" i="28"/>
  <c r="X857" i="28" s="1"/>
  <c r="W889" i="28"/>
  <c r="X889" i="28" s="1"/>
  <c r="W921" i="28"/>
  <c r="X921" i="28" s="1"/>
  <c r="W953" i="28"/>
  <c r="X953" i="28" s="1"/>
  <c r="W737" i="28"/>
  <c r="X737" i="28" s="1"/>
  <c r="W996" i="28"/>
  <c r="X996" i="28" s="1"/>
  <c r="U282" i="28"/>
  <c r="AH361" i="28"/>
  <c r="W483" i="28"/>
  <c r="X483" i="28" s="1"/>
  <c r="W499" i="28"/>
  <c r="X499" i="28" s="1"/>
  <c r="W675" i="28"/>
  <c r="X675" i="28" s="1"/>
  <c r="W723" i="28"/>
  <c r="X723" i="28" s="1"/>
  <c r="W877" i="28"/>
  <c r="X877" i="28" s="1"/>
  <c r="W913" i="28"/>
  <c r="X913" i="28" s="1"/>
  <c r="W453" i="28"/>
  <c r="X453" i="28" s="1"/>
  <c r="W485" i="28"/>
  <c r="X485" i="28" s="1"/>
  <c r="W581" i="28"/>
  <c r="X581" i="28" s="1"/>
  <c r="W613" i="28"/>
  <c r="X613" i="28" s="1"/>
  <c r="W677" i="28"/>
  <c r="X677" i="28" s="1"/>
  <c r="W549" i="28"/>
  <c r="X549" i="28" s="1"/>
  <c r="W436" i="28"/>
  <c r="X436" i="28" s="1"/>
  <c r="W452" i="28"/>
  <c r="X452" i="28" s="1"/>
  <c r="W468" i="28"/>
  <c r="X468" i="28" s="1"/>
  <c r="W484" i="28"/>
  <c r="X484" i="28" s="1"/>
  <c r="W500" i="28"/>
  <c r="X500" i="28" s="1"/>
  <c r="W516" i="28"/>
  <c r="X516" i="28" s="1"/>
  <c r="W532" i="28"/>
  <c r="X532" i="28" s="1"/>
  <c r="W548" i="28"/>
  <c r="X548" i="28" s="1"/>
  <c r="W596" i="28"/>
  <c r="X596" i="28" s="1"/>
  <c r="W612" i="28"/>
  <c r="X612" i="28" s="1"/>
  <c r="W628" i="28"/>
  <c r="X628" i="28" s="1"/>
  <c r="W676" i="28"/>
  <c r="X676" i="28" s="1"/>
  <c r="W692" i="28"/>
  <c r="X692" i="28" s="1"/>
  <c r="W965" i="28"/>
  <c r="X965" i="28" s="1"/>
  <c r="W905" i="28"/>
  <c r="X905" i="28" s="1"/>
  <c r="AH369" i="28"/>
  <c r="U369" i="28"/>
  <c r="W429" i="28"/>
  <c r="X429" i="28" s="1"/>
  <c r="W493" i="28"/>
  <c r="X493" i="28" s="1"/>
  <c r="W525" i="28"/>
  <c r="X525" i="28" s="1"/>
  <c r="W653" i="28"/>
  <c r="X653" i="28" s="1"/>
  <c r="W685" i="28"/>
  <c r="X685" i="28" s="1"/>
  <c r="W717" i="28"/>
  <c r="X717" i="28" s="1"/>
  <c r="U38" i="28"/>
  <c r="AH38" i="28"/>
  <c r="AH56" i="28"/>
  <c r="U56" i="28"/>
  <c r="AH41" i="28"/>
  <c r="U41" i="28"/>
  <c r="AH23" i="28"/>
  <c r="U23" i="28"/>
  <c r="AH104" i="28"/>
  <c r="U104" i="28"/>
  <c r="AH134" i="28"/>
  <c r="U134" i="28"/>
  <c r="AH130" i="28"/>
  <c r="U130" i="28"/>
  <c r="AH235" i="28"/>
  <c r="U235" i="28"/>
  <c r="AH246" i="28"/>
  <c r="U246" i="28"/>
  <c r="AH224" i="28"/>
  <c r="U224" i="28"/>
  <c r="AH326" i="28"/>
  <c r="U326" i="28"/>
  <c r="AH400" i="28"/>
  <c r="U400" i="28"/>
  <c r="AH396" i="28"/>
  <c r="U396" i="28"/>
  <c r="AH415" i="28"/>
  <c r="U415" i="28"/>
  <c r="AH17" i="28"/>
  <c r="U17" i="28"/>
  <c r="AH184" i="28"/>
  <c r="U184" i="28"/>
  <c r="AH208" i="28"/>
  <c r="U208" i="28"/>
  <c r="AH207" i="28"/>
  <c r="U207" i="28"/>
  <c r="AH281" i="28"/>
  <c r="U281" i="28"/>
  <c r="AH289" i="28"/>
  <c r="U289" i="28"/>
  <c r="U338" i="28"/>
  <c r="AH416" i="28"/>
  <c r="U416" i="28"/>
  <c r="AH418" i="28"/>
  <c r="U418" i="28"/>
  <c r="AH22" i="28"/>
  <c r="U22" i="28"/>
  <c r="AH42" i="28"/>
  <c r="U42" i="28"/>
  <c r="AH82" i="28"/>
  <c r="U82" i="28"/>
  <c r="AH64" i="28"/>
  <c r="U64" i="28"/>
  <c r="AH113" i="28"/>
  <c r="U113" i="28"/>
  <c r="AH183" i="28"/>
  <c r="U183" i="28"/>
  <c r="AH145" i="28"/>
  <c r="U145" i="28"/>
  <c r="AH216" i="28"/>
  <c r="AH279" i="28"/>
  <c r="U279" i="28"/>
  <c r="U337" i="28"/>
  <c r="AH410" i="28"/>
  <c r="U410" i="28"/>
  <c r="AH425" i="28"/>
  <c r="U425" i="28"/>
  <c r="AH222" i="28"/>
  <c r="U222" i="28"/>
  <c r="AH293" i="28"/>
  <c r="U293" i="28"/>
  <c r="AH299" i="28"/>
  <c r="U299" i="28"/>
  <c r="AH26" i="28"/>
  <c r="U26" i="28"/>
  <c r="AH28" i="28"/>
  <c r="U28" i="28"/>
  <c r="AH18" i="28"/>
  <c r="U18" i="28"/>
  <c r="AH51" i="28"/>
  <c r="U51" i="28"/>
  <c r="AH39" i="28"/>
  <c r="U39" i="28"/>
  <c r="AH48" i="28"/>
  <c r="U48" i="28"/>
  <c r="AH61" i="28"/>
  <c r="U61" i="28"/>
  <c r="AH74" i="28"/>
  <c r="U74" i="28"/>
  <c r="AH98" i="28"/>
  <c r="U98" i="28"/>
  <c r="AH80" i="28"/>
  <c r="U80" i="28"/>
  <c r="AH102" i="28"/>
  <c r="U102" i="28"/>
  <c r="AH112" i="28"/>
  <c r="U112" i="28"/>
  <c r="AH94" i="28"/>
  <c r="U94" i="28"/>
  <c r="AH62" i="28"/>
  <c r="U62" i="28"/>
  <c r="AH106" i="28"/>
  <c r="U106" i="28"/>
  <c r="U124" i="28"/>
  <c r="AH169" i="28"/>
  <c r="U169" i="28"/>
  <c r="AH189" i="28"/>
  <c r="U189" i="28"/>
  <c r="AH200" i="28"/>
  <c r="U200" i="28"/>
  <c r="AH202" i="28"/>
  <c r="U202" i="28"/>
  <c r="AH209" i="28"/>
  <c r="U209" i="28"/>
  <c r="AH211" i="28"/>
  <c r="AH217" i="28"/>
  <c r="U217" i="28"/>
  <c r="AH160" i="28"/>
  <c r="U160" i="28"/>
  <c r="AH192" i="28"/>
  <c r="U192" i="28"/>
  <c r="AH206" i="28"/>
  <c r="U206" i="28"/>
  <c r="AH227" i="28"/>
  <c r="U227" i="28"/>
  <c r="AH203" i="28"/>
  <c r="U203" i="28"/>
  <c r="AH238" i="28"/>
  <c r="U238" i="28"/>
  <c r="AH240" i="28"/>
  <c r="U240" i="28"/>
  <c r="AH266" i="28"/>
  <c r="U212" i="28"/>
  <c r="U265" i="28"/>
  <c r="AH286" i="28"/>
  <c r="U286" i="28"/>
  <c r="AH290" i="28"/>
  <c r="U290" i="28"/>
  <c r="AH312" i="28"/>
  <c r="U312" i="28"/>
  <c r="AH347" i="28"/>
  <c r="U347" i="28"/>
  <c r="AH187" i="28"/>
  <c r="U187" i="28"/>
  <c r="AH191" i="28"/>
  <c r="U191" i="28"/>
  <c r="AH199" i="28"/>
  <c r="U199" i="28"/>
  <c r="AH243" i="28"/>
  <c r="U243" i="28"/>
  <c r="AH251" i="28"/>
  <c r="U251" i="28"/>
  <c r="AH254" i="28"/>
  <c r="U254" i="28"/>
  <c r="AH292" i="28"/>
  <c r="U292" i="28"/>
  <c r="AH373" i="28"/>
  <c r="U373" i="28"/>
  <c r="AH405" i="28"/>
  <c r="U405" i="28"/>
  <c r="AH253" i="28"/>
  <c r="U253" i="28"/>
  <c r="AH420" i="28"/>
  <c r="U420" i="28"/>
  <c r="AH304" i="28"/>
  <c r="U304" i="28"/>
  <c r="U316" i="28"/>
  <c r="AH413" i="28"/>
  <c r="U413" i="28"/>
  <c r="AH310" i="28"/>
  <c r="U310" i="28"/>
  <c r="AH329" i="28"/>
  <c r="U329" i="28"/>
  <c r="AH406" i="28"/>
  <c r="U406" i="28"/>
  <c r="AH411" i="28"/>
  <c r="U411" i="28"/>
  <c r="AH29" i="28"/>
  <c r="U29" i="28"/>
  <c r="AH53" i="28"/>
  <c r="U53" i="28"/>
  <c r="AH15" i="28"/>
  <c r="U15" i="28"/>
  <c r="AH4" i="28"/>
  <c r="U4" i="28"/>
  <c r="AH44" i="28"/>
  <c r="U44" i="28"/>
  <c r="AH46" i="28"/>
  <c r="U46" i="28"/>
  <c r="AH54" i="28"/>
  <c r="U54" i="28"/>
  <c r="AH78" i="28"/>
  <c r="U78" i="28"/>
  <c r="AH83" i="28"/>
  <c r="U83" i="28"/>
  <c r="AH110" i="28"/>
  <c r="U110" i="28"/>
  <c r="AH70" i="28"/>
  <c r="U70" i="28"/>
  <c r="AH86" i="28"/>
  <c r="U86" i="28"/>
  <c r="AH105" i="28"/>
  <c r="U105" i="28"/>
  <c r="AH129" i="28"/>
  <c r="U129" i="28"/>
  <c r="AH143" i="28"/>
  <c r="U143" i="28"/>
  <c r="AH157" i="28"/>
  <c r="U157" i="28"/>
  <c r="AH75" i="28"/>
  <c r="U75" i="28"/>
  <c r="AH144" i="28"/>
  <c r="U144" i="28"/>
  <c r="AH156" i="28"/>
  <c r="U156" i="28"/>
  <c r="AH168" i="28"/>
  <c r="U168" i="28"/>
  <c r="AH196" i="28"/>
  <c r="U196" i="28"/>
  <c r="AH195" i="28"/>
  <c r="U195" i="28"/>
  <c r="AH205" i="28"/>
  <c r="U205" i="28"/>
  <c r="AH223" i="28"/>
  <c r="U223" i="28"/>
  <c r="AH230" i="28"/>
  <c r="U230" i="28"/>
  <c r="AH342" i="28"/>
  <c r="AH186" i="28"/>
  <c r="U186" i="28"/>
  <c r="AH190" i="28"/>
  <c r="U190" i="28"/>
  <c r="AH198" i="28"/>
  <c r="U198" i="28"/>
  <c r="AH237" i="28"/>
  <c r="AH313" i="28"/>
  <c r="U313" i="28"/>
  <c r="AH333" i="28"/>
  <c r="U333" i="28"/>
  <c r="U341" i="28"/>
  <c r="AH197" i="28"/>
  <c r="U197" i="28"/>
  <c r="AH225" i="28"/>
  <c r="U225" i="28"/>
  <c r="AH283" i="28"/>
  <c r="U283" i="28"/>
  <c r="AH294" i="28"/>
  <c r="U294" i="28"/>
  <c r="AH346" i="28"/>
  <c r="U346" i="28"/>
  <c r="AH372" i="28"/>
  <c r="U372" i="28"/>
  <c r="AH414" i="28"/>
  <c r="U414" i="28"/>
  <c r="AH344" i="28"/>
  <c r="U344" i="28"/>
  <c r="AH354" i="28"/>
  <c r="U354" i="28"/>
  <c r="AH264" i="28"/>
  <c r="AH332" i="28"/>
  <c r="U332" i="28"/>
  <c r="AH362" i="28"/>
  <c r="U362" i="28"/>
  <c r="AH402" i="28"/>
  <c r="U402" i="28"/>
  <c r="AH409" i="28"/>
  <c r="U409" i="28"/>
  <c r="AH417" i="28"/>
  <c r="U417" i="28"/>
  <c r="AH363" i="28"/>
  <c r="U363" i="28"/>
  <c r="AH403" i="28"/>
  <c r="U403" i="28"/>
  <c r="AH398" i="28"/>
  <c r="U398" i="28"/>
  <c r="AH408" i="28"/>
  <c r="U408" i="28"/>
  <c r="AH412" i="28"/>
  <c r="U412" i="28"/>
  <c r="AH401" i="28"/>
  <c r="U401" i="28"/>
  <c r="AH426" i="28"/>
  <c r="U426" i="28"/>
  <c r="AH19" i="28"/>
  <c r="U19" i="28"/>
  <c r="AH45" i="28"/>
  <c r="U45" i="28"/>
  <c r="AH27" i="28"/>
  <c r="U27" i="28"/>
  <c r="AH16" i="28"/>
  <c r="U16" i="28"/>
  <c r="AH40" i="28"/>
  <c r="U40" i="28"/>
  <c r="AH47" i="28"/>
  <c r="U47" i="28"/>
  <c r="AH55" i="28"/>
  <c r="U55" i="28"/>
  <c r="AH43" i="28"/>
  <c r="U43" i="28"/>
  <c r="AH73" i="28"/>
  <c r="U73" i="28"/>
  <c r="AH81" i="28"/>
  <c r="U81" i="28"/>
  <c r="AH85" i="28"/>
  <c r="U85" i="28"/>
  <c r="AH72" i="28"/>
  <c r="U72" i="28"/>
  <c r="AH77" i="28"/>
  <c r="U77" i="28"/>
  <c r="AH96" i="28"/>
  <c r="U96" i="28"/>
  <c r="AH107" i="28"/>
  <c r="U107" i="28"/>
  <c r="U117" i="28"/>
  <c r="AH100" i="28"/>
  <c r="U100" i="28"/>
  <c r="AH79" i="28"/>
  <c r="U79" i="28"/>
  <c r="AH109" i="28"/>
  <c r="U109" i="28"/>
  <c r="AH140" i="28"/>
  <c r="U140" i="28"/>
  <c r="AH153" i="28"/>
  <c r="U153" i="28"/>
  <c r="AH58" i="28"/>
  <c r="U58" i="28"/>
  <c r="AH90" i="28"/>
  <c r="U90" i="28"/>
  <c r="AH131" i="28"/>
  <c r="U131" i="28"/>
  <c r="AH133" i="28"/>
  <c r="U133" i="28"/>
  <c r="AH167" i="28"/>
  <c r="U167" i="28"/>
  <c r="AH181" i="28"/>
  <c r="U181" i="28"/>
  <c r="AH135" i="28"/>
  <c r="U135" i="28"/>
  <c r="AH142" i="28"/>
  <c r="U142" i="28"/>
  <c r="U146" i="28"/>
  <c r="AH158" i="28"/>
  <c r="U158" i="28"/>
  <c r="AH161" i="28"/>
  <c r="U161" i="28"/>
  <c r="AH201" i="28"/>
  <c r="U201" i="28"/>
  <c r="AH182" i="28"/>
  <c r="U182" i="28"/>
  <c r="AH229" i="28"/>
  <c r="U229" i="28"/>
  <c r="AH351" i="28"/>
  <c r="U351" i="28"/>
  <c r="U213" i="28"/>
  <c r="AH220" i="28"/>
  <c r="U220" i="28"/>
  <c r="AH231" i="28"/>
  <c r="AH236" i="28"/>
  <c r="AH239" i="28"/>
  <c r="U239" i="28"/>
  <c r="AH257" i="28"/>
  <c r="U257" i="28"/>
  <c r="AH285" i="28"/>
  <c r="U285" i="28"/>
  <c r="AH166" i="28"/>
  <c r="U166" i="28"/>
  <c r="AH180" i="28"/>
  <c r="U180" i="28"/>
  <c r="AH194" i="28"/>
  <c r="U194" i="28"/>
  <c r="AH204" i="28"/>
  <c r="U204" i="28"/>
  <c r="AH256" i="28"/>
  <c r="U256" i="28"/>
  <c r="U272" i="28"/>
  <c r="AH291" i="28"/>
  <c r="U291" i="28"/>
  <c r="U321" i="28"/>
  <c r="AH221" i="28"/>
  <c r="U221" i="28"/>
  <c r="AH219" i="28"/>
  <c r="U219" i="28"/>
  <c r="AH247" i="28"/>
  <c r="U247" i="28"/>
  <c r="AH250" i="28"/>
  <c r="U250" i="28"/>
  <c r="AH284" i="28"/>
  <c r="U284" i="28"/>
  <c r="AH325" i="28"/>
  <c r="U325" i="28"/>
  <c r="AH355" i="28"/>
  <c r="U355" i="28"/>
  <c r="AH353" i="28"/>
  <c r="U353" i="28"/>
  <c r="AH399" i="28"/>
  <c r="U399" i="28"/>
  <c r="AH249" i="28"/>
  <c r="U249" i="28"/>
  <c r="AH345" i="28"/>
  <c r="U345" i="28"/>
  <c r="AH232" i="28"/>
  <c r="AH288" i="28"/>
  <c r="U288" i="28"/>
  <c r="U314" i="28"/>
  <c r="AH348" i="28"/>
  <c r="U348" i="28"/>
  <c r="AH371" i="28"/>
  <c r="U371" i="28"/>
  <c r="AH306" i="28"/>
  <c r="U306" i="28"/>
  <c r="AH330" i="28"/>
  <c r="U330" i="28"/>
  <c r="AH397" i="28"/>
  <c r="U397" i="28"/>
  <c r="AH374" i="28"/>
  <c r="U374" i="28"/>
  <c r="AH404" i="28"/>
  <c r="U404" i="28"/>
  <c r="AH419" i="28"/>
  <c r="U419" i="28"/>
  <c r="AH36" i="28"/>
  <c r="U36" i="28"/>
  <c r="AH52" i="28"/>
  <c r="U52" i="28"/>
  <c r="AH25" i="28"/>
  <c r="U25" i="28"/>
  <c r="AH37" i="28"/>
  <c r="U37" i="28"/>
  <c r="AH50" i="28"/>
  <c r="U50" i="28"/>
  <c r="AH76" i="28"/>
  <c r="U76" i="28"/>
  <c r="AH89" i="28"/>
  <c r="U89" i="28"/>
  <c r="AH97" i="28"/>
  <c r="U97" i="28"/>
  <c r="AH63" i="28"/>
  <c r="U63" i="28"/>
  <c r="AH92" i="28"/>
  <c r="U92" i="28"/>
  <c r="AH93" i="28"/>
  <c r="U93" i="28"/>
  <c r="AH103" i="28"/>
  <c r="U103" i="28"/>
  <c r="AH59" i="28"/>
  <c r="U59" i="28"/>
  <c r="AH91" i="28"/>
  <c r="U91" i="28"/>
  <c r="AH111" i="28"/>
  <c r="U111" i="28"/>
  <c r="AH137" i="28"/>
  <c r="U137" i="28"/>
  <c r="AH141" i="28"/>
  <c r="U141" i="28"/>
  <c r="AH151" i="28"/>
  <c r="U151" i="28"/>
  <c r="AH87" i="28"/>
  <c r="U87" i="28"/>
  <c r="AH127" i="28"/>
  <c r="U127" i="28"/>
  <c r="AH126" i="28"/>
  <c r="U126" i="28"/>
  <c r="AH136" i="28"/>
  <c r="U136" i="28"/>
  <c r="AH155" i="28"/>
  <c r="U155" i="28"/>
  <c r="AH128" i="28"/>
  <c r="U128" i="28"/>
  <c r="AH132" i="28"/>
  <c r="U132" i="28"/>
  <c r="AH159" i="28"/>
  <c r="U159" i="28"/>
  <c r="AH138" i="28"/>
  <c r="U138" i="28"/>
  <c r="AH150" i="28"/>
  <c r="U150" i="28"/>
  <c r="AH228" i="28"/>
  <c r="U228" i="28"/>
  <c r="AH308" i="28"/>
  <c r="U308" i="28"/>
  <c r="AH226" i="28"/>
  <c r="U226" i="28"/>
  <c r="AH248" i="28"/>
  <c r="U248" i="28"/>
  <c r="U276" i="28"/>
  <c r="AH295" i="28"/>
  <c r="U295" i="28"/>
  <c r="U319" i="28"/>
  <c r="AH350" i="28"/>
  <c r="U350" i="28"/>
  <c r="AH218" i="28"/>
  <c r="U218" i="28"/>
  <c r="AH255" i="28"/>
  <c r="U255" i="28"/>
  <c r="AH252" i="28"/>
  <c r="U252" i="28"/>
  <c r="AH324" i="28"/>
  <c r="U324" i="28"/>
  <c r="AH328" i="28"/>
  <c r="U328" i="28"/>
  <c r="AH331" i="28"/>
  <c r="U331" i="28"/>
  <c r="AH352" i="28"/>
  <c r="U352" i="28"/>
  <c r="AH375" i="28"/>
  <c r="U375" i="28"/>
  <c r="U267" i="28"/>
  <c r="AH296" i="28"/>
  <c r="U296" i="28"/>
  <c r="AH423" i="28"/>
  <c r="U423" i="28"/>
  <c r="U259" i="28"/>
  <c r="AH278" i="28"/>
  <c r="U278" i="28"/>
  <c r="AH280" i="28"/>
  <c r="U280" i="28"/>
  <c r="AH297" i="28"/>
  <c r="U297" i="28"/>
  <c r="AH305" i="28"/>
  <c r="U305" i="28"/>
  <c r="AH307" i="28"/>
  <c r="U307" i="28"/>
  <c r="AH309" i="28"/>
  <c r="U309" i="28"/>
  <c r="AH349" i="28"/>
  <c r="U349" i="28"/>
  <c r="U364" i="28"/>
  <c r="AH422" i="28"/>
  <c r="U422" i="28"/>
  <c r="AH424" i="28"/>
  <c r="U424" i="28"/>
  <c r="U154" i="28" l="1"/>
  <c r="J250" i="28"/>
  <c r="U163" i="28"/>
  <c r="AH407" i="28"/>
  <c r="AH336" i="28"/>
  <c r="AH154" i="28"/>
  <c r="U231" i="28"/>
  <c r="U336" i="28"/>
  <c r="AH343" i="28"/>
  <c r="U258" i="28"/>
  <c r="U60" i="28"/>
  <c r="U334" i="28"/>
  <c r="J253" i="28"/>
  <c r="AH282" i="28"/>
  <c r="U287" i="28"/>
  <c r="AH339" i="28"/>
  <c r="AH233" i="28"/>
  <c r="U237" i="28"/>
  <c r="U342" i="28"/>
  <c r="AH99" i="28"/>
  <c r="U233" i="28"/>
  <c r="U232" i="28"/>
  <c r="L748" i="28"/>
  <c r="K313" i="28"/>
  <c r="K299" i="28"/>
  <c r="L597" i="28"/>
  <c r="L580" i="28"/>
  <c r="L676" i="28"/>
  <c r="L944" i="28"/>
  <c r="L965" i="28"/>
  <c r="L918" i="28"/>
  <c r="L935" i="28"/>
  <c r="L558" i="28"/>
  <c r="L511" i="28"/>
  <c r="L714" i="28"/>
  <c r="L678" i="28"/>
  <c r="L568" i="28"/>
  <c r="L559" i="28"/>
  <c r="L809" i="28"/>
  <c r="L999" i="28"/>
  <c r="L872" i="28"/>
  <c r="L746" i="28"/>
  <c r="L546" i="28"/>
  <c r="L717" i="28"/>
  <c r="L777" i="28"/>
  <c r="L437" i="28"/>
  <c r="L708" i="28"/>
  <c r="L475" i="28"/>
  <c r="L973" i="28"/>
  <c r="L730" i="28"/>
  <c r="L823" i="28"/>
  <c r="L948" i="28"/>
  <c r="L551" i="28"/>
  <c r="L946" i="28"/>
  <c r="L779" i="28"/>
  <c r="L963" i="28"/>
  <c r="L752" i="28"/>
  <c r="L637" i="28"/>
  <c r="L452" i="28"/>
  <c r="L516" i="28"/>
  <c r="L793" i="28"/>
  <c r="L595" i="28"/>
  <c r="L691" i="28"/>
  <c r="L956" i="28"/>
  <c r="L845" i="28"/>
  <c r="L942" i="28"/>
  <c r="L849" i="28"/>
  <c r="L986" i="28"/>
  <c r="L520" i="28"/>
  <c r="L810" i="28"/>
  <c r="L829" i="28"/>
  <c r="L938" i="28"/>
  <c r="L503" i="28"/>
  <c r="L710" i="28"/>
  <c r="L782" i="28"/>
  <c r="L866" i="28"/>
  <c r="L841" i="28"/>
  <c r="L858" i="28"/>
  <c r="L824" i="28"/>
  <c r="L955" i="28"/>
  <c r="L707" i="28"/>
  <c r="L958" i="28"/>
  <c r="L524" i="28"/>
  <c r="L670" i="28"/>
  <c r="L667" i="28"/>
  <c r="L468" i="28"/>
  <c r="L848" i="28"/>
  <c r="L926" i="28"/>
  <c r="L433" i="28"/>
  <c r="L835" i="28"/>
  <c r="L585" i="28"/>
  <c r="L457" i="28"/>
  <c r="L744" i="28"/>
  <c r="L892" i="28"/>
  <c r="L435" i="28"/>
  <c r="L515" i="28"/>
  <c r="L960" i="28"/>
  <c r="L588" i="28"/>
  <c r="L668" i="28"/>
  <c r="L599" i="28"/>
  <c r="L732" i="28"/>
  <c r="L864" i="28"/>
  <c r="L889" i="28"/>
  <c r="L928" i="28"/>
  <c r="L997" i="28"/>
  <c r="L796" i="28"/>
  <c r="L497" i="28"/>
  <c r="L1001" i="28"/>
  <c r="L964" i="28"/>
  <c r="L479" i="28"/>
  <c r="L951" i="28"/>
  <c r="L922" i="28"/>
  <c r="L566" i="28"/>
  <c r="L554" i="28"/>
  <c r="L654" i="28"/>
  <c r="L750" i="28"/>
  <c r="L655" i="28"/>
  <c r="L773" i="28"/>
  <c r="L673" i="28"/>
  <c r="L720" i="28"/>
  <c r="L741" i="28"/>
  <c r="L894" i="28"/>
  <c r="L805" i="28"/>
  <c r="L758" i="28"/>
  <c r="L882" i="28"/>
  <c r="L733" i="28"/>
  <c r="L945" i="28"/>
  <c r="L970" i="28"/>
  <c r="L700" i="28"/>
  <c r="L729" i="28"/>
  <c r="L897" i="28"/>
  <c r="L612" i="28"/>
  <c r="L878" i="28"/>
  <c r="L482" i="28"/>
  <c r="L641" i="28"/>
  <c r="L498" i="28"/>
  <c r="L469" i="28"/>
  <c r="L428" i="28"/>
  <c r="L508" i="28"/>
  <c r="L635" i="28"/>
  <c r="L699" i="28"/>
  <c r="L634" i="28"/>
  <c r="L925" i="28"/>
  <c r="L787" i="28"/>
  <c r="L961" i="28"/>
  <c r="L924" i="28"/>
  <c r="L837" i="28"/>
  <c r="L903" i="28"/>
  <c r="L463" i="28"/>
  <c r="L825" i="28"/>
  <c r="L982" i="28"/>
  <c r="L578" i="28"/>
  <c r="L671" i="28"/>
  <c r="L630" i="28"/>
  <c r="L863" i="28"/>
  <c r="L660" i="28"/>
  <c r="L576" i="28"/>
  <c r="L772" i="28"/>
  <c r="L731" i="28"/>
  <c r="L436" i="28"/>
  <c r="L976" i="28"/>
  <c r="L737" i="28"/>
  <c r="L570" i="28"/>
  <c r="L460" i="28"/>
  <c r="L522" i="28"/>
  <c r="L548" i="28"/>
  <c r="L836" i="28"/>
  <c r="L775" i="28"/>
  <c r="L931" i="28"/>
  <c r="L795" i="28"/>
  <c r="L939" i="28"/>
  <c r="L834" i="28"/>
  <c r="L443" i="28"/>
  <c r="L523" i="28"/>
  <c r="L818" i="28"/>
  <c r="L583" i="28"/>
  <c r="L808" i="28"/>
  <c r="L550" i="28"/>
  <c r="L645" i="28"/>
  <c r="L788" i="28"/>
  <c r="L718" i="28"/>
  <c r="L537" i="28"/>
  <c r="L789" i="28"/>
  <c r="L672" i="28"/>
  <c r="L754" i="28"/>
  <c r="L738" i="28"/>
  <c r="L506" i="28"/>
  <c r="L712" i="28"/>
  <c r="L828" i="28"/>
  <c r="L826" i="28"/>
  <c r="L990" i="28"/>
  <c r="L688" i="28"/>
  <c r="L943" i="28"/>
  <c r="L847" i="28"/>
  <c r="L740" i="28"/>
  <c r="L692" i="28"/>
  <c r="L774" i="28"/>
  <c r="L531" i="28"/>
  <c r="L695" i="28"/>
  <c r="L620" i="28"/>
  <c r="L697" i="28"/>
  <c r="L724" i="28"/>
  <c r="L505" i="28"/>
  <c r="L631" i="28"/>
  <c r="L751" i="28"/>
  <c r="L798" i="28"/>
  <c r="L950" i="28"/>
  <c r="L887" i="28"/>
  <c r="L686" i="28"/>
  <c r="L632" i="28"/>
  <c r="L561" i="28"/>
  <c r="L658" i="28"/>
  <c r="L762" i="28"/>
  <c r="L814" i="28"/>
  <c r="L690" i="28"/>
  <c r="L968" i="28"/>
  <c r="L904" i="28"/>
  <c r="L969" i="28"/>
  <c r="L644" i="28"/>
  <c r="L681" i="28"/>
  <c r="L666" i="28"/>
  <c r="L693" i="28"/>
  <c r="L975" i="28"/>
  <c r="L819" i="28"/>
  <c r="L723" i="28"/>
  <c r="L912" i="28"/>
  <c r="L857" i="28"/>
  <c r="L664" i="28"/>
  <c r="L908" i="28"/>
  <c r="L514" i="28"/>
  <c r="L601" i="28"/>
  <c r="L529" i="28"/>
  <c r="L534" i="28"/>
  <c r="L870" i="28"/>
  <c r="L726" i="28"/>
  <c r="L581" i="28"/>
  <c r="L765" i="28"/>
  <c r="L790" i="28"/>
  <c r="L760" i="28"/>
  <c r="L602" i="28"/>
  <c r="L614" i="28"/>
  <c r="L998" i="28"/>
  <c r="L959" i="28"/>
  <c r="L495" i="28"/>
  <c r="L984" i="28"/>
  <c r="L895" i="28"/>
  <c r="L934" i="28"/>
  <c r="L646" i="28"/>
  <c r="L803" i="28"/>
  <c r="L684" i="28"/>
  <c r="L682" i="28"/>
  <c r="L555" i="28"/>
  <c r="L977" i="28"/>
  <c r="L954" i="28"/>
  <c r="L451" i="28"/>
  <c r="L427" i="28"/>
  <c r="L890" i="28"/>
  <c r="L608" i="28"/>
  <c r="L844" i="28"/>
  <c r="L593" i="28"/>
  <c r="L940" i="28"/>
  <c r="L530" i="28"/>
  <c r="U20" i="28"/>
  <c r="U49" i="28"/>
  <c r="K194" i="28"/>
  <c r="L525" i="28"/>
  <c r="L896" i="28"/>
  <c r="L521" i="28"/>
  <c r="L513" i="28"/>
  <c r="L759" i="28"/>
  <c r="L606" i="28"/>
  <c r="L489" i="28"/>
  <c r="L983" i="28"/>
  <c r="L906" i="28"/>
  <c r="L528" i="28"/>
  <c r="L674" i="28"/>
  <c r="L821" i="28"/>
  <c r="L722" i="28"/>
  <c r="L994" i="28"/>
  <c r="L920" i="28"/>
  <c r="L609" i="28"/>
  <c r="L962" i="28"/>
  <c r="L932" i="28"/>
  <c r="L873" i="28"/>
  <c r="L517" i="28"/>
  <c r="L562" i="28"/>
  <c r="L880" i="28"/>
  <c r="L953" i="28"/>
  <c r="L617" i="28"/>
  <c r="L861" i="28"/>
  <c r="L532" i="28"/>
  <c r="L800" i="28"/>
  <c r="L659" i="28"/>
  <c r="L812" i="28"/>
  <c r="L785" i="28"/>
  <c r="L448" i="28"/>
  <c r="L434" i="28"/>
  <c r="L538" i="28"/>
  <c r="L665" i="28"/>
  <c r="L512" i="28"/>
  <c r="L766" i="28"/>
  <c r="L980" i="28"/>
  <c r="L804" i="28"/>
  <c r="L439" i="28"/>
  <c r="L899" i="28"/>
  <c r="L833" i="28"/>
  <c r="L747" i="28"/>
  <c r="L657" i="28"/>
  <c r="L923" i="28"/>
  <c r="L715" i="28"/>
  <c r="L464" i="28"/>
  <c r="L536" i="28"/>
  <c r="L842" i="28"/>
  <c r="L492" i="28"/>
  <c r="L487" i="28"/>
  <c r="L619" i="28"/>
  <c r="L937" i="28"/>
  <c r="L533" i="28"/>
  <c r="L883" i="28"/>
  <c r="L877" i="28"/>
  <c r="L907" i="28"/>
  <c r="L985" i="28"/>
  <c r="L743" i="28"/>
  <c r="L781" i="28"/>
  <c r="L716" i="28"/>
  <c r="L545" i="28"/>
  <c r="L539" i="28"/>
  <c r="L563" i="28"/>
  <c r="L817" i="28"/>
  <c r="L851" i="28"/>
  <c r="L648" i="28"/>
  <c r="L449" i="28"/>
  <c r="L838" i="28"/>
  <c r="L474" i="28"/>
  <c r="L802" i="28"/>
  <c r="L544" i="28"/>
  <c r="L867" i="28"/>
  <c r="L755" i="28"/>
  <c r="L639" i="28"/>
  <c r="L768" i="28"/>
  <c r="L846" i="28"/>
  <c r="L552" i="28"/>
  <c r="L472" i="28"/>
  <c r="L473" i="28"/>
  <c r="L618" i="28"/>
  <c r="L696" i="28"/>
  <c r="L455" i="28"/>
  <c r="L613" i="28"/>
  <c r="L806" i="28"/>
  <c r="L459" i="28"/>
  <c r="L794" i="28"/>
  <c r="L791" i="28"/>
  <c r="L628" i="28"/>
  <c r="L565" i="28"/>
  <c r="L869" i="28"/>
  <c r="L445" i="28"/>
  <c r="L484" i="28"/>
  <c r="L865" i="28"/>
  <c r="L739" i="28"/>
  <c r="L643" i="28"/>
  <c r="L776" i="28"/>
  <c r="L636" i="28"/>
  <c r="L663" i="28"/>
  <c r="L574" i="28"/>
  <c r="L556" i="28"/>
  <c r="L1000" i="28"/>
  <c r="L541" i="28"/>
  <c r="L685" i="28"/>
  <c r="L454" i="28"/>
  <c r="L822" i="28"/>
  <c r="L591" i="28"/>
  <c r="L868" i="28"/>
  <c r="L616" i="28"/>
  <c r="L876" i="28"/>
  <c r="L778" i="28"/>
  <c r="L972" i="28"/>
  <c r="L900" i="28"/>
  <c r="L978" i="28"/>
  <c r="L850" i="28"/>
  <c r="L626" i="28"/>
  <c r="L450" i="28"/>
  <c r="L704" i="28"/>
  <c r="L913" i="28"/>
  <c r="L901" i="28"/>
  <c r="L477" i="28"/>
  <c r="L689" i="28"/>
  <c r="L839" i="28"/>
  <c r="L500" i="28"/>
  <c r="L683" i="28"/>
  <c r="L709" i="28"/>
  <c r="L831" i="28"/>
  <c r="L485" i="28"/>
  <c r="L491" i="28"/>
  <c r="L650" i="28"/>
  <c r="L996" i="28"/>
  <c r="L749" i="28"/>
  <c r="L929" i="28"/>
  <c r="L510" i="28"/>
  <c r="L888" i="28"/>
  <c r="L893" i="28"/>
  <c r="L933" i="28"/>
  <c r="L843" i="28"/>
  <c r="L540" i="28"/>
  <c r="L967" i="28"/>
  <c r="L753" i="28"/>
  <c r="L594" i="28"/>
  <c r="L914" i="28"/>
  <c r="L786" i="28"/>
  <c r="L770" i="28"/>
  <c r="L721" i="28"/>
  <c r="L560" i="28"/>
  <c r="L703" i="28"/>
  <c r="L783" i="28"/>
  <c r="L995" i="28"/>
  <c r="L764" i="28"/>
  <c r="L879" i="28"/>
  <c r="L769" i="28"/>
  <c r="L478" i="28"/>
  <c r="L488" i="28"/>
  <c r="L440" i="28"/>
  <c r="L919" i="28"/>
  <c r="L625" i="28"/>
  <c r="L719" i="28"/>
  <c r="L830" i="28"/>
  <c r="L653" i="28"/>
  <c r="L881" i="28"/>
  <c r="L875" i="28"/>
  <c r="L871" i="28"/>
  <c r="L915" i="28"/>
  <c r="L549" i="28"/>
  <c r="L507" i="28"/>
  <c r="L941" i="28"/>
  <c r="L763" i="28"/>
  <c r="L909" i="28"/>
  <c r="L509" i="28"/>
  <c r="L735" i="28"/>
  <c r="L853" i="28"/>
  <c r="L694" i="28"/>
  <c r="L571" i="28"/>
  <c r="L502" i="28"/>
  <c r="L807" i="28"/>
  <c r="L603" i="28"/>
  <c r="L611" i="28"/>
  <c r="L792" i="28"/>
  <c r="L661" i="28"/>
  <c r="L979" i="28"/>
  <c r="L801" i="28"/>
  <c r="L575" i="28"/>
  <c r="L811" i="28"/>
  <c r="L713" i="28"/>
  <c r="L481" i="28"/>
  <c r="L991" i="28"/>
  <c r="L656" i="28"/>
  <c r="L662" i="28"/>
  <c r="L553" i="28"/>
  <c r="L832" i="28"/>
  <c r="L622" i="28"/>
  <c r="L966" i="28"/>
  <c r="L527" i="28"/>
  <c r="L642" i="28"/>
  <c r="L816" i="28"/>
  <c r="L734" i="28"/>
  <c r="L921" i="28"/>
  <c r="L547" i="28"/>
  <c r="L771" i="28"/>
  <c r="L624" i="28"/>
  <c r="L855" i="28"/>
  <c r="L675" i="28"/>
  <c r="L605" i="28"/>
  <c r="L467" i="28"/>
  <c r="L679" i="28"/>
  <c r="L483" i="28"/>
  <c r="L784" i="28"/>
  <c r="L542" i="28"/>
  <c r="L604" i="28"/>
  <c r="L854" i="28"/>
  <c r="L573" i="28"/>
  <c r="L947" i="28"/>
  <c r="L936" i="28"/>
  <c r="L494" i="28"/>
  <c r="L589" i="28"/>
  <c r="L988" i="28"/>
  <c r="L587" i="28"/>
  <c r="L728" i="28"/>
  <c r="L698" i="28"/>
  <c r="L952" i="28"/>
  <c r="L761" i="28"/>
  <c r="L640" i="28"/>
  <c r="L569" i="28"/>
  <c r="L767" i="28"/>
  <c r="L911" i="28"/>
  <c r="L852" i="28"/>
  <c r="L797" i="28"/>
  <c r="L974" i="28"/>
  <c r="L742" i="28"/>
  <c r="L504" i="28"/>
  <c r="L470" i="28"/>
  <c r="L586" i="28"/>
  <c r="L442" i="28"/>
  <c r="L607" i="28"/>
  <c r="L592" i="28"/>
  <c r="L629" i="28"/>
  <c r="L557" i="28"/>
  <c r="L711" i="28"/>
  <c r="L884" i="28"/>
  <c r="L584" i="28"/>
  <c r="L499" i="28"/>
  <c r="L916" i="28"/>
  <c r="L461" i="28"/>
  <c r="L567" i="28"/>
  <c r="L429" i="28"/>
  <c r="L465" i="28"/>
  <c r="L905" i="28"/>
  <c r="L501" i="28"/>
  <c r="L598" i="28"/>
  <c r="L971" i="28"/>
  <c r="L756" i="28"/>
  <c r="L564" i="28"/>
  <c r="L441" i="28"/>
  <c r="L949" i="28"/>
  <c r="L727" i="28"/>
  <c r="L701" i="28"/>
  <c r="L757" i="28"/>
  <c r="L780" i="28"/>
  <c r="L930" i="28"/>
  <c r="L874" i="28"/>
  <c r="L466" i="28"/>
  <c r="L438" i="28"/>
  <c r="L471" i="28"/>
  <c r="L638" i="28"/>
  <c r="L447" i="28"/>
  <c r="L649" i="28"/>
  <c r="L687" i="28"/>
  <c r="L680" i="28"/>
  <c r="L633" i="28"/>
  <c r="L993" i="28"/>
  <c r="L917" i="28"/>
  <c r="L615" i="28"/>
  <c r="L898" i="28"/>
  <c r="L535" i="28"/>
  <c r="L493" i="28"/>
  <c r="L610" i="28"/>
  <c r="L885" i="28"/>
  <c r="L430" i="28"/>
  <c r="L981" i="28"/>
  <c r="L886" i="28"/>
  <c r="L596" i="28"/>
  <c r="L957" i="28"/>
  <c r="L627" i="28"/>
  <c r="L859" i="28"/>
  <c r="L813" i="28"/>
  <c r="L736" i="28"/>
  <c r="L590" i="28"/>
  <c r="L572" i="28"/>
  <c r="L647" i="28"/>
  <c r="L860" i="28"/>
  <c r="L856" i="28"/>
  <c r="L799" i="28"/>
  <c r="L820" i="28"/>
  <c r="L577" i="28"/>
  <c r="L519" i="28"/>
  <c r="L486" i="28"/>
  <c r="L702" i="28"/>
  <c r="L543" i="28"/>
  <c r="L526" i="28"/>
  <c r="L745" i="28"/>
  <c r="L705" i="28"/>
  <c r="L891" i="28"/>
  <c r="L910" i="28"/>
  <c r="L518" i="28"/>
  <c r="L456" i="28"/>
  <c r="L815" i="28"/>
  <c r="L496" i="28"/>
  <c r="L490" i="28"/>
  <c r="L862" i="28"/>
  <c r="L902" i="28"/>
  <c r="L669" i="28"/>
  <c r="L444" i="28"/>
  <c r="L462" i="28"/>
  <c r="L827" i="28"/>
  <c r="L992" i="28"/>
  <c r="L652" i="28"/>
  <c r="L623" i="28"/>
  <c r="L725" i="28"/>
  <c r="L582" i="28"/>
  <c r="L476" i="28"/>
  <c r="L600" i="28"/>
  <c r="L453" i="28"/>
  <c r="L651" i="28"/>
  <c r="L621" i="28"/>
  <c r="L987" i="28"/>
  <c r="L431" i="28"/>
  <c r="L579" i="28"/>
  <c r="L432" i="28"/>
  <c r="L989" i="28"/>
  <c r="L677" i="28"/>
  <c r="L446" i="28"/>
  <c r="L927" i="28"/>
  <c r="L706" i="28"/>
  <c r="L840" i="28"/>
  <c r="L480" i="28"/>
  <c r="L458" i="28"/>
  <c r="K181" i="28"/>
  <c r="K419" i="28"/>
  <c r="K242" i="28"/>
  <c r="K201" i="28"/>
  <c r="K310" i="28"/>
  <c r="V38" i="28"/>
  <c r="W38" i="28" s="1"/>
  <c r="K420" i="28"/>
  <c r="K296" i="28"/>
  <c r="K203" i="28"/>
  <c r="K240" i="28"/>
  <c r="K209" i="28"/>
  <c r="K417" i="28"/>
  <c r="J252" i="28"/>
  <c r="J257" i="28"/>
  <c r="K239" i="28"/>
  <c r="K198" i="28"/>
  <c r="K188" i="28"/>
  <c r="K180" i="28"/>
  <c r="K193" i="28"/>
  <c r="K297" i="28"/>
  <c r="K184" i="28"/>
  <c r="K304" i="28"/>
  <c r="K199" i="28"/>
  <c r="K298" i="28"/>
  <c r="U179" i="28"/>
  <c r="AH162" i="28"/>
  <c r="AH148" i="28"/>
  <c r="AH367" i="28"/>
  <c r="U116" i="28"/>
  <c r="U66" i="28"/>
  <c r="U9" i="28"/>
  <c r="U320" i="28"/>
  <c r="U211" i="28"/>
  <c r="AH258" i="28"/>
  <c r="U358" i="28"/>
  <c r="U11" i="28"/>
  <c r="AH120" i="28"/>
  <c r="U270" i="28"/>
  <c r="AH234" i="28"/>
  <c r="U152" i="28"/>
  <c r="U327" i="28"/>
  <c r="U178" i="28"/>
  <c r="U236" i="28"/>
  <c r="U121" i="28"/>
  <c r="AH165" i="28"/>
  <c r="U234" i="28"/>
  <c r="U263" i="28"/>
  <c r="U125" i="28"/>
  <c r="AH123" i="28"/>
  <c r="AH210" i="28"/>
  <c r="AH323" i="28"/>
  <c r="U359" i="28"/>
  <c r="AH314" i="28"/>
  <c r="U215" i="28"/>
  <c r="AH212" i="28"/>
  <c r="U123" i="28"/>
  <c r="U99" i="28"/>
  <c r="AH259" i="28"/>
  <c r="U261" i="28"/>
  <c r="U266" i="28"/>
  <c r="AH263" i="28"/>
  <c r="AH101" i="28"/>
  <c r="AH327" i="28"/>
  <c r="U101" i="28"/>
  <c r="AH262" i="28"/>
  <c r="U260" i="28"/>
  <c r="AH146" i="28"/>
  <c r="U147" i="28"/>
  <c r="AH337" i="28"/>
  <c r="U34" i="28"/>
  <c r="AH32" i="28"/>
  <c r="AH31" i="28"/>
  <c r="AH33" i="28"/>
  <c r="U31" i="28"/>
  <c r="U33" i="28"/>
  <c r="AH30" i="28"/>
  <c r="AH35" i="28"/>
  <c r="U30" i="28"/>
  <c r="U35" i="28"/>
  <c r="U32" i="28"/>
  <c r="U271" i="28"/>
  <c r="U268" i="28"/>
  <c r="U162" i="28"/>
  <c r="AH338" i="28"/>
  <c r="U335" i="28"/>
  <c r="AH214" i="28"/>
  <c r="U339" i="28"/>
  <c r="U340" i="28"/>
  <c r="AH124" i="28"/>
  <c r="U216" i="28"/>
  <c r="U120" i="28"/>
  <c r="AH68" i="28"/>
  <c r="U269" i="28"/>
  <c r="U343" i="28"/>
  <c r="AH163" i="28"/>
  <c r="U165" i="28"/>
  <c r="U210" i="28"/>
  <c r="AH335" i="28"/>
  <c r="U214" i="28"/>
  <c r="AH213" i="28"/>
  <c r="AH215" i="28"/>
  <c r="U68" i="28"/>
  <c r="AH341" i="28"/>
  <c r="AH340" i="28"/>
  <c r="AH67" i="28"/>
  <c r="AH66" i="28"/>
  <c r="U67" i="28"/>
  <c r="U376" i="28"/>
  <c r="U377" i="28"/>
  <c r="U381" i="28"/>
  <c r="U379" i="28"/>
  <c r="U380" i="28"/>
  <c r="U383" i="28"/>
  <c r="U385" i="28"/>
  <c r="U382" i="28"/>
  <c r="U378" i="28"/>
  <c r="U8" i="28"/>
  <c r="AH267" i="28"/>
  <c r="AH261" i="28"/>
  <c r="AH121" i="28"/>
  <c r="AH125" i="28"/>
  <c r="AH7" i="28"/>
  <c r="U264" i="28"/>
  <c r="U6" i="28"/>
  <c r="U262" i="28"/>
  <c r="AH265" i="28"/>
  <c r="U118" i="28"/>
  <c r="AH316" i="28"/>
  <c r="U356" i="28"/>
  <c r="AH319" i="28"/>
  <c r="U273" i="28"/>
  <c r="AH315" i="28"/>
  <c r="AH321" i="28"/>
  <c r="U177" i="28"/>
  <c r="AH317" i="28"/>
  <c r="U277" i="28"/>
  <c r="U384" i="28"/>
  <c r="AH322" i="28"/>
  <c r="U275" i="28"/>
  <c r="U13" i="28"/>
  <c r="AH6" i="28"/>
  <c r="AH8" i="28"/>
  <c r="U315" i="28"/>
  <c r="U323" i="28"/>
  <c r="U317" i="28"/>
  <c r="U175" i="28"/>
  <c r="U322" i="28"/>
  <c r="J405" i="28"/>
  <c r="J223" i="28"/>
  <c r="J382" i="28"/>
  <c r="J402" i="28"/>
  <c r="J397" i="28"/>
  <c r="J234" i="28"/>
  <c r="J237" i="28"/>
  <c r="J179" i="28"/>
  <c r="J284" i="28"/>
  <c r="J287" i="28"/>
  <c r="J282" i="28"/>
  <c r="J281" i="28"/>
  <c r="J286" i="28"/>
  <c r="J278" i="28"/>
  <c r="J218" i="28"/>
  <c r="J219" i="28"/>
  <c r="J379" i="28"/>
  <c r="J384" i="28"/>
  <c r="J377" i="28"/>
  <c r="J378" i="28"/>
  <c r="J271" i="28"/>
  <c r="J273" i="28"/>
  <c r="J270" i="28"/>
  <c r="J98" i="28"/>
  <c r="J333" i="28"/>
  <c r="J332" i="28"/>
  <c r="J324" i="28"/>
  <c r="J258" i="28"/>
  <c r="J174" i="28"/>
  <c r="J172" i="28"/>
  <c r="J178" i="28"/>
  <c r="J175" i="28"/>
  <c r="J173" i="28"/>
  <c r="J116" i="28"/>
  <c r="J119" i="28"/>
  <c r="J336" i="28"/>
  <c r="J341" i="28"/>
  <c r="J342" i="28"/>
  <c r="J343" i="28"/>
  <c r="J337" i="28"/>
  <c r="J340" i="28"/>
  <c r="J34" i="28"/>
  <c r="J118" i="28"/>
  <c r="J100" i="28"/>
  <c r="J99" i="28"/>
  <c r="J225" i="28"/>
  <c r="J227" i="28"/>
  <c r="J229" i="28"/>
  <c r="AH176" i="28"/>
  <c r="J176" i="28"/>
  <c r="U164" i="28"/>
  <c r="AH149" i="28"/>
  <c r="U366" i="28"/>
  <c r="AH114" i="28"/>
  <c r="U69" i="28"/>
  <c r="AH10" i="28"/>
  <c r="AH318" i="28"/>
  <c r="AI317" i="28" s="1"/>
  <c r="AH356" i="28"/>
  <c r="AH376" i="28"/>
  <c r="J381" i="28"/>
  <c r="AH14" i="28"/>
  <c r="AH122" i="28"/>
  <c r="AI122" i="28" s="1"/>
  <c r="AJ122" i="28" s="1" a="1"/>
  <c r="AJ122" i="28" s="1"/>
  <c r="AH270" i="28"/>
  <c r="AH34" i="28"/>
  <c r="AI30" i="28" s="1"/>
  <c r="AJ30" i="28" s="1" a="1"/>
  <c r="AJ30" i="28" s="1"/>
  <c r="AH88" i="28"/>
  <c r="AI86" i="28" s="1"/>
  <c r="AJ86" i="28" s="1" a="1"/>
  <c r="AJ86" i="28" s="1"/>
  <c r="U7" i="28"/>
  <c r="U148" i="28"/>
  <c r="AH147" i="28"/>
  <c r="AI146" i="28" s="1"/>
  <c r="AJ146" i="28" s="1" a="1"/>
  <c r="AJ146" i="28" s="1"/>
  <c r="AK146" i="28" s="1" a="1"/>
  <c r="AK146" i="28" s="1"/>
  <c r="AM146" i="28" s="1" a="1"/>
  <c r="AM146" i="28" s="1"/>
  <c r="AH9" i="28"/>
  <c r="U318" i="28"/>
  <c r="AH364" i="28"/>
  <c r="U367" i="28"/>
  <c r="U122" i="28"/>
  <c r="U172" i="28"/>
  <c r="U115" i="28"/>
  <c r="U173" i="28"/>
  <c r="U119" i="28"/>
  <c r="U171" i="28"/>
  <c r="AH273" i="28"/>
  <c r="AH174" i="28"/>
  <c r="AH378" i="28"/>
  <c r="AH359" i="28"/>
  <c r="AH358" i="28"/>
  <c r="AH272" i="28"/>
  <c r="AH172" i="28"/>
  <c r="AH383" i="28"/>
  <c r="AH269" i="28"/>
  <c r="AH115" i="28"/>
  <c r="AH377" i="28"/>
  <c r="AH380" i="28"/>
  <c r="AH384" i="28"/>
  <c r="AH275" i="28"/>
  <c r="AH173" i="28"/>
  <c r="AH119" i="28"/>
  <c r="AH13" i="28"/>
  <c r="AH11" i="28"/>
  <c r="AH171" i="28"/>
  <c r="AH276" i="28"/>
  <c r="AH178" i="28"/>
  <c r="AH118" i="28"/>
  <c r="AH379" i="28"/>
  <c r="AH271" i="28"/>
  <c r="AH177" i="28"/>
  <c r="AH116" i="28"/>
  <c r="AH117" i="28"/>
  <c r="AH381" i="28"/>
  <c r="AH277" i="28"/>
  <c r="AH175" i="28"/>
  <c r="AH382" i="28"/>
  <c r="AH385" i="28"/>
  <c r="AH179" i="28"/>
  <c r="AH12" i="28"/>
  <c r="AH268" i="28"/>
  <c r="U274" i="28"/>
  <c r="U174" i="28"/>
  <c r="AH274" i="28"/>
  <c r="U114" i="28"/>
  <c r="U170" i="28"/>
  <c r="U176" i="28"/>
  <c r="D11" i="14"/>
  <c r="E11" i="14"/>
  <c r="C11" i="14"/>
  <c r="AH164" i="28"/>
  <c r="AI163" i="28" s="1"/>
  <c r="AJ163" i="28" s="1" a="1"/>
  <c r="AJ163" i="28" s="1"/>
  <c r="E52" i="14"/>
  <c r="C52" i="14"/>
  <c r="B52" i="14"/>
  <c r="D52" i="14"/>
  <c r="E178" i="14"/>
  <c r="D178" i="14"/>
  <c r="B178" i="14"/>
  <c r="C178" i="14"/>
  <c r="D152" i="14"/>
  <c r="B152" i="14"/>
  <c r="E152" i="14"/>
  <c r="C152" i="14"/>
  <c r="E77" i="14"/>
  <c r="C77" i="14"/>
  <c r="B77" i="14"/>
  <c r="D77" i="14"/>
  <c r="A153" i="14"/>
  <c r="G153" i="14" s="1"/>
  <c r="A128" i="14"/>
  <c r="A78" i="14"/>
  <c r="A14" i="14"/>
  <c r="A103" i="14"/>
  <c r="A53" i="14"/>
  <c r="G53" i="14" s="1"/>
  <c r="A205" i="14"/>
  <c r="G205" i="14" s="1"/>
  <c r="A231" i="14"/>
  <c r="A179" i="14"/>
  <c r="C204" i="14"/>
  <c r="B204" i="14"/>
  <c r="E204" i="14"/>
  <c r="D204" i="14"/>
  <c r="E79" i="11"/>
  <c r="I79" i="11"/>
  <c r="F53" i="11"/>
  <c r="F13" i="11" s="1"/>
  <c r="H53" i="11"/>
  <c r="H13" i="11" s="1"/>
  <c r="J53" i="11"/>
  <c r="J13" i="11" s="1"/>
  <c r="D79" i="11"/>
  <c r="C53" i="11"/>
  <c r="C13" i="11" s="1"/>
  <c r="K79" i="11"/>
  <c r="D53" i="11"/>
  <c r="D13" i="11" s="1"/>
  <c r="C79" i="11"/>
  <c r="G53" i="11"/>
  <c r="G13" i="11" s="1"/>
  <c r="H79" i="11"/>
  <c r="G79" i="11"/>
  <c r="J79" i="11"/>
  <c r="E53" i="11"/>
  <c r="E13" i="11" s="1"/>
  <c r="F79" i="11"/>
  <c r="I53" i="11"/>
  <c r="I13" i="11" s="1"/>
  <c r="B53" i="11"/>
  <c r="B13" i="11" s="1"/>
  <c r="B79" i="11"/>
  <c r="K53" i="11"/>
  <c r="K13" i="11" s="1"/>
  <c r="G156" i="16"/>
  <c r="G129" i="16"/>
  <c r="G50" i="16"/>
  <c r="G77" i="16"/>
  <c r="H7" i="16"/>
  <c r="H61" i="16" s="1"/>
  <c r="G103" i="16"/>
  <c r="G109" i="16"/>
  <c r="G56" i="16"/>
  <c r="G85" i="16"/>
  <c r="G86" i="16"/>
  <c r="G81" i="16"/>
  <c r="G82" i="16"/>
  <c r="G84" i="16"/>
  <c r="G53" i="16"/>
  <c r="G83" i="16"/>
  <c r="G58" i="16"/>
  <c r="G108" i="16"/>
  <c r="G55" i="16"/>
  <c r="G111" i="16"/>
  <c r="G112" i="16"/>
  <c r="G106" i="16"/>
  <c r="G54" i="16"/>
  <c r="G110" i="16"/>
  <c r="G107" i="16"/>
  <c r="G57" i="16"/>
  <c r="G59" i="16"/>
  <c r="G80" i="16"/>
  <c r="E127" i="14"/>
  <c r="D127" i="14"/>
  <c r="C127" i="14"/>
  <c r="B127" i="14"/>
  <c r="B11" i="14"/>
  <c r="E230" i="14"/>
  <c r="D230" i="14"/>
  <c r="B230" i="14"/>
  <c r="C230" i="14"/>
  <c r="A80" i="11"/>
  <c r="A15" i="11"/>
  <c r="A54" i="11"/>
  <c r="B102" i="14"/>
  <c r="C102" i="14"/>
  <c r="D102" i="14"/>
  <c r="E102" i="14"/>
  <c r="G9" i="2"/>
  <c r="G8" i="2"/>
  <c r="G7" i="17"/>
  <c r="F100" i="17"/>
  <c r="F49" i="17"/>
  <c r="F126" i="17"/>
  <c r="F153" i="17"/>
  <c r="F74" i="17"/>
  <c r="F107" i="17"/>
  <c r="F104" i="17"/>
  <c r="F103" i="17"/>
  <c r="F106" i="17"/>
  <c r="F105" i="17"/>
  <c r="F53" i="17"/>
  <c r="F56" i="17"/>
  <c r="F55" i="17"/>
  <c r="F52" i="17"/>
  <c r="F54" i="17"/>
  <c r="F80" i="17"/>
  <c r="F79" i="17"/>
  <c r="F81" i="17"/>
  <c r="F78" i="17"/>
  <c r="F77" i="17"/>
  <c r="C105" i="2"/>
  <c r="B105" i="2"/>
  <c r="D105" i="2"/>
  <c r="E105" i="2"/>
  <c r="D79" i="2"/>
  <c r="C131" i="2"/>
  <c r="E131" i="2"/>
  <c r="D131" i="2"/>
  <c r="F79" i="2"/>
  <c r="B131" i="2"/>
  <c r="C79" i="2"/>
  <c r="F131" i="2"/>
  <c r="B79" i="2"/>
  <c r="E79" i="2"/>
  <c r="F105" i="2"/>
  <c r="G131" i="2"/>
  <c r="G79" i="2"/>
  <c r="G11" i="2" s="1"/>
  <c r="D10" i="2"/>
  <c r="K108" i="19"/>
  <c r="K20" i="19"/>
  <c r="K9" i="19"/>
  <c r="K48" i="19"/>
  <c r="F11" i="14"/>
  <c r="F88" i="16"/>
  <c r="C88" i="16"/>
  <c r="G88" i="16"/>
  <c r="E88" i="16"/>
  <c r="B88" i="16"/>
  <c r="D88" i="16"/>
  <c r="B107" i="17"/>
  <c r="D107" i="17"/>
  <c r="C107" i="17"/>
  <c r="S16" i="12"/>
  <c r="S38" i="12"/>
  <c r="K83" i="19" s="1"/>
  <c r="B61" i="16"/>
  <c r="G61" i="16"/>
  <c r="E61" i="16"/>
  <c r="C61" i="16"/>
  <c r="F61" i="16"/>
  <c r="D61" i="16"/>
  <c r="G10" i="2"/>
  <c r="C81" i="17"/>
  <c r="B81" i="17"/>
  <c r="D81" i="17"/>
  <c r="G105" i="2"/>
  <c r="F10" i="14"/>
  <c r="D56" i="17"/>
  <c r="C56" i="17"/>
  <c r="B56" i="17"/>
  <c r="H103" i="2"/>
  <c r="H123" i="2"/>
  <c r="H97" i="2"/>
  <c r="H104" i="2"/>
  <c r="H102" i="2"/>
  <c r="H100" i="2"/>
  <c r="H105" i="2"/>
  <c r="H71" i="2"/>
  <c r="H46" i="2"/>
  <c r="I4" i="2"/>
  <c r="H101" i="2"/>
  <c r="H51" i="2"/>
  <c r="H52" i="2"/>
  <c r="H50" i="2"/>
  <c r="H54" i="2"/>
  <c r="H53" i="2"/>
  <c r="H49" i="2"/>
  <c r="H131" i="2"/>
  <c r="H78" i="2"/>
  <c r="H76" i="2"/>
  <c r="H75" i="2"/>
  <c r="H79" i="2"/>
  <c r="H74" i="2"/>
  <c r="H129" i="2"/>
  <c r="H130" i="2"/>
  <c r="H126" i="2"/>
  <c r="H128" i="2"/>
  <c r="H127" i="2"/>
  <c r="H77" i="2"/>
  <c r="B10" i="2"/>
  <c r="F12" i="14"/>
  <c r="G6" i="2"/>
  <c r="F10" i="2"/>
  <c r="F8" i="14"/>
  <c r="D54" i="2"/>
  <c r="E54" i="2"/>
  <c r="B54" i="2"/>
  <c r="F54" i="2"/>
  <c r="C54" i="2"/>
  <c r="C10" i="2"/>
  <c r="G95" i="14"/>
  <c r="G45" i="14"/>
  <c r="H6" i="14"/>
  <c r="G120" i="14"/>
  <c r="G171" i="14"/>
  <c r="G145" i="14"/>
  <c r="G70" i="14"/>
  <c r="G197" i="14"/>
  <c r="G223" i="14"/>
  <c r="G151" i="14"/>
  <c r="G174" i="14"/>
  <c r="G229" i="14"/>
  <c r="G200" i="14"/>
  <c r="G176" i="14"/>
  <c r="G201" i="14"/>
  <c r="G148" i="14"/>
  <c r="G226" i="14"/>
  <c r="G177" i="14"/>
  <c r="G175" i="14"/>
  <c r="G231" i="14"/>
  <c r="G228" i="14"/>
  <c r="G204" i="14"/>
  <c r="G179" i="14"/>
  <c r="G149" i="14"/>
  <c r="G202" i="14"/>
  <c r="G227" i="14"/>
  <c r="G230" i="14"/>
  <c r="G203" i="14"/>
  <c r="G150" i="14"/>
  <c r="G178" i="14"/>
  <c r="G152" i="14"/>
  <c r="G52" i="14"/>
  <c r="G51" i="14"/>
  <c r="G100" i="14"/>
  <c r="G98" i="14"/>
  <c r="G101" i="14"/>
  <c r="G102" i="14"/>
  <c r="G48" i="14"/>
  <c r="G49" i="14"/>
  <c r="G99" i="14"/>
  <c r="G50" i="14"/>
  <c r="G103" i="14"/>
  <c r="G128" i="14"/>
  <c r="G74" i="14"/>
  <c r="G75" i="14"/>
  <c r="G77" i="14"/>
  <c r="G125" i="14"/>
  <c r="G76" i="14"/>
  <c r="G127" i="14"/>
  <c r="G78" i="14"/>
  <c r="G73" i="14"/>
  <c r="G124" i="14"/>
  <c r="G123" i="14"/>
  <c r="G126" i="14"/>
  <c r="A141" i="16"/>
  <c r="A89" i="16"/>
  <c r="A168" i="16"/>
  <c r="A19" i="16"/>
  <c r="A115" i="16"/>
  <c r="A62" i="16"/>
  <c r="A161" i="17"/>
  <c r="A15" i="17"/>
  <c r="A57" i="17"/>
  <c r="A108" i="17"/>
  <c r="F108" i="17" s="1"/>
  <c r="A134" i="17"/>
  <c r="A82" i="17"/>
  <c r="A13" i="2"/>
  <c r="A106" i="2"/>
  <c r="A132" i="2"/>
  <c r="A80" i="2"/>
  <c r="A55" i="2"/>
  <c r="H55" i="2" s="1"/>
  <c r="G7" i="2"/>
  <c r="E10" i="2"/>
  <c r="F9" i="14"/>
  <c r="B114" i="16"/>
  <c r="G114" i="16"/>
  <c r="D114" i="16"/>
  <c r="C114" i="16"/>
  <c r="F114" i="16"/>
  <c r="E114" i="16"/>
  <c r="AH366" i="28"/>
  <c r="I303" i="28"/>
  <c r="AH365" i="28"/>
  <c r="AH69" i="28"/>
  <c r="AI67" i="28" s="1"/>
  <c r="AJ67" i="28" s="1" a="1"/>
  <c r="AJ67" i="28" s="1"/>
  <c r="U10" i="28"/>
  <c r="AI371" i="28"/>
  <c r="AJ371" i="28" s="1" a="1"/>
  <c r="AJ371" i="28" s="1"/>
  <c r="U149" i="28"/>
  <c r="AI19" i="28"/>
  <c r="AJ19" i="28" s="1" a="1"/>
  <c r="AJ19" i="28" s="1"/>
  <c r="AI83" i="28"/>
  <c r="AJ83" i="28" s="1" a="1"/>
  <c r="AJ83" i="28" s="1"/>
  <c r="AK83" i="28" s="1" a="1"/>
  <c r="AK83" i="28" s="1"/>
  <c r="AI46" i="28"/>
  <c r="AJ46" i="28" s="1" a="1"/>
  <c r="AJ46" i="28" s="1"/>
  <c r="AL46" i="28" s="1" a="1"/>
  <c r="AL46" i="28" s="1"/>
  <c r="AN46" i="28" s="1" a="1"/>
  <c r="AN46" i="28" s="1"/>
  <c r="AH170" i="28"/>
  <c r="U14" i="28"/>
  <c r="AI247" i="28"/>
  <c r="AJ247" i="28" s="1" a="1"/>
  <c r="AJ247" i="28" s="1"/>
  <c r="AL247" i="28" s="1" a="1"/>
  <c r="AL247" i="28" s="1"/>
  <c r="AI142" i="28"/>
  <c r="AJ142" i="28" s="1" a="1"/>
  <c r="AJ142" i="28" s="1"/>
  <c r="AI309" i="28"/>
  <c r="AI352" i="28"/>
  <c r="AI331" i="28"/>
  <c r="AI255" i="28"/>
  <c r="AJ255" i="28" s="1" a="1"/>
  <c r="AJ255" i="28" s="1"/>
  <c r="AK255" i="28" s="1" a="1"/>
  <c r="AK255" i="28" s="1"/>
  <c r="AM255" i="28" s="1" a="1"/>
  <c r="AM255" i="28" s="1"/>
  <c r="AI350" i="28"/>
  <c r="AJ350" i="28" s="1" a="1"/>
  <c r="AJ350" i="28" s="1"/>
  <c r="AL350" i="28" s="1" a="1"/>
  <c r="AL350" i="28" s="1"/>
  <c r="AN350" i="28" s="1" a="1"/>
  <c r="AN350" i="28" s="1"/>
  <c r="AI295" i="28"/>
  <c r="AJ295" i="28" s="1" a="1"/>
  <c r="AJ295" i="28" s="1"/>
  <c r="AL295" i="28" s="1" a="1"/>
  <c r="AL295" i="28" s="1"/>
  <c r="AN295" i="28" s="1" a="1"/>
  <c r="AN295" i="28" s="1"/>
  <c r="AI226" i="28"/>
  <c r="AJ226" i="28" s="1" a="1"/>
  <c r="AJ226" i="28" s="1"/>
  <c r="AI233" i="28"/>
  <c r="AJ233" i="28" s="1" a="1"/>
  <c r="AJ233" i="28" s="1"/>
  <c r="AI210" i="28"/>
  <c r="AJ210" i="28" s="1" a="1"/>
  <c r="AJ210" i="28" s="1"/>
  <c r="AK210" i="28" s="1" a="1"/>
  <c r="AK210" i="28" s="1"/>
  <c r="AI132" i="28"/>
  <c r="AJ132" i="28" s="1" a="1"/>
  <c r="AJ132" i="28" s="1"/>
  <c r="AL132" i="28" s="1" a="1"/>
  <c r="AL132" i="28" s="1"/>
  <c r="AN132" i="28" s="1" a="1"/>
  <c r="AN132" i="28" s="1"/>
  <c r="AI59" i="28"/>
  <c r="AJ59" i="28" s="1" a="1"/>
  <c r="AJ59" i="28" s="1"/>
  <c r="AL59" i="28" s="1" a="1"/>
  <c r="AL59" i="28" s="1"/>
  <c r="AN59" i="28" s="1" a="1"/>
  <c r="AN59" i="28" s="1"/>
  <c r="AH357" i="28"/>
  <c r="U357" i="28"/>
  <c r="I395" i="28"/>
  <c r="AI72" i="28"/>
  <c r="AJ72" i="28" s="1" a="1"/>
  <c r="AJ72" i="28" s="1"/>
  <c r="AK72" i="28" s="1" a="1"/>
  <c r="AK72" i="28" s="1"/>
  <c r="AM72" i="28" s="1" a="1"/>
  <c r="AM72" i="28" s="1"/>
  <c r="AI110" i="28"/>
  <c r="AJ110" i="28" s="1" a="1"/>
  <c r="AJ110" i="28" s="1"/>
  <c r="AL110" i="28" s="1" a="1"/>
  <c r="AL110" i="28" s="1"/>
  <c r="AN110" i="28" s="1" a="1"/>
  <c r="AN110" i="28" s="1"/>
  <c r="AI400" i="28"/>
  <c r="AI258" i="28"/>
  <c r="AJ258" i="28" s="1" a="1"/>
  <c r="AJ258" i="28" s="1"/>
  <c r="AK258" i="28" s="1" a="1"/>
  <c r="AK258" i="28" s="1"/>
  <c r="AM258" i="28" s="1" a="1"/>
  <c r="AM258" i="28" s="1"/>
  <c r="AI23" i="28"/>
  <c r="AJ23" i="28" s="1" a="1"/>
  <c r="AJ23" i="28" s="1"/>
  <c r="AL23" i="28" s="1" a="1"/>
  <c r="AL23" i="28" s="1"/>
  <c r="AN23" i="28" s="1" a="1"/>
  <c r="AN23" i="28" s="1"/>
  <c r="AI185" i="28"/>
  <c r="AJ185" i="28" s="1" a="1"/>
  <c r="AJ185" i="28" s="1"/>
  <c r="AL185" i="28" s="1" a="1"/>
  <c r="AL185" i="28" s="1"/>
  <c r="AN185" i="28" s="1" a="1"/>
  <c r="AN185" i="28" s="1"/>
  <c r="AI181" i="28"/>
  <c r="AJ181" i="28" s="1" a="1"/>
  <c r="AJ181" i="28" s="1"/>
  <c r="AL181" i="28" s="1" a="1"/>
  <c r="AL181" i="28" s="1"/>
  <c r="AN181" i="28" s="1" a="1"/>
  <c r="AN181" i="28" s="1"/>
  <c r="AI153" i="28"/>
  <c r="AJ153" i="28" s="1" a="1"/>
  <c r="AJ153" i="28" s="1"/>
  <c r="AI424" i="28"/>
  <c r="AI297" i="28"/>
  <c r="AJ297" i="28" s="1" a="1"/>
  <c r="AJ297" i="28" s="1"/>
  <c r="AL297" i="28" s="1" a="1"/>
  <c r="AL297" i="28" s="1"/>
  <c r="AN297" i="28" s="1" a="1"/>
  <c r="AN297" i="28" s="1"/>
  <c r="AI375" i="28"/>
  <c r="AJ375" i="28" s="1" a="1"/>
  <c r="AJ375" i="28" s="1"/>
  <c r="AO375" i="28" s="1"/>
  <c r="J375" i="28" s="1"/>
  <c r="AI159" i="28"/>
  <c r="AJ159" i="28" s="1" a="1"/>
  <c r="AJ159" i="28" s="1"/>
  <c r="AL159" i="28" s="1" a="1"/>
  <c r="AL159" i="28" s="1"/>
  <c r="AN159" i="28" s="1" a="1"/>
  <c r="AN159" i="28" s="1"/>
  <c r="AI128" i="28"/>
  <c r="AJ128" i="28" s="1" a="1"/>
  <c r="AJ128" i="28" s="1"/>
  <c r="AL128" i="28" s="1" a="1"/>
  <c r="AL128" i="28" s="1"/>
  <c r="AN128" i="28" s="1" a="1"/>
  <c r="AN128" i="28" s="1"/>
  <c r="AI141" i="28"/>
  <c r="AJ141" i="28" s="1" a="1"/>
  <c r="AJ141" i="28" s="1"/>
  <c r="AL141" i="28" s="1" a="1"/>
  <c r="AL141" i="28" s="1"/>
  <c r="AN141" i="28" s="1" a="1"/>
  <c r="AN141" i="28" s="1"/>
  <c r="AI91" i="28"/>
  <c r="AJ91" i="28" s="1" a="1"/>
  <c r="AJ91" i="28" s="1"/>
  <c r="AK91" i="28" s="1" a="1"/>
  <c r="AK91" i="28" s="1"/>
  <c r="AM91" i="28" s="1" a="1"/>
  <c r="AM91" i="28" s="1"/>
  <c r="AI103" i="28"/>
  <c r="AJ103" i="28" s="1" a="1"/>
  <c r="AJ103" i="28" s="1"/>
  <c r="AL103" i="28" s="1" a="1"/>
  <c r="AL103" i="28" s="1"/>
  <c r="AN103" i="28" s="1" a="1"/>
  <c r="AN103" i="28" s="1"/>
  <c r="AI97" i="28"/>
  <c r="AJ97" i="28" s="1" a="1"/>
  <c r="AJ97" i="28" s="1"/>
  <c r="AI76" i="28"/>
  <c r="AJ76" i="28" s="1" a="1"/>
  <c r="AJ76" i="28" s="1"/>
  <c r="AI52" i="28"/>
  <c r="AJ52" i="28" s="1" a="1"/>
  <c r="AJ52" i="28" s="1"/>
  <c r="AK52" i="28" s="1" a="1"/>
  <c r="AK52" i="28" s="1"/>
  <c r="AI27" i="28"/>
  <c r="AJ27" i="28" s="1" a="1"/>
  <c r="AJ27" i="28" s="1"/>
  <c r="AL27" i="28" s="1" a="1"/>
  <c r="AL27" i="28" s="1"/>
  <c r="AN27" i="28" s="1" a="1"/>
  <c r="AN27" i="28" s="1"/>
  <c r="AI168" i="28"/>
  <c r="AJ168" i="28" s="1" a="1"/>
  <c r="AJ168" i="28" s="1"/>
  <c r="AK168" i="28" s="1" a="1"/>
  <c r="AK168" i="28" s="1"/>
  <c r="AI157" i="28"/>
  <c r="AJ157" i="28" s="1" a="1"/>
  <c r="AJ157" i="28" s="1"/>
  <c r="AL157" i="28" s="1" a="1"/>
  <c r="AL157" i="28" s="1"/>
  <c r="AN157" i="28" s="1" a="1"/>
  <c r="AN157" i="28" s="1"/>
  <c r="AI78" i="28"/>
  <c r="AJ78" i="28" s="1" a="1"/>
  <c r="AJ78" i="28" s="1"/>
  <c r="AL78" i="28" s="1" a="1"/>
  <c r="AL78" i="28" s="1"/>
  <c r="AN78" i="28" s="1" a="1"/>
  <c r="AN78" i="28" s="1"/>
  <c r="AI345" i="28"/>
  <c r="AJ345" i="28" s="1" a="1"/>
  <c r="AJ345" i="28" s="1"/>
  <c r="AK345" i="28" s="1" a="1"/>
  <c r="AK345" i="28" s="1"/>
  <c r="AM345" i="28" s="1" a="1"/>
  <c r="AM345" i="28" s="1"/>
  <c r="AI217" i="28"/>
  <c r="AJ217" i="28" s="1" a="1"/>
  <c r="AJ217" i="28" s="1"/>
  <c r="AI42" i="28"/>
  <c r="AJ42" i="28" s="1" a="1"/>
  <c r="AJ42" i="28" s="1"/>
  <c r="AK42" i="28" s="1" a="1"/>
  <c r="AK42" i="28" s="1"/>
  <c r="AM42" i="28" s="1" a="1"/>
  <c r="AM42" i="28" s="1"/>
  <c r="AI418" i="28"/>
  <c r="AI362" i="28"/>
  <c r="AJ362" i="28" s="1" a="1"/>
  <c r="AJ362" i="28" s="1"/>
  <c r="AL362" i="28" s="1" a="1"/>
  <c r="AL362" i="28" s="1"/>
  <c r="AN362" i="28" s="1" a="1"/>
  <c r="AN362" i="28" s="1"/>
  <c r="AI409" i="28"/>
  <c r="AI207" i="28"/>
  <c r="AJ207" i="28" s="1" a="1"/>
  <c r="AJ207" i="28" s="1"/>
  <c r="AK207" i="28" s="1" a="1"/>
  <c r="AK207" i="28" s="1"/>
  <c r="AM207" i="28" s="1" a="1"/>
  <c r="AM207" i="28" s="1"/>
  <c r="AI288" i="28"/>
  <c r="AJ288" i="28" s="1" a="1"/>
  <c r="AJ288" i="28" s="1"/>
  <c r="AL288" i="28" s="1" a="1"/>
  <c r="AL288" i="28" s="1"/>
  <c r="AN288" i="28" s="1" a="1"/>
  <c r="AN288" i="28" s="1"/>
  <c r="AI192" i="28"/>
  <c r="AJ192" i="28" s="1" a="1"/>
  <c r="AJ192" i="28" s="1"/>
  <c r="AK192" i="28" s="1" a="1"/>
  <c r="AK192" i="28" s="1"/>
  <c r="AI337" i="28"/>
  <c r="AI279" i="28"/>
  <c r="AJ279" i="28" s="1" a="1"/>
  <c r="AJ279" i="28" s="1"/>
  <c r="AL279" i="28" s="1" a="1"/>
  <c r="AL279" i="28" s="1"/>
  <c r="AN279" i="28" s="1" a="1"/>
  <c r="AN279" i="28" s="1"/>
  <c r="AI38" i="28"/>
  <c r="AJ38" i="28" s="1" a="1"/>
  <c r="AJ38" i="28" s="1"/>
  <c r="AL38" i="28" s="1" a="1"/>
  <c r="AL38" i="28" s="1"/>
  <c r="AN38" i="28" s="1" a="1"/>
  <c r="AN38" i="28" s="1"/>
  <c r="U365" i="28"/>
  <c r="AI324" i="28"/>
  <c r="AI327" i="28"/>
  <c r="AI349" i="28"/>
  <c r="AJ349" i="28" s="1" a="1"/>
  <c r="AJ349" i="28" s="1"/>
  <c r="AL349" i="28" s="1" a="1"/>
  <c r="AL349" i="28" s="1"/>
  <c r="AN349" i="28" s="1" a="1"/>
  <c r="AN349" i="28" s="1"/>
  <c r="AI423" i="28"/>
  <c r="AI267" i="28"/>
  <c r="AJ267" i="28" s="1" a="1"/>
  <c r="AJ267" i="28" s="1"/>
  <c r="AL267" i="28" s="1" a="1"/>
  <c r="AL267" i="28" s="1"/>
  <c r="AN267" i="28" s="1" a="1"/>
  <c r="AN267" i="28" s="1"/>
  <c r="AI353" i="28"/>
  <c r="AI335" i="28"/>
  <c r="AJ335" i="28" s="1" a="1"/>
  <c r="AJ335" i="28" s="1"/>
  <c r="AL335" i="28" s="1" a="1"/>
  <c r="AL335" i="28" s="1"/>
  <c r="AN335" i="28" s="1" a="1"/>
  <c r="AN335" i="28" s="1"/>
  <c r="AI325" i="28"/>
  <c r="AI54" i="28"/>
  <c r="AJ54" i="28" s="1" a="1"/>
  <c r="AJ54" i="28" s="1"/>
  <c r="AL54" i="28" s="1" a="1"/>
  <c r="AL54" i="28" s="1"/>
  <c r="AN54" i="28" s="1" a="1"/>
  <c r="AN54" i="28" s="1"/>
  <c r="AI57" i="28"/>
  <c r="AJ57" i="28" s="1" a="1"/>
  <c r="AJ57" i="28" s="1"/>
  <c r="AI56" i="28"/>
  <c r="AJ56" i="28" s="1" a="1"/>
  <c r="AJ56" i="28" s="1"/>
  <c r="AK56" i="28" s="1" a="1"/>
  <c r="AK56" i="28" s="1"/>
  <c r="AM56" i="28" s="1" a="1"/>
  <c r="AM56" i="28" s="1"/>
  <c r="AI92" i="28"/>
  <c r="AJ92" i="28" s="1" a="1"/>
  <c r="AJ92" i="28" s="1"/>
  <c r="AK92" i="28" s="1" a="1"/>
  <c r="AK92" i="28" s="1"/>
  <c r="AI286" i="28"/>
  <c r="AJ286" i="28" s="1" a="1"/>
  <c r="AJ286" i="28" s="1"/>
  <c r="AL286" i="28" s="1" a="1"/>
  <c r="AL286" i="28" s="1"/>
  <c r="AN286" i="28" s="1" a="1"/>
  <c r="AN286" i="28" s="1"/>
  <c r="AI234" i="28"/>
  <c r="AJ234" i="28" s="1" a="1"/>
  <c r="AJ234" i="28" s="1"/>
  <c r="AL234" i="28" s="1" a="1"/>
  <c r="AL234" i="28" s="1"/>
  <c r="AN234" i="28" s="1" a="1"/>
  <c r="AN234" i="28" s="1"/>
  <c r="AI266" i="28"/>
  <c r="AJ266" i="28" s="1" a="1"/>
  <c r="AJ266" i="28" s="1"/>
  <c r="AL266" i="28" s="1" a="1"/>
  <c r="AL266" i="28" s="1"/>
  <c r="AN266" i="28" s="1" a="1"/>
  <c r="AN266" i="28" s="1"/>
  <c r="AI238" i="28"/>
  <c r="AJ238" i="28" s="1" a="1"/>
  <c r="AJ238" i="28" s="1"/>
  <c r="AL238" i="28" s="1" a="1"/>
  <c r="AL238" i="28" s="1"/>
  <c r="AN238" i="28" s="1" a="1"/>
  <c r="AN238" i="28" s="1"/>
  <c r="AI227" i="28"/>
  <c r="AJ227" i="28" s="1" a="1"/>
  <c r="AJ227" i="28" s="1"/>
  <c r="AL227" i="28" s="1" a="1"/>
  <c r="AL227" i="28" s="1"/>
  <c r="AN227" i="28" s="1" a="1"/>
  <c r="AN227" i="28" s="1"/>
  <c r="AI104" i="28"/>
  <c r="AJ104" i="28" s="1" a="1"/>
  <c r="AJ104" i="28" s="1"/>
  <c r="AL104" i="28" s="1" a="1"/>
  <c r="AL104" i="28" s="1"/>
  <c r="AN104" i="28" s="1" a="1"/>
  <c r="AN104" i="28" s="1"/>
  <c r="AI307" i="28"/>
  <c r="AI249" i="28"/>
  <c r="AJ249" i="28" s="1" a="1"/>
  <c r="AJ249" i="28" s="1"/>
  <c r="AK249" i="28" s="1" a="1"/>
  <c r="AK249" i="28" s="1"/>
  <c r="AM249" i="28" s="1" a="1"/>
  <c r="AM249" i="28" s="1"/>
  <c r="AI208" i="28"/>
  <c r="AJ208" i="28" s="1" a="1"/>
  <c r="AJ208" i="28" s="1"/>
  <c r="AL208" i="28" s="1" a="1"/>
  <c r="AL208" i="28" s="1"/>
  <c r="AN208" i="28" s="1" a="1"/>
  <c r="AN208" i="28" s="1"/>
  <c r="AI328" i="28"/>
  <c r="AI252" i="28"/>
  <c r="AJ252" i="28" s="1" a="1"/>
  <c r="AJ252" i="28" s="1"/>
  <c r="AL252" i="28" s="1" a="1"/>
  <c r="AL252" i="28" s="1"/>
  <c r="AN252" i="28" s="1" a="1"/>
  <c r="AN252" i="28" s="1"/>
  <c r="AI218" i="28"/>
  <c r="AJ218" i="28" s="1" a="1"/>
  <c r="AJ218" i="28" s="1"/>
  <c r="AL218" i="28" s="1" a="1"/>
  <c r="AL218" i="28" s="1"/>
  <c r="AN218" i="28" s="1" a="1"/>
  <c r="AN218" i="28" s="1"/>
  <c r="AI248" i="28"/>
  <c r="AJ248" i="28" s="1" a="1"/>
  <c r="AJ248" i="28" s="1"/>
  <c r="AL248" i="28" s="1" a="1"/>
  <c r="AL248" i="28" s="1"/>
  <c r="AN248" i="28" s="1" a="1"/>
  <c r="AN248" i="28" s="1"/>
  <c r="AI308" i="28"/>
  <c r="AI228" i="28"/>
  <c r="AJ228" i="28" s="1" a="1"/>
  <c r="AJ228" i="28" s="1"/>
  <c r="AL228" i="28" s="1" a="1"/>
  <c r="AL228" i="28" s="1"/>
  <c r="AN228" i="28" s="1" a="1"/>
  <c r="AN228" i="28" s="1"/>
  <c r="AI138" i="28"/>
  <c r="AJ138" i="28" s="1" a="1"/>
  <c r="AJ138" i="28" s="1"/>
  <c r="AK138" i="28" s="1" a="1"/>
  <c r="AK138" i="28" s="1"/>
  <c r="AM138" i="28" s="1" a="1"/>
  <c r="AM138" i="28" s="1"/>
  <c r="AI136" i="28"/>
  <c r="AJ136" i="28" s="1" a="1"/>
  <c r="AJ136" i="28" s="1"/>
  <c r="AL136" i="28" s="1" a="1"/>
  <c r="AL136" i="28" s="1"/>
  <c r="AN136" i="28" s="1" a="1"/>
  <c r="AN136" i="28" s="1"/>
  <c r="AI126" i="28"/>
  <c r="AJ126" i="28" s="1" a="1"/>
  <c r="AJ126" i="28" s="1"/>
  <c r="AK126" i="28" s="1" a="1"/>
  <c r="AK126" i="28" s="1"/>
  <c r="AM126" i="28" s="1" a="1"/>
  <c r="AM126" i="28" s="1"/>
  <c r="AI348" i="28"/>
  <c r="AJ348" i="28" s="1" a="1"/>
  <c r="AJ348" i="28" s="1"/>
  <c r="AK348" i="28" s="1" a="1"/>
  <c r="AK348" i="28" s="1"/>
  <c r="AM348" i="28" s="1" a="1"/>
  <c r="AM348" i="28" s="1"/>
  <c r="AI355" i="28"/>
  <c r="AI334" i="28"/>
  <c r="AI284" i="28"/>
  <c r="AJ284" i="28" s="1" a="1"/>
  <c r="AJ284" i="28" s="1"/>
  <c r="AL284" i="28" s="1" a="1"/>
  <c r="AL284" i="28" s="1"/>
  <c r="AN284" i="28" s="1" a="1"/>
  <c r="AN284" i="28" s="1"/>
  <c r="AI250" i="28"/>
  <c r="AJ250" i="28" s="1" a="1"/>
  <c r="AJ250" i="28" s="1"/>
  <c r="AK250" i="28" s="1" a="1"/>
  <c r="AK250" i="28" s="1"/>
  <c r="AM250" i="28" s="1" a="1"/>
  <c r="AM250" i="28" s="1"/>
  <c r="AI221" i="28"/>
  <c r="AJ221" i="28" s="1" a="1"/>
  <c r="AJ221" i="28" s="1"/>
  <c r="AL221" i="28" s="1" a="1"/>
  <c r="AL221" i="28" s="1"/>
  <c r="AN221" i="28" s="1" a="1"/>
  <c r="AN221" i="28" s="1"/>
  <c r="AI291" i="28"/>
  <c r="AJ291" i="28" s="1" a="1"/>
  <c r="AJ291" i="28" s="1"/>
  <c r="AL291" i="28" s="1" a="1"/>
  <c r="AL291" i="28" s="1"/>
  <c r="AN291" i="28" s="1" a="1"/>
  <c r="AN291" i="28" s="1"/>
  <c r="AI256" i="28"/>
  <c r="AJ256" i="28" s="1" a="1"/>
  <c r="AJ256" i="28" s="1"/>
  <c r="AL256" i="28" s="1" a="1"/>
  <c r="AL256" i="28" s="1"/>
  <c r="AN256" i="28" s="1" a="1"/>
  <c r="AN256" i="28" s="1"/>
  <c r="AI194" i="28"/>
  <c r="AJ194" i="28" s="1" a="1"/>
  <c r="AJ194" i="28" s="1"/>
  <c r="AK194" i="28" s="1" a="1"/>
  <c r="AK194" i="28" s="1"/>
  <c r="AM194" i="28" s="1" a="1"/>
  <c r="AM194" i="28" s="1"/>
  <c r="AI166" i="28"/>
  <c r="AJ166" i="28" s="1" a="1"/>
  <c r="AJ166" i="28" s="1"/>
  <c r="AL166" i="28" s="1" a="1"/>
  <c r="AL166" i="28" s="1"/>
  <c r="AN166" i="28" s="1" a="1"/>
  <c r="AN166" i="28" s="1"/>
  <c r="AI285" i="28"/>
  <c r="AJ285" i="28" s="1" a="1"/>
  <c r="AJ285" i="28" s="1"/>
  <c r="AL285" i="28" s="1" a="1"/>
  <c r="AL285" i="28" s="1"/>
  <c r="AN285" i="28" s="1" a="1"/>
  <c r="AN285" i="28" s="1"/>
  <c r="AI239" i="28"/>
  <c r="AJ239" i="28" s="1" a="1"/>
  <c r="AJ239" i="28" s="1"/>
  <c r="AK239" i="28" s="1" a="1"/>
  <c r="AK239" i="28" s="1"/>
  <c r="AI231" i="28"/>
  <c r="AJ231" i="28" s="1" a="1"/>
  <c r="AJ231" i="28" s="1"/>
  <c r="AK231" i="28" s="1" a="1"/>
  <c r="AK231" i="28" s="1"/>
  <c r="AI135" i="28"/>
  <c r="AJ135" i="28" s="1" a="1"/>
  <c r="AJ135" i="28" s="1"/>
  <c r="AL135" i="28" s="1" a="1"/>
  <c r="AL135" i="28" s="1"/>
  <c r="AN135" i="28" s="1" a="1"/>
  <c r="AN135" i="28" s="1"/>
  <c r="AI133" i="28"/>
  <c r="AJ133" i="28" s="1" a="1"/>
  <c r="AJ133" i="28" s="1"/>
  <c r="AK133" i="28" s="1" a="1"/>
  <c r="AK133" i="28" s="1"/>
  <c r="AI417" i="28"/>
  <c r="AI402" i="28"/>
  <c r="AI332" i="28"/>
  <c r="AI264" i="28"/>
  <c r="AJ264" i="28" s="1" a="1"/>
  <c r="AJ264" i="28" s="1"/>
  <c r="AL264" i="28" s="1" a="1"/>
  <c r="AL264" i="28" s="1"/>
  <c r="AN264" i="28" s="1" a="1"/>
  <c r="AN264" i="28" s="1"/>
  <c r="AI354" i="28"/>
  <c r="AI414" i="28"/>
  <c r="AI346" i="28"/>
  <c r="AJ346" i="28" s="1" a="1"/>
  <c r="AJ346" i="28" s="1"/>
  <c r="AL346" i="28" s="1" a="1"/>
  <c r="AL346" i="28" s="1"/>
  <c r="AN346" i="28" s="1" a="1"/>
  <c r="AN346" i="28" s="1"/>
  <c r="AI283" i="28"/>
  <c r="AJ283" i="28" s="1" a="1"/>
  <c r="AJ283" i="28" s="1"/>
  <c r="AL283" i="28" s="1" a="1"/>
  <c r="AL283" i="28" s="1"/>
  <c r="AN283" i="28" s="1" a="1"/>
  <c r="AN283" i="28" s="1"/>
  <c r="AI197" i="28"/>
  <c r="AJ197" i="28" s="1" a="1"/>
  <c r="AJ197" i="28" s="1"/>
  <c r="AK197" i="28" s="1" a="1"/>
  <c r="AK197" i="28" s="1"/>
  <c r="AI333" i="28"/>
  <c r="AI237" i="28"/>
  <c r="AJ237" i="28" s="1" a="1"/>
  <c r="AJ237" i="28" s="1"/>
  <c r="AL237" i="28" s="1" a="1"/>
  <c r="AL237" i="28" s="1"/>
  <c r="AN237" i="28" s="1" a="1"/>
  <c r="AN237" i="28" s="1"/>
  <c r="AI190" i="28"/>
  <c r="AJ190" i="28" s="1" a="1"/>
  <c r="AJ190" i="28" s="1"/>
  <c r="AL190" i="28" s="1" a="1"/>
  <c r="AL190" i="28" s="1"/>
  <c r="AN190" i="28" s="1" a="1"/>
  <c r="AN190" i="28" s="1"/>
  <c r="AI193" i="28"/>
  <c r="AJ193" i="28" s="1" a="1"/>
  <c r="AJ193" i="28" s="1"/>
  <c r="AI342" i="28"/>
  <c r="AI223" i="28"/>
  <c r="AJ223" i="28" s="1" a="1"/>
  <c r="AJ223" i="28" s="1"/>
  <c r="AK223" i="28" s="1" a="1"/>
  <c r="AK223" i="28" s="1"/>
  <c r="AM223" i="28" s="1" a="1"/>
  <c r="AM223" i="28" s="1"/>
  <c r="AI195" i="28"/>
  <c r="AJ195" i="28" s="1" a="1"/>
  <c r="AJ195" i="28" s="1"/>
  <c r="AL195" i="28" s="1" a="1"/>
  <c r="AL195" i="28" s="1"/>
  <c r="AN195" i="28" s="1" a="1"/>
  <c r="AN195" i="28" s="1"/>
  <c r="AI196" i="28"/>
  <c r="AJ196" i="28" s="1" a="1"/>
  <c r="AJ196" i="28" s="1"/>
  <c r="AL196" i="28" s="1" a="1"/>
  <c r="AL196" i="28" s="1"/>
  <c r="AN196" i="28" s="1" a="1"/>
  <c r="AN196" i="28" s="1"/>
  <c r="AI70" i="28"/>
  <c r="AJ70" i="28" s="1" a="1"/>
  <c r="AJ70" i="28" s="1"/>
  <c r="AL70" i="28" s="1" a="1"/>
  <c r="AL70" i="28" s="1"/>
  <c r="AN70" i="28" s="1" a="1"/>
  <c r="AN70" i="28" s="1"/>
  <c r="AI71" i="28"/>
  <c r="AJ71" i="28" s="1" a="1"/>
  <c r="AJ71" i="28" s="1"/>
  <c r="AI290" i="28"/>
  <c r="AJ290" i="28" s="1" a="1"/>
  <c r="AJ290" i="28" s="1"/>
  <c r="AK290" i="28" s="1" a="1"/>
  <c r="AK290" i="28" s="1"/>
  <c r="AM290" i="28" s="1" a="1"/>
  <c r="AM290" i="28" s="1"/>
  <c r="AI265" i="28"/>
  <c r="AJ265" i="28" s="1" a="1"/>
  <c r="AJ265" i="28" s="1"/>
  <c r="AL265" i="28" s="1" a="1"/>
  <c r="AL265" i="28" s="1"/>
  <c r="AN265" i="28" s="1" a="1"/>
  <c r="AN265" i="28" s="1"/>
  <c r="AI212" i="28"/>
  <c r="AJ212" i="28" s="1" a="1"/>
  <c r="AJ212" i="28" s="1"/>
  <c r="AK212" i="28" s="1" a="1"/>
  <c r="AK212" i="28" s="1"/>
  <c r="AM212" i="28" s="1" a="1"/>
  <c r="AM212" i="28" s="1"/>
  <c r="AI240" i="28"/>
  <c r="AJ240" i="28" s="1" a="1"/>
  <c r="AJ240" i="28" s="1"/>
  <c r="AK240" i="28" s="1" a="1"/>
  <c r="AK240" i="28" s="1"/>
  <c r="AI203" i="28"/>
  <c r="AJ203" i="28" s="1" a="1"/>
  <c r="AJ203" i="28" s="1"/>
  <c r="AL203" i="28" s="1" a="1"/>
  <c r="AL203" i="28" s="1"/>
  <c r="AN203" i="28" s="1" a="1"/>
  <c r="AN203" i="28" s="1"/>
  <c r="AI206" i="28"/>
  <c r="AJ206" i="28" s="1" a="1"/>
  <c r="AJ206" i="28" s="1"/>
  <c r="AL206" i="28" s="1" a="1"/>
  <c r="AL206" i="28" s="1"/>
  <c r="AN206" i="28" s="1" a="1"/>
  <c r="AN206" i="28" s="1"/>
  <c r="AI162" i="28"/>
  <c r="AJ162" i="28" s="1" a="1"/>
  <c r="AJ162" i="28" s="1"/>
  <c r="AL162" i="28" s="1" a="1"/>
  <c r="AL162" i="28" s="1"/>
  <c r="AN162" i="28" s="1" a="1"/>
  <c r="AN162" i="28" s="1"/>
  <c r="AI51" i="28"/>
  <c r="AJ51" i="28" s="1" a="1"/>
  <c r="AJ51" i="28" s="1"/>
  <c r="AL51" i="28" s="1" a="1"/>
  <c r="AL51" i="28" s="1"/>
  <c r="AN51" i="28" s="1" a="1"/>
  <c r="AN51" i="28" s="1"/>
  <c r="AI18" i="28"/>
  <c r="AJ18" i="28" s="1" a="1"/>
  <c r="AJ18" i="28" s="1"/>
  <c r="AL18" i="28" s="1" a="1"/>
  <c r="AL18" i="28" s="1"/>
  <c r="AN18" i="28" s="1" a="1"/>
  <c r="AN18" i="28" s="1"/>
  <c r="AI26" i="28"/>
  <c r="AJ26" i="28" s="1" a="1"/>
  <c r="AJ26" i="28" s="1"/>
  <c r="AK26" i="28" s="1" a="1"/>
  <c r="AK26" i="28" s="1"/>
  <c r="AM26" i="28" s="1" a="1"/>
  <c r="AM26" i="28" s="1"/>
  <c r="AI145" i="28"/>
  <c r="AJ145" i="28" s="1" a="1"/>
  <c r="AJ145" i="28" s="1"/>
  <c r="AK145" i="28" s="1" a="1"/>
  <c r="AK145" i="28" s="1"/>
  <c r="AI183" i="28"/>
  <c r="AJ183" i="28" s="1" a="1"/>
  <c r="AJ183" i="28" s="1"/>
  <c r="AL183" i="28" s="1" a="1"/>
  <c r="AL183" i="28" s="1"/>
  <c r="AN183" i="28" s="1" a="1"/>
  <c r="AN183" i="28" s="1"/>
  <c r="AI64" i="28"/>
  <c r="AJ64" i="28" s="1" a="1"/>
  <c r="AJ64" i="28" s="1"/>
  <c r="AK64" i="28" s="1" a="1"/>
  <c r="AK64" i="28" s="1"/>
  <c r="AM64" i="28" s="1" a="1"/>
  <c r="AM64" i="28" s="1"/>
  <c r="AI66" i="28"/>
  <c r="AJ66" i="28" s="1" a="1"/>
  <c r="AJ66" i="28" s="1"/>
  <c r="AK66" i="28" s="1" a="1"/>
  <c r="AK66" i="28" s="1"/>
  <c r="AM66" i="28" s="1" a="1"/>
  <c r="AM66" i="28" s="1"/>
  <c r="AI21" i="28"/>
  <c r="AJ21" i="28" s="1" a="1"/>
  <c r="AJ21" i="28" s="1"/>
  <c r="AI289" i="28"/>
  <c r="AJ289" i="28" s="1" a="1"/>
  <c r="AJ289" i="28" s="1"/>
  <c r="AL289" i="28" s="1" a="1"/>
  <c r="AL289" i="28" s="1"/>
  <c r="AN289" i="28" s="1" a="1"/>
  <c r="AN289" i="28" s="1"/>
  <c r="AI281" i="28"/>
  <c r="AJ281" i="28" s="1" a="1"/>
  <c r="AJ281" i="28" s="1"/>
  <c r="AL281" i="28" s="1" a="1"/>
  <c r="AL281" i="28" s="1"/>
  <c r="AN281" i="28" s="1" a="1"/>
  <c r="AN281" i="28" s="1"/>
  <c r="AI184" i="28"/>
  <c r="AJ184" i="28" s="1" a="1"/>
  <c r="AJ184" i="28" s="1"/>
  <c r="AL184" i="28" s="1" a="1"/>
  <c r="AL184" i="28" s="1"/>
  <c r="AN184" i="28" s="1" a="1"/>
  <c r="AN184" i="28" s="1"/>
  <c r="AI17" i="28"/>
  <c r="AJ17" i="28" s="1" a="1"/>
  <c r="AJ17" i="28" s="1"/>
  <c r="AK17" i="28" s="1" a="1"/>
  <c r="AK17" i="28" s="1"/>
  <c r="AM17" i="28" s="1" a="1"/>
  <c r="AM17" i="28" s="1"/>
  <c r="AI415" i="28"/>
  <c r="AI134" i="28"/>
  <c r="AJ134" i="28" s="1" a="1"/>
  <c r="AJ134" i="28" s="1"/>
  <c r="AL134" i="28" s="1" a="1"/>
  <c r="AL134" i="28" s="1"/>
  <c r="AN134" i="28" s="1" a="1"/>
  <c r="AN134" i="28" s="1"/>
  <c r="AI37" i="28"/>
  <c r="AJ37" i="28" s="1" a="1"/>
  <c r="AJ37" i="28" s="1"/>
  <c r="AL37" i="28" s="1" a="1"/>
  <c r="AL37" i="28" s="1"/>
  <c r="AN37" i="28" s="1" a="1"/>
  <c r="AN37" i="28" s="1"/>
  <c r="AI25" i="28"/>
  <c r="AJ25" i="28" s="1" a="1"/>
  <c r="AJ25" i="28" s="1"/>
  <c r="AL25" i="28" s="1" a="1"/>
  <c r="AL25" i="28" s="1"/>
  <c r="AN25" i="28" s="1" a="1"/>
  <c r="AN25" i="28" s="1"/>
  <c r="AI306" i="28"/>
  <c r="AI182" i="28"/>
  <c r="AJ182" i="28" s="1" a="1"/>
  <c r="AJ182" i="28" s="1"/>
  <c r="AL182" i="28" s="1" a="1"/>
  <c r="AL182" i="28" s="1"/>
  <c r="AN182" i="28" s="1" a="1"/>
  <c r="AN182" i="28" s="1"/>
  <c r="AI161" i="28"/>
  <c r="AJ161" i="28" s="1" a="1"/>
  <c r="AJ161" i="28" s="1"/>
  <c r="AL161" i="28" s="1" a="1"/>
  <c r="AL161" i="28" s="1"/>
  <c r="AN161" i="28" s="1" a="1"/>
  <c r="AN161" i="28" s="1"/>
  <c r="AI140" i="28"/>
  <c r="AJ140" i="28" s="1" a="1"/>
  <c r="AJ140" i="28" s="1"/>
  <c r="AK140" i="28" s="1" a="1"/>
  <c r="AK140" i="28" s="1"/>
  <c r="AI100" i="28"/>
  <c r="AJ100" i="28" s="1" a="1"/>
  <c r="AJ100" i="28" s="1"/>
  <c r="AL100" i="28" s="1" a="1"/>
  <c r="AL100" i="28" s="1"/>
  <c r="AN100" i="28" s="1" a="1"/>
  <c r="AN100" i="28" s="1"/>
  <c r="AI107" i="28"/>
  <c r="AJ107" i="28" s="1" a="1"/>
  <c r="AJ107" i="28" s="1"/>
  <c r="AK107" i="28" s="1" a="1"/>
  <c r="AK107" i="28" s="1"/>
  <c r="AI77" i="28"/>
  <c r="AJ77" i="28" s="1" a="1"/>
  <c r="AJ77" i="28" s="1"/>
  <c r="AK77" i="28" s="1" a="1"/>
  <c r="AK77" i="28" s="1"/>
  <c r="AM77" i="28" s="1" a="1"/>
  <c r="AM77" i="28" s="1"/>
  <c r="AI40" i="28"/>
  <c r="AJ40" i="28" s="1" a="1"/>
  <c r="AJ40" i="28" s="1"/>
  <c r="AK40" i="28" s="1" a="1"/>
  <c r="AK40" i="28" s="1"/>
  <c r="AM40" i="28" s="1" a="1"/>
  <c r="AM40" i="28" s="1"/>
  <c r="AI45" i="28"/>
  <c r="AJ45" i="28" s="1" a="1"/>
  <c r="AJ45" i="28" s="1"/>
  <c r="AL45" i="28" s="1" a="1"/>
  <c r="AL45" i="28" s="1"/>
  <c r="AN45" i="28" s="1" a="1"/>
  <c r="AN45" i="28" s="1"/>
  <c r="AI401" i="28"/>
  <c r="AI408" i="28"/>
  <c r="AI403" i="28"/>
  <c r="AI363" i="28"/>
  <c r="AJ363" i="28" s="1" a="1"/>
  <c r="AJ363" i="28" s="1"/>
  <c r="AL363" i="28" s="1" a="1"/>
  <c r="AL363" i="28" s="1"/>
  <c r="AN363" i="28" s="1" a="1"/>
  <c r="AN363" i="28" s="1"/>
  <c r="AI144" i="28"/>
  <c r="AJ144" i="28" s="1" a="1"/>
  <c r="AJ144" i="28" s="1"/>
  <c r="AL144" i="28" s="1" a="1"/>
  <c r="AL144" i="28" s="1"/>
  <c r="AN144" i="28" s="1" a="1"/>
  <c r="AN144" i="28" s="1"/>
  <c r="AI143" i="28"/>
  <c r="AJ143" i="28" s="1" a="1"/>
  <c r="AJ143" i="28" s="1"/>
  <c r="AL143" i="28" s="1" a="1"/>
  <c r="AL143" i="28" s="1"/>
  <c r="AN143" i="28" s="1" a="1"/>
  <c r="AN143" i="28" s="1"/>
  <c r="AI411" i="28"/>
  <c r="AI329" i="28"/>
  <c r="AJ329" i="28" s="1" a="1"/>
  <c r="AJ329" i="28" s="1"/>
  <c r="AL329" i="28" s="1" a="1"/>
  <c r="AL329" i="28" s="1"/>
  <c r="AN329" i="28" s="1" a="1"/>
  <c r="AN329" i="28" s="1"/>
  <c r="AI413" i="28"/>
  <c r="AI304" i="28"/>
  <c r="AI343" i="28"/>
  <c r="AI253" i="28"/>
  <c r="AJ253" i="28" s="1" a="1"/>
  <c r="AJ253" i="28" s="1"/>
  <c r="AL253" i="28" s="1" a="1"/>
  <c r="AL253" i="28" s="1"/>
  <c r="AN253" i="28" s="1" a="1"/>
  <c r="AN253" i="28" s="1"/>
  <c r="AI209" i="28"/>
  <c r="AJ209" i="28" s="1" a="1"/>
  <c r="AJ209" i="28" s="1"/>
  <c r="AL209" i="28" s="1" a="1"/>
  <c r="AL209" i="28" s="1"/>
  <c r="AN209" i="28" s="1" a="1"/>
  <c r="AN209" i="28" s="1"/>
  <c r="AI200" i="28"/>
  <c r="AJ200" i="28" s="1" a="1"/>
  <c r="AJ200" i="28" s="1"/>
  <c r="AL200" i="28" s="1" a="1"/>
  <c r="AL200" i="28" s="1"/>
  <c r="AN200" i="28" s="1" a="1"/>
  <c r="AN200" i="28" s="1"/>
  <c r="AI189" i="28"/>
  <c r="AJ189" i="28" s="1" a="1"/>
  <c r="AJ189" i="28" s="1"/>
  <c r="AK189" i="28" s="1" a="1"/>
  <c r="AK189" i="28" s="1"/>
  <c r="AM189" i="28" s="1" a="1"/>
  <c r="AM189" i="28" s="1"/>
  <c r="AI169" i="28"/>
  <c r="AJ169" i="28" s="1" a="1"/>
  <c r="AJ169" i="28" s="1"/>
  <c r="AL169" i="28" s="1" a="1"/>
  <c r="AL169" i="28" s="1"/>
  <c r="AN169" i="28" s="1" a="1"/>
  <c r="AN169" i="28" s="1"/>
  <c r="AI48" i="28"/>
  <c r="AJ48" i="28" s="1" a="1"/>
  <c r="AJ48" i="28" s="1"/>
  <c r="AL48" i="28" s="1" a="1"/>
  <c r="AL48" i="28" s="1"/>
  <c r="AN48" i="28" s="1" a="1"/>
  <c r="AN48" i="28" s="1"/>
  <c r="AI299" i="28"/>
  <c r="AJ299" i="28" s="1" a="1"/>
  <c r="AJ299" i="28" s="1"/>
  <c r="AL299" i="28" s="1" a="1"/>
  <c r="AL299" i="28" s="1"/>
  <c r="AN299" i="28" s="1" a="1"/>
  <c r="AN299" i="28" s="1"/>
  <c r="AI416" i="28"/>
  <c r="AJ416" i="28" s="1" a="1"/>
  <c r="AJ416" i="28" s="1"/>
  <c r="AL416" i="28" s="1" a="1"/>
  <c r="AL416" i="28" s="1"/>
  <c r="AN416" i="28" s="1" a="1"/>
  <c r="AN416" i="28" s="1"/>
  <c r="AI263" i="28"/>
  <c r="AJ263" i="28" s="1" a="1"/>
  <c r="AJ263" i="28" s="1"/>
  <c r="AK263" i="28" s="1" a="1"/>
  <c r="AK263" i="28" s="1"/>
  <c r="AM263" i="28" s="1" a="1"/>
  <c r="AM263" i="28" s="1"/>
  <c r="AI224" i="28"/>
  <c r="AJ224" i="28" s="1" a="1"/>
  <c r="AJ224" i="28" s="1"/>
  <c r="AK224" i="28" s="1" a="1"/>
  <c r="AK224" i="28" s="1"/>
  <c r="AM224" i="28" s="1" a="1"/>
  <c r="AM224" i="28" s="1"/>
  <c r="AI246" i="28"/>
  <c r="AJ246" i="28" s="1" a="1"/>
  <c r="AJ246" i="28" s="1"/>
  <c r="AK246" i="28" s="1" a="1"/>
  <c r="AK246" i="28" s="1"/>
  <c r="AI368" i="28"/>
  <c r="AJ368" i="28" s="1" a="1"/>
  <c r="AJ368" i="28" s="1"/>
  <c r="AI360" i="28"/>
  <c r="AJ360" i="28" s="1" a="1"/>
  <c r="AJ360" i="28" s="1"/>
  <c r="AI305" i="28"/>
  <c r="AI278" i="28"/>
  <c r="AJ278" i="28" s="1" a="1"/>
  <c r="AJ278" i="28" s="1"/>
  <c r="AK278" i="28" s="1" a="1"/>
  <c r="AK278" i="28" s="1"/>
  <c r="AM278" i="28" s="1" a="1"/>
  <c r="AM278" i="28" s="1"/>
  <c r="AI287" i="28"/>
  <c r="AJ287" i="28" s="1" a="1"/>
  <c r="AJ287" i="28" s="1"/>
  <c r="AI259" i="28"/>
  <c r="AJ259" i="28" s="1" a="1"/>
  <c r="AJ259" i="28" s="1"/>
  <c r="AK259" i="28" s="1" a="1"/>
  <c r="AK259" i="28" s="1"/>
  <c r="AM259" i="28" s="1" a="1"/>
  <c r="AM259" i="28" s="1"/>
  <c r="AI296" i="28"/>
  <c r="AJ296" i="28" s="1" a="1"/>
  <c r="AJ296" i="28" s="1"/>
  <c r="AL296" i="28" s="1" a="1"/>
  <c r="AL296" i="28" s="1"/>
  <c r="AN296" i="28" s="1" a="1"/>
  <c r="AN296" i="28" s="1"/>
  <c r="AI298" i="28"/>
  <c r="AJ298" i="28" s="1" a="1"/>
  <c r="AJ298" i="28" s="1"/>
  <c r="AI137" i="28"/>
  <c r="AJ137" i="28" s="1" a="1"/>
  <c r="AJ137" i="28" s="1"/>
  <c r="AK137" i="28" s="1" a="1"/>
  <c r="AK137" i="28" s="1"/>
  <c r="AM137" i="28" s="1" a="1"/>
  <c r="AM137" i="28" s="1"/>
  <c r="AI111" i="28"/>
  <c r="AJ111" i="28" s="1" a="1"/>
  <c r="AJ111" i="28" s="1"/>
  <c r="AL111" i="28" s="1" a="1"/>
  <c r="AL111" i="28" s="1"/>
  <c r="AN111" i="28" s="1" a="1"/>
  <c r="AN111" i="28" s="1"/>
  <c r="AI36" i="28"/>
  <c r="AJ36" i="28" s="1" a="1"/>
  <c r="AJ36" i="28" s="1"/>
  <c r="AL36" i="28" s="1" a="1"/>
  <c r="AL36" i="28" s="1"/>
  <c r="AN36" i="28" s="1" a="1"/>
  <c r="AN36" i="28" s="1"/>
  <c r="AI404" i="28"/>
  <c r="AI397" i="28"/>
  <c r="AI330" i="28"/>
  <c r="AJ330" i="28" s="1" a="1"/>
  <c r="AJ330" i="28" s="1"/>
  <c r="AK330" i="28" s="1" a="1"/>
  <c r="AK330" i="28" s="1"/>
  <c r="AM330" i="28" s="1" a="1"/>
  <c r="AM330" i="28" s="1"/>
  <c r="AI261" i="28"/>
  <c r="AJ261" i="28" s="1" a="1"/>
  <c r="AJ261" i="28" s="1"/>
  <c r="AL261" i="28" s="1" a="1"/>
  <c r="AL261" i="28" s="1"/>
  <c r="AN261" i="28" s="1" a="1"/>
  <c r="AN261" i="28" s="1"/>
  <c r="AI213" i="28"/>
  <c r="AJ213" i="28" s="1" a="1"/>
  <c r="AJ213" i="28" s="1"/>
  <c r="AL213" i="28" s="1" a="1"/>
  <c r="AL213" i="28" s="1"/>
  <c r="AN213" i="28" s="1" a="1"/>
  <c r="AN213" i="28" s="1"/>
  <c r="AI229" i="28"/>
  <c r="AJ229" i="28" s="1" a="1"/>
  <c r="AJ229" i="28" s="1"/>
  <c r="AL229" i="28" s="1" a="1"/>
  <c r="AL229" i="28" s="1"/>
  <c r="AN229" i="28" s="1" a="1"/>
  <c r="AN229" i="28" s="1"/>
  <c r="AI201" i="28"/>
  <c r="AJ201" i="28" s="1" a="1"/>
  <c r="AJ201" i="28" s="1"/>
  <c r="AK201" i="28" s="1" a="1"/>
  <c r="AK201" i="28" s="1"/>
  <c r="AI158" i="28"/>
  <c r="AJ158" i="28" s="1" a="1"/>
  <c r="AJ158" i="28" s="1"/>
  <c r="AK158" i="28" s="1" a="1"/>
  <c r="AK158" i="28" s="1"/>
  <c r="AM158" i="28" s="1" a="1"/>
  <c r="AM158" i="28" s="1"/>
  <c r="AI109" i="28"/>
  <c r="AJ109" i="28" s="1" a="1"/>
  <c r="AJ109" i="28" s="1"/>
  <c r="AK109" i="28" s="1" a="1"/>
  <c r="AK109" i="28" s="1"/>
  <c r="AM109" i="28" s="1" a="1"/>
  <c r="AM109" i="28" s="1"/>
  <c r="AI96" i="28"/>
  <c r="AJ96" i="28" s="1" a="1"/>
  <c r="AJ96" i="28" s="1"/>
  <c r="AK96" i="28" s="1" a="1"/>
  <c r="AK96" i="28" s="1"/>
  <c r="AI85" i="28"/>
  <c r="AJ85" i="28" s="1" a="1"/>
  <c r="AJ85" i="28" s="1"/>
  <c r="AK85" i="28" s="1" a="1"/>
  <c r="AK85" i="28" s="1"/>
  <c r="AM85" i="28" s="1" a="1"/>
  <c r="AM85" i="28" s="1"/>
  <c r="AI73" i="28"/>
  <c r="AJ73" i="28" s="1" a="1"/>
  <c r="AJ73" i="28" s="1"/>
  <c r="AL73" i="28" s="1" a="1"/>
  <c r="AL73" i="28" s="1"/>
  <c r="AN73" i="28" s="1" a="1"/>
  <c r="AN73" i="28" s="1"/>
  <c r="AI55" i="28"/>
  <c r="AJ55" i="28" s="1" a="1"/>
  <c r="AJ55" i="28" s="1"/>
  <c r="AL55" i="28" s="1" a="1"/>
  <c r="AL55" i="28" s="1"/>
  <c r="AN55" i="28" s="1" a="1"/>
  <c r="AN55" i="28" s="1"/>
  <c r="AI47" i="28"/>
  <c r="AJ47" i="28" s="1" a="1"/>
  <c r="AJ47" i="28" s="1"/>
  <c r="AL47" i="28" s="1" a="1"/>
  <c r="AL47" i="28" s="1"/>
  <c r="AN47" i="28" s="1" a="1"/>
  <c r="AN47" i="28" s="1"/>
  <c r="AI156" i="28"/>
  <c r="AJ156" i="28" s="1" a="1"/>
  <c r="AJ156" i="28" s="1"/>
  <c r="AK156" i="28" s="1" a="1"/>
  <c r="AK156" i="28" s="1"/>
  <c r="AM156" i="28" s="1" a="1"/>
  <c r="AM156" i="28" s="1"/>
  <c r="AI75" i="28"/>
  <c r="AJ75" i="28" s="1" a="1"/>
  <c r="AJ75" i="28" s="1"/>
  <c r="AK75" i="28" s="1" a="1"/>
  <c r="AK75" i="28" s="1"/>
  <c r="AI105" i="28"/>
  <c r="AJ105" i="28" s="1" a="1"/>
  <c r="AJ105" i="28" s="1"/>
  <c r="AK105" i="28" s="1" a="1"/>
  <c r="AK105" i="28" s="1"/>
  <c r="AI44" i="28"/>
  <c r="AJ44" i="28" s="1" a="1"/>
  <c r="AJ44" i="28" s="1"/>
  <c r="AL44" i="28" s="1" a="1"/>
  <c r="AL44" i="28" s="1"/>
  <c r="AN44" i="28" s="1" a="1"/>
  <c r="AN44" i="28" s="1"/>
  <c r="AI4" i="28"/>
  <c r="AJ4" i="28" s="1" a="1"/>
  <c r="AJ4" i="28" s="1"/>
  <c r="AL4" i="28" s="1" a="1"/>
  <c r="AL4" i="28" s="1"/>
  <c r="AN4" i="28" s="1" a="1"/>
  <c r="AN4" i="28" s="1"/>
  <c r="AI5" i="28"/>
  <c r="AJ5" i="28" s="1" a="1"/>
  <c r="AJ5" i="28" s="1"/>
  <c r="AI3" i="28"/>
  <c r="AJ3" i="28" s="1" a="1"/>
  <c r="AJ3" i="28" s="1"/>
  <c r="AI15" i="28"/>
  <c r="AJ15" i="28" s="1" a="1"/>
  <c r="AJ15" i="28" s="1"/>
  <c r="AL15" i="28" s="1" a="1"/>
  <c r="AL15" i="28" s="1"/>
  <c r="AN15" i="28" s="1" a="1"/>
  <c r="AN15" i="28" s="1"/>
  <c r="AI53" i="28"/>
  <c r="AJ53" i="28" s="1" a="1"/>
  <c r="AJ53" i="28" s="1"/>
  <c r="AL53" i="28" s="1" a="1"/>
  <c r="AL53" i="28" s="1"/>
  <c r="AN53" i="28" s="1" a="1"/>
  <c r="AN53" i="28" s="1"/>
  <c r="AI407" i="28"/>
  <c r="AI420" i="28"/>
  <c r="AI262" i="28"/>
  <c r="AJ262" i="28" s="1" a="1"/>
  <c r="AJ262" i="28" s="1"/>
  <c r="AK262" i="28" s="1" a="1"/>
  <c r="AK262" i="28" s="1"/>
  <c r="AM262" i="28" s="1" a="1"/>
  <c r="AM262" i="28" s="1"/>
  <c r="AI405" i="28"/>
  <c r="AI292" i="28"/>
  <c r="AJ292" i="28" s="1" a="1"/>
  <c r="AJ292" i="28" s="1"/>
  <c r="AK292" i="28" s="1" a="1"/>
  <c r="AK292" i="28" s="1"/>
  <c r="AI254" i="28"/>
  <c r="AJ254" i="28" s="1" a="1"/>
  <c r="AJ254" i="28" s="1"/>
  <c r="AL254" i="28" s="1" a="1"/>
  <c r="AL254" i="28" s="1"/>
  <c r="AN254" i="28" s="1" a="1"/>
  <c r="AN254" i="28" s="1"/>
  <c r="AI243" i="28"/>
  <c r="AJ243" i="28" s="1" a="1"/>
  <c r="AJ243" i="28" s="1"/>
  <c r="AK243" i="28" s="1" a="1"/>
  <c r="AK243" i="28" s="1"/>
  <c r="AM243" i="28" s="1" a="1"/>
  <c r="AM243" i="28" s="1"/>
  <c r="AI191" i="28"/>
  <c r="AJ191" i="28" s="1" a="1"/>
  <c r="AJ191" i="28" s="1"/>
  <c r="AK191" i="28" s="1" a="1"/>
  <c r="AK191" i="28" s="1"/>
  <c r="AI347" i="28"/>
  <c r="AJ347" i="28" s="1" a="1"/>
  <c r="AJ347" i="28" s="1"/>
  <c r="AK347" i="28" s="1" a="1"/>
  <c r="AK347" i="28" s="1"/>
  <c r="AM347" i="28" s="1" a="1"/>
  <c r="AM347" i="28" s="1"/>
  <c r="AI211" i="28"/>
  <c r="AJ211" i="28" s="1" a="1"/>
  <c r="AJ211" i="28" s="1"/>
  <c r="AK211" i="28" s="1" a="1"/>
  <c r="AK211" i="28" s="1"/>
  <c r="AI202" i="28"/>
  <c r="AJ202" i="28" s="1" a="1"/>
  <c r="AJ202" i="28" s="1"/>
  <c r="AK202" i="28" s="1" a="1"/>
  <c r="AK202" i="28" s="1"/>
  <c r="AM202" i="28" s="1" a="1"/>
  <c r="AM202" i="28" s="1"/>
  <c r="AI62" i="28"/>
  <c r="AJ62" i="28" s="1" a="1"/>
  <c r="AJ62" i="28" s="1"/>
  <c r="AL62" i="28" s="1" a="1"/>
  <c r="AL62" i="28" s="1"/>
  <c r="AN62" i="28" s="1" a="1"/>
  <c r="AN62" i="28" s="1"/>
  <c r="AI65" i="28"/>
  <c r="AJ65" i="28" s="1" a="1"/>
  <c r="AJ65" i="28" s="1"/>
  <c r="AI94" i="28"/>
  <c r="AJ94" i="28" s="1" a="1"/>
  <c r="AJ94" i="28" s="1"/>
  <c r="AK94" i="28" s="1" a="1"/>
  <c r="AK94" i="28" s="1"/>
  <c r="AM94" i="28" s="1" a="1"/>
  <c r="AM94" i="28" s="1"/>
  <c r="AI102" i="28"/>
  <c r="AJ102" i="28" s="1" a="1"/>
  <c r="AJ102" i="28" s="1"/>
  <c r="AL102" i="28" s="1" a="1"/>
  <c r="AL102" i="28" s="1"/>
  <c r="AN102" i="28" s="1" a="1"/>
  <c r="AN102" i="28" s="1"/>
  <c r="AI98" i="28"/>
  <c r="AJ98" i="28" s="1" a="1"/>
  <c r="AJ98" i="28" s="1"/>
  <c r="AL98" i="28" s="1" a="1"/>
  <c r="AL98" i="28" s="1"/>
  <c r="AN98" i="28" s="1" a="1"/>
  <c r="AN98" i="28" s="1"/>
  <c r="AI74" i="28"/>
  <c r="AJ74" i="28" s="1" a="1"/>
  <c r="AJ74" i="28" s="1"/>
  <c r="AK74" i="28" s="1" a="1"/>
  <c r="AK74" i="28" s="1"/>
  <c r="AM74" i="28" s="1" a="1"/>
  <c r="AM74" i="28" s="1"/>
  <c r="AI222" i="28"/>
  <c r="AJ222" i="28" s="1" a="1"/>
  <c r="AJ222" i="28" s="1"/>
  <c r="AL222" i="28" s="1" a="1"/>
  <c r="AL222" i="28" s="1"/>
  <c r="AN222" i="28" s="1" a="1"/>
  <c r="AN222" i="28" s="1"/>
  <c r="AI338" i="28"/>
  <c r="AI20" i="28"/>
  <c r="AJ20" i="28" s="1" a="1"/>
  <c r="AJ20" i="28" s="1"/>
  <c r="AI84" i="28"/>
  <c r="AJ84" i="28" s="1" a="1"/>
  <c r="AJ84" i="28" s="1"/>
  <c r="AI370" i="28"/>
  <c r="AJ370" i="28" s="1" a="1"/>
  <c r="AJ370" i="28" s="1"/>
  <c r="AI95" i="28"/>
  <c r="AJ95" i="28" s="1" a="1"/>
  <c r="AJ95" i="28" s="1"/>
  <c r="AI154" i="28"/>
  <c r="AJ154" i="28" s="1" a="1"/>
  <c r="AJ154" i="28" s="1"/>
  <c r="AI24" i="28"/>
  <c r="AJ24" i="28" s="1" a="1"/>
  <c r="AJ24" i="28" s="1"/>
  <c r="AI245" i="28"/>
  <c r="AJ245" i="28" s="1" a="1"/>
  <c r="AJ245" i="28" s="1"/>
  <c r="AI244" i="28"/>
  <c r="AJ244" i="28" s="1" a="1"/>
  <c r="AJ244" i="28" s="1"/>
  <c r="AI99" i="28"/>
  <c r="AJ99" i="28" s="1" a="1"/>
  <c r="AJ99" i="28" s="1"/>
  <c r="AI139" i="28"/>
  <c r="AJ139" i="28" s="1" a="1"/>
  <c r="AJ139" i="28" s="1"/>
  <c r="AI421" i="28"/>
  <c r="AI188" i="28"/>
  <c r="AJ188" i="28" s="1" a="1"/>
  <c r="AJ188" i="28" s="1"/>
  <c r="AI60" i="28"/>
  <c r="AJ60" i="28" s="1" a="1"/>
  <c r="AJ60" i="28" s="1"/>
  <c r="AI152" i="28"/>
  <c r="AJ152" i="28" s="1" a="1"/>
  <c r="AJ152" i="28" s="1"/>
  <c r="AI242" i="28"/>
  <c r="AJ242" i="28" s="1" a="1"/>
  <c r="AJ242" i="28" s="1"/>
  <c r="AI49" i="28"/>
  <c r="AJ49" i="28" s="1" a="1"/>
  <c r="AJ49" i="28" s="1"/>
  <c r="AI361" i="28"/>
  <c r="AJ361" i="28" s="1" a="1"/>
  <c r="AJ361" i="28" s="1"/>
  <c r="AI282" i="28"/>
  <c r="AJ282" i="28" s="1" a="1"/>
  <c r="AJ282" i="28" s="1"/>
  <c r="AI149" i="28"/>
  <c r="AJ149" i="28" s="1" a="1"/>
  <c r="AJ149" i="28" s="1"/>
  <c r="AI108" i="28"/>
  <c r="AJ108" i="28" s="1" a="1"/>
  <c r="AJ108" i="28" s="1"/>
  <c r="AI69" i="28"/>
  <c r="AJ69" i="28" s="1" a="1"/>
  <c r="AJ69" i="28" s="1"/>
  <c r="AI241" i="28"/>
  <c r="AJ241" i="28" s="1" a="1"/>
  <c r="AJ241" i="28" s="1"/>
  <c r="AI422" i="28"/>
  <c r="AI280" i="28"/>
  <c r="AJ280" i="28" s="1" a="1"/>
  <c r="AJ280" i="28" s="1"/>
  <c r="AL280" i="28" s="1" a="1"/>
  <c r="AL280" i="28" s="1"/>
  <c r="AN280" i="28" s="1" a="1"/>
  <c r="AN280" i="28" s="1"/>
  <c r="AI336" i="28"/>
  <c r="AI150" i="28"/>
  <c r="AJ150" i="28" s="1" a="1"/>
  <c r="AJ150" i="28" s="1"/>
  <c r="AL150" i="28" s="1" a="1"/>
  <c r="AL150" i="28" s="1"/>
  <c r="AN150" i="28" s="1" a="1"/>
  <c r="AN150" i="28" s="1"/>
  <c r="AI155" i="28"/>
  <c r="AJ155" i="28" s="1" a="1"/>
  <c r="AJ155" i="28" s="1"/>
  <c r="AK155" i="28" s="1" a="1"/>
  <c r="AK155" i="28" s="1"/>
  <c r="AM155" i="28" s="1" a="1"/>
  <c r="AM155" i="28" s="1"/>
  <c r="AI127" i="28"/>
  <c r="AJ127" i="28" s="1" a="1"/>
  <c r="AJ127" i="28" s="1"/>
  <c r="AL127" i="28" s="1" a="1"/>
  <c r="AL127" i="28" s="1"/>
  <c r="AN127" i="28" s="1" a="1"/>
  <c r="AN127" i="28" s="1"/>
  <c r="AI151" i="28"/>
  <c r="AJ151" i="28" s="1" a="1"/>
  <c r="AJ151" i="28" s="1"/>
  <c r="AL151" i="28" s="1" a="1"/>
  <c r="AL151" i="28" s="1"/>
  <c r="AN151" i="28" s="1" a="1"/>
  <c r="AN151" i="28" s="1"/>
  <c r="AI93" i="28"/>
  <c r="AJ93" i="28" s="1" a="1"/>
  <c r="AJ93" i="28" s="1"/>
  <c r="AK93" i="28" s="1" a="1"/>
  <c r="AK93" i="28" s="1"/>
  <c r="AM93" i="28" s="1" a="1"/>
  <c r="AM93" i="28" s="1"/>
  <c r="AI63" i="28"/>
  <c r="AJ63" i="28" s="1" a="1"/>
  <c r="AJ63" i="28" s="1"/>
  <c r="AK63" i="28" s="1" a="1"/>
  <c r="AK63" i="28" s="1"/>
  <c r="AM63" i="28" s="1" a="1"/>
  <c r="AM63" i="28" s="1"/>
  <c r="AI50" i="28"/>
  <c r="AJ50" i="28" s="1" a="1"/>
  <c r="AJ50" i="28" s="1"/>
  <c r="AL50" i="28" s="1" a="1"/>
  <c r="AL50" i="28" s="1"/>
  <c r="AN50" i="28" s="1" a="1"/>
  <c r="AN50" i="28" s="1"/>
  <c r="AI419" i="28"/>
  <c r="AI374" i="28"/>
  <c r="AJ374" i="28" s="1" a="1"/>
  <c r="AJ374" i="28" s="1"/>
  <c r="AK374" i="28" s="1" a="1"/>
  <c r="AK374" i="28" s="1"/>
  <c r="AI232" i="28"/>
  <c r="AJ232" i="28" s="1" a="1"/>
  <c r="AJ232" i="28" s="1"/>
  <c r="AL232" i="28" s="1" a="1"/>
  <c r="AL232" i="28" s="1"/>
  <c r="AN232" i="28" s="1" a="1"/>
  <c r="AN232" i="28" s="1"/>
  <c r="AI399" i="28"/>
  <c r="AI219" i="28"/>
  <c r="AJ219" i="28" s="1" a="1"/>
  <c r="AJ219" i="28" s="1"/>
  <c r="AK219" i="28" s="1" a="1"/>
  <c r="AK219" i="28" s="1"/>
  <c r="AI214" i="28"/>
  <c r="AJ214" i="28" s="1" a="1"/>
  <c r="AJ214" i="28" s="1"/>
  <c r="AL214" i="28" s="1" a="1"/>
  <c r="AL214" i="28" s="1"/>
  <c r="AN214" i="28" s="1" a="1"/>
  <c r="AN214" i="28" s="1"/>
  <c r="AI204" i="28"/>
  <c r="AJ204" i="28" s="1" a="1"/>
  <c r="AJ204" i="28" s="1"/>
  <c r="AK204" i="28" s="1" a="1"/>
  <c r="AK204" i="28" s="1"/>
  <c r="AM204" i="28" s="1" a="1"/>
  <c r="AM204" i="28" s="1"/>
  <c r="AI180" i="28"/>
  <c r="AJ180" i="28" s="1" a="1"/>
  <c r="AJ180" i="28" s="1"/>
  <c r="AK180" i="28" s="1" a="1"/>
  <c r="AK180" i="28" s="1"/>
  <c r="AI339" i="28"/>
  <c r="AI257" i="28"/>
  <c r="AJ257" i="28" s="1" a="1"/>
  <c r="AJ257" i="28" s="1"/>
  <c r="AL257" i="28" s="1" a="1"/>
  <c r="AL257" i="28" s="1"/>
  <c r="AN257" i="28" s="1" a="1"/>
  <c r="AN257" i="28" s="1"/>
  <c r="AI236" i="28"/>
  <c r="AJ236" i="28" s="1" a="1"/>
  <c r="AJ236" i="28" s="1"/>
  <c r="AK236" i="28" s="1" a="1"/>
  <c r="AK236" i="28" s="1"/>
  <c r="AI220" i="28"/>
  <c r="AJ220" i="28" s="1" a="1"/>
  <c r="AJ220" i="28" s="1"/>
  <c r="AK220" i="28" s="1" a="1"/>
  <c r="AK220" i="28" s="1"/>
  <c r="AM220" i="28" s="1" a="1"/>
  <c r="AM220" i="28" s="1"/>
  <c r="AI351" i="28"/>
  <c r="AJ351" i="28" s="1" a="1"/>
  <c r="AJ351" i="28" s="1"/>
  <c r="AK351" i="28" s="1" a="1"/>
  <c r="AK351" i="28" s="1"/>
  <c r="AM351" i="28" s="1" a="1"/>
  <c r="AM351" i="28" s="1"/>
  <c r="AI215" i="28"/>
  <c r="AJ215" i="28" s="1" a="1"/>
  <c r="AJ215" i="28" s="1"/>
  <c r="AK215" i="28" s="1" a="1"/>
  <c r="AK215" i="28" s="1"/>
  <c r="AM215" i="28" s="1" a="1"/>
  <c r="AM215" i="28" s="1"/>
  <c r="AI167" i="28"/>
  <c r="AJ167" i="28" s="1" a="1"/>
  <c r="AJ167" i="28" s="1"/>
  <c r="AK167" i="28" s="1" a="1"/>
  <c r="AK167" i="28" s="1"/>
  <c r="AI131" i="28"/>
  <c r="AJ131" i="28" s="1" a="1"/>
  <c r="AJ131" i="28" s="1"/>
  <c r="AK131" i="28" s="1" a="1"/>
  <c r="AK131" i="28" s="1"/>
  <c r="AM131" i="28" s="1" a="1"/>
  <c r="AM131" i="28" s="1"/>
  <c r="AI90" i="28"/>
  <c r="AJ90" i="28" s="1" a="1"/>
  <c r="AJ90" i="28" s="1"/>
  <c r="AK90" i="28" s="1" a="1"/>
  <c r="AK90" i="28" s="1"/>
  <c r="AI58" i="28"/>
  <c r="AJ58" i="28" s="1" a="1"/>
  <c r="AJ58" i="28" s="1"/>
  <c r="AK58" i="28" s="1" a="1"/>
  <c r="AK58" i="28" s="1"/>
  <c r="AI79" i="28"/>
  <c r="AJ79" i="28" s="1" a="1"/>
  <c r="AJ79" i="28" s="1"/>
  <c r="AL79" i="28" s="1" a="1"/>
  <c r="AL79" i="28" s="1"/>
  <c r="AN79" i="28" s="1" a="1"/>
  <c r="AN79" i="28" s="1"/>
  <c r="AI81" i="28"/>
  <c r="AJ81" i="28" s="1" a="1"/>
  <c r="AJ81" i="28" s="1"/>
  <c r="AK81" i="28" s="1" a="1"/>
  <c r="AK81" i="28" s="1"/>
  <c r="AM81" i="28" s="1" a="1"/>
  <c r="AM81" i="28" s="1"/>
  <c r="AI43" i="28"/>
  <c r="AJ43" i="28" s="1" a="1"/>
  <c r="AJ43" i="28" s="1"/>
  <c r="AK43" i="28" s="1" a="1"/>
  <c r="AK43" i="28" s="1"/>
  <c r="AI16" i="28"/>
  <c r="AJ16" i="28" s="1" a="1"/>
  <c r="AJ16" i="28" s="1"/>
  <c r="AL16" i="28" s="1" a="1"/>
  <c r="AL16" i="28" s="1"/>
  <c r="AN16" i="28" s="1" a="1"/>
  <c r="AN16" i="28" s="1"/>
  <c r="AI426" i="28"/>
  <c r="AI412" i="28"/>
  <c r="AI398" i="28"/>
  <c r="AJ398" i="28" s="1" a="1"/>
  <c r="AJ398" i="28" s="1"/>
  <c r="AK398" i="28" s="1" a="1"/>
  <c r="AK398" i="28" s="1"/>
  <c r="AM398" i="28" s="1" a="1"/>
  <c r="AM398" i="28" s="1"/>
  <c r="AI344" i="28"/>
  <c r="AJ344" i="28" s="1" a="1"/>
  <c r="AJ344" i="28" s="1"/>
  <c r="AL344" i="28" s="1" a="1"/>
  <c r="AL344" i="28" s="1"/>
  <c r="AN344" i="28" s="1" a="1"/>
  <c r="AN344" i="28" s="1"/>
  <c r="AI372" i="28"/>
  <c r="AJ372" i="28" s="1" a="1"/>
  <c r="AJ372" i="28" s="1"/>
  <c r="AK372" i="28" s="1" a="1"/>
  <c r="AK372" i="28" s="1"/>
  <c r="AM372" i="28" s="1" a="1"/>
  <c r="AM372" i="28" s="1"/>
  <c r="AI294" i="28"/>
  <c r="AJ294" i="28" s="1" a="1"/>
  <c r="AJ294" i="28" s="1"/>
  <c r="AK294" i="28" s="1" a="1"/>
  <c r="AK294" i="28" s="1"/>
  <c r="AM294" i="28" s="1" a="1"/>
  <c r="AM294" i="28" s="1"/>
  <c r="AI225" i="28"/>
  <c r="AJ225" i="28" s="1" a="1"/>
  <c r="AJ225" i="28" s="1"/>
  <c r="AL225" i="28" s="1" a="1"/>
  <c r="AL225" i="28" s="1"/>
  <c r="AN225" i="28" s="1" a="1"/>
  <c r="AN225" i="28" s="1"/>
  <c r="AI341" i="28"/>
  <c r="AI313" i="28"/>
  <c r="AI198" i="28"/>
  <c r="AJ198" i="28" s="1" a="1"/>
  <c r="AJ198" i="28" s="1"/>
  <c r="AK198" i="28" s="1" a="1"/>
  <c r="AK198" i="28" s="1"/>
  <c r="AM198" i="28" s="1" a="1"/>
  <c r="AM198" i="28" s="1"/>
  <c r="AI186" i="28"/>
  <c r="AJ186" i="28" s="1" a="1"/>
  <c r="AJ186" i="28" s="1"/>
  <c r="AK186" i="28" s="1" a="1"/>
  <c r="AK186" i="28" s="1"/>
  <c r="AM186" i="28" s="1" a="1"/>
  <c r="AM186" i="28" s="1"/>
  <c r="AI340" i="28"/>
  <c r="AI230" i="28"/>
  <c r="AJ230" i="28" s="1" a="1"/>
  <c r="AJ230" i="28" s="1"/>
  <c r="AK230" i="28" s="1" a="1"/>
  <c r="AK230" i="28" s="1"/>
  <c r="AI205" i="28"/>
  <c r="AJ205" i="28" s="1" a="1"/>
  <c r="AJ205" i="28" s="1"/>
  <c r="AK205" i="28" s="1" a="1"/>
  <c r="AK205" i="28" s="1"/>
  <c r="AI165" i="28"/>
  <c r="AJ165" i="28" s="1" a="1"/>
  <c r="AJ165" i="28" s="1"/>
  <c r="AL165" i="28" s="1" a="1"/>
  <c r="AL165" i="28" s="1"/>
  <c r="AN165" i="28" s="1" a="1"/>
  <c r="AN165" i="28" s="1"/>
  <c r="AI129" i="28"/>
  <c r="AJ129" i="28" s="1" a="1"/>
  <c r="AJ129" i="28" s="1"/>
  <c r="AL129" i="28" s="1" a="1"/>
  <c r="AL129" i="28" s="1"/>
  <c r="AN129" i="28" s="1" a="1"/>
  <c r="AN129" i="28" s="1"/>
  <c r="AI29" i="28"/>
  <c r="AJ29" i="28" s="1" a="1"/>
  <c r="AJ29" i="28" s="1"/>
  <c r="AK29" i="28" s="1" a="1"/>
  <c r="AK29" i="28" s="1"/>
  <c r="AM29" i="28" s="1" a="1"/>
  <c r="AM29" i="28" s="1"/>
  <c r="AI406" i="28"/>
  <c r="AI310" i="28"/>
  <c r="AI373" i="28"/>
  <c r="AJ373" i="28" s="1" a="1"/>
  <c r="AJ373" i="28" s="1"/>
  <c r="AL373" i="28" s="1" a="1"/>
  <c r="AL373" i="28" s="1"/>
  <c r="AN373" i="28" s="1" a="1"/>
  <c r="AN373" i="28" s="1"/>
  <c r="AI251" i="28"/>
  <c r="AJ251" i="28" s="1" a="1"/>
  <c r="AJ251" i="28" s="1"/>
  <c r="AL251" i="28" s="1" a="1"/>
  <c r="AL251" i="28" s="1"/>
  <c r="AN251" i="28" s="1" a="1"/>
  <c r="AN251" i="28" s="1"/>
  <c r="AI199" i="28"/>
  <c r="AJ199" i="28" s="1" a="1"/>
  <c r="AJ199" i="28" s="1"/>
  <c r="AK199" i="28" s="1" a="1"/>
  <c r="AK199" i="28" s="1"/>
  <c r="AM199" i="28" s="1" a="1"/>
  <c r="AM199" i="28" s="1"/>
  <c r="AI187" i="28"/>
  <c r="AJ187" i="28" s="1" a="1"/>
  <c r="AJ187" i="28" s="1"/>
  <c r="AL187" i="28" s="1" a="1"/>
  <c r="AL187" i="28" s="1"/>
  <c r="AN187" i="28" s="1" a="1"/>
  <c r="AN187" i="28" s="1"/>
  <c r="AI312" i="28"/>
  <c r="AJ312" i="28" s="1" a="1"/>
  <c r="AJ312" i="28" s="1"/>
  <c r="AK312" i="28" s="1" a="1"/>
  <c r="AK312" i="28" s="1"/>
  <c r="AM312" i="28" s="1" a="1"/>
  <c r="AM312" i="28" s="1"/>
  <c r="AI160" i="28"/>
  <c r="AJ160" i="28" s="1" a="1"/>
  <c r="AJ160" i="28" s="1"/>
  <c r="AL160" i="28" s="1" a="1"/>
  <c r="AL160" i="28" s="1"/>
  <c r="AN160" i="28" s="1" a="1"/>
  <c r="AN160" i="28" s="1"/>
  <c r="AI147" i="28"/>
  <c r="AJ147" i="28" s="1" a="1"/>
  <c r="AJ147" i="28" s="1"/>
  <c r="AK147" i="28" s="1" a="1"/>
  <c r="AK147" i="28" s="1"/>
  <c r="AM147" i="28" s="1" a="1"/>
  <c r="AM147" i="28" s="1"/>
  <c r="AI106" i="28"/>
  <c r="AJ106" i="28" s="1" a="1"/>
  <c r="AJ106" i="28" s="1"/>
  <c r="AL106" i="28" s="1" a="1"/>
  <c r="AL106" i="28" s="1"/>
  <c r="AN106" i="28" s="1" a="1"/>
  <c r="AN106" i="28" s="1"/>
  <c r="AI112" i="28"/>
  <c r="AJ112" i="28" s="1" a="1"/>
  <c r="AJ112" i="28" s="1"/>
  <c r="AK112" i="28" s="1" a="1"/>
  <c r="AK112" i="28" s="1"/>
  <c r="AM112" i="28" s="1" a="1"/>
  <c r="AM112" i="28" s="1"/>
  <c r="AI80" i="28"/>
  <c r="AJ80" i="28" s="1" a="1"/>
  <c r="AJ80" i="28" s="1"/>
  <c r="AL80" i="28" s="1" a="1"/>
  <c r="AL80" i="28" s="1"/>
  <c r="AN80" i="28" s="1" a="1"/>
  <c r="AN80" i="28" s="1"/>
  <c r="AI61" i="28"/>
  <c r="AJ61" i="28" s="1" a="1"/>
  <c r="AJ61" i="28" s="1"/>
  <c r="AK61" i="28" s="1" a="1"/>
  <c r="AK61" i="28" s="1"/>
  <c r="AM61" i="28" s="1" a="1"/>
  <c r="AM61" i="28" s="1"/>
  <c r="AI39" i="28"/>
  <c r="AJ39" i="28" s="1" a="1"/>
  <c r="AJ39" i="28" s="1"/>
  <c r="AL39" i="28" s="1" a="1"/>
  <c r="AL39" i="28" s="1"/>
  <c r="AN39" i="28" s="1" a="1"/>
  <c r="AN39" i="28" s="1"/>
  <c r="AI28" i="28"/>
  <c r="AJ28" i="28" s="1" a="1"/>
  <c r="AJ28" i="28" s="1"/>
  <c r="AK28" i="28" s="1" a="1"/>
  <c r="AK28" i="28" s="1"/>
  <c r="AI293" i="28"/>
  <c r="AJ293" i="28" s="1" a="1"/>
  <c r="AJ293" i="28" s="1"/>
  <c r="AL293" i="28" s="1" a="1"/>
  <c r="AL293" i="28" s="1"/>
  <c r="AN293" i="28" s="1" a="1"/>
  <c r="AN293" i="28" s="1"/>
  <c r="AI425" i="28"/>
  <c r="AJ425" i="28" s="1" a="1"/>
  <c r="AJ425" i="28" s="1"/>
  <c r="AK425" i="28" s="1" a="1"/>
  <c r="AK425" i="28" s="1"/>
  <c r="AI410" i="28"/>
  <c r="AI216" i="28"/>
  <c r="AJ216" i="28" s="1" a="1"/>
  <c r="AJ216" i="28" s="1"/>
  <c r="AK216" i="28" s="1" a="1"/>
  <c r="AK216" i="28" s="1"/>
  <c r="AI113" i="28"/>
  <c r="AJ113" i="28" s="1" a="1"/>
  <c r="AJ113" i="28" s="1"/>
  <c r="AL113" i="28" s="1" a="1"/>
  <c r="AL113" i="28" s="1"/>
  <c r="AN113" i="28" s="1" a="1"/>
  <c r="AN113" i="28" s="1"/>
  <c r="AI82" i="28"/>
  <c r="AJ82" i="28" s="1" a="1"/>
  <c r="AJ82" i="28" s="1"/>
  <c r="AK82" i="28" s="1" a="1"/>
  <c r="AK82" i="28" s="1"/>
  <c r="AM82" i="28" s="1" a="1"/>
  <c r="AM82" i="28" s="1"/>
  <c r="AI22" i="28"/>
  <c r="AJ22" i="28" s="1" a="1"/>
  <c r="AJ22" i="28" s="1"/>
  <c r="AK22" i="28" s="1" a="1"/>
  <c r="AK22" i="28" s="1"/>
  <c r="AM22" i="28" s="1" a="1"/>
  <c r="AM22" i="28" s="1"/>
  <c r="AI396" i="28"/>
  <c r="AI326" i="28"/>
  <c r="AI260" i="28"/>
  <c r="AJ260" i="28" s="1" a="1"/>
  <c r="AJ260" i="28" s="1"/>
  <c r="AL260" i="28" s="1" a="1"/>
  <c r="AL260" i="28" s="1"/>
  <c r="AN260" i="28" s="1" a="1"/>
  <c r="AN260" i="28" s="1"/>
  <c r="AI235" i="28"/>
  <c r="AJ235" i="28" s="1" a="1"/>
  <c r="AJ235" i="28" s="1"/>
  <c r="AL235" i="28" s="1" a="1"/>
  <c r="AL235" i="28" s="1"/>
  <c r="AN235" i="28" s="1" a="1"/>
  <c r="AN235" i="28" s="1"/>
  <c r="AI130" i="28"/>
  <c r="AJ130" i="28" s="1" a="1"/>
  <c r="AJ130" i="28" s="1"/>
  <c r="AK130" i="28" s="1" a="1"/>
  <c r="AK130" i="28" s="1"/>
  <c r="AM130" i="28" s="1" a="1"/>
  <c r="AM130" i="28" s="1"/>
  <c r="AI41" i="28"/>
  <c r="AJ41" i="28" s="1" a="1"/>
  <c r="AJ41" i="28" s="1"/>
  <c r="AK41" i="28" s="1" a="1"/>
  <c r="AK41" i="28" s="1"/>
  <c r="AM41" i="28" s="1" a="1"/>
  <c r="AM41" i="28" s="1"/>
  <c r="AI369" i="28"/>
  <c r="AJ369" i="28" s="1" a="1"/>
  <c r="AJ369" i="28" s="1"/>
  <c r="AI101" i="28"/>
  <c r="AJ101" i="28" s="1" a="1"/>
  <c r="AJ101" i="28" s="1"/>
  <c r="AI311" i="28"/>
  <c r="AJ311" i="28" s="1" a="1"/>
  <c r="AJ311" i="28" s="1"/>
  <c r="AI164" i="28"/>
  <c r="AJ164" i="28" s="1" a="1"/>
  <c r="AJ164" i="28" s="1"/>
  <c r="AK297" i="28" a="1"/>
  <c r="AK297" i="28" s="1"/>
  <c r="AM297" i="28" s="1" a="1"/>
  <c r="AM297" i="28" s="1"/>
  <c r="AK267" i="28" a="1"/>
  <c r="AK267" i="28" s="1"/>
  <c r="AM267" i="28" s="1" a="1"/>
  <c r="AM267" i="28" s="1"/>
  <c r="AK375" i="28" a="1"/>
  <c r="AK375" i="28" s="1"/>
  <c r="AM375" i="28" s="1" a="1"/>
  <c r="AM375" i="28" s="1"/>
  <c r="AK295" i="28" a="1"/>
  <c r="AK295" i="28" s="1"/>
  <c r="AM295" i="28" s="1" a="1"/>
  <c r="AM295" i="28" s="1"/>
  <c r="AL226" i="28" a="1"/>
  <c r="AL226" i="28" s="1"/>
  <c r="AN226" i="28" s="1" a="1"/>
  <c r="AN226" i="28" s="1"/>
  <c r="AK226" i="28" a="1"/>
  <c r="AK226" i="28" s="1"/>
  <c r="AK233" i="28" a="1"/>
  <c r="AK233" i="28" s="1"/>
  <c r="AL233" i="28" a="1"/>
  <c r="AL233" i="28" s="1"/>
  <c r="AN233" i="28" s="1" a="1"/>
  <c r="AN233" i="28" s="1"/>
  <c r="AK132" i="28" a="1"/>
  <c r="AK132" i="28" s="1"/>
  <c r="AK128" i="28" a="1"/>
  <c r="AK128" i="28" s="1"/>
  <c r="AM128" i="28" s="1" a="1"/>
  <c r="AM128" i="28" s="1"/>
  <c r="AL97" i="28" a="1"/>
  <c r="AL97" i="28" s="1"/>
  <c r="AN97" i="28" s="1" a="1"/>
  <c r="AN97" i="28" s="1"/>
  <c r="AK97" i="28" a="1"/>
  <c r="AK97" i="28" s="1"/>
  <c r="AM97" i="28" s="1" a="1"/>
  <c r="AM97" i="28" s="1"/>
  <c r="AK76" i="28" a="1"/>
  <c r="AK76" i="28" s="1"/>
  <c r="AM76" i="28" s="1" a="1"/>
  <c r="AM76" i="28" s="1"/>
  <c r="AL76" i="28" a="1"/>
  <c r="AL76" i="28" s="1"/>
  <c r="AN76" i="28" s="1" a="1"/>
  <c r="AN76" i="28" s="1"/>
  <c r="AL371" i="28" a="1"/>
  <c r="AL371" i="28" s="1"/>
  <c r="AN371" i="28" s="1" a="1"/>
  <c r="AN371" i="28" s="1"/>
  <c r="AK371" i="28" a="1"/>
  <c r="AK371" i="28" s="1"/>
  <c r="AM371" i="28" s="1" a="1"/>
  <c r="AM371" i="28" s="1"/>
  <c r="AL249" i="28" a="1"/>
  <c r="AL249" i="28" s="1"/>
  <c r="AN249" i="28" s="1" a="1"/>
  <c r="AN249" i="28" s="1"/>
  <c r="AK221" i="28" a="1"/>
  <c r="AK221" i="28" s="1"/>
  <c r="AM221" i="28" s="1" a="1"/>
  <c r="AM221" i="28" s="1"/>
  <c r="AL231" i="28" a="1"/>
  <c r="AL231" i="28" s="1"/>
  <c r="AN231" i="28" s="1" a="1"/>
  <c r="AN231" i="28" s="1"/>
  <c r="AL142" i="28" a="1"/>
  <c r="AL142" i="28" s="1"/>
  <c r="AN142" i="28" s="1" a="1"/>
  <c r="AN142" i="28" s="1"/>
  <c r="AK142" i="28" a="1"/>
  <c r="AK142" i="28" s="1"/>
  <c r="AM142" i="28" s="1" a="1"/>
  <c r="AM142" i="28" s="1"/>
  <c r="AK181" i="28" a="1"/>
  <c r="AK181" i="28" s="1"/>
  <c r="AL153" i="28" a="1"/>
  <c r="AL153" i="28" s="1"/>
  <c r="AN153" i="28" s="1" a="1"/>
  <c r="AN153" i="28" s="1"/>
  <c r="AK153" i="28" a="1"/>
  <c r="AK153" i="28" s="1"/>
  <c r="AM153" i="28" s="1" a="1"/>
  <c r="AM153" i="28" s="1"/>
  <c r="AK27" i="28" a="1"/>
  <c r="AK27" i="28" s="1"/>
  <c r="AM27" i="28" s="1" a="1"/>
  <c r="AM27" i="28" s="1"/>
  <c r="AK19" i="28" a="1"/>
  <c r="AK19" i="28" s="1"/>
  <c r="AL19" i="28" a="1"/>
  <c r="AL19" i="28" s="1"/>
  <c r="AN19" i="28" s="1" a="1"/>
  <c r="AN19" i="28" s="1"/>
  <c r="AK283" i="28" a="1"/>
  <c r="AK283" i="28" s="1"/>
  <c r="AM283" i="28" s="1" a="1"/>
  <c r="AM283" i="28" s="1"/>
  <c r="AK237" i="28" a="1"/>
  <c r="AK237" i="28" s="1"/>
  <c r="AM237" i="28" s="1" a="1"/>
  <c r="AM237" i="28" s="1"/>
  <c r="AK110" i="28" a="1"/>
  <c r="AK110" i="28" s="1"/>
  <c r="AM110" i="28" s="1" a="1"/>
  <c r="AM110" i="28" s="1"/>
  <c r="AK78" i="28" a="1"/>
  <c r="AK78" i="28" s="1"/>
  <c r="AM78" i="28" s="1" a="1"/>
  <c r="AM78" i="28" s="1"/>
  <c r="AK46" i="28" a="1"/>
  <c r="AK46" i="28" s="1"/>
  <c r="AM46" i="28" s="1" a="1"/>
  <c r="AM46" i="28" s="1"/>
  <c r="AK286" i="28" a="1"/>
  <c r="AK286" i="28" s="1"/>
  <c r="AM286" i="28" s="1" a="1"/>
  <c r="AM286" i="28" s="1"/>
  <c r="AL192" i="28" a="1"/>
  <c r="AL192" i="28" s="1"/>
  <c r="AN192" i="28" s="1" a="1"/>
  <c r="AN192" i="28" s="1"/>
  <c r="AK217" i="28" a="1"/>
  <c r="AK217" i="28" s="1"/>
  <c r="AM217" i="28" s="1" a="1"/>
  <c r="AM217" i="28" s="1"/>
  <c r="AL217" i="28" a="1"/>
  <c r="AL217" i="28" s="1"/>
  <c r="AN217" i="28" s="1" a="1"/>
  <c r="AN217" i="28" s="1"/>
  <c r="AK51" i="28" a="1"/>
  <c r="AK51" i="28" s="1"/>
  <c r="AM51" i="28" s="1" a="1"/>
  <c r="AM51" i="28" s="1"/>
  <c r="AL42" i="28" a="1"/>
  <c r="AL42" i="28" s="1"/>
  <c r="AN42" i="28" s="1" a="1"/>
  <c r="AN42" i="28" s="1"/>
  <c r="AO416" i="28"/>
  <c r="J416" i="28" s="1"/>
  <c r="AK184" i="28" a="1"/>
  <c r="AK184" i="28" s="1"/>
  <c r="AL56" i="28" a="1"/>
  <c r="AL56" i="28" s="1"/>
  <c r="AN56" i="28" s="1" a="1"/>
  <c r="AN56" i="28" s="1"/>
  <c r="AL52" i="28" l="1" a="1"/>
  <c r="AL52" i="28" s="1"/>
  <c r="AN52" i="28" s="1" a="1"/>
  <c r="AN52" i="28" s="1"/>
  <c r="AL210" i="28" a="1"/>
  <c r="AL210" i="28" s="1"/>
  <c r="AN210" i="28" s="1" a="1"/>
  <c r="AN210" i="28" s="1"/>
  <c r="AI124" i="28"/>
  <c r="AJ124" i="28" s="1" a="1"/>
  <c r="AJ124" i="28" s="1"/>
  <c r="AL124" i="28" s="1" a="1"/>
  <c r="AL124" i="28" s="1"/>
  <c r="AN124" i="28" s="1" a="1"/>
  <c r="AN124" i="28" s="1"/>
  <c r="AK182" i="28" a="1"/>
  <c r="AK182" i="28" s="1"/>
  <c r="AM182" i="28" s="1" a="1"/>
  <c r="AM182" i="28" s="1"/>
  <c r="AJ313" i="28" a="1"/>
  <c r="AJ313" i="28" s="1"/>
  <c r="AK313" i="28" s="1" a="1"/>
  <c r="AK313" i="28" s="1"/>
  <c r="AM313" i="28" s="1" a="1"/>
  <c r="AM313" i="28" s="1"/>
  <c r="AJ426" i="28" a="1"/>
  <c r="AJ426" i="28" s="1"/>
  <c r="AL426" i="28" s="1" a="1"/>
  <c r="AL426" i="28" s="1"/>
  <c r="AN426" i="28" s="1" a="1"/>
  <c r="AN426" i="28" s="1"/>
  <c r="AJ341" i="28" a="1"/>
  <c r="AJ341" i="28" s="1"/>
  <c r="AK341" i="28" s="1" a="1"/>
  <c r="AK341" i="28" s="1"/>
  <c r="AL255" i="28" a="1"/>
  <c r="AL255" i="28" s="1"/>
  <c r="AN255" i="28" s="1" a="1"/>
  <c r="AN255" i="28" s="1"/>
  <c r="AI123" i="28"/>
  <c r="AJ123" i="28" s="1" a="1"/>
  <c r="AJ123" i="28" s="1"/>
  <c r="AK123" i="28" s="1" a="1"/>
  <c r="AK123" i="28" s="1"/>
  <c r="AM123" i="28" s="1" a="1"/>
  <c r="AM123" i="28" s="1"/>
  <c r="AK157" i="28" a="1"/>
  <c r="AK157" i="28" s="1"/>
  <c r="AM157" i="28" s="1" a="1"/>
  <c r="AM157" i="28" s="1"/>
  <c r="AL133" i="28" a="1"/>
  <c r="AL133" i="28" s="1"/>
  <c r="AN133" i="28" s="1" a="1"/>
  <c r="AN133" i="28" s="1"/>
  <c r="AK141" i="28" a="1"/>
  <c r="AK141" i="28" s="1"/>
  <c r="AM141" i="28" s="1" a="1"/>
  <c r="AM141" i="28" s="1"/>
  <c r="AI275" i="28"/>
  <c r="AJ275" i="28" s="1" a="1"/>
  <c r="AJ275" i="28" s="1"/>
  <c r="AL275" i="28" s="1" a="1"/>
  <c r="AL275" i="28" s="1"/>
  <c r="AN275" i="28" s="1" a="1"/>
  <c r="AN275" i="28" s="1"/>
  <c r="AK55" i="28" a="1"/>
  <c r="AK55" i="28" s="1"/>
  <c r="AM55" i="28" s="1" a="1"/>
  <c r="AM55" i="28" s="1"/>
  <c r="AO126" i="28"/>
  <c r="J126" i="28" s="1"/>
  <c r="AI121" i="28"/>
  <c r="AJ121" i="28" s="1" a="1"/>
  <c r="AJ121" i="28" s="1"/>
  <c r="AK121" i="28" s="1" a="1"/>
  <c r="AK121" i="28" s="1"/>
  <c r="AK48" i="28" a="1"/>
  <c r="AK48" i="28" s="1"/>
  <c r="AM48" i="28" s="1" a="1"/>
  <c r="AM48" i="28" s="1"/>
  <c r="AL375" i="28" a="1"/>
  <c r="AL375" i="28" s="1"/>
  <c r="AN375" i="28" s="1" a="1"/>
  <c r="AN375" i="28" s="1"/>
  <c r="AL348" i="28" a="1"/>
  <c r="AL348" i="28" s="1"/>
  <c r="AN348" i="28" s="1" a="1"/>
  <c r="AN348" i="28" s="1"/>
  <c r="AI125" i="28"/>
  <c r="AJ125" i="28" s="1" a="1"/>
  <c r="AJ125" i="28" s="1"/>
  <c r="L304" i="28"/>
  <c r="AJ310" i="28" a="1"/>
  <c r="AJ310" i="28" s="1"/>
  <c r="AL310" i="28" s="1" a="1"/>
  <c r="AL310" i="28" s="1"/>
  <c r="AN310" i="28" s="1" a="1"/>
  <c r="AN310" i="28" s="1"/>
  <c r="AK416" i="28" a="1"/>
  <c r="AK416" i="28" s="1"/>
  <c r="AM416" i="28" s="1" a="1"/>
  <c r="AM416" i="28" s="1"/>
  <c r="AK363" i="28" a="1"/>
  <c r="AK363" i="28" s="1"/>
  <c r="AM363" i="28" s="1" a="1"/>
  <c r="AM363" i="28" s="1"/>
  <c r="AL330" i="28" a="1"/>
  <c r="AL330" i="28" s="1"/>
  <c r="AN330" i="28" s="1" a="1"/>
  <c r="AN330" i="28" s="1"/>
  <c r="AL259" i="28" a="1"/>
  <c r="AL259" i="28" s="1"/>
  <c r="AN259" i="28" s="1" a="1"/>
  <c r="AN259" i="28" s="1"/>
  <c r="AJ340" i="28" a="1"/>
  <c r="AJ340" i="28" s="1"/>
  <c r="AK340" i="28" s="1" a="1"/>
  <c r="AK340" i="28" s="1"/>
  <c r="AM340" i="28" s="1" a="1"/>
  <c r="AM340" i="28" s="1"/>
  <c r="AJ339" i="28" a="1"/>
  <c r="AJ339" i="28" s="1"/>
  <c r="AK339" i="28" s="1" a="1"/>
  <c r="AK339" i="28" s="1"/>
  <c r="AM339" i="28" s="1" a="1"/>
  <c r="AM339" i="28" s="1"/>
  <c r="AJ336" i="28" a="1"/>
  <c r="AJ336" i="28" s="1"/>
  <c r="AL336" i="28" s="1" a="1"/>
  <c r="AL336" i="28" s="1"/>
  <c r="AN336" i="28" s="1" a="1"/>
  <c r="AN336" i="28" s="1"/>
  <c r="AK15" i="28" a="1"/>
  <c r="AK15" i="28" s="1"/>
  <c r="AJ326" i="28" a="1"/>
  <c r="AJ326" i="28" s="1"/>
  <c r="AL326" i="28" s="1" a="1"/>
  <c r="AL326" i="28" s="1"/>
  <c r="AN326" i="28" s="1" a="1"/>
  <c r="AN326" i="28" s="1"/>
  <c r="AK45" i="28" a="1"/>
  <c r="AK45" i="28" s="1"/>
  <c r="AM45" i="28" s="1" a="1"/>
  <c r="AM45" i="28" s="1"/>
  <c r="AK104" i="28" a="1"/>
  <c r="AK104" i="28" s="1"/>
  <c r="AM104" i="28" s="1" a="1"/>
  <c r="AM104" i="28" s="1"/>
  <c r="AL258" i="28" a="1"/>
  <c r="AL258" i="28" s="1"/>
  <c r="AN258" i="28" s="1" a="1"/>
  <c r="AN258" i="28" s="1"/>
  <c r="AI323" i="28"/>
  <c r="L298" i="28"/>
  <c r="AI12" i="28"/>
  <c r="AJ12" i="28" s="1" a="1"/>
  <c r="AJ12" i="28" s="1"/>
  <c r="AL12" i="28" s="1" a="1"/>
  <c r="AL12" i="28" s="1"/>
  <c r="AN12" i="28" s="1" a="1"/>
  <c r="AN12" i="28" s="1"/>
  <c r="AI116" i="28"/>
  <c r="AJ116" i="28" s="1" a="1"/>
  <c r="AJ116" i="28" s="1"/>
  <c r="AK116" i="28" s="1" a="1"/>
  <c r="AK116" i="28" s="1"/>
  <c r="AM116" i="28" s="1" a="1"/>
  <c r="AM116" i="28" s="1"/>
  <c r="AI8" i="28"/>
  <c r="AJ8" i="28" s="1" a="1"/>
  <c r="AJ8" i="28" s="1"/>
  <c r="AL8" i="28" s="1" a="1"/>
  <c r="AL8" i="28" s="1"/>
  <c r="AN8" i="28" s="1" a="1"/>
  <c r="AN8" i="28" s="1"/>
  <c r="L239" i="28"/>
  <c r="L180" i="28"/>
  <c r="AI175" i="28"/>
  <c r="AJ175" i="28" s="1" a="1"/>
  <c r="AJ175" i="28" s="1"/>
  <c r="AK175" i="28" s="1" a="1"/>
  <c r="AK175" i="28" s="1"/>
  <c r="AI177" i="28"/>
  <c r="AJ177" i="28" s="1" a="1"/>
  <c r="AJ177" i="28" s="1"/>
  <c r="AL177" i="28" s="1" a="1"/>
  <c r="AL177" i="28" s="1"/>
  <c r="AN177" i="28" s="1" a="1"/>
  <c r="AN177" i="28" s="1"/>
  <c r="L420" i="28"/>
  <c r="AK228" i="28" a="1"/>
  <c r="AK228" i="28" s="1"/>
  <c r="AK47" i="28" a="1"/>
  <c r="AK47" i="28" s="1"/>
  <c r="AM47" i="28" s="1" a="1"/>
  <c r="AM47" i="28" s="1"/>
  <c r="L209" i="28"/>
  <c r="AI11" i="28"/>
  <c r="AJ11" i="28" s="1" a="1"/>
  <c r="AJ11" i="28" s="1"/>
  <c r="AK11" i="28" s="1" a="1"/>
  <c r="AK11" i="28" s="1"/>
  <c r="AM11" i="28" s="1" a="1"/>
  <c r="AM11" i="28" s="1"/>
  <c r="AI114" i="28"/>
  <c r="AJ114" i="28" s="1" a="1"/>
  <c r="AJ114" i="28" s="1"/>
  <c r="AK162" i="28" a="1"/>
  <c r="AK162" i="28" s="1"/>
  <c r="AM162" i="28" s="1" a="1"/>
  <c r="AM162" i="28" s="1"/>
  <c r="AK362" i="28" a="1"/>
  <c r="AK362" i="28" s="1"/>
  <c r="AK159" i="28" a="1"/>
  <c r="AK159" i="28" s="1"/>
  <c r="AM159" i="28" s="1" a="1"/>
  <c r="AM159" i="28" s="1"/>
  <c r="AL123" i="28" a="1"/>
  <c r="AL123" i="28" s="1"/>
  <c r="AN123" i="28" s="1" a="1"/>
  <c r="AN123" i="28" s="1"/>
  <c r="AL66" i="28" a="1"/>
  <c r="AL66" i="28" s="1"/>
  <c r="AN66" i="28" s="1" a="1"/>
  <c r="AN66" i="28" s="1"/>
  <c r="AL224" i="28" a="1"/>
  <c r="AL224" i="28" s="1"/>
  <c r="AN224" i="28" s="1" a="1"/>
  <c r="AN224" i="28" s="1"/>
  <c r="AK238" i="28" a="1"/>
  <c r="AK238" i="28" s="1"/>
  <c r="AM238" i="28" s="1" a="1"/>
  <c r="AM238" i="28" s="1"/>
  <c r="AL83" i="28" a="1"/>
  <c r="AL83" i="28" s="1"/>
  <c r="AN83" i="28" s="1" a="1"/>
  <c r="AN83" i="28" s="1"/>
  <c r="AL138" i="28" a="1"/>
  <c r="AL138" i="28" s="1"/>
  <c r="AN138" i="28" s="1" a="1"/>
  <c r="AN138" i="28" s="1"/>
  <c r="AK248" i="28" a="1"/>
  <c r="AK248" i="28" s="1"/>
  <c r="AM248" i="28" s="1" a="1"/>
  <c r="AM248" i="28" s="1"/>
  <c r="L297" i="28"/>
  <c r="L417" i="28"/>
  <c r="L310" i="28"/>
  <c r="L313" i="28"/>
  <c r="L201" i="28"/>
  <c r="AK213" i="28" a="1"/>
  <c r="AK213" i="28" s="1"/>
  <c r="AM213" i="28" s="1" a="1"/>
  <c r="AM213" i="28" s="1"/>
  <c r="L242" i="28"/>
  <c r="AI384" i="28"/>
  <c r="L188" i="28"/>
  <c r="L203" i="28"/>
  <c r="L419" i="28"/>
  <c r="AI119" i="28"/>
  <c r="AJ119" i="28" s="1" a="1"/>
  <c r="AJ119" i="28" s="1"/>
  <c r="AK119" i="28" s="1" a="1"/>
  <c r="AK119" i="28" s="1"/>
  <c r="AM119" i="28" s="1" a="1"/>
  <c r="AM119" i="28" s="1"/>
  <c r="AK200" i="28" a="1"/>
  <c r="AK200" i="28" s="1"/>
  <c r="AM200" i="28" s="1" a="1"/>
  <c r="AM200" i="28" s="1"/>
  <c r="AI14" i="28"/>
  <c r="AJ14" i="28" s="1" a="1"/>
  <c r="AJ14" i="28" s="1"/>
  <c r="AK144" i="28" a="1"/>
  <c r="AK144" i="28" s="1"/>
  <c r="AM144" i="28" s="1" a="1"/>
  <c r="AM144" i="28" s="1"/>
  <c r="AK166" i="28" a="1"/>
  <c r="AK166" i="28" s="1"/>
  <c r="L199" i="28"/>
  <c r="L296" i="28"/>
  <c r="AK256" i="28" a="1"/>
  <c r="AK256" i="28" s="1"/>
  <c r="AK59" i="28" a="1"/>
  <c r="AK59" i="28" s="1"/>
  <c r="AM59" i="28" s="1" a="1"/>
  <c r="AM59" i="28" s="1"/>
  <c r="AI6" i="28"/>
  <c r="AJ6" i="28" s="1" a="1"/>
  <c r="AJ6" i="28" s="1"/>
  <c r="AL6" i="28" s="1" a="1"/>
  <c r="AL6" i="28" s="1"/>
  <c r="AN6" i="28" s="1" a="1"/>
  <c r="AN6" i="28" s="1"/>
  <c r="K416" i="28"/>
  <c r="L416" i="28" s="1"/>
  <c r="AL64" i="28" a="1"/>
  <c r="AL64" i="28" s="1"/>
  <c r="AN64" i="28" s="1" a="1"/>
  <c r="AN64" i="28" s="1"/>
  <c r="AK100" i="28" a="1"/>
  <c r="AK100" i="28" s="1"/>
  <c r="AM100" i="28" s="1" a="1"/>
  <c r="AM100" i="28" s="1"/>
  <c r="AK111" i="28" a="1"/>
  <c r="AK111" i="28" s="1"/>
  <c r="AM111" i="28" s="1" a="1"/>
  <c r="AM111" i="28" s="1"/>
  <c r="AI34" i="28"/>
  <c r="AJ34" i="28" s="1" a="1"/>
  <c r="AJ34" i="28" s="1"/>
  <c r="AI117" i="28"/>
  <c r="AJ117" i="28" s="1" a="1"/>
  <c r="AJ117" i="28" s="1"/>
  <c r="AK117" i="28" s="1" a="1"/>
  <c r="AK117" i="28" s="1"/>
  <c r="AM117" i="28" s="1" a="1"/>
  <c r="AM117" i="28" s="1"/>
  <c r="AI31" i="28"/>
  <c r="AJ31" i="28" s="1" a="1"/>
  <c r="AJ31" i="28" s="1"/>
  <c r="AL31" i="28" s="1" a="1"/>
  <c r="AL31" i="28" s="1"/>
  <c r="AN31" i="28" s="1" a="1"/>
  <c r="AN31" i="28" s="1"/>
  <c r="AI9" i="28"/>
  <c r="AJ9" i="28" s="1" a="1"/>
  <c r="AJ9" i="28" s="1"/>
  <c r="L181" i="28"/>
  <c r="AK23" i="28" a="1"/>
  <c r="AK23" i="28" s="1"/>
  <c r="AM23" i="28" s="1" a="1"/>
  <c r="AM23" i="28" s="1"/>
  <c r="K375" i="28"/>
  <c r="L375" i="28" s="1"/>
  <c r="AK299" i="28" a="1"/>
  <c r="AK299" i="28" s="1"/>
  <c r="AM299" i="28" s="1" a="1"/>
  <c r="AM299" i="28" s="1"/>
  <c r="AL168" i="28" a="1"/>
  <c r="AL168" i="28" s="1"/>
  <c r="AN168" i="28" s="1" a="1"/>
  <c r="AN168" i="28" s="1"/>
  <c r="AL158" i="28" a="1"/>
  <c r="AL158" i="28" s="1"/>
  <c r="AN158" i="28" s="1" a="1"/>
  <c r="AN158" i="28" s="1"/>
  <c r="AL137" i="28" a="1"/>
  <c r="AL137" i="28" s="1"/>
  <c r="AN137" i="28" s="1" a="1"/>
  <c r="AN137" i="28" s="1"/>
  <c r="AI33" i="28"/>
  <c r="AJ33" i="28" s="1" a="1"/>
  <c r="AJ33" i="28" s="1"/>
  <c r="AL33" i="28" s="1" a="1"/>
  <c r="AL33" i="28" s="1"/>
  <c r="AN33" i="28" s="1" a="1"/>
  <c r="AN33" i="28" s="1"/>
  <c r="AI35" i="28"/>
  <c r="AJ35" i="28" s="1" a="1"/>
  <c r="AJ35" i="28" s="1"/>
  <c r="K381" i="28"/>
  <c r="L184" i="28"/>
  <c r="AK134" i="28" a="1"/>
  <c r="AK134" i="28" s="1"/>
  <c r="AM134" i="28" s="1" a="1"/>
  <c r="AM134" i="28" s="1"/>
  <c r="AI120" i="28"/>
  <c r="AJ120" i="28" s="1" a="1"/>
  <c r="AJ120" i="28" s="1"/>
  <c r="AK120" i="28" s="1" a="1"/>
  <c r="AK120" i="28" s="1"/>
  <c r="AM120" i="28" s="1" a="1"/>
  <c r="AM120" i="28" s="1"/>
  <c r="AI32" i="28"/>
  <c r="AJ32" i="28" s="1" a="1"/>
  <c r="AJ32" i="28" s="1"/>
  <c r="K118" i="28"/>
  <c r="AI366" i="28"/>
  <c r="AJ366" i="28" s="1" a="1"/>
  <c r="AJ366" i="28" s="1"/>
  <c r="AI277" i="28"/>
  <c r="AJ277" i="28" s="1" a="1"/>
  <c r="AJ277" i="28" s="1"/>
  <c r="AL277" i="28" s="1" a="1"/>
  <c r="AL277" i="28" s="1"/>
  <c r="AN277" i="28" s="1" a="1"/>
  <c r="AN277" i="28" s="1"/>
  <c r="K176" i="28"/>
  <c r="K34" i="28"/>
  <c r="L34" i="28" s="1"/>
  <c r="L193" i="28"/>
  <c r="K126" i="28"/>
  <c r="L126" i="28" s="1"/>
  <c r="AI7" i="28"/>
  <c r="AJ7" i="28" s="1" a="1"/>
  <c r="AJ7" i="28" s="1"/>
  <c r="AL7" i="28" s="1" a="1"/>
  <c r="AL7" i="28" s="1"/>
  <c r="AN7" i="28" s="1" a="1"/>
  <c r="AN7" i="28" s="1"/>
  <c r="L240" i="28"/>
  <c r="L194" i="28"/>
  <c r="L299" i="28"/>
  <c r="AI115" i="28"/>
  <c r="AJ115" i="28" s="1" a="1"/>
  <c r="AJ115" i="28" s="1"/>
  <c r="AL115" i="28" s="1" a="1"/>
  <c r="AL115" i="28" s="1"/>
  <c r="AN115" i="28" s="1" a="1"/>
  <c r="AN115" i="28" s="1"/>
  <c r="K287" i="28"/>
  <c r="L198" i="28"/>
  <c r="K257" i="28"/>
  <c r="AL30" i="28" a="1"/>
  <c r="AL30" i="28" s="1"/>
  <c r="AN30" i="28" s="1" a="1"/>
  <c r="AN30" i="28" s="1"/>
  <c r="AK30" i="28" a="1"/>
  <c r="AK30" i="28" s="1"/>
  <c r="AM30" i="28" s="1" a="1"/>
  <c r="AM30" i="28" s="1"/>
  <c r="AL9" i="28" a="1"/>
  <c r="AL9" i="28" s="1"/>
  <c r="AN9" i="28" s="1" a="1"/>
  <c r="AN9" i="28" s="1"/>
  <c r="AK9" i="28" a="1"/>
  <c r="AK9" i="28" s="1"/>
  <c r="AM9" i="28" s="1" a="1"/>
  <c r="AM9" i="28" s="1"/>
  <c r="AK350" i="28" a="1"/>
  <c r="AK350" i="28" s="1"/>
  <c r="AI365" i="28"/>
  <c r="AJ365" i="28" s="1" a="1"/>
  <c r="AJ365" i="28" s="1"/>
  <c r="AI367" i="28"/>
  <c r="AJ367" i="28" s="1" a="1"/>
  <c r="AJ367" i="28" s="1"/>
  <c r="AK367" i="28" s="1" a="1"/>
  <c r="AK367" i="28" s="1"/>
  <c r="AM367" i="28" s="1" a="1"/>
  <c r="AM367" i="28" s="1"/>
  <c r="AI10" i="28"/>
  <c r="AJ10" i="28" s="1" a="1"/>
  <c r="AJ10" i="28" s="1"/>
  <c r="AI118" i="28"/>
  <c r="AJ118" i="28" s="1" a="1"/>
  <c r="AJ118" i="28" s="1"/>
  <c r="AL118" i="28" s="1" a="1"/>
  <c r="AL118" i="28" s="1"/>
  <c r="AN118" i="28" s="1" a="1"/>
  <c r="AN118" i="28" s="1"/>
  <c r="K227" i="28"/>
  <c r="K343" i="28"/>
  <c r="AL85" i="28" a="1"/>
  <c r="AL85" i="28" s="1"/>
  <c r="AN85" i="28" s="1" a="1"/>
  <c r="AN85" i="28" s="1"/>
  <c r="AK296" i="28" a="1"/>
  <c r="AK296" i="28" s="1"/>
  <c r="AM296" i="28" s="1" a="1"/>
  <c r="AM296" i="28" s="1"/>
  <c r="AI170" i="28"/>
  <c r="AJ170" i="28" s="1" a="1"/>
  <c r="AJ170" i="28" s="1"/>
  <c r="K332" i="28"/>
  <c r="K384" i="28"/>
  <c r="K286" i="28"/>
  <c r="K382" i="28"/>
  <c r="K253" i="28"/>
  <c r="K223" i="28"/>
  <c r="AL74" i="28" a="1"/>
  <c r="AL74" i="28" s="1"/>
  <c r="AN74" i="28" s="1" a="1"/>
  <c r="AN74" i="28" s="1"/>
  <c r="K100" i="28"/>
  <c r="K98" i="28"/>
  <c r="AI383" i="28"/>
  <c r="AJ383" i="28" s="1" a="1"/>
  <c r="AJ383" i="28" s="1"/>
  <c r="K116" i="28"/>
  <c r="AI13" i="28"/>
  <c r="AJ13" i="28" s="1" a="1"/>
  <c r="AJ13" i="28" s="1"/>
  <c r="AL13" i="28" s="1" a="1"/>
  <c r="AL13" i="28" s="1"/>
  <c r="AN13" i="28" s="1" a="1"/>
  <c r="AN13" i="28" s="1"/>
  <c r="AK4" i="28" a="1"/>
  <c r="AK4" i="28" s="1"/>
  <c r="AM4" i="28" s="1" a="1"/>
  <c r="AM4" i="28" s="1"/>
  <c r="AL121" i="28" a="1"/>
  <c r="AL121" i="28" s="1"/>
  <c r="AN121" i="28" s="1" a="1"/>
  <c r="AN121" i="28" s="1"/>
  <c r="AI272" i="28"/>
  <c r="AJ272" i="28" s="1" a="1"/>
  <c r="AJ272" i="28" s="1"/>
  <c r="AL272" i="28" s="1" a="1"/>
  <c r="AL272" i="28" s="1"/>
  <c r="AN272" i="28" s="1" a="1"/>
  <c r="AN272" i="28" s="1"/>
  <c r="K175" i="28"/>
  <c r="K218" i="28"/>
  <c r="K251" i="28"/>
  <c r="AK86" i="28" a="1"/>
  <c r="AK86" i="28" s="1"/>
  <c r="AM86" i="28" s="1" a="1"/>
  <c r="AM86" i="28" s="1"/>
  <c r="AL86" i="28" a="1"/>
  <c r="AL86" i="28" s="1"/>
  <c r="AN86" i="28" s="1" a="1"/>
  <c r="AN86" i="28" s="1"/>
  <c r="AK118" i="28" a="1"/>
  <c r="AK118" i="28" s="1"/>
  <c r="AL146" i="28" a="1"/>
  <c r="AL146" i="28" s="1"/>
  <c r="AN146" i="28" s="1" a="1"/>
  <c r="AN146" i="28" s="1"/>
  <c r="AI89" i="28"/>
  <c r="AJ89" i="28" s="1" a="1"/>
  <c r="AJ89" i="28" s="1"/>
  <c r="AL89" i="28" s="1" a="1"/>
  <c r="AL89" i="28" s="1"/>
  <c r="AN89" i="28" s="1" a="1"/>
  <c r="AN89" i="28" s="1"/>
  <c r="AI382" i="28"/>
  <c r="AJ382" i="28" s="1" a="1"/>
  <c r="AJ382" i="28" s="1"/>
  <c r="AL382" i="28" s="1" a="1"/>
  <c r="AL382" i="28" s="1"/>
  <c r="AN382" i="28" s="1" a="1"/>
  <c r="AN382" i="28" s="1"/>
  <c r="AI268" i="28"/>
  <c r="AJ268" i="28" s="1" a="1"/>
  <c r="AJ268" i="28" s="1"/>
  <c r="AL268" i="28" s="1" a="1"/>
  <c r="AL268" i="28" s="1"/>
  <c r="AN268" i="28" s="1" a="1"/>
  <c r="AN268" i="28" s="1"/>
  <c r="AI271" i="28"/>
  <c r="AJ271" i="28" s="1" a="1"/>
  <c r="AJ271" i="28" s="1"/>
  <c r="AL271" i="28" s="1" a="1"/>
  <c r="AL271" i="28" s="1"/>
  <c r="AN271" i="28" s="1" a="1"/>
  <c r="AN271" i="28" s="1"/>
  <c r="AI315" i="28"/>
  <c r="AI178" i="28"/>
  <c r="AJ178" i="28" s="1" a="1"/>
  <c r="AJ178" i="28" s="1"/>
  <c r="AL178" i="28" s="1" a="1"/>
  <c r="AL178" i="28" s="1"/>
  <c r="AN178" i="28" s="1" a="1"/>
  <c r="AN178" i="28" s="1"/>
  <c r="AI316" i="28"/>
  <c r="AI88" i="28"/>
  <c r="AJ88" i="28" s="1" a="1"/>
  <c r="AJ88" i="28" s="1"/>
  <c r="AI378" i="28"/>
  <c r="AJ378" i="28" s="1" a="1"/>
  <c r="AJ378" i="28" s="1"/>
  <c r="AI87" i="28"/>
  <c r="AJ87" i="28" s="1" a="1"/>
  <c r="AJ87" i="28" s="1"/>
  <c r="AL87" i="28" s="1" a="1"/>
  <c r="AL87" i="28" s="1"/>
  <c r="AN87" i="28" s="1" a="1"/>
  <c r="AN87" i="28" s="1"/>
  <c r="K336" i="28"/>
  <c r="K333" i="28"/>
  <c r="AK196" i="28" a="1"/>
  <c r="AK196" i="28" s="1"/>
  <c r="AM196" i="28" s="1" a="1"/>
  <c r="AM196" i="28" s="1"/>
  <c r="AK252" i="28" a="1"/>
  <c r="AK252" i="28" s="1"/>
  <c r="AM252" i="28" s="1" a="1"/>
  <c r="AM252" i="28" s="1"/>
  <c r="AI381" i="28"/>
  <c r="AJ381" i="28" s="1" a="1"/>
  <c r="AJ381" i="28" s="1"/>
  <c r="AK161" i="28" a="1"/>
  <c r="AK161" i="28" s="1"/>
  <c r="AM161" i="28" s="1" a="1"/>
  <c r="AM161" i="28" s="1"/>
  <c r="AL17" i="28" a="1"/>
  <c r="AL17" i="28" s="1"/>
  <c r="AN17" i="28" s="1" a="1"/>
  <c r="AN17" i="28" s="1"/>
  <c r="AK227" i="28" a="1"/>
  <c r="AK227" i="28" s="1"/>
  <c r="AM227" i="28" s="1" a="1"/>
  <c r="AM227" i="28" s="1"/>
  <c r="AK247" i="28" a="1"/>
  <c r="AK247" i="28" s="1"/>
  <c r="AM247" i="28" s="1" a="1"/>
  <c r="AM247" i="28" s="1"/>
  <c r="AL91" i="28" a="1"/>
  <c r="AL91" i="28" s="1"/>
  <c r="AN91" i="28" s="1" a="1"/>
  <c r="AN91" i="28" s="1"/>
  <c r="AK349" i="28" a="1"/>
  <c r="AK349" i="28" s="1"/>
  <c r="AM349" i="28" s="1" a="1"/>
  <c r="AM349" i="28" s="1"/>
  <c r="AI379" i="28"/>
  <c r="AI276" i="28"/>
  <c r="AJ276" i="28" s="1" a="1"/>
  <c r="AJ276" i="28" s="1"/>
  <c r="AI318" i="28"/>
  <c r="AJ318" i="28" s="1" a="1"/>
  <c r="AJ318" i="28" s="1"/>
  <c r="AL145" i="28" a="1"/>
  <c r="AL145" i="28" s="1"/>
  <c r="AN145" i="28" s="1" a="1"/>
  <c r="AN145" i="28" s="1"/>
  <c r="AK124" i="28" a="1"/>
  <c r="AK124" i="28" s="1"/>
  <c r="AM124" i="28" s="1" a="1"/>
  <c r="AM124" i="28" s="1"/>
  <c r="AK203" i="28" a="1"/>
  <c r="AK203" i="28" s="1"/>
  <c r="AM203" i="28" s="1" a="1"/>
  <c r="AM203" i="28" s="1"/>
  <c r="AL197" i="28" a="1"/>
  <c r="AL197" i="28" s="1"/>
  <c r="AN197" i="28" s="1" a="1"/>
  <c r="AN197" i="28" s="1"/>
  <c r="AL117" i="28" a="1"/>
  <c r="AL117" i="28" s="1"/>
  <c r="AN117" i="28" s="1" a="1"/>
  <c r="AN117" i="28" s="1"/>
  <c r="AK136" i="28" a="1"/>
  <c r="AK136" i="28" s="1"/>
  <c r="AM136" i="28" s="1" a="1"/>
  <c r="AM136" i="28" s="1"/>
  <c r="AI380" i="28"/>
  <c r="AJ380" i="28" s="1" a="1"/>
  <c r="AJ380" i="28" s="1"/>
  <c r="AL380" i="28" s="1" a="1"/>
  <c r="AL380" i="28" s="1"/>
  <c r="AN380" i="28" s="1" a="1"/>
  <c r="AN380" i="28" s="1"/>
  <c r="AI269" i="28"/>
  <c r="AJ269" i="28" s="1" a="1"/>
  <c r="AJ269" i="28" s="1"/>
  <c r="AK269" i="28" s="1" a="1"/>
  <c r="AK269" i="28" s="1"/>
  <c r="AM269" i="28" s="1" a="1"/>
  <c r="AM269" i="28" s="1"/>
  <c r="AI314" i="28"/>
  <c r="AJ314" i="28" s="1" a="1"/>
  <c r="AJ314" i="28" s="1"/>
  <c r="AL314" i="28" s="1" a="1"/>
  <c r="AL314" i="28" s="1"/>
  <c r="AN314" i="28" s="1" a="1"/>
  <c r="AN314" i="28" s="1"/>
  <c r="AI385" i="28"/>
  <c r="AJ385" i="28" s="1" a="1"/>
  <c r="AJ385" i="28" s="1"/>
  <c r="AI319" i="28"/>
  <c r="AJ319" i="28" s="1" a="1"/>
  <c r="AJ319" i="28" s="1"/>
  <c r="K340" i="28"/>
  <c r="AI274" i="28"/>
  <c r="AJ274" i="28" s="1" a="1"/>
  <c r="AJ274" i="28" s="1"/>
  <c r="AI320" i="28"/>
  <c r="AI273" i="28"/>
  <c r="AJ273" i="28" s="1" a="1"/>
  <c r="AJ273" i="28" s="1"/>
  <c r="AL273" i="28" s="1" a="1"/>
  <c r="AL273" i="28" s="1"/>
  <c r="AN273" i="28" s="1" a="1"/>
  <c r="AN273" i="28" s="1"/>
  <c r="K179" i="28"/>
  <c r="AL347" i="28" a="1"/>
  <c r="AL347" i="28" s="1"/>
  <c r="AN347" i="28" s="1" a="1"/>
  <c r="AN347" i="28" s="1"/>
  <c r="AI376" i="28"/>
  <c r="AJ376" i="28" s="1" a="1"/>
  <c r="AJ376" i="28" s="1"/>
  <c r="AI377" i="28"/>
  <c r="AJ377" i="28" s="1" a="1"/>
  <c r="AJ377" i="28" s="1"/>
  <c r="AK377" i="28" s="1" a="1"/>
  <c r="AK377" i="28" s="1"/>
  <c r="AM377" i="28" s="1" a="1"/>
  <c r="AM377" i="28" s="1"/>
  <c r="AI321" i="28"/>
  <c r="AJ321" i="28" s="1" a="1"/>
  <c r="AJ321" i="28" s="1"/>
  <c r="AL321" i="28" s="1" a="1"/>
  <c r="AL321" i="28" s="1"/>
  <c r="AN321" i="28" s="1" a="1"/>
  <c r="AN321" i="28" s="1"/>
  <c r="AI322" i="28"/>
  <c r="AJ322" i="28" s="1" a="1"/>
  <c r="AJ322" i="28" s="1"/>
  <c r="AI270" i="28"/>
  <c r="AJ270" i="28" s="1" a="1"/>
  <c r="AJ270" i="28" s="1"/>
  <c r="AI359" i="28"/>
  <c r="AJ359" i="28" s="1" a="1"/>
  <c r="AJ359" i="28" s="1"/>
  <c r="AK359" i="28" s="1" a="1"/>
  <c r="AK359" i="28" s="1"/>
  <c r="AM359" i="28" s="1" a="1"/>
  <c r="AM359" i="28" s="1"/>
  <c r="K229" i="28"/>
  <c r="K324" i="28"/>
  <c r="K377" i="28"/>
  <c r="K282" i="28"/>
  <c r="K225" i="28"/>
  <c r="K172" i="28"/>
  <c r="K379" i="28"/>
  <c r="K284" i="28"/>
  <c r="K250" i="28"/>
  <c r="K99" i="28"/>
  <c r="K341" i="28"/>
  <c r="K174" i="28"/>
  <c r="K219" i="28"/>
  <c r="K119" i="28"/>
  <c r="K278" i="28"/>
  <c r="K173" i="28"/>
  <c r="K378" i="28"/>
  <c r="K281" i="28"/>
  <c r="K252" i="28"/>
  <c r="AK208" i="28" a="1"/>
  <c r="AK208" i="28" s="1"/>
  <c r="AL120" i="28" a="1"/>
  <c r="AL120" i="28" s="1"/>
  <c r="AN120" i="28" s="1" a="1"/>
  <c r="AN120" i="28" s="1"/>
  <c r="AK98" i="28" a="1"/>
  <c r="AK98" i="28" s="1"/>
  <c r="AK169" i="28" a="1"/>
  <c r="AK169" i="28" s="1"/>
  <c r="AM169" i="28" s="1" a="1"/>
  <c r="AM169" i="28" s="1"/>
  <c r="AL212" i="28" a="1"/>
  <c r="AL212" i="28" s="1"/>
  <c r="AN212" i="28" s="1" a="1"/>
  <c r="AN212" i="28" s="1"/>
  <c r="AL96" i="28" a="1"/>
  <c r="AL96" i="28" s="1"/>
  <c r="AN96" i="28" s="1" a="1"/>
  <c r="AN96" i="28" s="1"/>
  <c r="AK281" i="28" a="1"/>
  <c r="AK281" i="28" s="1"/>
  <c r="AM281" i="28" s="1" a="1"/>
  <c r="AM281" i="28" s="1"/>
  <c r="AK266" i="28" a="1"/>
  <c r="AK266" i="28" s="1"/>
  <c r="AM266" i="28" s="1" a="1"/>
  <c r="AM266" i="28" s="1"/>
  <c r="AL223" i="28" a="1"/>
  <c r="AL223" i="28" s="1"/>
  <c r="AN223" i="28" s="1" a="1"/>
  <c r="AN223" i="28" s="1"/>
  <c r="AL239" i="28" a="1"/>
  <c r="AL239" i="28" s="1"/>
  <c r="AN239" i="28" s="1" a="1"/>
  <c r="AN239" i="28" s="1"/>
  <c r="AL250" i="28" a="1"/>
  <c r="AL250" i="28" s="1"/>
  <c r="AN250" i="28" s="1" a="1"/>
  <c r="AN250" i="28" s="1"/>
  <c r="AK33" i="28" a="1"/>
  <c r="AK33" i="28" s="1"/>
  <c r="AM33" i="28" s="1" a="1"/>
  <c r="AM33" i="28" s="1"/>
  <c r="AJ403" i="28" a="1"/>
  <c r="AJ403" i="28" s="1"/>
  <c r="AL246" i="28" a="1"/>
  <c r="AL246" i="28" s="1"/>
  <c r="AN246" i="28" s="1" a="1"/>
  <c r="AN246" i="28" s="1"/>
  <c r="AL207" i="28" a="1"/>
  <c r="AL207" i="28" s="1"/>
  <c r="AN207" i="28" s="1" a="1"/>
  <c r="AN207" i="28" s="1"/>
  <c r="AK102" i="28" a="1"/>
  <c r="AK102" i="28" s="1"/>
  <c r="AM102" i="28" s="1" a="1"/>
  <c r="AM102" i="28" s="1"/>
  <c r="AL194" i="28" a="1"/>
  <c r="AL194" i="28" s="1"/>
  <c r="AN194" i="28" s="1" a="1"/>
  <c r="AN194" i="28" s="1"/>
  <c r="AK289" i="28" a="1"/>
  <c r="AK289" i="28" s="1"/>
  <c r="AM289" i="28" s="1" a="1"/>
  <c r="AM289" i="28" s="1"/>
  <c r="AL191" i="28" a="1"/>
  <c r="AL191" i="28" s="1"/>
  <c r="AN191" i="28" s="1" a="1"/>
  <c r="AN191" i="28" s="1"/>
  <c r="AL105" i="28" a="1"/>
  <c r="AL105" i="28" s="1"/>
  <c r="AN105" i="28" s="1" a="1"/>
  <c r="AN105" i="28" s="1"/>
  <c r="AK190" i="28" a="1"/>
  <c r="AK190" i="28" s="1"/>
  <c r="AK209" i="28" a="1"/>
  <c r="AK209" i="28" s="1"/>
  <c r="AM209" i="28" s="1" a="1"/>
  <c r="AM209" i="28" s="1"/>
  <c r="AL116" i="28" a="1"/>
  <c r="AL116" i="28" s="1"/>
  <c r="AN116" i="28" s="1" a="1"/>
  <c r="AN116" i="28" s="1"/>
  <c r="AI179" i="28"/>
  <c r="AJ179" i="28" s="1" a="1"/>
  <c r="AJ179" i="28" s="1"/>
  <c r="AL179" i="28" s="1" a="1"/>
  <c r="AL179" i="28" s="1"/>
  <c r="AN179" i="28" s="1" a="1"/>
  <c r="AN179" i="28" s="1"/>
  <c r="AL263" i="28" a="1"/>
  <c r="AL263" i="28" s="1"/>
  <c r="AN263" i="28" s="1" a="1"/>
  <c r="AN263" i="28" s="1"/>
  <c r="AL290" i="28" a="1"/>
  <c r="AL290" i="28" s="1"/>
  <c r="AN290" i="28" s="1" a="1"/>
  <c r="AN290" i="28" s="1"/>
  <c r="AK115" i="28" a="1"/>
  <c r="AK115" i="28" s="1"/>
  <c r="AM115" i="28" s="1" a="1"/>
  <c r="AM115" i="28" s="1"/>
  <c r="AL77" i="28" a="1"/>
  <c r="AL77" i="28" s="1"/>
  <c r="AN77" i="28" s="1" a="1"/>
  <c r="AN77" i="28" s="1"/>
  <c r="AL92" i="28" a="1"/>
  <c r="AL92" i="28" s="1"/>
  <c r="AN92" i="28" s="1" a="1"/>
  <c r="AN92" i="28" s="1"/>
  <c r="AL240" i="28" a="1"/>
  <c r="AL240" i="28" s="1"/>
  <c r="AN240" i="28" s="1" a="1"/>
  <c r="AN240" i="28" s="1"/>
  <c r="AL243" i="28" a="1"/>
  <c r="AL243" i="28" s="1"/>
  <c r="AN243" i="28" s="1" a="1"/>
  <c r="AN243" i="28" s="1"/>
  <c r="AK44" i="28" a="1"/>
  <c r="AK44" i="28" s="1"/>
  <c r="AK195" i="28" a="1"/>
  <c r="AK195" i="28" s="1"/>
  <c r="AM195" i="28" s="1" a="1"/>
  <c r="AM195" i="28" s="1"/>
  <c r="AK229" i="28" a="1"/>
  <c r="AK229" i="28" s="1"/>
  <c r="AM229" i="28" s="1" a="1"/>
  <c r="AM229" i="28" s="1"/>
  <c r="AI68" i="28"/>
  <c r="AJ68" i="28" s="1" a="1"/>
  <c r="AJ68" i="28" s="1"/>
  <c r="H114" i="16"/>
  <c r="H88" i="16"/>
  <c r="AK18" i="28" a="1"/>
  <c r="AK18" i="28" s="1"/>
  <c r="AM18" i="28" s="1" a="1"/>
  <c r="AM18" i="28" s="1"/>
  <c r="AI148" i="28"/>
  <c r="AJ148" i="28" s="1" a="1"/>
  <c r="AJ148" i="28" s="1"/>
  <c r="AK148" i="28" s="1" a="1"/>
  <c r="AK148" i="28" s="1"/>
  <c r="AM148" i="28" s="1" a="1"/>
  <c r="AM148" i="28" s="1"/>
  <c r="AK279" i="28" a="1"/>
  <c r="AK279" i="28" s="1"/>
  <c r="AM279" i="28" s="1" a="1"/>
  <c r="AM279" i="28" s="1"/>
  <c r="AK222" i="28" a="1"/>
  <c r="AK222" i="28" s="1"/>
  <c r="AM222" i="28" s="1" a="1"/>
  <c r="AM222" i="28" s="1"/>
  <c r="AL94" i="28" a="1"/>
  <c r="AL94" i="28" s="1"/>
  <c r="AN94" i="28" s="1" a="1"/>
  <c r="AN94" i="28" s="1"/>
  <c r="AL202" i="28" a="1"/>
  <c r="AL202" i="28" s="1"/>
  <c r="AN202" i="28" s="1" a="1"/>
  <c r="AN202" i="28" s="1"/>
  <c r="AK206" i="28" a="1"/>
  <c r="AK206" i="28" s="1"/>
  <c r="AM206" i="28" s="1" a="1"/>
  <c r="AM206" i="28" s="1"/>
  <c r="AK234" i="28" a="1"/>
  <c r="AK234" i="28" s="1"/>
  <c r="AM234" i="28" s="1" a="1"/>
  <c r="AM234" i="28" s="1"/>
  <c r="AK143" i="28" a="1"/>
  <c r="AK143" i="28" s="1"/>
  <c r="AM143" i="28" s="1" a="1"/>
  <c r="AM143" i="28" s="1"/>
  <c r="AK346" i="28" a="1"/>
  <c r="AK346" i="28" s="1"/>
  <c r="AM346" i="28" s="1" a="1"/>
  <c r="AM346" i="28" s="1"/>
  <c r="AL40" i="28" a="1"/>
  <c r="AL40" i="28" s="1"/>
  <c r="AN40" i="28" s="1" a="1"/>
  <c r="AN40" i="28" s="1"/>
  <c r="AL72" i="28" a="1"/>
  <c r="AL72" i="28" s="1"/>
  <c r="AL109" i="28" a="1"/>
  <c r="AL109" i="28" s="1"/>
  <c r="AN109" i="28" s="1" a="1"/>
  <c r="AN109" i="28" s="1"/>
  <c r="AK291" i="28" a="1"/>
  <c r="AK291" i="28" s="1"/>
  <c r="AM291" i="28" s="1" a="1"/>
  <c r="AM291" i="28" s="1"/>
  <c r="AK284" i="28" a="1"/>
  <c r="AK284" i="28" s="1"/>
  <c r="AM284" i="28" s="1" a="1"/>
  <c r="AM284" i="28" s="1"/>
  <c r="AL345" i="28" a="1"/>
  <c r="AL345" i="28" s="1"/>
  <c r="AN345" i="28" s="1" a="1"/>
  <c r="AN345" i="28" s="1"/>
  <c r="AK103" i="28" a="1"/>
  <c r="AK103" i="28" s="1"/>
  <c r="AL189" i="28" a="1"/>
  <c r="AL189" i="28" s="1"/>
  <c r="AN189" i="28" s="1" a="1"/>
  <c r="AN189" i="28" s="1"/>
  <c r="AK265" i="28" a="1"/>
  <c r="AK265" i="28" s="1"/>
  <c r="AM265" i="28" s="1" a="1"/>
  <c r="AM265" i="28" s="1"/>
  <c r="AL262" i="28" a="1"/>
  <c r="AL262" i="28" s="1"/>
  <c r="AN262" i="28" s="1" a="1"/>
  <c r="AN262" i="28" s="1"/>
  <c r="AK8" i="28" a="1"/>
  <c r="AK8" i="28" s="1"/>
  <c r="AK70" i="28" a="1"/>
  <c r="AK70" i="28" s="1"/>
  <c r="AM70" i="28" s="1" a="1"/>
  <c r="AM70" i="28" s="1"/>
  <c r="AL75" i="28" a="1"/>
  <c r="AL75" i="28" s="1"/>
  <c r="AN75" i="28" s="1" a="1"/>
  <c r="AN75" i="28" s="1"/>
  <c r="AK73" i="28" a="1"/>
  <c r="AK73" i="28" s="1"/>
  <c r="AM73" i="28" s="1" a="1"/>
  <c r="AM73" i="28" s="1"/>
  <c r="AL140" i="28" a="1"/>
  <c r="AL140" i="28" s="1"/>
  <c r="AN140" i="28" s="1" a="1"/>
  <c r="AN140" i="28" s="1"/>
  <c r="AJ379" i="28" a="1"/>
  <c r="AJ379" i="28" s="1"/>
  <c r="AJ384" i="28" a="1"/>
  <c r="AJ384" i="28" s="1"/>
  <c r="AJ355" i="28" a="1"/>
  <c r="AJ355" i="28" s="1"/>
  <c r="AJ328" i="28" a="1"/>
  <c r="AJ328" i="28" s="1"/>
  <c r="AJ317" i="28" a="1"/>
  <c r="AJ317" i="28" s="1"/>
  <c r="AJ353" i="28" a="1"/>
  <c r="AJ353" i="28" s="1"/>
  <c r="AI174" i="28"/>
  <c r="AJ174" i="28" s="1" a="1"/>
  <c r="AJ174" i="28" s="1"/>
  <c r="AL174" i="28" s="1" a="1"/>
  <c r="AL174" i="28" s="1"/>
  <c r="AN174" i="28" s="1" a="1"/>
  <c r="AN174" i="28" s="1"/>
  <c r="AK183" i="28" a="1"/>
  <c r="AK183" i="28" s="1"/>
  <c r="AM183" i="28" s="1" a="1"/>
  <c r="AM183" i="28" s="1"/>
  <c r="AK264" i="28" a="1"/>
  <c r="AK264" i="28" s="1"/>
  <c r="AK261" i="28" a="1"/>
  <c r="AK261" i="28" s="1"/>
  <c r="AM261" i="28" s="1" a="1"/>
  <c r="AM261" i="28" s="1"/>
  <c r="AK25" i="28" a="1"/>
  <c r="AK25" i="28" s="1"/>
  <c r="AM25" i="28" s="1" a="1"/>
  <c r="AM25" i="28" s="1"/>
  <c r="AK218" i="28" a="1"/>
  <c r="AK218" i="28" s="1"/>
  <c r="AM218" i="28" s="1" a="1"/>
  <c r="AM218" i="28" s="1"/>
  <c r="AJ338" i="28" a="1"/>
  <c r="AJ338" i="28" s="1"/>
  <c r="AJ304" i="28" a="1"/>
  <c r="AJ304" i="28" s="1"/>
  <c r="AJ306" i="28" a="1"/>
  <c r="AJ306" i="28" s="1"/>
  <c r="AJ354" i="28" a="1"/>
  <c r="AJ354" i="28" s="1"/>
  <c r="AJ307" i="28" a="1"/>
  <c r="AJ307" i="28" s="1"/>
  <c r="AK54" i="28" a="1"/>
  <c r="AK54" i="28" s="1"/>
  <c r="AM54" i="28" s="1" a="1"/>
  <c r="AM54" i="28" s="1"/>
  <c r="AL156" i="28" a="1"/>
  <c r="AL156" i="28" s="1"/>
  <c r="AN156" i="28" s="1" a="1"/>
  <c r="AN156" i="28" s="1"/>
  <c r="AJ396" i="28" a="1"/>
  <c r="AJ396" i="28" s="1"/>
  <c r="AL396" i="28" s="1" a="1"/>
  <c r="AL396" i="28" s="1"/>
  <c r="AN396" i="28" s="1" a="1"/>
  <c r="AN396" i="28" s="1"/>
  <c r="AJ406" i="28" a="1"/>
  <c r="AJ406" i="28" s="1"/>
  <c r="AK406" i="28" s="1" a="1"/>
  <c r="AK406" i="28" s="1"/>
  <c r="AM406" i="28" s="1" a="1"/>
  <c r="AM406" i="28" s="1"/>
  <c r="AJ412" i="28" a="1"/>
  <c r="AJ412" i="28" s="1"/>
  <c r="AL412" i="28" s="1" a="1"/>
  <c r="AL412" i="28" s="1"/>
  <c r="AN412" i="28" s="1" a="1"/>
  <c r="AN412" i="28" s="1"/>
  <c r="AJ399" i="28" a="1"/>
  <c r="AJ399" i="28" s="1"/>
  <c r="AL399" i="28" s="1" a="1"/>
  <c r="AL399" i="28" s="1"/>
  <c r="AN399" i="28" s="1" a="1"/>
  <c r="AN399" i="28" s="1"/>
  <c r="AJ419" i="28" a="1"/>
  <c r="AJ419" i="28" s="1"/>
  <c r="AL419" i="28" s="1" a="1"/>
  <c r="AL419" i="28" s="1"/>
  <c r="AN419" i="28" s="1" a="1"/>
  <c r="AN419" i="28" s="1"/>
  <c r="AJ422" i="28" a="1"/>
  <c r="AJ422" i="28" s="1"/>
  <c r="AK422" i="28" s="1" a="1"/>
  <c r="AK422" i="28" s="1"/>
  <c r="AJ414" i="28" a="1"/>
  <c r="AJ414" i="28" s="1"/>
  <c r="AK414" i="28" s="1" a="1"/>
  <c r="AK414" i="28" s="1"/>
  <c r="AM414" i="28" s="1" a="1"/>
  <c r="AM414" i="28" s="1"/>
  <c r="AJ421" i="28" a="1"/>
  <c r="AJ421" i="28" s="1"/>
  <c r="AK53" i="28" a="1"/>
  <c r="AK53" i="28" s="1"/>
  <c r="AM53" i="28" s="1" a="1"/>
  <c r="AM53" i="28" s="1"/>
  <c r="AK335" i="28" a="1"/>
  <c r="AK335" i="28" s="1"/>
  <c r="AM335" i="28" s="1" a="1"/>
  <c r="AM335" i="28" s="1"/>
  <c r="AK36" i="28" a="1"/>
  <c r="AK36" i="28" s="1"/>
  <c r="AK37" i="28" a="1"/>
  <c r="AK37" i="28" s="1"/>
  <c r="AJ410" i="28" a="1"/>
  <c r="AJ410" i="28" s="1"/>
  <c r="AL410" i="28" s="1" a="1"/>
  <c r="AL410" i="28" s="1"/>
  <c r="AN410" i="28" s="1" a="1"/>
  <c r="AN410" i="28" s="1"/>
  <c r="AJ320" i="28" a="1"/>
  <c r="AJ320" i="28" s="1"/>
  <c r="AJ316" i="28" a="1"/>
  <c r="AJ316" i="28" s="1"/>
  <c r="AJ342" i="28" a="1"/>
  <c r="AJ342" i="28" s="1"/>
  <c r="AJ333" i="28" a="1"/>
  <c r="AJ333" i="28" s="1"/>
  <c r="AJ308" i="28" a="1"/>
  <c r="AJ308" i="28" s="1"/>
  <c r="AJ325" i="28" a="1"/>
  <c r="AJ325" i="28" s="1"/>
  <c r="AJ327" i="28" a="1"/>
  <c r="AJ327" i="28" s="1"/>
  <c r="AL163" i="28" a="1"/>
  <c r="AL163" i="28" s="1"/>
  <c r="AN163" i="28" s="1" a="1"/>
  <c r="AN163" i="28" s="1"/>
  <c r="AK163" i="28" a="1"/>
  <c r="AK163" i="28" s="1"/>
  <c r="AJ305" i="28" a="1"/>
  <c r="AJ305" i="28" s="1"/>
  <c r="AJ343" i="28" a="1"/>
  <c r="AJ343" i="28" s="1"/>
  <c r="AJ332" i="28" a="1"/>
  <c r="AJ332" i="28" s="1"/>
  <c r="AJ323" i="28" a="1"/>
  <c r="AJ323" i="28" s="1"/>
  <c r="AJ334" i="28" a="1"/>
  <c r="AJ334" i="28" s="1"/>
  <c r="AJ324" i="28" a="1"/>
  <c r="AJ324" i="28" s="1"/>
  <c r="AJ337" i="28" a="1"/>
  <c r="AJ337" i="28" s="1"/>
  <c r="AJ352" i="28" a="1"/>
  <c r="AJ352" i="28" s="1"/>
  <c r="AJ404" i="28" a="1"/>
  <c r="AJ404" i="28" s="1"/>
  <c r="AL341" i="28" a="1"/>
  <c r="AL341" i="28" s="1"/>
  <c r="AN341" i="28" s="1" a="1"/>
  <c r="AN341" i="28" s="1"/>
  <c r="AK257" i="28" a="1"/>
  <c r="AK257" i="28" s="1"/>
  <c r="AM257" i="28" s="1" a="1"/>
  <c r="AM257" i="28" s="1"/>
  <c r="AI172" i="28"/>
  <c r="AJ172" i="28" s="1" a="1"/>
  <c r="AJ172" i="28" s="1"/>
  <c r="AL63" i="28" a="1"/>
  <c r="AL63" i="28" s="1"/>
  <c r="AN63" i="28" s="1" a="1"/>
  <c r="AN63" i="28" s="1"/>
  <c r="AJ411" i="28" a="1"/>
  <c r="AJ411" i="28" s="1"/>
  <c r="AJ402" i="28" a="1"/>
  <c r="AJ402" i="28" s="1"/>
  <c r="AJ309" i="28" a="1"/>
  <c r="AJ309" i="28" s="1"/>
  <c r="AJ315" i="28" a="1"/>
  <c r="AJ315" i="28" s="1"/>
  <c r="AI176" i="28"/>
  <c r="AJ176" i="28" s="1" a="1"/>
  <c r="AJ176" i="28" s="1"/>
  <c r="AI364" i="28"/>
  <c r="AJ364" i="28" s="1" a="1"/>
  <c r="AJ364" i="28" s="1"/>
  <c r="AL364" i="28" s="1" a="1"/>
  <c r="AL364" i="28" s="1"/>
  <c r="J387" i="28"/>
  <c r="J391" i="28"/>
  <c r="J390" i="28"/>
  <c r="J388" i="28"/>
  <c r="J393" i="28"/>
  <c r="J386" i="28"/>
  <c r="AK275" i="28" a="1"/>
  <c r="AK275" i="28" s="1"/>
  <c r="AM275" i="28" s="1" a="1"/>
  <c r="AM275" i="28" s="1"/>
  <c r="AL204" i="28" a="1"/>
  <c r="AL204" i="28" s="1"/>
  <c r="AN204" i="28" s="1" a="1"/>
  <c r="AN204" i="28" s="1"/>
  <c r="AL93" i="28" a="1"/>
  <c r="AL93" i="28" s="1"/>
  <c r="AN93" i="28" s="1" a="1"/>
  <c r="AN93" i="28" s="1"/>
  <c r="AK293" i="28" a="1"/>
  <c r="AK293" i="28" s="1"/>
  <c r="AM293" i="28" s="1" a="1"/>
  <c r="AM293" i="28" s="1"/>
  <c r="AJ331" i="28" a="1"/>
  <c r="AJ331" i="28" s="1"/>
  <c r="AK12" i="28" a="1"/>
  <c r="AK12" i="28" s="1"/>
  <c r="AM12" i="28" s="1" a="1"/>
  <c r="AM12" i="28" s="1"/>
  <c r="AL199" i="28" a="1"/>
  <c r="AL199" i="28" s="1"/>
  <c r="AN199" i="28" s="1" a="1"/>
  <c r="AN199" i="28" s="1"/>
  <c r="AK7" i="28" a="1"/>
  <c r="AK7" i="28" s="1"/>
  <c r="AM7" i="28" s="1" a="1"/>
  <c r="AM7" i="28" s="1"/>
  <c r="AL167" i="28" a="1"/>
  <c r="AL167" i="28" s="1"/>
  <c r="AN167" i="28" s="1" a="1"/>
  <c r="AN167" i="28" s="1"/>
  <c r="AL220" i="28" a="1"/>
  <c r="AL220" i="28" s="1"/>
  <c r="AN220" i="28" s="1" a="1"/>
  <c r="AN220" i="28" s="1"/>
  <c r="AK214" i="28" a="1"/>
  <c r="AK214" i="28" s="1"/>
  <c r="AM214" i="28" s="1" a="1"/>
  <c r="AM214" i="28" s="1"/>
  <c r="AK314" i="28" a="1"/>
  <c r="AK314" i="28" s="1"/>
  <c r="AM314" i="28" s="1" a="1"/>
  <c r="AM314" i="28" s="1"/>
  <c r="AJ407" i="28" a="1"/>
  <c r="AJ407" i="28" s="1"/>
  <c r="AI357" i="28"/>
  <c r="AJ357" i="28" s="1" a="1"/>
  <c r="AJ357" i="28" s="1"/>
  <c r="AK357" i="28" s="1" a="1"/>
  <c r="AK357" i="28" s="1"/>
  <c r="AM357" i="28" s="1" a="1"/>
  <c r="AM357" i="28" s="1"/>
  <c r="AJ408" i="28" a="1"/>
  <c r="AJ408" i="28" s="1"/>
  <c r="AJ415" i="28" a="1"/>
  <c r="AJ415" i="28" s="1"/>
  <c r="AK127" i="28" a="1"/>
  <c r="AK127" i="28" s="1"/>
  <c r="AM127" i="28" s="1" a="1"/>
  <c r="AM127" i="28" s="1"/>
  <c r="AI356" i="28"/>
  <c r="AJ356" i="28" s="1" a="1"/>
  <c r="AJ356" i="28" s="1"/>
  <c r="AO356" i="28" s="1"/>
  <c r="J356" i="28" s="1"/>
  <c r="AL180" i="28" a="1"/>
  <c r="AL180" i="28" s="1"/>
  <c r="AN180" i="28" s="1" a="1"/>
  <c r="AN180" i="28" s="1"/>
  <c r="AK89" i="28" a="1"/>
  <c r="AK89" i="28" s="1"/>
  <c r="AM89" i="28" s="1" a="1"/>
  <c r="AM89" i="28" s="1"/>
  <c r="AK129" i="28" a="1"/>
  <c r="AK129" i="28" s="1"/>
  <c r="AM129" i="28" s="1" a="1"/>
  <c r="AM129" i="28" s="1"/>
  <c r="AK16" i="28" a="1"/>
  <c r="AK16" i="28" s="1"/>
  <c r="AM16" i="28" s="1" a="1"/>
  <c r="AM16" i="28" s="1"/>
  <c r="AL236" i="28" a="1"/>
  <c r="AL236" i="28" s="1"/>
  <c r="AN236" i="28" s="1" a="1"/>
  <c r="AN236" i="28" s="1"/>
  <c r="AL292" i="28" a="1"/>
  <c r="AL292" i="28" s="1"/>
  <c r="AN292" i="28" s="1" a="1"/>
  <c r="AN292" i="28" s="1"/>
  <c r="AL107" i="28" a="1"/>
  <c r="AL107" i="28" s="1"/>
  <c r="AN107" i="28" s="1" a="1"/>
  <c r="AN107" i="28" s="1"/>
  <c r="AK288" i="28" a="1"/>
  <c r="AK288" i="28" s="1"/>
  <c r="AM288" i="28" s="1" a="1"/>
  <c r="AM288" i="28" s="1"/>
  <c r="AK329" i="28" a="1"/>
  <c r="AK329" i="28" s="1"/>
  <c r="AM329" i="28" s="1" a="1"/>
  <c r="AM329" i="28" s="1"/>
  <c r="AK31" i="28" a="1"/>
  <c r="AK31" i="28" s="1"/>
  <c r="AM31" i="28" s="1" a="1"/>
  <c r="AM31" i="28" s="1"/>
  <c r="AL201" i="28" a="1"/>
  <c r="AL201" i="28" s="1"/>
  <c r="AN201" i="28" s="1" a="1"/>
  <c r="AN201" i="28" s="1"/>
  <c r="AL278" i="28" a="1"/>
  <c r="AL278" i="28" s="1"/>
  <c r="AN278" i="28" s="1" a="1"/>
  <c r="AN278" i="28" s="1"/>
  <c r="AO224" i="28"/>
  <c r="J224" i="28" s="1"/>
  <c r="AL119" i="28" a="1"/>
  <c r="AL119" i="28" s="1"/>
  <c r="AN119" i="28" s="1" a="1"/>
  <c r="AN119" i="28" s="1"/>
  <c r="AK251" i="28" a="1"/>
  <c r="AK251" i="28" s="1"/>
  <c r="AO251" i="28" s="1"/>
  <c r="AL294" i="28" a="1"/>
  <c r="AL294" i="28" s="1"/>
  <c r="AN294" i="28" s="1" a="1"/>
  <c r="AN294" i="28" s="1"/>
  <c r="AL269" i="28" a="1"/>
  <c r="AL269" i="28" s="1"/>
  <c r="AN269" i="28" s="1" a="1"/>
  <c r="AN269" i="28" s="1"/>
  <c r="AK310" i="28" a="1"/>
  <c r="AK310" i="28" s="1"/>
  <c r="AM310" i="28" s="1" a="1"/>
  <c r="AM310" i="28" s="1"/>
  <c r="AL398" i="28" a="1"/>
  <c r="AL398" i="28" s="1"/>
  <c r="AN398" i="28" s="1" a="1"/>
  <c r="AN398" i="28" s="1"/>
  <c r="AL374" i="28" a="1"/>
  <c r="AL374" i="28" s="1"/>
  <c r="AN374" i="28" s="1" a="1"/>
  <c r="AN374" i="28" s="1"/>
  <c r="AI171" i="28"/>
  <c r="AJ171" i="28" s="1" a="1"/>
  <c r="AJ171" i="28" s="1"/>
  <c r="AK326" i="28" a="1"/>
  <c r="AK326" i="28" s="1"/>
  <c r="AM326" i="28" s="1" a="1"/>
  <c r="AM326" i="28" s="1"/>
  <c r="AL425" i="28" a="1"/>
  <c r="AL425" i="28" s="1"/>
  <c r="AN425" i="28" s="1" a="1"/>
  <c r="AN425" i="28" s="1"/>
  <c r="AL26" i="28" a="1"/>
  <c r="AL26" i="28" s="1"/>
  <c r="AN26" i="28" s="1" a="1"/>
  <c r="AN26" i="28" s="1"/>
  <c r="AK62" i="28" a="1"/>
  <c r="AK62" i="28" s="1"/>
  <c r="AM62" i="28" s="1" a="1"/>
  <c r="AM62" i="28" s="1"/>
  <c r="AL211" i="28" a="1"/>
  <c r="AL211" i="28" s="1"/>
  <c r="AN211" i="28" s="1" a="1"/>
  <c r="AN211" i="28" s="1"/>
  <c r="AK160" i="28" a="1"/>
  <c r="AK160" i="28" s="1"/>
  <c r="AM160" i="28" s="1" a="1"/>
  <c r="AM160" i="28" s="1"/>
  <c r="AK254" i="28" a="1"/>
  <c r="AK254" i="28" s="1"/>
  <c r="AM254" i="28" s="1" a="1"/>
  <c r="AM254" i="28" s="1"/>
  <c r="AK253" i="28" a="1"/>
  <c r="AK253" i="28" s="1"/>
  <c r="AM253" i="28" s="1" a="1"/>
  <c r="AM253" i="28" s="1"/>
  <c r="AL313" i="28" a="1"/>
  <c r="AL313" i="28" s="1"/>
  <c r="AN313" i="28" s="1" a="1"/>
  <c r="AN313" i="28" s="1"/>
  <c r="AK135" i="28" a="1"/>
  <c r="AK135" i="28" s="1"/>
  <c r="AM135" i="28" s="1" a="1"/>
  <c r="AM135" i="28" s="1"/>
  <c r="AK285" i="28" a="1"/>
  <c r="AK285" i="28" s="1"/>
  <c r="AM285" i="28" s="1" a="1"/>
  <c r="AM285" i="28" s="1"/>
  <c r="AL126" i="28" a="1"/>
  <c r="AL126" i="28" s="1"/>
  <c r="AN126" i="28" s="1" a="1"/>
  <c r="AN126" i="28" s="1"/>
  <c r="AL82" i="28" a="1"/>
  <c r="AL82" i="28" s="1"/>
  <c r="AN82" i="28" s="1" a="1"/>
  <c r="AN82" i="28" s="1"/>
  <c r="AL230" i="28" a="1"/>
  <c r="AL230" i="28" s="1"/>
  <c r="AN230" i="28" s="1" a="1"/>
  <c r="AN230" i="28" s="1"/>
  <c r="AI173" i="28"/>
  <c r="AJ173" i="28" s="1" a="1"/>
  <c r="AJ173" i="28" s="1"/>
  <c r="AK235" i="28" a="1"/>
  <c r="AK235" i="28" s="1"/>
  <c r="AM235" i="28" s="1" a="1"/>
  <c r="AM235" i="28" s="1"/>
  <c r="AL351" i="28" a="1"/>
  <c r="AL351" i="28" s="1"/>
  <c r="AN351" i="28" s="1" a="1"/>
  <c r="AN351" i="28" s="1"/>
  <c r="AL28" i="28" a="1"/>
  <c r="AL28" i="28" s="1"/>
  <c r="AN28" i="28" s="1" a="1"/>
  <c r="AN28" i="28" s="1"/>
  <c r="AK187" i="28" a="1"/>
  <c r="AK187" i="28" s="1"/>
  <c r="AM187" i="28" s="1" a="1"/>
  <c r="AM187" i="28" s="1"/>
  <c r="AO213" i="28"/>
  <c r="J213" i="28" s="1"/>
  <c r="AL11" i="28" a="1"/>
  <c r="AL11" i="28" s="1"/>
  <c r="AN11" i="28" s="1" a="1"/>
  <c r="AN11" i="28" s="1"/>
  <c r="AL205" i="28" a="1"/>
  <c r="AL205" i="28" s="1"/>
  <c r="AN205" i="28" s="1" a="1"/>
  <c r="AN205" i="28" s="1"/>
  <c r="AL29" i="28" a="1"/>
  <c r="AL29" i="28" s="1"/>
  <c r="AN29" i="28" s="1" a="1"/>
  <c r="AN29" i="28" s="1"/>
  <c r="AK79" i="28" a="1"/>
  <c r="AK79" i="28" s="1"/>
  <c r="AO79" i="28" s="1"/>
  <c r="J79" i="28" s="1"/>
  <c r="AO18" i="28"/>
  <c r="J18" i="28" s="1"/>
  <c r="AO97" i="28"/>
  <c r="J97" i="28" s="1"/>
  <c r="AO141" i="28"/>
  <c r="J141" i="28" s="1"/>
  <c r="AO42" i="28"/>
  <c r="J42" i="28" s="1"/>
  <c r="AO27" i="28"/>
  <c r="J27" i="28" s="1"/>
  <c r="AO64" i="28"/>
  <c r="J64" i="28" s="1"/>
  <c r="AO160" i="28"/>
  <c r="J160" i="28" s="1"/>
  <c r="AO54" i="28"/>
  <c r="J54" i="28" s="1"/>
  <c r="AO86" i="28"/>
  <c r="J86" i="28" s="1"/>
  <c r="AO85" i="28"/>
  <c r="J85" i="28" s="1"/>
  <c r="AO127" i="28"/>
  <c r="J127" i="28" s="1"/>
  <c r="AL90" i="28" a="1"/>
  <c r="AL90" i="28" s="1"/>
  <c r="AN90" i="28" s="1" a="1"/>
  <c r="AN90" i="28" s="1"/>
  <c r="D11" i="2"/>
  <c r="AK106" i="28" a="1"/>
  <c r="AK106" i="28" s="1"/>
  <c r="AM106" i="28" s="1" a="1"/>
  <c r="AM106" i="28" s="1"/>
  <c r="AJ397" i="28" a="1"/>
  <c r="AJ397" i="28" s="1"/>
  <c r="AO111" i="28"/>
  <c r="J111" i="28" s="1"/>
  <c r="AL175" i="28" a="1"/>
  <c r="AL175" i="28" s="1"/>
  <c r="AN175" i="28" s="1" a="1"/>
  <c r="AN175" i="28" s="1"/>
  <c r="AL41" i="28" a="1"/>
  <c r="AL41" i="28" s="1"/>
  <c r="AN41" i="28" s="1" a="1"/>
  <c r="AN41" i="28" s="1"/>
  <c r="E11" i="2"/>
  <c r="AK39" i="28" a="1"/>
  <c r="AK39" i="28" s="1"/>
  <c r="AM39" i="28" s="1" a="1"/>
  <c r="AM39" i="28" s="1"/>
  <c r="AK177" i="28" a="1"/>
  <c r="AK177" i="28" s="1"/>
  <c r="AM177" i="28" s="1" a="1"/>
  <c r="AM177" i="28" s="1"/>
  <c r="AL155" i="28" a="1"/>
  <c r="AL155" i="28" s="1"/>
  <c r="AN155" i="28" s="1" a="1"/>
  <c r="AN155" i="28" s="1"/>
  <c r="AI358" i="28"/>
  <c r="AJ358" i="28" s="1" a="1"/>
  <c r="AJ358" i="28" s="1"/>
  <c r="AO134" i="28"/>
  <c r="J134" i="28" s="1"/>
  <c r="AO169" i="28"/>
  <c r="J169" i="28" s="1"/>
  <c r="AK280" i="28" a="1"/>
  <c r="AK280" i="28" s="1"/>
  <c r="AM280" i="28" s="1" a="1"/>
  <c r="AM280" i="28" s="1"/>
  <c r="AL112" i="28" a="1"/>
  <c r="AL112" i="28" s="1"/>
  <c r="AN112" i="28" s="1" a="1"/>
  <c r="AN112" i="28" s="1"/>
  <c r="AO51" i="28"/>
  <c r="J51" i="28" s="1"/>
  <c r="AK344" i="28" a="1"/>
  <c r="AK344" i="28" s="1"/>
  <c r="AM344" i="28" s="1" a="1"/>
  <c r="AM344" i="28" s="1"/>
  <c r="AO344" i="28" s="1"/>
  <c r="J344" i="28" s="1"/>
  <c r="AL58" i="28" a="1"/>
  <c r="AL58" i="28" s="1"/>
  <c r="AN58" i="28" s="1" a="1"/>
  <c r="AN58" i="28" s="1"/>
  <c r="AK336" i="28" a="1"/>
  <c r="AK336" i="28" s="1"/>
  <c r="AM336" i="28" s="1" a="1"/>
  <c r="AM336" i="28" s="1"/>
  <c r="AO129" i="28"/>
  <c r="J129" i="28" s="1"/>
  <c r="AO153" i="28"/>
  <c r="J153" i="28" s="1"/>
  <c r="AL340" i="28" a="1"/>
  <c r="AL340" i="28" s="1"/>
  <c r="AN340" i="28" s="1" a="1"/>
  <c r="AN340" i="28" s="1"/>
  <c r="AL43" i="28" a="1"/>
  <c r="AL43" i="28" s="1"/>
  <c r="AN43" i="28" s="1" a="1"/>
  <c r="AN43" i="28" s="1"/>
  <c r="AO116" i="28"/>
  <c r="AK113" i="28" a="1"/>
  <c r="AK113" i="28" s="1"/>
  <c r="AM113" i="28" s="1" a="1"/>
  <c r="AM113" i="28" s="1"/>
  <c r="AL61" i="28" a="1"/>
  <c r="AL61" i="28" s="1"/>
  <c r="AK272" i="28" a="1"/>
  <c r="AK272" i="28" s="1"/>
  <c r="AM272" i="28" s="1" a="1"/>
  <c r="AM272" i="28" s="1"/>
  <c r="AL372" i="28" a="1"/>
  <c r="AL372" i="28" s="1"/>
  <c r="AN372" i="28" s="1" a="1"/>
  <c r="AN372" i="28" s="1"/>
  <c r="AL312" i="28" a="1"/>
  <c r="AL312" i="28" s="1"/>
  <c r="AN312" i="28" s="1" a="1"/>
  <c r="AN312" i="28" s="1"/>
  <c r="AK178" i="28" a="1"/>
  <c r="AK178" i="28" s="1"/>
  <c r="AO178" i="28" s="1"/>
  <c r="AL130" i="28" a="1"/>
  <c r="AL130" i="28" s="1"/>
  <c r="AN130" i="28" s="1" a="1"/>
  <c r="AN130" i="28" s="1"/>
  <c r="AK225" i="28" a="1"/>
  <c r="AK225" i="28" s="1"/>
  <c r="AM225" i="28" s="1" a="1"/>
  <c r="AM225" i="28" s="1"/>
  <c r="AK165" i="28" a="1"/>
  <c r="AK165" i="28" s="1"/>
  <c r="AM165" i="28" s="1" a="1"/>
  <c r="AM165" i="28" s="1"/>
  <c r="AL215" i="28" a="1"/>
  <c r="AL215" i="28" s="1"/>
  <c r="AN215" i="28" s="1" a="1"/>
  <c r="AN215" i="28" s="1"/>
  <c r="AO46" i="28"/>
  <c r="J46" i="28" s="1"/>
  <c r="AO47" i="28"/>
  <c r="J47" i="28" s="1"/>
  <c r="AL198" i="28" a="1"/>
  <c r="AL198" i="28" s="1"/>
  <c r="AN198" i="28" s="1" a="1"/>
  <c r="AN198" i="28" s="1"/>
  <c r="AK260" i="28" a="1"/>
  <c r="AK260" i="28" s="1"/>
  <c r="AO260" i="28" s="1"/>
  <c r="J260" i="28" s="1"/>
  <c r="C11" i="2"/>
  <c r="AL219" i="28" a="1"/>
  <c r="AL219" i="28" s="1"/>
  <c r="AN219" i="28" s="1" a="1"/>
  <c r="AN219" i="28" s="1"/>
  <c r="AK426" i="28" a="1"/>
  <c r="AK426" i="28" s="1"/>
  <c r="AM426" i="28" s="1" a="1"/>
  <c r="AM426" i="28" s="1"/>
  <c r="AO426" i="28" s="1"/>
  <c r="J426" i="28" s="1"/>
  <c r="AK185" i="28" a="1"/>
  <c r="AK185" i="28" s="1"/>
  <c r="AM185" i="28" s="1" a="1"/>
  <c r="AM185" i="28" s="1"/>
  <c r="F11" i="2"/>
  <c r="AL339" i="28" a="1"/>
  <c r="AL339" i="28" s="1"/>
  <c r="AN339" i="28" s="1" a="1"/>
  <c r="AN339" i="28" s="1"/>
  <c r="AK232" i="28" a="1"/>
  <c r="AK232" i="28" s="1"/>
  <c r="AM232" i="28" s="1" a="1"/>
  <c r="AM232" i="28" s="1"/>
  <c r="AK373" i="28" a="1"/>
  <c r="AK373" i="28" s="1"/>
  <c r="AM373" i="28" s="1" a="1"/>
  <c r="AM373" i="28" s="1"/>
  <c r="D12" i="14"/>
  <c r="B12" i="14"/>
  <c r="C12" i="14"/>
  <c r="AK150" i="28" a="1"/>
  <c r="AK150" i="28" s="1"/>
  <c r="AM150" i="28" s="1" a="1"/>
  <c r="AM150" i="28" s="1"/>
  <c r="AL186" i="28" a="1"/>
  <c r="AL186" i="28" s="1"/>
  <c r="AN186" i="28" s="1" a="1"/>
  <c r="AN186" i="28" s="1"/>
  <c r="E12" i="14"/>
  <c r="B11" i="2"/>
  <c r="J80" i="11"/>
  <c r="B80" i="11"/>
  <c r="B54" i="11"/>
  <c r="B14" i="11" s="1"/>
  <c r="F80" i="11"/>
  <c r="C80" i="11"/>
  <c r="F54" i="11"/>
  <c r="F14" i="11" s="1"/>
  <c r="E54" i="11"/>
  <c r="E14" i="11" s="1"/>
  <c r="C54" i="11"/>
  <c r="C14" i="11" s="1"/>
  <c r="G54" i="11"/>
  <c r="G14" i="11" s="1"/>
  <c r="I80" i="11"/>
  <c r="K80" i="11"/>
  <c r="D54" i="11"/>
  <c r="D14" i="11" s="1"/>
  <c r="D80" i="11"/>
  <c r="H80" i="11"/>
  <c r="H54" i="11"/>
  <c r="H14" i="11" s="1"/>
  <c r="J54" i="11"/>
  <c r="J14" i="11" s="1"/>
  <c r="E80" i="11"/>
  <c r="I54" i="11"/>
  <c r="I14" i="11" s="1"/>
  <c r="K54" i="11"/>
  <c r="K14" i="11" s="1"/>
  <c r="G80" i="11"/>
  <c r="A16" i="11"/>
  <c r="A81" i="11"/>
  <c r="A55" i="11"/>
  <c r="H156" i="16"/>
  <c r="H103" i="16"/>
  <c r="H50" i="16"/>
  <c r="I7" i="16"/>
  <c r="H77" i="16"/>
  <c r="H129" i="16"/>
  <c r="H110" i="16"/>
  <c r="H86" i="16"/>
  <c r="H108" i="16"/>
  <c r="H109" i="16"/>
  <c r="H106" i="16"/>
  <c r="H55" i="16"/>
  <c r="H81" i="16"/>
  <c r="H80" i="16"/>
  <c r="H111" i="16"/>
  <c r="H112" i="16"/>
  <c r="H107" i="16"/>
  <c r="H58" i="16"/>
  <c r="H84" i="16"/>
  <c r="H85" i="16"/>
  <c r="H59" i="16"/>
  <c r="H54" i="16"/>
  <c r="H57" i="16"/>
  <c r="H53" i="16"/>
  <c r="H83" i="16"/>
  <c r="H56" i="16"/>
  <c r="H82" i="16"/>
  <c r="H113" i="16"/>
  <c r="H87" i="16"/>
  <c r="H60" i="16"/>
  <c r="B179" i="14"/>
  <c r="C179" i="14"/>
  <c r="D179" i="14"/>
  <c r="E179" i="14"/>
  <c r="F179" i="14"/>
  <c r="E231" i="14"/>
  <c r="D231" i="14"/>
  <c r="C231" i="14"/>
  <c r="B231" i="14"/>
  <c r="F231" i="14"/>
  <c r="E205" i="14"/>
  <c r="C205" i="14"/>
  <c r="D205" i="14"/>
  <c r="B205" i="14"/>
  <c r="F205" i="14"/>
  <c r="D53" i="14"/>
  <c r="B53" i="14"/>
  <c r="C53" i="14"/>
  <c r="E53" i="14"/>
  <c r="F53" i="14"/>
  <c r="C103" i="14"/>
  <c r="B103" i="14"/>
  <c r="D103" i="14"/>
  <c r="E103" i="14"/>
  <c r="F103" i="14"/>
  <c r="A129" i="14"/>
  <c r="G129" i="14" s="1"/>
  <c r="A232" i="14"/>
  <c r="G232" i="14" s="1"/>
  <c r="A180" i="14"/>
  <c r="G180" i="14" s="1"/>
  <c r="A54" i="14"/>
  <c r="G54" i="14" s="1"/>
  <c r="A79" i="14"/>
  <c r="G79" i="14" s="1"/>
  <c r="A104" i="14"/>
  <c r="G104" i="14" s="1"/>
  <c r="A206" i="14"/>
  <c r="G206" i="14" s="1"/>
  <c r="A154" i="14"/>
  <c r="G154" i="14" s="1"/>
  <c r="A15" i="14"/>
  <c r="C78" i="14"/>
  <c r="B78" i="14"/>
  <c r="E78" i="14"/>
  <c r="D78" i="14"/>
  <c r="F78" i="14"/>
  <c r="B128" i="14"/>
  <c r="C128" i="14"/>
  <c r="E128" i="14"/>
  <c r="D128" i="14"/>
  <c r="F128" i="14"/>
  <c r="E153" i="14"/>
  <c r="B153" i="14"/>
  <c r="D153" i="14"/>
  <c r="C153" i="14"/>
  <c r="F153" i="14"/>
  <c r="AL147" i="28" a="1"/>
  <c r="AL147" i="28" s="1"/>
  <c r="AN147" i="28" s="1" a="1"/>
  <c r="AN147" i="28" s="1"/>
  <c r="AL377" i="28" a="1"/>
  <c r="AL377" i="28" s="1"/>
  <c r="AN377" i="28" s="1" a="1"/>
  <c r="AN377" i="28" s="1"/>
  <c r="AK50" i="28" a="1"/>
  <c r="AK50" i="28" s="1"/>
  <c r="AM50" i="28" s="1" a="1"/>
  <c r="AM50" i="28" s="1"/>
  <c r="AO150" i="28"/>
  <c r="J150" i="28" s="1"/>
  <c r="AL22" i="28" a="1"/>
  <c r="AL22" i="28" s="1"/>
  <c r="AN22" i="28" s="1" a="1"/>
  <c r="AN22" i="28" s="1"/>
  <c r="AL216" i="28" a="1"/>
  <c r="AL216" i="28" s="1"/>
  <c r="AN216" i="28" s="1" a="1"/>
  <c r="AN216" i="28" s="1"/>
  <c r="AK80" i="28" a="1"/>
  <c r="AK80" i="28" s="1"/>
  <c r="AM80" i="28" s="1" a="1"/>
  <c r="AM80" i="28" s="1"/>
  <c r="AO80" i="28" s="1"/>
  <c r="J80" i="28" s="1"/>
  <c r="AL367" i="28" a="1"/>
  <c r="AL367" i="28" s="1"/>
  <c r="AN367" i="28" s="1" a="1"/>
  <c r="AN367" i="28" s="1"/>
  <c r="AL81" i="28" a="1"/>
  <c r="AL81" i="28" s="1"/>
  <c r="AN81" i="28" s="1" a="1"/>
  <c r="AN81" i="28" s="1"/>
  <c r="AL131" i="28" a="1"/>
  <c r="AL131" i="28" s="1"/>
  <c r="AN131" i="28" s="1" a="1"/>
  <c r="AN131" i="28" s="1"/>
  <c r="AK151" i="28" a="1"/>
  <c r="AK151" i="28" s="1"/>
  <c r="AM151" i="28" s="1" a="1"/>
  <c r="AM151" i="28" s="1"/>
  <c r="AK38" i="28" a="1"/>
  <c r="AK38" i="28" s="1"/>
  <c r="AM38" i="28" s="1" a="1"/>
  <c r="AM38" i="28" s="1"/>
  <c r="H10" i="2"/>
  <c r="H6" i="2"/>
  <c r="B106" i="2"/>
  <c r="C106" i="2"/>
  <c r="D106" i="2"/>
  <c r="E106" i="2"/>
  <c r="C132" i="2"/>
  <c r="F132" i="2"/>
  <c r="B80" i="2"/>
  <c r="D80" i="2"/>
  <c r="C80" i="2"/>
  <c r="D132" i="2"/>
  <c r="E132" i="2"/>
  <c r="B132" i="2"/>
  <c r="E80" i="2"/>
  <c r="F80" i="2"/>
  <c r="F106" i="2"/>
  <c r="G106" i="2"/>
  <c r="G132" i="2"/>
  <c r="G80" i="2"/>
  <c r="B57" i="17"/>
  <c r="C57" i="17"/>
  <c r="D57" i="17"/>
  <c r="E57" i="17"/>
  <c r="A169" i="16"/>
  <c r="A90" i="16"/>
  <c r="A63" i="16"/>
  <c r="A142" i="16"/>
  <c r="A20" i="16"/>
  <c r="A116" i="16"/>
  <c r="H7" i="2"/>
  <c r="K16" i="19"/>
  <c r="A135" i="17"/>
  <c r="A58" i="17"/>
  <c r="G58" i="17" s="1"/>
  <c r="A83" i="17"/>
  <c r="A162" i="17"/>
  <c r="A16" i="17"/>
  <c r="A109" i="17"/>
  <c r="G9" i="14"/>
  <c r="H80" i="2"/>
  <c r="H12" i="2" s="1"/>
  <c r="H106" i="2"/>
  <c r="K79" i="19"/>
  <c r="K4" i="19"/>
  <c r="K75" i="19"/>
  <c r="K78" i="19"/>
  <c r="G89" i="16"/>
  <c r="C89" i="16"/>
  <c r="E89" i="16"/>
  <c r="F89" i="16"/>
  <c r="I89" i="16"/>
  <c r="D89" i="16"/>
  <c r="B89" i="16"/>
  <c r="H89" i="16"/>
  <c r="H132" i="2"/>
  <c r="S17" i="12"/>
  <c r="S39" i="12"/>
  <c r="A133" i="2"/>
  <c r="A107" i="2"/>
  <c r="A81" i="2"/>
  <c r="I81" i="2" s="1"/>
  <c r="A56" i="2"/>
  <c r="I56" i="2" s="1"/>
  <c r="A14" i="2"/>
  <c r="K69" i="19"/>
  <c r="H223" i="14"/>
  <c r="H145" i="14"/>
  <c r="H70" i="14"/>
  <c r="I6" i="14"/>
  <c r="H45" i="14"/>
  <c r="H171" i="14"/>
  <c r="H120" i="14"/>
  <c r="H197" i="14"/>
  <c r="H95" i="14"/>
  <c r="H177" i="14"/>
  <c r="H201" i="14"/>
  <c r="H204" i="14"/>
  <c r="H150" i="14"/>
  <c r="H152" i="14"/>
  <c r="H148" i="14"/>
  <c r="H174" i="14"/>
  <c r="H227" i="14"/>
  <c r="H231" i="14"/>
  <c r="H154" i="14"/>
  <c r="H205" i="14"/>
  <c r="H98" i="14"/>
  <c r="H101" i="14"/>
  <c r="H149" i="14"/>
  <c r="H230" i="14"/>
  <c r="H202" i="14"/>
  <c r="H179" i="14"/>
  <c r="H176" i="14"/>
  <c r="H175" i="14"/>
  <c r="H229" i="14"/>
  <c r="H153" i="14"/>
  <c r="H228" i="14"/>
  <c r="H232" i="14"/>
  <c r="H151" i="14"/>
  <c r="H200" i="14"/>
  <c r="H178" i="14"/>
  <c r="H226" i="14"/>
  <c r="H180" i="14"/>
  <c r="H203" i="14"/>
  <c r="H50" i="14"/>
  <c r="H102" i="14"/>
  <c r="H53" i="14"/>
  <c r="H49" i="14"/>
  <c r="H51" i="14"/>
  <c r="H99" i="14"/>
  <c r="H48" i="14"/>
  <c r="H52" i="14"/>
  <c r="H100" i="14"/>
  <c r="H103" i="14"/>
  <c r="H123" i="14"/>
  <c r="H128" i="14"/>
  <c r="H74" i="14"/>
  <c r="H125" i="14"/>
  <c r="H126" i="14"/>
  <c r="H124" i="14"/>
  <c r="H77" i="14"/>
  <c r="H79" i="14"/>
  <c r="H127" i="14"/>
  <c r="H75" i="14"/>
  <c r="H76" i="14"/>
  <c r="H73" i="14"/>
  <c r="H78" i="14"/>
  <c r="H9" i="2"/>
  <c r="I104" i="2"/>
  <c r="I105" i="2"/>
  <c r="J4" i="2"/>
  <c r="I123" i="2"/>
  <c r="I106" i="2"/>
  <c r="I97" i="2"/>
  <c r="I102" i="2"/>
  <c r="I100" i="2"/>
  <c r="I71" i="2"/>
  <c r="I101" i="2"/>
  <c r="I46" i="2"/>
  <c r="I103" i="2"/>
  <c r="I54" i="2"/>
  <c r="I49" i="2"/>
  <c r="I51" i="2"/>
  <c r="I55" i="2"/>
  <c r="I53" i="2"/>
  <c r="I52" i="2"/>
  <c r="I50" i="2"/>
  <c r="I76" i="2"/>
  <c r="I127" i="2"/>
  <c r="I131" i="2"/>
  <c r="I132" i="2"/>
  <c r="I77" i="2"/>
  <c r="I80" i="2"/>
  <c r="I75" i="2"/>
  <c r="I74" i="2"/>
  <c r="I128" i="2"/>
  <c r="I79" i="2"/>
  <c r="I130" i="2"/>
  <c r="I78" i="2"/>
  <c r="I129" i="2"/>
  <c r="I126" i="2"/>
  <c r="B82" i="17"/>
  <c r="D82" i="17"/>
  <c r="C82" i="17"/>
  <c r="E82" i="17"/>
  <c r="G8" i="14"/>
  <c r="G11" i="14"/>
  <c r="H8" i="2"/>
  <c r="G153" i="17"/>
  <c r="G126" i="17"/>
  <c r="G49" i="17"/>
  <c r="G100" i="17"/>
  <c r="H7" i="17"/>
  <c r="G74" i="17"/>
  <c r="G107" i="17"/>
  <c r="G108" i="17"/>
  <c r="G109" i="17"/>
  <c r="G105" i="17"/>
  <c r="G106" i="17"/>
  <c r="G104" i="17"/>
  <c r="G103" i="17"/>
  <c r="G54" i="17"/>
  <c r="G52" i="17"/>
  <c r="G56" i="17"/>
  <c r="G55" i="17"/>
  <c r="G53" i="17"/>
  <c r="G57" i="17"/>
  <c r="G81" i="17"/>
  <c r="G80" i="17"/>
  <c r="G79" i="17"/>
  <c r="G77" i="17"/>
  <c r="G78" i="17"/>
  <c r="G83" i="17"/>
  <c r="G82" i="17"/>
  <c r="C62" i="16"/>
  <c r="D62" i="16"/>
  <c r="F62" i="16"/>
  <c r="H62" i="16"/>
  <c r="B62" i="16"/>
  <c r="I62" i="16"/>
  <c r="E62" i="16"/>
  <c r="G62" i="16"/>
  <c r="G12" i="14"/>
  <c r="H11" i="2"/>
  <c r="K112" i="19"/>
  <c r="C55" i="2"/>
  <c r="F55" i="2"/>
  <c r="B55" i="2"/>
  <c r="D55" i="2"/>
  <c r="E55" i="2"/>
  <c r="G55" i="2"/>
  <c r="B108" i="17"/>
  <c r="C108" i="17"/>
  <c r="D108" i="17"/>
  <c r="E108" i="17"/>
  <c r="C115" i="16"/>
  <c r="E115" i="16"/>
  <c r="G115" i="16"/>
  <c r="D115" i="16"/>
  <c r="H115" i="16"/>
  <c r="B115" i="16"/>
  <c r="F115" i="16"/>
  <c r="I115" i="16"/>
  <c r="G10" i="14"/>
  <c r="G13" i="14"/>
  <c r="K70" i="19"/>
  <c r="F82" i="17"/>
  <c r="F57" i="17"/>
  <c r="AK67" i="28" a="1"/>
  <c r="AK67" i="28" s="1"/>
  <c r="AM67" i="28" s="1" a="1"/>
  <c r="AM67" i="28" s="1"/>
  <c r="AL67" i="28" a="1"/>
  <c r="AL67" i="28" s="1"/>
  <c r="AN67" i="28" s="1" a="1"/>
  <c r="AN67" i="28" s="1"/>
  <c r="AJ413" i="28" a="1"/>
  <c r="AJ413" i="28" s="1"/>
  <c r="AJ401" i="28" a="1"/>
  <c r="AJ401" i="28" s="1"/>
  <c r="AJ417" i="28" a="1"/>
  <c r="AJ417" i="28" s="1"/>
  <c r="AJ405" i="28" a="1"/>
  <c r="AJ405" i="28" s="1"/>
  <c r="AJ420" i="28" a="1"/>
  <c r="AJ420" i="28" s="1"/>
  <c r="AJ423" i="28" a="1"/>
  <c r="AJ423" i="28" s="1"/>
  <c r="AJ409" i="28" a="1"/>
  <c r="AJ409" i="28" s="1"/>
  <c r="AJ418" i="28" a="1"/>
  <c r="AJ418" i="28" s="1"/>
  <c r="U302" i="28"/>
  <c r="AH302" i="28"/>
  <c r="AH301" i="28"/>
  <c r="U303" i="28"/>
  <c r="U301" i="28"/>
  <c r="AH300" i="28"/>
  <c r="U300" i="28"/>
  <c r="AH303" i="28"/>
  <c r="AO289" i="28"/>
  <c r="J289" i="28" s="1"/>
  <c r="AL359" i="28" a="1"/>
  <c r="AL359" i="28" s="1"/>
  <c r="AN359" i="28" s="1" a="1"/>
  <c r="AN359" i="28" s="1"/>
  <c r="AO351" i="28"/>
  <c r="J351" i="28" s="1"/>
  <c r="AO259" i="28"/>
  <c r="J259" i="28" s="1"/>
  <c r="AO263" i="28"/>
  <c r="J263" i="28" s="1"/>
  <c r="AO147" i="28"/>
  <c r="J147" i="28" s="1"/>
  <c r="AO217" i="28"/>
  <c r="J217" i="28" s="1"/>
  <c r="AO234" i="28"/>
  <c r="AO93" i="28"/>
  <c r="J93" i="28" s="1"/>
  <c r="AO293" i="28"/>
  <c r="J293" i="28" s="1"/>
  <c r="AO237" i="28"/>
  <c r="AJ400" i="28" a="1"/>
  <c r="AJ400" i="28" s="1"/>
  <c r="AO4" i="28"/>
  <c r="J4" i="28" s="1"/>
  <c r="AO297" i="28"/>
  <c r="AO110" i="28"/>
  <c r="J110" i="28" s="1"/>
  <c r="AO63" i="28"/>
  <c r="J63" i="28" s="1"/>
  <c r="AO56" i="28"/>
  <c r="J56" i="28" s="1"/>
  <c r="AO258" i="28"/>
  <c r="AO222" i="28"/>
  <c r="J222" i="28" s="1"/>
  <c r="AO203" i="28"/>
  <c r="AO29" i="28"/>
  <c r="J29" i="28" s="1"/>
  <c r="AO53" i="28"/>
  <c r="J53" i="28" s="1"/>
  <c r="AO363" i="28"/>
  <c r="J363" i="28" s="1"/>
  <c r="AO291" i="28"/>
  <c r="J291" i="28" s="1"/>
  <c r="AO371" i="28"/>
  <c r="J371" i="28" s="1"/>
  <c r="AO76" i="28"/>
  <c r="J76" i="28" s="1"/>
  <c r="U391" i="28"/>
  <c r="U394" i="28"/>
  <c r="U395" i="28"/>
  <c r="U388" i="28"/>
  <c r="AH395" i="28"/>
  <c r="AH393" i="28"/>
  <c r="AH392" i="28"/>
  <c r="AH389" i="28"/>
  <c r="AH386" i="28"/>
  <c r="U393" i="28"/>
  <c r="AH391" i="28"/>
  <c r="AH387" i="28"/>
  <c r="AH390" i="28"/>
  <c r="U392" i="28"/>
  <c r="U389" i="28"/>
  <c r="U386" i="28"/>
  <c r="U387" i="28"/>
  <c r="U390" i="28"/>
  <c r="AH394" i="28"/>
  <c r="AH388" i="28"/>
  <c r="AO279" i="28"/>
  <c r="J279" i="28" s="1"/>
  <c r="AO227" i="28"/>
  <c r="AO48" i="28"/>
  <c r="J48" i="28" s="1"/>
  <c r="AO189" i="28"/>
  <c r="AO45" i="28"/>
  <c r="J45" i="28" s="1"/>
  <c r="AO117" i="28"/>
  <c r="J117" i="28" s="1"/>
  <c r="AJ424" i="28" a="1"/>
  <c r="AJ424" i="28" s="1"/>
  <c r="AO78" i="28"/>
  <c r="J78" i="28" s="1"/>
  <c r="AO299" i="28"/>
  <c r="AO70" i="28"/>
  <c r="J70" i="28" s="1"/>
  <c r="AO157" i="28"/>
  <c r="J157" i="28" s="1"/>
  <c r="AO144" i="28"/>
  <c r="J144" i="28" s="1"/>
  <c r="AO165" i="28"/>
  <c r="J165" i="28" s="1"/>
  <c r="AO40" i="28"/>
  <c r="AO131" i="28"/>
  <c r="J131" i="28" s="1"/>
  <c r="AO22" i="28"/>
  <c r="J22" i="28" s="1"/>
  <c r="AO9" i="28"/>
  <c r="J9" i="28" s="1"/>
  <c r="AO183" i="28"/>
  <c r="AO200" i="28"/>
  <c r="J200" i="28" s="1"/>
  <c r="AO162" i="28"/>
  <c r="J162" i="28" s="1"/>
  <c r="AO265" i="28"/>
  <c r="J265" i="28" s="1"/>
  <c r="AO290" i="28"/>
  <c r="J290" i="28" s="1"/>
  <c r="AO262" i="28"/>
  <c r="J262" i="28" s="1"/>
  <c r="AO294" i="28"/>
  <c r="J294" i="28" s="1"/>
  <c r="AO142" i="28"/>
  <c r="J142" i="28" s="1"/>
  <c r="AO146" i="28"/>
  <c r="J146" i="28" s="1"/>
  <c r="AO220" i="28"/>
  <c r="J220" i="28" s="1"/>
  <c r="AO87" i="28"/>
  <c r="J87" i="28" s="1"/>
  <c r="AO128" i="28"/>
  <c r="J128" i="28" s="1"/>
  <c r="AO138" i="28"/>
  <c r="J138" i="28" s="1"/>
  <c r="AO255" i="28"/>
  <c r="J255" i="28" s="1"/>
  <c r="AO349" i="28"/>
  <c r="J349" i="28" s="1"/>
  <c r="AO177" i="28"/>
  <c r="J177" i="28" s="1"/>
  <c r="AO215" i="28"/>
  <c r="J215" i="28" s="1"/>
  <c r="AO249" i="28"/>
  <c r="J249" i="28" s="1"/>
  <c r="AO151" i="28"/>
  <c r="J151" i="28" s="1"/>
  <c r="AO136" i="28"/>
  <c r="J136" i="28" s="1"/>
  <c r="AO143" i="28"/>
  <c r="J143" i="28" s="1"/>
  <c r="AO212" i="28"/>
  <c r="J212" i="28" s="1"/>
  <c r="AO30" i="28"/>
  <c r="J30" i="28" s="1"/>
  <c r="AO81" i="28"/>
  <c r="J81" i="28" s="1"/>
  <c r="AO77" i="28"/>
  <c r="J77" i="28" s="1"/>
  <c r="AO161" i="28"/>
  <c r="J161" i="28" s="1"/>
  <c r="AO194" i="28"/>
  <c r="AO204" i="28"/>
  <c r="J204" i="28" s="1"/>
  <c r="AO250" i="28"/>
  <c r="AO348" i="28"/>
  <c r="J348" i="28" s="1"/>
  <c r="AO137" i="28"/>
  <c r="J137" i="28" s="1"/>
  <c r="AO295" i="28"/>
  <c r="J295" i="28" s="1"/>
  <c r="AO296" i="28"/>
  <c r="AM208" i="28" a="1"/>
  <c r="AM208" i="28" s="1"/>
  <c r="AO208" i="28" s="1"/>
  <c r="J208" i="28" s="1"/>
  <c r="AO207" i="28"/>
  <c r="J207" i="28" s="1"/>
  <c r="AM145" i="28" a="1"/>
  <c r="AM145" i="28" s="1"/>
  <c r="AO145" i="28"/>
  <c r="J145" i="28" s="1"/>
  <c r="AO102" i="28"/>
  <c r="J102" i="28" s="1"/>
  <c r="AO124" i="28"/>
  <c r="J124" i="28" s="1"/>
  <c r="AO202" i="28"/>
  <c r="J202" i="28" s="1"/>
  <c r="AO209" i="28"/>
  <c r="AM192" i="28" a="1"/>
  <c r="AM192" i="28" s="1"/>
  <c r="AO192" i="28"/>
  <c r="J192" i="28" s="1"/>
  <c r="AO238" i="28"/>
  <c r="J238" i="28" s="1"/>
  <c r="AM191" i="28" a="1"/>
  <c r="AM191" i="28" s="1"/>
  <c r="AO191" i="28" s="1"/>
  <c r="J191" i="28" s="1"/>
  <c r="AM292" i="28" a="1"/>
  <c r="AM292" i="28" s="1"/>
  <c r="AO292" i="28" s="1"/>
  <c r="J292" i="28" s="1"/>
  <c r="AO385" i="28"/>
  <c r="J385" i="28" s="1"/>
  <c r="AO329" i="28"/>
  <c r="J329" i="28" s="1"/>
  <c r="AO6" i="28"/>
  <c r="J6" i="28" s="1"/>
  <c r="AM83" i="28" a="1"/>
  <c r="AM83" i="28" s="1"/>
  <c r="AO83" i="28" s="1"/>
  <c r="J83" i="28" s="1"/>
  <c r="AM75" i="28" a="1"/>
  <c r="AM75" i="28" s="1"/>
  <c r="AO75" i="28"/>
  <c r="J75" i="28" s="1"/>
  <c r="AO156" i="28"/>
  <c r="J156" i="28" s="1"/>
  <c r="AM168" i="28" a="1"/>
  <c r="AM168" i="28" s="1"/>
  <c r="AO168" i="28" s="1"/>
  <c r="J168" i="28" s="1"/>
  <c r="AO196" i="28"/>
  <c r="J196" i="28" s="1"/>
  <c r="AO100" i="28"/>
  <c r="AO125" i="28"/>
  <c r="J125" i="28" s="1"/>
  <c r="AM58" i="28" a="1"/>
  <c r="AM58" i="28" s="1"/>
  <c r="AM167" i="28" a="1"/>
  <c r="AM167" i="28" s="1"/>
  <c r="AM201" i="28" a="1"/>
  <c r="AM201" i="28" s="1"/>
  <c r="AO182" i="28"/>
  <c r="J182" i="28" s="1"/>
  <c r="AM180" i="28" a="1"/>
  <c r="AM180" i="28" s="1"/>
  <c r="AN247" i="28" a="1"/>
  <c r="AN247" i="28" s="1"/>
  <c r="AO247" i="28"/>
  <c r="J247" i="28" s="1"/>
  <c r="AO284" i="28"/>
  <c r="AO335" i="28"/>
  <c r="J335" i="28" s="1"/>
  <c r="AM52" i="28" a="1"/>
  <c r="AM52" i="28" s="1"/>
  <c r="AO52" i="28"/>
  <c r="J52" i="28" s="1"/>
  <c r="AO89" i="28"/>
  <c r="J89" i="28" s="1"/>
  <c r="AM233" i="28" a="1"/>
  <c r="AM233" i="28" s="1"/>
  <c r="AO233" i="28"/>
  <c r="J233" i="28" s="1"/>
  <c r="AM226" i="28" a="1"/>
  <c r="AM226" i="28" s="1"/>
  <c r="AO226" i="28"/>
  <c r="J226" i="28" s="1"/>
  <c r="AM422" i="28" a="1"/>
  <c r="AM422" i="28" s="1"/>
  <c r="AL14" i="28" a="1"/>
  <c r="AL14" i="28" s="1"/>
  <c r="AN14" i="28" s="1" a="1"/>
  <c r="AN14" i="28" s="1"/>
  <c r="AK14" i="28" a="1"/>
  <c r="AK14" i="28" s="1"/>
  <c r="AM14" i="28" s="1" a="1"/>
  <c r="AM14" i="28" s="1"/>
  <c r="AM246" i="28" a="1"/>
  <c r="AM246" i="28" s="1"/>
  <c r="AO246" i="28"/>
  <c r="J246" i="28" s="1"/>
  <c r="AM15" i="28" a="1"/>
  <c r="AM15" i="28" s="1"/>
  <c r="AO15" i="28" s="1"/>
  <c r="J15" i="28" s="1"/>
  <c r="AM264" i="28" a="1"/>
  <c r="AM264" i="28" s="1"/>
  <c r="AO264" i="28" s="1"/>
  <c r="J264" i="28" s="1"/>
  <c r="AM107" i="28" a="1"/>
  <c r="AM107" i="28" s="1"/>
  <c r="AM256" i="28" a="1"/>
  <c r="AM256" i="28" s="1"/>
  <c r="AO256" i="28" s="1"/>
  <c r="J256" i="28" s="1"/>
  <c r="AM37" i="28" a="1"/>
  <c r="AM37" i="28" s="1"/>
  <c r="AO37" i="28" s="1"/>
  <c r="J37" i="28" s="1"/>
  <c r="K37" i="28" s="1"/>
  <c r="AM210" i="28" a="1"/>
  <c r="AM210" i="28" s="1"/>
  <c r="AO210" i="28"/>
  <c r="J210" i="28" s="1"/>
  <c r="AM425" i="28" a="1"/>
  <c r="AM425" i="28" s="1"/>
  <c r="AO425" i="28" s="1"/>
  <c r="J425" i="28" s="1"/>
  <c r="AM98" i="28" a="1"/>
  <c r="AM98" i="28" s="1"/>
  <c r="AO98" i="28" s="1"/>
  <c r="AO206" i="28"/>
  <c r="J206" i="28" s="1"/>
  <c r="AO243" i="28"/>
  <c r="J243" i="28" s="1"/>
  <c r="AM105" i="28" a="1"/>
  <c r="AM105" i="28" s="1"/>
  <c r="AO105" i="28"/>
  <c r="J105" i="28" s="1"/>
  <c r="AO148" i="28"/>
  <c r="J148" i="28" s="1"/>
  <c r="AO195" i="28"/>
  <c r="J195" i="28" s="1"/>
  <c r="AM205" i="28" a="1"/>
  <c r="AM205" i="28" s="1"/>
  <c r="AO186" i="28"/>
  <c r="J186" i="28" s="1"/>
  <c r="AM190" i="28" a="1"/>
  <c r="AM190" i="28" s="1"/>
  <c r="AO190" i="28" s="1"/>
  <c r="J190" i="28" s="1"/>
  <c r="AM19" i="28" a="1"/>
  <c r="AM19" i="28" s="1"/>
  <c r="AO19" i="28"/>
  <c r="J19" i="28" s="1"/>
  <c r="AM43" i="28" a="1"/>
  <c r="AM43" i="28" s="1"/>
  <c r="AO43" i="28" s="1"/>
  <c r="J43" i="28" s="1"/>
  <c r="AM96" i="28" a="1"/>
  <c r="AM96" i="28" s="1"/>
  <c r="AO96" i="28"/>
  <c r="J96" i="28" s="1"/>
  <c r="AM121" i="28" a="1"/>
  <c r="AM121" i="28" s="1"/>
  <c r="AO121" i="28" s="1"/>
  <c r="J121" i="28" s="1"/>
  <c r="AM133" i="28" a="1"/>
  <c r="AM133" i="28" s="1"/>
  <c r="AO133" i="28" s="1"/>
  <c r="J133" i="28" s="1"/>
  <c r="AO288" i="28"/>
  <c r="J288" i="28" s="1"/>
  <c r="AM92" i="28" a="1"/>
  <c r="AM92" i="28" s="1"/>
  <c r="AO92" i="28"/>
  <c r="J92" i="28" s="1"/>
  <c r="AM103" i="28" a="1"/>
  <c r="AM103" i="28" s="1"/>
  <c r="AO103" i="28"/>
  <c r="J103" i="28" s="1"/>
  <c r="AM163" i="28" a="1"/>
  <c r="AM163" i="28" s="1"/>
  <c r="AO163" i="28"/>
  <c r="J163" i="28" s="1"/>
  <c r="AM132" i="28" a="1"/>
  <c r="AM132" i="28" s="1"/>
  <c r="AO132" i="28"/>
  <c r="J132" i="28" s="1"/>
  <c r="AM228" i="28" a="1"/>
  <c r="AM228" i="28" s="1"/>
  <c r="AO228" i="28"/>
  <c r="AK164" i="28" a="1"/>
  <c r="AK164" i="28" s="1"/>
  <c r="AM164" i="28" s="1" a="1"/>
  <c r="AM164" i="28" s="1"/>
  <c r="AL164" i="28" a="1"/>
  <c r="AL164" i="28" s="1"/>
  <c r="AN164" i="28" s="1" a="1"/>
  <c r="AN164" i="28" s="1"/>
  <c r="AM8" i="28" a="1"/>
  <c r="AM8" i="28" s="1"/>
  <c r="AO8" i="28"/>
  <c r="J8" i="28" s="1"/>
  <c r="AM197" i="28" a="1"/>
  <c r="AM197" i="28" s="1"/>
  <c r="AO197" i="28"/>
  <c r="J197" i="28" s="1"/>
  <c r="AN72" i="28" a="1"/>
  <c r="AN72" i="28" s="1"/>
  <c r="AO72" i="28" s="1"/>
  <c r="J72" i="28" s="1"/>
  <c r="AM140" i="28" a="1"/>
  <c r="AM140" i="28" s="1"/>
  <c r="AO140" i="28"/>
  <c r="J140" i="28" s="1"/>
  <c r="AM90" i="28" a="1"/>
  <c r="AM90" i="28" s="1"/>
  <c r="AM231" i="28" a="1"/>
  <c r="AM231" i="28" s="1"/>
  <c r="AO231" i="28" s="1"/>
  <c r="J231" i="28" s="1"/>
  <c r="AO123" i="28"/>
  <c r="J123" i="28" s="1"/>
  <c r="AM184" i="28" a="1"/>
  <c r="AM184" i="28" s="1"/>
  <c r="AO184" i="28"/>
  <c r="AM28" i="28" a="1"/>
  <c r="AM28" i="28" s="1"/>
  <c r="AO28" i="28"/>
  <c r="J28" i="28" s="1"/>
  <c r="AO94" i="28"/>
  <c r="J94" i="28" s="1"/>
  <c r="AM251" i="28" a="1"/>
  <c r="AM251" i="28" s="1"/>
  <c r="AO115" i="28"/>
  <c r="J115" i="28" s="1"/>
  <c r="AO41" i="28"/>
  <c r="AO104" i="28"/>
  <c r="J104" i="28" s="1"/>
  <c r="AO17" i="28"/>
  <c r="J17" i="28" s="1"/>
  <c r="AO120" i="28"/>
  <c r="J120" i="28" s="1"/>
  <c r="AM216" i="28" a="1"/>
  <c r="AM216" i="28" s="1"/>
  <c r="AO74" i="28"/>
  <c r="J74" i="28" s="1"/>
  <c r="AM211" i="28" a="1"/>
  <c r="AM211" i="28" s="1"/>
  <c r="AO211" i="28"/>
  <c r="J211" i="28" s="1"/>
  <c r="AM240" i="28" a="1"/>
  <c r="AM240" i="28" s="1"/>
  <c r="AO240" i="28"/>
  <c r="AO286" i="28"/>
  <c r="AO347" i="28"/>
  <c r="J347" i="28" s="1"/>
  <c r="AO380" i="28"/>
  <c r="J380" i="28" s="1"/>
  <c r="AO33" i="28"/>
  <c r="J33" i="28" s="1"/>
  <c r="AM44" i="28" a="1"/>
  <c r="AM44" i="28" s="1"/>
  <c r="AO44" i="28" s="1"/>
  <c r="J44" i="28" s="1"/>
  <c r="AO223" i="28"/>
  <c r="AM230" i="28" a="1"/>
  <c r="AM230" i="28" s="1"/>
  <c r="AM341" i="28" a="1"/>
  <c r="AM341" i="28" s="1"/>
  <c r="AO341" i="28" s="1"/>
  <c r="AO283" i="28"/>
  <c r="J283" i="28" s="1"/>
  <c r="AM362" i="28" a="1"/>
  <c r="AM362" i="28" s="1"/>
  <c r="AO362" i="28"/>
  <c r="J362" i="28" s="1"/>
  <c r="AO55" i="28"/>
  <c r="J55" i="28" s="1"/>
  <c r="AM181" i="28" a="1"/>
  <c r="AM181" i="28" s="1"/>
  <c r="AO181" i="28"/>
  <c r="AM236" i="28" a="1"/>
  <c r="AM236" i="28" s="1"/>
  <c r="AO236" i="28" s="1"/>
  <c r="J236" i="28" s="1"/>
  <c r="AM166" i="28" a="1"/>
  <c r="AM166" i="28" s="1"/>
  <c r="AO166" i="28" s="1"/>
  <c r="J166" i="28" s="1"/>
  <c r="AM219" i="28" a="1"/>
  <c r="AM219" i="28" s="1"/>
  <c r="AO219" i="28" s="1"/>
  <c r="AO261" i="28"/>
  <c r="J261" i="28" s="1"/>
  <c r="AM374" i="28" a="1"/>
  <c r="AM374" i="28" s="1"/>
  <c r="AO374" i="28" s="1"/>
  <c r="J374" i="28" s="1"/>
  <c r="AM36" i="28" a="1"/>
  <c r="AM36" i="28" s="1"/>
  <c r="AO36" i="28" s="1"/>
  <c r="J36" i="28" s="1"/>
  <c r="AM118" i="28" a="1"/>
  <c r="AM118" i="28" s="1"/>
  <c r="AO248" i="28"/>
  <c r="J248" i="28" s="1"/>
  <c r="AM350" i="28" a="1"/>
  <c r="AM350" i="28" s="1"/>
  <c r="AO350" i="28"/>
  <c r="J350" i="28" s="1"/>
  <c r="AO252" i="28"/>
  <c r="V375" i="28"/>
  <c r="W375" i="28" s="1"/>
  <c r="AE375" i="28"/>
  <c r="AO269" i="28"/>
  <c r="J269" i="28" s="1"/>
  <c r="AL69" i="28" a="1"/>
  <c r="AL69" i="28" s="1"/>
  <c r="AN69" i="28" s="1" a="1"/>
  <c r="AN69" i="28" s="1"/>
  <c r="AK69" i="28" a="1"/>
  <c r="AK69" i="28" s="1"/>
  <c r="AM69" i="28" s="1" a="1"/>
  <c r="AM69" i="28" s="1"/>
  <c r="AL149" i="28" a="1"/>
  <c r="AL149" i="28" s="1"/>
  <c r="AN149" i="28" s="1" a="1"/>
  <c r="AN149" i="28" s="1"/>
  <c r="AK149" i="28" a="1"/>
  <c r="AK149" i="28" s="1"/>
  <c r="AM149" i="28" s="1" a="1"/>
  <c r="AM149" i="28" s="1"/>
  <c r="AL188" i="28" a="1"/>
  <c r="AL188" i="28" s="1"/>
  <c r="AN188" i="28" s="1" a="1"/>
  <c r="AN188" i="28" s="1"/>
  <c r="AK188" i="28" a="1"/>
  <c r="AK188" i="28" s="1"/>
  <c r="AM188" i="28" s="1" a="1"/>
  <c r="AM188" i="28" s="1"/>
  <c r="AL114" i="28" a="1"/>
  <c r="AL114" i="28" s="1"/>
  <c r="AN114" i="28" s="1" a="1"/>
  <c r="AN114" i="28" s="1"/>
  <c r="AK114" i="28" a="1"/>
  <c r="AK114" i="28" s="1"/>
  <c r="AM114" i="28" s="1" a="1"/>
  <c r="AM114" i="28" s="1"/>
  <c r="AK245" i="28" a="1"/>
  <c r="AK245" i="28" s="1"/>
  <c r="AM245" i="28" s="1" a="1"/>
  <c r="AM245" i="28" s="1"/>
  <c r="AL245" i="28" a="1"/>
  <c r="AL245" i="28" s="1"/>
  <c r="AN245" i="28" s="1" a="1"/>
  <c r="AN245" i="28" s="1"/>
  <c r="AL34" i="28" a="1"/>
  <c r="AL34" i="28" s="1"/>
  <c r="AN34" i="28" s="1" a="1"/>
  <c r="AN34" i="28" s="1"/>
  <c r="AK34" i="28" a="1"/>
  <c r="AK34" i="28" s="1"/>
  <c r="AM34" i="28" s="1" a="1"/>
  <c r="AM34" i="28" s="1"/>
  <c r="AK298" i="28" a="1"/>
  <c r="AK298" i="28" s="1"/>
  <c r="AM298" i="28" s="1" a="1"/>
  <c r="AM298" i="28" s="1"/>
  <c r="AL298" i="28" a="1"/>
  <c r="AL298" i="28" s="1"/>
  <c r="AN298" i="28" s="1" a="1"/>
  <c r="AN298" i="28" s="1"/>
  <c r="AK21" i="28" a="1"/>
  <c r="AK21" i="28" s="1"/>
  <c r="AM21" i="28" s="1" a="1"/>
  <c r="AM21" i="28" s="1"/>
  <c r="AL21" i="28" a="1"/>
  <c r="AL21" i="28" s="1"/>
  <c r="AN21" i="28" s="1" a="1"/>
  <c r="AN21" i="28" s="1"/>
  <c r="AO346" i="28"/>
  <c r="J346" i="28" s="1"/>
  <c r="AL88" i="28" a="1"/>
  <c r="AL88" i="28" s="1"/>
  <c r="AN88" i="28" s="1" a="1"/>
  <c r="AN88" i="28" s="1"/>
  <c r="AK88" i="28" a="1"/>
  <c r="AK88" i="28" s="1"/>
  <c r="AM88" i="28" s="1" a="1"/>
  <c r="AM88" i="28" s="1"/>
  <c r="AO185" i="28"/>
  <c r="J185" i="28" s="1"/>
  <c r="AL122" i="28" a="1"/>
  <c r="AL122" i="28" s="1"/>
  <c r="AN122" i="28" s="1" a="1"/>
  <c r="AN122" i="28" s="1"/>
  <c r="AK122" i="28" a="1"/>
  <c r="AK122" i="28" s="1"/>
  <c r="AM122" i="28" s="1" a="1"/>
  <c r="AM122" i="28" s="1"/>
  <c r="AL327" i="28" a="1"/>
  <c r="AL327" i="28" s="1"/>
  <c r="AN327" i="28" s="1" a="1"/>
  <c r="AN327" i="28" s="1"/>
  <c r="AK327" i="28" a="1"/>
  <c r="AK327" i="28" s="1"/>
  <c r="AM327" i="28" s="1" a="1"/>
  <c r="AM327" i="28" s="1"/>
  <c r="AL369" i="28" a="1"/>
  <c r="AL369" i="28" s="1"/>
  <c r="AN369" i="28" s="1" a="1"/>
  <c r="AN369" i="28" s="1"/>
  <c r="AK369" i="28" a="1"/>
  <c r="AK369" i="28" s="1"/>
  <c r="AM369" i="28" s="1" a="1"/>
  <c r="AM369" i="28" s="1"/>
  <c r="AK49" i="28" a="1"/>
  <c r="AK49" i="28" s="1"/>
  <c r="AM49" i="28" s="1" a="1"/>
  <c r="AM49" i="28" s="1"/>
  <c r="AL49" i="28" a="1"/>
  <c r="AL49" i="28" s="1"/>
  <c r="AN49" i="28" s="1" a="1"/>
  <c r="AN49" i="28" s="1"/>
  <c r="AK152" i="28" a="1"/>
  <c r="AK152" i="28" s="1"/>
  <c r="AM152" i="28" s="1" a="1"/>
  <c r="AM152" i="28" s="1"/>
  <c r="AL152" i="28" a="1"/>
  <c r="AL152" i="28" s="1"/>
  <c r="AN152" i="28" s="1" a="1"/>
  <c r="AN152" i="28" s="1"/>
  <c r="AL421" i="28" a="1"/>
  <c r="AL421" i="28" s="1"/>
  <c r="AN421" i="28" s="1" a="1"/>
  <c r="AN421" i="28" s="1"/>
  <c r="AK421" i="28" a="1"/>
  <c r="AK421" i="28" s="1"/>
  <c r="AM421" i="28" s="1" a="1"/>
  <c r="AM421" i="28" s="1"/>
  <c r="AL24" i="28" a="1"/>
  <c r="AL24" i="28" s="1"/>
  <c r="AN24" i="28" s="1" a="1"/>
  <c r="AN24" i="28" s="1"/>
  <c r="AK24" i="28" a="1"/>
  <c r="AK24" i="28" s="1"/>
  <c r="AM24" i="28" s="1" a="1"/>
  <c r="AM24" i="28" s="1"/>
  <c r="AK154" i="28" a="1"/>
  <c r="AK154" i="28" s="1"/>
  <c r="AM154" i="28" s="1" a="1"/>
  <c r="AM154" i="28" s="1"/>
  <c r="AL154" i="28" a="1"/>
  <c r="AL154" i="28" s="1"/>
  <c r="AN154" i="28" s="1" a="1"/>
  <c r="AN154" i="28" s="1"/>
  <c r="AL20" i="28" a="1"/>
  <c r="AL20" i="28" s="1"/>
  <c r="AN20" i="28" s="1" a="1"/>
  <c r="AN20" i="28" s="1"/>
  <c r="AK20" i="28" a="1"/>
  <c r="AK20" i="28" s="1"/>
  <c r="AM20" i="28" s="1" a="1"/>
  <c r="AM20" i="28" s="1"/>
  <c r="AK65" i="28" a="1"/>
  <c r="AK65" i="28" s="1"/>
  <c r="AM65" i="28" s="1" a="1"/>
  <c r="AM65" i="28" s="1"/>
  <c r="AL65" i="28" a="1"/>
  <c r="AL65" i="28" s="1"/>
  <c r="AN65" i="28" s="1" a="1"/>
  <c r="AN65" i="28" s="1"/>
  <c r="AL3" i="28" a="1"/>
  <c r="AL3" i="28" s="1"/>
  <c r="AN3" i="28" s="1" a="1"/>
  <c r="AN3" i="28" s="1"/>
  <c r="AK3" i="28" a="1"/>
  <c r="AK3" i="28" s="1"/>
  <c r="AM3" i="28" s="1" a="1"/>
  <c r="AM3" i="28" s="1"/>
  <c r="AL270" i="28" a="1"/>
  <c r="AL270" i="28" s="1"/>
  <c r="AN270" i="28" s="1" a="1"/>
  <c r="AN270" i="28" s="1"/>
  <c r="AK270" i="28" a="1"/>
  <c r="AK270" i="28" s="1"/>
  <c r="AM270" i="28" s="1" a="1"/>
  <c r="AM270" i="28" s="1"/>
  <c r="AL193" i="28" a="1"/>
  <c r="AL193" i="28" s="1"/>
  <c r="AN193" i="28" s="1" a="1"/>
  <c r="AN193" i="28" s="1"/>
  <c r="AK193" i="28" a="1"/>
  <c r="AK193" i="28" s="1"/>
  <c r="AM193" i="28" s="1" a="1"/>
  <c r="AM193" i="28" s="1"/>
  <c r="AO23" i="28"/>
  <c r="J23" i="28" s="1"/>
  <c r="AE42" i="28"/>
  <c r="AO66" i="28"/>
  <c r="J66" i="28" s="1"/>
  <c r="AO73" i="28"/>
  <c r="J73" i="28" s="1"/>
  <c r="AO158" i="28"/>
  <c r="J158" i="28" s="1"/>
  <c r="AO330" i="28"/>
  <c r="J330" i="28" s="1"/>
  <c r="AO91" i="28"/>
  <c r="J91" i="28" s="1"/>
  <c r="AO159" i="28"/>
  <c r="J159" i="28" s="1"/>
  <c r="AO218" i="28"/>
  <c r="AO267" i="28"/>
  <c r="J267" i="28" s="1"/>
  <c r="AL311" i="28" a="1"/>
  <c r="AL311" i="28" s="1"/>
  <c r="AN311" i="28" s="1" a="1"/>
  <c r="AN311" i="28" s="1"/>
  <c r="AK311" i="28" a="1"/>
  <c r="AK311" i="28" s="1"/>
  <c r="AM311" i="28" s="1" a="1"/>
  <c r="AM311" i="28" s="1"/>
  <c r="AL376" i="28" a="1"/>
  <c r="AL376" i="28" s="1"/>
  <c r="AN376" i="28" s="1" a="1"/>
  <c r="AN376" i="28" s="1"/>
  <c r="AK376" i="28" a="1"/>
  <c r="AK376" i="28" s="1"/>
  <c r="AM376" i="28" s="1" a="1"/>
  <c r="AM376" i="28" s="1"/>
  <c r="AO398" i="28"/>
  <c r="J398" i="28" s="1"/>
  <c r="AL241" i="28" a="1"/>
  <c r="AL241" i="28" s="1"/>
  <c r="AN241" i="28" s="1" a="1"/>
  <c r="AN241" i="28" s="1"/>
  <c r="AK241" i="28" a="1"/>
  <c r="AK241" i="28" s="1"/>
  <c r="AM241" i="28" s="1" a="1"/>
  <c r="AM241" i="28" s="1"/>
  <c r="AK274" i="28" a="1"/>
  <c r="AK274" i="28" s="1"/>
  <c r="AM274" i="28" s="1" a="1"/>
  <c r="AM274" i="28" s="1"/>
  <c r="AL274" i="28" a="1"/>
  <c r="AL274" i="28" s="1"/>
  <c r="AN274" i="28" s="1" a="1"/>
  <c r="AN274" i="28" s="1"/>
  <c r="AL282" i="28" a="1"/>
  <c r="AL282" i="28" s="1"/>
  <c r="AN282" i="28" s="1" a="1"/>
  <c r="AN282" i="28" s="1"/>
  <c r="AK282" i="28" a="1"/>
  <c r="AK282" i="28" s="1"/>
  <c r="AM282" i="28" s="1" a="1"/>
  <c r="AM282" i="28" s="1"/>
  <c r="AL242" i="28" a="1"/>
  <c r="AL242" i="28" s="1"/>
  <c r="AN242" i="28" s="1" a="1"/>
  <c r="AN242" i="28" s="1"/>
  <c r="AK242" i="28" a="1"/>
  <c r="AK242" i="28" s="1"/>
  <c r="AM242" i="28" s="1" a="1"/>
  <c r="AM242" i="28" s="1"/>
  <c r="AL139" i="28" a="1"/>
  <c r="AL139" i="28" s="1"/>
  <c r="AN139" i="28" s="1" a="1"/>
  <c r="AN139" i="28" s="1"/>
  <c r="AK139" i="28" a="1"/>
  <c r="AK139" i="28" s="1"/>
  <c r="AM139" i="28" s="1" a="1"/>
  <c r="AM139" i="28" s="1"/>
  <c r="AK99" i="28" a="1"/>
  <c r="AK99" i="28" s="1"/>
  <c r="AM99" i="28" s="1" a="1"/>
  <c r="AM99" i="28" s="1"/>
  <c r="AL99" i="28" a="1"/>
  <c r="AL99" i="28" s="1"/>
  <c r="AN99" i="28" s="1" a="1"/>
  <c r="AN99" i="28" s="1"/>
  <c r="AL10" i="28" a="1"/>
  <c r="AL10" i="28" s="1"/>
  <c r="AN10" i="28" s="1" a="1"/>
  <c r="AN10" i="28" s="1"/>
  <c r="AK10" i="28" a="1"/>
  <c r="AK10" i="28" s="1"/>
  <c r="AM10" i="28" s="1" a="1"/>
  <c r="AM10" i="28" s="1"/>
  <c r="AL95" i="28" a="1"/>
  <c r="AL95" i="28" s="1"/>
  <c r="AN95" i="28" s="1" a="1"/>
  <c r="AN95" i="28" s="1"/>
  <c r="AK95" i="28" a="1"/>
  <c r="AK95" i="28" s="1"/>
  <c r="AM95" i="28" s="1" a="1"/>
  <c r="AM95" i="28" s="1"/>
  <c r="AK407" i="28" a="1"/>
  <c r="AK407" i="28" s="1"/>
  <c r="AM407" i="28" s="1" a="1"/>
  <c r="AM407" i="28" s="1"/>
  <c r="AL407" i="28" a="1"/>
  <c r="AL407" i="28" s="1"/>
  <c r="AN407" i="28" s="1" a="1"/>
  <c r="AN407" i="28" s="1"/>
  <c r="AL5" i="28" a="1"/>
  <c r="AL5" i="28" s="1"/>
  <c r="AN5" i="28" s="1" a="1"/>
  <c r="AN5" i="28" s="1"/>
  <c r="AK5" i="28" a="1"/>
  <c r="AK5" i="28" s="1"/>
  <c r="AM5" i="28" s="1" a="1"/>
  <c r="AM5" i="28" s="1"/>
  <c r="AL357" i="28" a="1"/>
  <c r="AL357" i="28" s="1"/>
  <c r="AN357" i="28" s="1" a="1"/>
  <c r="AN357" i="28" s="1"/>
  <c r="AL360" i="28" a="1"/>
  <c r="AL360" i="28" s="1"/>
  <c r="AN360" i="28" s="1" a="1"/>
  <c r="AN360" i="28" s="1"/>
  <c r="AK360" i="28" a="1"/>
  <c r="AK360" i="28" s="1"/>
  <c r="AM360" i="28" s="1" a="1"/>
  <c r="AM360" i="28" s="1"/>
  <c r="AL176" i="28" a="1"/>
  <c r="AL176" i="28" s="1"/>
  <c r="AN176" i="28" s="1" a="1"/>
  <c r="AN176" i="28" s="1"/>
  <c r="AK176" i="28" a="1"/>
  <c r="AK176" i="28" s="1"/>
  <c r="AO281" i="28"/>
  <c r="AO345" i="28"/>
  <c r="J345" i="28" s="1"/>
  <c r="AO59" i="28"/>
  <c r="J59" i="28" s="1"/>
  <c r="AL170" i="28" a="1"/>
  <c r="AL170" i="28" s="1"/>
  <c r="AN170" i="28" s="1" a="1"/>
  <c r="AN170" i="28" s="1"/>
  <c r="AK170" i="28" a="1"/>
  <c r="AK170" i="28" s="1"/>
  <c r="AM170" i="28" s="1" a="1"/>
  <c r="AM170" i="28" s="1"/>
  <c r="AL101" i="28" a="1"/>
  <c r="AL101" i="28" s="1"/>
  <c r="AN101" i="28" s="1" a="1"/>
  <c r="AN101" i="28" s="1"/>
  <c r="AK101" i="28" a="1"/>
  <c r="AK101" i="28" s="1"/>
  <c r="AM101" i="28" s="1" a="1"/>
  <c r="AM101" i="28" s="1"/>
  <c r="AK365" i="28" a="1"/>
  <c r="AK365" i="28" s="1"/>
  <c r="AM365" i="28" s="1" a="1"/>
  <c r="AM365" i="28" s="1"/>
  <c r="AL365" i="28" a="1"/>
  <c r="AL365" i="28" s="1"/>
  <c r="AN365" i="28" s="1" a="1"/>
  <c r="AN365" i="28" s="1"/>
  <c r="AO257" i="28"/>
  <c r="AL318" i="28" a="1"/>
  <c r="AL318" i="28" s="1"/>
  <c r="AN318" i="28" s="1" a="1"/>
  <c r="AN318" i="28" s="1"/>
  <c r="AK318" i="28" a="1"/>
  <c r="AK318" i="28" s="1"/>
  <c r="AM318" i="28" s="1" a="1"/>
  <c r="AM318" i="28" s="1"/>
  <c r="AK108" i="28" a="1"/>
  <c r="AK108" i="28" s="1"/>
  <c r="AM108" i="28" s="1" a="1"/>
  <c r="AM108" i="28" s="1"/>
  <c r="AL108" i="28" a="1"/>
  <c r="AL108" i="28" s="1"/>
  <c r="AN108" i="28" s="1" a="1"/>
  <c r="AN108" i="28" s="1"/>
  <c r="AL366" i="28" a="1"/>
  <c r="AL366" i="28" s="1"/>
  <c r="AN366" i="28" s="1" a="1"/>
  <c r="AN366" i="28" s="1"/>
  <c r="AK366" i="28" a="1"/>
  <c r="AK366" i="28" s="1"/>
  <c r="AM366" i="28" s="1" a="1"/>
  <c r="AM366" i="28" s="1"/>
  <c r="AK361" i="28" a="1"/>
  <c r="AK361" i="28" s="1"/>
  <c r="AM361" i="28" s="1" a="1"/>
  <c r="AM361" i="28" s="1"/>
  <c r="AL361" i="28" a="1"/>
  <c r="AL361" i="28" s="1"/>
  <c r="AN361" i="28" s="1" a="1"/>
  <c r="AN361" i="28" s="1"/>
  <c r="AK60" i="28" a="1"/>
  <c r="AK60" i="28" s="1"/>
  <c r="AM60" i="28" s="1" a="1"/>
  <c r="AM60" i="28" s="1"/>
  <c r="AL60" i="28" a="1"/>
  <c r="AL60" i="28" s="1"/>
  <c r="AN60" i="28" s="1" a="1"/>
  <c r="AN60" i="28" s="1"/>
  <c r="AL244" i="28" a="1"/>
  <c r="AL244" i="28" s="1"/>
  <c r="AN244" i="28" s="1" a="1"/>
  <c r="AN244" i="28" s="1"/>
  <c r="AK244" i="28" a="1"/>
  <c r="AK244" i="28" s="1"/>
  <c r="AM244" i="28" s="1" a="1"/>
  <c r="AM244" i="28" s="1"/>
  <c r="AK370" i="28" a="1"/>
  <c r="AK370" i="28" s="1"/>
  <c r="AM370" i="28" s="1" a="1"/>
  <c r="AM370" i="28" s="1"/>
  <c r="AL370" i="28" a="1"/>
  <c r="AL370" i="28" s="1"/>
  <c r="AN370" i="28" s="1" a="1"/>
  <c r="AN370" i="28" s="1"/>
  <c r="AL84" i="28" a="1"/>
  <c r="AL84" i="28" s="1"/>
  <c r="AN84" i="28" s="1" a="1"/>
  <c r="AN84" i="28" s="1"/>
  <c r="AK84" i="28" a="1"/>
  <c r="AK84" i="28" s="1"/>
  <c r="AM84" i="28" s="1" a="1"/>
  <c r="AM84" i="28" s="1"/>
  <c r="AK287" i="28" a="1"/>
  <c r="AK287" i="28" s="1"/>
  <c r="AM287" i="28" s="1" a="1"/>
  <c r="AM287" i="28" s="1"/>
  <c r="AL287" i="28" a="1"/>
  <c r="AL287" i="28" s="1"/>
  <c r="AN287" i="28" s="1" a="1"/>
  <c r="AN287" i="28" s="1"/>
  <c r="AK368" i="28" a="1"/>
  <c r="AK368" i="28" s="1"/>
  <c r="AM368" i="28" s="1" a="1"/>
  <c r="AM368" i="28" s="1"/>
  <c r="AL368" i="28" a="1"/>
  <c r="AL368" i="28" s="1"/>
  <c r="AN368" i="28" s="1" a="1"/>
  <c r="AN368" i="28" s="1"/>
  <c r="AK71" i="28" a="1"/>
  <c r="AK71" i="28" s="1"/>
  <c r="AM71" i="28" s="1" a="1"/>
  <c r="AM71" i="28" s="1"/>
  <c r="AL71" i="28" a="1"/>
  <c r="AL71" i="28" s="1"/>
  <c r="AN71" i="28" s="1" a="1"/>
  <c r="AN71" i="28" s="1"/>
  <c r="AO221" i="28"/>
  <c r="J221" i="28" s="1"/>
  <c r="AO266" i="28"/>
  <c r="J266" i="28" s="1"/>
  <c r="AL57" i="28" a="1"/>
  <c r="AL57" i="28" s="1"/>
  <c r="AN57" i="28" s="1" a="1"/>
  <c r="AN57" i="28" s="1"/>
  <c r="AK57" i="28" a="1"/>
  <c r="AK57" i="28" s="1"/>
  <c r="AM57" i="28" s="1" a="1"/>
  <c r="AM57" i="28" s="1"/>
  <c r="AM175" i="28" a="1"/>
  <c r="AM175" i="28" s="1"/>
  <c r="AO239" i="28"/>
  <c r="AM239" i="28" a="1"/>
  <c r="AM239" i="28" s="1"/>
  <c r="AO25" i="28" l="1"/>
  <c r="J25" i="28" s="1"/>
  <c r="H129" i="14"/>
  <c r="AL422" i="28" a="1"/>
  <c r="AL422" i="28" s="1"/>
  <c r="AN422" i="28" s="1" a="1"/>
  <c r="AN422" i="28" s="1"/>
  <c r="AK321" i="28" a="1"/>
  <c r="AK321" i="28" s="1"/>
  <c r="AK87" i="28" a="1"/>
  <c r="AK87" i="28" s="1"/>
  <c r="AM87" i="28" s="1" a="1"/>
  <c r="AM87" i="28" s="1"/>
  <c r="AK277" i="28" a="1"/>
  <c r="AK277" i="28" s="1"/>
  <c r="L286" i="28"/>
  <c r="AO50" i="28"/>
  <c r="J50" i="28" s="1"/>
  <c r="AL125" i="28" a="1"/>
  <c r="AL125" i="28" s="1"/>
  <c r="AN125" i="28" s="1" a="1"/>
  <c r="AN125" i="28" s="1"/>
  <c r="AK125" i="28" a="1"/>
  <c r="AK125" i="28" s="1"/>
  <c r="AM125" i="28" s="1" a="1"/>
  <c r="AM125" i="28" s="1"/>
  <c r="L379" i="28"/>
  <c r="AL322" i="28" a="1"/>
  <c r="AL322" i="28" s="1"/>
  <c r="AN322" i="28" s="1" a="1"/>
  <c r="AN322" i="28" s="1"/>
  <c r="AK322" i="28" a="1"/>
  <c r="AK322" i="28" s="1"/>
  <c r="AM322" i="28" s="1" a="1"/>
  <c r="AM322" i="28" s="1"/>
  <c r="L173" i="28"/>
  <c r="K40" i="28"/>
  <c r="K41" i="28"/>
  <c r="L99" i="28"/>
  <c r="L324" i="28"/>
  <c r="AK6" i="28" a="1"/>
  <c r="AK6" i="28" s="1"/>
  <c r="AM6" i="28" s="1" a="1"/>
  <c r="AM6" i="28" s="1"/>
  <c r="AK412" i="28" a="1"/>
  <c r="AK412" i="28" s="1"/>
  <c r="AM412" i="28" s="1" a="1"/>
  <c r="AM412" i="28" s="1"/>
  <c r="AK419" i="28" a="1"/>
  <c r="AK419" i="28" s="1"/>
  <c r="AO109" i="28"/>
  <c r="J109" i="28" s="1"/>
  <c r="L218" i="28"/>
  <c r="L278" i="28"/>
  <c r="AO118" i="28"/>
  <c r="AO130" i="28"/>
  <c r="J130" i="28" s="1"/>
  <c r="L119" i="28"/>
  <c r="L252" i="28"/>
  <c r="L341" i="28"/>
  <c r="L377" i="28"/>
  <c r="L227" i="28"/>
  <c r="L219" i="28"/>
  <c r="L225" i="28"/>
  <c r="AK410" i="28" a="1"/>
  <c r="AK410" i="28" s="1"/>
  <c r="AM410" i="28" s="1" a="1"/>
  <c r="AM410" i="28" s="1"/>
  <c r="L282" i="28"/>
  <c r="L340" i="28"/>
  <c r="L223" i="28"/>
  <c r="L333" i="28"/>
  <c r="L343" i="28"/>
  <c r="L382" i="28"/>
  <c r="AK271" i="28" a="1"/>
  <c r="AK271" i="28" s="1"/>
  <c r="L378" i="28"/>
  <c r="L229" i="28"/>
  <c r="L116" i="28"/>
  <c r="L284" i="28"/>
  <c r="L384" i="28"/>
  <c r="L257" i="28"/>
  <c r="L98" i="28"/>
  <c r="L332" i="28"/>
  <c r="L118" i="28"/>
  <c r="AK268" i="28" a="1"/>
  <c r="AK268" i="28" s="1"/>
  <c r="L172" i="28"/>
  <c r="L175" i="28"/>
  <c r="L100" i="28"/>
  <c r="K197" i="28"/>
  <c r="K132" i="28"/>
  <c r="K288" i="28"/>
  <c r="L288" i="28" s="1"/>
  <c r="K190" i="28"/>
  <c r="L190" i="28" s="1"/>
  <c r="K206" i="28"/>
  <c r="L206" i="28" s="1"/>
  <c r="K264" i="28"/>
  <c r="K329" i="28"/>
  <c r="L329" i="28" s="1"/>
  <c r="K295" i="28"/>
  <c r="L295" i="28" s="1"/>
  <c r="K77" i="28"/>
  <c r="K215" i="28"/>
  <c r="L215" i="28" s="1"/>
  <c r="K146" i="28"/>
  <c r="L146" i="28" s="1"/>
  <c r="K157" i="28"/>
  <c r="L157" i="28" s="1"/>
  <c r="K48" i="28"/>
  <c r="L48" i="28" s="1"/>
  <c r="K371" i="28"/>
  <c r="L371" i="28" s="1"/>
  <c r="K293" i="28"/>
  <c r="L293" i="28" s="1"/>
  <c r="K351" i="28"/>
  <c r="L351" i="28" s="1"/>
  <c r="K129" i="28"/>
  <c r="L129" i="28" s="1"/>
  <c r="AB129" i="28" s="1"/>
  <c r="K169" i="28"/>
  <c r="L169" i="28" s="1"/>
  <c r="L251" i="28"/>
  <c r="L281" i="28"/>
  <c r="L287" i="28"/>
  <c r="L336" i="28"/>
  <c r="K59" i="28"/>
  <c r="L59" i="28" s="1"/>
  <c r="K345" i="28"/>
  <c r="L345" i="28" s="1"/>
  <c r="K346" i="28"/>
  <c r="L346" i="28" s="1"/>
  <c r="K123" i="28"/>
  <c r="K186" i="28"/>
  <c r="L186" i="28" s="1"/>
  <c r="K196" i="28"/>
  <c r="L196" i="28" s="1"/>
  <c r="K385" i="28"/>
  <c r="L385" i="28" s="1"/>
  <c r="K137" i="28"/>
  <c r="L137" i="28" s="1"/>
  <c r="K81" i="28"/>
  <c r="L81" i="28" s="1"/>
  <c r="K177" i="28"/>
  <c r="L177" i="28" s="1"/>
  <c r="K291" i="28"/>
  <c r="L291" i="28" s="1"/>
  <c r="K63" i="28"/>
  <c r="L63" i="28" s="1"/>
  <c r="K134" i="28"/>
  <c r="L134" i="28" s="1"/>
  <c r="K86" i="28"/>
  <c r="K18" i="28"/>
  <c r="L18" i="28" s="1"/>
  <c r="K266" i="28"/>
  <c r="K267" i="28"/>
  <c r="K44" i="28"/>
  <c r="L44" i="28" s="1"/>
  <c r="K163" i="28"/>
  <c r="L163" i="28" s="1"/>
  <c r="K425" i="28"/>
  <c r="L425" i="28" s="1"/>
  <c r="K168" i="28"/>
  <c r="L168" i="28" s="1"/>
  <c r="K292" i="28"/>
  <c r="L292" i="28" s="1"/>
  <c r="K102" i="28"/>
  <c r="L102" i="28" s="1"/>
  <c r="K348" i="28"/>
  <c r="L348" i="28" s="1"/>
  <c r="K349" i="28"/>
  <c r="L349" i="28" s="1"/>
  <c r="K294" i="28"/>
  <c r="L294" i="28" s="1"/>
  <c r="K363" i="28"/>
  <c r="L363" i="28" s="1"/>
  <c r="K110" i="28"/>
  <c r="K150" i="28"/>
  <c r="L150" i="28" s="1"/>
  <c r="K79" i="28"/>
  <c r="L79" i="28" s="1"/>
  <c r="K356" i="28"/>
  <c r="L356" i="28" s="1"/>
  <c r="AL32" i="28" a="1"/>
  <c r="AL32" i="28" s="1"/>
  <c r="AN32" i="28" s="1" a="1"/>
  <c r="AN32" i="28" s="1"/>
  <c r="AK32" i="28" a="1"/>
  <c r="AK32" i="28" s="1"/>
  <c r="L381" i="28"/>
  <c r="K115" i="28"/>
  <c r="L115" i="28" s="1"/>
  <c r="K23" i="28"/>
  <c r="L23" i="28" s="1"/>
  <c r="K74" i="28"/>
  <c r="L74" i="28" s="1"/>
  <c r="K96" i="28"/>
  <c r="K195" i="28"/>
  <c r="L195" i="28" s="1"/>
  <c r="K89" i="28"/>
  <c r="L89" i="28" s="1"/>
  <c r="K156" i="28"/>
  <c r="L156" i="28" s="1"/>
  <c r="K191" i="28"/>
  <c r="L191" i="28" s="1"/>
  <c r="K145" i="28"/>
  <c r="L145" i="28" s="1"/>
  <c r="K78" i="28"/>
  <c r="L78" i="28" s="1"/>
  <c r="K53" i="28"/>
  <c r="L53" i="28" s="1"/>
  <c r="K217" i="28"/>
  <c r="L217" i="28" s="1"/>
  <c r="K289" i="28"/>
  <c r="L289" i="28" s="1"/>
  <c r="K344" i="28"/>
  <c r="L344" i="28" s="1"/>
  <c r="AL406" i="28" a="1"/>
  <c r="AL406" i="28" s="1"/>
  <c r="AN406" i="28" s="1" a="1"/>
  <c r="AN406" i="28" s="1"/>
  <c r="K160" i="28"/>
  <c r="L160" i="28" s="1"/>
  <c r="K36" i="28"/>
  <c r="L36" i="28" s="1"/>
  <c r="K159" i="28"/>
  <c r="L159" i="28" s="1"/>
  <c r="K374" i="28"/>
  <c r="L374" i="28" s="1"/>
  <c r="K362" i="28"/>
  <c r="L362" i="28" s="1"/>
  <c r="K380" i="28"/>
  <c r="L380" i="28" s="1"/>
  <c r="K148" i="28"/>
  <c r="L148" i="28" s="1"/>
  <c r="K52" i="28"/>
  <c r="L52" i="28" s="1"/>
  <c r="K75" i="28"/>
  <c r="L75" i="28" s="1"/>
  <c r="K290" i="28"/>
  <c r="L290" i="28" s="1"/>
  <c r="K131" i="28"/>
  <c r="L131" i="28" s="1"/>
  <c r="AB131" i="28" s="1"/>
  <c r="K29" i="28"/>
  <c r="K4" i="28"/>
  <c r="L4" i="28" s="1"/>
  <c r="K147" i="28"/>
  <c r="L147" i="28" s="1"/>
  <c r="K51" i="28"/>
  <c r="L51" i="28" s="1"/>
  <c r="AK35" i="28" a="1"/>
  <c r="AK35" i="28" s="1"/>
  <c r="AL35" i="28" a="1"/>
  <c r="AL35" i="28" s="1"/>
  <c r="AN35" i="28" s="1" a="1"/>
  <c r="AN35" i="28" s="1"/>
  <c r="K221" i="28"/>
  <c r="L221" i="28" s="1"/>
  <c r="K398" i="28"/>
  <c r="L398" i="28" s="1"/>
  <c r="K91" i="28"/>
  <c r="L91" i="28" s="1"/>
  <c r="K347" i="28"/>
  <c r="L347" i="28" s="1"/>
  <c r="K28" i="28"/>
  <c r="K140" i="28"/>
  <c r="K43" i="28"/>
  <c r="L43" i="28" s="1"/>
  <c r="K128" i="28"/>
  <c r="L128" i="28" s="1"/>
  <c r="K47" i="28"/>
  <c r="L47" i="28" s="1"/>
  <c r="K27" i="28"/>
  <c r="L253" i="28"/>
  <c r="K248" i="28"/>
  <c r="L248" i="28" s="1"/>
  <c r="K330" i="28"/>
  <c r="L330" i="28" s="1"/>
  <c r="K185" i="28"/>
  <c r="K350" i="28"/>
  <c r="L350" i="28" s="1"/>
  <c r="K120" i="28"/>
  <c r="L120" i="28" s="1"/>
  <c r="K335" i="28"/>
  <c r="L335" i="28" s="1"/>
  <c r="K208" i="28"/>
  <c r="K151" i="28"/>
  <c r="L151" i="28" s="1"/>
  <c r="K162" i="28"/>
  <c r="L162" i="28" s="1"/>
  <c r="K165" i="28"/>
  <c r="L165" i="28" s="1"/>
  <c r="K45" i="28"/>
  <c r="L45" i="28" s="1"/>
  <c r="K222" i="28"/>
  <c r="L222" i="28" s="1"/>
  <c r="K50" i="28"/>
  <c r="L50" i="28" s="1"/>
  <c r="K46" i="28"/>
  <c r="L46" i="28" s="1"/>
  <c r="K153" i="28"/>
  <c r="L153" i="28" s="1"/>
  <c r="K42" i="28"/>
  <c r="L42" i="28" s="1"/>
  <c r="AB42" i="28" s="1"/>
  <c r="K73" i="28"/>
  <c r="L73" i="28" s="1"/>
  <c r="K158" i="28"/>
  <c r="L158" i="28" s="1"/>
  <c r="K166" i="28"/>
  <c r="L166" i="28" s="1"/>
  <c r="K17" i="28"/>
  <c r="L17" i="28" s="1"/>
  <c r="K72" i="28"/>
  <c r="L72" i="28" s="1"/>
  <c r="K125" i="28"/>
  <c r="L125" i="28" s="1"/>
  <c r="K6" i="28"/>
  <c r="L6" i="28" s="1"/>
  <c r="K161" i="28"/>
  <c r="L161" i="28" s="1"/>
  <c r="K220" i="28"/>
  <c r="L220" i="28" s="1"/>
  <c r="K76" i="28"/>
  <c r="L76" i="28" s="1"/>
  <c r="K80" i="28"/>
  <c r="L80" i="28" s="1"/>
  <c r="K127" i="28"/>
  <c r="L127" i="28" s="1"/>
  <c r="K213" i="28"/>
  <c r="L213" i="28" s="1"/>
  <c r="AB213" i="28" s="1"/>
  <c r="L250" i="28"/>
  <c r="AK273" i="28" a="1"/>
  <c r="AK273" i="28" s="1"/>
  <c r="AK399" i="28" a="1"/>
  <c r="AK399" i="28" s="1"/>
  <c r="AM399" i="28" s="1" a="1"/>
  <c r="AM399" i="28" s="1"/>
  <c r="AO229" i="28"/>
  <c r="AK13" i="28" a="1"/>
  <c r="AK13" i="28" s="1"/>
  <c r="AM13" i="28" s="1" a="1"/>
  <c r="AM13" i="28" s="1"/>
  <c r="AO13" i="28" s="1"/>
  <c r="J13" i="28" s="1"/>
  <c r="K236" i="28"/>
  <c r="L236" i="28" s="1"/>
  <c r="AB236" i="28" s="1"/>
  <c r="K265" i="28"/>
  <c r="AK380" i="28" a="1"/>
  <c r="AK380" i="28" s="1"/>
  <c r="AM380" i="28" s="1" a="1"/>
  <c r="AM380" i="28" s="1"/>
  <c r="K391" i="28"/>
  <c r="K19" i="28"/>
  <c r="AK382" i="28" a="1"/>
  <c r="AK382" i="28" s="1"/>
  <c r="AM382" i="28" s="1" a="1"/>
  <c r="AM382" i="28" s="1"/>
  <c r="AK396" i="28" a="1"/>
  <c r="AK396" i="28" s="1"/>
  <c r="AM396" i="28" s="1" a="1"/>
  <c r="AM396" i="28" s="1"/>
  <c r="AO396" i="28" s="1"/>
  <c r="J396" i="28" s="1"/>
  <c r="K243" i="28"/>
  <c r="K249" i="28"/>
  <c r="L249" i="28" s="1"/>
  <c r="K387" i="28"/>
  <c r="K142" i="28"/>
  <c r="AK179" i="28" a="1"/>
  <c r="AK179" i="28" s="1"/>
  <c r="AM179" i="28" s="1" a="1"/>
  <c r="AM179" i="28" s="1"/>
  <c r="K388" i="28"/>
  <c r="AL385" i="28" a="1"/>
  <c r="AL385" i="28" s="1"/>
  <c r="AN385" i="28" s="1" a="1"/>
  <c r="AN385" i="28" s="1"/>
  <c r="AK385" i="28" a="1"/>
  <c r="AK385" i="28" s="1"/>
  <c r="AM385" i="28" s="1" a="1"/>
  <c r="AM385" i="28" s="1"/>
  <c r="K238" i="28"/>
  <c r="K22" i="28"/>
  <c r="L22" i="28" s="1"/>
  <c r="K259" i="28"/>
  <c r="K260" i="28"/>
  <c r="K111" i="28"/>
  <c r="L110" i="28" s="1"/>
  <c r="K390" i="28"/>
  <c r="K261" i="28"/>
  <c r="L261" i="28" s="1"/>
  <c r="K15" i="28"/>
  <c r="K192" i="28"/>
  <c r="L192" i="28" s="1"/>
  <c r="K207" i="28"/>
  <c r="K255" i="28"/>
  <c r="L255" i="28" s="1"/>
  <c r="K262" i="28"/>
  <c r="L262" i="28" s="1"/>
  <c r="K130" i="28"/>
  <c r="L130" i="28" s="1"/>
  <c r="K263" i="28"/>
  <c r="K141" i="28"/>
  <c r="K246" i="28"/>
  <c r="K143" i="28"/>
  <c r="K138" i="28"/>
  <c r="K97" i="28"/>
  <c r="L96" i="28" s="1"/>
  <c r="AK276" i="28" a="1"/>
  <c r="AK276" i="28" s="1"/>
  <c r="AL276" i="28" a="1"/>
  <c r="AL276" i="28" s="1"/>
  <c r="AN276" i="28" s="1" a="1"/>
  <c r="AN276" i="28" s="1"/>
  <c r="K204" i="28"/>
  <c r="L204" i="28" s="1"/>
  <c r="K136" i="28"/>
  <c r="L136" i="28" s="1"/>
  <c r="K233" i="28"/>
  <c r="L233" i="28" s="1"/>
  <c r="K124" i="28"/>
  <c r="L124" i="28" s="1"/>
  <c r="K200" i="28"/>
  <c r="L200" i="28" s="1"/>
  <c r="K144" i="28"/>
  <c r="AL414" i="28" a="1"/>
  <c r="AL414" i="28" s="1"/>
  <c r="AN414" i="28" s="1" a="1"/>
  <c r="AN414" i="28" s="1"/>
  <c r="K386" i="28"/>
  <c r="L386" i="28" s="1"/>
  <c r="K258" i="28"/>
  <c r="K393" i="28"/>
  <c r="AO31" i="28"/>
  <c r="J31" i="28" s="1"/>
  <c r="K30" i="28" s="1"/>
  <c r="AO3" i="28"/>
  <c r="J3" i="28" s="1"/>
  <c r="AK403" i="28" a="1"/>
  <c r="AK403" i="28" s="1"/>
  <c r="AM403" i="28" s="1" a="1"/>
  <c r="AM403" i="28" s="1"/>
  <c r="AO403" i="28" s="1"/>
  <c r="J403" i="28" s="1"/>
  <c r="AL403" i="28" a="1"/>
  <c r="AL403" i="28" s="1"/>
  <c r="AN403" i="28" s="1" a="1"/>
  <c r="AN403" i="28" s="1"/>
  <c r="AL68" i="28" a="1"/>
  <c r="AL68" i="28" s="1"/>
  <c r="AN68" i="28" s="1" a="1"/>
  <c r="AN68" i="28" s="1"/>
  <c r="AK68" i="28" a="1"/>
  <c r="AK68" i="28" s="1"/>
  <c r="H104" i="14"/>
  <c r="H54" i="14"/>
  <c r="H206" i="14"/>
  <c r="AO275" i="28"/>
  <c r="J275" i="28" s="1"/>
  <c r="AO367" i="28"/>
  <c r="J367" i="28" s="1"/>
  <c r="AL148" i="28" a="1"/>
  <c r="AL148" i="28" s="1"/>
  <c r="AN148" i="28" s="1" a="1"/>
  <c r="AN148" i="28" s="1"/>
  <c r="AO67" i="28"/>
  <c r="J67" i="28" s="1"/>
  <c r="AO285" i="28"/>
  <c r="J285" i="28" s="1"/>
  <c r="AO62" i="28"/>
  <c r="J62" i="28" s="1"/>
  <c r="AO232" i="28"/>
  <c r="J232" i="28" s="1"/>
  <c r="AE234" i="28" s="1"/>
  <c r="AO280" i="28"/>
  <c r="J280" i="28" s="1"/>
  <c r="AK174" i="28" a="1"/>
  <c r="AK174" i="28" s="1"/>
  <c r="AO414" i="28"/>
  <c r="J414" i="28" s="1"/>
  <c r="AL354" i="28" a="1"/>
  <c r="AL354" i="28" s="1"/>
  <c r="AN354" i="28" s="1" a="1"/>
  <c r="AN354" i="28" s="1"/>
  <c r="AK354" i="28" a="1"/>
  <c r="AK354" i="28" s="1"/>
  <c r="AK328" i="28" a="1"/>
  <c r="AK328" i="28" s="1"/>
  <c r="AL328" i="28" a="1"/>
  <c r="AL328" i="28" s="1"/>
  <c r="AN328" i="28" s="1" a="1"/>
  <c r="AN328" i="28" s="1"/>
  <c r="AK379" i="28" a="1"/>
  <c r="AK379" i="28" s="1"/>
  <c r="AL379" i="28" a="1"/>
  <c r="AL379" i="28" s="1"/>
  <c r="AN379" i="28" s="1" a="1"/>
  <c r="AN379" i="28" s="1"/>
  <c r="AL306" i="28" a="1"/>
  <c r="AL306" i="28" s="1"/>
  <c r="AN306" i="28" s="1" a="1"/>
  <c r="AN306" i="28" s="1"/>
  <c r="AK306" i="28" a="1"/>
  <c r="AK306" i="28" s="1"/>
  <c r="AM306" i="28" s="1" a="1"/>
  <c r="AM306" i="28" s="1"/>
  <c r="AK355" i="28" a="1"/>
  <c r="AK355" i="28" s="1"/>
  <c r="AM355" i="28" s="1" a="1"/>
  <c r="AM355" i="28" s="1"/>
  <c r="AO355" i="28" s="1"/>
  <c r="J355" i="28" s="1"/>
  <c r="AL355" i="28" a="1"/>
  <c r="AL355" i="28" s="1"/>
  <c r="AN355" i="28" s="1" a="1"/>
  <c r="AN355" i="28" s="1"/>
  <c r="AO314" i="28"/>
  <c r="J314" i="28" s="1"/>
  <c r="AK307" i="28" a="1"/>
  <c r="AK307" i="28" s="1"/>
  <c r="AL307" i="28" a="1"/>
  <c r="AL307" i="28" s="1"/>
  <c r="AN307" i="28" s="1" a="1"/>
  <c r="AN307" i="28" s="1"/>
  <c r="AK304" i="28" a="1"/>
  <c r="AK304" i="28" s="1"/>
  <c r="AL304" i="28" a="1"/>
  <c r="AL304" i="28" s="1"/>
  <c r="AN304" i="28" s="1" a="1"/>
  <c r="AN304" i="28" s="1"/>
  <c r="AK353" i="28" a="1"/>
  <c r="AK353" i="28" s="1"/>
  <c r="AL353" i="28" a="1"/>
  <c r="AL353" i="28" s="1"/>
  <c r="AN353" i="28" s="1" a="1"/>
  <c r="AN353" i="28" s="1"/>
  <c r="AL383" i="28" a="1"/>
  <c r="AL383" i="28" s="1"/>
  <c r="AN383" i="28" s="1" a="1"/>
  <c r="AN383" i="28" s="1"/>
  <c r="AK383" i="28" a="1"/>
  <c r="AK383" i="28" s="1"/>
  <c r="AO7" i="28"/>
  <c r="J7" i="28" s="1"/>
  <c r="AK319" i="28" a="1"/>
  <c r="AK319" i="28" s="1"/>
  <c r="AL319" i="28" a="1"/>
  <c r="AL319" i="28" s="1"/>
  <c r="AN319" i="28" s="1" a="1"/>
  <c r="AN319" i="28" s="1"/>
  <c r="AL338" i="28" a="1"/>
  <c r="AL338" i="28" s="1"/>
  <c r="AN338" i="28" s="1" a="1"/>
  <c r="AN338" i="28" s="1"/>
  <c r="AK338" i="28" a="1"/>
  <c r="AK338" i="28" s="1"/>
  <c r="AL317" i="28" a="1"/>
  <c r="AL317" i="28" s="1"/>
  <c r="AN317" i="28" s="1" a="1"/>
  <c r="AN317" i="28" s="1"/>
  <c r="AK317" i="28" a="1"/>
  <c r="AK317" i="28" s="1"/>
  <c r="AL384" i="28" a="1"/>
  <c r="AL384" i="28" s="1"/>
  <c r="AN384" i="28" s="1" a="1"/>
  <c r="AN384" i="28" s="1"/>
  <c r="AK384" i="28" a="1"/>
  <c r="AK384" i="28" s="1"/>
  <c r="AO12" i="28"/>
  <c r="J12" i="28" s="1"/>
  <c r="AL342" i="28" a="1"/>
  <c r="AL342" i="28" s="1"/>
  <c r="AN342" i="28" s="1" a="1"/>
  <c r="AN342" i="28" s="1"/>
  <c r="AK342" i="28" a="1"/>
  <c r="AK342" i="28" s="1"/>
  <c r="AL325" i="28" a="1"/>
  <c r="AL325" i="28" s="1"/>
  <c r="AN325" i="28" s="1" a="1"/>
  <c r="AN325" i="28" s="1"/>
  <c r="AK325" i="28" a="1"/>
  <c r="AK325" i="28" s="1"/>
  <c r="AL316" i="28" a="1"/>
  <c r="AL316" i="28" s="1"/>
  <c r="AN316" i="28" s="1" a="1"/>
  <c r="AN316" i="28" s="1"/>
  <c r="AK316" i="28" a="1"/>
  <c r="AK316" i="28" s="1"/>
  <c r="AL308" i="28" a="1"/>
  <c r="AL308" i="28" s="1"/>
  <c r="AN308" i="28" s="1" a="1"/>
  <c r="AN308" i="28" s="1"/>
  <c r="AK308" i="28" a="1"/>
  <c r="AK308" i="28" s="1"/>
  <c r="AK320" i="28" a="1"/>
  <c r="AK320" i="28" s="1"/>
  <c r="AL320" i="28" a="1"/>
  <c r="AL320" i="28" s="1"/>
  <c r="AN320" i="28" s="1" a="1"/>
  <c r="AN320" i="28" s="1"/>
  <c r="AL333" i="28" a="1"/>
  <c r="AL333" i="28" s="1"/>
  <c r="AN333" i="28" s="1" a="1"/>
  <c r="AN333" i="28" s="1"/>
  <c r="AK333" i="28" a="1"/>
  <c r="AK333" i="28" s="1"/>
  <c r="AL323" i="28" a="1"/>
  <c r="AL323" i="28" s="1"/>
  <c r="AN323" i="28" s="1" a="1"/>
  <c r="AN323" i="28" s="1"/>
  <c r="AK323" i="28" a="1"/>
  <c r="AK323" i="28" s="1"/>
  <c r="AL305" i="28" a="1"/>
  <c r="AL305" i="28" s="1"/>
  <c r="AN305" i="28" s="1" a="1"/>
  <c r="AN305" i="28" s="1"/>
  <c r="AK305" i="28" a="1"/>
  <c r="AK305" i="28" s="1"/>
  <c r="AK337" i="28" a="1"/>
  <c r="AK337" i="28" s="1"/>
  <c r="AM337" i="28" s="1" a="1"/>
  <c r="AM337" i="28" s="1"/>
  <c r="AL337" i="28" a="1"/>
  <c r="AL337" i="28" s="1"/>
  <c r="AN337" i="28" s="1" a="1"/>
  <c r="AN337" i="28" s="1"/>
  <c r="AL332" i="28" a="1"/>
  <c r="AL332" i="28" s="1"/>
  <c r="AN332" i="28" s="1" a="1"/>
  <c r="AN332" i="28" s="1"/>
  <c r="AK332" i="28" a="1"/>
  <c r="AK332" i="28" s="1"/>
  <c r="AK324" i="28" a="1"/>
  <c r="AK324" i="28" s="1"/>
  <c r="AM324" i="28" s="1" a="1"/>
  <c r="AM324" i="28" s="1"/>
  <c r="AL324" i="28" a="1"/>
  <c r="AL324" i="28" s="1"/>
  <c r="AN324" i="28" s="1" a="1"/>
  <c r="AN324" i="28" s="1"/>
  <c r="AK381" i="28" a="1"/>
  <c r="AK381" i="28" s="1"/>
  <c r="AL381" i="28" a="1"/>
  <c r="AL381" i="28" s="1"/>
  <c r="AN381" i="28" s="1" a="1"/>
  <c r="AN381" i="28" s="1"/>
  <c r="AL352" i="28" a="1"/>
  <c r="AL352" i="28" s="1"/>
  <c r="AN352" i="28" s="1" a="1"/>
  <c r="AN352" i="28" s="1"/>
  <c r="AK352" i="28" a="1"/>
  <c r="AK352" i="28" s="1"/>
  <c r="AM352" i="28" s="1" a="1"/>
  <c r="AM352" i="28" s="1"/>
  <c r="AO352" i="28" s="1"/>
  <c r="J352" i="28" s="1"/>
  <c r="AK334" i="28" a="1"/>
  <c r="AK334" i="28" s="1"/>
  <c r="AL334" i="28" a="1"/>
  <c r="AL334" i="28" s="1"/>
  <c r="AN334" i="28" s="1" a="1"/>
  <c r="AN334" i="28" s="1"/>
  <c r="AK343" i="28" a="1"/>
  <c r="AK343" i="28" s="1"/>
  <c r="AL343" i="28" a="1"/>
  <c r="AL343" i="28" s="1"/>
  <c r="AN343" i="28" s="1" a="1"/>
  <c r="AN343" i="28" s="1"/>
  <c r="AK404" i="28" a="1"/>
  <c r="AK404" i="28" s="1"/>
  <c r="AL404" i="28" a="1"/>
  <c r="AL404" i="28" s="1"/>
  <c r="AN404" i="28" s="1" a="1"/>
  <c r="AN404" i="28" s="1"/>
  <c r="AK172" i="28" a="1"/>
  <c r="AK172" i="28" s="1"/>
  <c r="AL172" i="28" a="1"/>
  <c r="AL172" i="28" s="1"/>
  <c r="AN172" i="28" s="1" a="1"/>
  <c r="AN172" i="28" s="1"/>
  <c r="AL378" i="28" a="1"/>
  <c r="AL378" i="28" s="1"/>
  <c r="AN378" i="28" s="1" a="1"/>
  <c r="AN378" i="28" s="1"/>
  <c r="AK378" i="28" a="1"/>
  <c r="AK378" i="28" s="1"/>
  <c r="AL309" i="28" a="1"/>
  <c r="AL309" i="28" s="1"/>
  <c r="AN309" i="28" s="1" a="1"/>
  <c r="AN309" i="28" s="1"/>
  <c r="AK309" i="28" a="1"/>
  <c r="AK309" i="28" s="1"/>
  <c r="J228" i="28"/>
  <c r="AL402" i="28" a="1"/>
  <c r="AL402" i="28" s="1"/>
  <c r="AN402" i="28" s="1" a="1"/>
  <c r="AN402" i="28" s="1"/>
  <c r="AK402" i="28" a="1"/>
  <c r="AK402" i="28" s="1"/>
  <c r="AK315" i="28" a="1"/>
  <c r="AK315" i="28" s="1"/>
  <c r="AL315" i="28" a="1"/>
  <c r="AL315" i="28" s="1"/>
  <c r="AN315" i="28" s="1" a="1"/>
  <c r="AN315" i="28" s="1"/>
  <c r="AK411" i="28" a="1"/>
  <c r="AK411" i="28" s="1"/>
  <c r="AL411" i="28" a="1"/>
  <c r="AL411" i="28" s="1"/>
  <c r="AN411" i="28" s="1" a="1"/>
  <c r="AN411" i="28" s="1"/>
  <c r="AO167" i="28"/>
  <c r="J167" i="28" s="1"/>
  <c r="AO326" i="28"/>
  <c r="J326" i="28" s="1"/>
  <c r="V127" i="28"/>
  <c r="W127" i="28" s="1"/>
  <c r="AO82" i="28"/>
  <c r="J82" i="28" s="1"/>
  <c r="AO235" i="28"/>
  <c r="J235" i="28" s="1"/>
  <c r="AO340" i="28"/>
  <c r="AO107" i="28"/>
  <c r="J107" i="28" s="1"/>
  <c r="AO119" i="28"/>
  <c r="AO16" i="28"/>
  <c r="J16" i="28" s="1"/>
  <c r="AO230" i="28"/>
  <c r="J230" i="28" s="1"/>
  <c r="AO201" i="28"/>
  <c r="AO39" i="28"/>
  <c r="J39" i="28" s="1"/>
  <c r="AO313" i="28"/>
  <c r="AO339" i="28"/>
  <c r="J339" i="28" s="1"/>
  <c r="AO180" i="28"/>
  <c r="AO214" i="28"/>
  <c r="J214" i="28" s="1"/>
  <c r="AO199" i="28"/>
  <c r="AK331" i="28" a="1"/>
  <c r="AK331" i="28" s="1"/>
  <c r="AL331" i="28" a="1"/>
  <c r="AL331" i="28" s="1"/>
  <c r="AN331" i="28" s="1" a="1"/>
  <c r="AN331" i="28" s="1"/>
  <c r="V150" i="28"/>
  <c r="W150" i="28" s="1"/>
  <c r="AK415" i="28" a="1"/>
  <c r="AK415" i="28" s="1"/>
  <c r="AL415" i="28" a="1"/>
  <c r="AL415" i="28" s="1"/>
  <c r="AN415" i="28" s="1" a="1"/>
  <c r="AN415" i="28" s="1"/>
  <c r="AK408" i="28" a="1"/>
  <c r="AK408" i="28" s="1"/>
  <c r="AL408" i="28" a="1"/>
  <c r="AL408" i="28" s="1"/>
  <c r="AN408" i="28" s="1" a="1"/>
  <c r="AN408" i="28" s="1"/>
  <c r="AL356" i="28" a="1"/>
  <c r="AL356" i="28" s="1"/>
  <c r="AN356" i="28" s="1" a="1"/>
  <c r="AN356" i="28" s="1"/>
  <c r="AK356" i="28" a="1"/>
  <c r="AK356" i="28" s="1"/>
  <c r="AM356" i="28" s="1" a="1"/>
  <c r="AM356" i="28" s="1"/>
  <c r="AE213" i="28"/>
  <c r="V18" i="28"/>
  <c r="W18" i="28" s="1"/>
  <c r="AO382" i="28"/>
  <c r="AO175" i="28"/>
  <c r="AM260" i="28" a="1"/>
  <c r="AM260" i="28" s="1"/>
  <c r="AO90" i="28"/>
  <c r="J90" i="28" s="1"/>
  <c r="AO225" i="28"/>
  <c r="AO278" i="28"/>
  <c r="AO410" i="28"/>
  <c r="J410" i="28" s="1"/>
  <c r="AE259" i="28"/>
  <c r="AO253" i="28"/>
  <c r="AO11" i="28"/>
  <c r="J11" i="28" s="1"/>
  <c r="AO187" i="28"/>
  <c r="J187" i="28" s="1"/>
  <c r="AO310" i="28"/>
  <c r="AO254" i="28"/>
  <c r="J254" i="28" s="1"/>
  <c r="AE254" i="28" s="1"/>
  <c r="AO135" i="28"/>
  <c r="AO372" i="28"/>
  <c r="J372" i="28" s="1"/>
  <c r="AE372" i="28" s="1"/>
  <c r="AO26" i="28"/>
  <c r="J26" i="28" s="1"/>
  <c r="AK171" i="28" a="1"/>
  <c r="AK171" i="28" s="1"/>
  <c r="AL171" i="28" a="1"/>
  <c r="AL171" i="28" s="1"/>
  <c r="AN171" i="28" s="1" a="1"/>
  <c r="AN171" i="28" s="1"/>
  <c r="AK173" i="28" a="1"/>
  <c r="AK173" i="28" s="1"/>
  <c r="AL173" i="28" a="1"/>
  <c r="AL173" i="28" s="1"/>
  <c r="AN173" i="28" s="1" a="1"/>
  <c r="AN173" i="28" s="1"/>
  <c r="AO272" i="28"/>
  <c r="J272" i="28" s="1"/>
  <c r="AO106" i="28"/>
  <c r="J106" i="28" s="1"/>
  <c r="V160" i="28"/>
  <c r="W160" i="28" s="1"/>
  <c r="AM79" i="28" a="1"/>
  <c r="AM79" i="28" s="1"/>
  <c r="AO406" i="28"/>
  <c r="J406" i="28" s="1"/>
  <c r="AO399" i="28"/>
  <c r="J399" i="28" s="1"/>
  <c r="AO112" i="28"/>
  <c r="J112" i="28" s="1"/>
  <c r="AM178" i="28" a="1"/>
  <c r="AM178" i="28" s="1"/>
  <c r="AO58" i="28"/>
  <c r="J58" i="28" s="1"/>
  <c r="AE127" i="28"/>
  <c r="AO38" i="28"/>
  <c r="AO312" i="28"/>
  <c r="J312" i="28" s="1"/>
  <c r="AO377" i="28"/>
  <c r="AO205" i="28"/>
  <c r="J205" i="28" s="1"/>
  <c r="AE205" i="28" s="1"/>
  <c r="AO336" i="28"/>
  <c r="AO412" i="28"/>
  <c r="J412" i="28" s="1"/>
  <c r="AO422" i="28"/>
  <c r="J422" i="28" s="1"/>
  <c r="AO198" i="28"/>
  <c r="AE51" i="28"/>
  <c r="AE294" i="28"/>
  <c r="AE295" i="28"/>
  <c r="AO139" i="28"/>
  <c r="AE292" i="28"/>
  <c r="AE126" i="28"/>
  <c r="AO359" i="28"/>
  <c r="J359" i="28" s="1"/>
  <c r="AE293" i="28"/>
  <c r="AE160" i="28"/>
  <c r="AE169" i="28"/>
  <c r="AE129" i="28"/>
  <c r="AE29" i="28"/>
  <c r="AE40" i="28"/>
  <c r="AO113" i="28"/>
  <c r="J113" i="28" s="1"/>
  <c r="AE30" i="28"/>
  <c r="AO155" i="28"/>
  <c r="J155" i="28" s="1"/>
  <c r="F12" i="2"/>
  <c r="AO95" i="28"/>
  <c r="J95" i="28" s="1"/>
  <c r="AN61" i="28" a="1"/>
  <c r="AN61" i="28" s="1"/>
  <c r="AO61" i="28"/>
  <c r="J61" i="28" s="1"/>
  <c r="AO88" i="28"/>
  <c r="J88" i="28" s="1"/>
  <c r="AE88" i="28" s="1"/>
  <c r="AK397" i="28" a="1"/>
  <c r="AK397" i="28" s="1"/>
  <c r="AL397" i="28" a="1"/>
  <c r="AL397" i="28" s="1"/>
  <c r="AN397" i="28" s="1" a="1"/>
  <c r="AN397" i="28" s="1"/>
  <c r="AE76" i="28"/>
  <c r="AO373" i="28"/>
  <c r="J373" i="28" s="1"/>
  <c r="G14" i="14"/>
  <c r="B12" i="2"/>
  <c r="AE263" i="28"/>
  <c r="AL358" i="28" a="1"/>
  <c r="AL358" i="28" s="1"/>
  <c r="AN358" i="28" s="1" a="1"/>
  <c r="AN358" i="28" s="1"/>
  <c r="AK358" i="28" a="1"/>
  <c r="AK358" i="28" s="1"/>
  <c r="AE130" i="28"/>
  <c r="AE34" i="28"/>
  <c r="AO366" i="28"/>
  <c r="J366" i="28" s="1"/>
  <c r="AE131" i="28"/>
  <c r="AE229" i="28"/>
  <c r="G12" i="2"/>
  <c r="AK364" i="28" a="1"/>
  <c r="AK364" i="28" s="1"/>
  <c r="AM364" i="28" s="1" a="1"/>
  <c r="AM364" i="28" s="1"/>
  <c r="I107" i="2"/>
  <c r="B13" i="14"/>
  <c r="I133" i="2"/>
  <c r="D13" i="14"/>
  <c r="I88" i="16"/>
  <c r="I61" i="16"/>
  <c r="I114" i="16"/>
  <c r="F13" i="14"/>
  <c r="E13" i="14"/>
  <c r="C13" i="14"/>
  <c r="A233" i="14"/>
  <c r="A155" i="14"/>
  <c r="I155" i="14" s="1"/>
  <c r="A16" i="14"/>
  <c r="A130" i="14"/>
  <c r="I130" i="14" s="1"/>
  <c r="A80" i="14"/>
  <c r="I80" i="14" s="1"/>
  <c r="A105" i="14"/>
  <c r="A55" i="14"/>
  <c r="I55" i="14" s="1"/>
  <c r="A181" i="14"/>
  <c r="I181" i="14" s="1"/>
  <c r="A207" i="14"/>
  <c r="I207" i="14" s="1"/>
  <c r="C154" i="14"/>
  <c r="E154" i="14"/>
  <c r="B154" i="14"/>
  <c r="D154" i="14"/>
  <c r="F154" i="14"/>
  <c r="D206" i="14"/>
  <c r="C206" i="14"/>
  <c r="E206" i="14"/>
  <c r="B206" i="14"/>
  <c r="F206" i="14"/>
  <c r="D104" i="14"/>
  <c r="E104" i="14"/>
  <c r="C104" i="14"/>
  <c r="B104" i="14"/>
  <c r="F104" i="14"/>
  <c r="B79" i="14"/>
  <c r="C79" i="14"/>
  <c r="D79" i="14"/>
  <c r="E79" i="14"/>
  <c r="F79" i="14"/>
  <c r="C54" i="14"/>
  <c r="B54" i="14"/>
  <c r="D54" i="14"/>
  <c r="E54" i="14"/>
  <c r="F54" i="14"/>
  <c r="B180" i="14"/>
  <c r="D180" i="14"/>
  <c r="C180" i="14"/>
  <c r="E180" i="14"/>
  <c r="F180" i="14"/>
  <c r="E232" i="14"/>
  <c r="C232" i="14"/>
  <c r="D232" i="14"/>
  <c r="B232" i="14"/>
  <c r="F232" i="14"/>
  <c r="E129" i="14"/>
  <c r="B129" i="14"/>
  <c r="D129" i="14"/>
  <c r="C129" i="14"/>
  <c r="F129" i="14"/>
  <c r="I103" i="16"/>
  <c r="I156" i="16"/>
  <c r="I129" i="16"/>
  <c r="I77" i="16"/>
  <c r="J7" i="16"/>
  <c r="J90" i="16" s="1"/>
  <c r="I50" i="16"/>
  <c r="I59" i="16"/>
  <c r="I55" i="16"/>
  <c r="I85" i="16"/>
  <c r="I56" i="16"/>
  <c r="I84" i="16"/>
  <c r="I82" i="16"/>
  <c r="I110" i="16"/>
  <c r="I83" i="16"/>
  <c r="I109" i="16"/>
  <c r="I106" i="16"/>
  <c r="I108" i="16"/>
  <c r="I53" i="16"/>
  <c r="I86" i="16"/>
  <c r="I81" i="16"/>
  <c r="I80" i="16"/>
  <c r="I111" i="16"/>
  <c r="I107" i="16"/>
  <c r="I58" i="16"/>
  <c r="I112" i="16"/>
  <c r="I54" i="16"/>
  <c r="I57" i="16"/>
  <c r="I113" i="16"/>
  <c r="I87" i="16"/>
  <c r="I60" i="16"/>
  <c r="F81" i="11"/>
  <c r="D55" i="11"/>
  <c r="D15" i="11" s="1"/>
  <c r="J55" i="11"/>
  <c r="J15" i="11" s="1"/>
  <c r="I81" i="11"/>
  <c r="B55" i="11"/>
  <c r="B15" i="11" s="1"/>
  <c r="I55" i="11"/>
  <c r="I15" i="11" s="1"/>
  <c r="H81" i="11"/>
  <c r="E55" i="11"/>
  <c r="E15" i="11" s="1"/>
  <c r="K55" i="11"/>
  <c r="K15" i="11" s="1"/>
  <c r="G81" i="11"/>
  <c r="K81" i="11"/>
  <c r="E81" i="11"/>
  <c r="C81" i="11"/>
  <c r="F55" i="11"/>
  <c r="F15" i="11" s="1"/>
  <c r="D81" i="11"/>
  <c r="J81" i="11"/>
  <c r="B81" i="11"/>
  <c r="C55" i="11"/>
  <c r="C15" i="11" s="1"/>
  <c r="H55" i="11"/>
  <c r="H15" i="11" s="1"/>
  <c r="G55" i="11"/>
  <c r="G15" i="11" s="1"/>
  <c r="A56" i="11"/>
  <c r="A82" i="11"/>
  <c r="A17" i="11"/>
  <c r="AE222" i="28"/>
  <c r="AE128" i="28"/>
  <c r="AO216" i="28"/>
  <c r="D12" i="2"/>
  <c r="AN364" i="28" a="1"/>
  <c r="AN364" i="28" s="1"/>
  <c r="I12" i="2"/>
  <c r="E12" i="2"/>
  <c r="C12" i="2"/>
  <c r="I7" i="2"/>
  <c r="H12" i="14"/>
  <c r="I9" i="2"/>
  <c r="I11" i="2"/>
  <c r="H11" i="14"/>
  <c r="A82" i="2"/>
  <c r="J108" i="2" s="1"/>
  <c r="A134" i="2"/>
  <c r="A57" i="2"/>
  <c r="J57" i="2" s="1"/>
  <c r="A108" i="2"/>
  <c r="A15" i="2"/>
  <c r="S18" i="12"/>
  <c r="L194" i="19"/>
  <c r="M194" i="19" s="1"/>
  <c r="N194" i="19" s="1"/>
  <c r="L4" i="19"/>
  <c r="M4" i="19" s="1"/>
  <c r="N4" i="19" s="1"/>
  <c r="L16" i="19"/>
  <c r="M16" i="19" s="1"/>
  <c r="N16" i="19" s="1"/>
  <c r="L24" i="19"/>
  <c r="M24" i="19" s="1"/>
  <c r="N24" i="19" s="1"/>
  <c r="L32" i="19"/>
  <c r="M32" i="19" s="1"/>
  <c r="N32" i="19" s="1"/>
  <c r="L40" i="19"/>
  <c r="M40" i="19" s="1"/>
  <c r="N40" i="19" s="1"/>
  <c r="L48" i="19"/>
  <c r="M48" i="19" s="1"/>
  <c r="N48" i="19" s="1"/>
  <c r="L56" i="19"/>
  <c r="M56" i="19" s="1"/>
  <c r="N56" i="19" s="1"/>
  <c r="L64" i="19"/>
  <c r="M64" i="19" s="1"/>
  <c r="N64" i="19" s="1"/>
  <c r="L88" i="19"/>
  <c r="M88" i="19" s="1"/>
  <c r="N88" i="19" s="1"/>
  <c r="L96" i="19"/>
  <c r="M96" i="19" s="1"/>
  <c r="N96" i="19" s="1"/>
  <c r="L193" i="19"/>
  <c r="M193" i="19" s="1"/>
  <c r="N193" i="19" s="1"/>
  <c r="L22" i="19"/>
  <c r="M22" i="19" s="1"/>
  <c r="N22" i="19" s="1"/>
  <c r="L25" i="19"/>
  <c r="M25" i="19" s="1"/>
  <c r="N25" i="19" s="1"/>
  <c r="L28" i="19"/>
  <c r="M28" i="19" s="1"/>
  <c r="N28" i="19" s="1"/>
  <c r="L31" i="19"/>
  <c r="M31" i="19" s="1"/>
  <c r="N31" i="19" s="1"/>
  <c r="L83" i="19"/>
  <c r="M83" i="19" s="1"/>
  <c r="N83" i="19" s="1"/>
  <c r="L89" i="19"/>
  <c r="M89" i="19" s="1"/>
  <c r="N89" i="19" s="1"/>
  <c r="L104" i="19"/>
  <c r="M104" i="19" s="1"/>
  <c r="N104" i="19" s="1"/>
  <c r="L112" i="19"/>
  <c r="M112" i="19" s="1"/>
  <c r="N112" i="19" s="1"/>
  <c r="L120" i="19"/>
  <c r="M120" i="19" s="1"/>
  <c r="N120" i="19" s="1"/>
  <c r="L128" i="19"/>
  <c r="M128" i="19" s="1"/>
  <c r="N128" i="19" s="1"/>
  <c r="L136" i="19"/>
  <c r="M136" i="19" s="1"/>
  <c r="N136" i="19" s="1"/>
  <c r="L144" i="19"/>
  <c r="M144" i="19" s="1"/>
  <c r="N144" i="19" s="1"/>
  <c r="L152" i="19"/>
  <c r="M152" i="19" s="1"/>
  <c r="N152" i="19" s="1"/>
  <c r="L160" i="19"/>
  <c r="M160" i="19" s="1"/>
  <c r="N160" i="19" s="1"/>
  <c r="L168" i="19"/>
  <c r="M168" i="19" s="1"/>
  <c r="N168" i="19" s="1"/>
  <c r="L176" i="19"/>
  <c r="M176" i="19" s="1"/>
  <c r="N176" i="19" s="1"/>
  <c r="L184" i="19"/>
  <c r="M184" i="19" s="1"/>
  <c r="N184" i="19" s="1"/>
  <c r="L6" i="19"/>
  <c r="M6" i="19" s="1"/>
  <c r="N6" i="19" s="1"/>
  <c r="L38" i="19"/>
  <c r="M38" i="19" s="1"/>
  <c r="N38" i="19" s="1"/>
  <c r="L47" i="19"/>
  <c r="M47" i="19" s="1"/>
  <c r="N47" i="19" s="1"/>
  <c r="L50" i="19"/>
  <c r="M50" i="19" s="1"/>
  <c r="N50" i="19" s="1"/>
  <c r="L53" i="19"/>
  <c r="M53" i="19" s="1"/>
  <c r="N53" i="19" s="1"/>
  <c r="L192" i="19"/>
  <c r="M192" i="19" s="1"/>
  <c r="N192" i="19" s="1"/>
  <c r="L11" i="19"/>
  <c r="M11" i="19" s="1"/>
  <c r="N11" i="19" s="1"/>
  <c r="L14" i="19"/>
  <c r="M14" i="19" s="1"/>
  <c r="N14" i="19" s="1"/>
  <c r="L20" i="19"/>
  <c r="M20" i="19" s="1"/>
  <c r="N20" i="19" s="1"/>
  <c r="L23" i="19"/>
  <c r="M23" i="19" s="1"/>
  <c r="N23" i="19" s="1"/>
  <c r="L26" i="19"/>
  <c r="M26" i="19" s="1"/>
  <c r="N26" i="19" s="1"/>
  <c r="L29" i="19"/>
  <c r="M29" i="19" s="1"/>
  <c r="N29" i="19" s="1"/>
  <c r="L75" i="19"/>
  <c r="M75" i="19" s="1"/>
  <c r="N75" i="19" s="1"/>
  <c r="L78" i="19"/>
  <c r="M78" i="19" s="1"/>
  <c r="N78" i="19" s="1"/>
  <c r="L81" i="19"/>
  <c r="M81" i="19" s="1"/>
  <c r="N81" i="19" s="1"/>
  <c r="L84" i="19"/>
  <c r="M84" i="19" s="1"/>
  <c r="N84" i="19" s="1"/>
  <c r="L90" i="19"/>
  <c r="M90" i="19" s="1"/>
  <c r="N90" i="19" s="1"/>
  <c r="L93" i="19"/>
  <c r="M93" i="19" s="1"/>
  <c r="N93" i="19" s="1"/>
  <c r="L113" i="19"/>
  <c r="M113" i="19" s="1"/>
  <c r="N113" i="19" s="1"/>
  <c r="L121" i="19"/>
  <c r="M121" i="19" s="1"/>
  <c r="N121" i="19" s="1"/>
  <c r="L129" i="19"/>
  <c r="M129" i="19" s="1"/>
  <c r="N129" i="19" s="1"/>
  <c r="L137" i="19"/>
  <c r="M137" i="19" s="1"/>
  <c r="N137" i="19" s="1"/>
  <c r="L145" i="19"/>
  <c r="M145" i="19" s="1"/>
  <c r="N145" i="19" s="1"/>
  <c r="L153" i="19"/>
  <c r="M153" i="19" s="1"/>
  <c r="N153" i="19" s="1"/>
  <c r="L161" i="19"/>
  <c r="M161" i="19" s="1"/>
  <c r="N161" i="19" s="1"/>
  <c r="L169" i="19"/>
  <c r="M169" i="19" s="1"/>
  <c r="N169" i="19" s="1"/>
  <c r="L177" i="19"/>
  <c r="M177" i="19" s="1"/>
  <c r="N177" i="19" s="1"/>
  <c r="L185" i="19"/>
  <c r="M185" i="19" s="1"/>
  <c r="N185" i="19" s="1"/>
  <c r="L195" i="19"/>
  <c r="M195" i="19" s="1"/>
  <c r="N195" i="19" s="1"/>
  <c r="L57" i="19"/>
  <c r="M57" i="19" s="1"/>
  <c r="N57" i="19" s="1"/>
  <c r="L66" i="19"/>
  <c r="M66" i="19" s="1"/>
  <c r="N66" i="19" s="1"/>
  <c r="L69" i="19"/>
  <c r="M69" i="19" s="1"/>
  <c r="N69" i="19" s="1"/>
  <c r="L27" i="19"/>
  <c r="M27" i="19" s="1"/>
  <c r="N27" i="19" s="1"/>
  <c r="L30" i="19"/>
  <c r="M30" i="19" s="1"/>
  <c r="N30" i="19" s="1"/>
  <c r="L33" i="19"/>
  <c r="M33" i="19" s="1"/>
  <c r="N33" i="19" s="1"/>
  <c r="L39" i="19"/>
  <c r="M39" i="19" s="1"/>
  <c r="N39" i="19" s="1"/>
  <c r="L42" i="19"/>
  <c r="M42" i="19" s="1"/>
  <c r="N42" i="19" s="1"/>
  <c r="L94" i="19"/>
  <c r="M94" i="19" s="1"/>
  <c r="N94" i="19" s="1"/>
  <c r="L100" i="19"/>
  <c r="M100" i="19" s="1"/>
  <c r="N100" i="19" s="1"/>
  <c r="L119" i="19"/>
  <c r="M119" i="19" s="1"/>
  <c r="N119" i="19" s="1"/>
  <c r="L127" i="19"/>
  <c r="M127" i="19" s="1"/>
  <c r="N127" i="19" s="1"/>
  <c r="L135" i="19"/>
  <c r="M135" i="19" s="1"/>
  <c r="N135" i="19" s="1"/>
  <c r="L143" i="19"/>
  <c r="M143" i="19" s="1"/>
  <c r="N143" i="19" s="1"/>
  <c r="L151" i="19"/>
  <c r="M151" i="19" s="1"/>
  <c r="N151" i="19" s="1"/>
  <c r="L159" i="19"/>
  <c r="M159" i="19" s="1"/>
  <c r="N159" i="19" s="1"/>
  <c r="L167" i="19"/>
  <c r="M167" i="19" s="1"/>
  <c r="N167" i="19" s="1"/>
  <c r="L175" i="19"/>
  <c r="M175" i="19" s="1"/>
  <c r="N175" i="19" s="1"/>
  <c r="L183" i="19"/>
  <c r="M183" i="19" s="1"/>
  <c r="N183" i="19" s="1"/>
  <c r="L191" i="19"/>
  <c r="M191" i="19" s="1"/>
  <c r="N191" i="19" s="1"/>
  <c r="L12" i="19"/>
  <c r="M12" i="19" s="1"/>
  <c r="N12" i="19" s="1"/>
  <c r="L21" i="19"/>
  <c r="M21" i="19" s="1"/>
  <c r="N21" i="19" s="1"/>
  <c r="L67" i="19"/>
  <c r="M67" i="19" s="1"/>
  <c r="N67" i="19" s="1"/>
  <c r="L70" i="19"/>
  <c r="M70" i="19" s="1"/>
  <c r="N70" i="19" s="1"/>
  <c r="L73" i="19"/>
  <c r="M73" i="19" s="1"/>
  <c r="N73" i="19" s="1"/>
  <c r="L76" i="19"/>
  <c r="M76" i="19" s="1"/>
  <c r="N76" i="19" s="1"/>
  <c r="L79" i="19"/>
  <c r="M79" i="19" s="1"/>
  <c r="N79" i="19" s="1"/>
  <c r="L82" i="19"/>
  <c r="M82" i="19" s="1"/>
  <c r="N82" i="19" s="1"/>
  <c r="L114" i="19"/>
  <c r="M114" i="19" s="1"/>
  <c r="N114" i="19" s="1"/>
  <c r="L122" i="19"/>
  <c r="M122" i="19" s="1"/>
  <c r="N122" i="19" s="1"/>
  <c r="L130" i="19"/>
  <c r="M130" i="19" s="1"/>
  <c r="N130" i="19" s="1"/>
  <c r="L138" i="19"/>
  <c r="M138" i="19" s="1"/>
  <c r="N138" i="19" s="1"/>
  <c r="L146" i="19"/>
  <c r="M146" i="19" s="1"/>
  <c r="N146" i="19" s="1"/>
  <c r="L154" i="19"/>
  <c r="M154" i="19" s="1"/>
  <c r="N154" i="19" s="1"/>
  <c r="L162" i="19"/>
  <c r="M162" i="19" s="1"/>
  <c r="N162" i="19" s="1"/>
  <c r="L170" i="19"/>
  <c r="M170" i="19" s="1"/>
  <c r="N170" i="19" s="1"/>
  <c r="L178" i="19"/>
  <c r="M178" i="19" s="1"/>
  <c r="N178" i="19" s="1"/>
  <c r="L186" i="19"/>
  <c r="M186" i="19" s="1"/>
  <c r="N186" i="19" s="1"/>
  <c r="L5" i="19"/>
  <c r="M5" i="19" s="1"/>
  <c r="N5" i="19" s="1"/>
  <c r="L9" i="19"/>
  <c r="M9" i="19" s="1"/>
  <c r="N9" i="19" s="1"/>
  <c r="L46" i="19"/>
  <c r="M46" i="19" s="1"/>
  <c r="N46" i="19" s="1"/>
  <c r="L52" i="19"/>
  <c r="M52" i="19" s="1"/>
  <c r="N52" i="19" s="1"/>
  <c r="L58" i="19"/>
  <c r="M58" i="19" s="1"/>
  <c r="N58" i="19" s="1"/>
  <c r="L61" i="19"/>
  <c r="M61" i="19" s="1"/>
  <c r="N61" i="19" s="1"/>
  <c r="L109" i="19"/>
  <c r="M109" i="19" s="1"/>
  <c r="N109" i="19" s="1"/>
  <c r="L117" i="19"/>
  <c r="M117" i="19" s="1"/>
  <c r="N117" i="19" s="1"/>
  <c r="L125" i="19"/>
  <c r="M125" i="19" s="1"/>
  <c r="N125" i="19" s="1"/>
  <c r="L133" i="19"/>
  <c r="M133" i="19" s="1"/>
  <c r="N133" i="19" s="1"/>
  <c r="L141" i="19"/>
  <c r="M141" i="19" s="1"/>
  <c r="N141" i="19" s="1"/>
  <c r="L149" i="19"/>
  <c r="M149" i="19" s="1"/>
  <c r="N149" i="19" s="1"/>
  <c r="L157" i="19"/>
  <c r="M157" i="19" s="1"/>
  <c r="N157" i="19" s="1"/>
  <c r="L165" i="19"/>
  <c r="M165" i="19" s="1"/>
  <c r="N165" i="19" s="1"/>
  <c r="L173" i="19"/>
  <c r="M173" i="19" s="1"/>
  <c r="N173" i="19" s="1"/>
  <c r="L181" i="19"/>
  <c r="M181" i="19" s="1"/>
  <c r="N181" i="19" s="1"/>
  <c r="L189" i="19"/>
  <c r="M189" i="19" s="1"/>
  <c r="N189" i="19" s="1"/>
  <c r="L99" i="19"/>
  <c r="M99" i="19" s="1"/>
  <c r="N99" i="19" s="1"/>
  <c r="L108" i="19"/>
  <c r="M108" i="19" s="1"/>
  <c r="N108" i="19" s="1"/>
  <c r="L123" i="19"/>
  <c r="M123" i="19" s="1"/>
  <c r="N123" i="19" s="1"/>
  <c r="L158" i="19"/>
  <c r="M158" i="19" s="1"/>
  <c r="N158" i="19" s="1"/>
  <c r="L172" i="19"/>
  <c r="M172" i="19" s="1"/>
  <c r="N172" i="19" s="1"/>
  <c r="L187" i="19"/>
  <c r="M187" i="19" s="1"/>
  <c r="N187" i="19" s="1"/>
  <c r="L74" i="19"/>
  <c r="M74" i="19" s="1"/>
  <c r="N74" i="19" s="1"/>
  <c r="L116" i="19"/>
  <c r="M116" i="19" s="1"/>
  <c r="N116" i="19" s="1"/>
  <c r="L131" i="19"/>
  <c r="M131" i="19" s="1"/>
  <c r="N131" i="19" s="1"/>
  <c r="L166" i="19"/>
  <c r="M166" i="19" s="1"/>
  <c r="N166" i="19" s="1"/>
  <c r="L180" i="19"/>
  <c r="M180" i="19" s="1"/>
  <c r="N180" i="19" s="1"/>
  <c r="L110" i="19"/>
  <c r="M110" i="19" s="1"/>
  <c r="N110" i="19" s="1"/>
  <c r="L124" i="19"/>
  <c r="M124" i="19" s="1"/>
  <c r="N124" i="19" s="1"/>
  <c r="L139" i="19"/>
  <c r="M139" i="19" s="1"/>
  <c r="N139" i="19" s="1"/>
  <c r="L174" i="19"/>
  <c r="M174" i="19" s="1"/>
  <c r="N174" i="19" s="1"/>
  <c r="L188" i="19"/>
  <c r="M188" i="19" s="1"/>
  <c r="N188" i="19" s="1"/>
  <c r="L118" i="19"/>
  <c r="M118" i="19" s="1"/>
  <c r="N118" i="19" s="1"/>
  <c r="L132" i="19"/>
  <c r="M132" i="19" s="1"/>
  <c r="N132" i="19" s="1"/>
  <c r="L147" i="19"/>
  <c r="M147" i="19" s="1"/>
  <c r="N147" i="19" s="1"/>
  <c r="L182" i="19"/>
  <c r="M182" i="19" s="1"/>
  <c r="N182" i="19" s="1"/>
  <c r="L10" i="19"/>
  <c r="M10" i="19" s="1"/>
  <c r="N10" i="19" s="1"/>
  <c r="L59" i="19"/>
  <c r="M59" i="19" s="1"/>
  <c r="N59" i="19" s="1"/>
  <c r="L126" i="19"/>
  <c r="M126" i="19" s="1"/>
  <c r="N126" i="19" s="1"/>
  <c r="L140" i="19"/>
  <c r="M140" i="19" s="1"/>
  <c r="N140" i="19" s="1"/>
  <c r="L155" i="19"/>
  <c r="M155" i="19" s="1"/>
  <c r="N155" i="19" s="1"/>
  <c r="L190" i="19"/>
  <c r="M190" i="19" s="1"/>
  <c r="N190" i="19" s="1"/>
  <c r="L13" i="19"/>
  <c r="M13" i="19" s="1"/>
  <c r="N13" i="19" s="1"/>
  <c r="L62" i="19"/>
  <c r="M62" i="19" s="1"/>
  <c r="N62" i="19" s="1"/>
  <c r="L134" i="19"/>
  <c r="M134" i="19" s="1"/>
  <c r="N134" i="19" s="1"/>
  <c r="L148" i="19"/>
  <c r="M148" i="19" s="1"/>
  <c r="N148" i="19" s="1"/>
  <c r="L163" i="19"/>
  <c r="M163" i="19" s="1"/>
  <c r="N163" i="19" s="1"/>
  <c r="L65" i="19"/>
  <c r="M65" i="19" s="1"/>
  <c r="N65" i="19" s="1"/>
  <c r="L142" i="19"/>
  <c r="M142" i="19" s="1"/>
  <c r="N142" i="19" s="1"/>
  <c r="L156" i="19"/>
  <c r="M156" i="19" s="1"/>
  <c r="N156" i="19" s="1"/>
  <c r="L171" i="19"/>
  <c r="M171" i="19" s="1"/>
  <c r="N171" i="19" s="1"/>
  <c r="S40" i="12"/>
  <c r="L115" i="19"/>
  <c r="M115" i="19" s="1"/>
  <c r="N115" i="19" s="1"/>
  <c r="L150" i="19"/>
  <c r="M150" i="19" s="1"/>
  <c r="N150" i="19" s="1"/>
  <c r="L164" i="19"/>
  <c r="M164" i="19" s="1"/>
  <c r="N164" i="19" s="1"/>
  <c r="L179" i="19"/>
  <c r="M179" i="19" s="1"/>
  <c r="N179" i="19" s="1"/>
  <c r="A59" i="17"/>
  <c r="H59" i="17" s="1"/>
  <c r="A163" i="17"/>
  <c r="A110" i="17"/>
  <c r="H110" i="17" s="1"/>
  <c r="A84" i="17"/>
  <c r="A136" i="17"/>
  <c r="A17" i="17"/>
  <c r="E90" i="16"/>
  <c r="H90" i="16"/>
  <c r="B90" i="16"/>
  <c r="I90" i="16"/>
  <c r="F90" i="16"/>
  <c r="C90" i="16"/>
  <c r="G90" i="16"/>
  <c r="D90" i="16"/>
  <c r="AE74" i="28"/>
  <c r="AE144" i="28"/>
  <c r="I13" i="2"/>
  <c r="B56" i="2"/>
  <c r="E56" i="2"/>
  <c r="F56" i="2"/>
  <c r="D56" i="2"/>
  <c r="C56" i="2"/>
  <c r="G56" i="2"/>
  <c r="H56" i="2"/>
  <c r="H126" i="17"/>
  <c r="H153" i="17"/>
  <c r="I7" i="17"/>
  <c r="H74" i="17"/>
  <c r="H100" i="17"/>
  <c r="H49" i="17"/>
  <c r="H106" i="17"/>
  <c r="H105" i="17"/>
  <c r="H108" i="17"/>
  <c r="H103" i="17"/>
  <c r="H104" i="17"/>
  <c r="H109" i="17"/>
  <c r="H107" i="17"/>
  <c r="H57" i="17"/>
  <c r="H55" i="17"/>
  <c r="H54" i="17"/>
  <c r="H56" i="17"/>
  <c r="H58" i="17"/>
  <c r="H52" i="17"/>
  <c r="H53" i="17"/>
  <c r="H79" i="17"/>
  <c r="H80" i="17"/>
  <c r="H84" i="17"/>
  <c r="H82" i="17"/>
  <c r="H81" i="17"/>
  <c r="H83" i="17"/>
  <c r="H78" i="17"/>
  <c r="H77" i="17"/>
  <c r="I10" i="2"/>
  <c r="B107" i="2"/>
  <c r="C107" i="2"/>
  <c r="D107" i="2"/>
  <c r="E107" i="2"/>
  <c r="B133" i="2"/>
  <c r="D133" i="2"/>
  <c r="C81" i="2"/>
  <c r="F133" i="2"/>
  <c r="E133" i="2"/>
  <c r="F81" i="2"/>
  <c r="D81" i="2"/>
  <c r="C133" i="2"/>
  <c r="B81" i="2"/>
  <c r="E81" i="2"/>
  <c r="F107" i="2"/>
  <c r="G81" i="2"/>
  <c r="G107" i="2"/>
  <c r="G133" i="2"/>
  <c r="H81" i="2"/>
  <c r="H107" i="2"/>
  <c r="H133" i="2"/>
  <c r="D83" i="17"/>
  <c r="B83" i="17"/>
  <c r="C83" i="17"/>
  <c r="E83" i="17"/>
  <c r="F83" i="17"/>
  <c r="B58" i="17"/>
  <c r="D58" i="17"/>
  <c r="C58" i="17"/>
  <c r="E58" i="17"/>
  <c r="F58" i="17"/>
  <c r="I8" i="2"/>
  <c r="C116" i="16"/>
  <c r="E116" i="16"/>
  <c r="G116" i="16"/>
  <c r="I116" i="16"/>
  <c r="D116" i="16"/>
  <c r="H116" i="16"/>
  <c r="B116" i="16"/>
  <c r="F116" i="16"/>
  <c r="J116" i="16"/>
  <c r="H8" i="14"/>
  <c r="H9" i="14"/>
  <c r="A117" i="16"/>
  <c r="A170" i="16"/>
  <c r="A21" i="16"/>
  <c r="A64" i="16"/>
  <c r="A91" i="16"/>
  <c r="A143" i="16"/>
  <c r="J102" i="2"/>
  <c r="J71" i="2"/>
  <c r="J100" i="2"/>
  <c r="J123" i="2"/>
  <c r="J101" i="2"/>
  <c r="J105" i="2"/>
  <c r="J107" i="2"/>
  <c r="K4" i="2"/>
  <c r="J106" i="2"/>
  <c r="J97" i="2"/>
  <c r="J46" i="2"/>
  <c r="J104" i="2"/>
  <c r="J103" i="2"/>
  <c r="J49" i="2"/>
  <c r="J51" i="2"/>
  <c r="J54" i="2"/>
  <c r="J55" i="2"/>
  <c r="J50" i="2"/>
  <c r="J53" i="2"/>
  <c r="J56" i="2"/>
  <c r="J52" i="2"/>
  <c r="J133" i="2"/>
  <c r="J128" i="2"/>
  <c r="J80" i="2"/>
  <c r="J77" i="2"/>
  <c r="J74" i="2"/>
  <c r="J79" i="2"/>
  <c r="J127" i="2"/>
  <c r="J126" i="2"/>
  <c r="J131" i="2"/>
  <c r="J75" i="2"/>
  <c r="J78" i="2"/>
  <c r="J129" i="2"/>
  <c r="J81" i="2"/>
  <c r="J76" i="2"/>
  <c r="J130" i="2"/>
  <c r="J132" i="2"/>
  <c r="H10" i="14"/>
  <c r="I6" i="2"/>
  <c r="H13" i="14"/>
  <c r="H14" i="14"/>
  <c r="I223" i="14"/>
  <c r="I171" i="14"/>
  <c r="I95" i="14"/>
  <c r="I45" i="14"/>
  <c r="I197" i="14"/>
  <c r="I70" i="14"/>
  <c r="I145" i="14"/>
  <c r="I120" i="14"/>
  <c r="J6" i="14"/>
  <c r="I154" i="14"/>
  <c r="I228" i="14"/>
  <c r="I226" i="14"/>
  <c r="I233" i="14"/>
  <c r="I148" i="14"/>
  <c r="I200" i="14"/>
  <c r="I227" i="14"/>
  <c r="I206" i="14"/>
  <c r="I177" i="14"/>
  <c r="I232" i="14"/>
  <c r="I50" i="14"/>
  <c r="I102" i="14"/>
  <c r="I204" i="14"/>
  <c r="I205" i="14"/>
  <c r="I150" i="14"/>
  <c r="I149" i="14"/>
  <c r="I229" i="14"/>
  <c r="I175" i="14"/>
  <c r="I231" i="14"/>
  <c r="I180" i="14"/>
  <c r="I202" i="14"/>
  <c r="I176" i="14"/>
  <c r="I230" i="14"/>
  <c r="I178" i="14"/>
  <c r="I152" i="14"/>
  <c r="I179" i="14"/>
  <c r="I153" i="14"/>
  <c r="I203" i="14"/>
  <c r="I201" i="14"/>
  <c r="I151" i="14"/>
  <c r="I174" i="14"/>
  <c r="I103" i="14"/>
  <c r="I49" i="14"/>
  <c r="I104" i="14"/>
  <c r="I53" i="14"/>
  <c r="I99" i="14"/>
  <c r="I52" i="14"/>
  <c r="I98" i="14"/>
  <c r="I54" i="14"/>
  <c r="I101" i="14"/>
  <c r="I105" i="14"/>
  <c r="I51" i="14"/>
  <c r="I100" i="14"/>
  <c r="I48" i="14"/>
  <c r="I79" i="14"/>
  <c r="I124" i="14"/>
  <c r="I126" i="14"/>
  <c r="I78" i="14"/>
  <c r="I129" i="14"/>
  <c r="I74" i="14"/>
  <c r="I77" i="14"/>
  <c r="I127" i="14"/>
  <c r="I128" i="14"/>
  <c r="I76" i="14"/>
  <c r="I75" i="14"/>
  <c r="I123" i="14"/>
  <c r="I125" i="14"/>
  <c r="I73" i="14"/>
  <c r="C109" i="17"/>
  <c r="B109" i="17"/>
  <c r="D109" i="17"/>
  <c r="E109" i="17"/>
  <c r="F109" i="17"/>
  <c r="E63" i="16"/>
  <c r="I63" i="16"/>
  <c r="C63" i="16"/>
  <c r="D63" i="16"/>
  <c r="G63" i="16"/>
  <c r="H63" i="16"/>
  <c r="B63" i="16"/>
  <c r="F63" i="16"/>
  <c r="AE78" i="28"/>
  <c r="AE27" i="28"/>
  <c r="AE214" i="28"/>
  <c r="AO361" i="28"/>
  <c r="J361" i="28" s="1"/>
  <c r="AE28" i="28"/>
  <c r="AE136" i="28"/>
  <c r="AE77" i="28"/>
  <c r="AE81" i="28"/>
  <c r="AI303" i="28"/>
  <c r="AJ303" i="28" s="1" a="1"/>
  <c r="AJ303" i="28" s="1"/>
  <c r="AK303" i="28" s="1" a="1"/>
  <c r="AK303" i="28" s="1"/>
  <c r="AL418" i="28" a="1"/>
  <c r="AL418" i="28" s="1"/>
  <c r="AN418" i="28" s="1" a="1"/>
  <c r="AN418" i="28" s="1"/>
  <c r="AK418" i="28" a="1"/>
  <c r="AK418" i="28" s="1"/>
  <c r="AK401" i="28" a="1"/>
  <c r="AK401" i="28" s="1"/>
  <c r="AL401" i="28" a="1"/>
  <c r="AL401" i="28" s="1"/>
  <c r="AN401" i="28" s="1" a="1"/>
  <c r="AN401" i="28" s="1"/>
  <c r="AE231" i="28"/>
  <c r="AL409" i="28" a="1"/>
  <c r="AL409" i="28" s="1"/>
  <c r="AN409" i="28" s="1" a="1"/>
  <c r="AN409" i="28" s="1"/>
  <c r="AK409" i="28" a="1"/>
  <c r="AK409" i="28" s="1"/>
  <c r="AK420" i="28" a="1"/>
  <c r="AK420" i="28" s="1"/>
  <c r="AL420" i="28" a="1"/>
  <c r="AL420" i="28" s="1"/>
  <c r="AN420" i="28" s="1" a="1"/>
  <c r="AN420" i="28" s="1"/>
  <c r="AL413" i="28" a="1"/>
  <c r="AL413" i="28" s="1"/>
  <c r="AN413" i="28" s="1" a="1"/>
  <c r="AN413" i="28" s="1"/>
  <c r="AK413" i="28" a="1"/>
  <c r="AK413" i="28" s="1"/>
  <c r="AK423" i="28" a="1"/>
  <c r="AK423" i="28" s="1"/>
  <c r="AL423" i="28" a="1"/>
  <c r="AL423" i="28" s="1"/>
  <c r="AN423" i="28" s="1" a="1"/>
  <c r="AN423" i="28" s="1"/>
  <c r="AK405" i="28" a="1"/>
  <c r="AK405" i="28" s="1"/>
  <c r="AL405" i="28" a="1"/>
  <c r="AL405" i="28" s="1"/>
  <c r="AN405" i="28" s="1" a="1"/>
  <c r="AN405" i="28" s="1"/>
  <c r="AL417" i="28" a="1"/>
  <c r="AL417" i="28" s="1"/>
  <c r="AN417" i="28" s="1" a="1"/>
  <c r="AN417" i="28" s="1"/>
  <c r="AK417" i="28" a="1"/>
  <c r="AK417" i="28" s="1"/>
  <c r="AI302" i="28"/>
  <c r="AJ302" i="28" s="1" a="1"/>
  <c r="AJ302" i="28" s="1"/>
  <c r="AE31" i="28"/>
  <c r="AI300" i="28"/>
  <c r="AJ300" i="28" s="1" a="1"/>
  <c r="AJ300" i="28" s="1"/>
  <c r="AI301" i="28"/>
  <c r="AJ301" i="28" s="1" a="1"/>
  <c r="AJ301" i="28" s="1"/>
  <c r="AE217" i="28"/>
  <c r="AE288" i="28"/>
  <c r="AE289" i="28"/>
  <c r="AE290" i="28"/>
  <c r="AE291" i="28"/>
  <c r="AE204" i="28"/>
  <c r="AE232" i="28"/>
  <c r="AI388" i="28"/>
  <c r="AJ388" i="28" s="1" a="1"/>
  <c r="AJ388" i="28" s="1"/>
  <c r="AL388" i="28" s="1" a="1"/>
  <c r="AL388" i="28" s="1"/>
  <c r="AN388" i="28" s="1" a="1"/>
  <c r="AN388" i="28" s="1"/>
  <c r="AE382" i="28"/>
  <c r="AE41" i="28"/>
  <c r="AE39" i="28"/>
  <c r="AE233" i="28"/>
  <c r="AE237" i="28"/>
  <c r="AE236" i="28"/>
  <c r="AE350" i="28"/>
  <c r="AE89" i="28"/>
  <c r="AO20" i="28"/>
  <c r="AE86" i="28"/>
  <c r="AO71" i="28"/>
  <c r="J71" i="28" s="1"/>
  <c r="K70" i="28" s="1"/>
  <c r="L70" i="28" s="1"/>
  <c r="AE349" i="28"/>
  <c r="AE255" i="28"/>
  <c r="AE348" i="28"/>
  <c r="AE142" i="28"/>
  <c r="AO152" i="28"/>
  <c r="AO49" i="28"/>
  <c r="AK400" i="28" a="1"/>
  <c r="AK400" i="28" s="1"/>
  <c r="AL400" i="28" a="1"/>
  <c r="AL400" i="28" s="1"/>
  <c r="AN400" i="28" s="1" a="1"/>
  <c r="AN400" i="28" s="1"/>
  <c r="AO193" i="28"/>
  <c r="AE194" i="28" s="1"/>
  <c r="AI394" i="28"/>
  <c r="AJ394" i="28" s="1" a="1"/>
  <c r="AJ394" i="28" s="1"/>
  <c r="AK394" i="28" s="1" a="1"/>
  <c r="AK394" i="28" s="1"/>
  <c r="AO149" i="28"/>
  <c r="AE143" i="28"/>
  <c r="AO10" i="28"/>
  <c r="J10" i="28" s="1"/>
  <c r="AO14" i="28"/>
  <c r="J14" i="28" s="1"/>
  <c r="AI393" i="28"/>
  <c r="AJ393" i="28" s="1" a="1"/>
  <c r="AJ393" i="28" s="1"/>
  <c r="AO154" i="28"/>
  <c r="AI390" i="28"/>
  <c r="AJ390" i="28" s="1" a="1"/>
  <c r="AJ390" i="28" s="1"/>
  <c r="AI386" i="28"/>
  <c r="AJ386" i="28" s="1" a="1"/>
  <c r="AJ386" i="28" s="1"/>
  <c r="AI395" i="28"/>
  <c r="AJ395" i="28" s="1" a="1"/>
  <c r="AJ395" i="28" s="1"/>
  <c r="AL424" i="28" a="1"/>
  <c r="AL424" i="28" s="1"/>
  <c r="AN424" i="28" s="1" a="1"/>
  <c r="AN424" i="28" s="1"/>
  <c r="AK424" i="28" a="1"/>
  <c r="AK424" i="28" s="1"/>
  <c r="AI387" i="28"/>
  <c r="AJ387" i="28" s="1" a="1"/>
  <c r="AJ387" i="28" s="1"/>
  <c r="AI389" i="28"/>
  <c r="AJ389" i="28" s="1" a="1"/>
  <c r="AJ389" i="28" s="1"/>
  <c r="AI391" i="28"/>
  <c r="AJ391" i="28" s="1" a="1"/>
  <c r="AJ391" i="28" s="1"/>
  <c r="AI392" i="28"/>
  <c r="AJ392" i="28" s="1" a="1"/>
  <c r="AJ392" i="28" s="1"/>
  <c r="AO244" i="28"/>
  <c r="J244" i="28" s="1"/>
  <c r="AO101" i="28"/>
  <c r="J101" i="28" s="1"/>
  <c r="AO357" i="28"/>
  <c r="J357" i="28" s="1"/>
  <c r="AO274" i="28"/>
  <c r="J274" i="28" s="1"/>
  <c r="AO270" i="28"/>
  <c r="AO65" i="28"/>
  <c r="AO327" i="28"/>
  <c r="AO188" i="28"/>
  <c r="AE180" i="28" s="1"/>
  <c r="AE340" i="28"/>
  <c r="AE310" i="28"/>
  <c r="AE381" i="28"/>
  <c r="AO368" i="28"/>
  <c r="AO318" i="28"/>
  <c r="AO241" i="28"/>
  <c r="J241" i="28" s="1"/>
  <c r="AO287" i="28"/>
  <c r="AO407" i="28"/>
  <c r="AO99" i="28"/>
  <c r="AE97" i="28" s="1"/>
  <c r="AO114" i="28"/>
  <c r="J114" i="28" s="1"/>
  <c r="AO164" i="28"/>
  <c r="AE374" i="28"/>
  <c r="AE80" i="28"/>
  <c r="AE72" i="28"/>
  <c r="AE344" i="28"/>
  <c r="AE15" i="28"/>
  <c r="AE221" i="28"/>
  <c r="AO108" i="28"/>
  <c r="J108" i="28" s="1"/>
  <c r="AO242" i="28"/>
  <c r="AO311" i="28"/>
  <c r="AE159" i="28"/>
  <c r="AE330" i="28"/>
  <c r="AO24" i="28"/>
  <c r="J24" i="28" s="1"/>
  <c r="AO421" i="28"/>
  <c r="J421" i="28" s="1"/>
  <c r="AO21" i="28"/>
  <c r="J21" i="28" s="1"/>
  <c r="AO298" i="28"/>
  <c r="AE299" i="28" s="1"/>
  <c r="AO245" i="28"/>
  <c r="AE248" i="28"/>
  <c r="AE79" i="28"/>
  <c r="AE343" i="28"/>
  <c r="AE211" i="28"/>
  <c r="AE189" i="28"/>
  <c r="AE206" i="28"/>
  <c r="AE210" i="28"/>
  <c r="AE333" i="28"/>
  <c r="AE75" i="28"/>
  <c r="AE200" i="28"/>
  <c r="AE102" i="28"/>
  <c r="AE257" i="28"/>
  <c r="AE158" i="28"/>
  <c r="AE73" i="28"/>
  <c r="AE223" i="28"/>
  <c r="AE17" i="28"/>
  <c r="AE253" i="28"/>
  <c r="AE184" i="28"/>
  <c r="AE140" i="28"/>
  <c r="AE197" i="28"/>
  <c r="AE192" i="28"/>
  <c r="AE191" i="28"/>
  <c r="AE132" i="28"/>
  <c r="AE103" i="28"/>
  <c r="AE107" i="28"/>
  <c r="AE379" i="28"/>
  <c r="AE414" i="28"/>
  <c r="AE105" i="28"/>
  <c r="AE53" i="28"/>
  <c r="AE50" i="28"/>
  <c r="Y50" i="28" s="1"/>
  <c r="AE52" i="28"/>
  <c r="AE100" i="28"/>
  <c r="AE385" i="28"/>
  <c r="AE235" i="28"/>
  <c r="AE155" i="28"/>
  <c r="AE48" i="28"/>
  <c r="AE46" i="28"/>
  <c r="AB375" i="28"/>
  <c r="Y375" i="28"/>
  <c r="AE36" i="28"/>
  <c r="AE219" i="28"/>
  <c r="AE167" i="28"/>
  <c r="AE166" i="28"/>
  <c r="AE168" i="28"/>
  <c r="AE181" i="28"/>
  <c r="AO360" i="28"/>
  <c r="J360" i="28" s="1"/>
  <c r="AB34" i="28"/>
  <c r="Y34" i="28"/>
  <c r="AE342" i="28"/>
  <c r="AE45" i="28"/>
  <c r="AE44" i="28"/>
  <c r="AE43" i="28"/>
  <c r="AE251" i="28"/>
  <c r="AE8" i="28"/>
  <c r="AE220" i="28"/>
  <c r="AE190" i="28"/>
  <c r="AE137" i="28"/>
  <c r="AE371" i="28"/>
  <c r="AE332" i="28"/>
  <c r="AE226" i="28"/>
  <c r="AE138" i="28"/>
  <c r="AE335" i="28"/>
  <c r="AE182" i="28"/>
  <c r="AE227" i="28"/>
  <c r="AE199" i="28"/>
  <c r="AE90" i="28"/>
  <c r="AO57" i="28"/>
  <c r="AE70" i="28"/>
  <c r="AO60" i="28"/>
  <c r="AO170" i="28"/>
  <c r="J170" i="28" s="1"/>
  <c r="AO282" i="28"/>
  <c r="AE284" i="28" s="1"/>
  <c r="V34" i="28"/>
  <c r="W34" i="28" s="1"/>
  <c r="AO369" i="28"/>
  <c r="J369" i="28" s="1"/>
  <c r="AE185" i="28"/>
  <c r="AE346" i="28"/>
  <c r="AE63" i="28"/>
  <c r="AE262" i="28"/>
  <c r="AO84" i="28"/>
  <c r="J84" i="28" s="1"/>
  <c r="AO370" i="28"/>
  <c r="J370" i="28" s="1"/>
  <c r="AO365" i="28"/>
  <c r="J365" i="28" s="1"/>
  <c r="AM176" i="28" a="1"/>
  <c r="AM176" i="28" s="1"/>
  <c r="AO176" i="28"/>
  <c r="AO5" i="28"/>
  <c r="AE106" i="28"/>
  <c r="AO376" i="28"/>
  <c r="AE218" i="28"/>
  <c r="AB126" i="28"/>
  <c r="AE351" i="28"/>
  <c r="AO122" i="28"/>
  <c r="AO34" i="28"/>
  <c r="AO69" i="28"/>
  <c r="J69" i="28" s="1"/>
  <c r="AE252" i="28"/>
  <c r="AE161" i="28"/>
  <c r="AE341" i="28"/>
  <c r="AE230" i="28"/>
  <c r="AE304" i="28"/>
  <c r="AE347" i="28"/>
  <c r="AE240" i="28"/>
  <c r="AE337" i="28"/>
  <c r="AE324" i="28"/>
  <c r="AE228" i="28"/>
  <c r="AE163" i="28"/>
  <c r="AE92" i="28"/>
  <c r="AE250" i="28"/>
  <c r="AE215" i="28"/>
  <c r="AE19" i="28"/>
  <c r="AE225" i="28"/>
  <c r="AE195" i="28"/>
  <c r="AE243" i="28"/>
  <c r="AE183" i="28"/>
  <c r="AE37" i="28"/>
  <c r="AE249" i="28"/>
  <c r="AE336" i="28"/>
  <c r="AE156" i="28"/>
  <c r="AE6" i="28"/>
  <c r="AE384" i="28"/>
  <c r="AE209" i="28"/>
  <c r="AE207" i="28"/>
  <c r="AE203" i="28"/>
  <c r="AE208" i="28"/>
  <c r="AE202" i="28"/>
  <c r="AE201" i="28"/>
  <c r="AE115" i="28"/>
  <c r="AE119" i="28"/>
  <c r="AE114" i="28"/>
  <c r="AE118" i="28"/>
  <c r="AE145" i="28"/>
  <c r="V416" i="28"/>
  <c r="W416" i="28" s="1"/>
  <c r="AE416" i="28"/>
  <c r="AB416" i="28" s="1"/>
  <c r="AE265" i="28"/>
  <c r="AE264" i="28"/>
  <c r="AE258" i="28"/>
  <c r="L138" i="28" l="1"/>
  <c r="J63" i="16"/>
  <c r="AO321" i="28"/>
  <c r="J321" i="28" s="1"/>
  <c r="AM321" i="28" a="1"/>
  <c r="AM321" i="28" s="1"/>
  <c r="AM277" i="28" a="1"/>
  <c r="AM277" i="28" s="1"/>
  <c r="AO277" i="28" s="1"/>
  <c r="J277" i="28" s="1"/>
  <c r="AE275" i="28" s="1"/>
  <c r="L28" i="28"/>
  <c r="AE87" i="28"/>
  <c r="L77" i="28"/>
  <c r="AB77" i="28" s="1"/>
  <c r="K87" i="28"/>
  <c r="L29" i="28"/>
  <c r="L27" i="28"/>
  <c r="L86" i="28"/>
  <c r="AB86" i="28" s="1"/>
  <c r="L41" i="28"/>
  <c r="AO322" i="28"/>
  <c r="J322" i="28" s="1"/>
  <c r="L246" i="28"/>
  <c r="L15" i="28"/>
  <c r="L40" i="28"/>
  <c r="L37" i="28"/>
  <c r="J57" i="28"/>
  <c r="AM419" i="28" a="1"/>
  <c r="AM419" i="28" s="1"/>
  <c r="AO419" i="28" s="1"/>
  <c r="L141" i="28"/>
  <c r="L144" i="28"/>
  <c r="L259" i="28"/>
  <c r="L387" i="28"/>
  <c r="L207" i="28"/>
  <c r="L208" i="28"/>
  <c r="L123" i="28"/>
  <c r="L264" i="28"/>
  <c r="L393" i="28"/>
  <c r="AM268" i="28" a="1"/>
  <c r="AM268" i="28" s="1"/>
  <c r="AO268" i="28"/>
  <c r="J268" i="28" s="1"/>
  <c r="L263" i="28"/>
  <c r="L390" i="28"/>
  <c r="L388" i="28"/>
  <c r="L19" i="28"/>
  <c r="L391" i="28"/>
  <c r="AB169" i="28"/>
  <c r="L260" i="28"/>
  <c r="L142" i="28"/>
  <c r="L267" i="28"/>
  <c r="L132" i="28"/>
  <c r="AM271" i="28" a="1"/>
  <c r="AM271" i="28" s="1"/>
  <c r="AO271" i="28"/>
  <c r="L265" i="28"/>
  <c r="L266" i="28"/>
  <c r="L197" i="28"/>
  <c r="L238" i="28"/>
  <c r="L243" i="28"/>
  <c r="K24" i="28"/>
  <c r="L24" i="28" s="1"/>
  <c r="K244" i="28"/>
  <c r="K370" i="28"/>
  <c r="L370" i="28" s="1"/>
  <c r="K61" i="28"/>
  <c r="L61" i="28" s="1"/>
  <c r="K90" i="28"/>
  <c r="L90" i="28" s="1"/>
  <c r="K214" i="28"/>
  <c r="K84" i="28"/>
  <c r="K205" i="28"/>
  <c r="K187" i="28"/>
  <c r="K107" i="28"/>
  <c r="L140" i="28"/>
  <c r="AM35" i="28" a="1"/>
  <c r="AM35" i="28" s="1"/>
  <c r="AO35" i="28"/>
  <c r="J35" i="28" s="1"/>
  <c r="K365" i="28"/>
  <c r="L365" i="28" s="1"/>
  <c r="AB222" i="28"/>
  <c r="AE256" i="28"/>
  <c r="K361" i="28"/>
  <c r="L361" i="28" s="1"/>
  <c r="K366" i="28"/>
  <c r="L366" i="28" s="1"/>
  <c r="K95" i="28"/>
  <c r="AO179" i="28"/>
  <c r="K11" i="28"/>
  <c r="L11" i="28" s="1"/>
  <c r="K367" i="28"/>
  <c r="L367" i="28" s="1"/>
  <c r="K403" i="28"/>
  <c r="L403" i="28" s="1"/>
  <c r="K360" i="28"/>
  <c r="L360" i="28" s="1"/>
  <c r="K14" i="28"/>
  <c r="K406" i="28"/>
  <c r="K235" i="28"/>
  <c r="L235" i="28" s="1"/>
  <c r="K275" i="28"/>
  <c r="L143" i="28"/>
  <c r="K69" i="28"/>
  <c r="L69" i="28" s="1"/>
  <c r="AB51" i="28"/>
  <c r="K108" i="28"/>
  <c r="K10" i="28"/>
  <c r="AB130" i="28"/>
  <c r="K155" i="28"/>
  <c r="L155" i="28" s="1"/>
  <c r="AB155" i="28" s="1"/>
  <c r="K82" i="28"/>
  <c r="K280" i="28"/>
  <c r="K31" i="28"/>
  <c r="L31" i="28" s="1"/>
  <c r="L111" i="28"/>
  <c r="K357" i="28"/>
  <c r="L357" i="28" s="1"/>
  <c r="K372" i="28"/>
  <c r="L372" i="28" s="1"/>
  <c r="L97" i="28"/>
  <c r="K21" i="28"/>
  <c r="L21" i="28" s="1"/>
  <c r="K369" i="28"/>
  <c r="L369" i="28" s="1"/>
  <c r="AE406" i="28"/>
  <c r="AE104" i="28"/>
  <c r="K114" i="28"/>
  <c r="K101" i="28"/>
  <c r="L101" i="28" s="1"/>
  <c r="K113" i="28"/>
  <c r="L113" i="28" s="1"/>
  <c r="K359" i="28"/>
  <c r="L359" i="28" s="1"/>
  <c r="K106" i="28"/>
  <c r="K230" i="28"/>
  <c r="K224" i="28"/>
  <c r="K7" i="28"/>
  <c r="K62" i="28"/>
  <c r="L62" i="28" s="1"/>
  <c r="L258" i="28"/>
  <c r="AM32" i="28" a="1"/>
  <c r="AM32" i="28" s="1"/>
  <c r="AO32" i="28" s="1"/>
  <c r="J32" i="28" s="1"/>
  <c r="K88" i="28"/>
  <c r="L88" i="28" s="1"/>
  <c r="AB88" i="28" s="1"/>
  <c r="K272" i="28"/>
  <c r="K254" i="28"/>
  <c r="K167" i="28"/>
  <c r="L167" i="28" s="1"/>
  <c r="AB167" i="28" s="1"/>
  <c r="K285" i="28"/>
  <c r="AM273" i="28" a="1"/>
  <c r="AM273" i="28" s="1"/>
  <c r="AO273" i="28"/>
  <c r="K210" i="28"/>
  <c r="AE117" i="28"/>
  <c r="AE247" i="28"/>
  <c r="K26" i="28"/>
  <c r="L26" i="28" s="1"/>
  <c r="AB26" i="28" s="1"/>
  <c r="K279" i="28"/>
  <c r="L279" i="28" s="1"/>
  <c r="K183" i="28"/>
  <c r="K12" i="28"/>
  <c r="K117" i="28"/>
  <c r="K85" i="28"/>
  <c r="L85" i="28" s="1"/>
  <c r="K268" i="28"/>
  <c r="K189" i="28"/>
  <c r="K422" i="28"/>
  <c r="K105" i="28"/>
  <c r="K93" i="28"/>
  <c r="K182" i="28"/>
  <c r="K25" i="28"/>
  <c r="L25" i="28" s="1"/>
  <c r="K92" i="28"/>
  <c r="K8" i="28"/>
  <c r="L8" i="28" s="1"/>
  <c r="K112" i="28"/>
  <c r="K202" i="28"/>
  <c r="L202" i="28" s="1"/>
  <c r="K226" i="28"/>
  <c r="K104" i="28"/>
  <c r="K247" i="28"/>
  <c r="L247" i="28" s="1"/>
  <c r="K83" i="28"/>
  <c r="L83" i="28" s="1"/>
  <c r="K211" i="28"/>
  <c r="L211" i="28" s="1"/>
  <c r="K103" i="28"/>
  <c r="L103" i="28" s="1"/>
  <c r="K109" i="28"/>
  <c r="L109" i="28" s="1"/>
  <c r="K283" i="28"/>
  <c r="L283" i="28" s="1"/>
  <c r="K414" i="28"/>
  <c r="L406" i="28" s="1"/>
  <c r="K94" i="28"/>
  <c r="AM276" i="28" a="1"/>
  <c r="AM276" i="28" s="1"/>
  <c r="AO276" i="28"/>
  <c r="J276" i="28" s="1"/>
  <c r="K9" i="28"/>
  <c r="L9" i="28" s="1"/>
  <c r="K256" i="28"/>
  <c r="L256" i="28" s="1"/>
  <c r="K13" i="28"/>
  <c r="L13" i="28" s="1"/>
  <c r="AE71" i="28"/>
  <c r="K71" i="28"/>
  <c r="L71" i="28" s="1"/>
  <c r="AB71" i="28" s="1"/>
  <c r="AE373" i="28"/>
  <c r="K373" i="28"/>
  <c r="L373" i="28" s="1"/>
  <c r="K399" i="28"/>
  <c r="K402" i="28"/>
  <c r="K405" i="28"/>
  <c r="K397" i="28"/>
  <c r="K339" i="28"/>
  <c r="K337" i="28"/>
  <c r="K342" i="28"/>
  <c r="AE38" i="28"/>
  <c r="K39" i="28"/>
  <c r="L39" i="28" s="1"/>
  <c r="K38" i="28"/>
  <c r="L38" i="28" s="1"/>
  <c r="AE224" i="28"/>
  <c r="K228" i="28"/>
  <c r="K232" i="28"/>
  <c r="K231" i="28"/>
  <c r="K234" i="28"/>
  <c r="K237" i="28"/>
  <c r="J5" i="28"/>
  <c r="K3" i="28" s="1"/>
  <c r="L3" i="28" s="1"/>
  <c r="AM68" i="28" a="1"/>
  <c r="AM68" i="28" s="1"/>
  <c r="AO68" i="28" s="1"/>
  <c r="J68" i="28" s="1"/>
  <c r="J82" i="2"/>
  <c r="AE329" i="28"/>
  <c r="J327" i="28"/>
  <c r="AE9" i="28"/>
  <c r="AM174" i="28" a="1"/>
  <c r="AM174" i="28" s="1"/>
  <c r="AO174" i="28"/>
  <c r="AM383" i="28" a="1"/>
  <c r="AM383" i="28" s="1"/>
  <c r="AO383" i="28" s="1"/>
  <c r="J383" i="28" s="1"/>
  <c r="AO306" i="28"/>
  <c r="J306" i="28" s="1"/>
  <c r="AM328" i="28" a="1"/>
  <c r="AM328" i="28" s="1"/>
  <c r="AO328" i="28" s="1"/>
  <c r="J328" i="28" s="1"/>
  <c r="AM317" i="28" a="1"/>
  <c r="AM317" i="28" s="1"/>
  <c r="AO317" i="28"/>
  <c r="J317" i="28" s="1"/>
  <c r="AM304" i="28" a="1"/>
  <c r="AM304" i="28" s="1"/>
  <c r="AO304" i="28"/>
  <c r="AM354" i="28" a="1"/>
  <c r="AM354" i="28" s="1"/>
  <c r="AO354" i="28"/>
  <c r="J354" i="28" s="1"/>
  <c r="AM319" i="28" a="1"/>
  <c r="AM319" i="28" s="1"/>
  <c r="AO319" i="28"/>
  <c r="J319" i="28" s="1"/>
  <c r="AO379" i="28"/>
  <c r="AM379" i="28" a="1"/>
  <c r="AM379" i="28" s="1"/>
  <c r="AM384" i="28" a="1"/>
  <c r="AM384" i="28" s="1"/>
  <c r="AO384" i="28" s="1"/>
  <c r="AM338" i="28" a="1"/>
  <c r="AM338" i="28" s="1"/>
  <c r="AO338" i="28"/>
  <c r="J338" i="28" s="1"/>
  <c r="AM353" i="28" a="1"/>
  <c r="AM353" i="28" s="1"/>
  <c r="AO353" i="28"/>
  <c r="J353" i="28" s="1"/>
  <c r="AO307" i="28"/>
  <c r="J307" i="28" s="1"/>
  <c r="AM307" i="28" a="1"/>
  <c r="AM307" i="28" s="1"/>
  <c r="AO324" i="28"/>
  <c r="AO337" i="28"/>
  <c r="AO333" i="28"/>
  <c r="AM333" i="28" a="1"/>
  <c r="AM333" i="28" s="1"/>
  <c r="AM308" i="28" a="1"/>
  <c r="AM308" i="28" s="1"/>
  <c r="AO308" i="28"/>
  <c r="J308" i="28" s="1"/>
  <c r="AM325" i="28" a="1"/>
  <c r="AM325" i="28" s="1"/>
  <c r="AO325" i="28" s="1"/>
  <c r="J325" i="28" s="1"/>
  <c r="AO316" i="28"/>
  <c r="J316" i="28" s="1"/>
  <c r="AM316" i="28" a="1"/>
  <c r="AM316" i="28" s="1"/>
  <c r="AM342" i="28" a="1"/>
  <c r="AM342" i="28" s="1"/>
  <c r="AO342" i="28"/>
  <c r="AM320" i="28" a="1"/>
  <c r="AM320" i="28" s="1"/>
  <c r="AO320" i="28" s="1"/>
  <c r="J320" i="28" s="1"/>
  <c r="AM332" i="28" a="1"/>
  <c r="AM332" i="28" s="1"/>
  <c r="AO332" i="28"/>
  <c r="AM305" i="28" a="1"/>
  <c r="AM305" i="28" s="1"/>
  <c r="AO305" i="28"/>
  <c r="J305" i="28" s="1"/>
  <c r="AM334" i="28" a="1"/>
  <c r="AM334" i="28" s="1"/>
  <c r="AO334" i="28" s="1"/>
  <c r="J334" i="28" s="1"/>
  <c r="AO381" i="28"/>
  <c r="AM381" i="28" a="1"/>
  <c r="AM381" i="28" s="1"/>
  <c r="AM323" i="28" a="1"/>
  <c r="AM323" i="28" s="1"/>
  <c r="AO323" i="28"/>
  <c r="J323" i="28" s="1"/>
  <c r="AM343" i="28" a="1"/>
  <c r="AM343" i="28" s="1"/>
  <c r="AO343" i="28" s="1"/>
  <c r="AM404" i="28" a="1"/>
  <c r="AM404" i="28" s="1"/>
  <c r="AO404" i="28" s="1"/>
  <c r="J404" i="28" s="1"/>
  <c r="AM172" i="28" a="1"/>
  <c r="AM172" i="28" s="1"/>
  <c r="AO172" i="28"/>
  <c r="AM378" i="28" a="1"/>
  <c r="AM378" i="28" s="1"/>
  <c r="AO378" i="28"/>
  <c r="AE377" i="28"/>
  <c r="J376" i="28"/>
  <c r="J318" i="28"/>
  <c r="AE47" i="28"/>
  <c r="J49" i="28"/>
  <c r="AE18" i="28"/>
  <c r="Y18" i="28" s="1"/>
  <c r="J20" i="28"/>
  <c r="AM315" i="28" a="1"/>
  <c r="AM315" i="28" s="1"/>
  <c r="AO315" i="28"/>
  <c r="J315" i="28" s="1"/>
  <c r="AM309" i="28" a="1"/>
  <c r="AM309" i="28" s="1"/>
  <c r="AO309" i="28" s="1"/>
  <c r="J309" i="28" s="1"/>
  <c r="AE125" i="28"/>
  <c r="J122" i="28"/>
  <c r="AE61" i="28"/>
  <c r="J60" i="28"/>
  <c r="K58" i="28" s="1"/>
  <c r="L58" i="28" s="1"/>
  <c r="J407" i="28"/>
  <c r="AE150" i="28"/>
  <c r="Y150" i="28" s="1"/>
  <c r="J152" i="28"/>
  <c r="AM402" i="28" a="1"/>
  <c r="AM402" i="28" s="1"/>
  <c r="AO402" i="28" s="1"/>
  <c r="AE165" i="28"/>
  <c r="J164" i="28"/>
  <c r="AE157" i="28"/>
  <c r="J154" i="28"/>
  <c r="AM411" i="28" a="1"/>
  <c r="AM411" i="28" s="1"/>
  <c r="AO411" i="28"/>
  <c r="J411" i="28" s="1"/>
  <c r="J65" i="28"/>
  <c r="K64" i="28" s="1"/>
  <c r="AE146" i="28"/>
  <c r="J149" i="28"/>
  <c r="J216" i="28"/>
  <c r="AE238" i="28"/>
  <c r="J245" i="28"/>
  <c r="AE245" i="28" s="1"/>
  <c r="AE313" i="28"/>
  <c r="J311" i="28"/>
  <c r="J368" i="28"/>
  <c r="AE141" i="28"/>
  <c r="J139" i="28"/>
  <c r="J135" i="28"/>
  <c r="Y160" i="28"/>
  <c r="AB160" i="28"/>
  <c r="Y127" i="28"/>
  <c r="AB127" i="28"/>
  <c r="Y416" i="28"/>
  <c r="AB38" i="28"/>
  <c r="AM331" i="28" a="1"/>
  <c r="AM331" i="28" s="1"/>
  <c r="AO331" i="28"/>
  <c r="AK388" i="28" a="1"/>
  <c r="AK388" i="28" s="1"/>
  <c r="AM408" i="28" a="1"/>
  <c r="AM408" i="28" s="1"/>
  <c r="AO408" i="28"/>
  <c r="AM415" i="28" a="1"/>
  <c r="AM415" i="28" s="1"/>
  <c r="AO415" i="28" s="1"/>
  <c r="J415" i="28" s="1"/>
  <c r="AE242" i="28"/>
  <c r="AE188" i="28"/>
  <c r="AE62" i="28"/>
  <c r="AM173" i="28" a="1"/>
  <c r="AM173" i="28" s="1"/>
  <c r="AO173" i="28"/>
  <c r="AE172" i="28" s="1"/>
  <c r="AM171" i="28" a="1"/>
  <c r="AM171" i="28" s="1"/>
  <c r="AO171" i="28"/>
  <c r="J171" i="28" s="1"/>
  <c r="K178" i="28" s="1"/>
  <c r="AE98" i="28"/>
  <c r="AE297" i="28"/>
  <c r="AE296" i="28"/>
  <c r="AB294" i="28"/>
  <c r="AE298" i="28"/>
  <c r="AE280" i="28"/>
  <c r="AE177" i="28"/>
  <c r="AE123" i="28"/>
  <c r="AE148" i="28"/>
  <c r="AE26" i="28"/>
  <c r="AE187" i="28"/>
  <c r="AE113" i="28"/>
  <c r="AB157" i="28"/>
  <c r="AE83" i="28"/>
  <c r="AE85" i="28"/>
  <c r="AE93" i="28"/>
  <c r="AE174" i="28"/>
  <c r="AE120" i="28"/>
  <c r="AE25" i="28"/>
  <c r="AE124" i="28"/>
  <c r="AE162" i="28"/>
  <c r="AB165" i="28" s="1"/>
  <c r="AM397" i="28" a="1"/>
  <c r="AM397" i="28" s="1"/>
  <c r="AO397" i="28"/>
  <c r="AB74" i="28"/>
  <c r="AB76" i="28"/>
  <c r="AE286" i="28"/>
  <c r="AE314" i="28"/>
  <c r="AE278" i="28"/>
  <c r="AE281" i="28"/>
  <c r="AB89" i="28"/>
  <c r="AE246" i="28"/>
  <c r="AM358" i="28" a="1"/>
  <c r="AM358" i="28" s="1"/>
  <c r="AO358" i="28" s="1"/>
  <c r="AE378" i="28"/>
  <c r="AE380" i="28"/>
  <c r="AB128" i="28"/>
  <c r="AB45" i="28"/>
  <c r="AE175" i="28"/>
  <c r="AE111" i="28"/>
  <c r="AE109" i="28"/>
  <c r="AE179" i="28"/>
  <c r="AE116" i="28"/>
  <c r="AE151" i="28"/>
  <c r="AE153" i="28"/>
  <c r="AE176" i="28"/>
  <c r="AE193" i="28"/>
  <c r="AE239" i="28"/>
  <c r="AE7" i="28"/>
  <c r="AE196" i="28"/>
  <c r="AE10" i="28"/>
  <c r="AB168" i="28"/>
  <c r="AE147" i="28"/>
  <c r="AB47" i="28"/>
  <c r="AO364" i="28"/>
  <c r="G80" i="14"/>
  <c r="H80" i="14"/>
  <c r="C13" i="2"/>
  <c r="G130" i="14"/>
  <c r="H130" i="14"/>
  <c r="F14" i="14"/>
  <c r="G155" i="14"/>
  <c r="H155" i="14"/>
  <c r="J61" i="16"/>
  <c r="J88" i="16"/>
  <c r="J114" i="16"/>
  <c r="J62" i="16"/>
  <c r="J115" i="16"/>
  <c r="J89" i="16"/>
  <c r="E14" i="14"/>
  <c r="G207" i="14"/>
  <c r="H207" i="14"/>
  <c r="G233" i="14"/>
  <c r="H233" i="14"/>
  <c r="D14" i="14"/>
  <c r="G181" i="14"/>
  <c r="H181" i="14"/>
  <c r="B14" i="14"/>
  <c r="G55" i="14"/>
  <c r="H55" i="14"/>
  <c r="J134" i="2"/>
  <c r="C14" i="14"/>
  <c r="G105" i="14"/>
  <c r="H105" i="14"/>
  <c r="A83" i="11"/>
  <c r="A18" i="11"/>
  <c r="A57" i="11"/>
  <c r="H82" i="11"/>
  <c r="J56" i="11"/>
  <c r="J16" i="11" s="1"/>
  <c r="I56" i="11"/>
  <c r="I16" i="11" s="1"/>
  <c r="K56" i="11"/>
  <c r="K16" i="11" s="1"/>
  <c r="C82" i="11"/>
  <c r="F82" i="11"/>
  <c r="E56" i="11"/>
  <c r="E16" i="11" s="1"/>
  <c r="I82" i="11"/>
  <c r="F56" i="11"/>
  <c r="F16" i="11" s="1"/>
  <c r="J82" i="11"/>
  <c r="K82" i="11"/>
  <c r="D56" i="11"/>
  <c r="D16" i="11" s="1"/>
  <c r="H56" i="11"/>
  <c r="H16" i="11" s="1"/>
  <c r="B82" i="11"/>
  <c r="D82" i="11"/>
  <c r="C56" i="11"/>
  <c r="C16" i="11" s="1"/>
  <c r="E82" i="11"/>
  <c r="G82" i="11"/>
  <c r="B56" i="11"/>
  <c r="B16" i="11" s="1"/>
  <c r="G56" i="11"/>
  <c r="G16" i="11" s="1"/>
  <c r="J103" i="16"/>
  <c r="J156" i="16"/>
  <c r="J50" i="16"/>
  <c r="J77" i="16"/>
  <c r="J129" i="16"/>
  <c r="J53" i="16"/>
  <c r="J109" i="16"/>
  <c r="J55" i="16"/>
  <c r="J56" i="16"/>
  <c r="J108" i="16"/>
  <c r="J106" i="16"/>
  <c r="J57" i="16"/>
  <c r="J107" i="16"/>
  <c r="J54" i="16"/>
  <c r="J82" i="16"/>
  <c r="J81" i="16"/>
  <c r="J84" i="16"/>
  <c r="J110" i="16"/>
  <c r="J86" i="16"/>
  <c r="J83" i="16"/>
  <c r="J80" i="16"/>
  <c r="J111" i="16"/>
  <c r="J112" i="16"/>
  <c r="J59" i="16"/>
  <c r="J85" i="16"/>
  <c r="J58" i="16"/>
  <c r="J87" i="16"/>
  <c r="J60" i="16"/>
  <c r="J113" i="16"/>
  <c r="F207" i="14"/>
  <c r="D207" i="14"/>
  <c r="E207" i="14"/>
  <c r="B207" i="14"/>
  <c r="C207" i="14"/>
  <c r="B181" i="14"/>
  <c r="D181" i="14"/>
  <c r="F181" i="14"/>
  <c r="E181" i="14"/>
  <c r="C181" i="14"/>
  <c r="B55" i="14"/>
  <c r="D55" i="14"/>
  <c r="F55" i="14"/>
  <c r="E55" i="14"/>
  <c r="C55" i="14"/>
  <c r="B105" i="14"/>
  <c r="F105" i="14"/>
  <c r="E105" i="14"/>
  <c r="C105" i="14"/>
  <c r="D105" i="14"/>
  <c r="F80" i="14"/>
  <c r="E80" i="14"/>
  <c r="D80" i="14"/>
  <c r="B80" i="14"/>
  <c r="C80" i="14"/>
  <c r="C130" i="14"/>
  <c r="F130" i="14"/>
  <c r="B130" i="14"/>
  <c r="D130" i="14"/>
  <c r="E130" i="14"/>
  <c r="A156" i="14"/>
  <c r="J156" i="14" s="1"/>
  <c r="A17" i="14"/>
  <c r="A106" i="14"/>
  <c r="J106" i="14" s="1"/>
  <c r="A208" i="14"/>
  <c r="A131" i="14"/>
  <c r="A56" i="14"/>
  <c r="J56" i="14" s="1"/>
  <c r="A234" i="14"/>
  <c r="J234" i="14" s="1"/>
  <c r="A81" i="14"/>
  <c r="J81" i="14" s="1"/>
  <c r="A182" i="14"/>
  <c r="J182" i="14" s="1"/>
  <c r="B155" i="14"/>
  <c r="F155" i="14"/>
  <c r="C155" i="14"/>
  <c r="D155" i="14"/>
  <c r="E155" i="14"/>
  <c r="D233" i="14"/>
  <c r="B233" i="14"/>
  <c r="E233" i="14"/>
  <c r="C233" i="14"/>
  <c r="F233" i="14"/>
  <c r="AE366" i="28"/>
  <c r="J8" i="2"/>
  <c r="J7" i="2"/>
  <c r="I15" i="14"/>
  <c r="J13" i="2"/>
  <c r="J11" i="2"/>
  <c r="I10" i="14"/>
  <c r="J14" i="2"/>
  <c r="J6" i="2"/>
  <c r="A22" i="16"/>
  <c r="A171" i="16"/>
  <c r="A118" i="16"/>
  <c r="A65" i="16"/>
  <c r="A144" i="16"/>
  <c r="A92" i="16"/>
  <c r="B13" i="2"/>
  <c r="I9" i="14"/>
  <c r="C59" i="17"/>
  <c r="D59" i="17"/>
  <c r="B59" i="17"/>
  <c r="E59" i="17"/>
  <c r="F59" i="17"/>
  <c r="G59" i="17"/>
  <c r="I11" i="14"/>
  <c r="I14" i="14"/>
  <c r="J12" i="2"/>
  <c r="G117" i="16"/>
  <c r="D117" i="16"/>
  <c r="B117" i="16"/>
  <c r="H117" i="16"/>
  <c r="F117" i="16"/>
  <c r="E117" i="16"/>
  <c r="J117" i="16"/>
  <c r="I117" i="16"/>
  <c r="C117" i="16"/>
  <c r="H13" i="2"/>
  <c r="S19" i="12"/>
  <c r="S41" i="12"/>
  <c r="J9" i="2"/>
  <c r="K106" i="2"/>
  <c r="K104" i="2"/>
  <c r="K71" i="2"/>
  <c r="K107" i="2"/>
  <c r="K46" i="2"/>
  <c r="K102" i="2"/>
  <c r="K105" i="2"/>
  <c r="K97" i="2"/>
  <c r="K123" i="2"/>
  <c r="K108" i="2"/>
  <c r="K100" i="2"/>
  <c r="K101" i="2"/>
  <c r="K103" i="2"/>
  <c r="K55" i="2"/>
  <c r="K53" i="2"/>
  <c r="K49" i="2"/>
  <c r="K52" i="2"/>
  <c r="K57" i="2"/>
  <c r="K56" i="2"/>
  <c r="K54" i="2"/>
  <c r="K50" i="2"/>
  <c r="K51" i="2"/>
  <c r="K130" i="2"/>
  <c r="K134" i="2"/>
  <c r="K129" i="2"/>
  <c r="K132" i="2"/>
  <c r="K128" i="2"/>
  <c r="K127" i="2"/>
  <c r="K76" i="2"/>
  <c r="K74" i="2"/>
  <c r="K78" i="2"/>
  <c r="K133" i="2"/>
  <c r="K75" i="2"/>
  <c r="K82" i="2"/>
  <c r="K80" i="2"/>
  <c r="K77" i="2"/>
  <c r="K79" i="2"/>
  <c r="K126" i="2"/>
  <c r="K81" i="2"/>
  <c r="K131" i="2"/>
  <c r="G13" i="2"/>
  <c r="A58" i="2"/>
  <c r="K58" i="2" s="1"/>
  <c r="A135" i="2"/>
  <c r="A83" i="2"/>
  <c r="K83" i="2" s="1"/>
  <c r="A109" i="2"/>
  <c r="A16" i="2"/>
  <c r="A18" i="17"/>
  <c r="A164" i="17"/>
  <c r="A85" i="17"/>
  <c r="I85" i="17" s="1"/>
  <c r="A111" i="17"/>
  <c r="I111" i="17" s="1"/>
  <c r="A137" i="17"/>
  <c r="A60" i="17"/>
  <c r="I60" i="17" s="1"/>
  <c r="I8" i="14"/>
  <c r="J70" i="14"/>
  <c r="J145" i="14"/>
  <c r="J223" i="14"/>
  <c r="J171" i="14"/>
  <c r="J120" i="14"/>
  <c r="J95" i="14"/>
  <c r="K6" i="14"/>
  <c r="J45" i="14"/>
  <c r="J197" i="14"/>
  <c r="J207" i="14"/>
  <c r="J203" i="14"/>
  <c r="J202" i="14"/>
  <c r="J205" i="14"/>
  <c r="J155" i="14"/>
  <c r="J232" i="14"/>
  <c r="J229" i="14"/>
  <c r="J152" i="14"/>
  <c r="J233" i="14"/>
  <c r="J228" i="14"/>
  <c r="J201" i="14"/>
  <c r="J100" i="14"/>
  <c r="J50" i="14"/>
  <c r="J226" i="14"/>
  <c r="J153" i="14"/>
  <c r="J180" i="14"/>
  <c r="J175" i="14"/>
  <c r="J148" i="14"/>
  <c r="J178" i="14"/>
  <c r="J174" i="14"/>
  <c r="J179" i="14"/>
  <c r="J200" i="14"/>
  <c r="J151" i="14"/>
  <c r="J181" i="14"/>
  <c r="J231" i="14"/>
  <c r="J177" i="14"/>
  <c r="J227" i="14"/>
  <c r="J150" i="14"/>
  <c r="J204" i="14"/>
  <c r="J154" i="14"/>
  <c r="J208" i="14"/>
  <c r="J230" i="14"/>
  <c r="J206" i="14"/>
  <c r="J176" i="14"/>
  <c r="J149" i="14"/>
  <c r="J48" i="14"/>
  <c r="J54" i="14"/>
  <c r="J52" i="14"/>
  <c r="J105" i="14"/>
  <c r="J49" i="14"/>
  <c r="J53" i="14"/>
  <c r="J102" i="14"/>
  <c r="J55" i="14"/>
  <c r="J51" i="14"/>
  <c r="J104" i="14"/>
  <c r="J98" i="14"/>
  <c r="J103" i="14"/>
  <c r="J99" i="14"/>
  <c r="J101" i="14"/>
  <c r="J74" i="14"/>
  <c r="J123" i="14"/>
  <c r="J73" i="14"/>
  <c r="J77" i="14"/>
  <c r="J75" i="14"/>
  <c r="J76" i="14"/>
  <c r="J128" i="14"/>
  <c r="J124" i="14"/>
  <c r="J79" i="14"/>
  <c r="J129" i="14"/>
  <c r="J127" i="14"/>
  <c r="J130" i="14"/>
  <c r="J78" i="14"/>
  <c r="J126" i="14"/>
  <c r="J125" i="14"/>
  <c r="J80" i="14"/>
  <c r="J131" i="14"/>
  <c r="D13" i="2"/>
  <c r="K103" i="19"/>
  <c r="D57" i="2"/>
  <c r="B57" i="2"/>
  <c r="F57" i="2"/>
  <c r="C57" i="2"/>
  <c r="E57" i="2"/>
  <c r="G57" i="2"/>
  <c r="H57" i="2"/>
  <c r="I57" i="2"/>
  <c r="I13" i="14"/>
  <c r="B91" i="16"/>
  <c r="C91" i="16"/>
  <c r="F91" i="16"/>
  <c r="G91" i="16"/>
  <c r="J91" i="16"/>
  <c r="E91" i="16"/>
  <c r="D91" i="16"/>
  <c r="I91" i="16"/>
  <c r="H91" i="16"/>
  <c r="F13" i="2"/>
  <c r="D84" i="17"/>
  <c r="B84" i="17"/>
  <c r="C84" i="17"/>
  <c r="E84" i="17"/>
  <c r="F84" i="17"/>
  <c r="G84" i="17"/>
  <c r="I12" i="14"/>
  <c r="J10" i="2"/>
  <c r="B64" i="16"/>
  <c r="H64" i="16"/>
  <c r="F64" i="16"/>
  <c r="J64" i="16"/>
  <c r="E64" i="16"/>
  <c r="C64" i="16"/>
  <c r="D64" i="16"/>
  <c r="I64" i="16"/>
  <c r="G64" i="16"/>
  <c r="I74" i="17"/>
  <c r="I153" i="17"/>
  <c r="I126" i="17"/>
  <c r="I100" i="17"/>
  <c r="I49" i="17"/>
  <c r="J7" i="17"/>
  <c r="I106" i="17"/>
  <c r="I107" i="17"/>
  <c r="I103" i="17"/>
  <c r="I105" i="17"/>
  <c r="I104" i="17"/>
  <c r="I110" i="17"/>
  <c r="I109" i="17"/>
  <c r="I108" i="17"/>
  <c r="I59" i="17"/>
  <c r="I53" i="17"/>
  <c r="I55" i="17"/>
  <c r="I58" i="17"/>
  <c r="I56" i="17"/>
  <c r="I54" i="17"/>
  <c r="I52" i="17"/>
  <c r="I57" i="17"/>
  <c r="I84" i="17"/>
  <c r="I79" i="17"/>
  <c r="I81" i="17"/>
  <c r="I82" i="17"/>
  <c r="I78" i="17"/>
  <c r="I83" i="17"/>
  <c r="I80" i="17"/>
  <c r="I77" i="17"/>
  <c r="E13" i="2"/>
  <c r="B110" i="17"/>
  <c r="D110" i="17"/>
  <c r="C110" i="17"/>
  <c r="E110" i="17"/>
  <c r="F110" i="17"/>
  <c r="G110" i="17"/>
  <c r="B108" i="2"/>
  <c r="C108" i="2"/>
  <c r="D108" i="2"/>
  <c r="E108" i="2"/>
  <c r="B82" i="2"/>
  <c r="C82" i="2"/>
  <c r="B134" i="2"/>
  <c r="C134" i="2"/>
  <c r="D82" i="2"/>
  <c r="E82" i="2"/>
  <c r="E134" i="2"/>
  <c r="F134" i="2"/>
  <c r="F82" i="2"/>
  <c r="D134" i="2"/>
  <c r="F108" i="2"/>
  <c r="G82" i="2"/>
  <c r="G108" i="2"/>
  <c r="G134" i="2"/>
  <c r="H108" i="2"/>
  <c r="H134" i="2"/>
  <c r="H82" i="2"/>
  <c r="I108" i="2"/>
  <c r="I82" i="2"/>
  <c r="I134" i="2"/>
  <c r="AL303" i="28" a="1"/>
  <c r="AL303" i="28" s="1"/>
  <c r="AN303" i="28" s="1" a="1"/>
  <c r="AN303" i="28" s="1"/>
  <c r="AE244" i="28"/>
  <c r="AB28" i="28"/>
  <c r="AE96" i="28"/>
  <c r="AB97" i="28" s="1"/>
  <c r="AB217" i="28"/>
  <c r="AE198" i="28"/>
  <c r="AM405" i="28" a="1"/>
  <c r="AM405" i="28" s="1"/>
  <c r="AO405" i="28" s="1"/>
  <c r="AE399" i="28" s="1"/>
  <c r="AM418" i="28" a="1"/>
  <c r="AM418" i="28" s="1"/>
  <c r="AO418" i="28" s="1"/>
  <c r="J418" i="28" s="1"/>
  <c r="AM417" i="28" a="1"/>
  <c r="AM417" i="28" s="1"/>
  <c r="AO417" i="28"/>
  <c r="AM423" i="28" a="1"/>
  <c r="AM423" i="28" s="1"/>
  <c r="AO423" i="28"/>
  <c r="AM420" i="28" a="1"/>
  <c r="AM420" i="28" s="1"/>
  <c r="AO420" i="28"/>
  <c r="AL394" i="28" a="1"/>
  <c r="AL394" i="28" s="1"/>
  <c r="AN394" i="28" s="1" a="1"/>
  <c r="AN394" i="28" s="1"/>
  <c r="AM413" i="28" a="1"/>
  <c r="AM413" i="28" s="1"/>
  <c r="AO413" i="28" s="1"/>
  <c r="J413" i="28" s="1"/>
  <c r="AO409" i="28"/>
  <c r="J409" i="28" s="1"/>
  <c r="AM409" i="28" a="1"/>
  <c r="AM409" i="28" s="1"/>
  <c r="AM401" i="28" a="1"/>
  <c r="AM401" i="28" s="1"/>
  <c r="AO401" i="28" s="1"/>
  <c r="J401" i="28" s="1"/>
  <c r="AK300" i="28" a="1"/>
  <c r="AK300" i="28" s="1"/>
  <c r="AL300" i="28" a="1"/>
  <c r="AL300" i="28" s="1"/>
  <c r="AN300" i="28" s="1" a="1"/>
  <c r="AN300" i="28" s="1"/>
  <c r="AK302" i="28" a="1"/>
  <c r="AK302" i="28" s="1"/>
  <c r="AL302" i="28" a="1"/>
  <c r="AL302" i="28" s="1"/>
  <c r="AN302" i="28" s="1" a="1"/>
  <c r="AN302" i="28" s="1"/>
  <c r="AM303" i="28" a="1"/>
  <c r="AM303" i="28" s="1"/>
  <c r="AL301" i="28" a="1"/>
  <c r="AL301" i="28" s="1"/>
  <c r="AN301" i="28" s="1" a="1"/>
  <c r="AN301" i="28" s="1"/>
  <c r="AK301" i="28" a="1"/>
  <c r="AK301" i="28" s="1"/>
  <c r="AM301" i="28" s="1" a="1"/>
  <c r="AM301" i="28" s="1"/>
  <c r="AO301" i="28" s="1"/>
  <c r="J301" i="28" s="1"/>
  <c r="AE260" i="28"/>
  <c r="AE267" i="28"/>
  <c r="AE261" i="28"/>
  <c r="AE357" i="28"/>
  <c r="AE99" i="28"/>
  <c r="AE91" i="28"/>
  <c r="AM400" i="28" a="1"/>
  <c r="AM400" i="28" s="1"/>
  <c r="AO400" i="28" s="1"/>
  <c r="J400" i="28" s="1"/>
  <c r="AK386" i="28" a="1"/>
  <c r="AK386" i="28" s="1"/>
  <c r="AM386" i="28" s="1" a="1"/>
  <c r="AM386" i="28" s="1"/>
  <c r="AO386" i="28" s="1"/>
  <c r="AL386" i="28" a="1"/>
  <c r="AL386" i="28" s="1"/>
  <c r="AN386" i="28" s="1" a="1"/>
  <c r="AN386" i="28" s="1"/>
  <c r="AK392" i="28" a="1"/>
  <c r="AK392" i="28" s="1"/>
  <c r="AM392" i="28" s="1" a="1"/>
  <c r="AM392" i="28" s="1"/>
  <c r="AL392" i="28" a="1"/>
  <c r="AL392" i="28" s="1"/>
  <c r="AN392" i="28" s="1" a="1"/>
  <c r="AN392" i="28" s="1"/>
  <c r="AL389" i="28" a="1"/>
  <c r="AL389" i="28" s="1"/>
  <c r="AN389" i="28" s="1" a="1"/>
  <c r="AN389" i="28" s="1"/>
  <c r="AK389" i="28" a="1"/>
  <c r="AK389" i="28" s="1"/>
  <c r="AM389" i="28" s="1" a="1"/>
  <c r="AM389" i="28" s="1"/>
  <c r="AM424" i="28" a="1"/>
  <c r="AM424" i="28" s="1"/>
  <c r="AO424" i="28" s="1"/>
  <c r="J424" i="28" s="1"/>
  <c r="K421" i="28" s="1"/>
  <c r="AK390" i="28" a="1"/>
  <c r="AK390" i="28" s="1"/>
  <c r="AM390" i="28" s="1" a="1"/>
  <c r="AM390" i="28" s="1"/>
  <c r="AL390" i="28" a="1"/>
  <c r="AL390" i="28" s="1"/>
  <c r="AN390" i="28" s="1" a="1"/>
  <c r="AN390" i="28" s="1"/>
  <c r="AL391" i="28" a="1"/>
  <c r="AL391" i="28" s="1"/>
  <c r="AN391" i="28" s="1" a="1"/>
  <c r="AN391" i="28" s="1"/>
  <c r="AK391" i="28" a="1"/>
  <c r="AK391" i="28" s="1"/>
  <c r="AM391" i="28" s="1" a="1"/>
  <c r="AM391" i="28" s="1"/>
  <c r="AK387" i="28" a="1"/>
  <c r="AK387" i="28" s="1"/>
  <c r="AM387" i="28" s="1" a="1"/>
  <c r="AM387" i="28" s="1"/>
  <c r="AL387" i="28" a="1"/>
  <c r="AL387" i="28" s="1"/>
  <c r="AN387" i="28" s="1" a="1"/>
  <c r="AN387" i="28" s="1"/>
  <c r="AM394" i="28" a="1"/>
  <c r="AM394" i="28" s="1"/>
  <c r="AM388" i="28" a="1"/>
  <c r="AM388" i="28" s="1"/>
  <c r="AO388" i="28"/>
  <c r="AL395" i="28" a="1"/>
  <c r="AL395" i="28" s="1"/>
  <c r="AN395" i="28" s="1" a="1"/>
  <c r="AN395" i="28" s="1"/>
  <c r="AK395" i="28" a="1"/>
  <c r="AK395" i="28" s="1"/>
  <c r="AM395" i="28" s="1" a="1"/>
  <c r="AM395" i="28" s="1"/>
  <c r="AK393" i="28" a="1"/>
  <c r="AK393" i="28" s="1"/>
  <c r="AM393" i="28" s="1" a="1"/>
  <c r="AM393" i="28" s="1"/>
  <c r="AL393" i="28" a="1"/>
  <c r="AL393" i="28" s="1"/>
  <c r="AN393" i="28" s="1" a="1"/>
  <c r="AN393" i="28" s="1"/>
  <c r="AE94" i="28"/>
  <c r="AE82" i="28"/>
  <c r="AE55" i="28"/>
  <c r="AE56" i="28"/>
  <c r="AB156" i="28"/>
  <c r="AB225" i="28"/>
  <c r="AE112" i="28"/>
  <c r="AE122" i="28"/>
  <c r="AE5" i="28"/>
  <c r="AE4" i="28"/>
  <c r="AE365" i="28"/>
  <c r="AE367" i="28"/>
  <c r="AE370" i="28"/>
  <c r="AE84" i="28"/>
  <c r="AE266" i="28"/>
  <c r="AB63" i="28"/>
  <c r="AE369" i="28"/>
  <c r="AE23" i="28"/>
  <c r="AE22" i="28"/>
  <c r="AE282" i="28"/>
  <c r="AE279" i="28"/>
  <c r="AE283" i="28"/>
  <c r="AE287" i="28"/>
  <c r="AE285" i="28"/>
  <c r="AE361" i="28"/>
  <c r="AE60" i="28"/>
  <c r="AE58" i="28"/>
  <c r="AE59" i="28"/>
  <c r="AB70" i="28"/>
  <c r="AE57" i="28"/>
  <c r="AE95" i="28"/>
  <c r="AB220" i="28"/>
  <c r="AB43" i="28"/>
  <c r="AB44" i="28"/>
  <c r="AE360" i="28"/>
  <c r="AE363" i="28"/>
  <c r="AE362" i="28"/>
  <c r="AB166" i="28"/>
  <c r="AB36" i="28"/>
  <c r="AB50" i="28"/>
  <c r="AB52" i="28"/>
  <c r="AB53" i="28"/>
  <c r="Y53" i="28"/>
  <c r="AB120" i="28"/>
  <c r="Y73" i="28"/>
  <c r="AB73" i="28"/>
  <c r="Y75" i="28"/>
  <c r="AB75" i="28"/>
  <c r="AB125" i="28"/>
  <c r="AB148" i="28"/>
  <c r="Y148" i="28"/>
  <c r="AE186" i="28"/>
  <c r="AB382" i="28"/>
  <c r="AE21" i="28"/>
  <c r="AE24" i="28"/>
  <c r="AB25" i="28" s="1"/>
  <c r="AE311" i="28"/>
  <c r="AE345" i="28"/>
  <c r="AE101" i="28"/>
  <c r="AE108" i="28"/>
  <c r="AE110" i="28"/>
  <c r="AB221" i="28"/>
  <c r="AB72" i="28"/>
  <c r="Y72" i="28"/>
  <c r="L185" i="28" l="1"/>
  <c r="AB185" i="28" s="1"/>
  <c r="L30" i="28"/>
  <c r="AB30" i="28" s="1"/>
  <c r="AE270" i="28"/>
  <c r="AE277" i="28"/>
  <c r="K271" i="28"/>
  <c r="AE274" i="28"/>
  <c r="AE271" i="28"/>
  <c r="K274" i="28"/>
  <c r="K273" i="28"/>
  <c r="K277" i="28"/>
  <c r="L275" i="28" s="1"/>
  <c r="AE273" i="28"/>
  <c r="K270" i="28"/>
  <c r="AE178" i="28"/>
  <c r="K55" i="28"/>
  <c r="L55" i="28" s="1"/>
  <c r="K54" i="28"/>
  <c r="K56" i="28"/>
  <c r="AE54" i="28"/>
  <c r="L179" i="28"/>
  <c r="L176" i="28"/>
  <c r="L174" i="28"/>
  <c r="L12" i="28"/>
  <c r="L10" i="28"/>
  <c r="L7" i="28"/>
  <c r="AE64" i="28"/>
  <c r="L14" i="28"/>
  <c r="L87" i="28"/>
  <c r="AB87" i="28" s="1"/>
  <c r="L84" i="28"/>
  <c r="L117" i="28"/>
  <c r="L82" i="28"/>
  <c r="K57" i="28"/>
  <c r="L57" i="28" s="1"/>
  <c r="L228" i="28"/>
  <c r="Y373" i="28"/>
  <c r="L399" i="28"/>
  <c r="L274" i="28"/>
  <c r="L231" i="28"/>
  <c r="L337" i="28"/>
  <c r="L92" i="28"/>
  <c r="L104" i="28"/>
  <c r="L232" i="28"/>
  <c r="L339" i="28"/>
  <c r="L106" i="28"/>
  <c r="L187" i="28"/>
  <c r="L244" i="28"/>
  <c r="L205" i="28"/>
  <c r="L285" i="28"/>
  <c r="L214" i="28"/>
  <c r="AE272" i="28"/>
  <c r="AE268" i="28"/>
  <c r="L112" i="28"/>
  <c r="L189" i="28"/>
  <c r="L254" i="28"/>
  <c r="L272" i="28"/>
  <c r="L280" i="28"/>
  <c r="L230" i="28"/>
  <c r="L108" i="28"/>
  <c r="L107" i="28"/>
  <c r="K418" i="28"/>
  <c r="L418" i="28" s="1"/>
  <c r="K121" i="28"/>
  <c r="L397" i="28"/>
  <c r="L271" i="28"/>
  <c r="L182" i="28"/>
  <c r="L224" i="28"/>
  <c r="AB224" i="28" s="1"/>
  <c r="L422" i="28"/>
  <c r="AB3" i="28"/>
  <c r="K318" i="28"/>
  <c r="K396" i="28"/>
  <c r="K328" i="28"/>
  <c r="L328" i="28" s="1"/>
  <c r="L405" i="28"/>
  <c r="L270" i="28"/>
  <c r="L94" i="28"/>
  <c r="L93" i="28"/>
  <c r="L277" i="28"/>
  <c r="K170" i="28"/>
  <c r="K312" i="28"/>
  <c r="K309" i="28"/>
  <c r="K376" i="28"/>
  <c r="K353" i="28"/>
  <c r="L353" i="28" s="1"/>
  <c r="K66" i="28"/>
  <c r="L402" i="28"/>
  <c r="L273" i="28"/>
  <c r="L226" i="28"/>
  <c r="L105" i="28"/>
  <c r="L183" i="28"/>
  <c r="L414" i="28"/>
  <c r="K315" i="28"/>
  <c r="K354" i="28"/>
  <c r="L354" i="28" s="1"/>
  <c r="K241" i="28"/>
  <c r="K320" i="28"/>
  <c r="L320" i="28" s="1"/>
  <c r="L237" i="28"/>
  <c r="AE35" i="28"/>
  <c r="K35" i="28"/>
  <c r="K409" i="28"/>
  <c r="L409" i="28" s="1"/>
  <c r="K410" i="28"/>
  <c r="K20" i="28"/>
  <c r="L234" i="28"/>
  <c r="L342" i="28"/>
  <c r="L268" i="28"/>
  <c r="AB187" i="28"/>
  <c r="K212" i="28"/>
  <c r="K60" i="28"/>
  <c r="L60" i="28" s="1"/>
  <c r="AB60" i="28" s="1"/>
  <c r="AB366" i="28"/>
  <c r="K413" i="28"/>
  <c r="K139" i="28"/>
  <c r="L139" i="28" s="1"/>
  <c r="K334" i="28"/>
  <c r="L334" i="28" s="1"/>
  <c r="AE276" i="28"/>
  <c r="L210" i="28"/>
  <c r="K32" i="28"/>
  <c r="K33" i="28"/>
  <c r="AE32" i="28"/>
  <c r="AE33" i="28"/>
  <c r="L114" i="28"/>
  <c r="L95" i="28"/>
  <c r="K400" i="28"/>
  <c r="AB373" i="28"/>
  <c r="K307" i="28"/>
  <c r="K319" i="28"/>
  <c r="L319" i="28" s="1"/>
  <c r="K67" i="28"/>
  <c r="K323" i="28"/>
  <c r="K322" i="28"/>
  <c r="K306" i="28"/>
  <c r="K314" i="28"/>
  <c r="L314" i="28" s="1"/>
  <c r="K411" i="28"/>
  <c r="K383" i="28"/>
  <c r="L383" i="28" s="1"/>
  <c r="K338" i="28"/>
  <c r="L338" i="28" s="1"/>
  <c r="K326" i="28"/>
  <c r="L326" i="28" s="1"/>
  <c r="AE170" i="28"/>
  <c r="K135" i="28"/>
  <c r="K133" i="28"/>
  <c r="K276" i="28"/>
  <c r="AE269" i="28"/>
  <c r="K269" i="28"/>
  <c r="K415" i="28"/>
  <c r="L415" i="28" s="1"/>
  <c r="K305" i="28"/>
  <c r="L305" i="28" s="1"/>
  <c r="K316" i="28"/>
  <c r="K321" i="28"/>
  <c r="K317" i="28"/>
  <c r="L317" i="28" s="1"/>
  <c r="K355" i="28"/>
  <c r="L355" i="28" s="1"/>
  <c r="K16" i="28"/>
  <c r="L16" i="28" s="1"/>
  <c r="K401" i="28"/>
  <c r="L401" i="28" s="1"/>
  <c r="K352" i="28"/>
  <c r="L352" i="28" s="1"/>
  <c r="AE421" i="28"/>
  <c r="K424" i="28"/>
  <c r="L424" i="28" s="1"/>
  <c r="AE171" i="28"/>
  <c r="K171" i="28"/>
  <c r="L171" i="28" s="1"/>
  <c r="AB171" i="28" s="1"/>
  <c r="AE368" i="28"/>
  <c r="K368" i="28"/>
  <c r="L368" i="28" s="1"/>
  <c r="AE312" i="28"/>
  <c r="K311" i="28"/>
  <c r="L311" i="28" s="1"/>
  <c r="AE241" i="28"/>
  <c r="K245" i="28"/>
  <c r="L245" i="28" s="1"/>
  <c r="AE216" i="28"/>
  <c r="K216" i="28"/>
  <c r="L216" i="28" s="1"/>
  <c r="AE149" i="28"/>
  <c r="K149" i="28"/>
  <c r="L149" i="28" s="1"/>
  <c r="AB149" i="28" s="1"/>
  <c r="AE65" i="28"/>
  <c r="K65" i="28"/>
  <c r="L65" i="28" s="1"/>
  <c r="AE154" i="28"/>
  <c r="K154" i="28"/>
  <c r="L154" i="28" s="1"/>
  <c r="AE164" i="28"/>
  <c r="K164" i="28"/>
  <c r="L164" i="28" s="1"/>
  <c r="AE152" i="28"/>
  <c r="K152" i="28"/>
  <c r="L152" i="28" s="1"/>
  <c r="AE407" i="28"/>
  <c r="K407" i="28"/>
  <c r="L407" i="28" s="1"/>
  <c r="AE121" i="28"/>
  <c r="K122" i="28"/>
  <c r="L122" i="28" s="1"/>
  <c r="AB122" i="28" s="1"/>
  <c r="AE49" i="28"/>
  <c r="K49" i="28"/>
  <c r="L49" i="28" s="1"/>
  <c r="AE404" i="28"/>
  <c r="K404" i="28"/>
  <c r="L404" i="28" s="1"/>
  <c r="AE308" i="28"/>
  <c r="K308" i="28"/>
  <c r="L308" i="28" s="1"/>
  <c r="AE66" i="28"/>
  <c r="K68" i="28"/>
  <c r="L68" i="28" s="1"/>
  <c r="AE3" i="28"/>
  <c r="K5" i="28"/>
  <c r="AB18" i="28"/>
  <c r="AE323" i="28"/>
  <c r="AE318" i="28"/>
  <c r="AE376" i="28"/>
  <c r="AE383" i="28"/>
  <c r="AE317" i="28"/>
  <c r="AE307" i="28"/>
  <c r="AE306" i="28"/>
  <c r="AB176" i="28"/>
  <c r="AE315" i="28"/>
  <c r="AE322" i="28"/>
  <c r="AB119" i="28"/>
  <c r="AE135" i="28"/>
  <c r="AE133" i="28"/>
  <c r="AE338" i="28"/>
  <c r="AE328" i="28"/>
  <c r="AE326" i="28"/>
  <c r="AE354" i="28"/>
  <c r="AE352" i="28"/>
  <c r="AB352" i="28" s="1"/>
  <c r="AE353" i="28"/>
  <c r="AE355" i="28"/>
  <c r="AE319" i="28"/>
  <c r="AE320" i="28"/>
  <c r="AE316" i="28"/>
  <c r="AE321" i="28"/>
  <c r="AE339" i="28"/>
  <c r="AE334" i="28"/>
  <c r="AB150" i="28"/>
  <c r="AE134" i="28"/>
  <c r="AE212" i="28"/>
  <c r="J331" i="28"/>
  <c r="J364" i="28"/>
  <c r="AE359" i="28"/>
  <c r="Y359" i="28" s="1"/>
  <c r="J358" i="28"/>
  <c r="J408" i="28"/>
  <c r="AE139" i="28"/>
  <c r="V139" i="28"/>
  <c r="W139" i="28" s="1"/>
  <c r="AE305" i="28"/>
  <c r="AE309" i="28"/>
  <c r="AE20" i="28"/>
  <c r="AE16" i="28"/>
  <c r="J423" i="28"/>
  <c r="AE423" i="28" s="1"/>
  <c r="AE173" i="28"/>
  <c r="AB100" i="28"/>
  <c r="AB177" i="28"/>
  <c r="AE69" i="28"/>
  <c r="AE67" i="28"/>
  <c r="AB162" i="28"/>
  <c r="AB113" i="28"/>
  <c r="AE356" i="28"/>
  <c r="AE419" i="28"/>
  <c r="AB174" i="28"/>
  <c r="Y153" i="28"/>
  <c r="AB153" i="28"/>
  <c r="AB109" i="28"/>
  <c r="AO394" i="28"/>
  <c r="J394" i="28" s="1"/>
  <c r="AO303" i="28"/>
  <c r="J303" i="28" s="1"/>
  <c r="AE13" i="28"/>
  <c r="AE11" i="28"/>
  <c r="AE12" i="28"/>
  <c r="AE68" i="28"/>
  <c r="F81" i="14"/>
  <c r="C81" i="14"/>
  <c r="B81" i="14"/>
  <c r="D81" i="14"/>
  <c r="G81" i="14"/>
  <c r="E81" i="14"/>
  <c r="H81" i="14"/>
  <c r="I81" i="14"/>
  <c r="E15" i="14"/>
  <c r="A84" i="11"/>
  <c r="A19" i="11"/>
  <c r="A58" i="11"/>
  <c r="G15" i="14"/>
  <c r="F234" i="14"/>
  <c r="G234" i="14"/>
  <c r="D234" i="14"/>
  <c r="E234" i="14"/>
  <c r="C234" i="14"/>
  <c r="B234" i="14"/>
  <c r="H234" i="14"/>
  <c r="I234" i="14"/>
  <c r="F15" i="14"/>
  <c r="F56" i="14"/>
  <c r="B56" i="14"/>
  <c r="D56" i="14"/>
  <c r="C56" i="14"/>
  <c r="E56" i="14"/>
  <c r="G56" i="14"/>
  <c r="H56" i="14"/>
  <c r="I56" i="14"/>
  <c r="D15" i="14"/>
  <c r="E131" i="14"/>
  <c r="G131" i="14"/>
  <c r="F131" i="14"/>
  <c r="B131" i="14"/>
  <c r="D131" i="14"/>
  <c r="C131" i="14"/>
  <c r="H131" i="14"/>
  <c r="I131" i="14"/>
  <c r="B15" i="14"/>
  <c r="C208" i="14"/>
  <c r="D208" i="14"/>
  <c r="E208" i="14"/>
  <c r="F208" i="14"/>
  <c r="B208" i="14"/>
  <c r="G208" i="14"/>
  <c r="H208" i="14"/>
  <c r="I208" i="14"/>
  <c r="B106" i="14"/>
  <c r="E106" i="14"/>
  <c r="G106" i="14"/>
  <c r="F106" i="14"/>
  <c r="D106" i="14"/>
  <c r="C106" i="14"/>
  <c r="H106" i="14"/>
  <c r="I106" i="14"/>
  <c r="A209" i="14"/>
  <c r="K209" i="14" s="1"/>
  <c r="A157" i="14"/>
  <c r="A18" i="14"/>
  <c r="A132" i="14"/>
  <c r="A107" i="14"/>
  <c r="A57" i="14"/>
  <c r="K57" i="14" s="1"/>
  <c r="A82" i="14"/>
  <c r="K82" i="14" s="1"/>
  <c r="A183" i="14"/>
  <c r="K183" i="14" s="1"/>
  <c r="A235" i="14"/>
  <c r="K235" i="14" s="1"/>
  <c r="C182" i="14"/>
  <c r="E182" i="14"/>
  <c r="D182" i="14"/>
  <c r="B182" i="14"/>
  <c r="F182" i="14"/>
  <c r="G182" i="14"/>
  <c r="H182" i="14"/>
  <c r="I182" i="14"/>
  <c r="F156" i="14"/>
  <c r="D156" i="14"/>
  <c r="E156" i="14"/>
  <c r="B156" i="14"/>
  <c r="C156" i="14"/>
  <c r="G156" i="14"/>
  <c r="H156" i="14"/>
  <c r="I156" i="14"/>
  <c r="C15" i="14"/>
  <c r="B57" i="11"/>
  <c r="B17" i="11" s="1"/>
  <c r="B83" i="11"/>
  <c r="C83" i="11"/>
  <c r="J83" i="11"/>
  <c r="F83" i="11"/>
  <c r="K83" i="11"/>
  <c r="G57" i="11"/>
  <c r="G17" i="11" s="1"/>
  <c r="J57" i="11"/>
  <c r="J17" i="11" s="1"/>
  <c r="E57" i="11"/>
  <c r="E17" i="11" s="1"/>
  <c r="G83" i="11"/>
  <c r="E83" i="11"/>
  <c r="C57" i="11"/>
  <c r="C17" i="11" s="1"/>
  <c r="F57" i="11"/>
  <c r="F17" i="11" s="1"/>
  <c r="K57" i="11"/>
  <c r="K17" i="11" s="1"/>
  <c r="H83" i="11"/>
  <c r="D57" i="11"/>
  <c r="D17" i="11" s="1"/>
  <c r="H57" i="11"/>
  <c r="H17" i="11" s="1"/>
  <c r="I83" i="11"/>
  <c r="D83" i="11"/>
  <c r="I57" i="11"/>
  <c r="I17" i="11" s="1"/>
  <c r="H15" i="14"/>
  <c r="AE418" i="28"/>
  <c r="K15" i="2"/>
  <c r="J74" i="17"/>
  <c r="K7" i="17"/>
  <c r="J153" i="17"/>
  <c r="J49" i="17"/>
  <c r="J126" i="17"/>
  <c r="J100" i="17"/>
  <c r="J104" i="17"/>
  <c r="J110" i="17"/>
  <c r="J109" i="17"/>
  <c r="J105" i="17"/>
  <c r="J111" i="17"/>
  <c r="J108" i="17"/>
  <c r="J103" i="17"/>
  <c r="J107" i="17"/>
  <c r="J106" i="17"/>
  <c r="J57" i="17"/>
  <c r="J58" i="17"/>
  <c r="J55" i="17"/>
  <c r="J54" i="17"/>
  <c r="J53" i="17"/>
  <c r="J59" i="17"/>
  <c r="J52" i="17"/>
  <c r="J60" i="17"/>
  <c r="J56" i="17"/>
  <c r="J77" i="17"/>
  <c r="J83" i="17"/>
  <c r="J84" i="17"/>
  <c r="J82" i="17"/>
  <c r="J81" i="17"/>
  <c r="J80" i="17"/>
  <c r="J79" i="17"/>
  <c r="J85" i="17"/>
  <c r="J78" i="17"/>
  <c r="D14" i="2"/>
  <c r="J15" i="14"/>
  <c r="K45" i="14"/>
  <c r="K145" i="14"/>
  <c r="K95" i="14"/>
  <c r="K120" i="14"/>
  <c r="K171" i="14"/>
  <c r="K197" i="14"/>
  <c r="K70" i="14"/>
  <c r="K223" i="14"/>
  <c r="K180" i="14"/>
  <c r="K233" i="14"/>
  <c r="K150" i="14"/>
  <c r="K226" i="14"/>
  <c r="K174" i="14"/>
  <c r="K208" i="14"/>
  <c r="K205" i="14"/>
  <c r="K149" i="14"/>
  <c r="K206" i="14"/>
  <c r="K151" i="14"/>
  <c r="K201" i="14"/>
  <c r="K228" i="14"/>
  <c r="K203" i="14"/>
  <c r="K102" i="14"/>
  <c r="K53" i="14"/>
  <c r="K105" i="14"/>
  <c r="K200" i="14"/>
  <c r="K152" i="14"/>
  <c r="K153" i="14"/>
  <c r="K178" i="14"/>
  <c r="K177" i="14"/>
  <c r="K179" i="14"/>
  <c r="K232" i="14"/>
  <c r="K155" i="14"/>
  <c r="K202" i="14"/>
  <c r="K154" i="14"/>
  <c r="K148" i="14"/>
  <c r="K227" i="14"/>
  <c r="K175" i="14"/>
  <c r="K156" i="14"/>
  <c r="K204" i="14"/>
  <c r="K181" i="14"/>
  <c r="K182" i="14"/>
  <c r="K207" i="14"/>
  <c r="K231" i="14"/>
  <c r="K176" i="14"/>
  <c r="K230" i="14"/>
  <c r="K229" i="14"/>
  <c r="K234" i="14"/>
  <c r="K107" i="14"/>
  <c r="K54" i="14"/>
  <c r="K100" i="14"/>
  <c r="K56" i="14"/>
  <c r="K103" i="14"/>
  <c r="K55" i="14"/>
  <c r="K106" i="14"/>
  <c r="K104" i="14"/>
  <c r="K98" i="14"/>
  <c r="K99" i="14"/>
  <c r="K101" i="14"/>
  <c r="K49" i="14"/>
  <c r="K48" i="14"/>
  <c r="K52" i="14"/>
  <c r="K51" i="14"/>
  <c r="K50" i="14"/>
  <c r="K132" i="14"/>
  <c r="K128" i="14"/>
  <c r="K81" i="14"/>
  <c r="K78" i="14"/>
  <c r="K75" i="14"/>
  <c r="K80" i="14"/>
  <c r="K79" i="14"/>
  <c r="K126" i="14"/>
  <c r="K124" i="14"/>
  <c r="K77" i="14"/>
  <c r="K131" i="14"/>
  <c r="K130" i="14"/>
  <c r="K73" i="14"/>
  <c r="K127" i="14"/>
  <c r="K76" i="14"/>
  <c r="K74" i="14"/>
  <c r="K123" i="14"/>
  <c r="K129" i="14"/>
  <c r="K125" i="14"/>
  <c r="B111" i="17"/>
  <c r="C111" i="17"/>
  <c r="D111" i="17"/>
  <c r="E111" i="17"/>
  <c r="F111" i="17"/>
  <c r="G111" i="17"/>
  <c r="H111" i="17"/>
  <c r="K135" i="2"/>
  <c r="K7" i="2"/>
  <c r="I14" i="2"/>
  <c r="J8" i="14"/>
  <c r="D85" i="17"/>
  <c r="C85" i="17"/>
  <c r="B85" i="17"/>
  <c r="E85" i="17"/>
  <c r="F85" i="17"/>
  <c r="G85" i="17"/>
  <c r="H85" i="17"/>
  <c r="A84" i="2"/>
  <c r="A17" i="2"/>
  <c r="A110" i="2"/>
  <c r="A59" i="2"/>
  <c r="A136" i="2"/>
  <c r="K14" i="2"/>
  <c r="K12" i="2"/>
  <c r="F65" i="16"/>
  <c r="J65" i="16"/>
  <c r="B65" i="16"/>
  <c r="G65" i="16"/>
  <c r="D65" i="16"/>
  <c r="E65" i="16"/>
  <c r="H65" i="16"/>
  <c r="I65" i="16"/>
  <c r="C65" i="16"/>
  <c r="H14" i="2"/>
  <c r="J12" i="14"/>
  <c r="K11" i="2"/>
  <c r="D118" i="16"/>
  <c r="E118" i="16"/>
  <c r="H118" i="16"/>
  <c r="I118" i="16"/>
  <c r="B118" i="16"/>
  <c r="F118" i="16"/>
  <c r="C118" i="16"/>
  <c r="J118" i="16"/>
  <c r="G118" i="16"/>
  <c r="G14" i="2"/>
  <c r="J13" i="14"/>
  <c r="A19" i="17"/>
  <c r="A138" i="17"/>
  <c r="A165" i="17"/>
  <c r="A86" i="17"/>
  <c r="A61" i="17"/>
  <c r="J61" i="17" s="1"/>
  <c r="A112" i="17"/>
  <c r="D109" i="2"/>
  <c r="C109" i="2"/>
  <c r="B109" i="2"/>
  <c r="E109" i="2"/>
  <c r="C135" i="2"/>
  <c r="D83" i="2"/>
  <c r="E135" i="2"/>
  <c r="C83" i="2"/>
  <c r="F135" i="2"/>
  <c r="D135" i="2"/>
  <c r="B135" i="2"/>
  <c r="F83" i="2"/>
  <c r="B83" i="2"/>
  <c r="E83" i="2"/>
  <c r="F109" i="2"/>
  <c r="G135" i="2"/>
  <c r="G83" i="2"/>
  <c r="G109" i="2"/>
  <c r="H109" i="2"/>
  <c r="H83" i="2"/>
  <c r="H135" i="2"/>
  <c r="I135" i="2"/>
  <c r="I83" i="2"/>
  <c r="I109" i="2"/>
  <c r="J135" i="2"/>
  <c r="J109" i="2"/>
  <c r="J83" i="2"/>
  <c r="K13" i="2"/>
  <c r="K9" i="2"/>
  <c r="E14" i="2"/>
  <c r="J9" i="14"/>
  <c r="K6" i="2"/>
  <c r="A93" i="16"/>
  <c r="A66" i="16"/>
  <c r="A145" i="16"/>
  <c r="A119" i="16"/>
  <c r="A172" i="16"/>
  <c r="A23" i="16"/>
  <c r="C14" i="2"/>
  <c r="J16" i="14"/>
  <c r="B58" i="2"/>
  <c r="E58" i="2"/>
  <c r="D58" i="2"/>
  <c r="F58" i="2"/>
  <c r="F15" i="2" s="1"/>
  <c r="C58" i="2"/>
  <c r="G58" i="2"/>
  <c r="H58" i="2"/>
  <c r="I58" i="2"/>
  <c r="J58" i="2"/>
  <c r="F14" i="2"/>
  <c r="J11" i="14"/>
  <c r="J14" i="14"/>
  <c r="J10" i="14"/>
  <c r="B60" i="17"/>
  <c r="C60" i="17"/>
  <c r="D60" i="17"/>
  <c r="E60" i="17"/>
  <c r="F60" i="17"/>
  <c r="G60" i="17"/>
  <c r="H60" i="17"/>
  <c r="K10" i="2"/>
  <c r="K109" i="2"/>
  <c r="B14" i="2"/>
  <c r="K8" i="2"/>
  <c r="S20" i="12"/>
  <c r="S42" i="12"/>
  <c r="I92" i="16"/>
  <c r="D92" i="16"/>
  <c r="E92" i="16"/>
  <c r="B92" i="16"/>
  <c r="J92" i="16"/>
  <c r="F92" i="16"/>
  <c r="H92" i="16"/>
  <c r="C92" i="16"/>
  <c r="G92" i="16"/>
  <c r="AB361" i="28"/>
  <c r="AB363" i="28"/>
  <c r="AE14" i="28"/>
  <c r="AE415" i="28"/>
  <c r="AE411" i="28"/>
  <c r="AE410" i="28"/>
  <c r="AE409" i="28"/>
  <c r="AE420" i="28"/>
  <c r="AE396" i="28"/>
  <c r="AE401" i="28"/>
  <c r="AE402" i="28"/>
  <c r="AE403" i="28"/>
  <c r="AE413" i="28"/>
  <c r="AE417" i="28"/>
  <c r="AE405" i="28"/>
  <c r="AE425" i="28"/>
  <c r="AB267" i="28"/>
  <c r="AM302" i="28" a="1"/>
  <c r="AM302" i="28" s="1"/>
  <c r="AO302" i="28" s="1"/>
  <c r="J302" i="28" s="1"/>
  <c r="AM300" i="28" a="1"/>
  <c r="AM300" i="28" s="1"/>
  <c r="AO300" i="28"/>
  <c r="J300" i="28" s="1"/>
  <c r="AB357" i="28"/>
  <c r="Y357" i="28"/>
  <c r="AO395" i="28"/>
  <c r="J395" i="28" s="1"/>
  <c r="AE400" i="28"/>
  <c r="AE398" i="28"/>
  <c r="AE397" i="28"/>
  <c r="AO393" i="28"/>
  <c r="AO391" i="28"/>
  <c r="AE422" i="28"/>
  <c r="AE424" i="28"/>
  <c r="AO389" i="28"/>
  <c r="J389" i="28" s="1"/>
  <c r="AO387" i="28"/>
  <c r="AO390" i="28"/>
  <c r="AO392" i="28"/>
  <c r="J392" i="28" s="1"/>
  <c r="AB243" i="28"/>
  <c r="AB21" i="28"/>
  <c r="AB362" i="28"/>
  <c r="AB360" i="28"/>
  <c r="AB59" i="28"/>
  <c r="AB369" i="28"/>
  <c r="Y369" i="28"/>
  <c r="AB370" i="28"/>
  <c r="Y370" i="28"/>
  <c r="AB367" i="28"/>
  <c r="AB365" i="28"/>
  <c r="Y365" i="28"/>
  <c r="L421" i="28" l="1"/>
  <c r="V28" i="28"/>
  <c r="W28" i="28" s="1"/>
  <c r="L178" i="28"/>
  <c r="AB178" i="28" s="1"/>
  <c r="L56" i="28"/>
  <c r="L54" i="28"/>
  <c r="L64" i="28"/>
  <c r="AB64" i="28" s="1"/>
  <c r="L5" i="28"/>
  <c r="L411" i="28"/>
  <c r="L321" i="28"/>
  <c r="L322" i="28"/>
  <c r="L276" i="28"/>
  <c r="L306" i="28"/>
  <c r="L376" i="28"/>
  <c r="L135" i="28"/>
  <c r="L309" i="28"/>
  <c r="L316" i="28"/>
  <c r="L323" i="28"/>
  <c r="L413" i="28"/>
  <c r="L20" i="28"/>
  <c r="L318" i="28"/>
  <c r="L269" i="28"/>
  <c r="L307" i="28"/>
  <c r="L35" i="28"/>
  <c r="AB5" i="28"/>
  <c r="L33" i="28"/>
  <c r="L400" i="28"/>
  <c r="L170" i="28"/>
  <c r="L32" i="28"/>
  <c r="AB32" i="28" s="1"/>
  <c r="L315" i="28"/>
  <c r="K392" i="28"/>
  <c r="K302" i="28"/>
  <c r="L302" i="28" s="1"/>
  <c r="K412" i="28"/>
  <c r="L133" i="28"/>
  <c r="L241" i="28"/>
  <c r="K303" i="28"/>
  <c r="L303" i="28" s="1"/>
  <c r="K426" i="28"/>
  <c r="L426" i="28" s="1"/>
  <c r="AB353" i="28"/>
  <c r="L212" i="28"/>
  <c r="L66" i="28"/>
  <c r="L121" i="28"/>
  <c r="AB121" i="28" s="1"/>
  <c r="K389" i="28"/>
  <c r="L396" i="28"/>
  <c r="L67" i="28"/>
  <c r="L410" i="28"/>
  <c r="L312" i="28"/>
  <c r="K331" i="28"/>
  <c r="K327" i="28"/>
  <c r="K325" i="28"/>
  <c r="K300" i="28"/>
  <c r="K301" i="28"/>
  <c r="K395" i="28"/>
  <c r="L395" i="28" s="1"/>
  <c r="K394" i="28"/>
  <c r="L389" i="28" s="1"/>
  <c r="Y49" i="28"/>
  <c r="AB49" i="28"/>
  <c r="AB154" i="28"/>
  <c r="Y154" i="28"/>
  <c r="AB170" i="28"/>
  <c r="AE426" i="28"/>
  <c r="K423" i="28"/>
  <c r="L423" i="28" s="1"/>
  <c r="AE408" i="28"/>
  <c r="K408" i="28"/>
  <c r="L408" i="28" s="1"/>
  <c r="AE358" i="28"/>
  <c r="K358" i="28"/>
  <c r="L358" i="28" s="1"/>
  <c r="AE364" i="28"/>
  <c r="K364" i="28"/>
  <c r="L364" i="28" s="1"/>
  <c r="AB364" i="28" s="1"/>
  <c r="V3" i="28"/>
  <c r="W3" i="28" s="1"/>
  <c r="AB359" i="28"/>
  <c r="AB323" i="28"/>
  <c r="AE331" i="28"/>
  <c r="AE327" i="28"/>
  <c r="AB134" i="28"/>
  <c r="V298" i="28"/>
  <c r="W298" i="28" s="1"/>
  <c r="Y364" i="28"/>
  <c r="AE412" i="28"/>
  <c r="V296" i="28"/>
  <c r="W296" i="28" s="1"/>
  <c r="AB309" i="28"/>
  <c r="AB139" i="28"/>
  <c r="Y139" i="28"/>
  <c r="V299" i="28"/>
  <c r="W299" i="28" s="1"/>
  <c r="AE325" i="28"/>
  <c r="AB415" i="28"/>
  <c r="V157" i="28"/>
  <c r="W157" i="28" s="1"/>
  <c r="V224" i="28"/>
  <c r="W224" i="28" s="1"/>
  <c r="V43" i="28"/>
  <c r="W43" i="28" s="1"/>
  <c r="V97" i="28"/>
  <c r="W97" i="28" s="1"/>
  <c r="V302" i="28"/>
  <c r="W302" i="28" s="1"/>
  <c r="AE302" i="28"/>
  <c r="V294" i="28"/>
  <c r="W294" i="28" s="1"/>
  <c r="V107" i="28"/>
  <c r="W107" i="28" s="1"/>
  <c r="V295" i="28"/>
  <c r="W295" i="28" s="1"/>
  <c r="V309" i="28"/>
  <c r="W309" i="28" s="1"/>
  <c r="V58" i="28"/>
  <c r="W58" i="28" s="1"/>
  <c r="V85" i="28"/>
  <c r="W85" i="28" s="1"/>
  <c r="V130" i="28"/>
  <c r="W130" i="28" s="1"/>
  <c r="V64" i="28"/>
  <c r="W64" i="28" s="1"/>
  <c r="V213" i="28"/>
  <c r="W213" i="28" s="1"/>
  <c r="V287" i="28"/>
  <c r="W287" i="28" s="1"/>
  <c r="V54" i="28"/>
  <c r="W54" i="28" s="1"/>
  <c r="V292" i="28"/>
  <c r="W292" i="28" s="1"/>
  <c r="V236" i="28"/>
  <c r="W236" i="28" s="1"/>
  <c r="V113" i="28"/>
  <c r="W113" i="28" s="1"/>
  <c r="V66" i="28"/>
  <c r="W66" i="28" s="1"/>
  <c r="V293" i="28"/>
  <c r="W293" i="28" s="1"/>
  <c r="V126" i="28"/>
  <c r="W126" i="28" s="1"/>
  <c r="V141" i="28"/>
  <c r="W141" i="28" s="1"/>
  <c r="V297" i="28"/>
  <c r="W297" i="28" s="1"/>
  <c r="V42" i="28"/>
  <c r="W42" i="28" s="1"/>
  <c r="V74" i="28"/>
  <c r="W74" i="28" s="1"/>
  <c r="V121" i="28"/>
  <c r="W121" i="28" s="1"/>
  <c r="V86" i="28"/>
  <c r="W86" i="28" s="1"/>
  <c r="V164" i="28"/>
  <c r="W164" i="28" s="1"/>
  <c r="V88" i="28"/>
  <c r="W88" i="28" s="1"/>
  <c r="V89" i="28"/>
  <c r="W89" i="28" s="1"/>
  <c r="V134" i="28"/>
  <c r="W134" i="28" s="1"/>
  <c r="V169" i="28"/>
  <c r="W169" i="28" s="1"/>
  <c r="V168" i="28"/>
  <c r="W168" i="28" s="1"/>
  <c r="V50" i="28"/>
  <c r="W50" i="28" s="1"/>
  <c r="V53" i="28"/>
  <c r="W53" i="28" s="1"/>
  <c r="V96" i="28"/>
  <c r="W96" i="28" s="1"/>
  <c r="V155" i="28"/>
  <c r="W155" i="28" s="1"/>
  <c r="V129" i="28"/>
  <c r="W129" i="28" s="1"/>
  <c r="V90" i="28"/>
  <c r="W90" i="28" s="1"/>
  <c r="V51" i="28"/>
  <c r="W51" i="28" s="1"/>
  <c r="V128" i="28"/>
  <c r="W128" i="28" s="1"/>
  <c r="V174" i="28"/>
  <c r="W174" i="28" s="1"/>
  <c r="V61" i="28"/>
  <c r="W61" i="28" s="1"/>
  <c r="V115" i="28"/>
  <c r="W115" i="28" s="1"/>
  <c r="V59" i="28"/>
  <c r="W59" i="28" s="1"/>
  <c r="V117" i="28"/>
  <c r="W117" i="28" s="1"/>
  <c r="V176" i="28"/>
  <c r="W176" i="28" s="1"/>
  <c r="V114" i="28"/>
  <c r="W114" i="28" s="1"/>
  <c r="V46" i="28"/>
  <c r="W46" i="28" s="1"/>
  <c r="V118" i="28"/>
  <c r="W118" i="28" s="1"/>
  <c r="V170" i="28"/>
  <c r="W170" i="28" s="1"/>
  <c r="V116" i="28"/>
  <c r="W116" i="28" s="1"/>
  <c r="V203" i="28"/>
  <c r="W203" i="28" s="1"/>
  <c r="V153" i="28"/>
  <c r="W153" i="28" s="1"/>
  <c r="V109" i="28"/>
  <c r="W109" i="28" s="1"/>
  <c r="V111" i="28"/>
  <c r="W111" i="28" s="1"/>
  <c r="V45" i="28"/>
  <c r="W45" i="28" s="1"/>
  <c r="V261" i="28"/>
  <c r="W261" i="28" s="1"/>
  <c r="V149" i="28"/>
  <c r="W149" i="28" s="1"/>
  <c r="V10" i="28"/>
  <c r="W10" i="28" s="1"/>
  <c r="V300" i="28"/>
  <c r="W300" i="28" s="1"/>
  <c r="AE300" i="28"/>
  <c r="Y353" i="28" s="1"/>
  <c r="AE303" i="28"/>
  <c r="V303" i="28"/>
  <c r="W303" i="28" s="1"/>
  <c r="V366" i="28"/>
  <c r="W366" i="28" s="1"/>
  <c r="V31" i="28"/>
  <c r="W31" i="28" s="1"/>
  <c r="AE301" i="28"/>
  <c r="V301" i="28"/>
  <c r="W301" i="28" s="1"/>
  <c r="V167" i="28"/>
  <c r="W167" i="28" s="1"/>
  <c r="V47" i="28"/>
  <c r="W47" i="28" s="1"/>
  <c r="V70" i="28"/>
  <c r="W70" i="28" s="1"/>
  <c r="V94" i="28"/>
  <c r="W94" i="28" s="1"/>
  <c r="V262" i="28"/>
  <c r="W262" i="28" s="1"/>
  <c r="V207" i="28"/>
  <c r="W207" i="28" s="1"/>
  <c r="V48" i="28"/>
  <c r="W48" i="28" s="1"/>
  <c r="V68" i="28"/>
  <c r="W68" i="28" s="1"/>
  <c r="D15" i="2"/>
  <c r="C15" i="2"/>
  <c r="J15" i="2"/>
  <c r="B15" i="2"/>
  <c r="V69" i="28"/>
  <c r="W69" i="28" s="1"/>
  <c r="H16" i="14"/>
  <c r="A108" i="14"/>
  <c r="A184" i="14"/>
  <c r="A58" i="14"/>
  <c r="A236" i="14"/>
  <c r="A19" i="14"/>
  <c r="A133" i="14"/>
  <c r="A210" i="14"/>
  <c r="A158" i="14"/>
  <c r="A83" i="14"/>
  <c r="I16" i="14"/>
  <c r="G157" i="14"/>
  <c r="B157" i="14"/>
  <c r="E157" i="14"/>
  <c r="H157" i="14"/>
  <c r="D157" i="14"/>
  <c r="C157" i="14"/>
  <c r="F157" i="14"/>
  <c r="I157" i="14"/>
  <c r="J157" i="14"/>
  <c r="G15" i="2"/>
  <c r="G235" i="14"/>
  <c r="C235" i="14"/>
  <c r="F235" i="14"/>
  <c r="E235" i="14"/>
  <c r="D235" i="14"/>
  <c r="H235" i="14"/>
  <c r="B235" i="14"/>
  <c r="I235" i="14"/>
  <c r="J235" i="14"/>
  <c r="G209" i="14"/>
  <c r="F209" i="14"/>
  <c r="H209" i="14"/>
  <c r="B209" i="14"/>
  <c r="D209" i="14"/>
  <c r="E209" i="14"/>
  <c r="C209" i="14"/>
  <c r="I209" i="14"/>
  <c r="J209" i="14"/>
  <c r="G16" i="14"/>
  <c r="K157" i="14"/>
  <c r="G183" i="14"/>
  <c r="B183" i="14"/>
  <c r="D183" i="14"/>
  <c r="C183" i="14"/>
  <c r="E183" i="14"/>
  <c r="F183" i="14"/>
  <c r="H183" i="14"/>
  <c r="I183" i="14"/>
  <c r="J183" i="14"/>
  <c r="E16" i="14"/>
  <c r="G82" i="14"/>
  <c r="E82" i="14"/>
  <c r="C82" i="14"/>
  <c r="F82" i="14"/>
  <c r="H82" i="14"/>
  <c r="B82" i="14"/>
  <c r="D82" i="14"/>
  <c r="I82" i="14"/>
  <c r="J82" i="14"/>
  <c r="C16" i="14"/>
  <c r="I84" i="11"/>
  <c r="J58" i="11"/>
  <c r="J18" i="11" s="1"/>
  <c r="I58" i="11"/>
  <c r="I18" i="11" s="1"/>
  <c r="K84" i="11"/>
  <c r="G58" i="11"/>
  <c r="G18" i="11" s="1"/>
  <c r="E84" i="11"/>
  <c r="B58" i="11"/>
  <c r="B18" i="11" s="1"/>
  <c r="C84" i="11"/>
  <c r="F58" i="11"/>
  <c r="F18" i="11" s="1"/>
  <c r="H84" i="11"/>
  <c r="C58" i="11"/>
  <c r="C18" i="11" s="1"/>
  <c r="B84" i="11"/>
  <c r="G84" i="11"/>
  <c r="F84" i="11"/>
  <c r="J84" i="11"/>
  <c r="K58" i="11"/>
  <c r="K18" i="11" s="1"/>
  <c r="D84" i="11"/>
  <c r="H58" i="11"/>
  <c r="H18" i="11" s="1"/>
  <c r="D58" i="11"/>
  <c r="D18" i="11" s="1"/>
  <c r="E58" i="11"/>
  <c r="E18" i="11" s="1"/>
  <c r="G57" i="14"/>
  <c r="C57" i="14"/>
  <c r="D57" i="14"/>
  <c r="F57" i="14"/>
  <c r="H57" i="14"/>
  <c r="B57" i="14"/>
  <c r="E57" i="14"/>
  <c r="I57" i="14"/>
  <c r="J57" i="14"/>
  <c r="D16" i="14"/>
  <c r="A20" i="11"/>
  <c r="A85" i="11"/>
  <c r="A59" i="11"/>
  <c r="E15" i="2"/>
  <c r="G107" i="14"/>
  <c r="D107" i="14"/>
  <c r="F107" i="14"/>
  <c r="C107" i="14"/>
  <c r="H107" i="14"/>
  <c r="E107" i="14"/>
  <c r="B107" i="14"/>
  <c r="I107" i="14"/>
  <c r="J107" i="14"/>
  <c r="B16" i="14"/>
  <c r="G132" i="14"/>
  <c r="H132" i="14"/>
  <c r="C132" i="14"/>
  <c r="F132" i="14"/>
  <c r="B132" i="14"/>
  <c r="D132" i="14"/>
  <c r="E132" i="14"/>
  <c r="I132" i="14"/>
  <c r="J132" i="14"/>
  <c r="F16" i="14"/>
  <c r="I15" i="2"/>
  <c r="H15" i="2"/>
  <c r="A146" i="16"/>
  <c r="A67" i="16"/>
  <c r="A24" i="16"/>
  <c r="A120" i="16"/>
  <c r="A173" i="16"/>
  <c r="A94" i="16"/>
  <c r="B112" i="17"/>
  <c r="D112" i="17"/>
  <c r="C112" i="17"/>
  <c r="E112" i="17"/>
  <c r="F112" i="17"/>
  <c r="G112" i="17"/>
  <c r="H112" i="17"/>
  <c r="I112" i="17"/>
  <c r="B59" i="2"/>
  <c r="F59" i="2"/>
  <c r="D59" i="2"/>
  <c r="E59" i="2"/>
  <c r="C59" i="2"/>
  <c r="G59" i="2"/>
  <c r="H59" i="2"/>
  <c r="I59" i="2"/>
  <c r="J59" i="2"/>
  <c r="K59" i="2"/>
  <c r="D61" i="17"/>
  <c r="B61" i="17"/>
  <c r="C61" i="17"/>
  <c r="E61" i="17"/>
  <c r="F61" i="17"/>
  <c r="G61" i="17"/>
  <c r="H61" i="17"/>
  <c r="I61" i="17"/>
  <c r="C119" i="16"/>
  <c r="D119" i="16"/>
  <c r="G119" i="16"/>
  <c r="H119" i="16"/>
  <c r="E119" i="16"/>
  <c r="B119" i="16"/>
  <c r="F119" i="16"/>
  <c r="I119" i="16"/>
  <c r="J119" i="16"/>
  <c r="D86" i="17"/>
  <c r="C86" i="17"/>
  <c r="B86" i="17"/>
  <c r="E86" i="17"/>
  <c r="F86" i="17"/>
  <c r="G86" i="17"/>
  <c r="H86" i="17"/>
  <c r="I86" i="17"/>
  <c r="A18" i="2"/>
  <c r="A111" i="2"/>
  <c r="A60" i="2"/>
  <c r="A85" i="2"/>
  <c r="A137" i="2"/>
  <c r="B110" i="2"/>
  <c r="C110" i="2"/>
  <c r="D110" i="2"/>
  <c r="E110" i="2"/>
  <c r="D136" i="2"/>
  <c r="B84" i="2"/>
  <c r="F84" i="2"/>
  <c r="E136" i="2"/>
  <c r="C136" i="2"/>
  <c r="F136" i="2"/>
  <c r="C84" i="2"/>
  <c r="D84" i="2"/>
  <c r="E84" i="2"/>
  <c r="B136" i="2"/>
  <c r="F110" i="2"/>
  <c r="G136" i="2"/>
  <c r="G110" i="2"/>
  <c r="G84" i="2"/>
  <c r="H110" i="2"/>
  <c r="H136" i="2"/>
  <c r="H84" i="2"/>
  <c r="I84" i="2"/>
  <c r="I110" i="2"/>
  <c r="I136" i="2"/>
  <c r="J84" i="2"/>
  <c r="J110" i="2"/>
  <c r="J136" i="2"/>
  <c r="K84" i="2"/>
  <c r="K110" i="2"/>
  <c r="K136" i="2"/>
  <c r="J112" i="17"/>
  <c r="I66" i="16"/>
  <c r="C66" i="16"/>
  <c r="F66" i="16"/>
  <c r="J66" i="16"/>
  <c r="D66" i="16"/>
  <c r="B66" i="16"/>
  <c r="G66" i="16"/>
  <c r="H66" i="16"/>
  <c r="E66" i="16"/>
  <c r="J86" i="17"/>
  <c r="S21" i="12"/>
  <c r="S43" i="12"/>
  <c r="J93" i="16"/>
  <c r="B93" i="16"/>
  <c r="D93" i="16"/>
  <c r="F93" i="16"/>
  <c r="C93" i="16"/>
  <c r="H93" i="16"/>
  <c r="E93" i="16"/>
  <c r="G93" i="16"/>
  <c r="I93" i="16"/>
  <c r="A62" i="17"/>
  <c r="K62" i="17" s="1"/>
  <c r="A139" i="17"/>
  <c r="A166" i="17"/>
  <c r="A87" i="17"/>
  <c r="A20" i="17"/>
  <c r="A113" i="17"/>
  <c r="K113" i="17" s="1"/>
  <c r="L7" i="17"/>
  <c r="K126" i="17"/>
  <c r="K100" i="17"/>
  <c r="K74" i="17"/>
  <c r="K153" i="17"/>
  <c r="K49" i="17"/>
  <c r="K103" i="17"/>
  <c r="K111" i="17"/>
  <c r="K107" i="17"/>
  <c r="K110" i="17"/>
  <c r="K106" i="17"/>
  <c r="K104" i="17"/>
  <c r="K105" i="17"/>
  <c r="K109" i="17"/>
  <c r="K108" i="17"/>
  <c r="K112" i="17"/>
  <c r="K53" i="17"/>
  <c r="K58" i="17"/>
  <c r="K56" i="17"/>
  <c r="K54" i="17"/>
  <c r="K55" i="17"/>
  <c r="K59" i="17"/>
  <c r="K60" i="17"/>
  <c r="K61" i="17"/>
  <c r="K57" i="17"/>
  <c r="K52" i="17"/>
  <c r="K84" i="17"/>
  <c r="K79" i="17"/>
  <c r="K86" i="17"/>
  <c r="K81" i="17"/>
  <c r="K83" i="17"/>
  <c r="K77" i="17"/>
  <c r="K82" i="17"/>
  <c r="K78" i="17"/>
  <c r="K85" i="17"/>
  <c r="K80" i="17"/>
  <c r="V395" i="28"/>
  <c r="W395" i="28" s="1"/>
  <c r="V29" i="28"/>
  <c r="W29" i="28" s="1"/>
  <c r="V27" i="28"/>
  <c r="W27" i="28" s="1"/>
  <c r="V361" i="28"/>
  <c r="W361" i="28" s="1"/>
  <c r="V13" i="28"/>
  <c r="W13" i="28" s="1"/>
  <c r="V12" i="28"/>
  <c r="W12" i="28" s="1"/>
  <c r="V14" i="28"/>
  <c r="W14" i="28" s="1"/>
  <c r="V362" i="28"/>
  <c r="W362" i="28" s="1"/>
  <c r="V363" i="28"/>
  <c r="W363" i="28" s="1"/>
  <c r="V353" i="28"/>
  <c r="W353" i="28" s="1"/>
  <c r="V120" i="28"/>
  <c r="W120" i="28" s="1"/>
  <c r="V11" i="28"/>
  <c r="W11" i="28" s="1"/>
  <c r="V25" i="28"/>
  <c r="W25" i="28" s="1"/>
  <c r="V208" i="28"/>
  <c r="W208" i="28" s="1"/>
  <c r="V124" i="28"/>
  <c r="W124" i="28" s="1"/>
  <c r="V32" i="28"/>
  <c r="W32" i="28" s="1"/>
  <c r="V193" i="28"/>
  <c r="W193" i="28" s="1"/>
  <c r="V283" i="28"/>
  <c r="W283" i="28" s="1"/>
  <c r="AB401" i="28"/>
  <c r="V265" i="28"/>
  <c r="W265" i="28" s="1"/>
  <c r="V280" i="28"/>
  <c r="W280" i="28" s="1"/>
  <c r="V267" i="28"/>
  <c r="W267" i="28" s="1"/>
  <c r="V258" i="28"/>
  <c r="W258" i="28" s="1"/>
  <c r="V291" i="28"/>
  <c r="W291" i="28" s="1"/>
  <c r="V290" i="28"/>
  <c r="W290" i="28" s="1"/>
  <c r="V288" i="28"/>
  <c r="W288" i="28" s="1"/>
  <c r="V289" i="28"/>
  <c r="W289" i="28" s="1"/>
  <c r="V355" i="28"/>
  <c r="W355" i="28" s="1"/>
  <c r="V41" i="28"/>
  <c r="W41" i="28" s="1"/>
  <c r="V354" i="28"/>
  <c r="W354" i="28" s="1"/>
  <c r="V279" i="28"/>
  <c r="W279" i="28" s="1"/>
  <c r="V314" i="28"/>
  <c r="W314" i="28" s="1"/>
  <c r="V229" i="28"/>
  <c r="W229" i="28" s="1"/>
  <c r="V241" i="28"/>
  <c r="W241" i="28" s="1"/>
  <c r="V381" i="28"/>
  <c r="W381" i="28" s="1"/>
  <c r="V417" i="28"/>
  <c r="W417" i="28" s="1"/>
  <c r="V357" i="28"/>
  <c r="W357" i="28" s="1"/>
  <c r="V189" i="28"/>
  <c r="W189" i="28" s="1"/>
  <c r="V351" i="28"/>
  <c r="W351" i="28" s="1"/>
  <c r="V259" i="28"/>
  <c r="W259" i="28" s="1"/>
  <c r="V263" i="28"/>
  <c r="W263" i="28" s="1"/>
  <c r="V331" i="28"/>
  <c r="W331" i="28" s="1"/>
  <c r="V233" i="28"/>
  <c r="W233" i="28" s="1"/>
  <c r="V35" i="28"/>
  <c r="W35" i="28" s="1"/>
  <c r="V231" i="28"/>
  <c r="W231" i="28" s="1"/>
  <c r="V33" i="28"/>
  <c r="W33" i="28" s="1"/>
  <c r="V264" i="28"/>
  <c r="W264" i="28" s="1"/>
  <c r="V191" i="28"/>
  <c r="W191" i="28" s="1"/>
  <c r="V232" i="28"/>
  <c r="W232" i="28" s="1"/>
  <c r="V349" i="28"/>
  <c r="W349" i="28" s="1"/>
  <c r="V350" i="28"/>
  <c r="W350" i="28" s="1"/>
  <c r="V192" i="28"/>
  <c r="W192" i="28" s="1"/>
  <c r="V147" i="28"/>
  <c r="W147" i="28" s="1"/>
  <c r="V242" i="28"/>
  <c r="W242" i="28" s="1"/>
  <c r="V146" i="28"/>
  <c r="W146" i="28" s="1"/>
  <c r="V217" i="28"/>
  <c r="W217" i="28" s="1"/>
  <c r="V373" i="28"/>
  <c r="W373" i="28" s="1"/>
  <c r="V201" i="28"/>
  <c r="W201" i="28" s="1"/>
  <c r="V209" i="28"/>
  <c r="W209" i="28" s="1"/>
  <c r="V119" i="28"/>
  <c r="W119" i="28" s="1"/>
  <c r="V332" i="28"/>
  <c r="W332" i="28" s="1"/>
  <c r="V285" i="28"/>
  <c r="W285" i="28" s="1"/>
  <c r="V202" i="28"/>
  <c r="W202" i="28" s="1"/>
  <c r="V392" i="28"/>
  <c r="W392" i="28" s="1"/>
  <c r="AE392" i="28"/>
  <c r="V225" i="28"/>
  <c r="W225" i="28" s="1"/>
  <c r="V6" i="28"/>
  <c r="W6" i="28" s="1"/>
  <c r="V371" i="28"/>
  <c r="W371" i="28" s="1"/>
  <c r="V39" i="28"/>
  <c r="W39" i="28" s="1"/>
  <c r="V145" i="28"/>
  <c r="W145" i="28" s="1"/>
  <c r="V400" i="28"/>
  <c r="W400" i="28" s="1"/>
  <c r="V4" i="28"/>
  <c r="W4" i="28" s="1"/>
  <c r="V199" i="28"/>
  <c r="W199" i="28" s="1"/>
  <c r="V135" i="28"/>
  <c r="W135" i="28" s="1"/>
  <c r="V338" i="28"/>
  <c r="W338" i="28" s="1"/>
  <c r="V138" i="28"/>
  <c r="W138" i="28" s="1"/>
  <c r="V337" i="28"/>
  <c r="W337" i="28" s="1"/>
  <c r="V222" i="28"/>
  <c r="W222" i="28" s="1"/>
  <c r="V177" i="28"/>
  <c r="W177" i="28" s="1"/>
  <c r="V336" i="28"/>
  <c r="W336" i="28" s="1"/>
  <c r="V324" i="28"/>
  <c r="W324" i="28" s="1"/>
  <c r="V348" i="28"/>
  <c r="W348" i="28" s="1"/>
  <c r="V137" i="28"/>
  <c r="W137" i="28" s="1"/>
  <c r="V198" i="28"/>
  <c r="W198" i="28" s="1"/>
  <c r="V260" i="28"/>
  <c r="W260" i="28" s="1"/>
  <c r="V9" i="28"/>
  <c r="W9" i="28" s="1"/>
  <c r="V56" i="28"/>
  <c r="W56" i="28" s="1"/>
  <c r="V67" i="28"/>
  <c r="W67" i="28" s="1"/>
  <c r="V347" i="28"/>
  <c r="W347" i="28" s="1"/>
  <c r="V220" i="28"/>
  <c r="W220" i="28" s="1"/>
  <c r="V7" i="28"/>
  <c r="W7" i="28" s="1"/>
  <c r="V65" i="28"/>
  <c r="W65" i="28" s="1"/>
  <c r="V426" i="28"/>
  <c r="W426" i="28" s="1"/>
  <c r="V79" i="28"/>
  <c r="W79" i="28" s="1"/>
  <c r="V249" i="28"/>
  <c r="W249" i="28" s="1"/>
  <c r="V102" i="28"/>
  <c r="W102" i="28" s="1"/>
  <c r="V378" i="28"/>
  <c r="W378" i="28" s="1"/>
  <c r="V200" i="28"/>
  <c r="W200" i="28" s="1"/>
  <c r="V8" i="28"/>
  <c r="W8" i="28" s="1"/>
  <c r="V80" i="28"/>
  <c r="W80" i="28" s="1"/>
  <c r="V322" i="28"/>
  <c r="W322" i="28" s="1"/>
  <c r="V364" i="28"/>
  <c r="W364" i="28" s="1"/>
  <c r="V256" i="28"/>
  <c r="W256" i="28" s="1"/>
  <c r="V125" i="28"/>
  <c r="W125" i="28" s="1"/>
  <c r="V313" i="28"/>
  <c r="W313" i="28" s="1"/>
  <c r="V132" i="28"/>
  <c r="W132" i="28" s="1"/>
  <c r="V52" i="28"/>
  <c r="W52" i="28" s="1"/>
  <c r="V175" i="28"/>
  <c r="W175" i="28" s="1"/>
  <c r="V55" i="28"/>
  <c r="W55" i="28" s="1"/>
  <c r="V76" i="28"/>
  <c r="W76" i="28" s="1"/>
  <c r="V386" i="28"/>
  <c r="W386" i="28" s="1"/>
  <c r="V422" i="28"/>
  <c r="W422" i="28" s="1"/>
  <c r="V377" i="28"/>
  <c r="W377" i="28" s="1"/>
  <c r="V180" i="28"/>
  <c r="W180" i="28" s="1"/>
  <c r="V123" i="28"/>
  <c r="W123" i="28" s="1"/>
  <c r="V238" i="28"/>
  <c r="W238" i="28" s="1"/>
  <c r="V152" i="28"/>
  <c r="W152" i="28" s="1"/>
  <c r="V396" i="28"/>
  <c r="W396" i="28" s="1"/>
  <c r="V404" i="28"/>
  <c r="W404" i="28" s="1"/>
  <c r="V399" i="28"/>
  <c r="W399" i="28" s="1"/>
  <c r="V304" i="28"/>
  <c r="W304" i="28" s="1"/>
  <c r="V163" i="28"/>
  <c r="W163" i="28" s="1"/>
  <c r="V159" i="28"/>
  <c r="W159" i="28" s="1"/>
  <c r="V250" i="28"/>
  <c r="W250" i="28" s="1"/>
  <c r="V210" i="28"/>
  <c r="W210" i="28" s="1"/>
  <c r="V244" i="28"/>
  <c r="W244" i="28" s="1"/>
  <c r="V268" i="28"/>
  <c r="W268" i="28" s="1"/>
  <c r="V403" i="28"/>
  <c r="W403" i="28" s="1"/>
  <c r="V144" i="28"/>
  <c r="W144" i="28" s="1"/>
  <c r="V235" i="28"/>
  <c r="W235" i="28" s="1"/>
  <c r="V181" i="28"/>
  <c r="W181" i="28" s="1"/>
  <c r="V216" i="28"/>
  <c r="W216" i="28" s="1"/>
  <c r="V372" i="28"/>
  <c r="W372" i="28" s="1"/>
  <c r="V387" i="28"/>
  <c r="W387" i="28" s="1"/>
  <c r="V388" i="28"/>
  <c r="W388" i="28" s="1"/>
  <c r="V418" i="28"/>
  <c r="W418" i="28" s="1"/>
  <c r="V131" i="28"/>
  <c r="W131" i="28" s="1"/>
  <c r="V212" i="28"/>
  <c r="W212" i="28" s="1"/>
  <c r="V255" i="28"/>
  <c r="W255" i="28" s="1"/>
  <c r="V110" i="28"/>
  <c r="W110" i="28" s="1"/>
  <c r="V323" i="28"/>
  <c r="W323" i="28" s="1"/>
  <c r="V84" i="28"/>
  <c r="W84" i="28" s="1"/>
  <c r="V282" i="28"/>
  <c r="W282" i="28" s="1"/>
  <c r="V230" i="28"/>
  <c r="W230" i="28" s="1"/>
  <c r="AE387" i="28"/>
  <c r="V92" i="28"/>
  <c r="W92" i="28" s="1"/>
  <c r="V419" i="28"/>
  <c r="W419" i="28" s="1"/>
  <c r="V374" i="28"/>
  <c r="W374" i="28" s="1"/>
  <c r="V15" i="28"/>
  <c r="W15" i="28" s="1"/>
  <c r="V104" i="28"/>
  <c r="W104" i="28" s="1"/>
  <c r="V246" i="28"/>
  <c r="W246" i="28" s="1"/>
  <c r="V254" i="28"/>
  <c r="W254" i="28" s="1"/>
  <c r="V397" i="28"/>
  <c r="W397" i="28" s="1"/>
  <c r="V281" i="28"/>
  <c r="W281" i="28" s="1"/>
  <c r="V190" i="28"/>
  <c r="W190" i="28" s="1"/>
  <c r="V425" i="28"/>
  <c r="W425" i="28" s="1"/>
  <c r="V318" i="28"/>
  <c r="W318" i="28" s="1"/>
  <c r="V286" i="28"/>
  <c r="W286" i="28" s="1"/>
  <c r="V142" i="28"/>
  <c r="W142" i="28" s="1"/>
  <c r="V384" i="28"/>
  <c r="W384" i="28" s="1"/>
  <c r="V406" i="28"/>
  <c r="W406" i="28" s="1"/>
  <c r="V271" i="28"/>
  <c r="W271" i="28" s="1"/>
  <c r="V420" i="28"/>
  <c r="W420" i="28" s="1"/>
  <c r="V20" i="28"/>
  <c r="W20" i="28" s="1"/>
  <c r="V342" i="28"/>
  <c r="W342" i="28" s="1"/>
  <c r="V272" i="28"/>
  <c r="W272" i="28" s="1"/>
  <c r="V344" i="28"/>
  <c r="W344" i="28" s="1"/>
  <c r="V330" i="28"/>
  <c r="W330" i="28" s="1"/>
  <c r="V87" i="28"/>
  <c r="W87" i="28" s="1"/>
  <c r="V409" i="28"/>
  <c r="W409" i="28" s="1"/>
  <c r="V379" i="28"/>
  <c r="W379" i="28" s="1"/>
  <c r="V382" i="28"/>
  <c r="W382" i="28" s="1"/>
  <c r="V327" i="28"/>
  <c r="W327" i="28" s="1"/>
  <c r="V204" i="28"/>
  <c r="W204" i="28" s="1"/>
  <c r="V226" i="28"/>
  <c r="W226" i="28" s="1"/>
  <c r="V172" i="28"/>
  <c r="W172" i="28" s="1"/>
  <c r="V240" i="28"/>
  <c r="W240" i="28" s="1"/>
  <c r="V221" i="28"/>
  <c r="W221" i="28" s="1"/>
  <c r="V343" i="28"/>
  <c r="W343" i="28" s="1"/>
  <c r="V367" i="28"/>
  <c r="W367" i="28" s="1"/>
  <c r="V329" i="28"/>
  <c r="W329" i="28" s="1"/>
  <c r="V315" i="28"/>
  <c r="W315" i="28" s="1"/>
  <c r="V17" i="28"/>
  <c r="W17" i="28" s="1"/>
  <c r="V273" i="28"/>
  <c r="W273" i="28" s="1"/>
  <c r="V394" i="28"/>
  <c r="W394" i="28" s="1"/>
  <c r="V187" i="28"/>
  <c r="W187" i="28" s="1"/>
  <c r="V16" i="28"/>
  <c r="W16" i="28" s="1"/>
  <c r="V251" i="28"/>
  <c r="W251" i="28" s="1"/>
  <c r="V352" i="28"/>
  <c r="W352" i="28" s="1"/>
  <c r="V412" i="28"/>
  <c r="W412" i="28" s="1"/>
  <c r="V306" i="28"/>
  <c r="W306" i="28" s="1"/>
  <c r="V112" i="28"/>
  <c r="W112" i="28" s="1"/>
  <c r="V358" i="28"/>
  <c r="W358" i="28" s="1"/>
  <c r="V308" i="28"/>
  <c r="W308" i="28" s="1"/>
  <c r="V78" i="28"/>
  <c r="W78" i="28" s="1"/>
  <c r="V214" i="28"/>
  <c r="W214" i="28" s="1"/>
  <c r="V266" i="28"/>
  <c r="W266" i="28" s="1"/>
  <c r="V369" i="28"/>
  <c r="W369" i="28" s="1"/>
  <c r="V23" i="28"/>
  <c r="W23" i="28" s="1"/>
  <c r="V60" i="28"/>
  <c r="W60" i="28" s="1"/>
  <c r="V95" i="28"/>
  <c r="W95" i="28" s="1"/>
  <c r="V156" i="28"/>
  <c r="W156" i="28" s="1"/>
  <c r="V195" i="28"/>
  <c r="W195" i="28" s="1"/>
  <c r="V252" i="28"/>
  <c r="W252" i="28" s="1"/>
  <c r="V321" i="28"/>
  <c r="W321" i="28" s="1"/>
  <c r="V423" i="28"/>
  <c r="W423" i="28" s="1"/>
  <c r="V218" i="28"/>
  <c r="W218" i="28" s="1"/>
  <c r="V179" i="28"/>
  <c r="W179" i="28" s="1"/>
  <c r="V205" i="28"/>
  <c r="W205" i="28" s="1"/>
  <c r="V368" i="28"/>
  <c r="W368" i="28" s="1"/>
  <c r="V305" i="28"/>
  <c r="W305" i="28" s="1"/>
  <c r="V333" i="28"/>
  <c r="W333" i="28" s="1"/>
  <c r="V257" i="28"/>
  <c r="W257" i="28" s="1"/>
  <c r="V165" i="28"/>
  <c r="W165" i="28" s="1"/>
  <c r="V173" i="28"/>
  <c r="W173" i="28" s="1"/>
  <c r="V162" i="28"/>
  <c r="W162" i="28" s="1"/>
  <c r="V83" i="28"/>
  <c r="W83" i="28" s="1"/>
  <c r="V26" i="28"/>
  <c r="W26" i="28" s="1"/>
  <c r="V424" i="28"/>
  <c r="W424" i="28" s="1"/>
  <c r="V319" i="28"/>
  <c r="W319" i="28" s="1"/>
  <c r="V143" i="28"/>
  <c r="W143" i="28" s="1"/>
  <c r="V140" i="28"/>
  <c r="W140" i="28" s="1"/>
  <c r="V105" i="28"/>
  <c r="W105" i="28" s="1"/>
  <c r="V410" i="28"/>
  <c r="W410" i="28" s="1"/>
  <c r="V49" i="28"/>
  <c r="W49" i="28" s="1"/>
  <c r="V335" i="28"/>
  <c r="W335" i="28" s="1"/>
  <c r="V22" i="28"/>
  <c r="W22" i="28" s="1"/>
  <c r="V248" i="28"/>
  <c r="W248" i="28" s="1"/>
  <c r="V383" i="28"/>
  <c r="W383" i="28" s="1"/>
  <c r="V196" i="28"/>
  <c r="W196" i="28" s="1"/>
  <c r="V194" i="28"/>
  <c r="W194" i="28" s="1"/>
  <c r="V277" i="28"/>
  <c r="W277" i="28" s="1"/>
  <c r="V269" i="28"/>
  <c r="W269" i="28" s="1"/>
  <c r="V414" i="28"/>
  <c r="W414" i="28" s="1"/>
  <c r="V71" i="28"/>
  <c r="W71" i="28" s="1"/>
  <c r="V91" i="28"/>
  <c r="W91" i="28" s="1"/>
  <c r="V310" i="28"/>
  <c r="W310" i="28" s="1"/>
  <c r="V99" i="28"/>
  <c r="W99" i="28" s="1"/>
  <c r="V211" i="28"/>
  <c r="W211" i="28" s="1"/>
  <c r="V148" i="28"/>
  <c r="W148" i="28" s="1"/>
  <c r="V326" i="28"/>
  <c r="W326" i="28" s="1"/>
  <c r="V402" i="28"/>
  <c r="W402" i="28" s="1"/>
  <c r="V184" i="28"/>
  <c r="W184" i="28" s="1"/>
  <c r="V103" i="28"/>
  <c r="W103" i="28" s="1"/>
  <c r="V284" i="28"/>
  <c r="W284" i="28" s="1"/>
  <c r="V154" i="28"/>
  <c r="W154" i="28" s="1"/>
  <c r="V44" i="28"/>
  <c r="W44" i="28" s="1"/>
  <c r="V40" i="28"/>
  <c r="W40" i="28" s="1"/>
  <c r="V247" i="28"/>
  <c r="W247" i="28" s="1"/>
  <c r="V398" i="28"/>
  <c r="W398" i="28" s="1"/>
  <c r="V188" i="28"/>
  <c r="W188" i="28" s="1"/>
  <c r="V122" i="28"/>
  <c r="W122" i="28" s="1"/>
  <c r="V253" i="28"/>
  <c r="W253" i="28" s="1"/>
  <c r="V93" i="28"/>
  <c r="W93" i="28" s="1"/>
  <c r="V275" i="28"/>
  <c r="W275" i="28" s="1"/>
  <c r="V30" i="28"/>
  <c r="W30" i="28" s="1"/>
  <c r="V370" i="28"/>
  <c r="W370" i="28" s="1"/>
  <c r="V81" i="28"/>
  <c r="W81" i="28" s="1"/>
  <c r="V19" i="28"/>
  <c r="W19" i="28" s="1"/>
  <c r="V228" i="28"/>
  <c r="W228" i="28" s="1"/>
  <c r="V317" i="28"/>
  <c r="W317" i="28" s="1"/>
  <c r="V339" i="28"/>
  <c r="W339" i="28" s="1"/>
  <c r="V243" i="28"/>
  <c r="W243" i="28" s="1"/>
  <c r="V316" i="28"/>
  <c r="W316" i="28" s="1"/>
  <c r="V106" i="28"/>
  <c r="W106" i="28" s="1"/>
  <c r="V346" i="28"/>
  <c r="W346" i="28" s="1"/>
  <c r="V72" i="28"/>
  <c r="W72" i="28" s="1"/>
  <c r="V276" i="28"/>
  <c r="W276" i="28" s="1"/>
  <c r="V215" i="28"/>
  <c r="W215" i="28" s="1"/>
  <c r="V75" i="28"/>
  <c r="W75" i="28" s="1"/>
  <c r="V73" i="28"/>
  <c r="W73" i="28" s="1"/>
  <c r="V385" i="28"/>
  <c r="W385" i="28" s="1"/>
  <c r="V356" i="28"/>
  <c r="W356" i="28" s="1"/>
  <c r="V359" i="28"/>
  <c r="W359" i="28" s="1"/>
  <c r="V415" i="28"/>
  <c r="W415" i="28" s="1"/>
  <c r="V407" i="28"/>
  <c r="W407" i="28" s="1"/>
  <c r="V77" i="28"/>
  <c r="W77" i="28" s="1"/>
  <c r="V334" i="28"/>
  <c r="W334" i="28" s="1"/>
  <c r="V158" i="28"/>
  <c r="W158" i="28" s="1"/>
  <c r="V197" i="28"/>
  <c r="W197" i="28" s="1"/>
  <c r="V136" i="28"/>
  <c r="W136" i="28" s="1"/>
  <c r="V239" i="28"/>
  <c r="W239" i="28" s="1"/>
  <c r="V219" i="28"/>
  <c r="W219" i="28" s="1"/>
  <c r="V62" i="28"/>
  <c r="W62" i="28" s="1"/>
  <c r="V182" i="28"/>
  <c r="W182" i="28" s="1"/>
  <c r="V98" i="28"/>
  <c r="W98" i="28" s="1"/>
  <c r="V82" i="28"/>
  <c r="W82" i="28" s="1"/>
  <c r="V183" i="28"/>
  <c r="W183" i="28" s="1"/>
  <c r="V234" i="28"/>
  <c r="W234" i="28" s="1"/>
  <c r="V237" i="28"/>
  <c r="W237" i="28" s="1"/>
  <c r="V411" i="28"/>
  <c r="W411" i="28" s="1"/>
  <c r="V36" i="28"/>
  <c r="W36" i="28" s="1"/>
  <c r="V178" i="28"/>
  <c r="W178" i="28" s="1"/>
  <c r="V328" i="28"/>
  <c r="W328" i="28" s="1"/>
  <c r="V341" i="28"/>
  <c r="W341" i="28" s="1"/>
  <c r="V405" i="28"/>
  <c r="W405" i="28" s="1"/>
  <c r="V274" i="28"/>
  <c r="W274" i="28" s="1"/>
  <c r="V171" i="28"/>
  <c r="W171" i="28" s="1"/>
  <c r="V206" i="28"/>
  <c r="W206" i="28" s="1"/>
  <c r="V408" i="28"/>
  <c r="W408" i="28" s="1"/>
  <c r="V223" i="28"/>
  <c r="W223" i="28" s="1"/>
  <c r="V325" i="28"/>
  <c r="W325" i="28" s="1"/>
  <c r="V133" i="28"/>
  <c r="W133" i="28" s="1"/>
  <c r="V100" i="28"/>
  <c r="W100" i="28" s="1"/>
  <c r="V166" i="28"/>
  <c r="W166" i="28" s="1"/>
  <c r="V380" i="28"/>
  <c r="W380" i="28" s="1"/>
  <c r="V278" i="28"/>
  <c r="W278" i="28" s="1"/>
  <c r="V312" i="28"/>
  <c r="W312" i="28" s="1"/>
  <c r="V270" i="28"/>
  <c r="W270" i="28" s="1"/>
  <c r="V307" i="28"/>
  <c r="W307" i="28" s="1"/>
  <c r="V185" i="28"/>
  <c r="W185" i="28" s="1"/>
  <c r="V376" i="28"/>
  <c r="W376" i="28" s="1"/>
  <c r="V5" i="28"/>
  <c r="W5" i="28" s="1"/>
  <c r="V320" i="28"/>
  <c r="W320" i="28" s="1"/>
  <c r="V151" i="28"/>
  <c r="W151" i="28" s="1"/>
  <c r="V413" i="28"/>
  <c r="W413" i="28" s="1"/>
  <c r="V161" i="28"/>
  <c r="W161" i="28" s="1"/>
  <c r="V365" i="28"/>
  <c r="W365" i="28" s="1"/>
  <c r="V57" i="28"/>
  <c r="W57" i="28" s="1"/>
  <c r="V360" i="28"/>
  <c r="W360" i="28" s="1"/>
  <c r="V21" i="28"/>
  <c r="W21" i="28" s="1"/>
  <c r="V421" i="28"/>
  <c r="W421" i="28" s="1"/>
  <c r="V245" i="28"/>
  <c r="W245" i="28" s="1"/>
  <c r="V24" i="28"/>
  <c r="W24" i="28" s="1"/>
  <c r="V311" i="28"/>
  <c r="W311" i="28" s="1"/>
  <c r="V186" i="28"/>
  <c r="W186" i="28" s="1"/>
  <c r="V101" i="28"/>
  <c r="W101" i="28" s="1"/>
  <c r="V345" i="28"/>
  <c r="W345" i="28" s="1"/>
  <c r="V108" i="28"/>
  <c r="W108" i="28" s="1"/>
  <c r="AE389" i="28"/>
  <c r="AE395" i="28"/>
  <c r="V389" i="28"/>
  <c r="W389" i="28" s="1"/>
  <c r="AE394" i="28"/>
  <c r="V63" i="28"/>
  <c r="W63" i="28" s="1"/>
  <c r="V340" i="28"/>
  <c r="W340" i="28" s="1"/>
  <c r="V393" i="28"/>
  <c r="W393" i="28" s="1"/>
  <c r="AE393" i="28"/>
  <c r="AE388" i="28"/>
  <c r="V401" i="28"/>
  <c r="W401" i="28" s="1"/>
  <c r="V37" i="28"/>
  <c r="W37" i="28" s="1"/>
  <c r="V227" i="28"/>
  <c r="W227" i="28" s="1"/>
  <c r="AE386" i="28"/>
  <c r="AE390" i="28"/>
  <c r="V390" i="28"/>
  <c r="W390" i="28" s="1"/>
  <c r="AE391" i="28"/>
  <c r="V391" i="28"/>
  <c r="W391" i="28" s="1"/>
  <c r="AB4" i="28"/>
  <c r="Y64" i="28" l="1"/>
  <c r="Y28" i="28"/>
  <c r="L300" i="28"/>
  <c r="L301" i="28"/>
  <c r="L331" i="28"/>
  <c r="L392" i="28"/>
  <c r="L325" i="28"/>
  <c r="L394" i="28"/>
  <c r="L412" i="28"/>
  <c r="L327" i="28"/>
  <c r="Y662" i="28"/>
  <c r="Z662" i="28" s="1"/>
  <c r="AA662" i="28" s="1"/>
  <c r="Y837" i="28"/>
  <c r="Z837" i="28" s="1"/>
  <c r="AA837" i="28" s="1"/>
  <c r="Y788" i="28"/>
  <c r="Z788" i="28" s="1"/>
  <c r="AA788" i="28" s="1"/>
  <c r="Y859" i="28"/>
  <c r="Z859" i="28" s="1"/>
  <c r="AA859" i="28" s="1"/>
  <c r="Y838" i="28"/>
  <c r="Z838" i="28" s="1"/>
  <c r="AA838" i="28" s="1"/>
  <c r="Y890" i="28"/>
  <c r="Z890" i="28" s="1"/>
  <c r="AA890" i="28" s="1"/>
  <c r="Y961" i="28"/>
  <c r="Z961" i="28" s="1"/>
  <c r="AA961" i="28" s="1"/>
  <c r="Y587" i="28"/>
  <c r="Z587" i="28" s="1"/>
  <c r="AA587" i="28" s="1"/>
  <c r="Y978" i="28"/>
  <c r="Z978" i="28" s="1"/>
  <c r="AA978" i="28" s="1"/>
  <c r="Y850" i="28"/>
  <c r="Z850" i="28" s="1"/>
  <c r="AA850" i="28" s="1"/>
  <c r="Y536" i="28"/>
  <c r="Z536" i="28" s="1"/>
  <c r="AA536" i="28" s="1"/>
  <c r="Y782" i="28"/>
  <c r="Z782" i="28" s="1"/>
  <c r="AA782" i="28" s="1"/>
  <c r="Y917" i="28"/>
  <c r="Z917" i="28" s="1"/>
  <c r="AA917" i="28" s="1"/>
  <c r="Y575" i="28"/>
  <c r="Z575" i="28" s="1"/>
  <c r="AA575" i="28" s="1"/>
  <c r="Y742" i="28"/>
  <c r="Z742" i="28" s="1"/>
  <c r="AA742" i="28" s="1"/>
  <c r="Y507" i="28"/>
  <c r="Z507" i="28" s="1"/>
  <c r="AA507" i="28" s="1"/>
  <c r="Y921" i="28"/>
  <c r="Z921" i="28" s="1"/>
  <c r="AA921" i="28" s="1"/>
  <c r="Y797" i="28"/>
  <c r="Z797" i="28" s="1"/>
  <c r="AA797" i="28" s="1"/>
  <c r="Y926" i="28"/>
  <c r="Z926" i="28" s="1"/>
  <c r="AA926" i="28" s="1"/>
  <c r="Y869" i="28"/>
  <c r="Z869" i="28" s="1"/>
  <c r="AA869" i="28" s="1"/>
  <c r="Y932" i="28"/>
  <c r="Z932" i="28" s="1"/>
  <c r="AA932" i="28" s="1"/>
  <c r="Y440" i="28"/>
  <c r="Z440" i="28" s="1"/>
  <c r="AA440" i="28" s="1"/>
  <c r="Y745" i="28"/>
  <c r="Z745" i="28" s="1"/>
  <c r="AA745" i="28" s="1"/>
  <c r="Y572" i="28"/>
  <c r="Z572" i="28" s="1"/>
  <c r="AA572" i="28" s="1"/>
  <c r="Y717" i="28"/>
  <c r="Z717" i="28" s="1"/>
  <c r="AA717" i="28" s="1"/>
  <c r="Y853" i="28"/>
  <c r="Z853" i="28" s="1"/>
  <c r="AA853" i="28" s="1"/>
  <c r="Y640" i="28"/>
  <c r="Z640" i="28" s="1"/>
  <c r="AA640" i="28" s="1"/>
  <c r="Y517" i="28"/>
  <c r="Z517" i="28" s="1"/>
  <c r="AA517" i="28" s="1"/>
  <c r="Y567" i="28"/>
  <c r="Z567" i="28" s="1"/>
  <c r="AA567" i="28" s="1"/>
  <c r="Y558" i="28"/>
  <c r="Z558" i="28" s="1"/>
  <c r="AA558" i="28" s="1"/>
  <c r="Y680" i="28"/>
  <c r="Z680" i="28" s="1"/>
  <c r="AA680" i="28" s="1"/>
  <c r="Y867" i="28"/>
  <c r="Z867" i="28" s="1"/>
  <c r="AA867" i="28" s="1"/>
  <c r="Y933" i="28"/>
  <c r="Z933" i="28" s="1"/>
  <c r="AA933" i="28" s="1"/>
  <c r="Y493" i="28"/>
  <c r="Z493" i="28" s="1"/>
  <c r="AA493" i="28" s="1"/>
  <c r="Y597" i="28"/>
  <c r="Z597" i="28" s="1"/>
  <c r="AA597" i="28" s="1"/>
  <c r="Y481" i="28"/>
  <c r="Z481" i="28" s="1"/>
  <c r="AA481" i="28" s="1"/>
  <c r="Y612" i="28"/>
  <c r="Z612" i="28" s="1"/>
  <c r="AA612" i="28" s="1"/>
  <c r="Y949" i="28"/>
  <c r="Z949" i="28" s="1"/>
  <c r="AA949" i="28" s="1"/>
  <c r="Y431" i="28"/>
  <c r="Z431" i="28" s="1"/>
  <c r="AA431" i="28" s="1"/>
  <c r="Y703" i="28"/>
  <c r="Z703" i="28" s="1"/>
  <c r="AA703" i="28" s="1"/>
  <c r="Y447" i="28"/>
  <c r="Z447" i="28" s="1"/>
  <c r="AA447" i="28" s="1"/>
  <c r="Y881" i="28"/>
  <c r="Z881" i="28" s="1"/>
  <c r="AA881" i="28" s="1"/>
  <c r="Y953" i="28"/>
  <c r="Z953" i="28" s="1"/>
  <c r="AA953" i="28" s="1"/>
  <c r="Y469" i="28"/>
  <c r="Z469" i="28" s="1"/>
  <c r="AA469" i="28" s="1"/>
  <c r="Y919" i="28"/>
  <c r="Z919" i="28" s="1"/>
  <c r="AA919" i="28" s="1"/>
  <c r="Y516" i="28"/>
  <c r="Z516" i="28" s="1"/>
  <c r="AA516" i="28" s="1"/>
  <c r="Y967" i="28"/>
  <c r="Z967" i="28" s="1"/>
  <c r="AA967" i="28" s="1"/>
  <c r="Y936" i="28"/>
  <c r="Z936" i="28" s="1"/>
  <c r="AA936" i="28" s="1"/>
  <c r="Y553" i="28"/>
  <c r="Z553" i="28" s="1"/>
  <c r="AA553" i="28" s="1"/>
  <c r="Y569" i="28"/>
  <c r="Z569" i="28" s="1"/>
  <c r="AA569" i="28" s="1"/>
  <c r="Y987" i="28"/>
  <c r="Z987" i="28" s="1"/>
  <c r="AA987" i="28" s="1"/>
  <c r="Y651" i="28"/>
  <c r="Z651" i="28" s="1"/>
  <c r="AA651" i="28" s="1"/>
  <c r="Y443" i="28"/>
  <c r="Z443" i="28" s="1"/>
  <c r="AA443" i="28" s="1"/>
  <c r="Y433" i="28"/>
  <c r="Z433" i="28" s="1"/>
  <c r="AA433" i="28" s="1"/>
  <c r="Y452" i="28"/>
  <c r="Z452" i="28" s="1"/>
  <c r="AA452" i="28" s="1"/>
  <c r="Y827" i="28"/>
  <c r="Z827" i="28" s="1"/>
  <c r="AA827" i="28" s="1"/>
  <c r="Y791" i="28"/>
  <c r="Z791" i="28" s="1"/>
  <c r="AA791" i="28" s="1"/>
  <c r="Y777" i="28"/>
  <c r="Z777" i="28" s="1"/>
  <c r="AA777" i="28" s="1"/>
  <c r="Y786" i="28"/>
  <c r="Z786" i="28" s="1"/>
  <c r="AA786" i="28" s="1"/>
  <c r="Y621" i="28"/>
  <c r="Z621" i="28" s="1"/>
  <c r="AA621" i="28" s="1"/>
  <c r="Y509" i="28"/>
  <c r="Z509" i="28" s="1"/>
  <c r="AA509" i="28" s="1"/>
  <c r="Y944" i="28"/>
  <c r="Z944" i="28" s="1"/>
  <c r="AA944" i="28" s="1"/>
  <c r="Y769" i="28"/>
  <c r="Z769" i="28" s="1"/>
  <c r="AA769" i="28" s="1"/>
  <c r="Y435" i="28"/>
  <c r="Z435" i="28" s="1"/>
  <c r="AA435" i="28" s="1"/>
  <c r="Y728" i="28"/>
  <c r="Z728" i="28" s="1"/>
  <c r="AA728" i="28" s="1"/>
  <c r="Y725" i="28"/>
  <c r="Z725" i="28" s="1"/>
  <c r="AA725" i="28" s="1"/>
  <c r="Y487" i="28"/>
  <c r="Z487" i="28" s="1"/>
  <c r="AA487" i="28" s="1"/>
  <c r="Y874" i="28"/>
  <c r="Z874" i="28" s="1"/>
  <c r="AA874" i="28" s="1"/>
  <c r="Y650" i="28"/>
  <c r="Z650" i="28" s="1"/>
  <c r="AA650" i="28" s="1"/>
  <c r="Y864" i="28"/>
  <c r="Z864" i="28" s="1"/>
  <c r="AA864" i="28" s="1"/>
  <c r="Y818" i="28"/>
  <c r="Z818" i="28" s="1"/>
  <c r="AA818" i="28" s="1"/>
  <c r="Y473" i="28"/>
  <c r="Z473" i="28" s="1"/>
  <c r="AA473" i="28" s="1"/>
  <c r="Y925" i="28"/>
  <c r="Z925" i="28" s="1"/>
  <c r="AA925" i="28" s="1"/>
  <c r="Y831" i="28"/>
  <c r="Z831" i="28" s="1"/>
  <c r="AA831" i="28" s="1"/>
  <c r="Y781" i="28"/>
  <c r="Z781" i="28" s="1"/>
  <c r="AA781" i="28" s="1"/>
  <c r="Y816" i="28"/>
  <c r="Z816" i="28" s="1"/>
  <c r="AA816" i="28" s="1"/>
  <c r="Y530" i="28"/>
  <c r="Z530" i="28" s="1"/>
  <c r="AA530" i="28" s="1"/>
  <c r="Y663" i="28"/>
  <c r="Z663" i="28" s="1"/>
  <c r="AA663" i="28" s="1"/>
  <c r="Y908" i="28"/>
  <c r="Z908" i="28" s="1"/>
  <c r="AA908" i="28" s="1"/>
  <c r="Y666" i="28"/>
  <c r="Z666" i="28" s="1"/>
  <c r="AA666" i="28" s="1"/>
  <c r="Y973" i="28"/>
  <c r="Z973" i="28" s="1"/>
  <c r="AA973" i="28" s="1"/>
  <c r="Y699" i="28"/>
  <c r="Z699" i="28" s="1"/>
  <c r="AA699" i="28" s="1"/>
  <c r="Y757" i="28"/>
  <c r="Z757" i="28" s="1"/>
  <c r="AA757" i="28" s="1"/>
  <c r="Y941" i="28"/>
  <c r="Z941" i="28" s="1"/>
  <c r="AA941" i="28" s="1"/>
  <c r="Y702" i="28"/>
  <c r="Z702" i="28" s="1"/>
  <c r="AA702" i="28" s="1"/>
  <c r="Y664" i="28"/>
  <c r="Z664" i="28" s="1"/>
  <c r="AA664" i="28" s="1"/>
  <c r="Y715" i="28"/>
  <c r="Z715" i="28" s="1"/>
  <c r="AA715" i="28" s="1"/>
  <c r="Y878" i="28"/>
  <c r="Z878" i="28" s="1"/>
  <c r="AA878" i="28" s="1"/>
  <c r="Y765" i="28"/>
  <c r="Z765" i="28" s="1"/>
  <c r="AA765" i="28" s="1"/>
  <c r="Y736" i="28"/>
  <c r="Z736" i="28" s="1"/>
  <c r="AA736" i="28" s="1"/>
  <c r="Y603" i="28"/>
  <c r="Z603" i="28" s="1"/>
  <c r="AA603" i="28" s="1"/>
  <c r="Y430" i="28"/>
  <c r="Z430" i="28" s="1"/>
  <c r="AA430" i="28" s="1"/>
  <c r="Y763" i="28"/>
  <c r="Z763" i="28" s="1"/>
  <c r="AA763" i="28" s="1"/>
  <c r="Y471" i="28"/>
  <c r="Z471" i="28" s="1"/>
  <c r="AA471" i="28" s="1"/>
  <c r="Y712" i="28"/>
  <c r="Z712" i="28" s="1"/>
  <c r="AA712" i="28" s="1"/>
  <c r="Y544" i="28"/>
  <c r="Z544" i="28" s="1"/>
  <c r="AA544" i="28" s="1"/>
  <c r="Y848" i="28"/>
  <c r="Z848" i="28" s="1"/>
  <c r="AA848" i="28" s="1"/>
  <c r="Y446" i="28"/>
  <c r="Z446" i="28" s="1"/>
  <c r="AA446" i="28" s="1"/>
  <c r="Y451" i="28"/>
  <c r="Z451" i="28" s="1"/>
  <c r="AA451" i="28" s="1"/>
  <c r="Y737" i="28"/>
  <c r="Z737" i="28" s="1"/>
  <c r="AA737" i="28" s="1"/>
  <c r="Y573" i="28"/>
  <c r="Z573" i="28" s="1"/>
  <c r="AA573" i="28" s="1"/>
  <c r="Y589" i="28"/>
  <c r="Z589" i="28" s="1"/>
  <c r="AA589" i="28" s="1"/>
  <c r="Y577" i="28"/>
  <c r="Z577" i="28" s="1"/>
  <c r="AA577" i="28" s="1"/>
  <c r="Y489" i="28"/>
  <c r="Z489" i="28" s="1"/>
  <c r="AA489" i="28" s="1"/>
  <c r="Y870" i="28"/>
  <c r="Z870" i="28" s="1"/>
  <c r="AA870" i="28" s="1"/>
  <c r="Y711" i="28"/>
  <c r="Z711" i="28" s="1"/>
  <c r="AA711" i="28" s="1"/>
  <c r="Y896" i="28"/>
  <c r="Z896" i="28" s="1"/>
  <c r="AA896" i="28" s="1"/>
  <c r="Y957" i="28"/>
  <c r="Z957" i="28" s="1"/>
  <c r="AA957" i="28" s="1"/>
  <c r="Y857" i="28"/>
  <c r="Z857" i="28" s="1"/>
  <c r="AA857" i="28" s="1"/>
  <c r="Y709" i="28"/>
  <c r="Z709" i="28" s="1"/>
  <c r="AA709" i="28" s="1"/>
  <c r="Y496" i="28"/>
  <c r="Z496" i="28" s="1"/>
  <c r="AA496" i="28" s="1"/>
  <c r="Y585" i="28"/>
  <c r="Z585" i="28" s="1"/>
  <c r="AA585" i="28" s="1"/>
  <c r="Y934" i="28"/>
  <c r="Z934" i="28" s="1"/>
  <c r="AA934" i="28" s="1"/>
  <c r="Y681" i="28"/>
  <c r="Z681" i="28" s="1"/>
  <c r="AA681" i="28" s="1"/>
  <c r="Y730" i="28"/>
  <c r="Z730" i="28" s="1"/>
  <c r="AA730" i="28" s="1"/>
  <c r="Y550" i="28"/>
  <c r="Z550" i="28" s="1"/>
  <c r="AA550" i="28" s="1"/>
  <c r="Y731" i="28"/>
  <c r="Z731" i="28" s="1"/>
  <c r="AA731" i="28" s="1"/>
  <c r="Y620" i="28"/>
  <c r="Z620" i="28" s="1"/>
  <c r="AA620" i="28" s="1"/>
  <c r="Y855" i="28"/>
  <c r="Z855" i="28" s="1"/>
  <c r="AA855" i="28" s="1"/>
  <c r="Y557" i="28"/>
  <c r="Z557" i="28" s="1"/>
  <c r="AA557" i="28" s="1"/>
  <c r="Y823" i="28"/>
  <c r="Z823" i="28" s="1"/>
  <c r="AA823" i="28" s="1"/>
  <c r="Y722" i="28"/>
  <c r="Z722" i="28" s="1"/>
  <c r="AA722" i="28" s="1"/>
  <c r="Y750" i="28"/>
  <c r="Z750" i="28" s="1"/>
  <c r="AA750" i="28" s="1"/>
  <c r="Y986" i="28"/>
  <c r="Z986" i="28" s="1"/>
  <c r="AA986" i="28" s="1"/>
  <c r="Y931" i="28"/>
  <c r="Z931" i="28" s="1"/>
  <c r="AA931" i="28" s="1"/>
  <c r="Y635" i="28"/>
  <c r="Z635" i="28" s="1"/>
  <c r="AA635" i="28" s="1"/>
  <c r="Y540" i="28"/>
  <c r="Z540" i="28" s="1"/>
  <c r="AA540" i="28" s="1"/>
  <c r="Y427" i="28"/>
  <c r="Z427" i="28" s="1"/>
  <c r="AA427" i="28" s="1"/>
  <c r="Y552" i="28"/>
  <c r="Z552" i="28" s="1"/>
  <c r="AA552" i="28" s="1"/>
  <c r="Y646" i="28"/>
  <c r="Z646" i="28" s="1"/>
  <c r="AA646" i="28" s="1"/>
  <c r="Y799" i="28"/>
  <c r="Z799" i="28" s="1"/>
  <c r="AA799" i="28" s="1"/>
  <c r="Y776" i="28"/>
  <c r="Z776" i="28" s="1"/>
  <c r="AA776" i="28" s="1"/>
  <c r="Y928" i="28"/>
  <c r="Z928" i="28" s="1"/>
  <c r="AA928" i="28" s="1"/>
  <c r="Y795" i="28"/>
  <c r="Z795" i="28" s="1"/>
  <c r="AA795" i="28" s="1"/>
  <c r="Y653" i="28"/>
  <c r="Z653" i="28" s="1"/>
  <c r="AA653" i="28" s="1"/>
  <c r="Y501" i="28"/>
  <c r="Z501" i="28" s="1"/>
  <c r="AA501" i="28" s="1"/>
  <c r="Y792" i="28"/>
  <c r="Z792" i="28" s="1"/>
  <c r="AA792" i="28" s="1"/>
  <c r="Y875" i="28"/>
  <c r="Z875" i="28" s="1"/>
  <c r="AA875" i="28" s="1"/>
  <c r="Y982" i="28"/>
  <c r="Z982" i="28" s="1"/>
  <c r="AA982" i="28" s="1"/>
  <c r="Y854" i="28"/>
  <c r="Z854" i="28" s="1"/>
  <c r="AA854" i="28" s="1"/>
  <c r="Y657" i="28"/>
  <c r="Z657" i="28" s="1"/>
  <c r="AA657" i="28" s="1"/>
  <c r="Y892" i="28"/>
  <c r="Z892" i="28" s="1"/>
  <c r="AA892" i="28" s="1"/>
  <c r="Y634" i="28"/>
  <c r="Z634" i="28" s="1"/>
  <c r="AA634" i="28" s="1"/>
  <c r="Y889" i="28"/>
  <c r="Z889" i="28" s="1"/>
  <c r="AA889" i="28" s="1"/>
  <c r="Y483" i="28"/>
  <c r="Z483" i="28" s="1"/>
  <c r="AA483" i="28" s="1"/>
  <c r="Y679" i="28"/>
  <c r="Z679" i="28" s="1"/>
  <c r="AA679" i="28" s="1"/>
  <c r="Y582" i="28"/>
  <c r="Z582" i="28" s="1"/>
  <c r="AA582" i="28" s="1"/>
  <c r="Y714" i="28"/>
  <c r="Z714" i="28" s="1"/>
  <c r="AA714" i="28" s="1"/>
  <c r="Y686" i="28"/>
  <c r="Z686" i="28" s="1"/>
  <c r="AA686" i="28" s="1"/>
  <c r="Y687" i="28"/>
  <c r="Z687" i="28" s="1"/>
  <c r="AA687" i="28" s="1"/>
  <c r="Y758" i="28"/>
  <c r="Z758" i="28" s="1"/>
  <c r="AA758" i="28" s="1"/>
  <c r="Y734" i="28"/>
  <c r="Z734" i="28" s="1"/>
  <c r="AA734" i="28" s="1"/>
  <c r="Y652" i="28"/>
  <c r="Z652" i="28" s="1"/>
  <c r="AA652" i="28" s="1"/>
  <c r="Y667" i="28"/>
  <c r="Z667" i="28" s="1"/>
  <c r="AA667" i="28" s="1"/>
  <c r="Y600" i="28"/>
  <c r="Z600" i="28" s="1"/>
  <c r="AA600" i="28" s="1"/>
  <c r="Y462" i="28"/>
  <c r="Z462" i="28" s="1"/>
  <c r="AA462" i="28" s="1"/>
  <c r="Y904" i="28"/>
  <c r="Z904" i="28" s="1"/>
  <c r="AA904" i="28" s="1"/>
  <c r="Y506" i="28"/>
  <c r="Z506" i="28" s="1"/>
  <c r="AA506" i="28" s="1"/>
  <c r="Y767" i="28"/>
  <c r="Z767" i="28" s="1"/>
  <c r="AA767" i="28" s="1"/>
  <c r="Y529" i="28"/>
  <c r="Z529" i="28" s="1"/>
  <c r="AA529" i="28" s="1"/>
  <c r="Y625" i="28"/>
  <c r="Z625" i="28" s="1"/>
  <c r="AA625" i="28" s="1"/>
  <c r="Y913" i="28"/>
  <c r="Z913" i="28" s="1"/>
  <c r="AA913" i="28" s="1"/>
  <c r="Y733" i="28"/>
  <c r="Z733" i="28" s="1"/>
  <c r="AA733" i="28" s="1"/>
  <c r="Y636" i="28"/>
  <c r="Z636" i="28" s="1"/>
  <c r="AA636" i="28" s="1"/>
  <c r="Y979" i="28"/>
  <c r="Z979" i="28" s="1"/>
  <c r="AA979" i="28" s="1"/>
  <c r="Y812" i="28"/>
  <c r="Z812" i="28" s="1"/>
  <c r="AA812" i="28" s="1"/>
  <c r="Y718" i="28"/>
  <c r="Z718" i="28" s="1"/>
  <c r="AA718" i="28" s="1"/>
  <c r="Y770" i="28"/>
  <c r="Z770" i="28" s="1"/>
  <c r="AA770" i="28" s="1"/>
  <c r="Y802" i="28"/>
  <c r="Z802" i="28" s="1"/>
  <c r="AA802" i="28" s="1"/>
  <c r="Y677" i="28"/>
  <c r="Z677" i="28" s="1"/>
  <c r="AA677" i="28" s="1"/>
  <c r="Y499" i="28"/>
  <c r="Z499" i="28" s="1"/>
  <c r="AA499" i="28" s="1"/>
  <c r="Y605" i="28"/>
  <c r="Z605" i="28" s="1"/>
  <c r="AA605" i="28" s="1"/>
  <c r="Y992" i="28"/>
  <c r="Z992" i="28" s="1"/>
  <c r="AA992" i="28" s="1"/>
  <c r="Y444" i="28"/>
  <c r="Z444" i="28" s="1"/>
  <c r="AA444" i="28" s="1"/>
  <c r="Y762" i="28"/>
  <c r="Z762" i="28" s="1"/>
  <c r="AA762" i="28" s="1"/>
  <c r="Y630" i="28"/>
  <c r="Z630" i="28" s="1"/>
  <c r="AA630" i="28" s="1"/>
  <c r="Y991" i="28"/>
  <c r="Z991" i="28" s="1"/>
  <c r="AA991" i="28" s="1"/>
  <c r="Y775" i="28"/>
  <c r="Z775" i="28" s="1"/>
  <c r="AA775" i="28" s="1"/>
  <c r="Y492" i="28"/>
  <c r="Z492" i="28" s="1"/>
  <c r="AA492" i="28" s="1"/>
  <c r="Y865" i="28"/>
  <c r="Z865" i="28" s="1"/>
  <c r="AA865" i="28" s="1"/>
  <c r="Y478" i="28"/>
  <c r="Z478" i="28" s="1"/>
  <c r="AA478" i="28" s="1"/>
  <c r="Y886" i="28"/>
  <c r="Z886" i="28" s="1"/>
  <c r="AA886" i="28" s="1"/>
  <c r="Y472" i="28"/>
  <c r="Z472" i="28" s="1"/>
  <c r="AA472" i="28" s="1"/>
  <c r="Y706" i="28"/>
  <c r="Z706" i="28" s="1"/>
  <c r="AA706" i="28" s="1"/>
  <c r="Y999" i="28"/>
  <c r="Z999" i="28" s="1"/>
  <c r="AA999" i="28" s="1"/>
  <c r="Y434" i="28"/>
  <c r="Z434" i="28" s="1"/>
  <c r="AA434" i="28" s="1"/>
  <c r="Y764" i="28"/>
  <c r="Z764" i="28" s="1"/>
  <c r="AA764" i="28" s="1"/>
  <c r="Y565" i="28"/>
  <c r="Z565" i="28" s="1"/>
  <c r="AA565" i="28" s="1"/>
  <c r="Y942" i="28"/>
  <c r="Z942" i="28" s="1"/>
  <c r="AA942" i="28" s="1"/>
  <c r="Y438" i="28"/>
  <c r="Z438" i="28" s="1"/>
  <c r="AA438" i="28" s="1"/>
  <c r="Y901" i="28"/>
  <c r="Z901" i="28" s="1"/>
  <c r="AA901" i="28" s="1"/>
  <c r="Y592" i="28"/>
  <c r="Z592" i="28" s="1"/>
  <c r="AA592" i="28" s="1"/>
  <c r="Y815" i="28"/>
  <c r="Z815" i="28" s="1"/>
  <c r="AA815" i="28" s="1"/>
  <c r="Y655" i="28"/>
  <c r="Z655" i="28" s="1"/>
  <c r="AA655" i="28" s="1"/>
  <c r="Y644" i="28"/>
  <c r="Z644" i="28" s="1"/>
  <c r="AA644" i="28" s="1"/>
  <c r="Y817" i="28"/>
  <c r="Z817" i="28" s="1"/>
  <c r="AA817" i="28" s="1"/>
  <c r="Y897" i="28"/>
  <c r="Z897" i="28" s="1"/>
  <c r="AA897" i="28" s="1"/>
  <c r="Y787" i="28"/>
  <c r="Z787" i="28" s="1"/>
  <c r="AA787" i="28" s="1"/>
  <c r="Y948" i="28"/>
  <c r="Z948" i="28" s="1"/>
  <c r="AA948" i="28" s="1"/>
  <c r="Y719" i="28"/>
  <c r="Z719" i="28" s="1"/>
  <c r="AA719" i="28" s="1"/>
  <c r="Y969" i="28"/>
  <c r="Z969" i="28" s="1"/>
  <c r="AA969" i="28" s="1"/>
  <c r="Y894" i="28"/>
  <c r="Z894" i="28" s="1"/>
  <c r="AA894" i="28" s="1"/>
  <c r="Y810" i="28"/>
  <c r="Z810" i="28" s="1"/>
  <c r="AA810" i="28" s="1"/>
  <c r="Y672" i="28"/>
  <c r="Z672" i="28" s="1"/>
  <c r="AA672" i="28" s="1"/>
  <c r="Y694" i="28"/>
  <c r="Z694" i="28" s="1"/>
  <c r="AA694" i="28" s="1"/>
  <c r="Y475" i="28"/>
  <c r="Z475" i="28" s="1"/>
  <c r="AA475" i="28" s="1"/>
  <c r="Y510" i="28"/>
  <c r="Z510" i="28" s="1"/>
  <c r="AA510" i="28" s="1"/>
  <c r="Y847" i="28"/>
  <c r="Z847" i="28" s="1"/>
  <c r="AA847" i="28" s="1"/>
  <c r="Y900" i="28"/>
  <c r="Z900" i="28" s="1"/>
  <c r="AA900" i="28" s="1"/>
  <c r="Y761" i="28"/>
  <c r="Z761" i="28" s="1"/>
  <c r="AA761" i="28" s="1"/>
  <c r="Y654" i="28"/>
  <c r="Z654" i="28" s="1"/>
  <c r="AA654" i="28" s="1"/>
  <c r="Y505" i="28"/>
  <c r="Z505" i="28" s="1"/>
  <c r="AA505" i="28" s="1"/>
  <c r="Y800" i="28"/>
  <c r="Z800" i="28" s="1"/>
  <c r="AA800" i="28" s="1"/>
  <c r="Y778" i="28"/>
  <c r="Z778" i="28" s="1"/>
  <c r="AA778" i="28" s="1"/>
  <c r="Y685" i="28"/>
  <c r="Z685" i="28" s="1"/>
  <c r="AA685" i="28" s="1"/>
  <c r="Y960" i="28"/>
  <c r="Z960" i="28" s="1"/>
  <c r="AA960" i="28" s="1"/>
  <c r="Y858" i="28"/>
  <c r="Z858" i="28" s="1"/>
  <c r="AA858" i="28" s="1"/>
  <c r="Y785" i="28"/>
  <c r="Z785" i="28" s="1"/>
  <c r="AA785" i="28" s="1"/>
  <c r="Y594" i="28"/>
  <c r="Z594" i="28" s="1"/>
  <c r="AA594" i="28" s="1"/>
  <c r="Y639" i="28"/>
  <c r="Z639" i="28" s="1"/>
  <c r="AA639" i="28" s="1"/>
  <c r="Y938" i="28"/>
  <c r="Z938" i="28" s="1"/>
  <c r="AA938" i="28" s="1"/>
  <c r="Y935" i="28"/>
  <c r="Z935" i="28" s="1"/>
  <c r="AA935" i="28" s="1"/>
  <c r="Y970" i="28"/>
  <c r="Z970" i="28" s="1"/>
  <c r="AA970" i="28" s="1"/>
  <c r="Y429" i="28"/>
  <c r="Z429" i="28" s="1"/>
  <c r="AA429" i="28" s="1"/>
  <c r="Y486" i="28"/>
  <c r="Z486" i="28" s="1"/>
  <c r="AA486" i="28" s="1"/>
  <c r="Y498" i="28"/>
  <c r="Z498" i="28" s="1"/>
  <c r="AA498" i="28" s="1"/>
  <c r="Y822" i="28"/>
  <c r="Z822" i="28" s="1"/>
  <c r="AA822" i="28" s="1"/>
  <c r="Y642" i="28"/>
  <c r="Z642" i="28" s="1"/>
  <c r="AA642" i="28" s="1"/>
  <c r="Y479" i="28"/>
  <c r="Z479" i="28" s="1"/>
  <c r="AA479" i="28" s="1"/>
  <c r="Y939" i="28"/>
  <c r="Z939" i="28" s="1"/>
  <c r="AA939" i="28" s="1"/>
  <c r="Y609" i="28"/>
  <c r="Z609" i="28" s="1"/>
  <c r="AA609" i="28" s="1"/>
  <c r="Y980" i="28"/>
  <c r="Z980" i="28" s="1"/>
  <c r="AA980" i="28" s="1"/>
  <c r="Y588" i="28"/>
  <c r="Z588" i="28" s="1"/>
  <c r="AA588" i="28" s="1"/>
  <c r="Y665" i="28"/>
  <c r="Z665" i="28" s="1"/>
  <c r="AA665" i="28" s="1"/>
  <c r="Y746" i="28"/>
  <c r="Z746" i="28" s="1"/>
  <c r="AA746" i="28" s="1"/>
  <c r="Y833" i="28"/>
  <c r="Z833" i="28" s="1"/>
  <c r="AA833" i="28" s="1"/>
  <c r="Y527" i="28"/>
  <c r="Z527" i="28" s="1"/>
  <c r="AA527" i="28" s="1"/>
  <c r="Y907" i="28"/>
  <c r="Z907" i="28" s="1"/>
  <c r="AA907" i="28" s="1"/>
  <c r="Y618" i="28"/>
  <c r="Z618" i="28" s="1"/>
  <c r="AA618" i="28" s="1"/>
  <c r="Y674" i="28"/>
  <c r="Z674" i="28" s="1"/>
  <c r="AA674" i="28" s="1"/>
  <c r="Y638" i="28"/>
  <c r="Z638" i="28" s="1"/>
  <c r="AA638" i="28" s="1"/>
  <c r="Y508" i="28"/>
  <c r="Z508" i="28" s="1"/>
  <c r="AA508" i="28" s="1"/>
  <c r="Y911" i="28"/>
  <c r="Z911" i="28" s="1"/>
  <c r="AA911" i="28" s="1"/>
  <c r="Y526" i="28"/>
  <c r="Z526" i="28" s="1"/>
  <c r="AA526" i="28" s="1"/>
  <c r="Y560" i="28"/>
  <c r="Z560" i="28" s="1"/>
  <c r="AA560" i="28" s="1"/>
  <c r="Y439" i="28"/>
  <c r="Z439" i="28" s="1"/>
  <c r="AA439" i="28" s="1"/>
  <c r="Y872" i="28"/>
  <c r="Z872" i="28" s="1"/>
  <c r="AA872" i="28" s="1"/>
  <c r="Y455" i="28"/>
  <c r="Z455" i="28" s="1"/>
  <c r="AA455" i="28" s="1"/>
  <c r="Y513" i="28"/>
  <c r="Z513" i="28" s="1"/>
  <c r="AA513" i="28" s="1"/>
  <c r="Y448" i="28"/>
  <c r="Z448" i="28" s="1"/>
  <c r="AA448" i="28" s="1"/>
  <c r="Y428" i="28"/>
  <c r="Z428" i="28" s="1"/>
  <c r="AA428" i="28" s="1"/>
  <c r="Y835" i="28"/>
  <c r="Z835" i="28" s="1"/>
  <c r="AA835" i="28" s="1"/>
  <c r="Y768" i="28"/>
  <c r="Z768" i="28" s="1"/>
  <c r="AA768" i="28" s="1"/>
  <c r="Y449" i="28"/>
  <c r="Z449" i="28" s="1"/>
  <c r="AA449" i="28" s="1"/>
  <c r="Y474" i="28"/>
  <c r="Z474" i="28" s="1"/>
  <c r="AA474" i="28" s="1"/>
  <c r="Y851" i="28"/>
  <c r="Z851" i="28" s="1"/>
  <c r="AA851" i="28" s="1"/>
  <c r="Y883" i="28"/>
  <c r="Z883" i="28" s="1"/>
  <c r="AA883" i="28" s="1"/>
  <c r="Y968" i="28"/>
  <c r="Z968" i="28" s="1"/>
  <c r="AA968" i="28" s="1"/>
  <c r="Y593" i="28"/>
  <c r="Z593" i="28" s="1"/>
  <c r="AA593" i="28" s="1"/>
  <c r="Y675" i="28"/>
  <c r="Z675" i="28" s="1"/>
  <c r="AA675" i="28" s="1"/>
  <c r="Y726" i="28"/>
  <c r="Z726" i="28" s="1"/>
  <c r="AA726" i="28" s="1"/>
  <c r="Y891" i="28"/>
  <c r="Z891" i="28" s="1"/>
  <c r="AA891" i="28" s="1"/>
  <c r="Y656" i="28"/>
  <c r="Z656" i="28" s="1"/>
  <c r="AA656" i="28" s="1"/>
  <c r="Y766" i="28"/>
  <c r="Z766" i="28" s="1"/>
  <c r="AA766" i="28" s="1"/>
  <c r="Y696" i="28"/>
  <c r="Z696" i="28" s="1"/>
  <c r="AA696" i="28" s="1"/>
  <c r="Y743" i="28"/>
  <c r="Z743" i="28" s="1"/>
  <c r="AA743" i="28" s="1"/>
  <c r="Y658" i="28"/>
  <c r="Z658" i="28" s="1"/>
  <c r="AA658" i="28" s="1"/>
  <c r="Y882" i="28"/>
  <c r="Z882" i="28" s="1"/>
  <c r="AA882" i="28" s="1"/>
  <c r="Y669" i="28"/>
  <c r="Z669" i="28" s="1"/>
  <c r="AA669" i="28" s="1"/>
  <c r="Y583" i="28"/>
  <c r="Z583" i="28" s="1"/>
  <c r="AA583" i="28" s="1"/>
  <c r="Y790" i="28"/>
  <c r="Z790" i="28" s="1"/>
  <c r="AA790" i="28" s="1"/>
  <c r="Y522" i="28"/>
  <c r="Z522" i="28" s="1"/>
  <c r="AA522" i="28" s="1"/>
  <c r="Y963" i="28"/>
  <c r="Z963" i="28" s="1"/>
  <c r="AA963" i="28" s="1"/>
  <c r="Y940" i="28"/>
  <c r="Z940" i="28" s="1"/>
  <c r="AA940" i="28" s="1"/>
  <c r="Y929" i="28"/>
  <c r="Z929" i="28" s="1"/>
  <c r="AA929" i="28" s="1"/>
  <c r="Y754" i="28"/>
  <c r="Z754" i="28" s="1"/>
  <c r="AA754" i="28" s="1"/>
  <c r="Y450" i="28"/>
  <c r="Z450" i="28" s="1"/>
  <c r="AA450" i="28" s="1"/>
  <c r="Y954" i="28"/>
  <c r="Z954" i="28" s="1"/>
  <c r="AA954" i="28" s="1"/>
  <c r="Y534" i="28"/>
  <c r="Z534" i="28" s="1"/>
  <c r="AA534" i="28" s="1"/>
  <c r="Y753" i="28"/>
  <c r="Z753" i="28" s="1"/>
  <c r="AA753" i="28" s="1"/>
  <c r="Y682" i="28"/>
  <c r="Z682" i="28" s="1"/>
  <c r="AA682" i="28" s="1"/>
  <c r="Y457" i="28"/>
  <c r="Z457" i="28" s="1"/>
  <c r="AA457" i="28" s="1"/>
  <c r="Y809" i="28"/>
  <c r="Z809" i="28" s="1"/>
  <c r="AA809" i="28" s="1"/>
  <c r="Y454" i="28"/>
  <c r="Z454" i="28" s="1"/>
  <c r="AA454" i="28" s="1"/>
  <c r="Y773" i="28"/>
  <c r="Z773" i="28" s="1"/>
  <c r="AA773" i="28" s="1"/>
  <c r="Y660" i="28"/>
  <c r="Z660" i="28" s="1"/>
  <c r="AA660" i="28" s="1"/>
  <c r="Y912" i="28"/>
  <c r="Z912" i="28" s="1"/>
  <c r="AA912" i="28" s="1"/>
  <c r="Y617" i="28"/>
  <c r="Z617" i="28" s="1"/>
  <c r="AA617" i="28" s="1"/>
  <c r="Y898" i="28"/>
  <c r="Z898" i="28" s="1"/>
  <c r="AA898" i="28" s="1"/>
  <c r="Y623" i="28"/>
  <c r="Z623" i="28" s="1"/>
  <c r="AA623" i="28" s="1"/>
  <c r="Y868" i="28"/>
  <c r="Z868" i="28" s="1"/>
  <c r="AA868" i="28" s="1"/>
  <c r="Y631" i="28"/>
  <c r="Z631" i="28" s="1"/>
  <c r="AA631" i="28" s="1"/>
  <c r="Y649" i="28"/>
  <c r="Z649" i="28" s="1"/>
  <c r="AA649" i="28" s="1"/>
  <c r="Y806" i="28"/>
  <c r="Z806" i="28" s="1"/>
  <c r="AA806" i="28" s="1"/>
  <c r="Y937" i="28"/>
  <c r="Z937" i="28" s="1"/>
  <c r="AA937" i="28" s="1"/>
  <c r="Y755" i="28"/>
  <c r="Z755" i="28" s="1"/>
  <c r="AA755" i="28" s="1"/>
  <c r="Y607" i="28"/>
  <c r="Z607" i="28" s="1"/>
  <c r="AA607" i="28" s="1"/>
  <c r="Y698" i="28"/>
  <c r="Z698" i="28" s="1"/>
  <c r="AA698" i="28" s="1"/>
  <c r="Y918" i="28"/>
  <c r="Z918" i="28" s="1"/>
  <c r="AA918" i="28" s="1"/>
  <c r="Y811" i="28"/>
  <c r="Z811" i="28" s="1"/>
  <c r="AA811" i="28" s="1"/>
  <c r="Y441" i="28"/>
  <c r="Z441" i="28" s="1"/>
  <c r="AA441" i="28" s="1"/>
  <c r="Y622" i="28"/>
  <c r="Z622" i="28" s="1"/>
  <c r="AA622" i="28" s="1"/>
  <c r="Y463" i="28"/>
  <c r="Z463" i="28" s="1"/>
  <c r="AA463" i="28" s="1"/>
  <c r="Y564" i="28"/>
  <c r="Z564" i="28" s="1"/>
  <c r="AA564" i="28" s="1"/>
  <c r="Y846" i="28"/>
  <c r="Z846" i="28" s="1"/>
  <c r="AA846" i="28" s="1"/>
  <c r="Y902" i="28"/>
  <c r="Z902" i="28" s="1"/>
  <c r="AA902" i="28" s="1"/>
  <c r="Y610" i="28"/>
  <c r="Z610" i="28" s="1"/>
  <c r="AA610" i="28" s="1"/>
  <c r="Y920" i="28"/>
  <c r="Z920" i="28" s="1"/>
  <c r="AA920" i="28" s="1"/>
  <c r="Y729" i="28"/>
  <c r="Z729" i="28" s="1"/>
  <c r="AA729" i="28" s="1"/>
  <c r="Y626" i="28"/>
  <c r="Z626" i="28" s="1"/>
  <c r="AA626" i="28" s="1"/>
  <c r="Y551" i="28"/>
  <c r="Z551" i="28" s="1"/>
  <c r="AA551" i="28" s="1"/>
  <c r="Y749" i="28"/>
  <c r="Z749" i="28" s="1"/>
  <c r="AA749" i="28" s="1"/>
  <c r="Y549" i="28"/>
  <c r="Z549" i="28" s="1"/>
  <c r="AA549" i="28" s="1"/>
  <c r="Y695" i="28"/>
  <c r="Z695" i="28" s="1"/>
  <c r="AA695" i="28" s="1"/>
  <c r="Y518" i="28"/>
  <c r="Z518" i="28" s="1"/>
  <c r="AA518" i="28" s="1"/>
  <c r="Y480" i="28"/>
  <c r="Z480" i="28" s="1"/>
  <c r="AA480" i="28" s="1"/>
  <c r="Y591" i="28"/>
  <c r="Z591" i="28" s="1"/>
  <c r="AA591" i="28" s="1"/>
  <c r="Y873" i="28"/>
  <c r="Z873" i="28" s="1"/>
  <c r="AA873" i="28" s="1"/>
  <c r="Y783" i="28"/>
  <c r="Z783" i="28" s="1"/>
  <c r="AA783" i="28" s="1"/>
  <c r="Y824" i="28"/>
  <c r="Z824" i="28" s="1"/>
  <c r="AA824" i="28" s="1"/>
  <c r="Y546" i="28"/>
  <c r="Z546" i="28" s="1"/>
  <c r="AA546" i="28" s="1"/>
  <c r="Y691" i="28"/>
  <c r="Z691" i="28" s="1"/>
  <c r="AA691" i="28" s="1"/>
  <c r="Y995" i="28"/>
  <c r="Z995" i="28" s="1"/>
  <c r="AA995" i="28" s="1"/>
  <c r="Y774" i="28"/>
  <c r="Z774" i="28" s="1"/>
  <c r="AA774" i="28" s="1"/>
  <c r="Y602" i="28"/>
  <c r="Z602" i="28" s="1"/>
  <c r="AA602" i="28" s="1"/>
  <c r="Y521" i="28"/>
  <c r="Z521" i="28" s="1"/>
  <c r="AA521" i="28" s="1"/>
  <c r="Y950" i="28"/>
  <c r="Z950" i="28" s="1"/>
  <c r="AA950" i="28" s="1"/>
  <c r="Y512" i="28"/>
  <c r="Z512" i="28" s="1"/>
  <c r="AA512" i="28" s="1"/>
  <c r="Y578" i="28"/>
  <c r="Z578" i="28" s="1"/>
  <c r="AA578" i="28" s="1"/>
  <c r="Y884" i="28"/>
  <c r="Z884" i="28" s="1"/>
  <c r="AA884" i="28" s="1"/>
  <c r="Y595" i="28"/>
  <c r="Z595" i="28" s="1"/>
  <c r="AA595" i="28" s="1"/>
  <c r="Y713" i="28"/>
  <c r="Z713" i="28" s="1"/>
  <c r="AA713" i="28" s="1"/>
  <c r="Y458" i="28"/>
  <c r="Z458" i="28" s="1"/>
  <c r="AA458" i="28" s="1"/>
  <c r="Y624" i="28"/>
  <c r="Z624" i="28" s="1"/>
  <c r="AA624" i="28" s="1"/>
  <c r="Y690" i="28"/>
  <c r="Z690" i="28" s="1"/>
  <c r="AA690" i="28" s="1"/>
  <c r="Y994" i="28"/>
  <c r="Z994" i="28" s="1"/>
  <c r="AA994" i="28" s="1"/>
  <c r="Y779" i="28"/>
  <c r="Z779" i="28" s="1"/>
  <c r="AA779" i="28" s="1"/>
  <c r="Y930" i="28"/>
  <c r="Z930" i="28" s="1"/>
  <c r="AA930" i="28" s="1"/>
  <c r="Y532" i="28"/>
  <c r="Z532" i="28" s="1"/>
  <c r="AA532" i="28" s="1"/>
  <c r="Y893" i="28"/>
  <c r="Z893" i="28" s="1"/>
  <c r="AA893" i="28" s="1"/>
  <c r="Y966" i="28"/>
  <c r="Z966" i="28" s="1"/>
  <c r="AA966" i="28" s="1"/>
  <c r="Y965" i="28"/>
  <c r="Z965" i="28" s="1"/>
  <c r="AA965" i="28" s="1"/>
  <c r="Y841" i="28"/>
  <c r="Z841" i="28" s="1"/>
  <c r="AA841" i="28" s="1"/>
  <c r="Y814" i="28"/>
  <c r="Z814" i="28" s="1"/>
  <c r="AA814" i="28" s="1"/>
  <c r="Y528" i="28"/>
  <c r="Z528" i="28" s="1"/>
  <c r="AA528" i="28" s="1"/>
  <c r="Y670" i="28"/>
  <c r="Z670" i="28" s="1"/>
  <c r="AA670" i="28" s="1"/>
  <c r="Y633" i="28"/>
  <c r="Z633" i="28" s="1"/>
  <c r="AA633" i="28" s="1"/>
  <c r="Y579" i="28"/>
  <c r="Z579" i="28" s="1"/>
  <c r="AA579" i="28" s="1"/>
  <c r="Y683" i="28"/>
  <c r="Z683" i="28" s="1"/>
  <c r="AA683" i="28" s="1"/>
  <c r="Y899" i="28"/>
  <c r="Z899" i="28" s="1"/>
  <c r="AA899" i="28" s="1"/>
  <c r="Y724" i="28"/>
  <c r="Z724" i="28" s="1"/>
  <c r="AA724" i="28" s="1"/>
  <c r="Y820" i="28"/>
  <c r="Z820" i="28" s="1"/>
  <c r="AA820" i="28" s="1"/>
  <c r="Y760" i="28"/>
  <c r="Z760" i="28" s="1"/>
  <c r="AA760" i="28" s="1"/>
  <c r="Y984" i="28"/>
  <c r="Z984" i="28" s="1"/>
  <c r="AA984" i="28" s="1"/>
  <c r="Y798" i="28"/>
  <c r="Z798" i="28" s="1"/>
  <c r="AA798" i="28" s="1"/>
  <c r="Y721" i="28"/>
  <c r="Z721" i="28" s="1"/>
  <c r="AA721" i="28" s="1"/>
  <c r="Y628" i="28"/>
  <c r="Z628" i="28" s="1"/>
  <c r="AA628" i="28" s="1"/>
  <c r="Y491" i="28"/>
  <c r="Z491" i="28" s="1"/>
  <c r="AA491" i="28" s="1"/>
  <c r="Y998" i="28"/>
  <c r="Z998" i="28" s="1"/>
  <c r="AA998" i="28" s="1"/>
  <c r="Y580" i="28"/>
  <c r="Z580" i="28" s="1"/>
  <c r="AA580" i="28" s="1"/>
  <c r="Y871" i="28"/>
  <c r="Z871" i="28" s="1"/>
  <c r="AA871" i="28" s="1"/>
  <c r="Y432" i="28"/>
  <c r="Z432" i="28" s="1"/>
  <c r="AA432" i="28" s="1"/>
  <c r="Y614" i="28"/>
  <c r="Z614" i="28" s="1"/>
  <c r="AA614" i="28" s="1"/>
  <c r="Y983" i="28"/>
  <c r="Z983" i="28" s="1"/>
  <c r="AA983" i="28" s="1"/>
  <c r="Y538" i="28"/>
  <c r="Z538" i="28" s="1"/>
  <c r="AA538" i="28" s="1"/>
  <c r="Y849" i="28"/>
  <c r="Z849" i="28" s="1"/>
  <c r="AA849" i="28" s="1"/>
  <c r="Y981" i="28"/>
  <c r="Z981" i="28" s="1"/>
  <c r="AA981" i="28" s="1"/>
  <c r="Y829" i="28"/>
  <c r="Z829" i="28" s="1"/>
  <c r="AA829" i="28" s="1"/>
  <c r="Y581" i="28"/>
  <c r="Z581" i="28" s="1"/>
  <c r="AA581" i="28" s="1"/>
  <c r="Y784" i="28"/>
  <c r="Z784" i="28" s="1"/>
  <c r="AA784" i="28" s="1"/>
  <c r="Y648" i="28"/>
  <c r="Z648" i="28" s="1"/>
  <c r="AA648" i="28" s="1"/>
  <c r="Y819" i="28"/>
  <c r="Z819" i="28" s="1"/>
  <c r="AA819" i="28" s="1"/>
  <c r="Y599" i="28"/>
  <c r="Z599" i="28" s="1"/>
  <c r="AA599" i="28" s="1"/>
  <c r="Y958" i="28"/>
  <c r="Z958" i="28" s="1"/>
  <c r="AA958" i="28" s="1"/>
  <c r="Y485" i="28"/>
  <c r="Z485" i="28" s="1"/>
  <c r="AA485" i="28" s="1"/>
  <c r="Y700" i="28"/>
  <c r="Z700" i="28" s="1"/>
  <c r="AA700" i="28" s="1"/>
  <c r="Y482" i="28"/>
  <c r="Z482" i="28" s="1"/>
  <c r="AA482" i="28" s="1"/>
  <c r="Y977" i="28"/>
  <c r="Z977" i="28" s="1"/>
  <c r="AA977" i="28" s="1"/>
  <c r="Y952" i="28"/>
  <c r="Z952" i="28" s="1"/>
  <c r="AA952" i="28" s="1"/>
  <c r="Y801" i="28"/>
  <c r="Z801" i="28" s="1"/>
  <c r="AA801" i="28" s="1"/>
  <c r="Y826" i="28"/>
  <c r="Z826" i="28" s="1"/>
  <c r="AA826" i="28" s="1"/>
  <c r="Y1000" i="28"/>
  <c r="Z1000" i="28" s="1"/>
  <c r="AA1000" i="28" s="1"/>
  <c r="Y576" i="28"/>
  <c r="Z576" i="28" s="1"/>
  <c r="AA576" i="28" s="1"/>
  <c r="Y484" i="28"/>
  <c r="Z484" i="28" s="1"/>
  <c r="AA484" i="28" s="1"/>
  <c r="Y604" i="28"/>
  <c r="Z604" i="28" s="1"/>
  <c r="AA604" i="28" s="1"/>
  <c r="Y747" i="28"/>
  <c r="Z747" i="28" s="1"/>
  <c r="AA747" i="28" s="1"/>
  <c r="Y643" i="28"/>
  <c r="Z643" i="28" s="1"/>
  <c r="AA643" i="28" s="1"/>
  <c r="Y464" i="28"/>
  <c r="Z464" i="28" s="1"/>
  <c r="AA464" i="28" s="1"/>
  <c r="Y964" i="28"/>
  <c r="Z964" i="28" s="1"/>
  <c r="AA964" i="28" s="1"/>
  <c r="Y759" i="28"/>
  <c r="Z759" i="28" s="1"/>
  <c r="AA759" i="28" s="1"/>
  <c r="Y495" i="28"/>
  <c r="Z495" i="28" s="1"/>
  <c r="AA495" i="28" s="1"/>
  <c r="Y752" i="28"/>
  <c r="Z752" i="28" s="1"/>
  <c r="AA752" i="28" s="1"/>
  <c r="Y748" i="28"/>
  <c r="Z748" i="28" s="1"/>
  <c r="AA748" i="28" s="1"/>
  <c r="Y524" i="28"/>
  <c r="Z524" i="28" s="1"/>
  <c r="AA524" i="28" s="1"/>
  <c r="Y804" i="28"/>
  <c r="Z804" i="28" s="1"/>
  <c r="AA804" i="28" s="1"/>
  <c r="Y531" i="28"/>
  <c r="Z531" i="28" s="1"/>
  <c r="AA531" i="28" s="1"/>
  <c r="Y843" i="28"/>
  <c r="Z843" i="28" s="1"/>
  <c r="AA843" i="28" s="1"/>
  <c r="Y840" i="28"/>
  <c r="Z840" i="28" s="1"/>
  <c r="AA840" i="28" s="1"/>
  <c r="Y887" i="28"/>
  <c r="Z887" i="28" s="1"/>
  <c r="AA887" i="28" s="1"/>
  <c r="Y632" i="28"/>
  <c r="Z632" i="28" s="1"/>
  <c r="AA632" i="28" s="1"/>
  <c r="Y568" i="28"/>
  <c r="Z568" i="28" s="1"/>
  <c r="AA568" i="28" s="1"/>
  <c r="Y453" i="28"/>
  <c r="Z453" i="28" s="1"/>
  <c r="AA453" i="28" s="1"/>
  <c r="Y460" i="28"/>
  <c r="Z460" i="28" s="1"/>
  <c r="AA460" i="28" s="1"/>
  <c r="Y519" i="28"/>
  <c r="Z519" i="28" s="1"/>
  <c r="AA519" i="28" s="1"/>
  <c r="Y993" i="28"/>
  <c r="Z993" i="28" s="1"/>
  <c r="AA993" i="28" s="1"/>
  <c r="Y647" i="28"/>
  <c r="Z647" i="28" s="1"/>
  <c r="AA647" i="28" s="1"/>
  <c r="Y559" i="28"/>
  <c r="Z559" i="28" s="1"/>
  <c r="AA559" i="28" s="1"/>
  <c r="Y545" i="28"/>
  <c r="Z545" i="28" s="1"/>
  <c r="AA545" i="28" s="1"/>
  <c r="Y688" i="28"/>
  <c r="Z688" i="28" s="1"/>
  <c r="AA688" i="28" s="1"/>
  <c r="Y606" i="28"/>
  <c r="Z606" i="28" s="1"/>
  <c r="AA606" i="28" s="1"/>
  <c r="Y468" i="28"/>
  <c r="Z468" i="28" s="1"/>
  <c r="AA468" i="28" s="1"/>
  <c r="Y629" i="28"/>
  <c r="Z629" i="28" s="1"/>
  <c r="AA629" i="28" s="1"/>
  <c r="Y641" i="28"/>
  <c r="Z641" i="28" s="1"/>
  <c r="AA641" i="28" s="1"/>
  <c r="Y523" i="28"/>
  <c r="Z523" i="28" s="1"/>
  <c r="AA523" i="28" s="1"/>
  <c r="Y927" i="28"/>
  <c r="Z927" i="28" s="1"/>
  <c r="AA927" i="28" s="1"/>
  <c r="Y511" i="28"/>
  <c r="Z511" i="28" s="1"/>
  <c r="AA511" i="28" s="1"/>
  <c r="Y671" i="28"/>
  <c r="Z671" i="28" s="1"/>
  <c r="AA671" i="28" s="1"/>
  <c r="Y561" i="28"/>
  <c r="Z561" i="28" s="1"/>
  <c r="AA561" i="28" s="1"/>
  <c r="Y821" i="28"/>
  <c r="Z821" i="28" s="1"/>
  <c r="AA821" i="28" s="1"/>
  <c r="Y613" i="28"/>
  <c r="Z613" i="28" s="1"/>
  <c r="AA613" i="28" s="1"/>
  <c r="Y723" i="28"/>
  <c r="Z723" i="28" s="1"/>
  <c r="AA723" i="28" s="1"/>
  <c r="Y862" i="28"/>
  <c r="Z862" i="28" s="1"/>
  <c r="AA862" i="28" s="1"/>
  <c r="Y525" i="28"/>
  <c r="Z525" i="28" s="1"/>
  <c r="AA525" i="28" s="1"/>
  <c r="Y542" i="28"/>
  <c r="Z542" i="28" s="1"/>
  <c r="AA542" i="28" s="1"/>
  <c r="Y627" i="28"/>
  <c r="Z627" i="28" s="1"/>
  <c r="AA627" i="28" s="1"/>
  <c r="Y951" i="28"/>
  <c r="Z951" i="28" s="1"/>
  <c r="AA951" i="28" s="1"/>
  <c r="Y537" i="28"/>
  <c r="Z537" i="28" s="1"/>
  <c r="AA537" i="28" s="1"/>
  <c r="Y738" i="28"/>
  <c r="Z738" i="28" s="1"/>
  <c r="AA738" i="28" s="1"/>
  <c r="Y845" i="28"/>
  <c r="Z845" i="28" s="1"/>
  <c r="AA845" i="28" s="1"/>
  <c r="Y701" i="28"/>
  <c r="Z701" i="28" s="1"/>
  <c r="AA701" i="28" s="1"/>
  <c r="Y502" i="28"/>
  <c r="Z502" i="28" s="1"/>
  <c r="AA502" i="28" s="1"/>
  <c r="Y716" i="28"/>
  <c r="Z716" i="28" s="1"/>
  <c r="AA716" i="28" s="1"/>
  <c r="Y689" i="28"/>
  <c r="Z689" i="28" s="1"/>
  <c r="AA689" i="28" s="1"/>
  <c r="Y771" i="28"/>
  <c r="Z771" i="28" s="1"/>
  <c r="AA771" i="28" s="1"/>
  <c r="Y710" i="28"/>
  <c r="Z710" i="28" s="1"/>
  <c r="AA710" i="28" s="1"/>
  <c r="Y805" i="28"/>
  <c r="Z805" i="28" s="1"/>
  <c r="AA805" i="28" s="1"/>
  <c r="Y751" i="28"/>
  <c r="Z751" i="28" s="1"/>
  <c r="AA751" i="28" s="1"/>
  <c r="Y905" i="28"/>
  <c r="Z905" i="28" s="1"/>
  <c r="AA905" i="28" s="1"/>
  <c r="Y803" i="28"/>
  <c r="Z803" i="28" s="1"/>
  <c r="AA803" i="28" s="1"/>
  <c r="Y744" i="28"/>
  <c r="Z744" i="28" s="1"/>
  <c r="AA744" i="28" s="1"/>
  <c r="Y556" i="28"/>
  <c r="Z556" i="28" s="1"/>
  <c r="AA556" i="28" s="1"/>
  <c r="Y885" i="28"/>
  <c r="Z885" i="28" s="1"/>
  <c r="AA885" i="28" s="1"/>
  <c r="Y704" i="28"/>
  <c r="Z704" i="28" s="1"/>
  <c r="AA704" i="28" s="1"/>
  <c r="Y922" i="28"/>
  <c r="Z922" i="28" s="1"/>
  <c r="AA922" i="28" s="1"/>
  <c r="Y916" i="28"/>
  <c r="Z916" i="28" s="1"/>
  <c r="AA916" i="28" s="1"/>
  <c r="Y808" i="28"/>
  <c r="Z808" i="28" s="1"/>
  <c r="AA808" i="28" s="1"/>
  <c r="Y548" i="28"/>
  <c r="Z548" i="28" s="1"/>
  <c r="AA548" i="28" s="1"/>
  <c r="Y466" i="28"/>
  <c r="Z466" i="28" s="1"/>
  <c r="AA466" i="28" s="1"/>
  <c r="Y740" i="28"/>
  <c r="Z740" i="28" s="1"/>
  <c r="AA740" i="28" s="1"/>
  <c r="Y476" i="28"/>
  <c r="Z476" i="28" s="1"/>
  <c r="AA476" i="28" s="1"/>
  <c r="Y539" i="28"/>
  <c r="Z539" i="28" s="1"/>
  <c r="AA539" i="28" s="1"/>
  <c r="Y543" i="28"/>
  <c r="Z543" i="28" s="1"/>
  <c r="AA543" i="28" s="1"/>
  <c r="Y497" i="28"/>
  <c r="Z497" i="28" s="1"/>
  <c r="AA497" i="28" s="1"/>
  <c r="Y863" i="28"/>
  <c r="Z863" i="28" s="1"/>
  <c r="AA863" i="28" s="1"/>
  <c r="Y720" i="28"/>
  <c r="Z720" i="28" s="1"/>
  <c r="AA720" i="28" s="1"/>
  <c r="Y676" i="28"/>
  <c r="Z676" i="28" s="1"/>
  <c r="AA676" i="28" s="1"/>
  <c r="Y974" i="28"/>
  <c r="Z974" i="28" s="1"/>
  <c r="AA974" i="28" s="1"/>
  <c r="Y861" i="28"/>
  <c r="Z861" i="28" s="1"/>
  <c r="AA861" i="28" s="1"/>
  <c r="Y661" i="28"/>
  <c r="Z661" i="28" s="1"/>
  <c r="AA661" i="28" s="1"/>
  <c r="Y989" i="28"/>
  <c r="Z989" i="28" s="1"/>
  <c r="AA989" i="28" s="1"/>
  <c r="Y616" i="28"/>
  <c r="Z616" i="28" s="1"/>
  <c r="AA616" i="28" s="1"/>
  <c r="Y962" i="28"/>
  <c r="Z962" i="28" s="1"/>
  <c r="AA962" i="28" s="1"/>
  <c r="Y678" i="28"/>
  <c r="Z678" i="28" s="1"/>
  <c r="AA678" i="28" s="1"/>
  <c r="Y566" i="28"/>
  <c r="Z566" i="28" s="1"/>
  <c r="AA566" i="28" s="1"/>
  <c r="Y659" i="28"/>
  <c r="Z659" i="28" s="1"/>
  <c r="AA659" i="28" s="1"/>
  <c r="Y697" i="28"/>
  <c r="Z697" i="28" s="1"/>
  <c r="AA697" i="28" s="1"/>
  <c r="Y555" i="28"/>
  <c r="Z555" i="28" s="1"/>
  <c r="AA555" i="28" s="1"/>
  <c r="Y533" i="28"/>
  <c r="Z533" i="28" s="1"/>
  <c r="AA533" i="28" s="1"/>
  <c r="Y985" i="28"/>
  <c r="Z985" i="28" s="1"/>
  <c r="AA985" i="28" s="1"/>
  <c r="Y608" i="28"/>
  <c r="Z608" i="28" s="1"/>
  <c r="AA608" i="28" s="1"/>
  <c r="Y554" i="28"/>
  <c r="Z554" i="28" s="1"/>
  <c r="AA554" i="28" s="1"/>
  <c r="Y590" i="28"/>
  <c r="Z590" i="28" s="1"/>
  <c r="AA590" i="28" s="1"/>
  <c r="Y673" i="28"/>
  <c r="Z673" i="28" s="1"/>
  <c r="AA673" i="28" s="1"/>
  <c r="Y563" i="28"/>
  <c r="Z563" i="28" s="1"/>
  <c r="AA563" i="28" s="1"/>
  <c r="Y975" i="28"/>
  <c r="Z975" i="28" s="1"/>
  <c r="AA975" i="28" s="1"/>
  <c r="Y996" i="28"/>
  <c r="Z996" i="28" s="1"/>
  <c r="AA996" i="28" s="1"/>
  <c r="Y877" i="28"/>
  <c r="Z877" i="28" s="1"/>
  <c r="AA877" i="28" s="1"/>
  <c r="Y445" i="28"/>
  <c r="Z445" i="28" s="1"/>
  <c r="AA445" i="28" s="1"/>
  <c r="Y741" i="28"/>
  <c r="Z741" i="28" s="1"/>
  <c r="AA741" i="28" s="1"/>
  <c r="Y470" i="28"/>
  <c r="Z470" i="28" s="1"/>
  <c r="AA470" i="28" s="1"/>
  <c r="Y923" i="28"/>
  <c r="Z923" i="28" s="1"/>
  <c r="AA923" i="28" s="1"/>
  <c r="Y903" i="28"/>
  <c r="Z903" i="28" s="1"/>
  <c r="AA903" i="28" s="1"/>
  <c r="Y692" i="28"/>
  <c r="Z692" i="28" s="1"/>
  <c r="AA692" i="28" s="1"/>
  <c r="Y772" i="28"/>
  <c r="Z772" i="28" s="1"/>
  <c r="AA772" i="28" s="1"/>
  <c r="Y732" i="28"/>
  <c r="Z732" i="28" s="1"/>
  <c r="AA732" i="28" s="1"/>
  <c r="Y910" i="28"/>
  <c r="Z910" i="28" s="1"/>
  <c r="AA910" i="28" s="1"/>
  <c r="Y807" i="28"/>
  <c r="Z807" i="28" s="1"/>
  <c r="AA807" i="28" s="1"/>
  <c r="Y906" i="28"/>
  <c r="Z906" i="28" s="1"/>
  <c r="AA906" i="28" s="1"/>
  <c r="Y584" i="28"/>
  <c r="Z584" i="28" s="1"/>
  <c r="AA584" i="28" s="1"/>
  <c r="Y503" i="28"/>
  <c r="Z503" i="28" s="1"/>
  <c r="AA503" i="28" s="1"/>
  <c r="Y955" i="28"/>
  <c r="Z955" i="28" s="1"/>
  <c r="AA955" i="28" s="1"/>
  <c r="Y596" i="28"/>
  <c r="Z596" i="28" s="1"/>
  <c r="AA596" i="28" s="1"/>
  <c r="Y789" i="28"/>
  <c r="Z789" i="28" s="1"/>
  <c r="AA789" i="28" s="1"/>
  <c r="Y668" i="28"/>
  <c r="Z668" i="28" s="1"/>
  <c r="AA668" i="28" s="1"/>
  <c r="Y494" i="28"/>
  <c r="Z494" i="28" s="1"/>
  <c r="AA494" i="28" s="1"/>
  <c r="Y839" i="28"/>
  <c r="Z839" i="28" s="1"/>
  <c r="AA839" i="28" s="1"/>
  <c r="Y598" i="28"/>
  <c r="Z598" i="28" s="1"/>
  <c r="AA598" i="28" s="1"/>
  <c r="Y727" i="28"/>
  <c r="Z727" i="28" s="1"/>
  <c r="AA727" i="28" s="1"/>
  <c r="Y442" i="28"/>
  <c r="Z442" i="28" s="1"/>
  <c r="AA442" i="28" s="1"/>
  <c r="Y866" i="28"/>
  <c r="Z866" i="28" s="1"/>
  <c r="AA866" i="28" s="1"/>
  <c r="Y500" i="28"/>
  <c r="Z500" i="28" s="1"/>
  <c r="AA500" i="28" s="1"/>
  <c r="Y601" i="28"/>
  <c r="Z601" i="28" s="1"/>
  <c r="AA601" i="28" s="1"/>
  <c r="Y693" i="28"/>
  <c r="Z693" i="28" s="1"/>
  <c r="AA693" i="28" s="1"/>
  <c r="Y880" i="28"/>
  <c r="Z880" i="28" s="1"/>
  <c r="AA880" i="28" s="1"/>
  <c r="Y947" i="28"/>
  <c r="Z947" i="28" s="1"/>
  <c r="AA947" i="28" s="1"/>
  <c r="Y705" i="28"/>
  <c r="Z705" i="28" s="1"/>
  <c r="AA705" i="28" s="1"/>
  <c r="Y504" i="28"/>
  <c r="Z504" i="28" s="1"/>
  <c r="AA504" i="28" s="1"/>
  <c r="Y611" i="28"/>
  <c r="Z611" i="28" s="1"/>
  <c r="AA611" i="28" s="1"/>
  <c r="Y1001" i="28"/>
  <c r="Z1001" i="28" s="1"/>
  <c r="AA1001" i="28" s="1"/>
  <c r="Y436" i="28"/>
  <c r="Z436" i="28" s="1"/>
  <c r="AA436" i="28" s="1"/>
  <c r="Y836" i="28"/>
  <c r="Z836" i="28" s="1"/>
  <c r="AA836" i="28" s="1"/>
  <c r="Y637" i="28"/>
  <c r="Z637" i="28" s="1"/>
  <c r="AA637" i="28" s="1"/>
  <c r="Y924" i="28"/>
  <c r="Z924" i="28" s="1"/>
  <c r="AA924" i="28" s="1"/>
  <c r="Y488" i="28"/>
  <c r="Z488" i="28" s="1"/>
  <c r="AA488" i="28" s="1"/>
  <c r="Y562" i="28"/>
  <c r="Z562" i="28" s="1"/>
  <c r="AA562" i="28" s="1"/>
  <c r="Y756" i="28"/>
  <c r="Z756" i="28" s="1"/>
  <c r="AA756" i="28" s="1"/>
  <c r="Y547" i="28"/>
  <c r="Z547" i="28" s="1"/>
  <c r="AA547" i="28" s="1"/>
  <c r="Y830" i="28"/>
  <c r="Z830" i="28" s="1"/>
  <c r="AA830" i="28" s="1"/>
  <c r="Y708" i="28"/>
  <c r="Z708" i="28" s="1"/>
  <c r="AA708" i="28" s="1"/>
  <c r="Y914" i="28"/>
  <c r="Z914" i="28" s="1"/>
  <c r="AA914" i="28" s="1"/>
  <c r="Y793" i="28"/>
  <c r="Z793" i="28" s="1"/>
  <c r="AA793" i="28" s="1"/>
  <c r="Y832" i="28"/>
  <c r="Z832" i="28" s="1"/>
  <c r="AA832" i="28" s="1"/>
  <c r="Y813" i="28"/>
  <c r="Z813" i="28" s="1"/>
  <c r="AA813" i="28" s="1"/>
  <c r="Y895" i="28"/>
  <c r="Z895" i="28" s="1"/>
  <c r="AA895" i="28" s="1"/>
  <c r="Y615" i="28"/>
  <c r="Z615" i="28" s="1"/>
  <c r="AA615" i="28" s="1"/>
  <c r="Y842" i="28"/>
  <c r="Z842" i="28" s="1"/>
  <c r="AA842" i="28" s="1"/>
  <c r="Y856" i="28"/>
  <c r="Z856" i="28" s="1"/>
  <c r="AA856" i="28" s="1"/>
  <c r="Y945" i="28"/>
  <c r="Z945" i="28" s="1"/>
  <c r="AA945" i="28" s="1"/>
  <c r="Y514" i="28"/>
  <c r="Z514" i="28" s="1"/>
  <c r="AA514" i="28" s="1"/>
  <c r="Y570" i="28"/>
  <c r="Z570" i="28" s="1"/>
  <c r="AA570" i="28" s="1"/>
  <c r="Y956" i="28"/>
  <c r="Z956" i="28" s="1"/>
  <c r="AA956" i="28" s="1"/>
  <c r="Y619" i="28"/>
  <c r="Z619" i="28" s="1"/>
  <c r="AA619" i="28" s="1"/>
  <c r="Y959" i="28"/>
  <c r="Z959" i="28" s="1"/>
  <c r="AA959" i="28" s="1"/>
  <c r="Y571" i="28"/>
  <c r="Z571" i="28" s="1"/>
  <c r="AA571" i="28" s="1"/>
  <c r="Y739" i="28"/>
  <c r="Z739" i="28" s="1"/>
  <c r="AA739" i="28" s="1"/>
  <c r="Y467" i="28"/>
  <c r="Z467" i="28" s="1"/>
  <c r="AA467" i="28" s="1"/>
  <c r="Y909" i="28"/>
  <c r="Z909" i="28" s="1"/>
  <c r="AA909" i="28" s="1"/>
  <c r="Y946" i="28"/>
  <c r="Z946" i="28" s="1"/>
  <c r="AA946" i="28" s="1"/>
  <c r="Y860" i="28"/>
  <c r="Z860" i="28" s="1"/>
  <c r="AA860" i="28" s="1"/>
  <c r="Y876" i="28"/>
  <c r="Z876" i="28" s="1"/>
  <c r="AA876" i="28" s="1"/>
  <c r="Y888" i="28"/>
  <c r="Z888" i="28" s="1"/>
  <c r="AA888" i="28" s="1"/>
  <c r="Y990" i="28"/>
  <c r="Z990" i="28" s="1"/>
  <c r="AA990" i="28" s="1"/>
  <c r="Y997" i="28"/>
  <c r="Z997" i="28" s="1"/>
  <c r="AA997" i="28" s="1"/>
  <c r="Y459" i="28"/>
  <c r="Z459" i="28" s="1"/>
  <c r="AA459" i="28" s="1"/>
  <c r="Y794" i="28"/>
  <c r="Z794" i="28" s="1"/>
  <c r="AA794" i="28" s="1"/>
  <c r="Y707" i="28"/>
  <c r="Z707" i="28" s="1"/>
  <c r="AA707" i="28" s="1"/>
  <c r="Y586" i="28"/>
  <c r="Z586" i="28" s="1"/>
  <c r="AA586" i="28" s="1"/>
  <c r="Y976" i="28"/>
  <c r="Z976" i="28" s="1"/>
  <c r="AA976" i="28" s="1"/>
  <c r="Y972" i="28"/>
  <c r="Z972" i="28" s="1"/>
  <c r="AA972" i="28" s="1"/>
  <c r="Y535" i="28"/>
  <c r="Z535" i="28" s="1"/>
  <c r="AA535" i="28" s="1"/>
  <c r="Y828" i="28"/>
  <c r="Z828" i="28" s="1"/>
  <c r="AA828" i="28" s="1"/>
  <c r="Y735" i="28"/>
  <c r="Z735" i="28" s="1"/>
  <c r="AA735" i="28" s="1"/>
  <c r="Y971" i="28"/>
  <c r="Z971" i="28" s="1"/>
  <c r="AA971" i="28" s="1"/>
  <c r="Y915" i="28"/>
  <c r="Z915" i="28" s="1"/>
  <c r="AA915" i="28" s="1"/>
  <c r="Y515" i="28"/>
  <c r="Z515" i="28" s="1"/>
  <c r="AA515" i="28" s="1"/>
  <c r="Y456" i="28"/>
  <c r="Z456" i="28" s="1"/>
  <c r="AA456" i="28" s="1"/>
  <c r="Y834" i="28"/>
  <c r="Z834" i="28" s="1"/>
  <c r="AA834" i="28" s="1"/>
  <c r="Y943" i="28"/>
  <c r="Z943" i="28" s="1"/>
  <c r="AA943" i="28" s="1"/>
  <c r="Y988" i="28"/>
  <c r="Z988" i="28" s="1"/>
  <c r="AA988" i="28" s="1"/>
  <c r="Y825" i="28"/>
  <c r="Z825" i="28" s="1"/>
  <c r="AA825" i="28" s="1"/>
  <c r="Y477" i="28"/>
  <c r="Z477" i="28" s="1"/>
  <c r="AA477" i="28" s="1"/>
  <c r="Y645" i="28"/>
  <c r="Z645" i="28" s="1"/>
  <c r="AA645" i="28" s="1"/>
  <c r="Y541" i="28"/>
  <c r="Z541" i="28" s="1"/>
  <c r="AA541" i="28" s="1"/>
  <c r="Y684" i="28"/>
  <c r="Z684" i="28" s="1"/>
  <c r="AA684" i="28" s="1"/>
  <c r="Y796" i="28"/>
  <c r="Z796" i="28" s="1"/>
  <c r="AA796" i="28" s="1"/>
  <c r="Y844" i="28"/>
  <c r="Z844" i="28" s="1"/>
  <c r="AA844" i="28" s="1"/>
  <c r="Y852" i="28"/>
  <c r="Z852" i="28" s="1"/>
  <c r="AA852" i="28" s="1"/>
  <c r="Y574" i="28"/>
  <c r="Z574" i="28" s="1"/>
  <c r="AA574" i="28" s="1"/>
  <c r="Y780" i="28"/>
  <c r="Z780" i="28" s="1"/>
  <c r="AA780" i="28" s="1"/>
  <c r="Y465" i="28"/>
  <c r="Z465" i="28" s="1"/>
  <c r="AA465" i="28" s="1"/>
  <c r="Y490" i="28"/>
  <c r="Z490" i="28" s="1"/>
  <c r="AA490" i="28" s="1"/>
  <c r="Y461" i="28"/>
  <c r="Z461" i="28" s="1"/>
  <c r="AA461" i="28" s="1"/>
  <c r="Y437" i="28"/>
  <c r="Z437" i="28" s="1"/>
  <c r="AA437" i="28" s="1"/>
  <c r="Y520" i="28"/>
  <c r="Z520" i="28" s="1"/>
  <c r="AA520" i="28" s="1"/>
  <c r="Y879" i="28"/>
  <c r="Z879" i="28" s="1"/>
  <c r="AA879" i="28" s="1"/>
  <c r="Y3" i="28"/>
  <c r="Y424" i="28"/>
  <c r="Y277" i="28"/>
  <c r="Y51" i="28"/>
  <c r="Y419" i="28"/>
  <c r="Y296" i="28"/>
  <c r="Y352" i="28"/>
  <c r="Y298" i="28"/>
  <c r="Y169" i="28"/>
  <c r="Y26" i="28"/>
  <c r="Y38" i="28"/>
  <c r="Y299" i="28"/>
  <c r="Y84" i="28"/>
  <c r="Y63" i="28"/>
  <c r="Y85" i="28"/>
  <c r="Y155" i="28"/>
  <c r="Y297" i="28"/>
  <c r="Y52" i="28"/>
  <c r="Y122" i="28"/>
  <c r="Y224" i="28"/>
  <c r="Y43" i="28"/>
  <c r="X293" i="28"/>
  <c r="Y97" i="28"/>
  <c r="Y32" i="28"/>
  <c r="AB302" i="28"/>
  <c r="Y302" i="28"/>
  <c r="Y294" i="28"/>
  <c r="Y107" i="28"/>
  <c r="Y295" i="28"/>
  <c r="Y213" i="28"/>
  <c r="Y309" i="28"/>
  <c r="Y58" i="28"/>
  <c r="Y128" i="28"/>
  <c r="Y130" i="28"/>
  <c r="X115" i="28"/>
  <c r="X303" i="28"/>
  <c r="Y292" i="28"/>
  <c r="Y165" i="28"/>
  <c r="Y141" i="28"/>
  <c r="Y293" i="28"/>
  <c r="Y323" i="28"/>
  <c r="Y67" i="28"/>
  <c r="Y168" i="28"/>
  <c r="Y126" i="28"/>
  <c r="Y54" i="28"/>
  <c r="Y113" i="28"/>
  <c r="X297" i="28"/>
  <c r="X296" i="28"/>
  <c r="X299" i="28"/>
  <c r="X298" i="28"/>
  <c r="Y77" i="28"/>
  <c r="Y162" i="28"/>
  <c r="Y40" i="28"/>
  <c r="Y21" i="28"/>
  <c r="Y287" i="28"/>
  <c r="Y60" i="28"/>
  <c r="Y66" i="28"/>
  <c r="Y236" i="28"/>
  <c r="X294" i="28"/>
  <c r="Z294" i="28" s="1"/>
  <c r="X295" i="28"/>
  <c r="X292" i="28"/>
  <c r="Z292" i="28" s="1"/>
  <c r="Y42" i="28"/>
  <c r="Y33" i="28"/>
  <c r="Y74" i="28"/>
  <c r="Y401" i="28"/>
  <c r="Y121" i="28"/>
  <c r="Y76" i="28"/>
  <c r="Y89" i="28"/>
  <c r="Y163" i="28"/>
  <c r="Y164" i="28"/>
  <c r="Y87" i="28"/>
  <c r="Y88" i="28"/>
  <c r="Y86" i="28"/>
  <c r="Y109" i="28"/>
  <c r="Y134" i="28"/>
  <c r="X300" i="28"/>
  <c r="Y90" i="28"/>
  <c r="X302" i="28"/>
  <c r="Y117" i="28"/>
  <c r="Y96" i="28"/>
  <c r="X301" i="28"/>
  <c r="Y100" i="28"/>
  <c r="Y98" i="28"/>
  <c r="Y129" i="28"/>
  <c r="Y131" i="28"/>
  <c r="Y174" i="28"/>
  <c r="Y61" i="28"/>
  <c r="Y115" i="28"/>
  <c r="Y59" i="28"/>
  <c r="Y111" i="28"/>
  <c r="Y118" i="28"/>
  <c r="Y170" i="28"/>
  <c r="Y171" i="28"/>
  <c r="Y45" i="28"/>
  <c r="Y119" i="28"/>
  <c r="Y46" i="28"/>
  <c r="Y116" i="28"/>
  <c r="Y114" i="28"/>
  <c r="Y177" i="28"/>
  <c r="Y203" i="28"/>
  <c r="Y44" i="28"/>
  <c r="Y178" i="28"/>
  <c r="Y176" i="28"/>
  <c r="Y8" i="28"/>
  <c r="Y31" i="28"/>
  <c r="Y10" i="28"/>
  <c r="Y261" i="28"/>
  <c r="Y149" i="28"/>
  <c r="Y366" i="28"/>
  <c r="Y300" i="28"/>
  <c r="Y367" i="28"/>
  <c r="Y301" i="28"/>
  <c r="Y422" i="28"/>
  <c r="Y303" i="28"/>
  <c r="Y30" i="28"/>
  <c r="Y35" i="28"/>
  <c r="Y207" i="28"/>
  <c r="Y94" i="28"/>
  <c r="Y71" i="28"/>
  <c r="X117" i="28"/>
  <c r="Y166" i="28"/>
  <c r="Y167" i="28"/>
  <c r="Y48" i="28"/>
  <c r="Y47" i="28"/>
  <c r="Y70" i="28"/>
  <c r="Y262" i="28"/>
  <c r="X116" i="28"/>
  <c r="Y68" i="28"/>
  <c r="X118" i="28"/>
  <c r="Y69" i="28"/>
  <c r="X28" i="28"/>
  <c r="Z28" i="28" s="1"/>
  <c r="X73" i="28"/>
  <c r="Z73" i="28" s="1"/>
  <c r="X266" i="28"/>
  <c r="Y250" i="28"/>
  <c r="I17" i="14"/>
  <c r="B158" i="14"/>
  <c r="F158" i="14"/>
  <c r="I158" i="14"/>
  <c r="G158" i="14"/>
  <c r="H158" i="14"/>
  <c r="D158" i="14"/>
  <c r="C158" i="14"/>
  <c r="E158" i="14"/>
  <c r="J158" i="14"/>
  <c r="K158" i="14"/>
  <c r="E17" i="14"/>
  <c r="I210" i="14"/>
  <c r="E210" i="14"/>
  <c r="B210" i="14"/>
  <c r="C210" i="14"/>
  <c r="D210" i="14"/>
  <c r="H210" i="14"/>
  <c r="F210" i="14"/>
  <c r="G210" i="14"/>
  <c r="J210" i="14"/>
  <c r="K210" i="14"/>
  <c r="B17" i="14"/>
  <c r="E133" i="14"/>
  <c r="B133" i="14"/>
  <c r="D133" i="14"/>
  <c r="C133" i="14"/>
  <c r="H133" i="14"/>
  <c r="F133" i="14"/>
  <c r="I133" i="14"/>
  <c r="G133" i="14"/>
  <c r="J133" i="14"/>
  <c r="K133" i="14"/>
  <c r="I85" i="11"/>
  <c r="C85" i="11"/>
  <c r="I59" i="11"/>
  <c r="I19" i="11" s="1"/>
  <c r="D85" i="11"/>
  <c r="G59" i="11"/>
  <c r="G19" i="11" s="1"/>
  <c r="F59" i="11"/>
  <c r="F19" i="11" s="1"/>
  <c r="C59" i="11"/>
  <c r="C19" i="11" s="1"/>
  <c r="E59" i="11"/>
  <c r="E19" i="11" s="1"/>
  <c r="D59" i="11"/>
  <c r="D19" i="11" s="1"/>
  <c r="K85" i="11"/>
  <c r="E85" i="11"/>
  <c r="J59" i="11"/>
  <c r="J19" i="11" s="1"/>
  <c r="F85" i="11"/>
  <c r="G85" i="11"/>
  <c r="B85" i="11"/>
  <c r="H59" i="11"/>
  <c r="H19" i="11" s="1"/>
  <c r="H85" i="11"/>
  <c r="K59" i="11"/>
  <c r="K19" i="11" s="1"/>
  <c r="B59" i="11"/>
  <c r="B19" i="11" s="1"/>
  <c r="J85" i="11"/>
  <c r="H17" i="14"/>
  <c r="A237" i="14"/>
  <c r="A84" i="14"/>
  <c r="A211" i="14"/>
  <c r="A59" i="14"/>
  <c r="A185" i="14"/>
  <c r="A134" i="14"/>
  <c r="A159" i="14"/>
  <c r="A109" i="14"/>
  <c r="A20" i="14"/>
  <c r="F17" i="14"/>
  <c r="H236" i="14"/>
  <c r="F236" i="14"/>
  <c r="G236" i="14"/>
  <c r="C236" i="14"/>
  <c r="D236" i="14"/>
  <c r="E236" i="14"/>
  <c r="B236" i="14"/>
  <c r="I236" i="14"/>
  <c r="J236" i="14"/>
  <c r="K236" i="14"/>
  <c r="A60" i="11"/>
  <c r="A86" i="11"/>
  <c r="A21" i="11"/>
  <c r="D17" i="14"/>
  <c r="H58" i="14"/>
  <c r="C58" i="14"/>
  <c r="B58" i="14"/>
  <c r="E58" i="14"/>
  <c r="D58" i="14"/>
  <c r="I58" i="14"/>
  <c r="F58" i="14"/>
  <c r="G58" i="14"/>
  <c r="J58" i="14"/>
  <c r="K58" i="14"/>
  <c r="C17" i="14"/>
  <c r="G184" i="14"/>
  <c r="H184" i="14"/>
  <c r="D184" i="14"/>
  <c r="C184" i="14"/>
  <c r="I184" i="14"/>
  <c r="E184" i="14"/>
  <c r="B184" i="14"/>
  <c r="F184" i="14"/>
  <c r="J184" i="14"/>
  <c r="K184" i="14"/>
  <c r="J17" i="14"/>
  <c r="G17" i="14"/>
  <c r="D83" i="14"/>
  <c r="E83" i="14"/>
  <c r="H83" i="14"/>
  <c r="B83" i="14"/>
  <c r="C83" i="14"/>
  <c r="I83" i="14"/>
  <c r="F83" i="14"/>
  <c r="G83" i="14"/>
  <c r="J83" i="14"/>
  <c r="K83" i="14"/>
  <c r="H108" i="14"/>
  <c r="E108" i="14"/>
  <c r="C108" i="14"/>
  <c r="D108" i="14"/>
  <c r="B108" i="14"/>
  <c r="F108" i="14"/>
  <c r="G108" i="14"/>
  <c r="I108" i="14"/>
  <c r="J108" i="14"/>
  <c r="K108" i="14"/>
  <c r="B87" i="17"/>
  <c r="C87" i="17"/>
  <c r="D87" i="17"/>
  <c r="E87" i="17"/>
  <c r="F87" i="17"/>
  <c r="G87" i="17"/>
  <c r="H87" i="17"/>
  <c r="I87" i="17"/>
  <c r="J87" i="17"/>
  <c r="J16" i="2"/>
  <c r="B16" i="2"/>
  <c r="F67" i="16"/>
  <c r="H67" i="16"/>
  <c r="B67" i="16"/>
  <c r="G67" i="16"/>
  <c r="E67" i="16"/>
  <c r="C67" i="16"/>
  <c r="I67" i="16"/>
  <c r="J67" i="16"/>
  <c r="D67" i="16"/>
  <c r="S22" i="12"/>
  <c r="S44" i="12"/>
  <c r="I16" i="2"/>
  <c r="H16" i="2"/>
  <c r="B62" i="17"/>
  <c r="D62" i="17"/>
  <c r="C62" i="17"/>
  <c r="E62" i="17"/>
  <c r="F62" i="17"/>
  <c r="G62" i="17"/>
  <c r="H62" i="17"/>
  <c r="I62" i="17"/>
  <c r="J62" i="17"/>
  <c r="G16" i="2"/>
  <c r="B111" i="2"/>
  <c r="C111" i="2"/>
  <c r="D111" i="2"/>
  <c r="E111" i="2"/>
  <c r="E85" i="2"/>
  <c r="E137" i="2"/>
  <c r="C85" i="2"/>
  <c r="B85" i="2"/>
  <c r="F137" i="2"/>
  <c r="B137" i="2"/>
  <c r="C137" i="2"/>
  <c r="D137" i="2"/>
  <c r="D85" i="2"/>
  <c r="F85" i="2"/>
  <c r="F111" i="2"/>
  <c r="G111" i="2"/>
  <c r="G137" i="2"/>
  <c r="G85" i="2"/>
  <c r="H85" i="2"/>
  <c r="H137" i="2"/>
  <c r="H111" i="2"/>
  <c r="I137" i="2"/>
  <c r="I111" i="2"/>
  <c r="I85" i="2"/>
  <c r="J137" i="2"/>
  <c r="J85" i="2"/>
  <c r="J111" i="2"/>
  <c r="K137" i="2"/>
  <c r="K111" i="2"/>
  <c r="K85" i="2"/>
  <c r="C16" i="2"/>
  <c r="E94" i="16"/>
  <c r="B94" i="16"/>
  <c r="D94" i="16"/>
  <c r="I94" i="16"/>
  <c r="F94" i="16"/>
  <c r="C94" i="16"/>
  <c r="H94" i="16"/>
  <c r="J94" i="16"/>
  <c r="G94" i="16"/>
  <c r="D60" i="2"/>
  <c r="E60" i="2"/>
  <c r="C60" i="2"/>
  <c r="F60" i="2"/>
  <c r="B60" i="2"/>
  <c r="G60" i="2"/>
  <c r="H60" i="2"/>
  <c r="I60" i="2"/>
  <c r="I17" i="2" s="1"/>
  <c r="J60" i="2"/>
  <c r="K60" i="2"/>
  <c r="E16" i="2"/>
  <c r="X27" i="28"/>
  <c r="K87" i="17"/>
  <c r="C113" i="17"/>
  <c r="B113" i="17"/>
  <c r="D113" i="17"/>
  <c r="E113" i="17"/>
  <c r="F113" i="17"/>
  <c r="G113" i="17"/>
  <c r="H113" i="17"/>
  <c r="I113" i="17"/>
  <c r="J113" i="17"/>
  <c r="D16" i="2"/>
  <c r="I120" i="16"/>
  <c r="D120" i="16"/>
  <c r="H120" i="16"/>
  <c r="C120" i="16"/>
  <c r="J120" i="16"/>
  <c r="F120" i="16"/>
  <c r="E120" i="16"/>
  <c r="B120" i="16"/>
  <c r="G120" i="16"/>
  <c r="A88" i="17"/>
  <c r="A63" i="17"/>
  <c r="A21" i="17"/>
  <c r="A114" i="17"/>
  <c r="A167" i="17"/>
  <c r="A140" i="17"/>
  <c r="A138" i="2"/>
  <c r="A86" i="2"/>
  <c r="A112" i="2"/>
  <c r="A61" i="2"/>
  <c r="A19" i="2"/>
  <c r="K16" i="2"/>
  <c r="F16" i="2"/>
  <c r="A174" i="16"/>
  <c r="A68" i="16"/>
  <c r="A147" i="16"/>
  <c r="A121" i="16"/>
  <c r="A95" i="16"/>
  <c r="A25" i="16"/>
  <c r="Y29" i="28"/>
  <c r="Y27" i="28"/>
  <c r="X29" i="28"/>
  <c r="X227" i="28"/>
  <c r="Y13" i="28"/>
  <c r="X12" i="28"/>
  <c r="Y11" i="28"/>
  <c r="Y363" i="28"/>
  <c r="Y125" i="28"/>
  <c r="X119" i="28"/>
  <c r="X13" i="28"/>
  <c r="Y361" i="28"/>
  <c r="Y12" i="28"/>
  <c r="Y120" i="28"/>
  <c r="Y362" i="28"/>
  <c r="Y360" i="28"/>
  <c r="Y14" i="28"/>
  <c r="X11" i="28"/>
  <c r="X14" i="28"/>
  <c r="Y25" i="28"/>
  <c r="Y124" i="28"/>
  <c r="Y208" i="28"/>
  <c r="Y123" i="28"/>
  <c r="X140" i="28"/>
  <c r="X5" i="28"/>
  <c r="X370" i="28"/>
  <c r="Z370" i="28" s="1"/>
  <c r="X114" i="28"/>
  <c r="Z114" i="28" s="1"/>
  <c r="Y267" i="28"/>
  <c r="Y193" i="28"/>
  <c r="Y265" i="28"/>
  <c r="Y283" i="28"/>
  <c r="Y280" i="28"/>
  <c r="Y217" i="28"/>
  <c r="Y258" i="28"/>
  <c r="Y221" i="28"/>
  <c r="X289" i="28"/>
  <c r="X288" i="28"/>
  <c r="X291" i="28"/>
  <c r="X290" i="28"/>
  <c r="Y291" i="28"/>
  <c r="Y288" i="28"/>
  <c r="Y290" i="28"/>
  <c r="Y289" i="28"/>
  <c r="X77" i="28"/>
  <c r="Y146" i="28"/>
  <c r="Y147" i="28"/>
  <c r="Y7" i="28"/>
  <c r="Y41" i="28"/>
  <c r="Y354" i="28"/>
  <c r="Y396" i="28"/>
  <c r="Y355" i="28"/>
  <c r="Y314" i="28"/>
  <c r="Y39" i="28"/>
  <c r="Y241" i="28"/>
  <c r="Y229" i="28"/>
  <c r="Y336" i="28"/>
  <c r="Y279" i="28"/>
  <c r="Y334" i="28"/>
  <c r="Y417" i="28"/>
  <c r="Y381" i="28"/>
  <c r="Y189" i="28"/>
  <c r="Y228" i="28"/>
  <c r="Y225" i="28"/>
  <c r="Y235" i="28"/>
  <c r="Y191" i="28"/>
  <c r="Y192" i="28"/>
  <c r="Y198" i="28"/>
  <c r="Y264" i="28"/>
  <c r="Y263" i="28"/>
  <c r="Y348" i="28"/>
  <c r="Y349" i="28"/>
  <c r="Y194" i="28"/>
  <c r="Y232" i="28"/>
  <c r="Y350" i="28"/>
  <c r="Y234" i="28"/>
  <c r="Y331" i="28"/>
  <c r="Y196" i="28"/>
  <c r="Y237" i="28"/>
  <c r="Y231" i="28"/>
  <c r="Y259" i="28"/>
  <c r="Y351" i="28"/>
  <c r="Y233" i="28"/>
  <c r="Y374" i="28"/>
  <c r="Y201" i="28"/>
  <c r="Y209" i="28"/>
  <c r="Y242" i="28"/>
  <c r="Y372" i="28"/>
  <c r="Y391" i="28"/>
  <c r="X340" i="28"/>
  <c r="X101" i="28"/>
  <c r="X245" i="28"/>
  <c r="X57" i="28"/>
  <c r="X420" i="28"/>
  <c r="X391" i="28"/>
  <c r="X345" i="28"/>
  <c r="X24" i="28"/>
  <c r="X312" i="28"/>
  <c r="X405" i="28"/>
  <c r="X316" i="28"/>
  <c r="X248" i="28"/>
  <c r="X333" i="28"/>
  <c r="X367" i="28"/>
  <c r="X374" i="28"/>
  <c r="X185" i="28"/>
  <c r="X133" i="28"/>
  <c r="X206" i="28"/>
  <c r="X411" i="28"/>
  <c r="X219" i="28"/>
  <c r="X19" i="28"/>
  <c r="X275" i="28"/>
  <c r="X211" i="28"/>
  <c r="X194" i="28"/>
  <c r="X105" i="28"/>
  <c r="X424" i="28"/>
  <c r="Z424" i="28" s="1"/>
  <c r="X173" i="28"/>
  <c r="X78" i="28"/>
  <c r="X142" i="28"/>
  <c r="X8" i="28"/>
  <c r="Y15" i="28"/>
  <c r="Y205" i="28"/>
  <c r="Y99" i="28"/>
  <c r="Y319" i="28"/>
  <c r="Y103" i="28"/>
  <c r="Y188" i="28"/>
  <c r="Y307" i="28"/>
  <c r="Y384" i="28"/>
  <c r="Y347" i="28"/>
  <c r="Y159" i="28"/>
  <c r="Y343" i="28"/>
  <c r="Y200" i="28"/>
  <c r="Y313" i="28"/>
  <c r="Y184" i="28"/>
  <c r="Y36" i="28"/>
  <c r="Y216" i="28"/>
  <c r="Y137" i="28"/>
  <c r="Y138" i="28"/>
  <c r="Y328" i="28"/>
  <c r="Y92" i="28"/>
  <c r="Y249" i="28"/>
  <c r="Y260" i="28"/>
  <c r="Y329" i="28"/>
  <c r="Y414" i="28"/>
  <c r="Y418" i="28"/>
  <c r="Y179" i="28"/>
  <c r="Y341" i="28"/>
  <c r="Y202" i="28"/>
  <c r="Y426" i="28"/>
  <c r="Y399" i="28"/>
  <c r="Y210" i="28"/>
  <c r="Y409" i="28"/>
  <c r="Y105" i="28"/>
  <c r="Y175" i="28"/>
  <c r="Y327" i="28"/>
  <c r="Y65" i="28"/>
  <c r="Y172" i="28"/>
  <c r="Y230" i="28"/>
  <c r="Y82" i="28"/>
  <c r="Y244" i="28"/>
  <c r="Y320" i="28"/>
  <c r="Y385" i="28"/>
  <c r="Y16" i="28"/>
  <c r="Y220" i="28"/>
  <c r="Y56" i="28"/>
  <c r="Y312" i="28"/>
  <c r="Y305" i="28"/>
  <c r="Y195" i="28"/>
  <c r="Y397" i="28"/>
  <c r="Y132" i="28"/>
  <c r="Y152" i="28"/>
  <c r="Y270" i="28"/>
  <c r="Y252" i="28"/>
  <c r="Y415" i="28"/>
  <c r="Y286" i="28"/>
  <c r="Y326" i="28"/>
  <c r="Y402" i="28"/>
  <c r="Y284" i="28"/>
  <c r="Y219" i="28"/>
  <c r="Y190" i="28"/>
  <c r="Y425" i="28"/>
  <c r="Y413" i="28"/>
  <c r="Y133" i="28"/>
  <c r="Y102" i="28"/>
  <c r="Y140" i="28"/>
  <c r="Y251" i="28"/>
  <c r="Y247" i="28"/>
  <c r="Y405" i="28"/>
  <c r="Y408" i="28"/>
  <c r="Y20" i="28"/>
  <c r="Y218" i="28"/>
  <c r="Y156" i="28"/>
  <c r="Y333" i="28"/>
  <c r="Y423" i="28"/>
  <c r="Y274" i="28"/>
  <c r="Y104" i="28"/>
  <c r="Y257" i="28"/>
  <c r="Y253" i="28"/>
  <c r="Y420" i="28"/>
  <c r="Y342" i="28"/>
  <c r="Y332" i="28"/>
  <c r="Y182" i="28"/>
  <c r="Y398" i="28"/>
  <c r="Y400" i="28"/>
  <c r="Y404" i="28"/>
  <c r="Y358" i="28"/>
  <c r="Y204" i="28"/>
  <c r="Y356" i="28"/>
  <c r="Y136" i="28"/>
  <c r="Y78" i="28"/>
  <c r="Y106" i="28"/>
  <c r="Y321" i="28"/>
  <c r="Y145" i="28"/>
  <c r="Y110" i="28"/>
  <c r="Y311" i="28"/>
  <c r="Y421" i="28"/>
  <c r="Y245" i="28"/>
  <c r="Y95" i="28"/>
  <c r="Y22" i="28"/>
  <c r="Y256" i="28"/>
  <c r="Y269" i="28"/>
  <c r="Y185" i="28"/>
  <c r="Y6" i="28"/>
  <c r="Y248" i="28"/>
  <c r="Y315" i="28"/>
  <c r="Y199" i="28"/>
  <c r="Y324" i="28"/>
  <c r="Y338" i="28"/>
  <c r="Y379" i="28"/>
  <c r="Y412" i="28"/>
  <c r="Y80" i="28"/>
  <c r="Y83" i="28"/>
  <c r="Y276" i="28"/>
  <c r="Y158" i="28"/>
  <c r="Y325" i="28"/>
  <c r="Y173" i="28"/>
  <c r="Y227" i="28"/>
  <c r="Z227" i="28" s="1"/>
  <c r="Y410" i="28"/>
  <c r="Y151" i="28"/>
  <c r="Y93" i="28"/>
  <c r="Y278" i="28"/>
  <c r="Y187" i="28"/>
  <c r="Y142" i="28"/>
  <c r="Y81" i="28"/>
  <c r="Y91" i="28"/>
  <c r="Y243" i="28"/>
  <c r="Y108" i="28"/>
  <c r="Y345" i="28"/>
  <c r="Y337" i="28"/>
  <c r="Y180" i="28"/>
  <c r="Y239" i="28"/>
  <c r="Y281" i="28"/>
  <c r="Y161" i="28"/>
  <c r="Y211" i="28"/>
  <c r="Y406" i="28"/>
  <c r="Y135" i="28"/>
  <c r="Y317" i="28"/>
  <c r="Y19" i="28"/>
  <c r="Y206" i="28"/>
  <c r="Y272" i="28"/>
  <c r="Y181" i="28"/>
  <c r="Y346" i="28"/>
  <c r="Y339" i="28"/>
  <c r="Y386" i="28"/>
  <c r="Y322" i="28"/>
  <c r="Y330" i="28"/>
  <c r="Y223" i="28"/>
  <c r="Y403" i="28"/>
  <c r="Y62" i="28"/>
  <c r="Y226" i="28"/>
  <c r="Y340" i="28"/>
  <c r="Y212" i="28"/>
  <c r="Y271" i="28"/>
  <c r="Y144" i="28"/>
  <c r="Y9" i="28"/>
  <c r="Y382" i="28"/>
  <c r="Y214" i="28"/>
  <c r="Y378" i="28"/>
  <c r="Y37" i="28"/>
  <c r="Y24" i="28"/>
  <c r="Y57" i="28"/>
  <c r="Y368" i="28"/>
  <c r="Y318" i="28"/>
  <c r="Y273" i="28"/>
  <c r="Y411" i="28"/>
  <c r="Y240" i="28"/>
  <c r="Y377" i="28"/>
  <c r="Y17" i="28"/>
  <c r="Y380" i="28"/>
  <c r="Y183" i="28"/>
  <c r="Y246" i="28"/>
  <c r="Y238" i="28"/>
  <c r="Y306" i="28"/>
  <c r="Y304" i="28"/>
  <c r="Y344" i="28"/>
  <c r="Y407" i="28"/>
  <c r="Y79" i="28"/>
  <c r="Y254" i="28"/>
  <c r="Y268" i="28"/>
  <c r="Y197" i="28"/>
  <c r="Y55" i="28"/>
  <c r="Y371" i="28"/>
  <c r="Y335" i="28"/>
  <c r="Y255" i="28"/>
  <c r="Y222" i="28"/>
  <c r="Y310" i="28"/>
  <c r="Y308" i="28"/>
  <c r="Y275" i="28"/>
  <c r="Y157" i="28"/>
  <c r="Y143" i="28"/>
  <c r="Y316" i="28"/>
  <c r="Y215" i="28"/>
  <c r="Y101" i="28"/>
  <c r="Y186" i="28"/>
  <c r="Y112" i="28"/>
  <c r="Y23" i="28"/>
  <c r="Y266" i="28"/>
  <c r="Z266" i="28" s="1"/>
  <c r="Y4" i="28"/>
  <c r="Y383" i="28"/>
  <c r="Y376" i="28"/>
  <c r="Y285" i="28"/>
  <c r="Y282" i="28"/>
  <c r="Y5" i="28"/>
  <c r="Y388" i="28"/>
  <c r="X389" i="28"/>
  <c r="X361" i="28"/>
  <c r="X362" i="28"/>
  <c r="X360" i="28"/>
  <c r="Z360" i="28" s="1"/>
  <c r="X363" i="28"/>
  <c r="X413" i="28"/>
  <c r="X376" i="28"/>
  <c r="X381" i="28"/>
  <c r="Z381" i="28" s="1"/>
  <c r="X100" i="28"/>
  <c r="X408" i="28"/>
  <c r="X38" i="28"/>
  <c r="X41" i="28"/>
  <c r="Z41" i="28" s="1"/>
  <c r="X36" i="28"/>
  <c r="X183" i="28"/>
  <c r="X62" i="28"/>
  <c r="X64" i="28"/>
  <c r="Z64" i="28" s="1"/>
  <c r="X197" i="28"/>
  <c r="X407" i="28"/>
  <c r="X385" i="28"/>
  <c r="X276" i="28"/>
  <c r="X228" i="28"/>
  <c r="X35" i="28"/>
  <c r="X34" i="28"/>
  <c r="Z34" i="28" s="1"/>
  <c r="X32" i="28"/>
  <c r="Z32" i="28" s="1"/>
  <c r="X30" i="28"/>
  <c r="X33" i="28"/>
  <c r="X31" i="28"/>
  <c r="X120" i="28"/>
  <c r="X121" i="28"/>
  <c r="X122" i="28"/>
  <c r="X124" i="28"/>
  <c r="Z124" i="28" s="1"/>
  <c r="X40" i="28"/>
  <c r="Z40" i="28" s="1"/>
  <c r="X103" i="28"/>
  <c r="X147" i="28"/>
  <c r="Z147" i="28" s="1"/>
  <c r="X149" i="28"/>
  <c r="X148" i="28"/>
  <c r="Z148" i="28" s="1"/>
  <c r="X146" i="28"/>
  <c r="Z146" i="28" s="1"/>
  <c r="X91" i="28"/>
  <c r="X94" i="28"/>
  <c r="Z94" i="28" s="1"/>
  <c r="X90" i="28"/>
  <c r="Z90" i="28" s="1"/>
  <c r="X277" i="28"/>
  <c r="Z277" i="28" s="1"/>
  <c r="X410" i="28"/>
  <c r="X319" i="28"/>
  <c r="X164" i="28"/>
  <c r="X162" i="28"/>
  <c r="Z162" i="28" s="1"/>
  <c r="X179" i="28"/>
  <c r="X252" i="28"/>
  <c r="X61" i="28"/>
  <c r="Z61" i="28" s="1"/>
  <c r="X58" i="28"/>
  <c r="Z58" i="28" s="1"/>
  <c r="X60" i="28"/>
  <c r="Z60" i="28" s="1"/>
  <c r="X59" i="28"/>
  <c r="X214" i="28"/>
  <c r="X112" i="28"/>
  <c r="X251" i="28"/>
  <c r="X273" i="28"/>
  <c r="X158" i="28"/>
  <c r="X160" i="28"/>
  <c r="Z160" i="28" s="1"/>
  <c r="X415" i="28"/>
  <c r="X188" i="28"/>
  <c r="X45" i="28"/>
  <c r="X43" i="28"/>
  <c r="X44" i="28"/>
  <c r="X42" i="28"/>
  <c r="Z42" i="28" s="1"/>
  <c r="X184" i="28"/>
  <c r="X306" i="28"/>
  <c r="X16" i="28"/>
  <c r="X17" i="28"/>
  <c r="X343" i="28"/>
  <c r="X226" i="28"/>
  <c r="X379" i="28"/>
  <c r="X344" i="28"/>
  <c r="Y393" i="28"/>
  <c r="X279" i="28"/>
  <c r="X283" i="28"/>
  <c r="X287" i="28"/>
  <c r="Z287" i="28" s="1"/>
  <c r="X278" i="28"/>
  <c r="X280" i="28"/>
  <c r="X82" i="28"/>
  <c r="X85" i="28"/>
  <c r="Z85" i="28" s="1"/>
  <c r="X22" i="28"/>
  <c r="X305" i="28"/>
  <c r="X218" i="28"/>
  <c r="X217" i="28"/>
  <c r="X195" i="28"/>
  <c r="X23" i="28"/>
  <c r="AB395" i="28"/>
  <c r="Y395" i="28"/>
  <c r="X150" i="28"/>
  <c r="Z150" i="28" s="1"/>
  <c r="X151" i="28"/>
  <c r="X153" i="28"/>
  <c r="Z153" i="28" s="1"/>
  <c r="X341" i="28"/>
  <c r="X72" i="28"/>
  <c r="Z72" i="28" s="1"/>
  <c r="X243" i="28"/>
  <c r="X71" i="28"/>
  <c r="Z71" i="28" s="1"/>
  <c r="X70" i="28"/>
  <c r="Z70" i="28" s="1"/>
  <c r="Y390" i="28"/>
  <c r="AB390" i="28"/>
  <c r="X401" i="28"/>
  <c r="Y394" i="28"/>
  <c r="X109" i="28"/>
  <c r="Z109" i="28" s="1"/>
  <c r="X113" i="28"/>
  <c r="Z113" i="28" s="1"/>
  <c r="X108" i="28"/>
  <c r="X111" i="28"/>
  <c r="X311" i="28"/>
  <c r="X25" i="28"/>
  <c r="X21" i="28"/>
  <c r="Z21" i="28" s="1"/>
  <c r="X161" i="28"/>
  <c r="X270" i="28"/>
  <c r="X169" i="28"/>
  <c r="Z169" i="28" s="1"/>
  <c r="X167" i="28"/>
  <c r="Z167" i="28" s="1"/>
  <c r="X168" i="28"/>
  <c r="Z168" i="28" s="1"/>
  <c r="X166" i="28"/>
  <c r="Z166" i="28" s="1"/>
  <c r="X223" i="28"/>
  <c r="X274" i="28"/>
  <c r="X178" i="28"/>
  <c r="Z178" i="28" s="1"/>
  <c r="X234" i="28"/>
  <c r="X231" i="28"/>
  <c r="X232" i="28"/>
  <c r="X236" i="28"/>
  <c r="X233" i="28"/>
  <c r="X182" i="28"/>
  <c r="X136" i="28"/>
  <c r="X172" i="28"/>
  <c r="X382" i="28"/>
  <c r="X330" i="28"/>
  <c r="X20" i="28"/>
  <c r="X384" i="28"/>
  <c r="X425" i="28"/>
  <c r="X254" i="28"/>
  <c r="X230" i="28"/>
  <c r="X110" i="28"/>
  <c r="X418" i="28"/>
  <c r="X416" i="28"/>
  <c r="Z416" i="28" s="1"/>
  <c r="X417" i="28"/>
  <c r="X216" i="28"/>
  <c r="X403" i="28"/>
  <c r="X250" i="28"/>
  <c r="X399" i="28"/>
  <c r="X242" i="28"/>
  <c r="Z242" i="28" s="1"/>
  <c r="X238" i="28"/>
  <c r="X241" i="28"/>
  <c r="X422" i="28"/>
  <c r="X175" i="28"/>
  <c r="X125" i="28"/>
  <c r="X80" i="28"/>
  <c r="X107" i="28"/>
  <c r="Z107" i="28" s="1"/>
  <c r="X102" i="28"/>
  <c r="X65" i="28"/>
  <c r="X68" i="28"/>
  <c r="X66" i="28"/>
  <c r="X67" i="28"/>
  <c r="X69" i="28"/>
  <c r="X351" i="28"/>
  <c r="Z351" i="28" s="1"/>
  <c r="X348" i="28"/>
  <c r="Z348" i="28" s="1"/>
  <c r="X349" i="28"/>
  <c r="Z349" i="28" s="1"/>
  <c r="X350" i="28"/>
  <c r="X222" i="28"/>
  <c r="X135" i="28"/>
  <c r="X145" i="28"/>
  <c r="X229" i="28"/>
  <c r="X225" i="28"/>
  <c r="X224" i="28"/>
  <c r="Z224" i="28" s="1"/>
  <c r="X198" i="28"/>
  <c r="X193" i="28"/>
  <c r="Z193" i="28" s="1"/>
  <c r="X192" i="28"/>
  <c r="X191" i="28"/>
  <c r="X190" i="28"/>
  <c r="X246" i="28"/>
  <c r="X419" i="28"/>
  <c r="Z419" i="28" s="1"/>
  <c r="X282" i="28"/>
  <c r="X255" i="28"/>
  <c r="X388" i="28"/>
  <c r="X181" i="28"/>
  <c r="X268" i="28"/>
  <c r="X159" i="28"/>
  <c r="X404" i="28"/>
  <c r="X123" i="28"/>
  <c r="Z123" i="28" s="1"/>
  <c r="X386" i="28"/>
  <c r="X395" i="28"/>
  <c r="X50" i="28"/>
  <c r="Z50" i="28" s="1"/>
  <c r="X51" i="28"/>
  <c r="Z51" i="28" s="1"/>
  <c r="X53" i="28"/>
  <c r="Z53" i="28" s="1"/>
  <c r="X52" i="28"/>
  <c r="X256" i="28"/>
  <c r="X249" i="28"/>
  <c r="X7" i="28"/>
  <c r="Z7" i="28" s="1"/>
  <c r="X56" i="28"/>
  <c r="X331" i="28"/>
  <c r="Z331" i="28" s="1"/>
  <c r="X324" i="28"/>
  <c r="X199" i="28"/>
  <c r="X39" i="28"/>
  <c r="Z39" i="28" s="1"/>
  <c r="AB391" i="28"/>
  <c r="AB392" i="28"/>
  <c r="Y392" i="28"/>
  <c r="X202" i="28"/>
  <c r="X390" i="28"/>
  <c r="X37" i="28"/>
  <c r="X393" i="28"/>
  <c r="X63" i="28"/>
  <c r="Z63" i="28" s="1"/>
  <c r="Y389" i="28"/>
  <c r="Z389" i="28" s="1"/>
  <c r="X186" i="28"/>
  <c r="X421" i="28"/>
  <c r="X365" i="28"/>
  <c r="Z365" i="28" s="1"/>
  <c r="X320" i="28"/>
  <c r="X307" i="28"/>
  <c r="X380" i="28"/>
  <c r="X325" i="28"/>
  <c r="X170" i="28"/>
  <c r="Z170" i="28" s="1"/>
  <c r="X171" i="28"/>
  <c r="Z171" i="28" s="1"/>
  <c r="X176" i="28"/>
  <c r="X174" i="28"/>
  <c r="Z174" i="28" s="1"/>
  <c r="X328" i="28"/>
  <c r="X237" i="28"/>
  <c r="Z237" i="28" s="1"/>
  <c r="X98" i="28"/>
  <c r="X97" i="28"/>
  <c r="Z97" i="28" s="1"/>
  <c r="X96" i="28"/>
  <c r="Z96" i="28" s="1"/>
  <c r="X239" i="28"/>
  <c r="X334" i="28"/>
  <c r="Z334" i="28" s="1"/>
  <c r="X359" i="28"/>
  <c r="Z359" i="28" s="1"/>
  <c r="X75" i="28"/>
  <c r="Z75" i="28" s="1"/>
  <c r="X74" i="28"/>
  <c r="Z74" i="28" s="1"/>
  <c r="X346" i="28"/>
  <c r="X339" i="28"/>
  <c r="X81" i="28"/>
  <c r="X93" i="28"/>
  <c r="X398" i="28"/>
  <c r="X157" i="28"/>
  <c r="X154" i="28"/>
  <c r="Z154" i="28" s="1"/>
  <c r="X155" i="28"/>
  <c r="Z155" i="28" s="1"/>
  <c r="X402" i="28"/>
  <c r="X99" i="28"/>
  <c r="X414" i="28"/>
  <c r="X196" i="28"/>
  <c r="Z196" i="28" s="1"/>
  <c r="X335" i="28"/>
  <c r="X26" i="28"/>
  <c r="Z26" i="28" s="1"/>
  <c r="X165" i="28"/>
  <c r="Z165" i="28" s="1"/>
  <c r="X368" i="28"/>
  <c r="X423" i="28"/>
  <c r="X156" i="28"/>
  <c r="X369" i="28"/>
  <c r="Z369" i="28" s="1"/>
  <c r="X308" i="28"/>
  <c r="X412" i="28"/>
  <c r="X187" i="28"/>
  <c r="X315" i="28"/>
  <c r="X314" i="28"/>
  <c r="X221" i="28"/>
  <c r="X204" i="28"/>
  <c r="X409" i="28"/>
  <c r="X272" i="28"/>
  <c r="X271" i="28"/>
  <c r="X286" i="28"/>
  <c r="X281" i="28"/>
  <c r="X104" i="28"/>
  <c r="X92" i="28"/>
  <c r="X84" i="28"/>
  <c r="Z84" i="28" s="1"/>
  <c r="X212" i="28"/>
  <c r="X387" i="28"/>
  <c r="X235" i="28"/>
  <c r="X244" i="28"/>
  <c r="X163" i="28"/>
  <c r="Z163" i="28" s="1"/>
  <c r="X396" i="28"/>
  <c r="X189" i="28"/>
  <c r="X180" i="28"/>
  <c r="X76" i="28"/>
  <c r="Z76" i="28" s="1"/>
  <c r="X132" i="28"/>
  <c r="X134" i="28"/>
  <c r="X366" i="28"/>
  <c r="Z366" i="28" s="1"/>
  <c r="X364" i="28"/>
  <c r="Z364" i="28" s="1"/>
  <c r="X203" i="28"/>
  <c r="Z203" i="28" s="1"/>
  <c r="X201" i="28"/>
  <c r="X207" i="28"/>
  <c r="X209" i="28"/>
  <c r="Z209" i="28" s="1"/>
  <c r="X200" i="28"/>
  <c r="X208" i="28"/>
  <c r="Z208" i="28" s="1"/>
  <c r="X79" i="28"/>
  <c r="X220" i="28"/>
  <c r="X9" i="28"/>
  <c r="X336" i="28"/>
  <c r="X139" i="28"/>
  <c r="Z139" i="28" s="1"/>
  <c r="X141" i="28"/>
  <c r="Z141" i="28" s="1"/>
  <c r="X138" i="28"/>
  <c r="X3" i="28"/>
  <c r="Z3" i="28" s="1"/>
  <c r="X4" i="28"/>
  <c r="X371" i="28"/>
  <c r="X392" i="28"/>
  <c r="X285" i="28"/>
  <c r="X356" i="28"/>
  <c r="X357" i="28"/>
  <c r="Z357" i="28" s="1"/>
  <c r="X215" i="28"/>
  <c r="X106" i="28"/>
  <c r="X317" i="28"/>
  <c r="X253" i="28"/>
  <c r="X247" i="28"/>
  <c r="X284" i="28"/>
  <c r="X326" i="28"/>
  <c r="X310" i="28"/>
  <c r="X269" i="28"/>
  <c r="X383" i="28"/>
  <c r="X47" i="28"/>
  <c r="X46" i="28"/>
  <c r="Z46" i="28" s="1"/>
  <c r="X49" i="28"/>
  <c r="Z49" i="28" s="1"/>
  <c r="X48" i="28"/>
  <c r="Z48" i="28" s="1"/>
  <c r="X143" i="28"/>
  <c r="X83" i="28"/>
  <c r="X257" i="28"/>
  <c r="X205" i="28"/>
  <c r="X321" i="28"/>
  <c r="X95" i="28"/>
  <c r="X358" i="28"/>
  <c r="X352" i="28"/>
  <c r="X355" i="28"/>
  <c r="X354" i="28"/>
  <c r="X353" i="28"/>
  <c r="Z353" i="28" s="1"/>
  <c r="X394" i="28"/>
  <c r="X329" i="28"/>
  <c r="X240" i="28"/>
  <c r="X327" i="28"/>
  <c r="X88" i="28"/>
  <c r="Z88" i="28" s="1"/>
  <c r="X86" i="28"/>
  <c r="X87" i="28"/>
  <c r="Z87" i="28" s="1"/>
  <c r="X89" i="28"/>
  <c r="Z89" i="28" s="1"/>
  <c r="X337" i="28"/>
  <c r="X342" i="28"/>
  <c r="X406" i="28"/>
  <c r="X318" i="28"/>
  <c r="X397" i="28"/>
  <c r="X18" i="28"/>
  <c r="Z18" i="28" s="1"/>
  <c r="X15" i="28"/>
  <c r="AB387" i="28"/>
  <c r="Y387" i="28"/>
  <c r="X323" i="28"/>
  <c r="Z323" i="28" s="1"/>
  <c r="X131" i="28"/>
  <c r="Z131" i="28" s="1"/>
  <c r="X127" i="28"/>
  <c r="Z127" i="28" s="1"/>
  <c r="X129" i="28"/>
  <c r="X126" i="28"/>
  <c r="Z126" i="28" s="1"/>
  <c r="X130" i="28"/>
  <c r="X128" i="28"/>
  <c r="Z128" i="28" s="1"/>
  <c r="X372" i="28"/>
  <c r="Z372" i="28" s="1"/>
  <c r="X373" i="28"/>
  <c r="Z373" i="28" s="1"/>
  <c r="X375" i="28"/>
  <c r="Z375" i="28" s="1"/>
  <c r="X144" i="28"/>
  <c r="X213" i="28"/>
  <c r="Z213" i="28" s="1"/>
  <c r="X210" i="28"/>
  <c r="X304" i="28"/>
  <c r="X309" i="28"/>
  <c r="Z309" i="28" s="1"/>
  <c r="X152" i="28"/>
  <c r="X377" i="28"/>
  <c r="X55" i="28"/>
  <c r="X54" i="28"/>
  <c r="Z54" i="28" s="1"/>
  <c r="X313" i="28"/>
  <c r="X322" i="28"/>
  <c r="X378" i="28"/>
  <c r="X426" i="28"/>
  <c r="X347" i="28"/>
  <c r="X264" i="28"/>
  <c r="X259" i="28"/>
  <c r="Z259" i="28" s="1"/>
  <c r="X265" i="28"/>
  <c r="Z265" i="28" s="1"/>
  <c r="X258" i="28"/>
  <c r="X263" i="28"/>
  <c r="Z263" i="28" s="1"/>
  <c r="X262" i="28"/>
  <c r="X267" i="28"/>
  <c r="X260" i="28"/>
  <c r="X261" i="28"/>
  <c r="Z261" i="28" s="1"/>
  <c r="X137" i="28"/>
  <c r="X177" i="28"/>
  <c r="Z177" i="28" s="1"/>
  <c r="X338" i="28"/>
  <c r="X400" i="28"/>
  <c r="X10" i="28"/>
  <c r="Z10" i="28" s="1"/>
  <c r="X6" i="28"/>
  <c r="X332" i="28"/>
  <c r="AB487" i="28" l="1"/>
  <c r="AC487" i="28" s="1"/>
  <c r="AD487" i="28" s="1"/>
  <c r="AB500" i="28"/>
  <c r="AC500" i="28" s="1"/>
  <c r="AD500" i="28" s="1"/>
  <c r="AB815" i="28"/>
  <c r="AC815" i="28" s="1"/>
  <c r="AD815" i="28" s="1"/>
  <c r="AB795" i="28"/>
  <c r="AC795" i="28" s="1"/>
  <c r="AD795" i="28" s="1"/>
  <c r="AB600" i="28"/>
  <c r="AB432" i="28"/>
  <c r="AC432" i="28" s="1"/>
  <c r="AD432" i="28" s="1"/>
  <c r="AB1001" i="28"/>
  <c r="AC1001" i="28" s="1"/>
  <c r="AD1001" i="28" s="1"/>
  <c r="AB568" i="28"/>
  <c r="AB970" i="28"/>
  <c r="AC970" i="28" s="1"/>
  <c r="AD970" i="28" s="1"/>
  <c r="AB909" i="28"/>
  <c r="AC909" i="28" s="1"/>
  <c r="AD909" i="28" s="1"/>
  <c r="AB888" i="28"/>
  <c r="AC888" i="28" s="1"/>
  <c r="AD888" i="28" s="1"/>
  <c r="AB84" i="28"/>
  <c r="AC600" i="28"/>
  <c r="AD600" i="28" s="1"/>
  <c r="AB926" i="28"/>
  <c r="AC926" i="28" s="1"/>
  <c r="AD926" i="28" s="1"/>
  <c r="AB10" i="28"/>
  <c r="AB955" i="28"/>
  <c r="AC955" i="28" s="1"/>
  <c r="AD955" i="28" s="1"/>
  <c r="AB85" i="28"/>
  <c r="AC568" i="28"/>
  <c r="AD568" i="28" s="1"/>
  <c r="AB586" i="28"/>
  <c r="AB8" i="28"/>
  <c r="AB558" i="28"/>
  <c r="AC558" i="28" s="1"/>
  <c r="AD558" i="28" s="1"/>
  <c r="Z173" i="28"/>
  <c r="AB818" i="28"/>
  <c r="AB675" i="28"/>
  <c r="AC675" i="28" s="1"/>
  <c r="AD675" i="28" s="1"/>
  <c r="AB486" i="28"/>
  <c r="AC486" i="28" s="1"/>
  <c r="AD486" i="28" s="1"/>
  <c r="AB985" i="28"/>
  <c r="AC985" i="28" s="1"/>
  <c r="AD985" i="28" s="1"/>
  <c r="AB767" i="28"/>
  <c r="AB684" i="28"/>
  <c r="AC684" i="28" s="1"/>
  <c r="AD684" i="28" s="1"/>
  <c r="AB564" i="28"/>
  <c r="AB934" i="28"/>
  <c r="AB465" i="28"/>
  <c r="AB591" i="28"/>
  <c r="AC591" i="28" s="1"/>
  <c r="AD591" i="28" s="1"/>
  <c r="AB956" i="28"/>
  <c r="AC956" i="28" s="1"/>
  <c r="AD956" i="28" s="1"/>
  <c r="AB937" i="28"/>
  <c r="AB454" i="28"/>
  <c r="AC454" i="28" s="1"/>
  <c r="AD454" i="28" s="1"/>
  <c r="AB805" i="28"/>
  <c r="AC805" i="28" s="1"/>
  <c r="AD805" i="28" s="1"/>
  <c r="AB628" i="28"/>
  <c r="AC628" i="28" s="1"/>
  <c r="AD628" i="28" s="1"/>
  <c r="AB797" i="28"/>
  <c r="AB623" i="28"/>
  <c r="AC623" i="28" s="1"/>
  <c r="AD623" i="28" s="1"/>
  <c r="AB821" i="28"/>
  <c r="AC821" i="28" s="1"/>
  <c r="AD821" i="28" s="1"/>
  <c r="AB459" i="28"/>
  <c r="AB916" i="28"/>
  <c r="AC916" i="28" s="1"/>
  <c r="AD916" i="28" s="1"/>
  <c r="AB884" i="28"/>
  <c r="AC884" i="28" s="1"/>
  <c r="AD884" i="28" s="1"/>
  <c r="AB531" i="28"/>
  <c r="AC531" i="28" s="1"/>
  <c r="AD531" i="28" s="1"/>
  <c r="AB788" i="28"/>
  <c r="AB489" i="28"/>
  <c r="AB734" i="28"/>
  <c r="AB754" i="28"/>
  <c r="AC754" i="28" s="1"/>
  <c r="AD754" i="28" s="1"/>
  <c r="AB636" i="28"/>
  <c r="AC636" i="28" s="1"/>
  <c r="AD636" i="28" s="1"/>
  <c r="AC586" i="28"/>
  <c r="AD586" i="28" s="1"/>
  <c r="AB872" i="28"/>
  <c r="AB878" i="28"/>
  <c r="AB802" i="28"/>
  <c r="AC802" i="28" s="1"/>
  <c r="AD802" i="28" s="1"/>
  <c r="AB726" i="28"/>
  <c r="AC726" i="28" s="1"/>
  <c r="AD726" i="28" s="1"/>
  <c r="AB670" i="28"/>
  <c r="AC670" i="28" s="1"/>
  <c r="AD670" i="28" s="1"/>
  <c r="AB750" i="28"/>
  <c r="AC750" i="28" s="1"/>
  <c r="AD750" i="28" s="1"/>
  <c r="AB832" i="28"/>
  <c r="AB733" i="28"/>
  <c r="AC733" i="28" s="1"/>
  <c r="AD733" i="28" s="1"/>
  <c r="AB549" i="28"/>
  <c r="AC549" i="28" s="1"/>
  <c r="AD549" i="28" s="1"/>
  <c r="AB856" i="28"/>
  <c r="AB904" i="28"/>
  <c r="AC904" i="28" s="1"/>
  <c r="AD904" i="28" s="1"/>
  <c r="AB444" i="28"/>
  <c r="AC444" i="28" s="1"/>
  <c r="AD444" i="28" s="1"/>
  <c r="AB778" i="28"/>
  <c r="AC778" i="28" s="1"/>
  <c r="AD778" i="28" s="1"/>
  <c r="AC465" i="28"/>
  <c r="AD465" i="28" s="1"/>
  <c r="AC832" i="28"/>
  <c r="AD832" i="28" s="1"/>
  <c r="AB683" i="28"/>
  <c r="AC683" i="28" s="1"/>
  <c r="AD683" i="28" s="1"/>
  <c r="AC934" i="28"/>
  <c r="AD934" i="28" s="1"/>
  <c r="AB835" i="28"/>
  <c r="AC835" i="28" s="1"/>
  <c r="AD835" i="28" s="1"/>
  <c r="AB516" i="28"/>
  <c r="AC516" i="28" s="1"/>
  <c r="AD516" i="28" s="1"/>
  <c r="AB812" i="28"/>
  <c r="AC812" i="28" s="1"/>
  <c r="AD812" i="28" s="1"/>
  <c r="AB464" i="28"/>
  <c r="AC464" i="28" s="1"/>
  <c r="AD464" i="28" s="1"/>
  <c r="AB801" i="28"/>
  <c r="AC801" i="28" s="1"/>
  <c r="AD801" i="28" s="1"/>
  <c r="AB851" i="28"/>
  <c r="AC851" i="28" s="1"/>
  <c r="AD851" i="28" s="1"/>
  <c r="AB996" i="28"/>
  <c r="AC996" i="28" s="1"/>
  <c r="AD996" i="28" s="1"/>
  <c r="AB938" i="28"/>
  <c r="AC938" i="28" s="1"/>
  <c r="AD938" i="28" s="1"/>
  <c r="AB546" i="28"/>
  <c r="AC546" i="28" s="1"/>
  <c r="AD546" i="28" s="1"/>
  <c r="AB677" i="28"/>
  <c r="AC677" i="28" s="1"/>
  <c r="AD677" i="28" s="1"/>
  <c r="AB865" i="28"/>
  <c r="AC865" i="28" s="1"/>
  <c r="AD865" i="28" s="1"/>
  <c r="AB620" i="28"/>
  <c r="AC620" i="28" s="1"/>
  <c r="AD620" i="28" s="1"/>
  <c r="AB751" i="28"/>
  <c r="AC751" i="28" s="1"/>
  <c r="AD751" i="28" s="1"/>
  <c r="AB609" i="28"/>
  <c r="AC609" i="28" s="1"/>
  <c r="AD609" i="28" s="1"/>
  <c r="AC459" i="28"/>
  <c r="AD459" i="28" s="1"/>
  <c r="AB748" i="28"/>
  <c r="AC748" i="28" s="1"/>
  <c r="AD748" i="28" s="1"/>
  <c r="AB973" i="28"/>
  <c r="AC973" i="28" s="1"/>
  <c r="AD973" i="28" s="1"/>
  <c r="AB639" i="28"/>
  <c r="AC639" i="28" s="1"/>
  <c r="AD639" i="28" s="1"/>
  <c r="AB450" i="28"/>
  <c r="AC450" i="28" s="1"/>
  <c r="AD450" i="28" s="1"/>
  <c r="AB949" i="28"/>
  <c r="AC949" i="28" s="1"/>
  <c r="AD949" i="28" s="1"/>
  <c r="AB687" i="28"/>
  <c r="AB732" i="28"/>
  <c r="AC732" i="28" s="1"/>
  <c r="AD732" i="28" s="1"/>
  <c r="AB724" i="28"/>
  <c r="AC724" i="28" s="1"/>
  <c r="AD724" i="28" s="1"/>
  <c r="AB453" i="28"/>
  <c r="AC453" i="28" s="1"/>
  <c r="AD453" i="28" s="1"/>
  <c r="AB467" i="28"/>
  <c r="AC467" i="28" s="1"/>
  <c r="AD467" i="28" s="1"/>
  <c r="AB590" i="28"/>
  <c r="AC590" i="28" s="1"/>
  <c r="AD590" i="28" s="1"/>
  <c r="AB853" i="28"/>
  <c r="AC853" i="28" s="1"/>
  <c r="AD853" i="28" s="1"/>
  <c r="AB430" i="28"/>
  <c r="AC430" i="28" s="1"/>
  <c r="AD430" i="28" s="1"/>
  <c r="AB618" i="28"/>
  <c r="AC618" i="28" s="1"/>
  <c r="AD618" i="28" s="1"/>
  <c r="AC856" i="28"/>
  <c r="AD856" i="28" s="1"/>
  <c r="AC937" i="28"/>
  <c r="AD937" i="28" s="1"/>
  <c r="AC872" i="28"/>
  <c r="AD872" i="28" s="1"/>
  <c r="AB671" i="28"/>
  <c r="AC671" i="28" s="1"/>
  <c r="AD671" i="28" s="1"/>
  <c r="AB765" i="28"/>
  <c r="AC765" i="28" s="1"/>
  <c r="AD765" i="28" s="1"/>
  <c r="AB491" i="28"/>
  <c r="AC491" i="28" s="1"/>
  <c r="AD491" i="28" s="1"/>
  <c r="AB951" i="28"/>
  <c r="AC951" i="28" s="1"/>
  <c r="AD951" i="28" s="1"/>
  <c r="AB800" i="28"/>
  <c r="AC800" i="28" s="1"/>
  <c r="AD800" i="28" s="1"/>
  <c r="AB987" i="28"/>
  <c r="AC987" i="28" s="1"/>
  <c r="AD987" i="28" s="1"/>
  <c r="AB598" i="28"/>
  <c r="AC598" i="28" s="1"/>
  <c r="AD598" i="28" s="1"/>
  <c r="AB692" i="28"/>
  <c r="AC692" i="28" s="1"/>
  <c r="AD692" i="28" s="1"/>
  <c r="AB746" i="28"/>
  <c r="AC746" i="28" s="1"/>
  <c r="AD746" i="28" s="1"/>
  <c r="AB883" i="28"/>
  <c r="AC883" i="28" s="1"/>
  <c r="AD883" i="28" s="1"/>
  <c r="AB648" i="28"/>
  <c r="AC648" i="28" s="1"/>
  <c r="AD648" i="28" s="1"/>
  <c r="AB492" i="28"/>
  <c r="AC492" i="28" s="1"/>
  <c r="AD492" i="28" s="1"/>
  <c r="AB691" i="28"/>
  <c r="AC691" i="28" s="1"/>
  <c r="AD691" i="28" s="1"/>
  <c r="AB505" i="28"/>
  <c r="AC505" i="28" s="1"/>
  <c r="AD505" i="28" s="1"/>
  <c r="AC687" i="28"/>
  <c r="AD687" i="28" s="1"/>
  <c r="AB740" i="28"/>
  <c r="AC740" i="28" s="1"/>
  <c r="AD740" i="28" s="1"/>
  <c r="AB583" i="28"/>
  <c r="AC583" i="28" s="1"/>
  <c r="AD583" i="28" s="1"/>
  <c r="AB431" i="28"/>
  <c r="AC431" i="28" s="1"/>
  <c r="AD431" i="28" s="1"/>
  <c r="AB709" i="28"/>
  <c r="AC709" i="28" s="1"/>
  <c r="AD709" i="28" s="1"/>
  <c r="AB806" i="28"/>
  <c r="AC806" i="28" s="1"/>
  <c r="AD806" i="28" s="1"/>
  <c r="AB959" i="28"/>
  <c r="AC959" i="28" s="1"/>
  <c r="AD959" i="28" s="1"/>
  <c r="AB764" i="28"/>
  <c r="AC764" i="28" s="1"/>
  <c r="AD764" i="28" s="1"/>
  <c r="AB843" i="28"/>
  <c r="AC843" i="28" s="1"/>
  <c r="AD843" i="28" s="1"/>
  <c r="AB770" i="28"/>
  <c r="AC770" i="28" s="1"/>
  <c r="AD770" i="28" s="1"/>
  <c r="AB660" i="28"/>
  <c r="AC660" i="28" s="1"/>
  <c r="AD660" i="28" s="1"/>
  <c r="AB891" i="28"/>
  <c r="AC891" i="28" s="1"/>
  <c r="AD891" i="28" s="1"/>
  <c r="AB790" i="28"/>
  <c r="AC790" i="28" s="1"/>
  <c r="AD790" i="28" s="1"/>
  <c r="AB490" i="28"/>
  <c r="AC490" i="28" s="1"/>
  <c r="AD490" i="28" s="1"/>
  <c r="AB828" i="28"/>
  <c r="AC828" i="28" s="1"/>
  <c r="AD828" i="28" s="1"/>
  <c r="AC788" i="28"/>
  <c r="AD788" i="28" s="1"/>
  <c r="AC797" i="28"/>
  <c r="AD797" i="28" s="1"/>
  <c r="Z149" i="28"/>
  <c r="Z362" i="28"/>
  <c r="AC564" i="28"/>
  <c r="AD564" i="28" s="1"/>
  <c r="AC734" i="28"/>
  <c r="AD734" i="28" s="1"/>
  <c r="AC489" i="28"/>
  <c r="AD489" i="28" s="1"/>
  <c r="AC878" i="28"/>
  <c r="AD878" i="28" s="1"/>
  <c r="Z77" i="28"/>
  <c r="AC767" i="28"/>
  <c r="AD767" i="28" s="1"/>
  <c r="AC818" i="28"/>
  <c r="AD818" i="28" s="1"/>
  <c r="Z206" i="28"/>
  <c r="Z140" i="28"/>
  <c r="AB542" i="28"/>
  <c r="AC542" i="28" s="1"/>
  <c r="AD542" i="28" s="1"/>
  <c r="AB585" i="28"/>
  <c r="AC585" i="28" s="1"/>
  <c r="AD585" i="28" s="1"/>
  <c r="AB479" i="28"/>
  <c r="AC479" i="28" s="1"/>
  <c r="AD479" i="28" s="1"/>
  <c r="AB672" i="28"/>
  <c r="AC672" i="28" s="1"/>
  <c r="AD672" i="28" s="1"/>
  <c r="AB997" i="28"/>
  <c r="AC997" i="28" s="1"/>
  <c r="AD997" i="28" s="1"/>
  <c r="AB747" i="28"/>
  <c r="AC747" i="28" s="1"/>
  <c r="AD747" i="28" s="1"/>
  <c r="AB834" i="28"/>
  <c r="AC834" i="28" s="1"/>
  <c r="AD834" i="28" s="1"/>
  <c r="AB862" i="28"/>
  <c r="AC862" i="28" s="1"/>
  <c r="AD862" i="28" s="1"/>
  <c r="AB972" i="28"/>
  <c r="AC972" i="28" s="1"/>
  <c r="AD972" i="28" s="1"/>
  <c r="AB517" i="28"/>
  <c r="AC517" i="28" s="1"/>
  <c r="AD517" i="28" s="1"/>
  <c r="AB641" i="28"/>
  <c r="AC641" i="28" s="1"/>
  <c r="AD641" i="28" s="1"/>
  <c r="AB783" i="28"/>
  <c r="AC783" i="28" s="1"/>
  <c r="AD783" i="28" s="1"/>
  <c r="AB567" i="28"/>
  <c r="AC567" i="28" s="1"/>
  <c r="AD567" i="28" s="1"/>
  <c r="AB682" i="28"/>
  <c r="AC682" i="28" s="1"/>
  <c r="AD682" i="28" s="1"/>
  <c r="AB513" i="28"/>
  <c r="AC513" i="28" s="1"/>
  <c r="AD513" i="28" s="1"/>
  <c r="AB961" i="28"/>
  <c r="AB952" i="28"/>
  <c r="AC952" i="28" s="1"/>
  <c r="AD952" i="28" s="1"/>
  <c r="AB871" i="28"/>
  <c r="AC871" i="28" s="1"/>
  <c r="AD871" i="28" s="1"/>
  <c r="AB964" i="28"/>
  <c r="AC964" i="28" s="1"/>
  <c r="AD964" i="28" s="1"/>
  <c r="AB943" i="28"/>
  <c r="AC943" i="28" s="1"/>
  <c r="AD943" i="28" s="1"/>
  <c r="AB572" i="28"/>
  <c r="AB644" i="28"/>
  <c r="AC644" i="28" s="1"/>
  <c r="AD644" i="28" s="1"/>
  <c r="AB900" i="28"/>
  <c r="AC900" i="28" s="1"/>
  <c r="AD900" i="28" s="1"/>
  <c r="AB495" i="28"/>
  <c r="AC495" i="28" s="1"/>
  <c r="AD495" i="28" s="1"/>
  <c r="AB849" i="28"/>
  <c r="AC849" i="28" s="1"/>
  <c r="AD849" i="28" s="1"/>
  <c r="AB719" i="28"/>
  <c r="AC719" i="28" s="1"/>
  <c r="AD719" i="28" s="1"/>
  <c r="AB640" i="28"/>
  <c r="AB596" i="28"/>
  <c r="AC596" i="28" s="1"/>
  <c r="AD596" i="28" s="1"/>
  <c r="AB759" i="28"/>
  <c r="AC759" i="28" s="1"/>
  <c r="AD759" i="28" s="1"/>
  <c r="AB462" i="28"/>
  <c r="AC462" i="28" s="1"/>
  <c r="AD462" i="28" s="1"/>
  <c r="AB932" i="28"/>
  <c r="AC932" i="28" s="1"/>
  <c r="AD932" i="28" s="1"/>
  <c r="AB559" i="28"/>
  <c r="AC559" i="28" s="1"/>
  <c r="AD559" i="28" s="1"/>
  <c r="AB570" i="28"/>
  <c r="AC570" i="28" s="1"/>
  <c r="AD570" i="28" s="1"/>
  <c r="AB550" i="28"/>
  <c r="AC550" i="28" s="1"/>
  <c r="AD550" i="28" s="1"/>
  <c r="AB879" i="28"/>
  <c r="AC879" i="28" s="1"/>
  <c r="AD879" i="28" s="1"/>
  <c r="O879" i="28" s="1"/>
  <c r="AB690" i="28"/>
  <c r="AC690" i="28" s="1"/>
  <c r="AD690" i="28" s="1"/>
  <c r="AB863" i="28"/>
  <c r="AC863" i="28" s="1"/>
  <c r="AD863" i="28" s="1"/>
  <c r="AB626" i="28"/>
  <c r="AC626" i="28" s="1"/>
  <c r="AD626" i="28" s="1"/>
  <c r="AB635" i="28"/>
  <c r="AC635" i="28" s="1"/>
  <c r="AD635" i="28" s="1"/>
  <c r="AB897" i="28"/>
  <c r="AC897" i="28" s="1"/>
  <c r="AD897" i="28" s="1"/>
  <c r="AB686" i="28"/>
  <c r="AC686" i="28" s="1"/>
  <c r="AD686" i="28" s="1"/>
  <c r="AB587" i="28"/>
  <c r="AC587" i="28" s="1"/>
  <c r="AD587" i="28" s="1"/>
  <c r="AB723" i="28"/>
  <c r="AC723" i="28" s="1"/>
  <c r="AD723" i="28" s="1"/>
  <c r="AB544" i="28"/>
  <c r="AC544" i="28" s="1"/>
  <c r="AD544" i="28" s="1"/>
  <c r="AB831" i="28"/>
  <c r="AB705" i="28"/>
  <c r="AC705" i="28" s="1"/>
  <c r="AD705" i="28" s="1"/>
  <c r="AB714" i="28"/>
  <c r="AC714" i="28" s="1"/>
  <c r="AD714" i="28" s="1"/>
  <c r="AB697" i="28"/>
  <c r="AC697" i="28" s="1"/>
  <c r="AD697" i="28" s="1"/>
  <c r="AB698" i="28"/>
  <c r="AC698" i="28" s="1"/>
  <c r="AD698" i="28" s="1"/>
  <c r="AB661" i="28"/>
  <c r="AC661" i="28" s="1"/>
  <c r="AD661" i="28" s="1"/>
  <c r="M661" i="28" s="1"/>
  <c r="AB515" i="28"/>
  <c r="AC515" i="28" s="1"/>
  <c r="AD515" i="28" s="1"/>
  <c r="M515" i="28" s="1"/>
  <c r="AB498" i="28"/>
  <c r="AC498" i="28" s="1"/>
  <c r="AD498" i="28" s="1"/>
  <c r="AB988" i="28"/>
  <c r="AC988" i="28" s="1"/>
  <c r="AD988" i="28" s="1"/>
  <c r="M988" i="28" s="1"/>
  <c r="AB633" i="28"/>
  <c r="AC633" i="28" s="1"/>
  <c r="AD633" i="28" s="1"/>
  <c r="AB712" i="28"/>
  <c r="AC712" i="28" s="1"/>
  <c r="AD712" i="28" s="1"/>
  <c r="AB766" i="28"/>
  <c r="AC766" i="28" s="1"/>
  <c r="AD766" i="28" s="1"/>
  <c r="AB478" i="28"/>
  <c r="AC478" i="28" s="1"/>
  <c r="AD478" i="28" s="1"/>
  <c r="AB962" i="28"/>
  <c r="AC962" i="28" s="1"/>
  <c r="AD962" i="28" s="1"/>
  <c r="AB595" i="28"/>
  <c r="AC595" i="28" s="1"/>
  <c r="AD595" i="28" s="1"/>
  <c r="AB902" i="28"/>
  <c r="AC902" i="28" s="1"/>
  <c r="AD902" i="28" s="1"/>
  <c r="AB935" i="28"/>
  <c r="AC935" i="28" s="1"/>
  <c r="AD935" i="28" s="1"/>
  <c r="AB867" i="28"/>
  <c r="AB781" i="28"/>
  <c r="AC781" i="28" s="1"/>
  <c r="AD781" i="28" s="1"/>
  <c r="AB488" i="28"/>
  <c r="AC488" i="28" s="1"/>
  <c r="AD488" i="28" s="1"/>
  <c r="AB901" i="28"/>
  <c r="AC901" i="28" s="1"/>
  <c r="AD901" i="28" s="1"/>
  <c r="AB634" i="28"/>
  <c r="AC634" i="28" s="1"/>
  <c r="AD634" i="28" s="1"/>
  <c r="AB708" i="28"/>
  <c r="AC708" i="28" s="1"/>
  <c r="AD708" i="28" s="1"/>
  <c r="M708" i="28" s="1"/>
  <c r="AB638" i="28"/>
  <c r="AC638" i="28" s="1"/>
  <c r="AD638" i="28" s="1"/>
  <c r="AB914" i="28"/>
  <c r="AC914" i="28" s="1"/>
  <c r="AD914" i="28" s="1"/>
  <c r="AB908" i="28"/>
  <c r="AB763" i="28"/>
  <c r="AC763" i="28" s="1"/>
  <c r="AD763" i="28" s="1"/>
  <c r="AB447" i="28"/>
  <c r="AB654" i="28"/>
  <c r="AC654" i="28" s="1"/>
  <c r="AD654" i="28" s="1"/>
  <c r="AB574" i="28"/>
  <c r="AC574" i="28" s="1"/>
  <c r="AD574" i="28" s="1"/>
  <c r="AB471" i="28"/>
  <c r="AC471" i="28" s="1"/>
  <c r="AD471" i="28" s="1"/>
  <c r="AB816" i="28"/>
  <c r="AC816" i="28" s="1"/>
  <c r="AD816" i="28" s="1"/>
  <c r="AB647" i="28"/>
  <c r="AC647" i="28" s="1"/>
  <c r="AD647" i="28" s="1"/>
  <c r="AB615" i="28"/>
  <c r="AC615" i="28" s="1"/>
  <c r="AD615" i="28" s="1"/>
  <c r="AB699" i="28"/>
  <c r="AC699" i="28" s="1"/>
  <c r="AD699" i="28" s="1"/>
  <c r="AB433" i="28"/>
  <c r="AB978" i="28"/>
  <c r="AB617" i="28"/>
  <c r="AC617" i="28" s="1"/>
  <c r="AD617" i="28" s="1"/>
  <c r="AB744" i="28"/>
  <c r="AC744" i="28" s="1"/>
  <c r="AD744" i="28" s="1"/>
  <c r="AB905" i="28"/>
  <c r="AC905" i="28" s="1"/>
  <c r="AD905" i="28" s="1"/>
  <c r="AB809" i="28"/>
  <c r="AC809" i="28" s="1"/>
  <c r="AD809" i="28" s="1"/>
  <c r="AB940" i="28"/>
  <c r="AC940" i="28" s="1"/>
  <c r="AD940" i="28" s="1"/>
  <c r="AB434" i="28"/>
  <c r="AC434" i="28" s="1"/>
  <c r="AD434" i="28" s="1"/>
  <c r="AB994" i="28"/>
  <c r="AC994" i="28" s="1"/>
  <c r="AD994" i="28" s="1"/>
  <c r="AB793" i="28"/>
  <c r="AC793" i="28" s="1"/>
  <c r="AD793" i="28" s="1"/>
  <c r="AB592" i="28"/>
  <c r="AC592" i="28" s="1"/>
  <c r="AD592" i="28" s="1"/>
  <c r="AB980" i="28"/>
  <c r="AC980" i="28" s="1"/>
  <c r="AD980" i="28" s="1"/>
  <c r="AB678" i="28"/>
  <c r="AC678" i="28" s="1"/>
  <c r="AD678" i="28" s="1"/>
  <c r="M678" i="28" s="1"/>
  <c r="AB554" i="28"/>
  <c r="AC554" i="28" s="1"/>
  <c r="AD554" i="28" s="1"/>
  <c r="AB742" i="28"/>
  <c r="AB792" i="28"/>
  <c r="AC792" i="28" s="1"/>
  <c r="AD792" i="28" s="1"/>
  <c r="AB442" i="28"/>
  <c r="AC442" i="28" s="1"/>
  <c r="AD442" i="28" s="1"/>
  <c r="O442" i="28" s="1"/>
  <c r="AB599" i="28"/>
  <c r="AC599" i="28" s="1"/>
  <c r="AD599" i="28" s="1"/>
  <c r="AB701" i="28"/>
  <c r="AC701" i="28" s="1"/>
  <c r="AD701" i="28" s="1"/>
  <c r="AB852" i="28"/>
  <c r="AC852" i="28" s="1"/>
  <c r="AD852" i="28" s="1"/>
  <c r="M852" i="28" s="1"/>
  <c r="AB466" i="28"/>
  <c r="AC466" i="28" s="1"/>
  <c r="AD466" i="28" s="1"/>
  <c r="AB540" i="28"/>
  <c r="AC540" i="28" s="1"/>
  <c r="AD540" i="28" s="1"/>
  <c r="AB522" i="28"/>
  <c r="AC522" i="28" s="1"/>
  <c r="AD522" i="28" s="1"/>
  <c r="AB743" i="28"/>
  <c r="AC743" i="28" s="1"/>
  <c r="AD743" i="28" s="1"/>
  <c r="AB673" i="28"/>
  <c r="AC673" i="28" s="1"/>
  <c r="AD673" i="28" s="1"/>
  <c r="AB990" i="28"/>
  <c r="AC990" i="28" s="1"/>
  <c r="AD990" i="28" s="1"/>
  <c r="AB475" i="28"/>
  <c r="AC475" i="28" s="1"/>
  <c r="AD475" i="28" s="1"/>
  <c r="AB960" i="28"/>
  <c r="AC960" i="28" s="1"/>
  <c r="AD960" i="28" s="1"/>
  <c r="AB774" i="28"/>
  <c r="AC774" i="28" s="1"/>
  <c r="AD774" i="28" s="1"/>
  <c r="AB885" i="28"/>
  <c r="AC885" i="28" s="1"/>
  <c r="AD885" i="28" s="1"/>
  <c r="AB463" i="28"/>
  <c r="AC463" i="28" s="1"/>
  <c r="AD463" i="28" s="1"/>
  <c r="AB631" i="28"/>
  <c r="AC631" i="28" s="1"/>
  <c r="AD631" i="28" s="1"/>
  <c r="AB580" i="28"/>
  <c r="AC580" i="28" s="1"/>
  <c r="AD580" i="28" s="1"/>
  <c r="AB483" i="28"/>
  <c r="AC483" i="28" s="1"/>
  <c r="AD483" i="28" s="1"/>
  <c r="AB668" i="28"/>
  <c r="AC668" i="28" s="1"/>
  <c r="AD668" i="28" s="1"/>
  <c r="AB565" i="28"/>
  <c r="AC565" i="28" s="1"/>
  <c r="AD565" i="28" s="1"/>
  <c r="AB730" i="28"/>
  <c r="AC730" i="28" s="1"/>
  <c r="AD730" i="28" s="1"/>
  <c r="AB971" i="28"/>
  <c r="AC971" i="28" s="1"/>
  <c r="AD971" i="28" s="1"/>
  <c r="AB838" i="28"/>
  <c r="AC838" i="28" s="1"/>
  <c r="AD838" i="28" s="1"/>
  <c r="AB741" i="28"/>
  <c r="AC741" i="28" s="1"/>
  <c r="AD741" i="28" s="1"/>
  <c r="M741" i="28" s="1"/>
  <c r="AB894" i="28"/>
  <c r="AC894" i="28" s="1"/>
  <c r="AD894" i="28" s="1"/>
  <c r="AB882" i="28"/>
  <c r="AC882" i="28" s="1"/>
  <c r="AD882" i="28" s="1"/>
  <c r="AB846" i="28"/>
  <c r="AC846" i="28" s="1"/>
  <c r="AD846" i="28" s="1"/>
  <c r="AB920" i="28"/>
  <c r="AC920" i="28" s="1"/>
  <c r="AD920" i="28" s="1"/>
  <c r="AB957" i="28"/>
  <c r="AC957" i="28" s="1"/>
  <c r="AD957" i="28" s="1"/>
  <c r="AB722" i="28"/>
  <c r="AC722" i="28" s="1"/>
  <c r="AD722" i="28" s="1"/>
  <c r="AB855" i="28"/>
  <c r="AC855" i="28" s="1"/>
  <c r="AD855" i="28" s="1"/>
  <c r="AB725" i="28"/>
  <c r="AB538" i="28"/>
  <c r="AC538" i="28" s="1"/>
  <c r="AD538" i="28" s="1"/>
  <c r="AB439" i="28"/>
  <c r="AC439" i="28" s="1"/>
  <c r="AD439" i="28" s="1"/>
  <c r="AB912" i="28"/>
  <c r="AC912" i="28" s="1"/>
  <c r="AD912" i="28" s="1"/>
  <c r="AB784" i="28"/>
  <c r="AC784" i="28" s="1"/>
  <c r="AD784" i="28" s="1"/>
  <c r="AB899" i="28"/>
  <c r="AC899" i="28" s="1"/>
  <c r="AD899" i="28" s="1"/>
  <c r="AB850" i="28"/>
  <c r="AB760" i="28"/>
  <c r="AC760" i="28" s="1"/>
  <c r="AD760" i="28" s="1"/>
  <c r="AB824" i="28"/>
  <c r="AC824" i="28" s="1"/>
  <c r="AD824" i="28" s="1"/>
  <c r="AB578" i="28"/>
  <c r="AC578" i="28" s="1"/>
  <c r="AD578" i="28" s="1"/>
  <c r="AB679" i="28"/>
  <c r="AC679" i="28" s="1"/>
  <c r="AD679" i="28" s="1"/>
  <c r="AB663" i="28"/>
  <c r="AB651" i="28"/>
  <c r="AC651" i="28" s="1"/>
  <c r="AD651" i="28" s="1"/>
  <c r="AB919" i="28"/>
  <c r="AC919" i="28" s="1"/>
  <c r="AD919" i="28" s="1"/>
  <c r="AB429" i="28"/>
  <c r="AC429" i="28" s="1"/>
  <c r="AD429" i="28" s="1"/>
  <c r="AB601" i="28"/>
  <c r="AC601" i="28" s="1"/>
  <c r="AD601" i="28" s="1"/>
  <c r="AB508" i="28"/>
  <c r="AC508" i="28" s="1"/>
  <c r="AD508" i="28" s="1"/>
  <c r="AB941" i="28"/>
  <c r="AC941" i="28" s="1"/>
  <c r="AD941" i="28" s="1"/>
  <c r="AC640" i="28"/>
  <c r="AD640" i="28" s="1"/>
  <c r="AB898" i="28"/>
  <c r="AC898" i="28" s="1"/>
  <c r="AD898" i="28" s="1"/>
  <c r="AB738" i="28"/>
  <c r="AC738" i="28" s="1"/>
  <c r="AD738" i="28" s="1"/>
  <c r="AB427" i="28"/>
  <c r="AC427" i="28" s="1"/>
  <c r="AD427" i="28" s="1"/>
  <c r="AB839" i="28"/>
  <c r="AC839" i="28" s="1"/>
  <c r="AD839" i="28" s="1"/>
  <c r="AB837" i="28"/>
  <c r="AB535" i="28"/>
  <c r="AC535" i="28" s="1"/>
  <c r="AD535" i="28" s="1"/>
  <c r="AB881" i="28"/>
  <c r="AC881" i="28" s="1"/>
  <c r="AD881" i="28" s="1"/>
  <c r="AB676" i="28"/>
  <c r="AC676" i="28" s="1"/>
  <c r="AD676" i="28" s="1"/>
  <c r="AB860" i="28"/>
  <c r="AC860" i="28" s="1"/>
  <c r="AD860" i="28" s="1"/>
  <c r="O860" i="28" s="1"/>
  <c r="AB607" i="28"/>
  <c r="AC607" i="28" s="1"/>
  <c r="AD607" i="28" s="1"/>
  <c r="AB436" i="28"/>
  <c r="AC436" i="28" s="1"/>
  <c r="AD436" i="28" s="1"/>
  <c r="AB736" i="28"/>
  <c r="AC736" i="28" s="1"/>
  <c r="AD736" i="28" s="1"/>
  <c r="AB913" i="28"/>
  <c r="AC913" i="28" s="1"/>
  <c r="AD913" i="28" s="1"/>
  <c r="AB757" i="28"/>
  <c r="AC757" i="28" s="1"/>
  <c r="AD757" i="28" s="1"/>
  <c r="AB969" i="28"/>
  <c r="AC969" i="28" s="1"/>
  <c r="AD969" i="28" s="1"/>
  <c r="AB656" i="28"/>
  <c r="AC656" i="28" s="1"/>
  <c r="AD656" i="28" s="1"/>
  <c r="AB907" i="28"/>
  <c r="AC907" i="28" s="1"/>
  <c r="AD907" i="28" s="1"/>
  <c r="AB910" i="28"/>
  <c r="AC910" i="28" s="1"/>
  <c r="AD910" i="28" s="1"/>
  <c r="AB768" i="28"/>
  <c r="AC768" i="28" s="1"/>
  <c r="AD768" i="28" s="1"/>
  <c r="AB772" i="28"/>
  <c r="AC772" i="28" s="1"/>
  <c r="AD772" i="28" s="1"/>
  <c r="AB782" i="28"/>
  <c r="AC782" i="28" s="1"/>
  <c r="AD782" i="28" s="1"/>
  <c r="AB518" i="28"/>
  <c r="AC518" i="28" s="1"/>
  <c r="AD518" i="28" s="1"/>
  <c r="AB703" i="28"/>
  <c r="AC703" i="28" s="1"/>
  <c r="AD703" i="28" s="1"/>
  <c r="AB461" i="28"/>
  <c r="AC461" i="28" s="1"/>
  <c r="AD461" i="28" s="1"/>
  <c r="AB645" i="28"/>
  <c r="AC645" i="28" s="1"/>
  <c r="AD645" i="28" s="1"/>
  <c r="AB688" i="28"/>
  <c r="AC688" i="28" s="1"/>
  <c r="AD688" i="28" s="1"/>
  <c r="AB484" i="28"/>
  <c r="AC484" i="28" s="1"/>
  <c r="AD484" i="28" s="1"/>
  <c r="AB637" i="28"/>
  <c r="AC637" i="28" s="1"/>
  <c r="AD637" i="28" s="1"/>
  <c r="AB485" i="28"/>
  <c r="AC485" i="28" s="1"/>
  <c r="AD485" i="28" s="1"/>
  <c r="AB695" i="28"/>
  <c r="AC695" i="28" s="1"/>
  <c r="AD695" i="28" s="1"/>
  <c r="AB449" i="28"/>
  <c r="AC449" i="28" s="1"/>
  <c r="AD449" i="28" s="1"/>
  <c r="AB991" i="28"/>
  <c r="AC991" i="28" s="1"/>
  <c r="AD991" i="28" s="1"/>
  <c r="AB762" i="28"/>
  <c r="AC762" i="28" s="1"/>
  <c r="AD762" i="28" s="1"/>
  <c r="AB984" i="28"/>
  <c r="AC984" i="28" s="1"/>
  <c r="AD984" i="28" s="1"/>
  <c r="AB1000" i="28"/>
  <c r="AC1000" i="28" s="1"/>
  <c r="AD1000" i="28" s="1"/>
  <c r="AB456" i="28"/>
  <c r="AC456" i="28" s="1"/>
  <c r="AD456" i="28" s="1"/>
  <c r="AB992" i="28"/>
  <c r="AC992" i="28" s="1"/>
  <c r="AD992" i="28" s="1"/>
  <c r="AB536" i="28"/>
  <c r="AC536" i="28" s="1"/>
  <c r="AD536" i="28" s="1"/>
  <c r="AB873" i="28"/>
  <c r="AC873" i="28" s="1"/>
  <c r="AD873" i="28" s="1"/>
  <c r="AB777" i="28"/>
  <c r="AC777" i="28" s="1"/>
  <c r="AD777" i="28" s="1"/>
  <c r="AB510" i="28"/>
  <c r="AC510" i="28" s="1"/>
  <c r="AD510" i="28" s="1"/>
  <c r="AB953" i="28"/>
  <c r="AC953" i="28" s="1"/>
  <c r="AD953" i="28" s="1"/>
  <c r="AB610" i="28"/>
  <c r="AC610" i="28" s="1"/>
  <c r="AD610" i="28" s="1"/>
  <c r="AB666" i="28"/>
  <c r="AB974" i="28"/>
  <c r="AC974" i="28" s="1"/>
  <c r="AD974" i="28" s="1"/>
  <c r="AB807" i="28"/>
  <c r="AC807" i="28" s="1"/>
  <c r="AD807" i="28" s="1"/>
  <c r="M807" i="28" s="1"/>
  <c r="AB696" i="28"/>
  <c r="AC696" i="28" s="1"/>
  <c r="AD696" i="28" s="1"/>
  <c r="AB616" i="28"/>
  <c r="AC616" i="28" s="1"/>
  <c r="AD616" i="28" s="1"/>
  <c r="AB887" i="28"/>
  <c r="AC887" i="28" s="1"/>
  <c r="AD887" i="28" s="1"/>
  <c r="AB579" i="28"/>
  <c r="AC579" i="28" s="1"/>
  <c r="AD579" i="28" s="1"/>
  <c r="AB817" i="28"/>
  <c r="AC817" i="28" s="1"/>
  <c r="AD817" i="28" s="1"/>
  <c r="AB820" i="28"/>
  <c r="AC820" i="28" s="1"/>
  <c r="AD820" i="28" s="1"/>
  <c r="AB643" i="28"/>
  <c r="AC643" i="28" s="1"/>
  <c r="AD643" i="28" s="1"/>
  <c r="AB718" i="28"/>
  <c r="AC718" i="28" s="1"/>
  <c r="AD718" i="28" s="1"/>
  <c r="AB649" i="28"/>
  <c r="AC649" i="28" s="1"/>
  <c r="AD649" i="28" s="1"/>
  <c r="AB791" i="28"/>
  <c r="AC791" i="28" s="1"/>
  <c r="AD791" i="28" s="1"/>
  <c r="AB721" i="28"/>
  <c r="AC721" i="28" s="1"/>
  <c r="AD721" i="28" s="1"/>
  <c r="AB642" i="28"/>
  <c r="AC642" i="28" s="1"/>
  <c r="AD642" i="28" s="1"/>
  <c r="AB468" i="28"/>
  <c r="AC468" i="28" s="1"/>
  <c r="AD468" i="28" s="1"/>
  <c r="AB523" i="28"/>
  <c r="AC523" i="28" s="1"/>
  <c r="AD523" i="28" s="1"/>
  <c r="AB847" i="28"/>
  <c r="AC847" i="28" s="1"/>
  <c r="AD847" i="28" s="1"/>
  <c r="AB925" i="28"/>
  <c r="AB526" i="28"/>
  <c r="AC526" i="28" s="1"/>
  <c r="AD526" i="28" s="1"/>
  <c r="AB504" i="28"/>
  <c r="AC504" i="28" s="1"/>
  <c r="AD504" i="28" s="1"/>
  <c r="O504" i="28" s="1"/>
  <c r="AB622" i="28"/>
  <c r="AC622" i="28" s="1"/>
  <c r="AD622" i="28" s="1"/>
  <c r="AB539" i="28"/>
  <c r="AC539" i="28" s="1"/>
  <c r="AD539" i="28" s="1"/>
  <c r="O539" i="28" s="1"/>
  <c r="AB735" i="28"/>
  <c r="AC735" i="28" s="1"/>
  <c r="AD735" i="28" s="1"/>
  <c r="AB662" i="28"/>
  <c r="AB808" i="28"/>
  <c r="AC808" i="28" s="1"/>
  <c r="AD808" i="28" s="1"/>
  <c r="AB804" i="28"/>
  <c r="AC804" i="28" s="1"/>
  <c r="AD804" i="28" s="1"/>
  <c r="AB796" i="28"/>
  <c r="AC796" i="28" s="1"/>
  <c r="AD796" i="28" s="1"/>
  <c r="AB946" i="28"/>
  <c r="AC946" i="28" s="1"/>
  <c r="AD946" i="28" s="1"/>
  <c r="AC831" i="28"/>
  <c r="AD831" i="28" s="1"/>
  <c r="AC725" i="28"/>
  <c r="AD725" i="28" s="1"/>
  <c r="AC850" i="28"/>
  <c r="AD850" i="28" s="1"/>
  <c r="AC837" i="28"/>
  <c r="AD837" i="28" s="1"/>
  <c r="AB685" i="28"/>
  <c r="AC685" i="28" s="1"/>
  <c r="AD685" i="28" s="1"/>
  <c r="AB438" i="28"/>
  <c r="AC438" i="28" s="1"/>
  <c r="AD438" i="28" s="1"/>
  <c r="AB693" i="28"/>
  <c r="AC693" i="28" s="1"/>
  <c r="AD693" i="28" s="1"/>
  <c r="M693" i="28" s="1"/>
  <c r="AB986" i="28"/>
  <c r="AC986" i="28" s="1"/>
  <c r="AD986" i="28" s="1"/>
  <c r="AB890" i="28"/>
  <c r="AB560" i="28"/>
  <c r="AC560" i="28" s="1"/>
  <c r="AD560" i="28" s="1"/>
  <c r="AB999" i="28"/>
  <c r="AC999" i="28" s="1"/>
  <c r="AD999" i="28" s="1"/>
  <c r="AB528" i="28"/>
  <c r="AC528" i="28" s="1"/>
  <c r="AD528" i="28" s="1"/>
  <c r="AB923" i="28"/>
  <c r="AC923" i="28" s="1"/>
  <c r="AD923" i="28" s="1"/>
  <c r="AB659" i="28"/>
  <c r="AC659" i="28" s="1"/>
  <c r="AD659" i="28" s="1"/>
  <c r="AB929" i="28"/>
  <c r="AC929" i="28" s="1"/>
  <c r="AD929" i="28" s="1"/>
  <c r="AB689" i="28"/>
  <c r="AC689" i="28" s="1"/>
  <c r="AD689" i="28" s="1"/>
  <c r="AB729" i="28"/>
  <c r="AC729" i="28" s="1"/>
  <c r="AD729" i="28" s="1"/>
  <c r="AB646" i="28"/>
  <c r="AC646" i="28" s="1"/>
  <c r="AD646" i="28" s="1"/>
  <c r="AB566" i="28"/>
  <c r="AC566" i="28" s="1"/>
  <c r="AD566" i="28" s="1"/>
  <c r="AB731" i="28"/>
  <c r="AC731" i="28" s="1"/>
  <c r="AD731" i="28" s="1"/>
  <c r="AB810" i="28"/>
  <c r="AC810" i="28" s="1"/>
  <c r="AD810" i="28" s="1"/>
  <c r="AB482" i="28"/>
  <c r="AC482" i="28" s="1"/>
  <c r="AD482" i="28" s="1"/>
  <c r="AB674" i="28"/>
  <c r="AC674" i="28" s="1"/>
  <c r="AD674" i="28" s="1"/>
  <c r="AB813" i="28"/>
  <c r="AC813" i="28" s="1"/>
  <c r="AD813" i="28" s="1"/>
  <c r="M813" i="28" s="1"/>
  <c r="AB886" i="28"/>
  <c r="AC886" i="28" s="1"/>
  <c r="AD886" i="28" s="1"/>
  <c r="AB543" i="28"/>
  <c r="AC543" i="28" s="1"/>
  <c r="AD543" i="28" s="1"/>
  <c r="AB553" i="28"/>
  <c r="AC553" i="28" s="1"/>
  <c r="AD553" i="28" s="1"/>
  <c r="AB998" i="28"/>
  <c r="AC998" i="28" s="1"/>
  <c r="AD998" i="28" s="1"/>
  <c r="AB858" i="28"/>
  <c r="AC858" i="28" s="1"/>
  <c r="AD858" i="28" s="1"/>
  <c r="AB918" i="28"/>
  <c r="AC918" i="28" s="1"/>
  <c r="AD918" i="28" s="1"/>
  <c r="AB857" i="28"/>
  <c r="AC857" i="28" s="1"/>
  <c r="AD857" i="28" s="1"/>
  <c r="AB995" i="28"/>
  <c r="AC995" i="28" s="1"/>
  <c r="AD995" i="28" s="1"/>
  <c r="AB859" i="28"/>
  <c r="AC859" i="28" s="1"/>
  <c r="AD859" i="28" s="1"/>
  <c r="AB470" i="28"/>
  <c r="AC470" i="28" s="1"/>
  <c r="AD470" i="28" s="1"/>
  <c r="AB745" i="28"/>
  <c r="AC745" i="28" s="1"/>
  <c r="AD745" i="28" s="1"/>
  <c r="AB903" i="28"/>
  <c r="AC903" i="28" s="1"/>
  <c r="AD903" i="28" s="1"/>
  <c r="AB509" i="28"/>
  <c r="AC509" i="28" s="1"/>
  <c r="AD509" i="28" s="1"/>
  <c r="AB845" i="28"/>
  <c r="AC845" i="28" s="1"/>
  <c r="AD845" i="28" s="1"/>
  <c r="AB928" i="28"/>
  <c r="AC928" i="28" s="1"/>
  <c r="AD928" i="28" s="1"/>
  <c r="AB965" i="28"/>
  <c r="AC965" i="28" s="1"/>
  <c r="AD965" i="28" s="1"/>
  <c r="AB604" i="28"/>
  <c r="AC604" i="28" s="1"/>
  <c r="AD604" i="28" s="1"/>
  <c r="AB727" i="28"/>
  <c r="AC727" i="28" s="1"/>
  <c r="AD727" i="28" s="1"/>
  <c r="AB917" i="28"/>
  <c r="AC917" i="28" s="1"/>
  <c r="AD917" i="28" s="1"/>
  <c r="AB728" i="28"/>
  <c r="AB906" i="28"/>
  <c r="AC906" i="28" s="1"/>
  <c r="AD906" i="28" s="1"/>
  <c r="AB653" i="28"/>
  <c r="AC653" i="28" s="1"/>
  <c r="AD653" i="28" s="1"/>
  <c r="AB819" i="28"/>
  <c r="AC819" i="28" s="1"/>
  <c r="AD819" i="28" s="1"/>
  <c r="AB836" i="28"/>
  <c r="AC836" i="28" s="1"/>
  <c r="AD836" i="28" s="1"/>
  <c r="M836" i="28" s="1"/>
  <c r="AB799" i="28"/>
  <c r="AC799" i="28" s="1"/>
  <c r="AD799" i="28" s="1"/>
  <c r="AC925" i="28"/>
  <c r="AD925" i="28" s="1"/>
  <c r="AC728" i="28"/>
  <c r="AD728" i="28" s="1"/>
  <c r="AC447" i="28"/>
  <c r="AD447" i="28" s="1"/>
  <c r="AC978" i="28"/>
  <c r="AD978" i="28" s="1"/>
  <c r="AC662" i="28"/>
  <c r="AD662" i="28" s="1"/>
  <c r="O662" i="28" s="1"/>
  <c r="AB451" i="28"/>
  <c r="AC451" i="28" s="1"/>
  <c r="AD451" i="28" s="1"/>
  <c r="AB976" i="28"/>
  <c r="AC976" i="28" s="1"/>
  <c r="AD976" i="28" s="1"/>
  <c r="AB582" i="28"/>
  <c r="AC582" i="28" s="1"/>
  <c r="AD582" i="28" s="1"/>
  <c r="AB794" i="28"/>
  <c r="AC794" i="28" s="1"/>
  <c r="AD794" i="28" s="1"/>
  <c r="AB655" i="28"/>
  <c r="AC655" i="28" s="1"/>
  <c r="AD655" i="28" s="1"/>
  <c r="AB749" i="28"/>
  <c r="AC749" i="28" s="1"/>
  <c r="AD749" i="28" s="1"/>
  <c r="AB555" i="28"/>
  <c r="AC555" i="28" s="1"/>
  <c r="AD555" i="28" s="1"/>
  <c r="M555" i="28" s="1"/>
  <c r="AB893" i="28"/>
  <c r="AC893" i="28" s="1"/>
  <c r="AD893" i="28" s="1"/>
  <c r="AB588" i="28"/>
  <c r="AC588" i="28" s="1"/>
  <c r="AD588" i="28" s="1"/>
  <c r="AB541" i="28"/>
  <c r="AC541" i="28" s="1"/>
  <c r="AD541" i="28" s="1"/>
  <c r="O541" i="28" s="1"/>
  <c r="AB657" i="28"/>
  <c r="AC657" i="28" s="1"/>
  <c r="AD657" i="28" s="1"/>
  <c r="AB720" i="28"/>
  <c r="AC720" i="28" s="1"/>
  <c r="AD720" i="28" s="1"/>
  <c r="O720" i="28" s="1"/>
  <c r="AB437" i="28"/>
  <c r="AC437" i="28" s="1"/>
  <c r="AD437" i="28" s="1"/>
  <c r="AB700" i="28"/>
  <c r="AC700" i="28" s="1"/>
  <c r="AD700" i="28" s="1"/>
  <c r="AB967" i="28"/>
  <c r="AB619" i="28"/>
  <c r="AC619" i="28" s="1"/>
  <c r="AD619" i="28" s="1"/>
  <c r="AB545" i="28"/>
  <c r="AC545" i="28" s="1"/>
  <c r="AD545" i="28" s="1"/>
  <c r="AB823" i="28"/>
  <c r="AC823" i="28" s="1"/>
  <c r="AD823" i="28" s="1"/>
  <c r="AB968" i="28"/>
  <c r="AC968" i="28" s="1"/>
  <c r="AD968" i="28" s="1"/>
  <c r="AB520" i="28"/>
  <c r="AC520" i="28" s="1"/>
  <c r="AD520" i="28" s="1"/>
  <c r="AB930" i="28"/>
  <c r="AC930" i="28" s="1"/>
  <c r="AD930" i="28" s="1"/>
  <c r="AB864" i="28"/>
  <c r="AB497" i="28"/>
  <c r="AC497" i="28" s="1"/>
  <c r="AD497" i="28" s="1"/>
  <c r="AB630" i="28"/>
  <c r="AC630" i="28" s="1"/>
  <c r="AD630" i="28" s="1"/>
  <c r="AB552" i="28"/>
  <c r="AC552" i="28" s="1"/>
  <c r="AD552" i="28" s="1"/>
  <c r="AB868" i="28"/>
  <c r="AC868" i="28" s="1"/>
  <c r="AD868" i="28" s="1"/>
  <c r="AB680" i="28"/>
  <c r="AC680" i="28" s="1"/>
  <c r="AD680" i="28" s="1"/>
  <c r="AB931" i="28"/>
  <c r="AC931" i="28" s="1"/>
  <c r="AD931" i="28" s="1"/>
  <c r="AB981" i="28"/>
  <c r="AC981" i="28" s="1"/>
  <c r="AD981" i="28" s="1"/>
  <c r="AB499" i="28"/>
  <c r="AC499" i="28" s="1"/>
  <c r="AD499" i="28" s="1"/>
  <c r="AB502" i="28"/>
  <c r="AC502" i="28" s="1"/>
  <c r="AD502" i="28" s="1"/>
  <c r="AB514" i="28"/>
  <c r="AC514" i="28" s="1"/>
  <c r="AD514" i="28" s="1"/>
  <c r="AB627" i="28"/>
  <c r="AC627" i="28" s="1"/>
  <c r="AD627" i="28" s="1"/>
  <c r="AB445" i="28"/>
  <c r="AC445" i="28" s="1"/>
  <c r="AD445" i="28" s="1"/>
  <c r="AB455" i="28"/>
  <c r="AC455" i="28" s="1"/>
  <c r="AD455" i="28" s="1"/>
  <c r="AB950" i="28"/>
  <c r="AC950" i="28" s="1"/>
  <c r="AD950" i="28" s="1"/>
  <c r="AB844" i="28"/>
  <c r="AC844" i="28" s="1"/>
  <c r="AD844" i="28" s="1"/>
  <c r="AB625" i="28"/>
  <c r="AC625" i="28" s="1"/>
  <c r="AD625" i="28" s="1"/>
  <c r="AB476" i="28"/>
  <c r="AC476" i="28" s="1"/>
  <c r="AD476" i="28" s="1"/>
  <c r="AB825" i="28"/>
  <c r="AC825" i="28" s="1"/>
  <c r="AD825" i="28" s="1"/>
  <c r="AB533" i="28"/>
  <c r="AC533" i="28" s="1"/>
  <c r="AD533" i="28" s="1"/>
  <c r="AB584" i="28"/>
  <c r="AC584" i="28" s="1"/>
  <c r="AD584" i="28" s="1"/>
  <c r="AB739" i="28"/>
  <c r="AC739" i="28" s="1"/>
  <c r="AD739" i="28" s="1"/>
  <c r="M739" i="28" s="1"/>
  <c r="AB551" i="28"/>
  <c r="AC551" i="28" s="1"/>
  <c r="AD551" i="28" s="1"/>
  <c r="AB608" i="28"/>
  <c r="AC608" i="28" s="1"/>
  <c r="AD608" i="28" s="1"/>
  <c r="AB534" i="28"/>
  <c r="AC534" i="28" s="1"/>
  <c r="AD534" i="28" s="1"/>
  <c r="AB472" i="28"/>
  <c r="AC472" i="28" s="1"/>
  <c r="AD472" i="28" s="1"/>
  <c r="AB848" i="28"/>
  <c r="AC848" i="28" s="1"/>
  <c r="AD848" i="28" s="1"/>
  <c r="AC666" i="28"/>
  <c r="AD666" i="28" s="1"/>
  <c r="AC867" i="28"/>
  <c r="AD867" i="28" s="1"/>
  <c r="AC572" i="28"/>
  <c r="AD572" i="28" s="1"/>
  <c r="AB428" i="28"/>
  <c r="AC428" i="28" s="1"/>
  <c r="AD428" i="28" s="1"/>
  <c r="AB975" i="28"/>
  <c r="AC975" i="28" s="1"/>
  <c r="AD975" i="28" s="1"/>
  <c r="M975" i="28" s="1"/>
  <c r="AB511" i="28"/>
  <c r="AC511" i="28" s="1"/>
  <c r="AD511" i="28" s="1"/>
  <c r="AB581" i="28"/>
  <c r="AC581" i="28" s="1"/>
  <c r="AD581" i="28" s="1"/>
  <c r="AB915" i="28"/>
  <c r="AC915" i="28" s="1"/>
  <c r="AD915" i="28" s="1"/>
  <c r="AB870" i="28"/>
  <c r="AC870" i="28" s="1"/>
  <c r="AD870" i="28" s="1"/>
  <c r="AB780" i="28"/>
  <c r="AC780" i="28" s="1"/>
  <c r="AD780" i="28" s="1"/>
  <c r="AB481" i="28"/>
  <c r="AC481" i="28" s="1"/>
  <c r="AD481" i="28" s="1"/>
  <c r="AB652" i="28"/>
  <c r="AC652" i="28" s="1"/>
  <c r="AD652" i="28" s="1"/>
  <c r="AB989" i="28"/>
  <c r="AC989" i="28" s="1"/>
  <c r="AD989" i="28" s="1"/>
  <c r="AB547" i="28"/>
  <c r="AC547" i="28" s="1"/>
  <c r="AD547" i="28" s="1"/>
  <c r="AB594" i="28"/>
  <c r="AC594" i="28" s="1"/>
  <c r="AD594" i="28" s="1"/>
  <c r="AB779" i="28"/>
  <c r="AC779" i="28" s="1"/>
  <c r="AD779" i="28" s="1"/>
  <c r="AB606" i="28"/>
  <c r="AC606" i="28" s="1"/>
  <c r="AD606" i="28" s="1"/>
  <c r="AB669" i="28"/>
  <c r="AC669" i="28" s="1"/>
  <c r="AD669" i="28" s="1"/>
  <c r="AB613" i="28"/>
  <c r="AC613" i="28" s="1"/>
  <c r="AD613" i="28" s="1"/>
  <c r="AB711" i="28"/>
  <c r="AC711" i="28" s="1"/>
  <c r="AD711" i="28" s="1"/>
  <c r="AB458" i="28"/>
  <c r="AC458" i="28" s="1"/>
  <c r="AD458" i="28" s="1"/>
  <c r="AB752" i="28"/>
  <c r="AC752" i="28" s="1"/>
  <c r="AD752" i="28" s="1"/>
  <c r="AB576" i="28"/>
  <c r="AC576" i="28" s="1"/>
  <c r="AD576" i="28" s="1"/>
  <c r="AB963" i="28"/>
  <c r="AC963" i="28" s="1"/>
  <c r="AD963" i="28" s="1"/>
  <c r="AB773" i="28"/>
  <c r="AC773" i="28" s="1"/>
  <c r="AD773" i="28" s="1"/>
  <c r="AB707" i="28"/>
  <c r="AC707" i="28" s="1"/>
  <c r="AD707" i="28" s="1"/>
  <c r="AB556" i="28"/>
  <c r="AC556" i="28" s="1"/>
  <c r="AD556" i="28" s="1"/>
  <c r="AB876" i="28"/>
  <c r="AC876" i="28" s="1"/>
  <c r="AD876" i="28" s="1"/>
  <c r="AB529" i="28"/>
  <c r="AC529" i="28" s="1"/>
  <c r="AD529" i="28" s="1"/>
  <c r="AB945" i="28"/>
  <c r="AC945" i="28" s="1"/>
  <c r="AD945" i="28" s="1"/>
  <c r="AB842" i="28"/>
  <c r="AC842" i="28" s="1"/>
  <c r="AD842" i="28" s="1"/>
  <c r="AB557" i="28"/>
  <c r="AC557" i="28" s="1"/>
  <c r="AD557" i="28" s="1"/>
  <c r="AB715" i="28"/>
  <c r="AC715" i="28" s="1"/>
  <c r="AD715" i="28" s="1"/>
  <c r="AB562" i="28"/>
  <c r="AC562" i="28" s="1"/>
  <c r="AD562" i="28" s="1"/>
  <c r="AB469" i="28"/>
  <c r="AC469" i="28" s="1"/>
  <c r="AD469" i="28" s="1"/>
  <c r="AB753" i="28"/>
  <c r="AC753" i="28" s="1"/>
  <c r="AD753" i="28" s="1"/>
  <c r="AB494" i="28"/>
  <c r="AC494" i="28" s="1"/>
  <c r="AD494" i="28" s="1"/>
  <c r="O494" i="28" s="1"/>
  <c r="AB624" i="28"/>
  <c r="AC624" i="28" s="1"/>
  <c r="AD624" i="28" s="1"/>
  <c r="AB789" i="28"/>
  <c r="AC789" i="28" s="1"/>
  <c r="AD789" i="28" s="1"/>
  <c r="AB936" i="28"/>
  <c r="AC936" i="28" s="1"/>
  <c r="AD936" i="28" s="1"/>
  <c r="AB922" i="28"/>
  <c r="AC922" i="28" s="1"/>
  <c r="AD922" i="28" s="1"/>
  <c r="AB771" i="28"/>
  <c r="AC771" i="28" s="1"/>
  <c r="AD771" i="28" s="1"/>
  <c r="AB761" i="28"/>
  <c r="AC761" i="28" s="1"/>
  <c r="AD761" i="28" s="1"/>
  <c r="AB452" i="28"/>
  <c r="AC452" i="28" s="1"/>
  <c r="AD452" i="28" s="1"/>
  <c r="AB605" i="28"/>
  <c r="AC605" i="28" s="1"/>
  <c r="AD605" i="28" s="1"/>
  <c r="AC908" i="28"/>
  <c r="AD908" i="28" s="1"/>
  <c r="AC967" i="28"/>
  <c r="AD967" i="28" s="1"/>
  <c r="AC742" i="28"/>
  <c r="AD742" i="28" s="1"/>
  <c r="AC961" i="28"/>
  <c r="AD961" i="28" s="1"/>
  <c r="AB632" i="28"/>
  <c r="AC632" i="28" s="1"/>
  <c r="AD632" i="28" s="1"/>
  <c r="AB966" i="28"/>
  <c r="AC966" i="28" s="1"/>
  <c r="AD966" i="28" s="1"/>
  <c r="AB892" i="28"/>
  <c r="AC892" i="28" s="1"/>
  <c r="AD892" i="28" s="1"/>
  <c r="AB840" i="28"/>
  <c r="AC840" i="28" s="1"/>
  <c r="AD840" i="28" s="1"/>
  <c r="AB612" i="28"/>
  <c r="AC612" i="28" s="1"/>
  <c r="AD612" i="28" s="1"/>
  <c r="AB603" i="28"/>
  <c r="AC603" i="28" s="1"/>
  <c r="AD603" i="28" s="1"/>
  <c r="AB822" i="28"/>
  <c r="AC822" i="28" s="1"/>
  <c r="AD822" i="28" s="1"/>
  <c r="AB448" i="28"/>
  <c r="AC448" i="28" s="1"/>
  <c r="AD448" i="28" s="1"/>
  <c r="AB507" i="28"/>
  <c r="AC507" i="28" s="1"/>
  <c r="AD507" i="28" s="1"/>
  <c r="AB833" i="28"/>
  <c r="AC833" i="28" s="1"/>
  <c r="AD833" i="28" s="1"/>
  <c r="AB611" i="28"/>
  <c r="AC611" i="28" s="1"/>
  <c r="AD611" i="28" s="1"/>
  <c r="AB854" i="28"/>
  <c r="AC854" i="28" s="1"/>
  <c r="AD854" i="28" s="1"/>
  <c r="AB577" i="28"/>
  <c r="AC577" i="28" s="1"/>
  <c r="AD577" i="28" s="1"/>
  <c r="AB694" i="28"/>
  <c r="AC694" i="28" s="1"/>
  <c r="AD694" i="28" s="1"/>
  <c r="AB460" i="28"/>
  <c r="AC460" i="28" s="1"/>
  <c r="AD460" i="28" s="1"/>
  <c r="AB443" i="28"/>
  <c r="AC443" i="28" s="1"/>
  <c r="AD443" i="28" s="1"/>
  <c r="AB473" i="28"/>
  <c r="AC473" i="28" s="1"/>
  <c r="AD473" i="28" s="1"/>
  <c r="AB710" i="28"/>
  <c r="AC710" i="28" s="1"/>
  <c r="AD710" i="28" s="1"/>
  <c r="AB869" i="28"/>
  <c r="AC869" i="28" s="1"/>
  <c r="AD869" i="28" s="1"/>
  <c r="AB530" i="28"/>
  <c r="AC530" i="28" s="1"/>
  <c r="AD530" i="28" s="1"/>
  <c r="AB474" i="28"/>
  <c r="AC474" i="28" s="1"/>
  <c r="AD474" i="28" s="1"/>
  <c r="AB537" i="28"/>
  <c r="AC537" i="28" s="1"/>
  <c r="AD537" i="28" s="1"/>
  <c r="AB493" i="28"/>
  <c r="AC493" i="28" s="1"/>
  <c r="AD493" i="28" s="1"/>
  <c r="AB440" i="28"/>
  <c r="AC440" i="28" s="1"/>
  <c r="AD440" i="28" s="1"/>
  <c r="AB593" i="28"/>
  <c r="AC593" i="28" s="1"/>
  <c r="AD593" i="28" s="1"/>
  <c r="O593" i="28" s="1"/>
  <c r="AB942" i="28"/>
  <c r="AC942" i="28" s="1"/>
  <c r="AD942" i="28" s="1"/>
  <c r="AB911" i="28"/>
  <c r="AC911" i="28" s="1"/>
  <c r="AD911" i="28" s="1"/>
  <c r="AB664" i="28"/>
  <c r="AC664" i="28" s="1"/>
  <c r="AD664" i="28" s="1"/>
  <c r="AB589" i="28"/>
  <c r="AC589" i="28" s="1"/>
  <c r="AD589" i="28" s="1"/>
  <c r="AB650" i="28"/>
  <c r="AC650" i="28" s="1"/>
  <c r="AD650" i="28" s="1"/>
  <c r="AB811" i="28"/>
  <c r="AC811" i="28" s="1"/>
  <c r="AD811" i="28" s="1"/>
  <c r="AB948" i="28"/>
  <c r="AC948" i="28" s="1"/>
  <c r="AD948" i="28" s="1"/>
  <c r="AB877" i="28"/>
  <c r="AC877" i="28" s="1"/>
  <c r="AD877" i="28" s="1"/>
  <c r="M877" i="28" s="1"/>
  <c r="AB880" i="28"/>
  <c r="AC880" i="28" s="1"/>
  <c r="AD880" i="28" s="1"/>
  <c r="AB614" i="28"/>
  <c r="AC614" i="28" s="1"/>
  <c r="AD614" i="28" s="1"/>
  <c r="AB889" i="28"/>
  <c r="AC889" i="28" s="1"/>
  <c r="AD889" i="28" s="1"/>
  <c r="AB571" i="28"/>
  <c r="AC571" i="28" s="1"/>
  <c r="AD571" i="28" s="1"/>
  <c r="AB958" i="28"/>
  <c r="AC958" i="28" s="1"/>
  <c r="AD958" i="28" s="1"/>
  <c r="AB621" i="28"/>
  <c r="AC621" i="28" s="1"/>
  <c r="AD621" i="28" s="1"/>
  <c r="AB704" i="28"/>
  <c r="AC704" i="28" s="1"/>
  <c r="AD704" i="28" s="1"/>
  <c r="O704" i="28" s="1"/>
  <c r="AB629" i="28"/>
  <c r="AC629" i="28" s="1"/>
  <c r="AD629" i="28" s="1"/>
  <c r="O629" i="28" s="1"/>
  <c r="AC663" i="28"/>
  <c r="AD663" i="28" s="1"/>
  <c r="O663" i="28" s="1"/>
  <c r="AC864" i="28"/>
  <c r="AD864" i="28" s="1"/>
  <c r="M864" i="28" s="1"/>
  <c r="AC433" i="28"/>
  <c r="AD433" i="28" s="1"/>
  <c r="O433" i="28" s="1"/>
  <c r="AC890" i="28"/>
  <c r="AD890" i="28" s="1"/>
  <c r="AB982" i="28"/>
  <c r="AC982" i="28" s="1"/>
  <c r="AD982" i="28" s="1"/>
  <c r="AB561" i="28"/>
  <c r="AC561" i="28" s="1"/>
  <c r="AD561" i="28" s="1"/>
  <c r="M561" i="28" s="1"/>
  <c r="AB841" i="28"/>
  <c r="AC841" i="28" s="1"/>
  <c r="AD841" i="28" s="1"/>
  <c r="O841" i="28" s="1"/>
  <c r="AB826" i="28"/>
  <c r="AC826" i="28" s="1"/>
  <c r="AD826" i="28" s="1"/>
  <c r="M826" i="28" s="1"/>
  <c r="AB713" i="28"/>
  <c r="AC713" i="28" s="1"/>
  <c r="AD713" i="28" s="1"/>
  <c r="O713" i="28" s="1"/>
  <c r="AB977" i="28"/>
  <c r="AC977" i="28" s="1"/>
  <c r="AD977" i="28" s="1"/>
  <c r="O977" i="28" s="1"/>
  <c r="AB667" i="28"/>
  <c r="AC667" i="28" s="1"/>
  <c r="AD667" i="28" s="1"/>
  <c r="M667" i="28" s="1"/>
  <c r="AB501" i="28"/>
  <c r="AC501" i="28" s="1"/>
  <c r="AD501" i="28" s="1"/>
  <c r="AB758" i="28"/>
  <c r="AC758" i="28" s="1"/>
  <c r="AD758" i="28" s="1"/>
  <c r="AB954" i="28"/>
  <c r="AC954" i="28" s="1"/>
  <c r="AD954" i="28" s="1"/>
  <c r="O954" i="28" s="1"/>
  <c r="AB512" i="28"/>
  <c r="AC512" i="28" s="1"/>
  <c r="AD512" i="28" s="1"/>
  <c r="M512" i="28" s="1"/>
  <c r="AB933" i="28"/>
  <c r="AC933" i="28" s="1"/>
  <c r="AD933" i="28" s="1"/>
  <c r="O933" i="28" s="1"/>
  <c r="AB785" i="28"/>
  <c r="AC785" i="28" s="1"/>
  <c r="AD785" i="28" s="1"/>
  <c r="O785" i="28" s="1"/>
  <c r="AB658" i="28"/>
  <c r="AC658" i="28" s="1"/>
  <c r="AD658" i="28" s="1"/>
  <c r="O658" i="28" s="1"/>
  <c r="AB896" i="28"/>
  <c r="AC896" i="28" s="1"/>
  <c r="AD896" i="28" s="1"/>
  <c r="M896" i="28" s="1"/>
  <c r="AB524" i="28"/>
  <c r="AC524" i="28" s="1"/>
  <c r="AD524" i="28" s="1"/>
  <c r="M524" i="28" s="1"/>
  <c r="AB597" i="28"/>
  <c r="AC597" i="28" s="1"/>
  <c r="AD597" i="28" s="1"/>
  <c r="M597" i="28" s="1"/>
  <c r="AB921" i="28"/>
  <c r="AC921" i="28" s="1"/>
  <c r="AD921" i="28" s="1"/>
  <c r="O921" i="28" s="1"/>
  <c r="AB716" i="28"/>
  <c r="AC716" i="28" s="1"/>
  <c r="AD716" i="28" s="1"/>
  <c r="M716" i="28" s="1"/>
  <c r="AB573" i="28"/>
  <c r="AC573" i="28" s="1"/>
  <c r="AD573" i="28" s="1"/>
  <c r="M573" i="28" s="1"/>
  <c r="AB814" i="28"/>
  <c r="AC814" i="28" s="1"/>
  <c r="AD814" i="28" s="1"/>
  <c r="O814" i="28" s="1"/>
  <c r="AB441" i="28"/>
  <c r="AC441" i="28" s="1"/>
  <c r="AD441" i="28" s="1"/>
  <c r="M441" i="28" s="1"/>
  <c r="AB866" i="28"/>
  <c r="AC866" i="28" s="1"/>
  <c r="AD866" i="28" s="1"/>
  <c r="O866" i="28" s="1"/>
  <c r="AB803" i="28"/>
  <c r="AC803" i="28" s="1"/>
  <c r="AD803" i="28" s="1"/>
  <c r="M803" i="28" s="1"/>
  <c r="AB602" i="28"/>
  <c r="AC602" i="28" s="1"/>
  <c r="AD602" i="28" s="1"/>
  <c r="M602" i="28" s="1"/>
  <c r="AB435" i="28"/>
  <c r="AC435" i="28" s="1"/>
  <c r="AD435" i="28" s="1"/>
  <c r="AB895" i="28"/>
  <c r="AC895" i="28" s="1"/>
  <c r="AD895" i="28" s="1"/>
  <c r="M895" i="28" s="1"/>
  <c r="AB827" i="28"/>
  <c r="AC827" i="28" s="1"/>
  <c r="AD827" i="28" s="1"/>
  <c r="M827" i="28" s="1"/>
  <c r="AB979" i="28"/>
  <c r="AC979" i="28" s="1"/>
  <c r="AD979" i="28" s="1"/>
  <c r="O979" i="28" s="1"/>
  <c r="AB521" i="28"/>
  <c r="AC521" i="28" s="1"/>
  <c r="AD521" i="28" s="1"/>
  <c r="O521" i="28" s="1"/>
  <c r="AB798" i="28"/>
  <c r="AC798" i="28" s="1"/>
  <c r="AD798" i="28" s="1"/>
  <c r="AB776" i="28"/>
  <c r="AC776" i="28" s="1"/>
  <c r="AD776" i="28" s="1"/>
  <c r="O776" i="28" s="1"/>
  <c r="AB861" i="28"/>
  <c r="AC861" i="28" s="1"/>
  <c r="AD861" i="28" s="1"/>
  <c r="O861" i="28" s="1"/>
  <c r="AB446" i="28"/>
  <c r="AC446" i="28" s="1"/>
  <c r="AD446" i="28" s="1"/>
  <c r="AB706" i="28"/>
  <c r="AC706" i="28" s="1"/>
  <c r="AD706" i="28" s="1"/>
  <c r="O706" i="28" s="1"/>
  <c r="AB717" i="28"/>
  <c r="AC717" i="28" s="1"/>
  <c r="AD717" i="28" s="1"/>
  <c r="M717" i="28" s="1"/>
  <c r="AB702" i="28"/>
  <c r="AC702" i="28" s="1"/>
  <c r="AD702" i="28" s="1"/>
  <c r="M702" i="28" s="1"/>
  <c r="AB532" i="28"/>
  <c r="AC532" i="28" s="1"/>
  <c r="AD532" i="28" s="1"/>
  <c r="M532" i="28" s="1"/>
  <c r="AB525" i="28"/>
  <c r="AC525" i="28" s="1"/>
  <c r="AD525" i="28" s="1"/>
  <c r="M525" i="28" s="1"/>
  <c r="AB480" i="28"/>
  <c r="AC480" i="28" s="1"/>
  <c r="AD480" i="28" s="1"/>
  <c r="AB775" i="28"/>
  <c r="AC775" i="28" s="1"/>
  <c r="AD775" i="28" s="1"/>
  <c r="O775" i="28" s="1"/>
  <c r="AB769" i="28"/>
  <c r="AC769" i="28" s="1"/>
  <c r="AD769" i="28" s="1"/>
  <c r="M769" i="28" s="1"/>
  <c r="AB681" i="28"/>
  <c r="AC681" i="28" s="1"/>
  <c r="AD681" i="28" s="1"/>
  <c r="O681" i="28" s="1"/>
  <c r="AB947" i="28"/>
  <c r="AC947" i="28" s="1"/>
  <c r="AD947" i="28" s="1"/>
  <c r="O947" i="28" s="1"/>
  <c r="AB503" i="28"/>
  <c r="AC503" i="28" s="1"/>
  <c r="AD503" i="28" s="1"/>
  <c r="M503" i="28" s="1"/>
  <c r="AB506" i="28"/>
  <c r="AC506" i="28" s="1"/>
  <c r="AD506" i="28" s="1"/>
  <c r="M506" i="28" s="1"/>
  <c r="AB755" i="28"/>
  <c r="AC755" i="28" s="1"/>
  <c r="AD755" i="28" s="1"/>
  <c r="M755" i="28" s="1"/>
  <c r="AB944" i="28"/>
  <c r="AC944" i="28" s="1"/>
  <c r="AD944" i="28" s="1"/>
  <c r="AB829" i="28"/>
  <c r="AC829" i="28" s="1"/>
  <c r="AD829" i="28" s="1"/>
  <c r="O829" i="28" s="1"/>
  <c r="AB548" i="28"/>
  <c r="AC548" i="28" s="1"/>
  <c r="AD548" i="28" s="1"/>
  <c r="M548" i="28" s="1"/>
  <c r="AB665" i="28"/>
  <c r="AC665" i="28" s="1"/>
  <c r="AD665" i="28" s="1"/>
  <c r="AB927" i="28"/>
  <c r="AC927" i="28" s="1"/>
  <c r="AD927" i="28" s="1"/>
  <c r="O927" i="28" s="1"/>
  <c r="AB569" i="28"/>
  <c r="AC569" i="28" s="1"/>
  <c r="AD569" i="28" s="1"/>
  <c r="O569" i="28" s="1"/>
  <c r="AB527" i="28"/>
  <c r="AC527" i="28" s="1"/>
  <c r="AD527" i="28" s="1"/>
  <c r="M527" i="28" s="1"/>
  <c r="AB457" i="28"/>
  <c r="AC457" i="28" s="1"/>
  <c r="AD457" i="28" s="1"/>
  <c r="O457" i="28" s="1"/>
  <c r="AB519" i="28"/>
  <c r="AC519" i="28" s="1"/>
  <c r="AD519" i="28" s="1"/>
  <c r="AB939" i="28"/>
  <c r="AC939" i="28" s="1"/>
  <c r="AD939" i="28" s="1"/>
  <c r="M939" i="28" s="1"/>
  <c r="AB924" i="28"/>
  <c r="AC924" i="28" s="1"/>
  <c r="AD924" i="28" s="1"/>
  <c r="M924" i="28" s="1"/>
  <c r="AB993" i="28"/>
  <c r="AC993" i="28" s="1"/>
  <c r="AD993" i="28" s="1"/>
  <c r="AB983" i="28"/>
  <c r="AC983" i="28" s="1"/>
  <c r="AD983" i="28" s="1"/>
  <c r="O983" i="28" s="1"/>
  <c r="AB786" i="28"/>
  <c r="AC786" i="28" s="1"/>
  <c r="AD786" i="28" s="1"/>
  <c r="M786" i="28" s="1"/>
  <c r="AB756" i="28"/>
  <c r="AC756" i="28" s="1"/>
  <c r="AD756" i="28" s="1"/>
  <c r="O756" i="28" s="1"/>
  <c r="AB477" i="28"/>
  <c r="AC477" i="28" s="1"/>
  <c r="AD477" i="28" s="1"/>
  <c r="M477" i="28" s="1"/>
  <c r="AB830" i="28"/>
  <c r="AC830" i="28" s="1"/>
  <c r="AD830" i="28" s="1"/>
  <c r="AB563" i="28"/>
  <c r="AC563" i="28" s="1"/>
  <c r="AD563" i="28" s="1"/>
  <c r="O563" i="28" s="1"/>
  <c r="AB737" i="28"/>
  <c r="AC737" i="28" s="1"/>
  <c r="AD737" i="28" s="1"/>
  <c r="M737" i="28" s="1"/>
  <c r="AB787" i="28"/>
  <c r="AC787" i="28" s="1"/>
  <c r="AD787" i="28" s="1"/>
  <c r="O787" i="28" s="1"/>
  <c r="AB575" i="28"/>
  <c r="AC575" i="28" s="1"/>
  <c r="AD575" i="28" s="1"/>
  <c r="AB496" i="28"/>
  <c r="AC496" i="28" s="1"/>
  <c r="AD496" i="28" s="1"/>
  <c r="O496" i="28" s="1"/>
  <c r="AB874" i="28"/>
  <c r="AC874" i="28" s="1"/>
  <c r="AD874" i="28" s="1"/>
  <c r="M874" i="28" s="1"/>
  <c r="AB875" i="28"/>
  <c r="AC875" i="28" s="1"/>
  <c r="AD875" i="28" s="1"/>
  <c r="O875" i="28" s="1"/>
  <c r="M662" i="28"/>
  <c r="Z117" i="28"/>
  <c r="M879" i="28"/>
  <c r="M520" i="28"/>
  <c r="O520" i="28"/>
  <c r="O437" i="28"/>
  <c r="M437" i="28"/>
  <c r="O461" i="28"/>
  <c r="M461" i="28"/>
  <c r="M465" i="28"/>
  <c r="O465" i="28"/>
  <c r="M780" i="28"/>
  <c r="O780" i="28"/>
  <c r="M574" i="28"/>
  <c r="O574" i="28"/>
  <c r="O852" i="28"/>
  <c r="O844" i="28"/>
  <c r="M844" i="28"/>
  <c r="O796" i="28"/>
  <c r="M796" i="28"/>
  <c r="M541" i="28"/>
  <c r="M645" i="28"/>
  <c r="O645" i="28"/>
  <c r="O825" i="28"/>
  <c r="M825" i="28"/>
  <c r="O988" i="28"/>
  <c r="M943" i="28"/>
  <c r="O943" i="28"/>
  <c r="O834" i="28"/>
  <c r="M834" i="28"/>
  <c r="O456" i="28"/>
  <c r="M456" i="28"/>
  <c r="O515" i="28"/>
  <c r="O971" i="28"/>
  <c r="M971" i="28"/>
  <c r="M735" i="28"/>
  <c r="O735" i="28"/>
  <c r="O535" i="28"/>
  <c r="M535" i="28"/>
  <c r="O972" i="28"/>
  <c r="M972" i="28"/>
  <c r="O586" i="28"/>
  <c r="M586" i="28"/>
  <c r="M707" i="28"/>
  <c r="O707" i="28"/>
  <c r="O794" i="28"/>
  <c r="M794" i="28"/>
  <c r="M459" i="28"/>
  <c r="O459" i="28"/>
  <c r="M990" i="28"/>
  <c r="O990" i="28"/>
  <c r="M876" i="28"/>
  <c r="O876" i="28"/>
  <c r="M860" i="28"/>
  <c r="M946" i="28"/>
  <c r="O946" i="28"/>
  <c r="O739" i="28"/>
  <c r="O571" i="28"/>
  <c r="M571" i="28"/>
  <c r="O619" i="28"/>
  <c r="M619" i="28"/>
  <c r="M570" i="28"/>
  <c r="O570" i="28"/>
  <c r="M514" i="28"/>
  <c r="O514" i="28"/>
  <c r="M945" i="28"/>
  <c r="O945" i="28"/>
  <c r="O856" i="28"/>
  <c r="M856" i="28"/>
  <c r="O842" i="28"/>
  <c r="M842" i="28"/>
  <c r="O615" i="28"/>
  <c r="M615" i="28"/>
  <c r="O813" i="28"/>
  <c r="M832" i="28"/>
  <c r="O832" i="28"/>
  <c r="M914" i="28"/>
  <c r="O914" i="28"/>
  <c r="O708" i="28"/>
  <c r="M488" i="28"/>
  <c r="O488" i="28"/>
  <c r="O637" i="28"/>
  <c r="M637" i="28"/>
  <c r="O836" i="28"/>
  <c r="M436" i="28"/>
  <c r="O436" i="28"/>
  <c r="O611" i="28"/>
  <c r="M611" i="28"/>
  <c r="M504" i="28"/>
  <c r="M705" i="28"/>
  <c r="O705" i="28"/>
  <c r="M880" i="28"/>
  <c r="O880" i="28"/>
  <c r="O693" i="28"/>
  <c r="M601" i="28"/>
  <c r="O601" i="28"/>
  <c r="M442" i="28"/>
  <c r="M727" i="28"/>
  <c r="O727" i="28"/>
  <c r="M494" i="28"/>
  <c r="O668" i="28"/>
  <c r="M668" i="28"/>
  <c r="M789" i="28"/>
  <c r="O789" i="28"/>
  <c r="O596" i="28"/>
  <c r="M596" i="28"/>
  <c r="M584" i="28"/>
  <c r="O584" i="28"/>
  <c r="O906" i="28"/>
  <c r="M906" i="28"/>
  <c r="O807" i="28"/>
  <c r="M910" i="28"/>
  <c r="O910" i="28"/>
  <c r="M923" i="28"/>
  <c r="O923" i="28"/>
  <c r="M470" i="28"/>
  <c r="O470" i="28"/>
  <c r="O741" i="28"/>
  <c r="O445" i="28"/>
  <c r="M445" i="28"/>
  <c r="O877" i="28"/>
  <c r="O975" i="28"/>
  <c r="O673" i="28"/>
  <c r="M673" i="28"/>
  <c r="O608" i="28"/>
  <c r="M608" i="28"/>
  <c r="M533" i="28"/>
  <c r="O533" i="28"/>
  <c r="O555" i="28"/>
  <c r="O697" i="28"/>
  <c r="M697" i="28"/>
  <c r="M659" i="28"/>
  <c r="O659" i="28"/>
  <c r="O566" i="28"/>
  <c r="M566" i="28"/>
  <c r="O678" i="28"/>
  <c r="M962" i="28"/>
  <c r="O962" i="28"/>
  <c r="O616" i="28"/>
  <c r="M616" i="28"/>
  <c r="M989" i="28"/>
  <c r="O989" i="28"/>
  <c r="O661" i="28"/>
  <c r="M861" i="28"/>
  <c r="M974" i="28"/>
  <c r="O974" i="28"/>
  <c r="M676" i="28"/>
  <c r="O676" i="28"/>
  <c r="M720" i="28"/>
  <c r="M497" i="28"/>
  <c r="O497" i="28"/>
  <c r="M543" i="28"/>
  <c r="O543" i="28"/>
  <c r="M539" i="28"/>
  <c r="O476" i="28"/>
  <c r="M476" i="28"/>
  <c r="O466" i="28"/>
  <c r="M466" i="28"/>
  <c r="O808" i="28"/>
  <c r="M808" i="28"/>
  <c r="O922" i="28"/>
  <c r="M922" i="28"/>
  <c r="O885" i="28"/>
  <c r="M885" i="28"/>
  <c r="M744" i="28"/>
  <c r="O744" i="28"/>
  <c r="O803" i="28"/>
  <c r="O905" i="28"/>
  <c r="M905" i="28"/>
  <c r="M771" i="28"/>
  <c r="O771" i="28"/>
  <c r="M689" i="28"/>
  <c r="O689" i="28"/>
  <c r="O502" i="28"/>
  <c r="M502" i="28"/>
  <c r="M701" i="28"/>
  <c r="O701" i="28"/>
  <c r="M845" i="28"/>
  <c r="O845" i="28"/>
  <c r="M738" i="28"/>
  <c r="O738" i="28"/>
  <c r="O537" i="28"/>
  <c r="M537" i="28"/>
  <c r="M627" i="28"/>
  <c r="O627" i="28"/>
  <c r="M862" i="28"/>
  <c r="O862" i="28"/>
  <c r="M723" i="28"/>
  <c r="O723" i="28"/>
  <c r="O613" i="28"/>
  <c r="M613" i="28"/>
  <c r="O511" i="28"/>
  <c r="M511" i="28"/>
  <c r="M523" i="28"/>
  <c r="O523" i="28"/>
  <c r="O641" i="28"/>
  <c r="M641" i="28"/>
  <c r="O468" i="28"/>
  <c r="M468" i="28"/>
  <c r="O688" i="28"/>
  <c r="M688" i="28"/>
  <c r="O545" i="28"/>
  <c r="M545" i="28"/>
  <c r="O647" i="28"/>
  <c r="M647" i="28"/>
  <c r="O460" i="28"/>
  <c r="M460" i="28"/>
  <c r="O568" i="28"/>
  <c r="M568" i="28"/>
  <c r="M632" i="28"/>
  <c r="O632" i="28"/>
  <c r="M887" i="28"/>
  <c r="O887" i="28"/>
  <c r="M840" i="28"/>
  <c r="O840" i="28"/>
  <c r="O804" i="28"/>
  <c r="M804" i="28"/>
  <c r="O524" i="28"/>
  <c r="M752" i="28"/>
  <c r="O752" i="28"/>
  <c r="O495" i="28"/>
  <c r="M495" i="28"/>
  <c r="M964" i="28"/>
  <c r="O964" i="28"/>
  <c r="M643" i="28"/>
  <c r="O643" i="28"/>
  <c r="M747" i="28"/>
  <c r="O747" i="28"/>
  <c r="M604" i="28"/>
  <c r="O604" i="28"/>
  <c r="O484" i="28"/>
  <c r="M484" i="28"/>
  <c r="O576" i="28"/>
  <c r="M576" i="28"/>
  <c r="O1000" i="28"/>
  <c r="M1000" i="28"/>
  <c r="M952" i="28"/>
  <c r="O952" i="28"/>
  <c r="O482" i="28"/>
  <c r="M482" i="28"/>
  <c r="O700" i="28"/>
  <c r="M700" i="28"/>
  <c r="O485" i="28"/>
  <c r="M485" i="28"/>
  <c r="M958" i="28"/>
  <c r="O958" i="28"/>
  <c r="M599" i="28"/>
  <c r="O599" i="28"/>
  <c r="M819" i="28"/>
  <c r="O819" i="28"/>
  <c r="M784" i="28"/>
  <c r="O784" i="28"/>
  <c r="O581" i="28"/>
  <c r="M581" i="28"/>
  <c r="M829" i="28"/>
  <c r="M981" i="28"/>
  <c r="O981" i="28"/>
  <c r="O849" i="28"/>
  <c r="M849" i="28"/>
  <c r="M538" i="28"/>
  <c r="O538" i="28"/>
  <c r="M614" i="28"/>
  <c r="O614" i="28"/>
  <c r="O871" i="28"/>
  <c r="M871" i="28"/>
  <c r="O998" i="28"/>
  <c r="M998" i="28"/>
  <c r="M721" i="28"/>
  <c r="O721" i="28"/>
  <c r="O984" i="28"/>
  <c r="M984" i="28"/>
  <c r="O820" i="28"/>
  <c r="M820" i="28"/>
  <c r="O899" i="28"/>
  <c r="M899" i="28"/>
  <c r="M579" i="28"/>
  <c r="O579" i="28"/>
  <c r="M633" i="28"/>
  <c r="O633" i="28"/>
  <c r="O528" i="28"/>
  <c r="M528" i="28"/>
  <c r="M841" i="28"/>
  <c r="M965" i="28"/>
  <c r="O965" i="28"/>
  <c r="O966" i="28"/>
  <c r="M966" i="28"/>
  <c r="O893" i="28"/>
  <c r="M893" i="28"/>
  <c r="M930" i="28"/>
  <c r="O930" i="28"/>
  <c r="O779" i="28"/>
  <c r="M779" i="28"/>
  <c r="M994" i="28"/>
  <c r="O994" i="28"/>
  <c r="O624" i="28"/>
  <c r="M624" i="28"/>
  <c r="O458" i="28"/>
  <c r="M458" i="28"/>
  <c r="M595" i="28"/>
  <c r="O595" i="28"/>
  <c r="O578" i="28"/>
  <c r="M578" i="28"/>
  <c r="M950" i="28"/>
  <c r="O950" i="28"/>
  <c r="O602" i="28"/>
  <c r="M774" i="28"/>
  <c r="O774" i="28"/>
  <c r="O995" i="28"/>
  <c r="M995" i="28"/>
  <c r="M824" i="28"/>
  <c r="O824" i="28"/>
  <c r="O783" i="28"/>
  <c r="M783" i="28"/>
  <c r="O518" i="28"/>
  <c r="M518" i="28"/>
  <c r="M695" i="28"/>
  <c r="O695" i="28"/>
  <c r="M749" i="28"/>
  <c r="O749" i="28"/>
  <c r="M551" i="28"/>
  <c r="O551" i="28"/>
  <c r="O626" i="28"/>
  <c r="M626" i="28"/>
  <c r="M920" i="28"/>
  <c r="O920" i="28"/>
  <c r="M610" i="28"/>
  <c r="O610" i="28"/>
  <c r="M846" i="28"/>
  <c r="O846" i="28"/>
  <c r="M564" i="28"/>
  <c r="O564" i="28"/>
  <c r="O463" i="28"/>
  <c r="M463" i="28"/>
  <c r="M622" i="28"/>
  <c r="O622" i="28"/>
  <c r="O811" i="28"/>
  <c r="M811" i="28"/>
  <c r="M918" i="28"/>
  <c r="O918" i="28"/>
  <c r="M698" i="28"/>
  <c r="O698" i="28"/>
  <c r="O607" i="28"/>
  <c r="M607" i="28"/>
  <c r="M937" i="28"/>
  <c r="O937" i="28"/>
  <c r="M649" i="28"/>
  <c r="O649" i="28"/>
  <c r="O631" i="28"/>
  <c r="M631" i="28"/>
  <c r="M898" i="28"/>
  <c r="O898" i="28"/>
  <c r="O912" i="28"/>
  <c r="M912" i="28"/>
  <c r="M773" i="28"/>
  <c r="O773" i="28"/>
  <c r="M809" i="28"/>
  <c r="O809" i="28"/>
  <c r="O682" i="28"/>
  <c r="M682" i="28"/>
  <c r="M753" i="28"/>
  <c r="O753" i="28"/>
  <c r="M534" i="28"/>
  <c r="O534" i="28"/>
  <c r="M929" i="28"/>
  <c r="O929" i="28"/>
  <c r="M940" i="28"/>
  <c r="O940" i="28"/>
  <c r="O522" i="28"/>
  <c r="M522" i="28"/>
  <c r="O669" i="28"/>
  <c r="M669" i="28"/>
  <c r="M882" i="28"/>
  <c r="O882" i="28"/>
  <c r="M658" i="28"/>
  <c r="O743" i="28"/>
  <c r="M743" i="28"/>
  <c r="M696" i="28"/>
  <c r="O696" i="28"/>
  <c r="O766" i="28"/>
  <c r="M766" i="28"/>
  <c r="M656" i="28"/>
  <c r="O656" i="28"/>
  <c r="M593" i="28"/>
  <c r="O968" i="28"/>
  <c r="M968" i="28"/>
  <c r="M449" i="28"/>
  <c r="O449" i="28"/>
  <c r="M768" i="28"/>
  <c r="O768" i="28"/>
  <c r="M428" i="28"/>
  <c r="O428" i="28"/>
  <c r="O448" i="28"/>
  <c r="M448" i="28"/>
  <c r="O513" i="28"/>
  <c r="M513" i="28"/>
  <c r="O455" i="28"/>
  <c r="M455" i="28"/>
  <c r="O872" i="28"/>
  <c r="M872" i="28"/>
  <c r="M439" i="28"/>
  <c r="O439" i="28"/>
  <c r="M560" i="28"/>
  <c r="O560" i="28"/>
  <c r="O526" i="28"/>
  <c r="M526" i="28"/>
  <c r="M911" i="28"/>
  <c r="O911" i="28"/>
  <c r="M508" i="28"/>
  <c r="O508" i="28"/>
  <c r="M638" i="28"/>
  <c r="O638" i="28"/>
  <c r="M674" i="28"/>
  <c r="O674" i="28"/>
  <c r="O907" i="28"/>
  <c r="M907" i="28"/>
  <c r="O833" i="28"/>
  <c r="M833" i="28"/>
  <c r="M588" i="28"/>
  <c r="O588" i="28"/>
  <c r="O980" i="28"/>
  <c r="M980" i="28"/>
  <c r="O939" i="28"/>
  <c r="M642" i="28"/>
  <c r="O642" i="28"/>
  <c r="O822" i="28"/>
  <c r="M822" i="28"/>
  <c r="O498" i="28"/>
  <c r="M498" i="28"/>
  <c r="M429" i="28"/>
  <c r="O429" i="28"/>
  <c r="M858" i="28"/>
  <c r="O858" i="28"/>
  <c r="M685" i="28"/>
  <c r="O685" i="28"/>
  <c r="O654" i="28"/>
  <c r="M654" i="28"/>
  <c r="M761" i="28"/>
  <c r="O761" i="28"/>
  <c r="O900" i="28"/>
  <c r="M900" i="28"/>
  <c r="M847" i="28"/>
  <c r="O847" i="28"/>
  <c r="O510" i="28"/>
  <c r="M510" i="28"/>
  <c r="M475" i="28"/>
  <c r="O475" i="28"/>
  <c r="M694" i="28"/>
  <c r="O694" i="28"/>
  <c r="M810" i="28"/>
  <c r="O810" i="28"/>
  <c r="O894" i="28"/>
  <c r="M894" i="28"/>
  <c r="M969" i="28"/>
  <c r="O969" i="28"/>
  <c r="M719" i="28"/>
  <c r="O719" i="28"/>
  <c r="O948" i="28"/>
  <c r="M948" i="28"/>
  <c r="M897" i="28"/>
  <c r="O897" i="28"/>
  <c r="M817" i="28"/>
  <c r="O817" i="28"/>
  <c r="O644" i="28"/>
  <c r="M644" i="28"/>
  <c r="M655" i="28"/>
  <c r="O655" i="28"/>
  <c r="O592" i="28"/>
  <c r="M592" i="28"/>
  <c r="M901" i="28"/>
  <c r="O901" i="28"/>
  <c r="M438" i="28"/>
  <c r="O438" i="28"/>
  <c r="O942" i="28"/>
  <c r="M942" i="28"/>
  <c r="M565" i="28"/>
  <c r="O565" i="28"/>
  <c r="O434" i="28"/>
  <c r="M434" i="28"/>
  <c r="M472" i="28"/>
  <c r="O472" i="28"/>
  <c r="M886" i="28"/>
  <c r="O886" i="28"/>
  <c r="M478" i="28"/>
  <c r="O478" i="28"/>
  <c r="M775" i="28"/>
  <c r="M991" i="28"/>
  <c r="O991" i="28"/>
  <c r="M630" i="28"/>
  <c r="O630" i="28"/>
  <c r="M762" i="28"/>
  <c r="O762" i="28"/>
  <c r="O992" i="28"/>
  <c r="M992" i="28"/>
  <c r="O605" i="28"/>
  <c r="M605" i="28"/>
  <c r="O499" i="28"/>
  <c r="M499" i="28"/>
  <c r="M718" i="28"/>
  <c r="O718" i="28"/>
  <c r="M625" i="28"/>
  <c r="O625" i="28"/>
  <c r="M529" i="28"/>
  <c r="O529" i="28"/>
  <c r="O767" i="28"/>
  <c r="M767" i="28"/>
  <c r="O462" i="28"/>
  <c r="M462" i="28"/>
  <c r="O600" i="28"/>
  <c r="M600" i="28"/>
  <c r="M652" i="28"/>
  <c r="O652" i="28"/>
  <c r="M734" i="28"/>
  <c r="O734" i="28"/>
  <c r="M687" i="28"/>
  <c r="O687" i="28"/>
  <c r="O686" i="28"/>
  <c r="M686" i="28"/>
  <c r="O714" i="28"/>
  <c r="M714" i="28"/>
  <c r="O582" i="28"/>
  <c r="M582" i="28"/>
  <c r="M679" i="28"/>
  <c r="O679" i="28"/>
  <c r="M483" i="28"/>
  <c r="O483" i="28"/>
  <c r="M889" i="28"/>
  <c r="O889" i="28"/>
  <c r="M634" i="28"/>
  <c r="O634" i="28"/>
  <c r="M892" i="28"/>
  <c r="O892" i="28"/>
  <c r="M854" i="28"/>
  <c r="O854" i="28"/>
  <c r="O982" i="28"/>
  <c r="M982" i="28"/>
  <c r="O792" i="28"/>
  <c r="M792" i="28"/>
  <c r="O653" i="28"/>
  <c r="M653" i="28"/>
  <c r="O928" i="28"/>
  <c r="M928" i="28"/>
  <c r="M776" i="28"/>
  <c r="O799" i="28"/>
  <c r="M799" i="28"/>
  <c r="M646" i="28"/>
  <c r="O646" i="28"/>
  <c r="M552" i="28"/>
  <c r="O552" i="28"/>
  <c r="M427" i="28"/>
  <c r="O427" i="28"/>
  <c r="O540" i="28"/>
  <c r="M540" i="28"/>
  <c r="M635" i="28"/>
  <c r="O635" i="28"/>
  <c r="M931" i="28"/>
  <c r="O931" i="28"/>
  <c r="M722" i="28"/>
  <c r="O722" i="28"/>
  <c r="O823" i="28"/>
  <c r="M823" i="28"/>
  <c r="M557" i="28"/>
  <c r="O557" i="28"/>
  <c r="O855" i="28"/>
  <c r="M855" i="28"/>
  <c r="M731" i="28"/>
  <c r="O731" i="28"/>
  <c r="M550" i="28"/>
  <c r="O550" i="28"/>
  <c r="M934" i="28"/>
  <c r="O934" i="28"/>
  <c r="M585" i="28"/>
  <c r="O585" i="28"/>
  <c r="M857" i="28"/>
  <c r="O857" i="28"/>
  <c r="M957" i="28"/>
  <c r="O957" i="28"/>
  <c r="M711" i="28"/>
  <c r="O711" i="28"/>
  <c r="M489" i="28"/>
  <c r="O489" i="28"/>
  <c r="M577" i="28"/>
  <c r="O577" i="28"/>
  <c r="M451" i="28"/>
  <c r="O451" i="28"/>
  <c r="O848" i="28"/>
  <c r="M848" i="28"/>
  <c r="M544" i="28"/>
  <c r="O544" i="28"/>
  <c r="O712" i="28"/>
  <c r="M712" i="28"/>
  <c r="O471" i="28"/>
  <c r="M471" i="28"/>
  <c r="O763" i="28"/>
  <c r="M763" i="28"/>
  <c r="O603" i="28"/>
  <c r="M603" i="28"/>
  <c r="M736" i="28"/>
  <c r="O736" i="28"/>
  <c r="O878" i="28"/>
  <c r="M878" i="28"/>
  <c r="M664" i="28"/>
  <c r="O664" i="28"/>
  <c r="M941" i="28"/>
  <c r="O941" i="28"/>
  <c r="M757" i="28"/>
  <c r="O757" i="28"/>
  <c r="M699" i="28"/>
  <c r="O699" i="28"/>
  <c r="M666" i="28"/>
  <c r="O666" i="28"/>
  <c r="M908" i="28"/>
  <c r="O908" i="28"/>
  <c r="M663" i="28"/>
  <c r="M530" i="28"/>
  <c r="O530" i="28"/>
  <c r="M781" i="28"/>
  <c r="O781" i="28"/>
  <c r="O831" i="28"/>
  <c r="M831" i="28"/>
  <c r="M925" i="28"/>
  <c r="O925" i="28"/>
  <c r="M473" i="28"/>
  <c r="O473" i="28"/>
  <c r="M818" i="28"/>
  <c r="O818" i="28"/>
  <c r="O864" i="28"/>
  <c r="O650" i="28"/>
  <c r="M650" i="28"/>
  <c r="O725" i="28"/>
  <c r="M725" i="28"/>
  <c r="M728" i="28"/>
  <c r="O728" i="28"/>
  <c r="M509" i="28"/>
  <c r="O509" i="28"/>
  <c r="O621" i="28"/>
  <c r="M621" i="28"/>
  <c r="M433" i="28"/>
  <c r="M651" i="28"/>
  <c r="O651" i="28"/>
  <c r="O553" i="28"/>
  <c r="M553" i="28"/>
  <c r="O936" i="28"/>
  <c r="M936" i="28"/>
  <c r="O967" i="28"/>
  <c r="M967" i="28"/>
  <c r="O919" i="28"/>
  <c r="M919" i="28"/>
  <c r="O469" i="28"/>
  <c r="M469" i="28"/>
  <c r="M953" i="28"/>
  <c r="O953" i="28"/>
  <c r="O881" i="28"/>
  <c r="M881" i="28"/>
  <c r="O447" i="28"/>
  <c r="M447" i="28"/>
  <c r="O703" i="28"/>
  <c r="M703" i="28"/>
  <c r="M612" i="28"/>
  <c r="O612" i="28"/>
  <c r="O481" i="28"/>
  <c r="M481" i="28"/>
  <c r="O597" i="28"/>
  <c r="O493" i="28"/>
  <c r="M493" i="28"/>
  <c r="M933" i="28"/>
  <c r="O867" i="28"/>
  <c r="M867" i="28"/>
  <c r="O567" i="28"/>
  <c r="M567" i="28"/>
  <c r="O517" i="28"/>
  <c r="M517" i="28"/>
  <c r="O640" i="28"/>
  <c r="M640" i="28"/>
  <c r="O572" i="28"/>
  <c r="M572" i="28"/>
  <c r="O745" i="28"/>
  <c r="M745" i="28"/>
  <c r="M440" i="28"/>
  <c r="O440" i="28"/>
  <c r="M932" i="28"/>
  <c r="O932" i="28"/>
  <c r="O869" i="28"/>
  <c r="M869" i="28"/>
  <c r="O797" i="28"/>
  <c r="M797" i="28"/>
  <c r="M921" i="28"/>
  <c r="M742" i="28"/>
  <c r="O742" i="28"/>
  <c r="O917" i="28"/>
  <c r="M917" i="28"/>
  <c r="M536" i="28"/>
  <c r="O536" i="28"/>
  <c r="M850" i="28"/>
  <c r="O850" i="28"/>
  <c r="O978" i="28"/>
  <c r="M978" i="28"/>
  <c r="O587" i="28"/>
  <c r="M587" i="28"/>
  <c r="M961" i="28"/>
  <c r="O961" i="28"/>
  <c r="O890" i="28"/>
  <c r="M890" i="28"/>
  <c r="M838" i="28"/>
  <c r="O838" i="28"/>
  <c r="M859" i="28"/>
  <c r="O859" i="28"/>
  <c r="M788" i="28"/>
  <c r="O788" i="28"/>
  <c r="M837" i="28"/>
  <c r="O837" i="28"/>
  <c r="Z314" i="28"/>
  <c r="Z68" i="28"/>
  <c r="Z267" i="28"/>
  <c r="Z401" i="28"/>
  <c r="Z250" i="28"/>
  <c r="Z262" i="28"/>
  <c r="Z86" i="28"/>
  <c r="AA87" i="28" s="1"/>
  <c r="AC87" i="28" s="1"/>
  <c r="Z59" i="28"/>
  <c r="AA59" i="28" s="1"/>
  <c r="AC59" i="28" s="1"/>
  <c r="Z38" i="28"/>
  <c r="Z258" i="28"/>
  <c r="Z66" i="28"/>
  <c r="Z8" i="28"/>
  <c r="Z367" i="28"/>
  <c r="AA366" i="28" s="1"/>
  <c r="AC366" i="28" s="1"/>
  <c r="AB123" i="28"/>
  <c r="AB424" i="28"/>
  <c r="AB67" i="28"/>
  <c r="AB111" i="28"/>
  <c r="AB116" i="28"/>
  <c r="AB124" i="28"/>
  <c r="AB141" i="28"/>
  <c r="AB54" i="28"/>
  <c r="Z130" i="28"/>
  <c r="Z52" i="28"/>
  <c r="AA50" i="28" s="1"/>
  <c r="AC50" i="28" s="1"/>
  <c r="Z67" i="28"/>
  <c r="Z236" i="28"/>
  <c r="Z111" i="28"/>
  <c r="Z207" i="28"/>
  <c r="Z44" i="28"/>
  <c r="Z69" i="28"/>
  <c r="Z120" i="28"/>
  <c r="AB40" i="28"/>
  <c r="Z302" i="28"/>
  <c r="Z279" i="28"/>
  <c r="Z31" i="28"/>
  <c r="Z129" i="28"/>
  <c r="Z189" i="28"/>
  <c r="Z221" i="28"/>
  <c r="Z422" i="28"/>
  <c r="AB404" i="28"/>
  <c r="AB107" i="28"/>
  <c r="AB66" i="28"/>
  <c r="Z280" i="28"/>
  <c r="Z264" i="28"/>
  <c r="Z47" i="28"/>
  <c r="AA46" i="28" s="1"/>
  <c r="Z352" i="28"/>
  <c r="Z134" i="28"/>
  <c r="Z98" i="28"/>
  <c r="Z176" i="28"/>
  <c r="AB277" i="28"/>
  <c r="Z43" i="28"/>
  <c r="Z45" i="28"/>
  <c r="Z164" i="28"/>
  <c r="AA163" i="28" s="1"/>
  <c r="Z121" i="28"/>
  <c r="Z30" i="28"/>
  <c r="Z100" i="28"/>
  <c r="Z297" i="28"/>
  <c r="Z298" i="28"/>
  <c r="Z299" i="28"/>
  <c r="AB265" i="28"/>
  <c r="Z336" i="28"/>
  <c r="Z235" i="28"/>
  <c r="Z122" i="28"/>
  <c r="Z33" i="28"/>
  <c r="Z296" i="28"/>
  <c r="AB297" i="28"/>
  <c r="AB296" i="28"/>
  <c r="AB420" i="28"/>
  <c r="AB419" i="28"/>
  <c r="AB298" i="28"/>
  <c r="AB94" i="28"/>
  <c r="AB299" i="28"/>
  <c r="Z295" i="28"/>
  <c r="E17" i="2"/>
  <c r="AB33" i="28"/>
  <c r="Z19" i="28"/>
  <c r="Z115" i="28"/>
  <c r="Z303" i="28"/>
  <c r="AB200" i="28"/>
  <c r="AB203" i="28"/>
  <c r="Z119" i="28"/>
  <c r="Z118" i="28"/>
  <c r="AB37" i="28"/>
  <c r="AB280" i="28"/>
  <c r="AB287" i="28"/>
  <c r="Z293" i="28"/>
  <c r="Z387" i="28"/>
  <c r="AB61" i="28"/>
  <c r="AB58" i="28"/>
  <c r="AB9" i="28"/>
  <c r="AB293" i="28"/>
  <c r="AB295" i="28"/>
  <c r="AB208" i="28"/>
  <c r="AB31" i="28"/>
  <c r="AB35" i="28"/>
  <c r="Z5" i="28"/>
  <c r="Z340" i="28"/>
  <c r="Z35" i="28"/>
  <c r="AB292" i="28"/>
  <c r="AB258" i="28"/>
  <c r="Z25" i="28"/>
  <c r="AB68" i="28"/>
  <c r="Z354" i="28"/>
  <c r="Z125" i="28"/>
  <c r="Z201" i="28"/>
  <c r="Z191" i="28"/>
  <c r="Z232" i="28"/>
  <c r="Z361" i="28"/>
  <c r="AB164" i="28"/>
  <c r="AB163" i="28"/>
  <c r="AB69" i="28"/>
  <c r="AB90" i="28"/>
  <c r="Z333" i="28"/>
  <c r="Z300" i="28"/>
  <c r="Z116" i="28"/>
  <c r="Z301" i="28"/>
  <c r="AB114" i="28"/>
  <c r="AB96" i="28"/>
  <c r="AB98" i="28"/>
  <c r="AB118" i="28"/>
  <c r="AB115" i="28"/>
  <c r="AB117" i="28"/>
  <c r="AB46" i="28"/>
  <c r="AB48" i="28"/>
  <c r="K17" i="2"/>
  <c r="B17" i="2"/>
  <c r="F17" i="2"/>
  <c r="AB303" i="28"/>
  <c r="AB422" i="28"/>
  <c r="AB262" i="28"/>
  <c r="AB301" i="28"/>
  <c r="AB261" i="28"/>
  <c r="AB300" i="28"/>
  <c r="Z57" i="28"/>
  <c r="AB207" i="28"/>
  <c r="D17" i="2"/>
  <c r="J17" i="2"/>
  <c r="I18" i="14"/>
  <c r="E18" i="14"/>
  <c r="G17" i="2"/>
  <c r="B18" i="14"/>
  <c r="Z27" i="28"/>
  <c r="C18" i="14"/>
  <c r="J18" i="14"/>
  <c r="H18" i="14"/>
  <c r="G18" i="14"/>
  <c r="F18" i="14"/>
  <c r="D18" i="14"/>
  <c r="A61" i="11"/>
  <c r="A22" i="11"/>
  <c r="A87" i="11"/>
  <c r="D60" i="11"/>
  <c r="D20" i="11" s="1"/>
  <c r="G86" i="11"/>
  <c r="C60" i="11"/>
  <c r="C20" i="11" s="1"/>
  <c r="E60" i="11"/>
  <c r="E20" i="11" s="1"/>
  <c r="K60" i="11"/>
  <c r="K20" i="11" s="1"/>
  <c r="G60" i="11"/>
  <c r="G20" i="11" s="1"/>
  <c r="B86" i="11"/>
  <c r="E86" i="11"/>
  <c r="H60" i="11"/>
  <c r="H20" i="11" s="1"/>
  <c r="I60" i="11"/>
  <c r="I20" i="11" s="1"/>
  <c r="D86" i="11"/>
  <c r="B60" i="11"/>
  <c r="B20" i="11" s="1"/>
  <c r="F86" i="11"/>
  <c r="I86" i="11"/>
  <c r="J60" i="11"/>
  <c r="J20" i="11" s="1"/>
  <c r="J86" i="11"/>
  <c r="C86" i="11"/>
  <c r="K86" i="11"/>
  <c r="H86" i="11"/>
  <c r="F60" i="11"/>
  <c r="F20" i="11" s="1"/>
  <c r="A60" i="14"/>
  <c r="A212" i="14"/>
  <c r="A238" i="14"/>
  <c r="A186" i="14"/>
  <c r="A85" i="14"/>
  <c r="A110" i="14"/>
  <c r="A21" i="14"/>
  <c r="A160" i="14"/>
  <c r="A135" i="14"/>
  <c r="I109" i="14"/>
  <c r="J109" i="14"/>
  <c r="B109" i="14"/>
  <c r="F109" i="14"/>
  <c r="G109" i="14"/>
  <c r="H109" i="14"/>
  <c r="D109" i="14"/>
  <c r="C109" i="14"/>
  <c r="E109" i="14"/>
  <c r="K109" i="14"/>
  <c r="I159" i="14"/>
  <c r="H159" i="14"/>
  <c r="E159" i="14"/>
  <c r="C159" i="14"/>
  <c r="D159" i="14"/>
  <c r="J159" i="14"/>
  <c r="B159" i="14"/>
  <c r="F159" i="14"/>
  <c r="G159" i="14"/>
  <c r="K159" i="14"/>
  <c r="I134" i="14"/>
  <c r="B134" i="14"/>
  <c r="C134" i="14"/>
  <c r="E134" i="14"/>
  <c r="D134" i="14"/>
  <c r="F134" i="14"/>
  <c r="G134" i="14"/>
  <c r="J134" i="14"/>
  <c r="H134" i="14"/>
  <c r="K134" i="14"/>
  <c r="I185" i="14"/>
  <c r="F185" i="14"/>
  <c r="G185" i="14"/>
  <c r="H185" i="14"/>
  <c r="C185" i="14"/>
  <c r="B185" i="14"/>
  <c r="D185" i="14"/>
  <c r="E185" i="14"/>
  <c r="J185" i="14"/>
  <c r="K185" i="14"/>
  <c r="I59" i="14"/>
  <c r="D59" i="14"/>
  <c r="E59" i="14"/>
  <c r="B59" i="14"/>
  <c r="C59" i="14"/>
  <c r="F59" i="14"/>
  <c r="G59" i="14"/>
  <c r="H59" i="14"/>
  <c r="J59" i="14"/>
  <c r="K59" i="14"/>
  <c r="I211" i="14"/>
  <c r="C211" i="14"/>
  <c r="E211" i="14"/>
  <c r="D211" i="14"/>
  <c r="J211" i="14"/>
  <c r="B211" i="14"/>
  <c r="F211" i="14"/>
  <c r="G211" i="14"/>
  <c r="H211" i="14"/>
  <c r="K211" i="14"/>
  <c r="I84" i="14"/>
  <c r="D84" i="14"/>
  <c r="C84" i="14"/>
  <c r="E84" i="14"/>
  <c r="F84" i="14"/>
  <c r="J84" i="14"/>
  <c r="G84" i="14"/>
  <c r="H84" i="14"/>
  <c r="B84" i="14"/>
  <c r="K84" i="14"/>
  <c r="E237" i="14"/>
  <c r="D237" i="14"/>
  <c r="J237" i="14"/>
  <c r="B237" i="14"/>
  <c r="F237" i="14"/>
  <c r="G237" i="14"/>
  <c r="H237" i="14"/>
  <c r="I237" i="14"/>
  <c r="C237" i="14"/>
  <c r="K237" i="14"/>
  <c r="Z24" i="28"/>
  <c r="Z391" i="28"/>
  <c r="Z363" i="28"/>
  <c r="AB250" i="28"/>
  <c r="H17" i="2"/>
  <c r="C17" i="2"/>
  <c r="AB399" i="28"/>
  <c r="Z396" i="28"/>
  <c r="Z192" i="28"/>
  <c r="Z13" i="28"/>
  <c r="Z11" i="28"/>
  <c r="Z101" i="28"/>
  <c r="Z245" i="28"/>
  <c r="Z248" i="28"/>
  <c r="Z288" i="28"/>
  <c r="A96" i="16"/>
  <c r="A122" i="16"/>
  <c r="A148" i="16"/>
  <c r="A26" i="16"/>
  <c r="A175" i="16"/>
  <c r="A69" i="16"/>
  <c r="C114" i="17"/>
  <c r="B114" i="17"/>
  <c r="D114" i="17"/>
  <c r="E114" i="17"/>
  <c r="F114" i="17"/>
  <c r="G114" i="17"/>
  <c r="H114" i="17"/>
  <c r="I114" i="17"/>
  <c r="J114" i="17"/>
  <c r="K114" i="17"/>
  <c r="S23" i="12"/>
  <c r="S45" i="12"/>
  <c r="L72" i="19"/>
  <c r="M72" i="19" s="1"/>
  <c r="N72" i="19" s="1"/>
  <c r="L43" i="19"/>
  <c r="M43" i="19" s="1"/>
  <c r="N43" i="19" s="1"/>
  <c r="L80" i="19"/>
  <c r="M80" i="19" s="1"/>
  <c r="N80" i="19" s="1"/>
  <c r="L98" i="19"/>
  <c r="M98" i="19" s="1"/>
  <c r="N98" i="19" s="1"/>
  <c r="L41" i="19"/>
  <c r="M41" i="19" s="1"/>
  <c r="N41" i="19" s="1"/>
  <c r="L15" i="19"/>
  <c r="M15" i="19" s="1"/>
  <c r="N15" i="19" s="1"/>
  <c r="L3" i="19"/>
  <c r="M3" i="19" s="1"/>
  <c r="N3" i="19" s="1"/>
  <c r="L34" i="19"/>
  <c r="M34" i="19" s="1"/>
  <c r="N34" i="19" s="1"/>
  <c r="L44" i="19"/>
  <c r="M44" i="19" s="1"/>
  <c r="N44" i="19" s="1"/>
  <c r="L87" i="19"/>
  <c r="M87" i="19" s="1"/>
  <c r="N87" i="19" s="1"/>
  <c r="L51" i="19"/>
  <c r="M51" i="19" s="1"/>
  <c r="N51" i="19" s="1"/>
  <c r="L49" i="19"/>
  <c r="M49" i="19" s="1"/>
  <c r="N49" i="19" s="1"/>
  <c r="L71" i="19"/>
  <c r="M71" i="19" s="1"/>
  <c r="N71" i="19" s="1"/>
  <c r="L37" i="19"/>
  <c r="M37" i="19" s="1"/>
  <c r="N37" i="19" s="1"/>
  <c r="L54" i="19"/>
  <c r="M54" i="19" s="1"/>
  <c r="N54" i="19" s="1"/>
  <c r="L68" i="19"/>
  <c r="M68" i="19" s="1"/>
  <c r="N68" i="19" s="1"/>
  <c r="L36" i="19"/>
  <c r="M36" i="19" s="1"/>
  <c r="N36" i="19" s="1"/>
  <c r="L103" i="19"/>
  <c r="M103" i="19" s="1"/>
  <c r="N103" i="19" s="1"/>
  <c r="L55" i="19"/>
  <c r="M55" i="19" s="1"/>
  <c r="N55" i="19" s="1"/>
  <c r="L86" i="19"/>
  <c r="M86" i="19" s="1"/>
  <c r="N86" i="19" s="1"/>
  <c r="L60" i="19"/>
  <c r="M60" i="19" s="1"/>
  <c r="N60" i="19" s="1"/>
  <c r="L111" i="19"/>
  <c r="M111" i="19" s="1"/>
  <c r="N111" i="19" s="1"/>
  <c r="L63" i="19"/>
  <c r="M63" i="19" s="1"/>
  <c r="N63" i="19" s="1"/>
  <c r="L35" i="19"/>
  <c r="M35" i="19" s="1"/>
  <c r="N35" i="19" s="1"/>
  <c r="L45" i="19"/>
  <c r="M45" i="19" s="1"/>
  <c r="N45" i="19" s="1"/>
  <c r="L77" i="19"/>
  <c r="M77" i="19" s="1"/>
  <c r="N77" i="19" s="1"/>
  <c r="Z316" i="28"/>
  <c r="I95" i="16"/>
  <c r="C95" i="16"/>
  <c r="D95" i="16"/>
  <c r="F95" i="16"/>
  <c r="H95" i="16"/>
  <c r="J95" i="16"/>
  <c r="B95" i="16"/>
  <c r="G95" i="16"/>
  <c r="E95" i="16"/>
  <c r="A113" i="2"/>
  <c r="A139" i="2"/>
  <c r="A87" i="2"/>
  <c r="A20" i="2"/>
  <c r="A62" i="2"/>
  <c r="A64" i="17"/>
  <c r="A141" i="17"/>
  <c r="A115" i="17"/>
  <c r="A168" i="17"/>
  <c r="A89" i="17"/>
  <c r="A22" i="17"/>
  <c r="B121" i="16"/>
  <c r="J121" i="16"/>
  <c r="E121" i="16"/>
  <c r="F121" i="16"/>
  <c r="G121" i="16"/>
  <c r="I121" i="16"/>
  <c r="D121" i="16"/>
  <c r="H121" i="16"/>
  <c r="C121" i="16"/>
  <c r="D61" i="2"/>
  <c r="E61" i="2"/>
  <c r="F61" i="2"/>
  <c r="B61" i="2"/>
  <c r="C61" i="2"/>
  <c r="G61" i="2"/>
  <c r="H61" i="2"/>
  <c r="I61" i="2"/>
  <c r="J61" i="2"/>
  <c r="K61" i="2"/>
  <c r="C63" i="17"/>
  <c r="B63" i="17"/>
  <c r="D63" i="17"/>
  <c r="E63" i="17"/>
  <c r="F63" i="17"/>
  <c r="G63" i="17"/>
  <c r="H63" i="17"/>
  <c r="I63" i="17"/>
  <c r="J63" i="17"/>
  <c r="K63" i="17"/>
  <c r="B88" i="17"/>
  <c r="C88" i="17"/>
  <c r="D88" i="17"/>
  <c r="E88" i="17"/>
  <c r="F88" i="17"/>
  <c r="G88" i="17"/>
  <c r="H88" i="17"/>
  <c r="I88" i="17"/>
  <c r="J88" i="17"/>
  <c r="K88" i="17"/>
  <c r="I68" i="16"/>
  <c r="B68" i="16"/>
  <c r="D68" i="16"/>
  <c r="G68" i="16"/>
  <c r="H68" i="16"/>
  <c r="C68" i="16"/>
  <c r="F68" i="16"/>
  <c r="E68" i="16"/>
  <c r="J68" i="16"/>
  <c r="B112" i="2"/>
  <c r="C112" i="2"/>
  <c r="D112" i="2"/>
  <c r="E112" i="2"/>
  <c r="B138" i="2"/>
  <c r="B86" i="2"/>
  <c r="E86" i="2"/>
  <c r="C86" i="2"/>
  <c r="E138" i="2"/>
  <c r="F138" i="2"/>
  <c r="C138" i="2"/>
  <c r="D138" i="2"/>
  <c r="D86" i="2"/>
  <c r="F86" i="2"/>
  <c r="F112" i="2"/>
  <c r="G138" i="2"/>
  <c r="G86" i="2"/>
  <c r="G112" i="2"/>
  <c r="H86" i="2"/>
  <c r="H112" i="2"/>
  <c r="H138" i="2"/>
  <c r="I86" i="2"/>
  <c r="I112" i="2"/>
  <c r="I138" i="2"/>
  <c r="J112" i="2"/>
  <c r="J138" i="2"/>
  <c r="J86" i="2"/>
  <c r="K112" i="2"/>
  <c r="K138" i="2"/>
  <c r="K86" i="2"/>
  <c r="Z374" i="28"/>
  <c r="AA375" i="28" s="1"/>
  <c r="AC375" i="28" s="1"/>
  <c r="Z241" i="28"/>
  <c r="Z350" i="28"/>
  <c r="AA351" i="28" s="1"/>
  <c r="Z233" i="28"/>
  <c r="Z283" i="28"/>
  <c r="Z29" i="28"/>
  <c r="AB283" i="28"/>
  <c r="Z417" i="28"/>
  <c r="Z217" i="28"/>
  <c r="Z228" i="28"/>
  <c r="Z105" i="28"/>
  <c r="Z405" i="28"/>
  <c r="AB29" i="28"/>
  <c r="Z133" i="28"/>
  <c r="Z12" i="28"/>
  <c r="Z411" i="28"/>
  <c r="AB27" i="28"/>
  <c r="Z345" i="28"/>
  <c r="Z14" i="28"/>
  <c r="AB13" i="28"/>
  <c r="AB14" i="28"/>
  <c r="AB12" i="28"/>
  <c r="AB11" i="28"/>
  <c r="Z275" i="28"/>
  <c r="AB193" i="28"/>
  <c r="Z420" i="28"/>
  <c r="Z219" i="28"/>
  <c r="Z211" i="28"/>
  <c r="Z185" i="28"/>
  <c r="Z312" i="28"/>
  <c r="Z289" i="28"/>
  <c r="Z225" i="28"/>
  <c r="Z231" i="28"/>
  <c r="AA76" i="28"/>
  <c r="AC76" i="28" s="1"/>
  <c r="Z355" i="28"/>
  <c r="Z198" i="28"/>
  <c r="Z229" i="28"/>
  <c r="Z234" i="28"/>
  <c r="Z194" i="28"/>
  <c r="Z291" i="28"/>
  <c r="Z290" i="28"/>
  <c r="AB290" i="28"/>
  <c r="AB289" i="28"/>
  <c r="AB288" i="28"/>
  <c r="AB291" i="28"/>
  <c r="AB398" i="28"/>
  <c r="AB394" i="28"/>
  <c r="AB403" i="28"/>
  <c r="AB393" i="28"/>
  <c r="AB400" i="28"/>
  <c r="AB389" i="28"/>
  <c r="AB388" i="28"/>
  <c r="AB99" i="28"/>
  <c r="AB189" i="28"/>
  <c r="AB350" i="28"/>
  <c r="AB377" i="28"/>
  <c r="AB65" i="28"/>
  <c r="AB211" i="28"/>
  <c r="AB321" i="28"/>
  <c r="AB257" i="28"/>
  <c r="AB183" i="28"/>
  <c r="AB320" i="28"/>
  <c r="AB313" i="28"/>
  <c r="AB218" i="28"/>
  <c r="AB344" i="28"/>
  <c r="AB175" i="28"/>
  <c r="AB263" i="28"/>
  <c r="AB346" i="28"/>
  <c r="AB238" i="28"/>
  <c r="AB417" i="28"/>
  <c r="AB374" i="28"/>
  <c r="AB383" i="28"/>
  <c r="AB108" i="28"/>
  <c r="AB349" i="28"/>
  <c r="AB196" i="28"/>
  <c r="AB230" i="28"/>
  <c r="AB206" i="28"/>
  <c r="AB384" i="28"/>
  <c r="AB197" i="28"/>
  <c r="AB6" i="28"/>
  <c r="AB273" i="28"/>
  <c r="AB186" i="28"/>
  <c r="AB229" i="28"/>
  <c r="AB379" i="28"/>
  <c r="AB41" i="28"/>
  <c r="AB223" i="28"/>
  <c r="AB340" i="28"/>
  <c r="AB411" i="28"/>
  <c r="AB255" i="28"/>
  <c r="AB181" i="28"/>
  <c r="AB22" i="28"/>
  <c r="AB347" i="28"/>
  <c r="AB339" i="28"/>
  <c r="AB205" i="28"/>
  <c r="AB380" i="28"/>
  <c r="AB322" i="28"/>
  <c r="AB260" i="28"/>
  <c r="AB82" i="28"/>
  <c r="AB161" i="28"/>
  <c r="AB83" i="28"/>
  <c r="AB284" i="28"/>
  <c r="AB152" i="28"/>
  <c r="AB214" i="28"/>
  <c r="AB192" i="28"/>
  <c r="AB7" i="28"/>
  <c r="AB342" i="28"/>
  <c r="AB198" i="28"/>
  <c r="AB137" i="28"/>
  <c r="AB266" i="28"/>
  <c r="AB282" i="28"/>
  <c r="AB246" i="28"/>
  <c r="AB308" i="28"/>
  <c r="AB276" i="28"/>
  <c r="AB199" i="28"/>
  <c r="AB423" i="28"/>
  <c r="AB341" i="28"/>
  <c r="AB319" i="28"/>
  <c r="AB92" i="28"/>
  <c r="AB159" i="28"/>
  <c r="AB345" i="28"/>
  <c r="AB381" i="28"/>
  <c r="AB210" i="28"/>
  <c r="AB172" i="28"/>
  <c r="AB188" i="28"/>
  <c r="AB378" i="28"/>
  <c r="AB268" i="28"/>
  <c r="AB334" i="28"/>
  <c r="AB184" i="28"/>
  <c r="AB23" i="28"/>
  <c r="AB110" i="28"/>
  <c r="AB269" i="28"/>
  <c r="AB93" i="28"/>
  <c r="AB103" i="28"/>
  <c r="AB151" i="28"/>
  <c r="AB251" i="28"/>
  <c r="AB271" i="28"/>
  <c r="AB182" i="28"/>
  <c r="AB24" i="28"/>
  <c r="AB39" i="28"/>
  <c r="AB158" i="28"/>
  <c r="AB204" i="28"/>
  <c r="AB180" i="28"/>
  <c r="AB202" i="28"/>
  <c r="AB132" i="28"/>
  <c r="AB275" i="28"/>
  <c r="AB385" i="28"/>
  <c r="AB245" i="28"/>
  <c r="AB95" i="28"/>
  <c r="AB56" i="28"/>
  <c r="AB91" i="28"/>
  <c r="AB274" i="28"/>
  <c r="AB235" i="28"/>
  <c r="AB81" i="28"/>
  <c r="AB270" i="28"/>
  <c r="AB372" i="28"/>
  <c r="AB106" i="28"/>
  <c r="AB304" i="28"/>
  <c r="AB312" i="28"/>
  <c r="AB228" i="28"/>
  <c r="AB15" i="28"/>
  <c r="AB62" i="28"/>
  <c r="AB80" i="28"/>
  <c r="AB252" i="28"/>
  <c r="AB146" i="28"/>
  <c r="AB305" i="28"/>
  <c r="AB318" i="28"/>
  <c r="AB285" i="28"/>
  <c r="AB259" i="28"/>
  <c r="AB253" i="28"/>
  <c r="AB351" i="28"/>
  <c r="AB315" i="28"/>
  <c r="AB136" i="28"/>
  <c r="AB418" i="28"/>
  <c r="AB310" i="28"/>
  <c r="AB239" i="28"/>
  <c r="AB101" i="28"/>
  <c r="AB212" i="28"/>
  <c r="AB79" i="28"/>
  <c r="AB317" i="28"/>
  <c r="AB248" i="28"/>
  <c r="AB316" i="28"/>
  <c r="AB326" i="28"/>
  <c r="AB215" i="28"/>
  <c r="AB256" i="28"/>
  <c r="AB112" i="28"/>
  <c r="AB311" i="28"/>
  <c r="AB78" i="28"/>
  <c r="AB272" i="28"/>
  <c r="AB314" i="28"/>
  <c r="AB140" i="28"/>
  <c r="AB331" i="28"/>
  <c r="AB219" i="28"/>
  <c r="AB348" i="28"/>
  <c r="AB216" i="28"/>
  <c r="AB376" i="28"/>
  <c r="AB264" i="28"/>
  <c r="AB247" i="28"/>
  <c r="AB425" i="28"/>
  <c r="AB105" i="28"/>
  <c r="AB231" i="28"/>
  <c r="AB138" i="28"/>
  <c r="AB147" i="28"/>
  <c r="AB328" i="28"/>
  <c r="AB396" i="28"/>
  <c r="AB402" i="28"/>
  <c r="Z395" i="28"/>
  <c r="AB244" i="28"/>
  <c r="AB240" i="28"/>
  <c r="AB410" i="28"/>
  <c r="AB279" i="28"/>
  <c r="AB306" i="28"/>
  <c r="AB278" i="28"/>
  <c r="AB336" i="28"/>
  <c r="AB332" i="28"/>
  <c r="AB330" i="28"/>
  <c r="AB307" i="28"/>
  <c r="AB405" i="28"/>
  <c r="AB397" i="28"/>
  <c r="AB355" i="28"/>
  <c r="AB354" i="28"/>
  <c r="AB242" i="28"/>
  <c r="AB241" i="28"/>
  <c r="AB233" i="28"/>
  <c r="AB191" i="28"/>
  <c r="AB194" i="28"/>
  <c r="AB232" i="28"/>
  <c r="AB234" i="28"/>
  <c r="AB237" i="28"/>
  <c r="Z142" i="28"/>
  <c r="AB201" i="28"/>
  <c r="AB209" i="28"/>
  <c r="Z78" i="28"/>
  <c r="AA149" i="28"/>
  <c r="AC149" i="28" s="1"/>
  <c r="AA72" i="28"/>
  <c r="AC72" i="28" s="1"/>
  <c r="AA169" i="28"/>
  <c r="AC169" i="28" s="1"/>
  <c r="AA367" i="28"/>
  <c r="AC367" i="28" s="1"/>
  <c r="AA75" i="28"/>
  <c r="AC75" i="28" s="1"/>
  <c r="Z376" i="28"/>
  <c r="Z23" i="28"/>
  <c r="Z215" i="28"/>
  <c r="Z255" i="28"/>
  <c r="Z197" i="28"/>
  <c r="Z407" i="28"/>
  <c r="Z238" i="28"/>
  <c r="Z17" i="28"/>
  <c r="Z273" i="28"/>
  <c r="Z382" i="28"/>
  <c r="Z212" i="28"/>
  <c r="Z403" i="28"/>
  <c r="Z386" i="28"/>
  <c r="Z272" i="28"/>
  <c r="Z135" i="28"/>
  <c r="Z281" i="28"/>
  <c r="Z81" i="28"/>
  <c r="Z93" i="28"/>
  <c r="Z83" i="28"/>
  <c r="Z338" i="28"/>
  <c r="Z256" i="28"/>
  <c r="Z421" i="28"/>
  <c r="Z321" i="28"/>
  <c r="Z356" i="28"/>
  <c r="Z400" i="28"/>
  <c r="Z342" i="28"/>
  <c r="Z104" i="28"/>
  <c r="Z156" i="28"/>
  <c r="Z102" i="28"/>
  <c r="Z190" i="28"/>
  <c r="Z326" i="28"/>
  <c r="Z270" i="28"/>
  <c r="Z195" i="28"/>
  <c r="Z220" i="28"/>
  <c r="Z244" i="28"/>
  <c r="Z65" i="28"/>
  <c r="Z409" i="28"/>
  <c r="Z202" i="28"/>
  <c r="Z414" i="28"/>
  <c r="Z92" i="28"/>
  <c r="Z216" i="28"/>
  <c r="Z200" i="28"/>
  <c r="Z384" i="28"/>
  <c r="Z319" i="28"/>
  <c r="AB386" i="28"/>
  <c r="AB190" i="28"/>
  <c r="AB133" i="28"/>
  <c r="AB19" i="28"/>
  <c r="AB371" i="28"/>
  <c r="AB409" i="28"/>
  <c r="AB17" i="28"/>
  <c r="AB104" i="28"/>
  <c r="AB412" i="28"/>
  <c r="AB338" i="28"/>
  <c r="AB55" i="28"/>
  <c r="AB327" i="28"/>
  <c r="AB421" i="28"/>
  <c r="AB144" i="28"/>
  <c r="AB16" i="28"/>
  <c r="AB227" i="28"/>
  <c r="AB407" i="28"/>
  <c r="AB426" i="28"/>
  <c r="AB368" i="28"/>
  <c r="AB329" i="28"/>
  <c r="AB413" i="28"/>
  <c r="AB143" i="28"/>
  <c r="AB20" i="28"/>
  <c r="AB145" i="28"/>
  <c r="AB102" i="28"/>
  <c r="AB325" i="28"/>
  <c r="AB135" i="28"/>
  <c r="AB414" i="28"/>
  <c r="AB324" i="28"/>
  <c r="AB356" i="28"/>
  <c r="AB286" i="28"/>
  <c r="AB142" i="28"/>
  <c r="AB195" i="28"/>
  <c r="AB173" i="28"/>
  <c r="AB249" i="28"/>
  <c r="AB226" i="28"/>
  <c r="AB179" i="28"/>
  <c r="AB57" i="28"/>
  <c r="AB335" i="28"/>
  <c r="AB406" i="28"/>
  <c r="AB254" i="28"/>
  <c r="AB408" i="28"/>
  <c r="AB333" i="28"/>
  <c r="AB281" i="28"/>
  <c r="AB343" i="28"/>
  <c r="AB358" i="28"/>
  <c r="AB337" i="28"/>
  <c r="AA166" i="28"/>
  <c r="AC166" i="28" s="1"/>
  <c r="AA70" i="28"/>
  <c r="AC70" i="28" s="1"/>
  <c r="Z393" i="28"/>
  <c r="AA147" i="28"/>
  <c r="Z383" i="28"/>
  <c r="Z112" i="28"/>
  <c r="Z308" i="28"/>
  <c r="Z335" i="28"/>
  <c r="Z268" i="28"/>
  <c r="Z344" i="28"/>
  <c r="Z246" i="28"/>
  <c r="Z377" i="28"/>
  <c r="Z318" i="28"/>
  <c r="Z37" i="28"/>
  <c r="Z9" i="28"/>
  <c r="Z223" i="28"/>
  <c r="Z339" i="28"/>
  <c r="Z406" i="28"/>
  <c r="Z239" i="28"/>
  <c r="Z108" i="28"/>
  <c r="Z151" i="28"/>
  <c r="Z325" i="28"/>
  <c r="Z80" i="28"/>
  <c r="Z324" i="28"/>
  <c r="Z6" i="28"/>
  <c r="Z22" i="28"/>
  <c r="Z311" i="28"/>
  <c r="Z106" i="28"/>
  <c r="Z204" i="28"/>
  <c r="Z398" i="28"/>
  <c r="Z274" i="28"/>
  <c r="Z218" i="28"/>
  <c r="Z247" i="28"/>
  <c r="Z286" i="28"/>
  <c r="Z152" i="28"/>
  <c r="Z305" i="28"/>
  <c r="Z16" i="28"/>
  <c r="Z82" i="28"/>
  <c r="Z327" i="28"/>
  <c r="Z210" i="28"/>
  <c r="Z341" i="28"/>
  <c r="Z329" i="28"/>
  <c r="Z328" i="28"/>
  <c r="Z36" i="28"/>
  <c r="Z343" i="28"/>
  <c r="Z307" i="28"/>
  <c r="Z99" i="28"/>
  <c r="Z392" i="28"/>
  <c r="AA168" i="28"/>
  <c r="AC168" i="28" s="1"/>
  <c r="Z394" i="28"/>
  <c r="AA71" i="28"/>
  <c r="AC71" i="28" s="1"/>
  <c r="AA146" i="28"/>
  <c r="Z282" i="28"/>
  <c r="Z4" i="28"/>
  <c r="Z186" i="28"/>
  <c r="Z143" i="28"/>
  <c r="Z310" i="28"/>
  <c r="Z371" i="28"/>
  <c r="Z254" i="28"/>
  <c r="Z304" i="28"/>
  <c r="Z183" i="28"/>
  <c r="Z240" i="28"/>
  <c r="Z368" i="28"/>
  <c r="Z378" i="28"/>
  <c r="Z144" i="28"/>
  <c r="Z226" i="28"/>
  <c r="Z330" i="28"/>
  <c r="Z346" i="28"/>
  <c r="Z180" i="28"/>
  <c r="Z243" i="28"/>
  <c r="Z187" i="28"/>
  <c r="Z410" i="28"/>
  <c r="Z158" i="28"/>
  <c r="Z412" i="28"/>
  <c r="Z199" i="28"/>
  <c r="Z95" i="28"/>
  <c r="Z110" i="28"/>
  <c r="Z358" i="28"/>
  <c r="Z182" i="28"/>
  <c r="Z253" i="28"/>
  <c r="Z423" i="28"/>
  <c r="Z20" i="28"/>
  <c r="Z251" i="28"/>
  <c r="Z413" i="28"/>
  <c r="Z284" i="28"/>
  <c r="Z415" i="28"/>
  <c r="Z132" i="28"/>
  <c r="Z385" i="28"/>
  <c r="Z230" i="28"/>
  <c r="Z175" i="28"/>
  <c r="Z399" i="28"/>
  <c r="Z179" i="28"/>
  <c r="Z260" i="28"/>
  <c r="Z138" i="28"/>
  <c r="Z184" i="28"/>
  <c r="Z159" i="28"/>
  <c r="Z188" i="28"/>
  <c r="Z205" i="28"/>
  <c r="AA77" i="28"/>
  <c r="AC77" i="28" s="1"/>
  <c r="AA74" i="28"/>
  <c r="AC74" i="28" s="1"/>
  <c r="AA167" i="28"/>
  <c r="AC167" i="28" s="1"/>
  <c r="Z390" i="28"/>
  <c r="AA148" i="28"/>
  <c r="AC148" i="28" s="1"/>
  <c r="Z388" i="28"/>
  <c r="Z285" i="28"/>
  <c r="Z157" i="28"/>
  <c r="Z222" i="28"/>
  <c r="Z55" i="28"/>
  <c r="Z79" i="28"/>
  <c r="Z306" i="28"/>
  <c r="Z380" i="28"/>
  <c r="Z214" i="28"/>
  <c r="Z271" i="28"/>
  <c r="Z62" i="28"/>
  <c r="Z322" i="28"/>
  <c r="Z181" i="28"/>
  <c r="Z317" i="28"/>
  <c r="Z161" i="28"/>
  <c r="Z337" i="28"/>
  <c r="Z91" i="28"/>
  <c r="Z278" i="28"/>
  <c r="Z276" i="28"/>
  <c r="Z379" i="28"/>
  <c r="Z315" i="28"/>
  <c r="Z269" i="28"/>
  <c r="Z145" i="28"/>
  <c r="Z136" i="28"/>
  <c r="Z404" i="28"/>
  <c r="Z332" i="28"/>
  <c r="Z257" i="28"/>
  <c r="Z408" i="28"/>
  <c r="Z425" i="28"/>
  <c r="Z402" i="28"/>
  <c r="Z252" i="28"/>
  <c r="Z397" i="28"/>
  <c r="Z56" i="28"/>
  <c r="Z320" i="28"/>
  <c r="Z172" i="28"/>
  <c r="Z426" i="28"/>
  <c r="Z418" i="28"/>
  <c r="Z249" i="28"/>
  <c r="Z137" i="28"/>
  <c r="Z313" i="28"/>
  <c r="Z347" i="28"/>
  <c r="Z103" i="28"/>
  <c r="Z15" i="28"/>
  <c r="AA73" i="28"/>
  <c r="AC73" i="28" s="1"/>
  <c r="M1001" i="28" l="1"/>
  <c r="O1001" i="28"/>
  <c r="M432" i="28"/>
  <c r="O432" i="28"/>
  <c r="M802" i="28"/>
  <c r="O802" i="28"/>
  <c r="M977" i="28"/>
  <c r="O827" i="28"/>
  <c r="M785" i="28"/>
  <c r="M814" i="28"/>
  <c r="M609" i="28"/>
  <c r="O609" i="28"/>
  <c r="M949" i="28"/>
  <c r="O949" i="28"/>
  <c r="O573" i="28"/>
  <c r="O667" i="28"/>
  <c r="O512" i="28"/>
  <c r="O826" i="28"/>
  <c r="M629" i="28"/>
  <c r="AA365" i="28"/>
  <c r="AC365" i="28" s="1"/>
  <c r="O620" i="28"/>
  <c r="M620" i="28"/>
  <c r="M709" i="28"/>
  <c r="O709" i="28"/>
  <c r="O500" i="28"/>
  <c r="M500" i="28"/>
  <c r="M487" i="28"/>
  <c r="O487" i="28"/>
  <c r="M979" i="28"/>
  <c r="O702" i="28"/>
  <c r="M563" i="28"/>
  <c r="M623" i="28"/>
  <c r="O623" i="28"/>
  <c r="O549" i="28"/>
  <c r="M549" i="28"/>
  <c r="O956" i="28"/>
  <c r="M956" i="28"/>
  <c r="M795" i="28"/>
  <c r="O795" i="28"/>
  <c r="M815" i="28"/>
  <c r="O815" i="28"/>
  <c r="M970" i="28"/>
  <c r="O970" i="28"/>
  <c r="AA49" i="28"/>
  <c r="AC49" i="28" s="1"/>
  <c r="AA364" i="28"/>
  <c r="AC364" i="28" s="1"/>
  <c r="AA360" i="28"/>
  <c r="AC360" i="28" s="1"/>
  <c r="AA120" i="28"/>
  <c r="AC120" i="28" s="1"/>
  <c r="AA129" i="28"/>
  <c r="AC129" i="28" s="1"/>
  <c r="M713" i="28"/>
  <c r="AA164" i="28"/>
  <c r="AC164" i="28" s="1"/>
  <c r="O441" i="28"/>
  <c r="O888" i="28"/>
  <c r="M888" i="28"/>
  <c r="M491" i="28"/>
  <c r="O491" i="28"/>
  <c r="O909" i="28"/>
  <c r="M909" i="28"/>
  <c r="M851" i="28"/>
  <c r="O851" i="28"/>
  <c r="O955" i="28"/>
  <c r="M955" i="28"/>
  <c r="M558" i="28"/>
  <c r="O558" i="28"/>
  <c r="O733" i="28"/>
  <c r="M733" i="28"/>
  <c r="O884" i="28"/>
  <c r="M884" i="28"/>
  <c r="O926" i="28"/>
  <c r="M926" i="28"/>
  <c r="M883" i="28"/>
  <c r="O883" i="28"/>
  <c r="M765" i="28"/>
  <c r="O765" i="28"/>
  <c r="M675" i="28"/>
  <c r="O675" i="28"/>
  <c r="AA86" i="28"/>
  <c r="AC86" i="28" s="1"/>
  <c r="O506" i="28"/>
  <c r="AA89" i="28"/>
  <c r="AC89" i="28" s="1"/>
  <c r="AC147" i="28"/>
  <c r="O532" i="28"/>
  <c r="AA52" i="28"/>
  <c r="AC52" i="28" s="1"/>
  <c r="AA232" i="28"/>
  <c r="AC232" i="28" s="1"/>
  <c r="AA98" i="28"/>
  <c r="M891" i="28"/>
  <c r="O891" i="28"/>
  <c r="M431" i="28"/>
  <c r="O431" i="28"/>
  <c r="M750" i="28"/>
  <c r="O750" i="28"/>
  <c r="O454" i="28"/>
  <c r="M454" i="28"/>
  <c r="M770" i="28"/>
  <c r="O770" i="28"/>
  <c r="O492" i="28"/>
  <c r="M492" i="28"/>
  <c r="O660" i="28"/>
  <c r="M660" i="28"/>
  <c r="M444" i="28"/>
  <c r="O444" i="28"/>
  <c r="O821" i="28"/>
  <c r="M821" i="28"/>
  <c r="O853" i="28"/>
  <c r="M853" i="28"/>
  <c r="O591" i="28"/>
  <c r="M591" i="28"/>
  <c r="O430" i="28"/>
  <c r="M430" i="28"/>
  <c r="M590" i="28"/>
  <c r="O590" i="28"/>
  <c r="M464" i="28"/>
  <c r="O464" i="28"/>
  <c r="O453" i="28"/>
  <c r="M453" i="28"/>
  <c r="AA361" i="28"/>
  <c r="AC361" i="28" s="1"/>
  <c r="M866" i="28"/>
  <c r="AA53" i="28"/>
  <c r="AC53" i="28" s="1"/>
  <c r="AA43" i="28"/>
  <c r="AC43" i="28" s="1"/>
  <c r="AA51" i="28"/>
  <c r="AC51" i="28" s="1"/>
  <c r="O896" i="28"/>
  <c r="M521" i="28"/>
  <c r="O525" i="28"/>
  <c r="AA4" i="28"/>
  <c r="AC4" i="28" s="1"/>
  <c r="AA88" i="28"/>
  <c r="AC88" i="28" s="1"/>
  <c r="O755" i="28"/>
  <c r="O503" i="28"/>
  <c r="O477" i="28"/>
  <c r="M843" i="28"/>
  <c r="O843" i="28"/>
  <c r="M828" i="28"/>
  <c r="O828" i="28"/>
  <c r="O648" i="28"/>
  <c r="M648" i="28"/>
  <c r="O791" i="28"/>
  <c r="M791" i="28"/>
  <c r="O777" i="28"/>
  <c r="M777" i="28"/>
  <c r="M790" i="28"/>
  <c r="O790" i="28"/>
  <c r="M996" i="28"/>
  <c r="O996" i="28"/>
  <c r="M691" i="28"/>
  <c r="O691" i="28"/>
  <c r="O806" i="28"/>
  <c r="M806" i="28"/>
  <c r="O746" i="28"/>
  <c r="M746" i="28"/>
  <c r="M671" i="28"/>
  <c r="O671" i="28"/>
  <c r="O450" i="28"/>
  <c r="M450" i="28"/>
  <c r="M985" i="28"/>
  <c r="O985" i="28"/>
  <c r="O583" i="28"/>
  <c r="M583" i="28"/>
  <c r="M692" i="28"/>
  <c r="O692" i="28"/>
  <c r="O639" i="28"/>
  <c r="M639" i="28"/>
  <c r="M751" i="28"/>
  <c r="O751" i="28"/>
  <c r="O801" i="28"/>
  <c r="M801" i="28"/>
  <c r="M628" i="28"/>
  <c r="O628" i="28"/>
  <c r="O486" i="28"/>
  <c r="M486" i="28"/>
  <c r="O740" i="28"/>
  <c r="M740" i="28"/>
  <c r="M598" i="28"/>
  <c r="O598" i="28"/>
  <c r="O467" i="28"/>
  <c r="M467" i="28"/>
  <c r="M973" i="28"/>
  <c r="O973" i="28"/>
  <c r="O778" i="28"/>
  <c r="M778" i="28"/>
  <c r="O670" i="28"/>
  <c r="M670" i="28"/>
  <c r="M531" i="28"/>
  <c r="O531" i="28"/>
  <c r="M987" i="28"/>
  <c r="O987" i="28"/>
  <c r="M748" i="28"/>
  <c r="O748" i="28"/>
  <c r="M865" i="28"/>
  <c r="O865" i="28"/>
  <c r="O812" i="28"/>
  <c r="M812" i="28"/>
  <c r="O683" i="28"/>
  <c r="M683" i="28"/>
  <c r="M726" i="28"/>
  <c r="O726" i="28"/>
  <c r="O800" i="28"/>
  <c r="M800" i="28"/>
  <c r="O724" i="28"/>
  <c r="M724" i="28"/>
  <c r="O677" i="28"/>
  <c r="M677" i="28"/>
  <c r="M516" i="28"/>
  <c r="O516" i="28"/>
  <c r="M904" i="28"/>
  <c r="O904" i="28"/>
  <c r="O916" i="28"/>
  <c r="M916" i="28"/>
  <c r="M764" i="28"/>
  <c r="O764" i="28"/>
  <c r="M959" i="28"/>
  <c r="O959" i="28"/>
  <c r="O951" i="28"/>
  <c r="M951" i="28"/>
  <c r="O732" i="28"/>
  <c r="M732" i="28"/>
  <c r="M546" i="28"/>
  <c r="O546" i="28"/>
  <c r="O835" i="28"/>
  <c r="M835" i="28"/>
  <c r="M636" i="28"/>
  <c r="O636" i="28"/>
  <c r="O505" i="28"/>
  <c r="M505" i="28"/>
  <c r="O490" i="28"/>
  <c r="M490" i="28"/>
  <c r="M618" i="28"/>
  <c r="O618" i="28"/>
  <c r="M938" i="28"/>
  <c r="O938" i="28"/>
  <c r="M754" i="28"/>
  <c r="O754" i="28"/>
  <c r="O805" i="28"/>
  <c r="M805" i="28"/>
  <c r="M684" i="28"/>
  <c r="O684" i="28"/>
  <c r="AA58" i="28"/>
  <c r="AA353" i="28"/>
  <c r="AC353" i="28" s="1"/>
  <c r="M706" i="28"/>
  <c r="AA44" i="28"/>
  <c r="AC44" i="28" s="1"/>
  <c r="M947" i="28"/>
  <c r="M983" i="28"/>
  <c r="AA236" i="28"/>
  <c r="AC236" i="28" s="1"/>
  <c r="O717" i="28"/>
  <c r="AA61" i="28"/>
  <c r="O716" i="28"/>
  <c r="M704" i="28"/>
  <c r="AA130" i="28"/>
  <c r="AC130" i="28" s="1"/>
  <c r="O839" i="28"/>
  <c r="M839" i="28"/>
  <c r="O868" i="28"/>
  <c r="M868" i="28"/>
  <c r="O729" i="28"/>
  <c r="M729" i="28"/>
  <c r="M960" i="28"/>
  <c r="O960" i="28"/>
  <c r="O479" i="28"/>
  <c r="M479" i="28"/>
  <c r="M556" i="28"/>
  <c r="O556" i="28"/>
  <c r="M976" i="28"/>
  <c r="O976" i="28"/>
  <c r="O986" i="28"/>
  <c r="M986" i="28"/>
  <c r="O617" i="28"/>
  <c r="M617" i="28"/>
  <c r="O554" i="28"/>
  <c r="M554" i="28"/>
  <c r="O816" i="28"/>
  <c r="M816" i="28"/>
  <c r="O435" i="28"/>
  <c r="M435" i="28"/>
  <c r="O793" i="28"/>
  <c r="M793" i="28"/>
  <c r="O542" i="28"/>
  <c r="M542" i="28"/>
  <c r="M710" i="28"/>
  <c r="O710" i="28"/>
  <c r="M507" i="28"/>
  <c r="O507" i="28"/>
  <c r="O594" i="28"/>
  <c r="M594" i="28"/>
  <c r="O580" i="28"/>
  <c r="M580" i="28"/>
  <c r="O559" i="28"/>
  <c r="M559" i="28"/>
  <c r="O680" i="28"/>
  <c r="M680" i="28"/>
  <c r="O446" i="28"/>
  <c r="M446" i="28"/>
  <c r="M873" i="28"/>
  <c r="O873" i="28"/>
  <c r="O547" i="28"/>
  <c r="M547" i="28"/>
  <c r="O903" i="28"/>
  <c r="M903" i="28"/>
  <c r="M782" i="28"/>
  <c r="O782" i="28"/>
  <c r="O913" i="28"/>
  <c r="M913" i="28"/>
  <c r="O760" i="28"/>
  <c r="M760" i="28"/>
  <c r="M772" i="28"/>
  <c r="O772" i="28"/>
  <c r="O935" i="28"/>
  <c r="M935" i="28"/>
  <c r="O863" i="28"/>
  <c r="M863" i="28"/>
  <c r="O759" i="28"/>
  <c r="M759" i="28"/>
  <c r="O997" i="28"/>
  <c r="M997" i="28"/>
  <c r="M730" i="28"/>
  <c r="O730" i="28"/>
  <c r="M902" i="28"/>
  <c r="O902" i="28"/>
  <c r="O690" i="28"/>
  <c r="M690" i="28"/>
  <c r="O672" i="28"/>
  <c r="M672" i="28"/>
  <c r="AA30" i="28"/>
  <c r="AC30" i="28" s="1"/>
  <c r="O527" i="28"/>
  <c r="M756" i="28"/>
  <c r="AA45" i="28"/>
  <c r="AC45" i="28" s="1"/>
  <c r="AA126" i="28"/>
  <c r="AC126" i="28" s="1"/>
  <c r="AA67" i="28"/>
  <c r="O737" i="28"/>
  <c r="O924" i="28"/>
  <c r="AA162" i="28"/>
  <c r="AC162" i="28" s="1"/>
  <c r="AA48" i="28"/>
  <c r="AC48" i="28" s="1"/>
  <c r="AA60" i="28"/>
  <c r="AC60" i="28" s="1"/>
  <c r="AA237" i="28"/>
  <c r="AC237" i="28" s="1"/>
  <c r="O769" i="28"/>
  <c r="O874" i="28"/>
  <c r="AA32" i="28"/>
  <c r="AC32" i="28" s="1"/>
  <c r="AC98" i="28"/>
  <c r="O443" i="28"/>
  <c r="M443" i="28"/>
  <c r="O562" i="28"/>
  <c r="M562" i="28"/>
  <c r="M999" i="28"/>
  <c r="O999" i="28"/>
  <c r="M606" i="28"/>
  <c r="O606" i="28"/>
  <c r="O870" i="28"/>
  <c r="M870" i="28"/>
  <c r="M657" i="28"/>
  <c r="O657" i="28"/>
  <c r="O993" i="28"/>
  <c r="M993" i="28"/>
  <c r="M758" i="28"/>
  <c r="O758" i="28"/>
  <c r="M963" i="28"/>
  <c r="O963" i="28"/>
  <c r="O915" i="28"/>
  <c r="M915" i="28"/>
  <c r="M665" i="28"/>
  <c r="O665" i="28"/>
  <c r="M519" i="28"/>
  <c r="O519" i="28"/>
  <c r="O501" i="28"/>
  <c r="M501" i="28"/>
  <c r="M474" i="28"/>
  <c r="O474" i="28"/>
  <c r="O944" i="28"/>
  <c r="M944" i="28"/>
  <c r="M589" i="28"/>
  <c r="O589" i="28"/>
  <c r="M798" i="28"/>
  <c r="O798" i="28"/>
  <c r="M480" i="28"/>
  <c r="O480" i="28"/>
  <c r="M830" i="28"/>
  <c r="O830" i="28"/>
  <c r="M452" i="28"/>
  <c r="O452" i="28"/>
  <c r="O715" i="28"/>
  <c r="M715" i="28"/>
  <c r="M575" i="28"/>
  <c r="O575" i="28"/>
  <c r="AA66" i="28"/>
  <c r="AC66" i="28" s="1"/>
  <c r="AA374" i="28"/>
  <c r="AC374" i="28" s="1"/>
  <c r="AA47" i="28"/>
  <c r="AC47" i="28" s="1"/>
  <c r="AA165" i="28"/>
  <c r="AC165" i="28" s="1"/>
  <c r="AA260" i="28"/>
  <c r="AC260" i="28" s="1"/>
  <c r="AA348" i="28"/>
  <c r="AC348" i="28" s="1"/>
  <c r="AA127" i="28"/>
  <c r="AC127" i="28" s="1"/>
  <c r="AA372" i="28"/>
  <c r="AC372" i="28" s="1"/>
  <c r="AA68" i="28"/>
  <c r="M569" i="28"/>
  <c r="M681" i="28"/>
  <c r="M875" i="28"/>
  <c r="M787" i="28"/>
  <c r="M954" i="28"/>
  <c r="M457" i="28"/>
  <c r="O561" i="28"/>
  <c r="O548" i="28"/>
  <c r="O895" i="28"/>
  <c r="AA222" i="28"/>
  <c r="AC222" i="28" s="1"/>
  <c r="AA128" i="28"/>
  <c r="AC128" i="28" s="1"/>
  <c r="AA131" i="28"/>
  <c r="AC131" i="28" s="1"/>
  <c r="O786" i="28"/>
  <c r="M496" i="28"/>
  <c r="M927" i="28"/>
  <c r="AA373" i="28"/>
  <c r="AC373" i="28" s="1"/>
  <c r="AC61" i="28"/>
  <c r="AC58" i="28"/>
  <c r="AC67" i="28"/>
  <c r="AA69" i="28"/>
  <c r="AC69" i="28" s="1"/>
  <c r="AA33" i="28"/>
  <c r="AC33" i="28" s="1"/>
  <c r="AA352" i="28"/>
  <c r="AC352" i="28" s="1"/>
  <c r="AA35" i="28"/>
  <c r="AC35" i="28" s="1"/>
  <c r="AA42" i="28"/>
  <c r="AC42" i="28" s="1"/>
  <c r="AA34" i="28"/>
  <c r="AC34" i="28" s="1"/>
  <c r="AA40" i="28"/>
  <c r="AC40" i="28" s="1"/>
  <c r="AA205" i="28"/>
  <c r="AC205" i="28" s="1"/>
  <c r="AA122" i="28"/>
  <c r="AC122" i="28" s="1"/>
  <c r="AA349" i="28"/>
  <c r="AC349" i="28" s="1"/>
  <c r="AA350" i="28"/>
  <c r="AC350" i="28" s="1"/>
  <c r="AA125" i="28"/>
  <c r="AC125" i="28" s="1"/>
  <c r="AA298" i="28"/>
  <c r="AC298" i="28" s="1"/>
  <c r="AA79" i="28"/>
  <c r="AC79" i="28" s="1"/>
  <c r="AA101" i="28"/>
  <c r="AC101" i="28" s="1"/>
  <c r="AA199" i="28"/>
  <c r="AC199" i="28" s="1"/>
  <c r="AC146" i="28"/>
  <c r="AA124" i="28"/>
  <c r="AC124" i="28" s="1"/>
  <c r="AA123" i="28"/>
  <c r="AC123" i="28" s="1"/>
  <c r="AA296" i="28"/>
  <c r="AC296" i="28" s="1"/>
  <c r="AA297" i="28"/>
  <c r="AC297" i="28" s="1"/>
  <c r="AA299" i="28"/>
  <c r="AC299" i="28" s="1"/>
  <c r="AA31" i="28"/>
  <c r="AC31" i="28" s="1"/>
  <c r="AA292" i="28"/>
  <c r="AA362" i="28"/>
  <c r="AC362" i="28" s="1"/>
  <c r="AA294" i="28"/>
  <c r="AC294" i="28" s="1"/>
  <c r="AA233" i="28"/>
  <c r="AC233" i="28" s="1"/>
  <c r="AD73" i="28"/>
  <c r="O73" i="28" s="1"/>
  <c r="AA358" i="28"/>
  <c r="AA119" i="28"/>
  <c r="AC119" i="28" s="1"/>
  <c r="AC163" i="28"/>
  <c r="AD164" i="28" s="1"/>
  <c r="M164" i="28" s="1"/>
  <c r="AA121" i="28"/>
  <c r="AC121" i="28" s="1"/>
  <c r="AD121" i="28" s="1"/>
  <c r="AC46" i="28"/>
  <c r="AA354" i="28"/>
  <c r="AC354" i="28" s="1"/>
  <c r="AA293" i="28"/>
  <c r="AC293" i="28" s="1"/>
  <c r="AA295" i="28"/>
  <c r="AC295" i="28" s="1"/>
  <c r="AA116" i="28"/>
  <c r="AC116" i="28" s="1"/>
  <c r="AA214" i="28"/>
  <c r="AC214" i="28" s="1"/>
  <c r="AA21" i="28"/>
  <c r="AC21" i="28" s="1"/>
  <c r="AA85" i="28"/>
  <c r="AC85" i="28" s="1"/>
  <c r="AA363" i="28"/>
  <c r="AC363" i="28" s="1"/>
  <c r="AA114" i="28"/>
  <c r="AC114" i="28" s="1"/>
  <c r="AA234" i="28"/>
  <c r="AC234" i="28" s="1"/>
  <c r="AA118" i="28"/>
  <c r="AC118" i="28" s="1"/>
  <c r="AA408" i="28"/>
  <c r="AC408" i="28" s="1"/>
  <c r="AA337" i="28"/>
  <c r="AC337" i="28" s="1"/>
  <c r="AA231" i="28"/>
  <c r="AC231" i="28" s="1"/>
  <c r="AA355" i="28"/>
  <c r="AC355" i="28" s="1"/>
  <c r="AA303" i="28"/>
  <c r="AC303" i="28" s="1"/>
  <c r="AA91" i="28"/>
  <c r="AC91" i="28" s="1"/>
  <c r="AA22" i="28"/>
  <c r="AC22" i="28" s="1"/>
  <c r="AC68" i="28"/>
  <c r="AA300" i="28"/>
  <c r="AC300" i="28" s="1"/>
  <c r="AA117" i="28"/>
  <c r="AC117" i="28" s="1"/>
  <c r="AA115" i="28"/>
  <c r="AC115" i="28" s="1"/>
  <c r="AC292" i="28"/>
  <c r="AA301" i="28"/>
  <c r="AC301" i="28" s="1"/>
  <c r="AC351" i="28"/>
  <c r="AA302" i="28"/>
  <c r="AC302" i="28" s="1"/>
  <c r="AA29" i="28"/>
  <c r="AC29" i="28" s="1"/>
  <c r="AA56" i="28"/>
  <c r="AC56" i="28" s="1"/>
  <c r="AD45" i="28"/>
  <c r="O45" i="28" s="1"/>
  <c r="AD363" i="28"/>
  <c r="O363" i="28" s="1"/>
  <c r="AA12" i="28"/>
  <c r="AC12" i="28" s="1"/>
  <c r="AA28" i="28"/>
  <c r="AC28" i="28" s="1"/>
  <c r="I19" i="14"/>
  <c r="G19" i="14"/>
  <c r="F19" i="14"/>
  <c r="C19" i="14"/>
  <c r="B19" i="14"/>
  <c r="E19" i="14"/>
  <c r="D19" i="14"/>
  <c r="J19" i="14"/>
  <c r="H19" i="14"/>
  <c r="B135" i="14"/>
  <c r="C135" i="14"/>
  <c r="E135" i="14"/>
  <c r="F135" i="14"/>
  <c r="K135" i="14"/>
  <c r="G135" i="14"/>
  <c r="J135" i="14"/>
  <c r="H135" i="14"/>
  <c r="I135" i="14"/>
  <c r="D135" i="14"/>
  <c r="D160" i="14"/>
  <c r="F160" i="14"/>
  <c r="G160" i="14"/>
  <c r="H160" i="14"/>
  <c r="I160" i="14"/>
  <c r="C160" i="14"/>
  <c r="E160" i="14"/>
  <c r="K160" i="14"/>
  <c r="B160" i="14"/>
  <c r="J160" i="14"/>
  <c r="A111" i="14"/>
  <c r="A187" i="14"/>
  <c r="A136" i="14"/>
  <c r="A239" i="14"/>
  <c r="A22" i="14"/>
  <c r="A161" i="14"/>
  <c r="A86" i="14"/>
  <c r="A61" i="14"/>
  <c r="A213" i="14"/>
  <c r="J110" i="14"/>
  <c r="K110" i="14"/>
  <c r="E110" i="14"/>
  <c r="C110" i="14"/>
  <c r="F110" i="14"/>
  <c r="G110" i="14"/>
  <c r="H110" i="14"/>
  <c r="I110" i="14"/>
  <c r="B110" i="14"/>
  <c r="D110" i="14"/>
  <c r="J85" i="14"/>
  <c r="G85" i="14"/>
  <c r="H85" i="14"/>
  <c r="I85" i="14"/>
  <c r="E85" i="14"/>
  <c r="K85" i="14"/>
  <c r="C85" i="14"/>
  <c r="D85" i="14"/>
  <c r="B85" i="14"/>
  <c r="F85" i="14"/>
  <c r="G186" i="14"/>
  <c r="H186" i="14"/>
  <c r="I186" i="14"/>
  <c r="C186" i="14"/>
  <c r="D186" i="14"/>
  <c r="J186" i="14"/>
  <c r="E186" i="14"/>
  <c r="B186" i="14"/>
  <c r="F186" i="14"/>
  <c r="K186" i="14"/>
  <c r="H238" i="14"/>
  <c r="J238" i="14"/>
  <c r="I238" i="14"/>
  <c r="B238" i="14"/>
  <c r="D238" i="14"/>
  <c r="K238" i="14"/>
  <c r="C238" i="14"/>
  <c r="E238" i="14"/>
  <c r="F238" i="14"/>
  <c r="G238" i="14"/>
  <c r="K212" i="14"/>
  <c r="H212" i="14"/>
  <c r="I212" i="14"/>
  <c r="C212" i="14"/>
  <c r="E212" i="14"/>
  <c r="D212" i="14"/>
  <c r="B212" i="14"/>
  <c r="F212" i="14"/>
  <c r="G212" i="14"/>
  <c r="J212" i="14"/>
  <c r="C60" i="14"/>
  <c r="D60" i="14"/>
  <c r="F60" i="14"/>
  <c r="G60" i="14"/>
  <c r="H60" i="14"/>
  <c r="I60" i="14"/>
  <c r="J60" i="14"/>
  <c r="E60" i="14"/>
  <c r="K60" i="14"/>
  <c r="B60" i="14"/>
  <c r="A88" i="11"/>
  <c r="A62" i="11"/>
  <c r="A23" i="11"/>
  <c r="F87" i="11"/>
  <c r="E61" i="11"/>
  <c r="E21" i="11" s="1"/>
  <c r="D87" i="11"/>
  <c r="F61" i="11"/>
  <c r="F21" i="11" s="1"/>
  <c r="D61" i="11"/>
  <c r="D21" i="11" s="1"/>
  <c r="I61" i="11"/>
  <c r="I21" i="11" s="1"/>
  <c r="B61" i="11"/>
  <c r="B21" i="11" s="1"/>
  <c r="I87" i="11"/>
  <c r="H61" i="11"/>
  <c r="H21" i="11" s="1"/>
  <c r="G61" i="11"/>
  <c r="G21" i="11" s="1"/>
  <c r="H87" i="11"/>
  <c r="K87" i="11"/>
  <c r="B87" i="11"/>
  <c r="K61" i="11"/>
  <c r="K21" i="11" s="1"/>
  <c r="G87" i="11"/>
  <c r="J61" i="11"/>
  <c r="J21" i="11" s="1"/>
  <c r="E87" i="11"/>
  <c r="C87" i="11"/>
  <c r="C61" i="11"/>
  <c r="C21" i="11" s="1"/>
  <c r="J87" i="11"/>
  <c r="F18" i="2"/>
  <c r="D62" i="2"/>
  <c r="C62" i="2"/>
  <c r="B62" i="2"/>
  <c r="E62" i="2"/>
  <c r="F62" i="2"/>
  <c r="G62" i="2"/>
  <c r="H62" i="2"/>
  <c r="I62" i="2"/>
  <c r="J62" i="2"/>
  <c r="K62" i="2"/>
  <c r="K18" i="2"/>
  <c r="E18" i="2"/>
  <c r="A63" i="2"/>
  <c r="A114" i="2"/>
  <c r="A140" i="2"/>
  <c r="A21" i="2"/>
  <c r="A88" i="2"/>
  <c r="C69" i="16"/>
  <c r="G69" i="16"/>
  <c r="E69" i="16"/>
  <c r="I69" i="16"/>
  <c r="D69" i="16"/>
  <c r="H69" i="16"/>
  <c r="B69" i="16"/>
  <c r="F69" i="16"/>
  <c r="J69" i="16"/>
  <c r="J18" i="2"/>
  <c r="D18" i="2"/>
  <c r="A169" i="17"/>
  <c r="A90" i="17"/>
  <c r="A142" i="17"/>
  <c r="A116" i="17"/>
  <c r="A23" i="17"/>
  <c r="A65" i="17"/>
  <c r="C113" i="2"/>
  <c r="B113" i="2"/>
  <c r="D113" i="2"/>
  <c r="E113" i="2"/>
  <c r="F87" i="2"/>
  <c r="B87" i="2"/>
  <c r="F139" i="2"/>
  <c r="D139" i="2"/>
  <c r="C139" i="2"/>
  <c r="C87" i="2"/>
  <c r="E139" i="2"/>
  <c r="D87" i="2"/>
  <c r="B139" i="2"/>
  <c r="E87" i="2"/>
  <c r="F113" i="2"/>
  <c r="G113" i="2"/>
  <c r="G87" i="2"/>
  <c r="G139" i="2"/>
  <c r="H87" i="2"/>
  <c r="H113" i="2"/>
  <c r="H139" i="2"/>
  <c r="I139" i="2"/>
  <c r="I113" i="2"/>
  <c r="I87" i="2"/>
  <c r="J113" i="2"/>
  <c r="J87" i="2"/>
  <c r="J139" i="2"/>
  <c r="K139" i="2"/>
  <c r="K87" i="2"/>
  <c r="K113" i="2"/>
  <c r="S24" i="12"/>
  <c r="S46" i="12"/>
  <c r="I18" i="2"/>
  <c r="C89" i="17"/>
  <c r="B89" i="17"/>
  <c r="D89" i="17"/>
  <c r="E89" i="17"/>
  <c r="F89" i="17"/>
  <c r="G89" i="17"/>
  <c r="H89" i="17"/>
  <c r="I89" i="17"/>
  <c r="J89" i="17"/>
  <c r="K89" i="17"/>
  <c r="A149" i="16"/>
  <c r="A176" i="16"/>
  <c r="A123" i="16"/>
  <c r="A27" i="16"/>
  <c r="A70" i="16"/>
  <c r="A97" i="16"/>
  <c r="H18" i="2"/>
  <c r="AA27" i="28"/>
  <c r="AC27" i="28" s="1"/>
  <c r="G18" i="2"/>
  <c r="C115" i="17"/>
  <c r="D115" i="17"/>
  <c r="B115" i="17"/>
  <c r="E115" i="17"/>
  <c r="F115" i="17"/>
  <c r="G115" i="17"/>
  <c r="H115" i="17"/>
  <c r="I115" i="17"/>
  <c r="J115" i="17"/>
  <c r="K115" i="17"/>
  <c r="E122" i="16"/>
  <c r="D122" i="16"/>
  <c r="H122" i="16"/>
  <c r="I122" i="16"/>
  <c r="C122" i="16"/>
  <c r="F122" i="16"/>
  <c r="B122" i="16"/>
  <c r="J122" i="16"/>
  <c r="G122" i="16"/>
  <c r="C18" i="2"/>
  <c r="D96" i="16"/>
  <c r="H96" i="16"/>
  <c r="B96" i="16"/>
  <c r="F96" i="16"/>
  <c r="J96" i="16"/>
  <c r="E96" i="16"/>
  <c r="C96" i="16"/>
  <c r="I96" i="16"/>
  <c r="G96" i="16"/>
  <c r="B18" i="2"/>
  <c r="B64" i="17"/>
  <c r="D64" i="17"/>
  <c r="C64" i="17"/>
  <c r="E64" i="17"/>
  <c r="F64" i="17"/>
  <c r="G64" i="17"/>
  <c r="H64" i="17"/>
  <c r="I64" i="17"/>
  <c r="J64" i="17"/>
  <c r="K64" i="17"/>
  <c r="AA13" i="28"/>
  <c r="AC13" i="28" s="1"/>
  <c r="AA181" i="28"/>
  <c r="AC181" i="28" s="1"/>
  <c r="AA266" i="28"/>
  <c r="AC266" i="28" s="1"/>
  <c r="AA243" i="28"/>
  <c r="AC243" i="28" s="1"/>
  <c r="AA7" i="28"/>
  <c r="AC7" i="28" s="1"/>
  <c r="AA11" i="28"/>
  <c r="AC11" i="28" s="1"/>
  <c r="AA18" i="28"/>
  <c r="AC18" i="28" s="1"/>
  <c r="AA171" i="28"/>
  <c r="AC171" i="28" s="1"/>
  <c r="AA14" i="28"/>
  <c r="AC14" i="28" s="1"/>
  <c r="AD167" i="28"/>
  <c r="AA192" i="28"/>
  <c r="AC192" i="28" s="1"/>
  <c r="AD148" i="28"/>
  <c r="AA196" i="28"/>
  <c r="AC196" i="28" s="1"/>
  <c r="AA110" i="28"/>
  <c r="AC110" i="28" s="1"/>
  <c r="AD49" i="28"/>
  <c r="M49" i="28" s="1"/>
  <c r="AA152" i="28"/>
  <c r="AC152" i="28" s="1"/>
  <c r="AA9" i="28"/>
  <c r="AC9" i="28" s="1"/>
  <c r="AA235" i="28"/>
  <c r="AC235" i="28" s="1"/>
  <c r="AA290" i="28"/>
  <c r="AC290" i="28" s="1"/>
  <c r="AD61" i="28"/>
  <c r="AA265" i="28"/>
  <c r="AC265" i="28" s="1"/>
  <c r="AA145" i="28"/>
  <c r="AA161" i="28"/>
  <c r="AC161" i="28" s="1"/>
  <c r="AD89" i="28"/>
  <c r="AA289" i="28"/>
  <c r="AC289" i="28" s="1"/>
  <c r="AA291" i="28"/>
  <c r="AC291" i="28" s="1"/>
  <c r="AA288" i="28"/>
  <c r="AC288" i="28" s="1"/>
  <c r="AD366" i="28"/>
  <c r="M366" i="28" s="1"/>
  <c r="AA252" i="28"/>
  <c r="AC252" i="28" s="1"/>
  <c r="AA137" i="28"/>
  <c r="AC137" i="28" s="1"/>
  <c r="AD127" i="28"/>
  <c r="M127" i="28" s="1"/>
  <c r="AA250" i="28"/>
  <c r="AC250" i="28" s="1"/>
  <c r="AA242" i="28"/>
  <c r="AC242" i="28" s="1"/>
  <c r="AD46" i="28"/>
  <c r="O46" i="28" s="1"/>
  <c r="AA371" i="28"/>
  <c r="AA191" i="28"/>
  <c r="AC191" i="28" s="1"/>
  <c r="AA37" i="28"/>
  <c r="AC37" i="28" s="1"/>
  <c r="AA379" i="28"/>
  <c r="AC379" i="28" s="1"/>
  <c r="AA411" i="28"/>
  <c r="AC411" i="28" s="1"/>
  <c r="AA230" i="28"/>
  <c r="AC230" i="28" s="1"/>
  <c r="AD86" i="28"/>
  <c r="O86" i="28" s="1"/>
  <c r="AA193" i="28"/>
  <c r="AC193" i="28" s="1"/>
  <c r="AD74" i="28"/>
  <c r="AA142" i="28"/>
  <c r="AC142" i="28" s="1"/>
  <c r="AD42" i="28"/>
  <c r="M42" i="28" s="1"/>
  <c r="AA113" i="28"/>
  <c r="AC113" i="28" s="1"/>
  <c r="AD72" i="28"/>
  <c r="M72" i="28" s="1"/>
  <c r="AA395" i="28"/>
  <c r="AC395" i="28" s="1"/>
  <c r="AA154" i="28"/>
  <c r="AC154" i="28" s="1"/>
  <c r="AD123" i="28"/>
  <c r="AA332" i="28"/>
  <c r="AC332" i="28" s="1"/>
  <c r="AA333" i="28"/>
  <c r="AC333" i="28" s="1"/>
  <c r="AA275" i="28"/>
  <c r="AC275" i="28" s="1"/>
  <c r="AA269" i="28"/>
  <c r="AC269" i="28" s="1"/>
  <c r="AA277" i="28"/>
  <c r="AC277" i="28" s="1"/>
  <c r="AA278" i="28"/>
  <c r="AC278" i="28" s="1"/>
  <c r="AA279" i="28"/>
  <c r="AC279" i="28" s="1"/>
  <c r="AA283" i="28"/>
  <c r="AC283" i="28" s="1"/>
  <c r="AA287" i="28"/>
  <c r="AC287" i="28" s="1"/>
  <c r="AA280" i="28"/>
  <c r="AC280" i="28" s="1"/>
  <c r="AA321" i="28"/>
  <c r="AC321" i="28" s="1"/>
  <c r="AA317" i="28"/>
  <c r="AC317" i="28" s="1"/>
  <c r="AA271" i="28"/>
  <c r="AC271" i="28" s="1"/>
  <c r="AA306" i="28"/>
  <c r="AC306" i="28" s="1"/>
  <c r="AA312" i="28"/>
  <c r="AC312" i="28" s="1"/>
  <c r="AA309" i="28"/>
  <c r="AC309" i="28" s="1"/>
  <c r="AA157" i="28"/>
  <c r="AC157" i="28" s="1"/>
  <c r="AA155" i="28"/>
  <c r="AC155" i="28" s="1"/>
  <c r="AA388" i="28"/>
  <c r="AC388" i="28" s="1"/>
  <c r="AA387" i="28"/>
  <c r="AC387" i="28" s="1"/>
  <c r="AA421" i="28"/>
  <c r="AC421" i="28" s="1"/>
  <c r="AA425" i="28"/>
  <c r="AC425" i="28" s="1"/>
  <c r="AA424" i="28"/>
  <c r="AC424" i="28" s="1"/>
  <c r="AA344" i="28"/>
  <c r="AC344" i="28" s="1"/>
  <c r="AA347" i="28"/>
  <c r="AC347" i="28" s="1"/>
  <c r="AA418" i="28"/>
  <c r="AC418" i="28" s="1"/>
  <c r="AA419" i="28"/>
  <c r="AC419" i="28" s="1"/>
  <c r="AA417" i="28"/>
  <c r="AC417" i="28" s="1"/>
  <c r="AA420" i="28"/>
  <c r="AC420" i="28" s="1"/>
  <c r="AA416" i="28"/>
  <c r="AC416" i="28" s="1"/>
  <c r="AA390" i="28"/>
  <c r="AC390" i="28" s="1"/>
  <c r="M86" i="28"/>
  <c r="AA313" i="28"/>
  <c r="AC313" i="28" s="1"/>
  <c r="AA426" i="28"/>
  <c r="AC426" i="28" s="1"/>
  <c r="AA397" i="28"/>
  <c r="AC397" i="28" s="1"/>
  <c r="AA401" i="28"/>
  <c r="AC401" i="28" s="1"/>
  <c r="AA405" i="28"/>
  <c r="AC405" i="28" s="1"/>
  <c r="AA396" i="28"/>
  <c r="AC396" i="28" s="1"/>
  <c r="AA316" i="28"/>
  <c r="AC316" i="28" s="1"/>
  <c r="AA315" i="28"/>
  <c r="AC315" i="28" s="1"/>
  <c r="AD51" i="28"/>
  <c r="AD50" i="28"/>
  <c r="AD77" i="28"/>
  <c r="AD128" i="28"/>
  <c r="AA267" i="28"/>
  <c r="AC267" i="28" s="1"/>
  <c r="AA138" i="28"/>
  <c r="AC138" i="28" s="1"/>
  <c r="AA140" i="28"/>
  <c r="AC140" i="28" s="1"/>
  <c r="AA175" i="28"/>
  <c r="AC175" i="28" s="1"/>
  <c r="AA132" i="28"/>
  <c r="AC132" i="28" s="1"/>
  <c r="AA251" i="28"/>
  <c r="AC251" i="28" s="1"/>
  <c r="AA182" i="28"/>
  <c r="AC182" i="28" s="1"/>
  <c r="AA95" i="28"/>
  <c r="AC95" i="28" s="1"/>
  <c r="AA158" i="28"/>
  <c r="AC158" i="28" s="1"/>
  <c r="AA160" i="28"/>
  <c r="AC160" i="28" s="1"/>
  <c r="AA180" i="28"/>
  <c r="AC180" i="28" s="1"/>
  <c r="AA189" i="28"/>
  <c r="AC189" i="28" s="1"/>
  <c r="AA330" i="28"/>
  <c r="AC330" i="28" s="1"/>
  <c r="AA370" i="28"/>
  <c r="AC370" i="28" s="1"/>
  <c r="AA368" i="28"/>
  <c r="AC368" i="28" s="1"/>
  <c r="AA254" i="28"/>
  <c r="AC254" i="28" s="1"/>
  <c r="AA186" i="28"/>
  <c r="AC186" i="28" s="1"/>
  <c r="AA100" i="28"/>
  <c r="AC100" i="28" s="1"/>
  <c r="AA394" i="28"/>
  <c r="AC394" i="28" s="1"/>
  <c r="AA392" i="28"/>
  <c r="AC392" i="28" s="1"/>
  <c r="AA134" i="28"/>
  <c r="AC134" i="28" s="1"/>
  <c r="AD88" i="28"/>
  <c r="AA261" i="28"/>
  <c r="AC261" i="28" s="1"/>
  <c r="AA307" i="28"/>
  <c r="AC307" i="28" s="1"/>
  <c r="AA329" i="28"/>
  <c r="AC329" i="28" s="1"/>
  <c r="AA82" i="28"/>
  <c r="AC82" i="28" s="1"/>
  <c r="AA84" i="28"/>
  <c r="AC84" i="28" s="1"/>
  <c r="AA286" i="28"/>
  <c r="AC286" i="28" s="1"/>
  <c r="AA218" i="28"/>
  <c r="AC218" i="28" s="1"/>
  <c r="AA204" i="28"/>
  <c r="AC204" i="28" s="1"/>
  <c r="AA10" i="28"/>
  <c r="AC10" i="28" s="1"/>
  <c r="AA8" i="28"/>
  <c r="AC8" i="28" s="1"/>
  <c r="AA6" i="28"/>
  <c r="AC6" i="28" s="1"/>
  <c r="AA151" i="28"/>
  <c r="AC151" i="28" s="1"/>
  <c r="AA406" i="28"/>
  <c r="AA112" i="28"/>
  <c r="AC112" i="28" s="1"/>
  <c r="AD35" i="28"/>
  <c r="AD60" i="28"/>
  <c r="AA109" i="28"/>
  <c r="AC109" i="28" s="1"/>
  <c r="AD365" i="28"/>
  <c r="AA139" i="28"/>
  <c r="AC139" i="28" s="1"/>
  <c r="AA264" i="28"/>
  <c r="AC264" i="28" s="1"/>
  <c r="AA384" i="28"/>
  <c r="AC384" i="28" s="1"/>
  <c r="AA414" i="28"/>
  <c r="AC414" i="28" s="1"/>
  <c r="AA244" i="28"/>
  <c r="AC244" i="28" s="1"/>
  <c r="AA104" i="28"/>
  <c r="AC104" i="28" s="1"/>
  <c r="AA338" i="28"/>
  <c r="AC338" i="28" s="1"/>
  <c r="AA281" i="28"/>
  <c r="AA403" i="28"/>
  <c r="AC403" i="28" s="1"/>
  <c r="AA273" i="28"/>
  <c r="AC273" i="28" s="1"/>
  <c r="AA194" i="28"/>
  <c r="AC194" i="28" s="1"/>
  <c r="AA197" i="28"/>
  <c r="AC197" i="28" s="1"/>
  <c r="AA376" i="28"/>
  <c r="AC376" i="28" s="1"/>
  <c r="AD364" i="28"/>
  <c r="AA17" i="28"/>
  <c r="AC17" i="28" s="1"/>
  <c r="AA15" i="28"/>
  <c r="AC15" i="28" s="1"/>
  <c r="AA136" i="28"/>
  <c r="AC136" i="28" s="1"/>
  <c r="AA322" i="28"/>
  <c r="AC322" i="28" s="1"/>
  <c r="AA381" i="28"/>
  <c r="AC381" i="28" s="1"/>
  <c r="M45" i="28"/>
  <c r="M167" i="28"/>
  <c r="O167" i="28"/>
  <c r="AA188" i="28"/>
  <c r="AC188" i="28" s="1"/>
  <c r="AA415" i="28"/>
  <c r="AC415" i="28" s="1"/>
  <c r="AA20" i="28"/>
  <c r="AC20" i="28" s="1"/>
  <c r="AA185" i="28"/>
  <c r="AC185" i="28" s="1"/>
  <c r="AA211" i="28"/>
  <c r="AC211" i="28" s="1"/>
  <c r="AA226" i="28"/>
  <c r="AC226" i="28" s="1"/>
  <c r="AA225" i="28"/>
  <c r="AC225" i="28" s="1"/>
  <c r="AA227" i="28"/>
  <c r="AC227" i="28" s="1"/>
  <c r="AA228" i="28"/>
  <c r="AC228" i="28" s="1"/>
  <c r="AA224" i="28"/>
  <c r="AC224" i="28" s="1"/>
  <c r="AA240" i="28"/>
  <c r="AC240" i="28" s="1"/>
  <c r="AD59" i="28"/>
  <c r="AD58" i="28"/>
  <c r="AA217" i="28"/>
  <c r="AC217" i="28" s="1"/>
  <c r="AA111" i="28"/>
  <c r="AC111" i="28" s="1"/>
  <c r="AA3" i="28"/>
  <c r="AC3" i="28" s="1"/>
  <c r="AD131" i="28"/>
  <c r="AA343" i="28"/>
  <c r="AC343" i="28" s="1"/>
  <c r="AA341" i="28"/>
  <c r="AC341" i="28" s="1"/>
  <c r="AA16" i="28"/>
  <c r="AC16" i="28" s="1"/>
  <c r="AA219" i="28"/>
  <c r="AC219" i="28" s="1"/>
  <c r="AA274" i="28"/>
  <c r="AC274" i="28" s="1"/>
  <c r="AA106" i="28"/>
  <c r="AC106" i="28" s="1"/>
  <c r="AA326" i="28"/>
  <c r="AC326" i="28" s="1"/>
  <c r="AA324" i="28"/>
  <c r="AC324" i="28" s="1"/>
  <c r="AA339" i="28"/>
  <c r="AC339" i="28" s="1"/>
  <c r="AA318" i="28"/>
  <c r="AC318" i="28" s="1"/>
  <c r="AA268" i="28"/>
  <c r="AC268" i="28" s="1"/>
  <c r="AA383" i="28"/>
  <c r="AC383" i="28" s="1"/>
  <c r="AD44" i="28"/>
  <c r="AD166" i="28"/>
  <c r="AD52" i="28"/>
  <c r="AA359" i="28"/>
  <c r="AC359" i="28" s="1"/>
  <c r="AD47" i="28"/>
  <c r="AA323" i="28"/>
  <c r="AC323" i="28" s="1"/>
  <c r="AA263" i="28"/>
  <c r="AC263" i="28" s="1"/>
  <c r="AC358" i="28"/>
  <c r="AA208" i="28"/>
  <c r="AC208" i="28" s="1"/>
  <c r="AA203" i="28"/>
  <c r="AC203" i="28" s="1"/>
  <c r="AA206" i="28"/>
  <c r="AC206" i="28" s="1"/>
  <c r="AA207" i="28"/>
  <c r="AC207" i="28" s="1"/>
  <c r="AA201" i="28"/>
  <c r="AC201" i="28" s="1"/>
  <c r="AA200" i="28"/>
  <c r="AC200" i="28" s="1"/>
  <c r="AA209" i="28"/>
  <c r="AC209" i="28" s="1"/>
  <c r="AA202" i="28"/>
  <c r="AC202" i="28" s="1"/>
  <c r="AA220" i="28"/>
  <c r="AC220" i="28" s="1"/>
  <c r="AA190" i="28"/>
  <c r="AC190" i="28" s="1"/>
  <c r="AA342" i="28"/>
  <c r="AC342" i="28" s="1"/>
  <c r="AA422" i="28"/>
  <c r="AC422" i="28" s="1"/>
  <c r="AA83" i="28"/>
  <c r="AC83" i="28" s="1"/>
  <c r="AA135" i="28"/>
  <c r="AC135" i="28" s="1"/>
  <c r="AD362" i="28"/>
  <c r="AA150" i="28"/>
  <c r="AC150" i="28" s="1"/>
  <c r="AA25" i="28"/>
  <c r="AC25" i="28" s="1"/>
  <c r="AA331" i="28"/>
  <c r="AC331" i="28" s="1"/>
  <c r="AD165" i="28"/>
  <c r="AD367" i="28"/>
  <c r="AD87" i="28"/>
  <c r="AA172" i="28"/>
  <c r="AC172" i="28" s="1"/>
  <c r="AA176" i="28"/>
  <c r="AC176" i="28" s="1"/>
  <c r="AA178" i="28"/>
  <c r="AC178" i="28" s="1"/>
  <c r="AA174" i="28"/>
  <c r="AC174" i="28" s="1"/>
  <c r="AA173" i="28"/>
  <c r="AC173" i="28" s="1"/>
  <c r="AA57" i="28"/>
  <c r="AC57" i="28" s="1"/>
  <c r="AA55" i="28"/>
  <c r="AC55" i="28" s="1"/>
  <c r="AA107" i="28"/>
  <c r="AC107" i="28" s="1"/>
  <c r="AA103" i="28"/>
  <c r="AC103" i="28" s="1"/>
  <c r="AA255" i="28"/>
  <c r="AC255" i="28" s="1"/>
  <c r="AA249" i="28"/>
  <c r="AC249" i="28" s="1"/>
  <c r="AA320" i="28"/>
  <c r="AC320" i="28" s="1"/>
  <c r="AA402" i="28"/>
  <c r="AC402" i="28" s="1"/>
  <c r="AA257" i="28"/>
  <c r="AC257" i="28" s="1"/>
  <c r="AA276" i="28"/>
  <c r="AC276" i="28" s="1"/>
  <c r="AA64" i="28"/>
  <c r="AC64" i="28" s="1"/>
  <c r="AA62" i="28"/>
  <c r="AC62" i="28" s="1"/>
  <c r="AA380" i="28"/>
  <c r="AC380" i="28" s="1"/>
  <c r="AA285" i="28"/>
  <c r="AC285" i="28" s="1"/>
  <c r="AA90" i="28"/>
  <c r="AC90" i="28" s="1"/>
  <c r="O89" i="28"/>
  <c r="M89" i="28"/>
  <c r="AA54" i="28"/>
  <c r="AC54" i="28" s="1"/>
  <c r="AA259" i="28"/>
  <c r="AC259" i="28" s="1"/>
  <c r="AA159" i="28"/>
  <c r="AC159" i="28" s="1"/>
  <c r="AA179" i="28"/>
  <c r="AC179" i="28" s="1"/>
  <c r="AA385" i="28"/>
  <c r="AC385" i="28" s="1"/>
  <c r="AA284" i="28"/>
  <c r="AC284" i="28" s="1"/>
  <c r="AA423" i="28"/>
  <c r="AC423" i="28" s="1"/>
  <c r="AA78" i="28"/>
  <c r="AC78" i="28" s="1"/>
  <c r="AA187" i="28"/>
  <c r="AC187" i="28" s="1"/>
  <c r="AA19" i="28"/>
  <c r="AC19" i="28" s="1"/>
  <c r="AA144" i="28"/>
  <c r="AC144" i="28" s="1"/>
  <c r="AA183" i="28"/>
  <c r="AC183" i="28" s="1"/>
  <c r="AA310" i="28"/>
  <c r="AC310" i="28" s="1"/>
  <c r="AA282" i="28"/>
  <c r="AC282" i="28" s="1"/>
  <c r="AD146" i="28"/>
  <c r="AD43" i="28"/>
  <c r="AA153" i="28"/>
  <c r="AC153" i="28" s="1"/>
  <c r="AD168" i="28"/>
  <c r="AD53" i="28"/>
  <c r="AA221" i="28"/>
  <c r="AC221" i="28" s="1"/>
  <c r="AD48" i="28"/>
  <c r="AA213" i="28"/>
  <c r="AC213" i="28" s="1"/>
  <c r="AA41" i="28"/>
  <c r="AC41" i="28" s="1"/>
  <c r="AA36" i="28"/>
  <c r="AC36" i="28" s="1"/>
  <c r="AA212" i="28"/>
  <c r="AC212" i="28" s="1"/>
  <c r="AA210" i="28"/>
  <c r="AC210" i="28" s="1"/>
  <c r="AA305" i="28"/>
  <c r="AC305" i="28" s="1"/>
  <c r="AA133" i="28"/>
  <c r="AC133" i="28" s="1"/>
  <c r="AA311" i="28"/>
  <c r="AC311" i="28" s="1"/>
  <c r="AA80" i="28"/>
  <c r="AC80" i="28" s="1"/>
  <c r="AA108" i="28"/>
  <c r="AC108" i="28" s="1"/>
  <c r="AA223" i="28"/>
  <c r="AC223" i="28" s="1"/>
  <c r="AA377" i="28"/>
  <c r="AC377" i="28" s="1"/>
  <c r="AA340" i="28"/>
  <c r="AC340" i="28" s="1"/>
  <c r="AA334" i="28"/>
  <c r="AC334" i="28" s="1"/>
  <c r="AA335" i="28"/>
  <c r="AC335" i="28" s="1"/>
  <c r="AA336" i="28"/>
  <c r="AC336" i="28" s="1"/>
  <c r="AA5" i="28"/>
  <c r="AC5" i="28" s="1"/>
  <c r="AA393" i="28"/>
  <c r="AC393" i="28" s="1"/>
  <c r="AA229" i="28"/>
  <c r="AC229" i="28" s="1"/>
  <c r="AA39" i="28"/>
  <c r="AC39" i="28" s="1"/>
  <c r="AA26" i="28"/>
  <c r="AC26" i="28" s="1"/>
  <c r="AD126" i="28"/>
  <c r="AD130" i="28"/>
  <c r="AC371" i="28"/>
  <c r="AA216" i="28"/>
  <c r="AC216" i="28" s="1"/>
  <c r="AA410" i="28"/>
  <c r="AC410" i="28" s="1"/>
  <c r="AA409" i="28"/>
  <c r="AC409" i="28" s="1"/>
  <c r="AA195" i="28"/>
  <c r="AC195" i="28" s="1"/>
  <c r="AA102" i="28"/>
  <c r="AC102" i="28" s="1"/>
  <c r="AA105" i="28"/>
  <c r="AC105" i="28" s="1"/>
  <c r="AA400" i="28"/>
  <c r="AC400" i="28" s="1"/>
  <c r="AA253" i="28"/>
  <c r="AC253" i="28" s="1"/>
  <c r="AA256" i="28"/>
  <c r="AC256" i="28" s="1"/>
  <c r="AA93" i="28"/>
  <c r="AC93" i="28" s="1"/>
  <c r="AA272" i="28"/>
  <c r="AC272" i="28" s="1"/>
  <c r="AA382" i="28"/>
  <c r="AC382" i="28" s="1"/>
  <c r="AA238" i="28"/>
  <c r="AC238" i="28" s="1"/>
  <c r="AA245" i="28"/>
  <c r="AC245" i="28" s="1"/>
  <c r="AA215" i="28"/>
  <c r="AC215" i="28" s="1"/>
  <c r="AA38" i="28"/>
  <c r="AC38" i="28" s="1"/>
  <c r="AD149" i="28"/>
  <c r="AD169" i="28"/>
  <c r="AA170" i="28"/>
  <c r="AC170" i="28" s="1"/>
  <c r="AA369" i="28"/>
  <c r="AC369" i="28" s="1"/>
  <c r="AA141" i="28"/>
  <c r="AC141" i="28" s="1"/>
  <c r="AA314" i="28"/>
  <c r="AC314" i="28" s="1"/>
  <c r="AA184" i="28"/>
  <c r="AC184" i="28" s="1"/>
  <c r="AA404" i="28"/>
  <c r="AC404" i="28" s="1"/>
  <c r="AA399" i="28"/>
  <c r="AC399" i="28" s="1"/>
  <c r="AA413" i="28"/>
  <c r="AC413" i="28" s="1"/>
  <c r="AA412" i="28"/>
  <c r="AC412" i="28" s="1"/>
  <c r="AA345" i="28"/>
  <c r="AC345" i="28" s="1"/>
  <c r="AA346" i="28"/>
  <c r="AC346" i="28" s="1"/>
  <c r="AA378" i="28"/>
  <c r="AC378" i="28" s="1"/>
  <c r="AA304" i="28"/>
  <c r="AC304" i="28" s="1"/>
  <c r="AA143" i="28"/>
  <c r="AC143" i="28" s="1"/>
  <c r="AD71" i="28"/>
  <c r="AD129" i="28"/>
  <c r="AA258" i="28"/>
  <c r="AC258" i="28" s="1"/>
  <c r="AA99" i="28"/>
  <c r="AC99" i="28" s="1"/>
  <c r="AA96" i="28"/>
  <c r="AC96" i="28" s="1"/>
  <c r="AA97" i="28"/>
  <c r="AC97" i="28" s="1"/>
  <c r="AA328" i="28"/>
  <c r="AC328" i="28" s="1"/>
  <c r="AA327" i="28"/>
  <c r="AC327" i="28" s="1"/>
  <c r="AA247" i="28"/>
  <c r="AC247" i="28" s="1"/>
  <c r="AA398" i="28"/>
  <c r="AC398" i="28" s="1"/>
  <c r="AA325" i="28"/>
  <c r="AC325" i="28" s="1"/>
  <c r="AA241" i="28"/>
  <c r="AC241" i="28" s="1"/>
  <c r="AA239" i="28"/>
  <c r="AC239" i="28" s="1"/>
  <c r="AA246" i="28"/>
  <c r="AC246" i="28" s="1"/>
  <c r="AA308" i="28"/>
  <c r="AC308" i="28" s="1"/>
  <c r="AD360" i="28"/>
  <c r="AD361" i="28"/>
  <c r="AD147" i="28"/>
  <c r="AD70" i="28"/>
  <c r="AA198" i="28"/>
  <c r="AC198" i="28" s="1"/>
  <c r="AA63" i="28"/>
  <c r="AC63" i="28" s="1"/>
  <c r="O366" i="28"/>
  <c r="AA262" i="28"/>
  <c r="AC262" i="28" s="1"/>
  <c r="AC281" i="28"/>
  <c r="AC406" i="28"/>
  <c r="AC145" i="28"/>
  <c r="AA319" i="28"/>
  <c r="AC319" i="28" s="1"/>
  <c r="AA92" i="28"/>
  <c r="AC92" i="28" s="1"/>
  <c r="AA65" i="28"/>
  <c r="AC65" i="28" s="1"/>
  <c r="AA270" i="28"/>
  <c r="AC270" i="28" s="1"/>
  <c r="AA156" i="28"/>
  <c r="AC156" i="28" s="1"/>
  <c r="AD156" i="28" s="1"/>
  <c r="AA356" i="28"/>
  <c r="AC356" i="28" s="1"/>
  <c r="AA248" i="28"/>
  <c r="AC248" i="28" s="1"/>
  <c r="AA81" i="28"/>
  <c r="AC81" i="28" s="1"/>
  <c r="AA391" i="28"/>
  <c r="AC391" i="28" s="1"/>
  <c r="AA386" i="28"/>
  <c r="AC386" i="28" s="1"/>
  <c r="AA389" i="28"/>
  <c r="AC389" i="28" s="1"/>
  <c r="AA24" i="28"/>
  <c r="AC24" i="28" s="1"/>
  <c r="AA407" i="28"/>
  <c r="AC407" i="28" s="1"/>
  <c r="AA23" i="28"/>
  <c r="AC23" i="28" s="1"/>
  <c r="AD34" i="28"/>
  <c r="AA94" i="28"/>
  <c r="AC94" i="28" s="1"/>
  <c r="AD75" i="28"/>
  <c r="AD76" i="28"/>
  <c r="AA357" i="28"/>
  <c r="AC357" i="28" s="1"/>
  <c r="AA177" i="28"/>
  <c r="AC177" i="28" s="1"/>
  <c r="AD373" i="28" l="1"/>
  <c r="AD375" i="28"/>
  <c r="AD350" i="28"/>
  <c r="AD348" i="28"/>
  <c r="AD349" i="28"/>
  <c r="AD351" i="28"/>
  <c r="AD33" i="28"/>
  <c r="AD374" i="28"/>
  <c r="AD159" i="28"/>
  <c r="O127" i="28"/>
  <c r="AD162" i="28"/>
  <c r="AD120" i="28"/>
  <c r="AD372" i="28"/>
  <c r="O372" i="28" s="1"/>
  <c r="AD31" i="28"/>
  <c r="O31" i="28" s="1"/>
  <c r="AD122" i="28"/>
  <c r="AD163" i="28"/>
  <c r="M73" i="28"/>
  <c r="AD7" i="28"/>
  <c r="AD32" i="28"/>
  <c r="O32" i="28" s="1"/>
  <c r="M363" i="28"/>
  <c r="AD133" i="28"/>
  <c r="AD30" i="28"/>
  <c r="O49" i="28"/>
  <c r="AD124" i="28"/>
  <c r="AD141" i="28"/>
  <c r="AD125" i="28"/>
  <c r="AD69" i="28"/>
  <c r="AD68" i="28"/>
  <c r="AD66" i="28"/>
  <c r="AD67" i="28"/>
  <c r="AD299" i="28"/>
  <c r="M351" i="28"/>
  <c r="O351" i="28"/>
  <c r="AD110" i="28"/>
  <c r="AD298" i="28"/>
  <c r="O298" i="28" s="1"/>
  <c r="AD296" i="28"/>
  <c r="M296" i="28" s="1"/>
  <c r="AD297" i="28"/>
  <c r="O164" i="28"/>
  <c r="AD292" i="28"/>
  <c r="AD5" i="28"/>
  <c r="AD152" i="28"/>
  <c r="AD270" i="28"/>
  <c r="AD281" i="28"/>
  <c r="O281" i="28" s="1"/>
  <c r="AD378" i="28"/>
  <c r="AD83" i="28"/>
  <c r="AD153" i="28"/>
  <c r="AD177" i="28"/>
  <c r="AD407" i="28"/>
  <c r="AD252" i="28"/>
  <c r="AD115" i="28"/>
  <c r="AD118" i="28"/>
  <c r="M118" i="28" s="1"/>
  <c r="AD119" i="28"/>
  <c r="M119" i="28" s="1"/>
  <c r="AD262" i="28"/>
  <c r="AD355" i="28"/>
  <c r="AD352" i="28"/>
  <c r="AD354" i="28"/>
  <c r="AD353" i="28"/>
  <c r="M353" i="28" s="1"/>
  <c r="O66" i="28"/>
  <c r="M66" i="28"/>
  <c r="AD301" i="28"/>
  <c r="O301" i="28" s="1"/>
  <c r="AD114" i="28"/>
  <c r="AD116" i="28"/>
  <c r="AD117" i="28"/>
  <c r="M117" i="28" s="1"/>
  <c r="AD300" i="28"/>
  <c r="O300" i="28" s="1"/>
  <c r="AD302" i="28"/>
  <c r="M302" i="28" s="1"/>
  <c r="AD303" i="28"/>
  <c r="O303" i="28" s="1"/>
  <c r="AD293" i="28"/>
  <c r="M293" i="28" s="1"/>
  <c r="AD295" i="28"/>
  <c r="M295" i="28" s="1"/>
  <c r="AD294" i="28"/>
  <c r="M294" i="28" s="1"/>
  <c r="M292" i="28"/>
  <c r="O292" i="28"/>
  <c r="O296" i="28"/>
  <c r="M299" i="28"/>
  <c r="O299" i="28"/>
  <c r="M297" i="28"/>
  <c r="O297" i="28"/>
  <c r="AD319" i="28"/>
  <c r="AD232" i="28"/>
  <c r="O232" i="28" s="1"/>
  <c r="AD235" i="28"/>
  <c r="AD236" i="28"/>
  <c r="O236" i="28" s="1"/>
  <c r="AD231" i="28"/>
  <c r="AD234" i="28"/>
  <c r="AD233" i="28"/>
  <c r="AD237" i="28"/>
  <c r="E20" i="14"/>
  <c r="F20" i="14"/>
  <c r="J20" i="14"/>
  <c r="M46" i="28"/>
  <c r="H20" i="14"/>
  <c r="G20" i="14"/>
  <c r="B20" i="14"/>
  <c r="C20" i="14"/>
  <c r="I20" i="14"/>
  <c r="D20" i="14"/>
  <c r="A24" i="11"/>
  <c r="A89" i="11"/>
  <c r="A63" i="11"/>
  <c r="F88" i="11"/>
  <c r="B62" i="11"/>
  <c r="B22" i="11" s="1"/>
  <c r="C62" i="11"/>
  <c r="C22" i="11" s="1"/>
  <c r="H62" i="11"/>
  <c r="H22" i="11" s="1"/>
  <c r="I88" i="11"/>
  <c r="B88" i="11"/>
  <c r="D88" i="11"/>
  <c r="E88" i="11"/>
  <c r="D62" i="11"/>
  <c r="D22" i="11" s="1"/>
  <c r="H88" i="11"/>
  <c r="F62" i="11"/>
  <c r="F22" i="11" s="1"/>
  <c r="J62" i="11"/>
  <c r="J22" i="11" s="1"/>
  <c r="G62" i="11"/>
  <c r="G22" i="11" s="1"/>
  <c r="E62" i="11"/>
  <c r="E22" i="11" s="1"/>
  <c r="G88" i="11"/>
  <c r="J88" i="11"/>
  <c r="K62" i="11"/>
  <c r="K22" i="11" s="1"/>
  <c r="K88" i="11"/>
  <c r="I62" i="11"/>
  <c r="I22" i="11" s="1"/>
  <c r="C88" i="11"/>
  <c r="I213" i="14"/>
  <c r="D213" i="14"/>
  <c r="J213" i="14"/>
  <c r="C213" i="14"/>
  <c r="B213" i="14"/>
  <c r="E213" i="14"/>
  <c r="F213" i="14"/>
  <c r="G213" i="14"/>
  <c r="H213" i="14"/>
  <c r="K213" i="14"/>
  <c r="K61" i="14"/>
  <c r="B61" i="14"/>
  <c r="F61" i="14"/>
  <c r="G61" i="14"/>
  <c r="H61" i="14"/>
  <c r="I61" i="14"/>
  <c r="C61" i="14"/>
  <c r="J61" i="14"/>
  <c r="D61" i="14"/>
  <c r="E61" i="14"/>
  <c r="H86" i="14"/>
  <c r="I86" i="14"/>
  <c r="E86" i="14"/>
  <c r="J86" i="14"/>
  <c r="K86" i="14"/>
  <c r="D86" i="14"/>
  <c r="B86" i="14"/>
  <c r="C86" i="14"/>
  <c r="F86" i="14"/>
  <c r="G86" i="14"/>
  <c r="K161" i="14"/>
  <c r="F161" i="14"/>
  <c r="G161" i="14"/>
  <c r="H161" i="14"/>
  <c r="I161" i="14"/>
  <c r="B161" i="14"/>
  <c r="J161" i="14"/>
  <c r="E161" i="14"/>
  <c r="C161" i="14"/>
  <c r="D161" i="14"/>
  <c r="A62" i="14"/>
  <c r="A162" i="14"/>
  <c r="A23" i="14"/>
  <c r="A188" i="14"/>
  <c r="A87" i="14"/>
  <c r="A240" i="14"/>
  <c r="A112" i="14"/>
  <c r="A137" i="14"/>
  <c r="A214" i="14"/>
  <c r="B239" i="14"/>
  <c r="C239" i="14"/>
  <c r="E239" i="14"/>
  <c r="K239" i="14"/>
  <c r="F239" i="14"/>
  <c r="G239" i="14"/>
  <c r="H239" i="14"/>
  <c r="I239" i="14"/>
  <c r="D239" i="14"/>
  <c r="J239" i="14"/>
  <c r="K136" i="14"/>
  <c r="B136" i="14"/>
  <c r="D136" i="14"/>
  <c r="F136" i="14"/>
  <c r="G136" i="14"/>
  <c r="H136" i="14"/>
  <c r="I136" i="14"/>
  <c r="C136" i="14"/>
  <c r="J136" i="14"/>
  <c r="E136" i="14"/>
  <c r="K187" i="14"/>
  <c r="E187" i="14"/>
  <c r="J187" i="14"/>
  <c r="D187" i="14"/>
  <c r="B187" i="14"/>
  <c r="C187" i="14"/>
  <c r="F187" i="14"/>
  <c r="G187" i="14"/>
  <c r="H187" i="14"/>
  <c r="I187" i="14"/>
  <c r="D111" i="14"/>
  <c r="E111" i="14"/>
  <c r="F111" i="14"/>
  <c r="G111" i="14"/>
  <c r="H111" i="14"/>
  <c r="I111" i="14"/>
  <c r="C111" i="14"/>
  <c r="J111" i="14"/>
  <c r="B111" i="14"/>
  <c r="K111" i="14"/>
  <c r="AD28" i="28"/>
  <c r="M28" i="28" s="1"/>
  <c r="AD27" i="28"/>
  <c r="O27" i="28" s="1"/>
  <c r="AD29" i="28"/>
  <c r="D97" i="16"/>
  <c r="E97" i="16"/>
  <c r="J97" i="16"/>
  <c r="G97" i="16"/>
  <c r="H97" i="16"/>
  <c r="I97" i="16"/>
  <c r="B97" i="16"/>
  <c r="F97" i="16"/>
  <c r="C97" i="16"/>
  <c r="S25" i="12"/>
  <c r="S47" i="12"/>
  <c r="C90" i="17"/>
  <c r="D90" i="17"/>
  <c r="B90" i="17"/>
  <c r="E90" i="17"/>
  <c r="F90" i="17"/>
  <c r="G90" i="17"/>
  <c r="H90" i="17"/>
  <c r="I90" i="17"/>
  <c r="J90" i="17"/>
  <c r="K90" i="17"/>
  <c r="C63" i="2"/>
  <c r="B63" i="2"/>
  <c r="E63" i="2"/>
  <c r="D63" i="2"/>
  <c r="F63" i="2"/>
  <c r="G63" i="2"/>
  <c r="H63" i="2"/>
  <c r="I63" i="2"/>
  <c r="J63" i="2"/>
  <c r="K63" i="2"/>
  <c r="F19" i="2"/>
  <c r="C70" i="16"/>
  <c r="D70" i="16"/>
  <c r="F70" i="16"/>
  <c r="H70" i="16"/>
  <c r="J70" i="16"/>
  <c r="B70" i="16"/>
  <c r="E70" i="16"/>
  <c r="G70" i="16"/>
  <c r="I70" i="16"/>
  <c r="E19" i="2"/>
  <c r="A150" i="16"/>
  <c r="A124" i="16"/>
  <c r="A28" i="16"/>
  <c r="A98" i="16"/>
  <c r="A177" i="16"/>
  <c r="A71" i="16"/>
  <c r="B19" i="2"/>
  <c r="AD12" i="28"/>
  <c r="O12" i="28" s="1"/>
  <c r="D123" i="16"/>
  <c r="E123" i="16"/>
  <c r="C123" i="16"/>
  <c r="H123" i="16"/>
  <c r="I123" i="16"/>
  <c r="G123" i="16"/>
  <c r="B123" i="16"/>
  <c r="F123" i="16"/>
  <c r="J123" i="16"/>
  <c r="K19" i="2"/>
  <c r="C19" i="2"/>
  <c r="B65" i="17"/>
  <c r="D65" i="17"/>
  <c r="C65" i="17"/>
  <c r="E65" i="17"/>
  <c r="F65" i="17"/>
  <c r="G65" i="17"/>
  <c r="H65" i="17"/>
  <c r="I65" i="17"/>
  <c r="J65" i="17"/>
  <c r="K65" i="17"/>
  <c r="C114" i="2"/>
  <c r="B114" i="2"/>
  <c r="D114" i="2"/>
  <c r="E114" i="2"/>
  <c r="C140" i="2"/>
  <c r="D88" i="2"/>
  <c r="B140" i="2"/>
  <c r="B88" i="2"/>
  <c r="F88" i="2"/>
  <c r="F140" i="2"/>
  <c r="D140" i="2"/>
  <c r="C88" i="2"/>
  <c r="E88" i="2"/>
  <c r="E140" i="2"/>
  <c r="F114" i="2"/>
  <c r="G114" i="2"/>
  <c r="G140" i="2"/>
  <c r="G88" i="2"/>
  <c r="H140" i="2"/>
  <c r="H88" i="2"/>
  <c r="H114" i="2"/>
  <c r="I88" i="2"/>
  <c r="I140" i="2"/>
  <c r="I114" i="2"/>
  <c r="J114" i="2"/>
  <c r="J88" i="2"/>
  <c r="J140" i="2"/>
  <c r="K114" i="2"/>
  <c r="K140" i="2"/>
  <c r="K88" i="2"/>
  <c r="J19" i="2"/>
  <c r="D19" i="2"/>
  <c r="A91" i="17"/>
  <c r="A66" i="17"/>
  <c r="A117" i="17"/>
  <c r="A24" i="17"/>
  <c r="A170" i="17"/>
  <c r="A143" i="17"/>
  <c r="A115" i="2"/>
  <c r="A141" i="2"/>
  <c r="A89" i="2"/>
  <c r="A22" i="2"/>
  <c r="A64" i="2"/>
  <c r="I19" i="2"/>
  <c r="C116" i="17"/>
  <c r="D116" i="17"/>
  <c r="B116" i="17"/>
  <c r="E116" i="17"/>
  <c r="F116" i="17"/>
  <c r="G116" i="17"/>
  <c r="H116" i="17"/>
  <c r="I116" i="17"/>
  <c r="J116" i="17"/>
  <c r="K116" i="17"/>
  <c r="H19" i="2"/>
  <c r="G19" i="2"/>
  <c r="AD13" i="28"/>
  <c r="M13" i="28" s="1"/>
  <c r="AD14" i="28"/>
  <c r="M14" i="28" s="1"/>
  <c r="O148" i="28"/>
  <c r="M148" i="28"/>
  <c r="AD11" i="28"/>
  <c r="AD184" i="28"/>
  <c r="AD226" i="28"/>
  <c r="M226" i="28" s="1"/>
  <c r="AD81" i="28"/>
  <c r="O81" i="28" s="1"/>
  <c r="AD308" i="28"/>
  <c r="AD198" i="28"/>
  <c r="O198" i="28" s="1"/>
  <c r="AD54" i="28"/>
  <c r="O61" i="28"/>
  <c r="M61" i="28"/>
  <c r="AD290" i="28"/>
  <c r="O290" i="28" s="1"/>
  <c r="AD288" i="28"/>
  <c r="M288" i="28" s="1"/>
  <c r="AD289" i="28"/>
  <c r="M289" i="28" s="1"/>
  <c r="AD291" i="28"/>
  <c r="M31" i="28"/>
  <c r="AD241" i="28"/>
  <c r="AD391" i="28"/>
  <c r="AD94" i="28"/>
  <c r="O94" i="28" s="1"/>
  <c r="AD369" i="28"/>
  <c r="O42" i="28"/>
  <c r="AD24" i="28"/>
  <c r="AD265" i="28"/>
  <c r="AD334" i="28"/>
  <c r="AD404" i="28"/>
  <c r="AD214" i="28"/>
  <c r="M214" i="28" s="1"/>
  <c r="AD10" i="28"/>
  <c r="O72" i="28"/>
  <c r="AD244" i="28"/>
  <c r="O244" i="28" s="1"/>
  <c r="AD216" i="28"/>
  <c r="AD249" i="28"/>
  <c r="M249" i="28" s="1"/>
  <c r="AD202" i="28"/>
  <c r="AD20" i="28"/>
  <c r="M20" i="28" s="1"/>
  <c r="AD181" i="28"/>
  <c r="O181" i="28" s="1"/>
  <c r="AD416" i="28"/>
  <c r="AD356" i="28"/>
  <c r="O356" i="28" s="1"/>
  <c r="AD97" i="28"/>
  <c r="M97" i="28" s="1"/>
  <c r="AD171" i="28"/>
  <c r="M171" i="28" s="1"/>
  <c r="AD196" i="28"/>
  <c r="M196" i="28" s="1"/>
  <c r="AD144" i="28"/>
  <c r="M144" i="28" s="1"/>
  <c r="AD230" i="28"/>
  <c r="M230" i="28" s="1"/>
  <c r="AD408" i="28"/>
  <c r="M408" i="28" s="1"/>
  <c r="AD98" i="28"/>
  <c r="M98" i="28" s="1"/>
  <c r="AD39" i="28"/>
  <c r="AD221" i="28"/>
  <c r="O221" i="28" s="1"/>
  <c r="O74" i="28"/>
  <c r="M74" i="28"/>
  <c r="O252" i="28"/>
  <c r="M252" i="28"/>
  <c r="M133" i="28"/>
  <c r="O133" i="28"/>
  <c r="AD105" i="28"/>
  <c r="AD102" i="28"/>
  <c r="O156" i="28"/>
  <c r="M156" i="28"/>
  <c r="O360" i="28"/>
  <c r="M360" i="28"/>
  <c r="O75" i="28"/>
  <c r="M75" i="28"/>
  <c r="M81" i="28"/>
  <c r="AD327" i="28"/>
  <c r="AD325" i="28"/>
  <c r="AD357" i="28"/>
  <c r="AD23" i="28"/>
  <c r="AD386" i="28"/>
  <c r="O373" i="28"/>
  <c r="M373" i="28"/>
  <c r="M361" i="28"/>
  <c r="O361" i="28"/>
  <c r="AD239" i="28"/>
  <c r="AD398" i="28"/>
  <c r="AD328" i="28"/>
  <c r="AD258" i="28"/>
  <c r="M235" i="28"/>
  <c r="O235" i="28"/>
  <c r="M236" i="28"/>
  <c r="M378" i="28"/>
  <c r="O378" i="28"/>
  <c r="AD314" i="28"/>
  <c r="M68" i="28"/>
  <c r="O68" i="28"/>
  <c r="AD215" i="28"/>
  <c r="AD272" i="28"/>
  <c r="AD400" i="28"/>
  <c r="AD409" i="28"/>
  <c r="AD26" i="28"/>
  <c r="AD393" i="28"/>
  <c r="AD343" i="28"/>
  <c r="AD335" i="28"/>
  <c r="AD223" i="28"/>
  <c r="AD37" i="28"/>
  <c r="AD36" i="28"/>
  <c r="M48" i="28"/>
  <c r="O48" i="28"/>
  <c r="O348" i="28"/>
  <c r="M348" i="28"/>
  <c r="M146" i="28"/>
  <c r="O146" i="28"/>
  <c r="AD78" i="28"/>
  <c r="AD179" i="28"/>
  <c r="AD192" i="28"/>
  <c r="AD218" i="28"/>
  <c r="AD276" i="28"/>
  <c r="AD174" i="28"/>
  <c r="AD173" i="28"/>
  <c r="AD172" i="28"/>
  <c r="AD331" i="28"/>
  <c r="AD135" i="28"/>
  <c r="AD190" i="28"/>
  <c r="AD205" i="28"/>
  <c r="AD200" i="28"/>
  <c r="AD203" i="28"/>
  <c r="AD358" i="28"/>
  <c r="AD359" i="28"/>
  <c r="O44" i="28"/>
  <c r="M44" i="28"/>
  <c r="AD318" i="28"/>
  <c r="AD106" i="28"/>
  <c r="AD341" i="28"/>
  <c r="AD111" i="28"/>
  <c r="O30" i="28"/>
  <c r="M30" i="28"/>
  <c r="AD228" i="28"/>
  <c r="AD211" i="28"/>
  <c r="AD337" i="28"/>
  <c r="AD17" i="28"/>
  <c r="AD194" i="28"/>
  <c r="AD338" i="28"/>
  <c r="AD384" i="28"/>
  <c r="M69" i="28"/>
  <c r="O69" i="28"/>
  <c r="AD8" i="28"/>
  <c r="AD286" i="28"/>
  <c r="AD307" i="28"/>
  <c r="AD134" i="28"/>
  <c r="AD394" i="28"/>
  <c r="AD186" i="28"/>
  <c r="AD330" i="28"/>
  <c r="AD161" i="28"/>
  <c r="AD132" i="28"/>
  <c r="AD267" i="28"/>
  <c r="M77" i="28"/>
  <c r="O77" i="28"/>
  <c r="AD316" i="28"/>
  <c r="AD401" i="28"/>
  <c r="AD417" i="28"/>
  <c r="AD344" i="28"/>
  <c r="AD56" i="28"/>
  <c r="AD271" i="28"/>
  <c r="AD287" i="28"/>
  <c r="AD277" i="28"/>
  <c r="AD332" i="28"/>
  <c r="O121" i="28"/>
  <c r="M121" i="28"/>
  <c r="O391" i="28"/>
  <c r="M391" i="28"/>
  <c r="M233" i="28"/>
  <c r="O233" i="28"/>
  <c r="AD247" i="28"/>
  <c r="O97" i="28"/>
  <c r="M129" i="28"/>
  <c r="O129" i="28"/>
  <c r="M7" i="28"/>
  <c r="O7" i="28"/>
  <c r="M71" i="28"/>
  <c r="O71" i="28"/>
  <c r="AD347" i="28"/>
  <c r="AD346" i="28"/>
  <c r="AD412" i="28"/>
  <c r="O404" i="28"/>
  <c r="M404" i="28"/>
  <c r="M265" i="28"/>
  <c r="O265" i="28"/>
  <c r="M141" i="28"/>
  <c r="O141" i="28"/>
  <c r="O169" i="28"/>
  <c r="M169" i="28"/>
  <c r="AD245" i="28"/>
  <c r="AD93" i="28"/>
  <c r="AD410" i="28"/>
  <c r="O130" i="28"/>
  <c r="M130" i="28"/>
  <c r="O39" i="28"/>
  <c r="M39" i="28"/>
  <c r="M122" i="28"/>
  <c r="O122" i="28"/>
  <c r="O334" i="28"/>
  <c r="M334" i="28"/>
  <c r="AD112" i="28"/>
  <c r="AD108" i="28"/>
  <c r="AD305" i="28"/>
  <c r="AD41" i="28"/>
  <c r="M221" i="28"/>
  <c r="M168" i="28"/>
  <c r="O168" i="28"/>
  <c r="AD282" i="28"/>
  <c r="AD425" i="28"/>
  <c r="AD423" i="28"/>
  <c r="M159" i="28"/>
  <c r="O159" i="28"/>
  <c r="AD90" i="28"/>
  <c r="AD257" i="28"/>
  <c r="AD255" i="28"/>
  <c r="AD55" i="28"/>
  <c r="AD57" i="28"/>
  <c r="M87" i="28"/>
  <c r="O87" i="28"/>
  <c r="AD25" i="28"/>
  <c r="AD220" i="28"/>
  <c r="AD201" i="28"/>
  <c r="AD208" i="28"/>
  <c r="AD263" i="28"/>
  <c r="O52" i="28"/>
  <c r="M52" i="28"/>
  <c r="O33" i="28"/>
  <c r="M33" i="28"/>
  <c r="AD339" i="28"/>
  <c r="AD3" i="28"/>
  <c r="AD217" i="28"/>
  <c r="AD4" i="28"/>
  <c r="AD227" i="28"/>
  <c r="AD185" i="28"/>
  <c r="AD260" i="28"/>
  <c r="AD381" i="28"/>
  <c r="AD136" i="28"/>
  <c r="O364" i="28"/>
  <c r="M364" i="28"/>
  <c r="AD273" i="28"/>
  <c r="AD104" i="28"/>
  <c r="AD264" i="28"/>
  <c r="AD109" i="28"/>
  <c r="O10" i="28"/>
  <c r="M10" i="28"/>
  <c r="AD84" i="28"/>
  <c r="AD261" i="28"/>
  <c r="AD392" i="28"/>
  <c r="O163" i="28"/>
  <c r="M163" i="28"/>
  <c r="AD254" i="28"/>
  <c r="AD189" i="28"/>
  <c r="AD92" i="28"/>
  <c r="AD95" i="28"/>
  <c r="AD175" i="28"/>
  <c r="O128" i="28"/>
  <c r="M128" i="28"/>
  <c r="M50" i="28"/>
  <c r="O50" i="28"/>
  <c r="AD21" i="28"/>
  <c r="AD397" i="28"/>
  <c r="AD390" i="28"/>
  <c r="AD419" i="28"/>
  <c r="AD424" i="28"/>
  <c r="AD387" i="28"/>
  <c r="AD309" i="28"/>
  <c r="AD317" i="28"/>
  <c r="AD283" i="28"/>
  <c r="AD269" i="28"/>
  <c r="AD250" i="28"/>
  <c r="O123" i="28"/>
  <c r="M123" i="28"/>
  <c r="AD113" i="28"/>
  <c r="O76" i="28"/>
  <c r="M76" i="28"/>
  <c r="O319" i="28"/>
  <c r="M319" i="28"/>
  <c r="AD406" i="28"/>
  <c r="O270" i="28"/>
  <c r="M270" i="28"/>
  <c r="AD19" i="28"/>
  <c r="M70" i="28"/>
  <c r="O70" i="28"/>
  <c r="O152" i="28"/>
  <c r="M152" i="28"/>
  <c r="AD101" i="28"/>
  <c r="AD96" i="28"/>
  <c r="M354" i="28"/>
  <c r="O354" i="28"/>
  <c r="AD143" i="28"/>
  <c r="AD345" i="28"/>
  <c r="O110" i="28"/>
  <c r="M110" i="28"/>
  <c r="O184" i="28"/>
  <c r="M184" i="28"/>
  <c r="M369" i="28"/>
  <c r="O369" i="28"/>
  <c r="O149" i="28"/>
  <c r="M149" i="28"/>
  <c r="AD238" i="28"/>
  <c r="AD256" i="28"/>
  <c r="O216" i="28"/>
  <c r="M216" i="28"/>
  <c r="O126" i="28"/>
  <c r="M126" i="28"/>
  <c r="AD229" i="28"/>
  <c r="O5" i="28"/>
  <c r="M5" i="28"/>
  <c r="AD340" i="28"/>
  <c r="AD80" i="28"/>
  <c r="AD210" i="28"/>
  <c r="M375" i="28"/>
  <c r="O375" i="28"/>
  <c r="O53" i="28"/>
  <c r="M53" i="28"/>
  <c r="O153" i="28"/>
  <c r="M153" i="28"/>
  <c r="AD310" i="28"/>
  <c r="AD187" i="28"/>
  <c r="AD284" i="28"/>
  <c r="AD259" i="28"/>
  <c r="AD285" i="28"/>
  <c r="AD65" i="28"/>
  <c r="AD62" i="28"/>
  <c r="AD402" i="28"/>
  <c r="AD103" i="28"/>
  <c r="AD411" i="28"/>
  <c r="AD178" i="28"/>
  <c r="M367" i="28"/>
  <c r="O367" i="28"/>
  <c r="AD422" i="28"/>
  <c r="AD207" i="28"/>
  <c r="AD323" i="28"/>
  <c r="O350" i="28"/>
  <c r="M350" i="28"/>
  <c r="AD383" i="28"/>
  <c r="AD324" i="28"/>
  <c r="AD219" i="28"/>
  <c r="O131" i="28"/>
  <c r="M131" i="28"/>
  <c r="AD191" i="28"/>
  <c r="M58" i="28"/>
  <c r="O58" i="28"/>
  <c r="AD240" i="28"/>
  <c r="AD225" i="28"/>
  <c r="AD188" i="28"/>
  <c r="AD266" i="28"/>
  <c r="AD380" i="28"/>
  <c r="AD376" i="28"/>
  <c r="AD403" i="28"/>
  <c r="AD368" i="28"/>
  <c r="AD139" i="28"/>
  <c r="O60" i="28"/>
  <c r="M60" i="28"/>
  <c r="AD150" i="28"/>
  <c r="AD151" i="28"/>
  <c r="AD204" i="28"/>
  <c r="AD85" i="28"/>
  <c r="AD82" i="28"/>
  <c r="M374" i="28"/>
  <c r="O374" i="28"/>
  <c r="M162" i="28"/>
  <c r="O162" i="28"/>
  <c r="AD180" i="28"/>
  <c r="AD182" i="28"/>
  <c r="AD140" i="28"/>
  <c r="M51" i="28"/>
  <c r="O51" i="28"/>
  <c r="AD40" i="28"/>
  <c r="AD91" i="28"/>
  <c r="AD396" i="28"/>
  <c r="AD426" i="28"/>
  <c r="AD193" i="28"/>
  <c r="O416" i="28"/>
  <c r="M416" i="28"/>
  <c r="AD418" i="28"/>
  <c r="AD142" i="28"/>
  <c r="AD388" i="28"/>
  <c r="AD321" i="28"/>
  <c r="AD279" i="28"/>
  <c r="AD274" i="28"/>
  <c r="AD275" i="28"/>
  <c r="M124" i="28"/>
  <c r="O124" i="28"/>
  <c r="O120" i="28"/>
  <c r="M120" i="28"/>
  <c r="AD242" i="28"/>
  <c r="AD395" i="28"/>
  <c r="AD137" i="28"/>
  <c r="O407" i="28"/>
  <c r="M407" i="28"/>
  <c r="O241" i="28"/>
  <c r="M241" i="28"/>
  <c r="O24" i="28"/>
  <c r="M24" i="28"/>
  <c r="O308" i="28"/>
  <c r="M308" i="28"/>
  <c r="M177" i="28"/>
  <c r="O177" i="28"/>
  <c r="O231" i="28"/>
  <c r="M231" i="28"/>
  <c r="O34" i="28"/>
  <c r="M34" i="28"/>
  <c r="AD389" i="28"/>
  <c r="AD248" i="28"/>
  <c r="AD145" i="28"/>
  <c r="M262" i="28"/>
  <c r="O262" i="28"/>
  <c r="AD63" i="28"/>
  <c r="O147" i="28"/>
  <c r="M147" i="28"/>
  <c r="AD246" i="28"/>
  <c r="AD22" i="28"/>
  <c r="AD99" i="28"/>
  <c r="O352" i="28"/>
  <c r="M352" i="28"/>
  <c r="AD304" i="28"/>
  <c r="AD243" i="28"/>
  <c r="AD413" i="28"/>
  <c r="AD170" i="28"/>
  <c r="AD38" i="28"/>
  <c r="AD382" i="28"/>
  <c r="AD253" i="28"/>
  <c r="AD195" i="28"/>
  <c r="AD371" i="28"/>
  <c r="M355" i="28"/>
  <c r="O355" i="28"/>
  <c r="O234" i="28"/>
  <c r="M234" i="28"/>
  <c r="AD336" i="28"/>
  <c r="AD377" i="28"/>
  <c r="AD311" i="28"/>
  <c r="AD212" i="28"/>
  <c r="AD213" i="28"/>
  <c r="M349" i="28"/>
  <c r="O349" i="28"/>
  <c r="O43" i="28"/>
  <c r="M43" i="28"/>
  <c r="AD183" i="28"/>
  <c r="AD199" i="28"/>
  <c r="AD385" i="28"/>
  <c r="M54" i="28"/>
  <c r="O54" i="28"/>
  <c r="M237" i="28"/>
  <c r="O237" i="28"/>
  <c r="AD222" i="28"/>
  <c r="AD64" i="28"/>
  <c r="AD320" i="28"/>
  <c r="AD107" i="28"/>
  <c r="AD379" i="28"/>
  <c r="AD176" i="28"/>
  <c r="O165" i="28"/>
  <c r="M165" i="28"/>
  <c r="M362" i="28"/>
  <c r="O362" i="28"/>
  <c r="AD342" i="28"/>
  <c r="AD209" i="28"/>
  <c r="AD206" i="28"/>
  <c r="M47" i="28"/>
  <c r="O47" i="28"/>
  <c r="O166" i="28"/>
  <c r="M166" i="28"/>
  <c r="AD268" i="28"/>
  <c r="AD326" i="28"/>
  <c r="AD16" i="28"/>
  <c r="O67" i="28"/>
  <c r="M67" i="28"/>
  <c r="M59" i="28"/>
  <c r="O59" i="28"/>
  <c r="AD224" i="28"/>
  <c r="AD415" i="28"/>
  <c r="AD322" i="28"/>
  <c r="AD15" i="28"/>
  <c r="AD197" i="28"/>
  <c r="AD414" i="28"/>
  <c r="M365" i="28"/>
  <c r="O365" i="28"/>
  <c r="M35" i="28"/>
  <c r="O35" i="28"/>
  <c r="AD9" i="28"/>
  <c r="AD6" i="28"/>
  <c r="AD329" i="28"/>
  <c r="M88" i="28"/>
  <c r="O88" i="28"/>
  <c r="AD100" i="28"/>
  <c r="AD370" i="28"/>
  <c r="AD158" i="28"/>
  <c r="AD160" i="28"/>
  <c r="AD251" i="28"/>
  <c r="AD138" i="28"/>
  <c r="AD79" i="28"/>
  <c r="AD315" i="28"/>
  <c r="AD399" i="28"/>
  <c r="AD405" i="28"/>
  <c r="AD313" i="28"/>
  <c r="AD420" i="28"/>
  <c r="AD421" i="28"/>
  <c r="AD155" i="28"/>
  <c r="AD312" i="28"/>
  <c r="AD306" i="28"/>
  <c r="AD280" i="28"/>
  <c r="AD278" i="28"/>
  <c r="AD333" i="28"/>
  <c r="M125" i="28"/>
  <c r="O125" i="28"/>
  <c r="AD157" i="28"/>
  <c r="AD154" i="28"/>
  <c r="AD18" i="28"/>
  <c r="M372" i="28" l="1"/>
  <c r="M281" i="28"/>
  <c r="M32" i="28"/>
  <c r="M301" i="28"/>
  <c r="M244" i="28"/>
  <c r="M356" i="28"/>
  <c r="M298" i="28"/>
  <c r="M198" i="28"/>
  <c r="O353" i="28"/>
  <c r="O226" i="28"/>
  <c r="O118" i="28"/>
  <c r="O119" i="28"/>
  <c r="O83" i="28"/>
  <c r="M83" i="28"/>
  <c r="M115" i="28"/>
  <c r="O115" i="28"/>
  <c r="O302" i="28"/>
  <c r="O214" i="28"/>
  <c r="M300" i="28"/>
  <c r="O117" i="28"/>
  <c r="O293" i="28"/>
  <c r="O116" i="28"/>
  <c r="M116" i="28"/>
  <c r="O114" i="28"/>
  <c r="M114" i="28"/>
  <c r="O295" i="28"/>
  <c r="M303" i="28"/>
  <c r="O294" i="28"/>
  <c r="M232" i="28"/>
  <c r="J20" i="2"/>
  <c r="I21" i="14"/>
  <c r="O20" i="28"/>
  <c r="G214" i="14"/>
  <c r="H214" i="14"/>
  <c r="I214" i="14"/>
  <c r="B214" i="14"/>
  <c r="J214" i="14"/>
  <c r="D214" i="14"/>
  <c r="K214" i="14"/>
  <c r="E214" i="14"/>
  <c r="C214" i="14"/>
  <c r="F214" i="14"/>
  <c r="D62" i="14"/>
  <c r="J62" i="14"/>
  <c r="E62" i="14"/>
  <c r="K62" i="14"/>
  <c r="C62" i="14"/>
  <c r="B62" i="14"/>
  <c r="F62" i="14"/>
  <c r="G62" i="14"/>
  <c r="H62" i="14"/>
  <c r="I62" i="14"/>
  <c r="C21" i="14"/>
  <c r="G137" i="14"/>
  <c r="H137" i="14"/>
  <c r="I137" i="14"/>
  <c r="D137" i="14"/>
  <c r="J137" i="14"/>
  <c r="E137" i="14"/>
  <c r="K137" i="14"/>
  <c r="C137" i="14"/>
  <c r="B137" i="14"/>
  <c r="F137" i="14"/>
  <c r="C112" i="14"/>
  <c r="F112" i="14"/>
  <c r="G112" i="14"/>
  <c r="H112" i="14"/>
  <c r="I112" i="14"/>
  <c r="D112" i="14"/>
  <c r="J112" i="14"/>
  <c r="E112" i="14"/>
  <c r="K112" i="14"/>
  <c r="B112" i="14"/>
  <c r="H21" i="14"/>
  <c r="G240" i="14"/>
  <c r="H240" i="14"/>
  <c r="I240" i="14"/>
  <c r="B240" i="14"/>
  <c r="J240" i="14"/>
  <c r="E240" i="14"/>
  <c r="K240" i="14"/>
  <c r="D240" i="14"/>
  <c r="C240" i="14"/>
  <c r="F240" i="14"/>
  <c r="G21" i="14"/>
  <c r="G87" i="14"/>
  <c r="H87" i="14"/>
  <c r="I87" i="14"/>
  <c r="C87" i="14"/>
  <c r="J87" i="14"/>
  <c r="D87" i="14"/>
  <c r="K87" i="14"/>
  <c r="B87" i="14"/>
  <c r="E87" i="14"/>
  <c r="F87" i="14"/>
  <c r="F21" i="14"/>
  <c r="I188" i="14"/>
  <c r="B188" i="14"/>
  <c r="J188" i="14"/>
  <c r="D188" i="14"/>
  <c r="K188" i="14"/>
  <c r="C188" i="14"/>
  <c r="E188" i="14"/>
  <c r="F188" i="14"/>
  <c r="G188" i="14"/>
  <c r="H188" i="14"/>
  <c r="E21" i="14"/>
  <c r="B21" i="14"/>
  <c r="I63" i="11"/>
  <c r="I23" i="11" s="1"/>
  <c r="B63" i="11"/>
  <c r="B23" i="11" s="1"/>
  <c r="C63" i="11"/>
  <c r="C23" i="11" s="1"/>
  <c r="F89" i="11"/>
  <c r="H63" i="11"/>
  <c r="H23" i="11" s="1"/>
  <c r="F63" i="11"/>
  <c r="F23" i="11" s="1"/>
  <c r="G89" i="11"/>
  <c r="E63" i="11"/>
  <c r="E23" i="11" s="1"/>
  <c r="K89" i="11"/>
  <c r="H89" i="11"/>
  <c r="G63" i="11"/>
  <c r="G23" i="11" s="1"/>
  <c r="I89" i="11"/>
  <c r="K63" i="11"/>
  <c r="K23" i="11" s="1"/>
  <c r="D89" i="11"/>
  <c r="D63" i="11"/>
  <c r="D23" i="11" s="1"/>
  <c r="E89" i="11"/>
  <c r="B89" i="11"/>
  <c r="C89" i="11"/>
  <c r="J89" i="11"/>
  <c r="J63" i="11"/>
  <c r="J23" i="11" s="1"/>
  <c r="A215" i="14"/>
  <c r="A113" i="14"/>
  <c r="A24" i="14"/>
  <c r="A241" i="14"/>
  <c r="A189" i="14"/>
  <c r="A88" i="14"/>
  <c r="A63" i="14"/>
  <c r="A138" i="14"/>
  <c r="A163" i="14"/>
  <c r="D21" i="14"/>
  <c r="D162" i="14"/>
  <c r="F162" i="14"/>
  <c r="G162" i="14"/>
  <c r="H162" i="14"/>
  <c r="I162" i="14"/>
  <c r="B162" i="14"/>
  <c r="J162" i="14"/>
  <c r="E162" i="14"/>
  <c r="K162" i="14"/>
  <c r="C162" i="14"/>
  <c r="J21" i="14"/>
  <c r="A64" i="11"/>
  <c r="A90" i="11"/>
  <c r="A25" i="11"/>
  <c r="O249" i="28"/>
  <c r="O196" i="28"/>
  <c r="M94" i="28"/>
  <c r="B71" i="16"/>
  <c r="F71" i="16"/>
  <c r="C71" i="16"/>
  <c r="H71" i="16"/>
  <c r="I71" i="16"/>
  <c r="J71" i="16"/>
  <c r="G71" i="16"/>
  <c r="D71" i="16"/>
  <c r="E71" i="16"/>
  <c r="C20" i="2"/>
  <c r="M29" i="28"/>
  <c r="O29" i="28"/>
  <c r="I20" i="2"/>
  <c r="C64" i="2"/>
  <c r="F64" i="2"/>
  <c r="D64" i="2"/>
  <c r="E64" i="2"/>
  <c r="B64" i="2"/>
  <c r="G64" i="2"/>
  <c r="H64" i="2"/>
  <c r="I64" i="2"/>
  <c r="J64" i="2"/>
  <c r="K64" i="2"/>
  <c r="A144" i="17"/>
  <c r="A92" i="17"/>
  <c r="A25" i="17"/>
  <c r="A171" i="17"/>
  <c r="A67" i="17"/>
  <c r="A118" i="17"/>
  <c r="G98" i="16"/>
  <c r="E98" i="16"/>
  <c r="I98" i="16"/>
  <c r="C98" i="16"/>
  <c r="D98" i="16"/>
  <c r="F98" i="16"/>
  <c r="H98" i="16"/>
  <c r="J98" i="16"/>
  <c r="B98" i="16"/>
  <c r="H20" i="2"/>
  <c r="A23" i="2"/>
  <c r="A65" i="2"/>
  <c r="A116" i="2"/>
  <c r="A90" i="2"/>
  <c r="A142" i="2"/>
  <c r="C117" i="17"/>
  <c r="D117" i="17"/>
  <c r="B117" i="17"/>
  <c r="E117" i="17"/>
  <c r="F117" i="17"/>
  <c r="G117" i="17"/>
  <c r="H117" i="17"/>
  <c r="I117" i="17"/>
  <c r="J117" i="17"/>
  <c r="K117" i="17"/>
  <c r="A151" i="16"/>
  <c r="A99" i="16"/>
  <c r="A125" i="16"/>
  <c r="A72" i="16"/>
  <c r="A178" i="16"/>
  <c r="G20" i="2"/>
  <c r="M12" i="28"/>
  <c r="B115" i="2"/>
  <c r="C115" i="2"/>
  <c r="D115" i="2"/>
  <c r="E115" i="2"/>
  <c r="B141" i="2"/>
  <c r="E141" i="2"/>
  <c r="C141" i="2"/>
  <c r="E89" i="2"/>
  <c r="B89" i="2"/>
  <c r="C89" i="2"/>
  <c r="F141" i="2"/>
  <c r="D141" i="2"/>
  <c r="F89" i="2"/>
  <c r="D89" i="2"/>
  <c r="F115" i="2"/>
  <c r="G141" i="2"/>
  <c r="G89" i="2"/>
  <c r="G115" i="2"/>
  <c r="H89" i="2"/>
  <c r="H115" i="2"/>
  <c r="H141" i="2"/>
  <c r="I115" i="2"/>
  <c r="I89" i="2"/>
  <c r="I141" i="2"/>
  <c r="J115" i="2"/>
  <c r="J89" i="2"/>
  <c r="J141" i="2"/>
  <c r="K89" i="2"/>
  <c r="K141" i="2"/>
  <c r="K115" i="2"/>
  <c r="D66" i="17"/>
  <c r="B66" i="17"/>
  <c r="C66" i="17"/>
  <c r="E66" i="17"/>
  <c r="F66" i="17"/>
  <c r="G66" i="17"/>
  <c r="H66" i="17"/>
  <c r="I66" i="17"/>
  <c r="J66" i="17"/>
  <c r="K66" i="17"/>
  <c r="F124" i="16"/>
  <c r="G124" i="16"/>
  <c r="D124" i="16"/>
  <c r="E124" i="16"/>
  <c r="J124" i="16"/>
  <c r="H124" i="16"/>
  <c r="I124" i="16"/>
  <c r="B124" i="16"/>
  <c r="C124" i="16"/>
  <c r="F20" i="2"/>
  <c r="M27" i="28"/>
  <c r="D91" i="17"/>
  <c r="B91" i="17"/>
  <c r="C91" i="17"/>
  <c r="E91" i="17"/>
  <c r="F91" i="17"/>
  <c r="G91" i="17"/>
  <c r="H91" i="17"/>
  <c r="I91" i="17"/>
  <c r="J91" i="17"/>
  <c r="K91" i="17"/>
  <c r="D20" i="2"/>
  <c r="S48" i="12"/>
  <c r="S26" i="12"/>
  <c r="L95" i="19"/>
  <c r="M95" i="19" s="1"/>
  <c r="N95" i="19" s="1"/>
  <c r="L8" i="19"/>
  <c r="M8" i="19" s="1"/>
  <c r="N8" i="19" s="1"/>
  <c r="L97" i="19"/>
  <c r="M97" i="19" s="1"/>
  <c r="N97" i="19" s="1"/>
  <c r="L91" i="19"/>
  <c r="M91" i="19" s="1"/>
  <c r="N91" i="19" s="1"/>
  <c r="L18" i="19"/>
  <c r="M18" i="19" s="1"/>
  <c r="N18" i="19" s="1"/>
  <c r="L7" i="19"/>
  <c r="M7" i="19" s="1"/>
  <c r="N7" i="19" s="1"/>
  <c r="L85" i="19"/>
  <c r="M85" i="19" s="1"/>
  <c r="N85" i="19" s="1"/>
  <c r="L102" i="19"/>
  <c r="M102" i="19" s="1"/>
  <c r="N102" i="19" s="1"/>
  <c r="L107" i="19"/>
  <c r="M107" i="19" s="1"/>
  <c r="N107" i="19" s="1"/>
  <c r="L101" i="19"/>
  <c r="M101" i="19" s="1"/>
  <c r="N101" i="19" s="1"/>
  <c r="L19" i="19"/>
  <c r="M19" i="19" s="1"/>
  <c r="N19" i="19" s="1"/>
  <c r="L92" i="19"/>
  <c r="M92" i="19" s="1"/>
  <c r="N92" i="19" s="1"/>
  <c r="L105" i="19"/>
  <c r="M105" i="19" s="1"/>
  <c r="N105" i="19" s="1"/>
  <c r="L17" i="19"/>
  <c r="M17" i="19" s="1"/>
  <c r="N17" i="19" s="1"/>
  <c r="L106" i="19"/>
  <c r="M106" i="19" s="1"/>
  <c r="N106" i="19" s="1"/>
  <c r="E20" i="2"/>
  <c r="M290" i="28"/>
  <c r="O28" i="28"/>
  <c r="K20" i="2"/>
  <c r="B20" i="2"/>
  <c r="O13" i="28"/>
  <c r="O98" i="28"/>
  <c r="O14" i="28"/>
  <c r="O11" i="28"/>
  <c r="M11" i="28"/>
  <c r="O408" i="28"/>
  <c r="O171" i="28"/>
  <c r="O288" i="28"/>
  <c r="O289" i="28"/>
  <c r="M291" i="28"/>
  <c r="O291" i="28"/>
  <c r="M181" i="28"/>
  <c r="O230" i="28"/>
  <c r="O144" i="28"/>
  <c r="M202" i="28"/>
  <c r="O202" i="28"/>
  <c r="M278" i="28"/>
  <c r="O278" i="28"/>
  <c r="O370" i="28"/>
  <c r="M370" i="28"/>
  <c r="M251" i="28"/>
  <c r="O251" i="28"/>
  <c r="M15" i="28"/>
  <c r="O15" i="28"/>
  <c r="O154" i="28"/>
  <c r="M154" i="28"/>
  <c r="O333" i="28"/>
  <c r="M333" i="28"/>
  <c r="O312" i="28"/>
  <c r="M312" i="28"/>
  <c r="M313" i="28"/>
  <c r="O313" i="28"/>
  <c r="O79" i="28"/>
  <c r="M79" i="28"/>
  <c r="M158" i="28"/>
  <c r="O158" i="28"/>
  <c r="M414" i="28"/>
  <c r="O414" i="28"/>
  <c r="O415" i="28"/>
  <c r="M415" i="28"/>
  <c r="M268" i="28"/>
  <c r="O268" i="28"/>
  <c r="M176" i="28"/>
  <c r="O176" i="28"/>
  <c r="M64" i="28"/>
  <c r="O64" i="28"/>
  <c r="O183" i="28"/>
  <c r="M183" i="28"/>
  <c r="M377" i="28"/>
  <c r="O377" i="28"/>
  <c r="M253" i="28"/>
  <c r="O253" i="28"/>
  <c r="M413" i="28"/>
  <c r="O413" i="28"/>
  <c r="O242" i="28"/>
  <c r="M242" i="28"/>
  <c r="M321" i="28"/>
  <c r="O321" i="28"/>
  <c r="M396" i="28"/>
  <c r="O396" i="28"/>
  <c r="O82" i="28"/>
  <c r="M82" i="28"/>
  <c r="M150" i="28"/>
  <c r="O150" i="28"/>
  <c r="O368" i="28"/>
  <c r="M368" i="28"/>
  <c r="M266" i="28"/>
  <c r="O266" i="28"/>
  <c r="M422" i="28"/>
  <c r="O422" i="28"/>
  <c r="O411" i="28"/>
  <c r="M411" i="28"/>
  <c r="O65" i="28"/>
  <c r="M65" i="28"/>
  <c r="O187" i="28"/>
  <c r="M187" i="28"/>
  <c r="M210" i="28"/>
  <c r="O210" i="28"/>
  <c r="M345" i="28"/>
  <c r="O345" i="28"/>
  <c r="O96" i="28"/>
  <c r="M96" i="28"/>
  <c r="M317" i="28"/>
  <c r="O317" i="28"/>
  <c r="M419" i="28"/>
  <c r="O419" i="28"/>
  <c r="O175" i="28"/>
  <c r="M175" i="28"/>
  <c r="M254" i="28"/>
  <c r="O254" i="28"/>
  <c r="M261" i="28"/>
  <c r="O261" i="28"/>
  <c r="M109" i="28"/>
  <c r="O109" i="28"/>
  <c r="O260" i="28"/>
  <c r="M260" i="28"/>
  <c r="O217" i="28"/>
  <c r="M217" i="28"/>
  <c r="M208" i="28"/>
  <c r="O208" i="28"/>
  <c r="M255" i="28"/>
  <c r="O255" i="28"/>
  <c r="M41" i="28"/>
  <c r="O41" i="28"/>
  <c r="O410" i="28"/>
  <c r="M410" i="28"/>
  <c r="O346" i="28"/>
  <c r="M346" i="28"/>
  <c r="M271" i="28"/>
  <c r="O271" i="28"/>
  <c r="O401" i="28"/>
  <c r="M401" i="28"/>
  <c r="M267" i="28"/>
  <c r="O267" i="28"/>
  <c r="O186" i="28"/>
  <c r="M186" i="28"/>
  <c r="M286" i="28"/>
  <c r="O286" i="28"/>
  <c r="M384" i="28"/>
  <c r="O384" i="28"/>
  <c r="M337" i="28"/>
  <c r="O337" i="28"/>
  <c r="M318" i="28"/>
  <c r="O318" i="28"/>
  <c r="O358" i="28"/>
  <c r="M358" i="28"/>
  <c r="O190" i="28"/>
  <c r="M190" i="28"/>
  <c r="O173" i="28"/>
  <c r="M173" i="28"/>
  <c r="O192" i="28"/>
  <c r="M192" i="28"/>
  <c r="M335" i="28"/>
  <c r="O335" i="28"/>
  <c r="M409" i="28"/>
  <c r="O409" i="28"/>
  <c r="O239" i="28"/>
  <c r="M239" i="28"/>
  <c r="M325" i="28"/>
  <c r="O325" i="28"/>
  <c r="M102" i="28"/>
  <c r="O102" i="28"/>
  <c r="O157" i="28"/>
  <c r="M157" i="28"/>
  <c r="O138" i="28"/>
  <c r="M138" i="28"/>
  <c r="M329" i="28"/>
  <c r="O329" i="28"/>
  <c r="O197" i="28"/>
  <c r="M197" i="28"/>
  <c r="O224" i="28"/>
  <c r="M224" i="28"/>
  <c r="M206" i="28"/>
  <c r="O206" i="28"/>
  <c r="M379" i="28"/>
  <c r="O379" i="28"/>
  <c r="M222" i="28"/>
  <c r="O222" i="28"/>
  <c r="O213" i="28"/>
  <c r="M213" i="28"/>
  <c r="M336" i="28"/>
  <c r="O336" i="28"/>
  <c r="M382" i="28"/>
  <c r="O382" i="28"/>
  <c r="O243" i="28"/>
  <c r="M243" i="28"/>
  <c r="M99" i="28"/>
  <c r="O99" i="28"/>
  <c r="O145" i="28"/>
  <c r="M145" i="28"/>
  <c r="O275" i="28"/>
  <c r="M275" i="28"/>
  <c r="O388" i="28"/>
  <c r="M388" i="28"/>
  <c r="M91" i="28"/>
  <c r="O91" i="28"/>
  <c r="M140" i="28"/>
  <c r="O140" i="28"/>
  <c r="M85" i="28"/>
  <c r="O85" i="28"/>
  <c r="O403" i="28"/>
  <c r="M403" i="28"/>
  <c r="M188" i="28"/>
  <c r="O188" i="28"/>
  <c r="M219" i="28"/>
  <c r="O219" i="28"/>
  <c r="M103" i="28"/>
  <c r="O103" i="28"/>
  <c r="O285" i="28"/>
  <c r="M285" i="28"/>
  <c r="O310" i="28"/>
  <c r="M310" i="28"/>
  <c r="M80" i="28"/>
  <c r="O80" i="28"/>
  <c r="O229" i="28"/>
  <c r="M229" i="28"/>
  <c r="O143" i="28"/>
  <c r="M143" i="28"/>
  <c r="O101" i="28"/>
  <c r="M101" i="28"/>
  <c r="M406" i="28"/>
  <c r="O406" i="28"/>
  <c r="M250" i="28"/>
  <c r="O250" i="28"/>
  <c r="O309" i="28"/>
  <c r="M309" i="28"/>
  <c r="M390" i="28"/>
  <c r="O390" i="28"/>
  <c r="O95" i="28"/>
  <c r="M95" i="28"/>
  <c r="O84" i="28"/>
  <c r="M84" i="28"/>
  <c r="M264" i="28"/>
  <c r="O264" i="28"/>
  <c r="O185" i="28"/>
  <c r="M185" i="28"/>
  <c r="O3" i="28"/>
  <c r="M3" i="28"/>
  <c r="O201" i="28"/>
  <c r="M201" i="28"/>
  <c r="O257" i="28"/>
  <c r="M257" i="28"/>
  <c r="M423" i="28"/>
  <c r="O423" i="28"/>
  <c r="M305" i="28"/>
  <c r="O305" i="28"/>
  <c r="O93" i="28"/>
  <c r="M93" i="28"/>
  <c r="M347" i="28"/>
  <c r="O347" i="28"/>
  <c r="O332" i="28"/>
  <c r="M332" i="28"/>
  <c r="O56" i="28"/>
  <c r="M56" i="28"/>
  <c r="M316" i="28"/>
  <c r="O316" i="28"/>
  <c r="O132" i="28"/>
  <c r="M132" i="28"/>
  <c r="M394" i="28"/>
  <c r="O394" i="28"/>
  <c r="O8" i="28"/>
  <c r="M8" i="28"/>
  <c r="O338" i="28"/>
  <c r="M338" i="28"/>
  <c r="O211" i="28"/>
  <c r="M211" i="28"/>
  <c r="M111" i="28"/>
  <c r="O111" i="28"/>
  <c r="M203" i="28"/>
  <c r="O203" i="28"/>
  <c r="O135" i="28"/>
  <c r="M135" i="28"/>
  <c r="O174" i="28"/>
  <c r="M174" i="28"/>
  <c r="O179" i="28"/>
  <c r="M179" i="28"/>
  <c r="O36" i="28"/>
  <c r="M36" i="28"/>
  <c r="M343" i="28"/>
  <c r="O343" i="28"/>
  <c r="O400" i="28"/>
  <c r="M400" i="28"/>
  <c r="M258" i="28"/>
  <c r="O258" i="28"/>
  <c r="M386" i="28"/>
  <c r="O386" i="28"/>
  <c r="O327" i="28"/>
  <c r="M327" i="28"/>
  <c r="M105" i="28"/>
  <c r="O105" i="28"/>
  <c r="M405" i="28"/>
  <c r="O405" i="28"/>
  <c r="M421" i="28"/>
  <c r="O421" i="28"/>
  <c r="M100" i="28"/>
  <c r="O100" i="28"/>
  <c r="O16" i="28"/>
  <c r="M16" i="28"/>
  <c r="O209" i="28"/>
  <c r="M209" i="28"/>
  <c r="M107" i="28"/>
  <c r="O107" i="28"/>
  <c r="M385" i="28"/>
  <c r="O385" i="28"/>
  <c r="M212" i="28"/>
  <c r="O212" i="28"/>
  <c r="M371" i="28"/>
  <c r="O371" i="28"/>
  <c r="M38" i="28"/>
  <c r="O38" i="28"/>
  <c r="O304" i="28"/>
  <c r="M304" i="28"/>
  <c r="O22" i="28"/>
  <c r="M22" i="28"/>
  <c r="O63" i="28"/>
  <c r="M63" i="28"/>
  <c r="O248" i="28"/>
  <c r="M248" i="28"/>
  <c r="O137" i="28"/>
  <c r="M137" i="28"/>
  <c r="O274" i="28"/>
  <c r="M274" i="28"/>
  <c r="M142" i="28"/>
  <c r="O142" i="28"/>
  <c r="M193" i="28"/>
  <c r="O193" i="28"/>
  <c r="O40" i="28"/>
  <c r="M40" i="28"/>
  <c r="M182" i="28"/>
  <c r="O182" i="28"/>
  <c r="M204" i="28"/>
  <c r="O204" i="28"/>
  <c r="O376" i="28"/>
  <c r="M376" i="28"/>
  <c r="M225" i="28"/>
  <c r="O225" i="28"/>
  <c r="O191" i="28"/>
  <c r="M191" i="28"/>
  <c r="O324" i="28"/>
  <c r="M324" i="28"/>
  <c r="O323" i="28"/>
  <c r="M323" i="28"/>
  <c r="M402" i="28"/>
  <c r="O402" i="28"/>
  <c r="M259" i="28"/>
  <c r="O259" i="28"/>
  <c r="O340" i="28"/>
  <c r="M340" i="28"/>
  <c r="M256" i="28"/>
  <c r="O256" i="28"/>
  <c r="M19" i="28"/>
  <c r="O19" i="28"/>
  <c r="O113" i="28"/>
  <c r="M113" i="28"/>
  <c r="M269" i="28"/>
  <c r="O269" i="28"/>
  <c r="O387" i="28"/>
  <c r="M387" i="28"/>
  <c r="M397" i="28"/>
  <c r="O397" i="28"/>
  <c r="M92" i="28"/>
  <c r="O92" i="28"/>
  <c r="M104" i="28"/>
  <c r="O104" i="28"/>
  <c r="O136" i="28"/>
  <c r="M136" i="28"/>
  <c r="O227" i="28"/>
  <c r="M227" i="28"/>
  <c r="M339" i="28"/>
  <c r="O339" i="28"/>
  <c r="O220" i="28"/>
  <c r="M220" i="28"/>
  <c r="O57" i="28"/>
  <c r="M57" i="28"/>
  <c r="O90" i="28"/>
  <c r="M90" i="28"/>
  <c r="O425" i="28"/>
  <c r="M425" i="28"/>
  <c r="O108" i="28"/>
  <c r="M108" i="28"/>
  <c r="O245" i="28"/>
  <c r="M245" i="28"/>
  <c r="M247" i="28"/>
  <c r="O247" i="28"/>
  <c r="M277" i="28"/>
  <c r="O277" i="28"/>
  <c r="M344" i="28"/>
  <c r="O344" i="28"/>
  <c r="M161" i="28"/>
  <c r="O161" i="28"/>
  <c r="O134" i="28"/>
  <c r="M134" i="28"/>
  <c r="M194" i="28"/>
  <c r="O194" i="28"/>
  <c r="M228" i="28"/>
  <c r="O228" i="28"/>
  <c r="M341" i="28"/>
  <c r="O341" i="28"/>
  <c r="M200" i="28"/>
  <c r="O200" i="28"/>
  <c r="M331" i="28"/>
  <c r="O331" i="28"/>
  <c r="M276" i="28"/>
  <c r="O276" i="28"/>
  <c r="O78" i="28"/>
  <c r="M78" i="28"/>
  <c r="O37" i="28"/>
  <c r="M37" i="28"/>
  <c r="M393" i="28"/>
  <c r="O393" i="28"/>
  <c r="M272" i="28"/>
  <c r="O272" i="28"/>
  <c r="O314" i="28"/>
  <c r="M314" i="28"/>
  <c r="M328" i="28"/>
  <c r="O328" i="28"/>
  <c r="M23" i="28"/>
  <c r="O23" i="28"/>
  <c r="M155" i="28"/>
  <c r="O155" i="28"/>
  <c r="M280" i="28"/>
  <c r="O280" i="28"/>
  <c r="M399" i="28"/>
  <c r="O399" i="28"/>
  <c r="M6" i="28"/>
  <c r="O6" i="28"/>
  <c r="M18" i="28"/>
  <c r="O18" i="28"/>
  <c r="M306" i="28"/>
  <c r="O306" i="28"/>
  <c r="M420" i="28"/>
  <c r="O420" i="28"/>
  <c r="M315" i="28"/>
  <c r="O315" i="28"/>
  <c r="M160" i="28"/>
  <c r="O160" i="28"/>
  <c r="M9" i="28"/>
  <c r="O9" i="28"/>
  <c r="O322" i="28"/>
  <c r="M322" i="28"/>
  <c r="O326" i="28"/>
  <c r="M326" i="28"/>
  <c r="M342" i="28"/>
  <c r="O342" i="28"/>
  <c r="M320" i="28"/>
  <c r="O320" i="28"/>
  <c r="M199" i="28"/>
  <c r="O199" i="28"/>
  <c r="O311" i="28"/>
  <c r="M311" i="28"/>
  <c r="M195" i="28"/>
  <c r="O195" i="28"/>
  <c r="M170" i="28"/>
  <c r="O170" i="28"/>
  <c r="M246" i="28"/>
  <c r="O246" i="28"/>
  <c r="M389" i="28"/>
  <c r="O389" i="28"/>
  <c r="M395" i="28"/>
  <c r="O395" i="28"/>
  <c r="M279" i="28"/>
  <c r="O279" i="28"/>
  <c r="M418" i="28"/>
  <c r="O418" i="28"/>
  <c r="O426" i="28"/>
  <c r="M426" i="28"/>
  <c r="M180" i="28"/>
  <c r="O180" i="28"/>
  <c r="M151" i="28"/>
  <c r="O151" i="28"/>
  <c r="M139" i="28"/>
  <c r="O139" i="28"/>
  <c r="M380" i="28"/>
  <c r="O380" i="28"/>
  <c r="M240" i="28"/>
  <c r="O240" i="28"/>
  <c r="M383" i="28"/>
  <c r="O383" i="28"/>
  <c r="O207" i="28"/>
  <c r="M207" i="28"/>
  <c r="M178" i="28"/>
  <c r="O178" i="28"/>
  <c r="M62" i="28"/>
  <c r="O62" i="28"/>
  <c r="O284" i="28"/>
  <c r="M284" i="28"/>
  <c r="M238" i="28"/>
  <c r="O238" i="28"/>
  <c r="O283" i="28"/>
  <c r="M283" i="28"/>
  <c r="M424" i="28"/>
  <c r="O424" i="28"/>
  <c r="M21" i="28"/>
  <c r="O21" i="28"/>
  <c r="M189" i="28"/>
  <c r="O189" i="28"/>
  <c r="O392" i="28"/>
  <c r="M392" i="28"/>
  <c r="M273" i="28"/>
  <c r="O273" i="28"/>
  <c r="M381" i="28"/>
  <c r="O381" i="28"/>
  <c r="M4" i="28"/>
  <c r="O4" i="28"/>
  <c r="O263" i="28"/>
  <c r="M263" i="28"/>
  <c r="O25" i="28"/>
  <c r="M25" i="28"/>
  <c r="O55" i="28"/>
  <c r="M55" i="28"/>
  <c r="M282" i="28"/>
  <c r="O282" i="28"/>
  <c r="O112" i="28"/>
  <c r="M112" i="28"/>
  <c r="M412" i="28"/>
  <c r="O412" i="28"/>
  <c r="M287" i="28"/>
  <c r="O287" i="28"/>
  <c r="M417" i="28"/>
  <c r="O417" i="28"/>
  <c r="M330" i="28"/>
  <c r="O330" i="28"/>
  <c r="M307" i="28"/>
  <c r="O307" i="28"/>
  <c r="O17" i="28"/>
  <c r="M17" i="28"/>
  <c r="O106" i="28"/>
  <c r="M106" i="28"/>
  <c r="M359" i="28"/>
  <c r="O359" i="28"/>
  <c r="M205" i="28"/>
  <c r="O205" i="28"/>
  <c r="M172" i="28"/>
  <c r="O172" i="28"/>
  <c r="O218" i="28"/>
  <c r="M218" i="28"/>
  <c r="O223" i="28"/>
  <c r="M223" i="28"/>
  <c r="O26" i="28"/>
  <c r="M26" i="28"/>
  <c r="O215" i="28"/>
  <c r="M215" i="28"/>
  <c r="O398" i="28"/>
  <c r="M398" i="28"/>
  <c r="O357" i="28"/>
  <c r="M357" i="28"/>
  <c r="I170" i="16"/>
  <c r="D157" i="17"/>
  <c r="E162" i="17"/>
  <c r="K158" i="17"/>
  <c r="I162" i="17"/>
  <c r="H171" i="16"/>
  <c r="D174" i="16"/>
  <c r="J163" i="16"/>
  <c r="H158" i="17"/>
  <c r="G170" i="16"/>
  <c r="H166" i="17"/>
  <c r="I160" i="16"/>
  <c r="E165" i="16"/>
  <c r="J165" i="16"/>
  <c r="H175" i="16"/>
  <c r="E166" i="16"/>
  <c r="H176" i="16"/>
  <c r="G163" i="16"/>
  <c r="H160" i="16"/>
  <c r="I166" i="16"/>
  <c r="H168" i="17"/>
  <c r="D162" i="17"/>
  <c r="K161" i="17"/>
  <c r="B177" i="16"/>
  <c r="F162" i="16"/>
  <c r="B170" i="16"/>
  <c r="B165" i="17"/>
  <c r="C165" i="16"/>
  <c r="J175" i="16"/>
  <c r="D166" i="17"/>
  <c r="F172" i="16"/>
  <c r="D168" i="17"/>
  <c r="E174" i="16"/>
  <c r="C175" i="16"/>
  <c r="I171" i="16"/>
  <c r="C164" i="16"/>
  <c r="E161" i="17"/>
  <c r="E162" i="16"/>
  <c r="B161" i="16"/>
  <c r="E164" i="16"/>
  <c r="C159" i="17"/>
  <c r="K166" i="17"/>
  <c r="B172" i="16"/>
  <c r="G164" i="16"/>
  <c r="F177" i="16"/>
  <c r="G165" i="16"/>
  <c r="C160" i="16"/>
  <c r="G174" i="16"/>
  <c r="I159" i="16"/>
  <c r="G162" i="16"/>
  <c r="D168" i="16"/>
  <c r="G159" i="16"/>
  <c r="G161" i="16"/>
  <c r="B168" i="16"/>
  <c r="F167" i="17"/>
  <c r="D163" i="17"/>
  <c r="I160" i="17"/>
  <c r="G156" i="17"/>
  <c r="F161" i="16"/>
  <c r="H165" i="16"/>
  <c r="B170" i="17"/>
  <c r="F166" i="16"/>
  <c r="G160" i="16"/>
  <c r="J158" i="17"/>
  <c r="B157" i="17"/>
  <c r="E176" i="16"/>
  <c r="K157" i="17"/>
  <c r="J162" i="17"/>
  <c r="B159" i="16"/>
  <c r="F164" i="16"/>
  <c r="J171" i="16"/>
  <c r="E168" i="17"/>
  <c r="F169" i="17"/>
  <c r="G169" i="16"/>
  <c r="E169" i="16"/>
  <c r="F165" i="16"/>
  <c r="I174" i="16"/>
  <c r="D162" i="16"/>
  <c r="D173" i="16"/>
  <c r="J168" i="17"/>
  <c r="F176" i="16"/>
  <c r="D171" i="16"/>
  <c r="H169" i="16"/>
  <c r="E160" i="16"/>
  <c r="I163" i="16"/>
  <c r="F161" i="17"/>
  <c r="F175" i="16"/>
  <c r="F160" i="17"/>
  <c r="H166" i="16"/>
  <c r="J173" i="16"/>
  <c r="B169" i="16"/>
  <c r="H168" i="16"/>
  <c r="B169" i="17"/>
  <c r="H159" i="17"/>
  <c r="C158" i="17"/>
  <c r="C171" i="16"/>
  <c r="J165" i="17"/>
  <c r="G176" i="16"/>
  <c r="B176" i="16"/>
  <c r="E156" i="17"/>
  <c r="B173" i="16"/>
  <c r="J164" i="16"/>
  <c r="D165" i="16"/>
  <c r="C163" i="17"/>
  <c r="H156" i="17"/>
  <c r="C176" i="16"/>
  <c r="G170" i="17"/>
  <c r="B162" i="17"/>
  <c r="D170" i="16"/>
  <c r="H164" i="16"/>
  <c r="G177" i="16"/>
  <c r="G158" i="17"/>
  <c r="C169" i="16"/>
  <c r="J159" i="16"/>
  <c r="H160" i="17"/>
  <c r="F166" i="17"/>
  <c r="E164" i="17"/>
  <c r="H173" i="16"/>
  <c r="D172" i="16"/>
  <c r="B160" i="16"/>
  <c r="J156" i="17"/>
  <c r="E167" i="16"/>
  <c r="D156" i="17"/>
  <c r="H170" i="17"/>
  <c r="K163" i="17"/>
  <c r="D167" i="16"/>
  <c r="E172" i="16"/>
  <c r="H172" i="16"/>
  <c r="E159" i="16"/>
  <c r="I173" i="16"/>
  <c r="G173" i="16"/>
  <c r="I165" i="16"/>
  <c r="E170" i="17"/>
  <c r="K167" i="17"/>
  <c r="D160" i="16"/>
  <c r="B167" i="17"/>
  <c r="I158" i="17"/>
  <c r="J170" i="17"/>
  <c r="I166" i="17"/>
  <c r="J177" i="16"/>
  <c r="J169" i="17"/>
  <c r="F157" i="17"/>
  <c r="C160" i="17"/>
  <c r="I167" i="17"/>
  <c r="G164" i="17"/>
  <c r="E170" i="16"/>
  <c r="G163" i="17"/>
  <c r="D159" i="17"/>
  <c r="C157" i="17"/>
  <c r="C174" i="16"/>
  <c r="I168" i="17"/>
  <c r="H164" i="17"/>
  <c r="J169" i="16"/>
  <c r="G171" i="16"/>
  <c r="D165" i="17"/>
  <c r="H165" i="17"/>
  <c r="H162" i="16"/>
  <c r="I163" i="17"/>
  <c r="J160" i="16"/>
  <c r="F159" i="16"/>
  <c r="G169" i="17"/>
  <c r="G159" i="17"/>
  <c r="D160" i="17"/>
  <c r="G167" i="16"/>
  <c r="B162" i="16"/>
  <c r="I164" i="17"/>
  <c r="C162" i="17"/>
  <c r="G168" i="17"/>
  <c r="J168" i="16"/>
  <c r="B168" i="17"/>
  <c r="J161" i="17"/>
  <c r="H159" i="16"/>
  <c r="C167" i="17"/>
  <c r="B159" i="17"/>
  <c r="D169" i="17"/>
  <c r="F164" i="17"/>
  <c r="F173" i="16"/>
  <c r="D161" i="16"/>
  <c r="H162" i="17"/>
  <c r="I161" i="16"/>
  <c r="C177" i="16"/>
  <c r="J164" i="17"/>
  <c r="I162" i="16"/>
  <c r="G175" i="16"/>
  <c r="E169" i="17"/>
  <c r="I172" i="16"/>
  <c r="D177" i="16"/>
  <c r="I168" i="16"/>
  <c r="F165" i="17"/>
  <c r="K159" i="17"/>
  <c r="K156" i="17"/>
  <c r="E158" i="17"/>
  <c r="C167" i="16"/>
  <c r="J170" i="16"/>
  <c r="J176" i="16"/>
  <c r="G172" i="16"/>
  <c r="E159" i="17"/>
  <c r="F167" i="16"/>
  <c r="J166" i="17"/>
  <c r="K168" i="17"/>
  <c r="K162" i="17"/>
  <c r="E166" i="17"/>
  <c r="K165" i="17"/>
  <c r="F169" i="16"/>
  <c r="D166" i="16"/>
  <c r="H167" i="17"/>
  <c r="E173" i="16"/>
  <c r="C168" i="16"/>
  <c r="G167" i="17"/>
  <c r="C156" i="17"/>
  <c r="H161" i="16"/>
  <c r="G157" i="17"/>
  <c r="B171" i="16"/>
  <c r="J162" i="16"/>
  <c r="D158" i="17"/>
  <c r="J163" i="17"/>
  <c r="F168" i="17"/>
  <c r="F170" i="16"/>
  <c r="I159" i="17"/>
  <c r="I169" i="17"/>
  <c r="C164" i="17"/>
  <c r="B164" i="17"/>
  <c r="B174" i="16"/>
  <c r="E177" i="16"/>
  <c r="G168" i="16"/>
  <c r="I170" i="17"/>
  <c r="C168" i="17"/>
  <c r="D164" i="16"/>
  <c r="D159" i="16"/>
  <c r="E161" i="16"/>
  <c r="G161" i="17"/>
  <c r="F171" i="16"/>
  <c r="B166" i="16"/>
  <c r="F158" i="17"/>
  <c r="D170" i="17"/>
  <c r="J167" i="16"/>
  <c r="H170" i="16"/>
  <c r="I167" i="16"/>
  <c r="B163" i="17"/>
  <c r="C165" i="17"/>
  <c r="D175" i="16"/>
  <c r="C166" i="16"/>
  <c r="C159" i="16"/>
  <c r="C172" i="16"/>
  <c r="F159" i="17"/>
  <c r="F163" i="16"/>
  <c r="K169" i="17"/>
  <c r="J174" i="16"/>
  <c r="I157" i="17"/>
  <c r="E175" i="16"/>
  <c r="E157" i="17"/>
  <c r="G160" i="17"/>
  <c r="C162" i="16"/>
  <c r="H169" i="17"/>
  <c r="D169" i="16"/>
  <c r="E163" i="16"/>
  <c r="H163" i="16"/>
  <c r="G162" i="17"/>
  <c r="H163" i="17"/>
  <c r="E160" i="17"/>
  <c r="C170" i="16"/>
  <c r="G166" i="17"/>
  <c r="I169" i="16"/>
  <c r="B167" i="16"/>
  <c r="C163" i="16"/>
  <c r="E171" i="16"/>
  <c r="J167" i="17"/>
  <c r="J161" i="16"/>
  <c r="F162" i="17"/>
  <c r="B164" i="16"/>
  <c r="C170" i="17"/>
  <c r="D163" i="16"/>
  <c r="I164" i="16"/>
  <c r="C161" i="16"/>
  <c r="E168" i="16"/>
  <c r="C161" i="17"/>
  <c r="G165" i="17"/>
  <c r="E163" i="17"/>
  <c r="B163" i="16"/>
  <c r="B175" i="16"/>
  <c r="H157" i="17"/>
  <c r="I161" i="17"/>
  <c r="J160" i="17"/>
  <c r="K164" i="17"/>
  <c r="J166" i="16"/>
  <c r="F163" i="17"/>
  <c r="H177" i="16"/>
  <c r="B161" i="17"/>
  <c r="D161" i="17"/>
  <c r="J172" i="16"/>
  <c r="J157" i="17"/>
  <c r="I176" i="16"/>
  <c r="D176" i="16"/>
  <c r="F168" i="16"/>
  <c r="H167" i="16"/>
  <c r="D164" i="17"/>
  <c r="K160" i="17"/>
  <c r="E165" i="17"/>
  <c r="B166" i="17"/>
  <c r="B160" i="17"/>
  <c r="B165" i="16"/>
  <c r="I177" i="16"/>
  <c r="H174" i="16"/>
  <c r="C166" i="17"/>
  <c r="F160" i="16"/>
  <c r="B158" i="17"/>
  <c r="H161" i="17"/>
  <c r="D167" i="17"/>
  <c r="F170" i="17"/>
  <c r="J159" i="17"/>
  <c r="B156" i="17"/>
  <c r="I175" i="16"/>
  <c r="I165" i="17"/>
  <c r="I156" i="17"/>
  <c r="F174" i="16"/>
  <c r="C169" i="17"/>
  <c r="E167" i="17"/>
  <c r="G166" i="16"/>
  <c r="F156" i="17"/>
  <c r="K170" i="17"/>
  <c r="C173" i="16"/>
  <c r="B147" i="16" l="1"/>
  <c r="B24" i="16" s="1"/>
  <c r="J147" i="16"/>
  <c r="J24" i="16" s="1"/>
  <c r="K140" i="17"/>
  <c r="K20" i="17" s="1"/>
  <c r="I147" i="16"/>
  <c r="I24" i="16" s="1"/>
  <c r="E147" i="16"/>
  <c r="E24" i="16" s="1"/>
  <c r="E140" i="17"/>
  <c r="E20" i="17" s="1"/>
  <c r="G147" i="16"/>
  <c r="G24" i="16" s="1"/>
  <c r="H147" i="16"/>
  <c r="H24" i="16" s="1"/>
  <c r="F147" i="16"/>
  <c r="F24" i="16" s="1"/>
  <c r="C147" i="16"/>
  <c r="C24" i="16" s="1"/>
  <c r="G140" i="17"/>
  <c r="G20" i="17" s="1"/>
  <c r="D140" i="17"/>
  <c r="D20" i="17" s="1"/>
  <c r="B140" i="17"/>
  <c r="B20" i="17" s="1"/>
  <c r="J140" i="17"/>
  <c r="J20" i="17" s="1"/>
  <c r="H140" i="17"/>
  <c r="H20" i="17" s="1"/>
  <c r="I140" i="17"/>
  <c r="I20" i="17" s="1"/>
  <c r="F140" i="17"/>
  <c r="F20" i="17" s="1"/>
  <c r="C146" i="16"/>
  <c r="C23" i="16" s="1"/>
  <c r="G139" i="17"/>
  <c r="G19" i="17" s="1"/>
  <c r="F139" i="17"/>
  <c r="F19" i="17" s="1"/>
  <c r="I139" i="17"/>
  <c r="I19" i="17" s="1"/>
  <c r="H139" i="17"/>
  <c r="H19" i="17" s="1"/>
  <c r="D139" i="17"/>
  <c r="D19" i="17" s="1"/>
  <c r="I146" i="16"/>
  <c r="I23" i="16" s="1"/>
  <c r="J139" i="17"/>
  <c r="J19" i="17" s="1"/>
  <c r="D146" i="16"/>
  <c r="D23" i="16" s="1"/>
  <c r="E146" i="16"/>
  <c r="E23" i="16" s="1"/>
  <c r="C139" i="17"/>
  <c r="C19" i="17" s="1"/>
  <c r="B139" i="17"/>
  <c r="B19" i="17" s="1"/>
  <c r="E139" i="17"/>
  <c r="E19" i="17" s="1"/>
  <c r="H146" i="16"/>
  <c r="H23" i="16" s="1"/>
  <c r="J146" i="16"/>
  <c r="J23" i="16" s="1"/>
  <c r="B146" i="16"/>
  <c r="B23" i="16" s="1"/>
  <c r="G146" i="16"/>
  <c r="G23" i="16" s="1"/>
  <c r="F146" i="16"/>
  <c r="F23" i="16" s="1"/>
  <c r="D147" i="16"/>
  <c r="D24" i="16" s="1"/>
  <c r="C140" i="17"/>
  <c r="C20" i="17" s="1"/>
  <c r="G138" i="17"/>
  <c r="G18" i="17" s="1"/>
  <c r="K129" i="17"/>
  <c r="K9" i="17" s="1"/>
  <c r="K136" i="17"/>
  <c r="K16" i="17" s="1"/>
  <c r="C145" i="16"/>
  <c r="C22" i="16" s="1"/>
  <c r="K135" i="17"/>
  <c r="K132" i="17"/>
  <c r="K12" i="17" s="1"/>
  <c r="H138" i="17"/>
  <c r="H18" i="17" s="1"/>
  <c r="K139" i="17"/>
  <c r="K19" i="17" s="1"/>
  <c r="K133" i="17"/>
  <c r="K13" i="17" s="1"/>
  <c r="E138" i="17"/>
  <c r="E18" i="17" s="1"/>
  <c r="J145" i="16"/>
  <c r="J22" i="16" s="1"/>
  <c r="F145" i="16"/>
  <c r="F22" i="16" s="1"/>
  <c r="C138" i="17"/>
  <c r="C18" i="17" s="1"/>
  <c r="E145" i="16"/>
  <c r="E22" i="16" s="1"/>
  <c r="K137" i="17"/>
  <c r="K17" i="17" s="1"/>
  <c r="H145" i="16"/>
  <c r="H22" i="16" s="1"/>
  <c r="J138" i="17"/>
  <c r="J18" i="17" s="1"/>
  <c r="K134" i="17"/>
  <c r="K14" i="17" s="1"/>
  <c r="G145" i="16"/>
  <c r="G22" i="16" s="1"/>
  <c r="I145" i="16"/>
  <c r="I22" i="16" s="1"/>
  <c r="B138" i="17"/>
  <c r="B18" i="17" s="1"/>
  <c r="B145" i="16"/>
  <c r="B22" i="16" s="1"/>
  <c r="D138" i="17"/>
  <c r="D18" i="17" s="1"/>
  <c r="K138" i="17"/>
  <c r="K18" i="17" s="1"/>
  <c r="I138" i="17"/>
  <c r="I18" i="17" s="1"/>
  <c r="D145" i="16"/>
  <c r="D22" i="16" s="1"/>
  <c r="K130" i="17"/>
  <c r="K10" i="17" s="1"/>
  <c r="K131" i="17"/>
  <c r="K11" i="17" s="1"/>
  <c r="F138" i="17"/>
  <c r="F18" i="17" s="1"/>
  <c r="B137" i="17"/>
  <c r="B17" i="17" s="1"/>
  <c r="J129" i="17"/>
  <c r="J9" i="17" s="1"/>
  <c r="J136" i="17"/>
  <c r="J16" i="17" s="1"/>
  <c r="F144" i="16"/>
  <c r="F21" i="16" s="1"/>
  <c r="G144" i="16"/>
  <c r="G21" i="16" s="1"/>
  <c r="B144" i="16"/>
  <c r="B21" i="16" s="1"/>
  <c r="I144" i="16"/>
  <c r="I21" i="16" s="1"/>
  <c r="C144" i="16"/>
  <c r="C21" i="16" s="1"/>
  <c r="D144" i="16"/>
  <c r="D21" i="16" s="1"/>
  <c r="J132" i="17"/>
  <c r="J12" i="17" s="1"/>
  <c r="E137" i="17"/>
  <c r="E17" i="17" s="1"/>
  <c r="J130" i="17"/>
  <c r="J10" i="17" s="1"/>
  <c r="J144" i="16"/>
  <c r="J21" i="16" s="1"/>
  <c r="J134" i="17"/>
  <c r="J14" i="17" s="1"/>
  <c r="J135" i="17"/>
  <c r="J15" i="17" s="1"/>
  <c r="H144" i="16"/>
  <c r="H21" i="16" s="1"/>
  <c r="J131" i="17"/>
  <c r="J11" i="17" s="1"/>
  <c r="E144" i="16"/>
  <c r="E21" i="16" s="1"/>
  <c r="J137" i="17"/>
  <c r="J17" i="17" s="1"/>
  <c r="G137" i="17"/>
  <c r="G17" i="17" s="1"/>
  <c r="D137" i="17"/>
  <c r="D17" i="17" s="1"/>
  <c r="J133" i="17"/>
  <c r="J13" i="17" s="1"/>
  <c r="F137" i="17"/>
  <c r="F17" i="17" s="1"/>
  <c r="C137" i="17"/>
  <c r="C17" i="17" s="1"/>
  <c r="H137" i="17"/>
  <c r="H17" i="17" s="1"/>
  <c r="I132" i="17"/>
  <c r="I12" i="17" s="1"/>
  <c r="E143" i="16"/>
  <c r="E20" i="16" s="1"/>
  <c r="I131" i="17"/>
  <c r="I11" i="17" s="1"/>
  <c r="I134" i="17"/>
  <c r="I14" i="17" s="1"/>
  <c r="F136" i="17"/>
  <c r="F16" i="17" s="1"/>
  <c r="I136" i="17"/>
  <c r="I16" i="17" s="1"/>
  <c r="J139" i="16"/>
  <c r="J16" i="16" s="1"/>
  <c r="I133" i="17"/>
  <c r="I13" i="17" s="1"/>
  <c r="D136" i="17"/>
  <c r="D16" i="17" s="1"/>
  <c r="G136" i="17"/>
  <c r="G16" i="17" s="1"/>
  <c r="C136" i="17"/>
  <c r="C16" i="17" s="1"/>
  <c r="I129" i="17"/>
  <c r="I9" i="17" s="1"/>
  <c r="B136" i="17"/>
  <c r="B16" i="17" s="1"/>
  <c r="J140" i="16"/>
  <c r="J17" i="16" s="1"/>
  <c r="C143" i="16"/>
  <c r="C20" i="16" s="1"/>
  <c r="E136" i="17"/>
  <c r="E16" i="17" s="1"/>
  <c r="B143" i="16"/>
  <c r="B20" i="16" s="1"/>
  <c r="J143" i="16"/>
  <c r="J20" i="16" s="1"/>
  <c r="I130" i="17"/>
  <c r="I10" i="17" s="1"/>
  <c r="D143" i="16"/>
  <c r="D20" i="16" s="1"/>
  <c r="J138" i="16"/>
  <c r="J15" i="16" s="1"/>
  <c r="I143" i="16"/>
  <c r="I20" i="16" s="1"/>
  <c r="I137" i="17"/>
  <c r="I17" i="17" s="1"/>
  <c r="H143" i="16"/>
  <c r="H20" i="16" s="1"/>
  <c r="J135" i="16"/>
  <c r="J12" i="16" s="1"/>
  <c r="J132" i="16"/>
  <c r="J9" i="16" s="1"/>
  <c r="J137" i="16"/>
  <c r="J14" i="16" s="1"/>
  <c r="J133" i="16"/>
  <c r="J10" i="16" s="1"/>
  <c r="G143" i="16"/>
  <c r="G20" i="16" s="1"/>
  <c r="F143" i="16"/>
  <c r="F20" i="16" s="1"/>
  <c r="I135" i="17"/>
  <c r="I15" i="17" s="1"/>
  <c r="J134" i="16"/>
  <c r="J11" i="16" s="1"/>
  <c r="J141" i="16"/>
  <c r="J18" i="16" s="1"/>
  <c r="J136" i="16"/>
  <c r="J13" i="16" s="1"/>
  <c r="C132" i="16"/>
  <c r="C9" i="16" s="1"/>
  <c r="C134" i="16"/>
  <c r="C11" i="16" s="1"/>
  <c r="B132" i="16"/>
  <c r="B9" i="16" s="1"/>
  <c r="C136" i="16"/>
  <c r="C13" i="16" s="1"/>
  <c r="B136" i="16"/>
  <c r="B13" i="16" s="1"/>
  <c r="B134" i="16"/>
  <c r="B11" i="16" s="1"/>
  <c r="B130" i="17"/>
  <c r="B10" i="17" s="1"/>
  <c r="B129" i="17"/>
  <c r="B9" i="17" s="1"/>
  <c r="D136" i="16"/>
  <c r="D13" i="16" s="1"/>
  <c r="E135" i="16"/>
  <c r="E12" i="16" s="1"/>
  <c r="B135" i="16"/>
  <c r="B12" i="16" s="1"/>
  <c r="E137" i="16"/>
  <c r="E14" i="16" s="1"/>
  <c r="B131" i="17"/>
  <c r="B11" i="17" s="1"/>
  <c r="B133" i="16"/>
  <c r="B10" i="16" s="1"/>
  <c r="D134" i="16"/>
  <c r="D11" i="16" s="1"/>
  <c r="C133" i="16"/>
  <c r="C10" i="16" s="1"/>
  <c r="D132" i="16"/>
  <c r="D9" i="16" s="1"/>
  <c r="D133" i="16"/>
  <c r="D10" i="16" s="1"/>
  <c r="D135" i="16"/>
  <c r="D12" i="16" s="1"/>
  <c r="C129" i="17"/>
  <c r="C9" i="17" s="1"/>
  <c r="B137" i="16"/>
  <c r="B14" i="16" s="1"/>
  <c r="C130" i="17"/>
  <c r="C10" i="17" s="1"/>
  <c r="D137" i="16"/>
  <c r="D14" i="16" s="1"/>
  <c r="C135" i="16"/>
  <c r="C12" i="16" s="1"/>
  <c r="C137" i="16"/>
  <c r="C14" i="16" s="1"/>
  <c r="E134" i="16"/>
  <c r="E11" i="16" s="1"/>
  <c r="D129" i="17"/>
  <c r="D9" i="17" s="1"/>
  <c r="C138" i="16"/>
  <c r="C15" i="16" s="1"/>
  <c r="D131" i="17"/>
  <c r="D11" i="17" s="1"/>
  <c r="D138" i="16"/>
  <c r="D15" i="16" s="1"/>
  <c r="E133" i="16"/>
  <c r="E10" i="16" s="1"/>
  <c r="B138" i="16"/>
  <c r="B15" i="16" s="1"/>
  <c r="D130" i="17"/>
  <c r="D10" i="17" s="1"/>
  <c r="E132" i="16"/>
  <c r="E9" i="16" s="1"/>
  <c r="C131" i="17"/>
  <c r="C11" i="17" s="1"/>
  <c r="E136" i="16"/>
  <c r="E13" i="16" s="1"/>
  <c r="E138" i="16"/>
  <c r="E15" i="16" s="1"/>
  <c r="F138" i="16"/>
  <c r="F15" i="16" s="1"/>
  <c r="F135" i="16"/>
  <c r="F12" i="16" s="1"/>
  <c r="G139" i="16"/>
  <c r="G16" i="16" s="1"/>
  <c r="E131" i="17"/>
  <c r="E11" i="17" s="1"/>
  <c r="E132" i="17"/>
  <c r="E12" i="17" s="1"/>
  <c r="F132" i="16"/>
  <c r="F9" i="16" s="1"/>
  <c r="B132" i="17"/>
  <c r="B12" i="17" s="1"/>
  <c r="D132" i="17"/>
  <c r="D12" i="17" s="1"/>
  <c r="F133" i="16"/>
  <c r="F10" i="16" s="1"/>
  <c r="B139" i="16"/>
  <c r="B16" i="16" s="1"/>
  <c r="C132" i="17"/>
  <c r="C12" i="17" s="1"/>
  <c r="F134" i="16"/>
  <c r="F11" i="16" s="1"/>
  <c r="D139" i="16"/>
  <c r="D16" i="16" s="1"/>
  <c r="C139" i="16"/>
  <c r="C16" i="16" s="1"/>
  <c r="E130" i="17"/>
  <c r="E10" i="17" s="1"/>
  <c r="F137" i="16"/>
  <c r="F14" i="16" s="1"/>
  <c r="H136" i="17"/>
  <c r="H16" i="17" s="1"/>
  <c r="H133" i="17"/>
  <c r="H13" i="17" s="1"/>
  <c r="F142" i="16"/>
  <c r="F19" i="16" s="1"/>
  <c r="H129" i="17"/>
  <c r="H9" i="17" s="1"/>
  <c r="H130" i="17"/>
  <c r="H10" i="17" s="1"/>
  <c r="D142" i="16"/>
  <c r="D19" i="16" s="1"/>
  <c r="I140" i="16"/>
  <c r="I17" i="16" s="1"/>
  <c r="J142" i="16"/>
  <c r="J19" i="16" s="1"/>
  <c r="C142" i="16"/>
  <c r="C19" i="16" s="1"/>
  <c r="G142" i="16"/>
  <c r="G19" i="16" s="1"/>
  <c r="E142" i="16"/>
  <c r="E19" i="16" s="1"/>
  <c r="F135" i="17"/>
  <c r="F15" i="17" s="1"/>
  <c r="D135" i="17"/>
  <c r="D15" i="17" s="1"/>
  <c r="I138" i="16"/>
  <c r="I15" i="16" s="1"/>
  <c r="I133" i="16"/>
  <c r="I10" i="16" s="1"/>
  <c r="H132" i="17"/>
  <c r="H12" i="17" s="1"/>
  <c r="H134" i="17"/>
  <c r="H14" i="17" s="1"/>
  <c r="H135" i="17"/>
  <c r="H15" i="17" s="1"/>
  <c r="B135" i="17"/>
  <c r="B15" i="17" s="1"/>
  <c r="E135" i="17"/>
  <c r="E15" i="17" s="1"/>
  <c r="I142" i="16"/>
  <c r="I19" i="16" s="1"/>
  <c r="I136" i="16"/>
  <c r="I13" i="16" s="1"/>
  <c r="F139" i="16"/>
  <c r="F16" i="16" s="1"/>
  <c r="E133" i="17"/>
  <c r="E13" i="17" s="1"/>
  <c r="F136" i="16"/>
  <c r="F13" i="16" s="1"/>
  <c r="E129" i="17"/>
  <c r="E9" i="17" s="1"/>
  <c r="E139" i="16"/>
  <c r="E16" i="16" s="1"/>
  <c r="G134" i="16"/>
  <c r="G11" i="16" s="1"/>
  <c r="F132" i="17"/>
  <c r="F12" i="17" s="1"/>
  <c r="B140" i="16"/>
  <c r="B17" i="16" s="1"/>
  <c r="B133" i="17"/>
  <c r="B13" i="17" s="1"/>
  <c r="F130" i="17"/>
  <c r="F10" i="17" s="1"/>
  <c r="F140" i="16"/>
  <c r="F17" i="16" s="1"/>
  <c r="F129" i="17"/>
  <c r="F9" i="17" s="1"/>
  <c r="F133" i="17"/>
  <c r="F13" i="17" s="1"/>
  <c r="F134" i="17"/>
  <c r="F14" i="17" s="1"/>
  <c r="F131" i="17"/>
  <c r="F11" i="17" s="1"/>
  <c r="C140" i="16"/>
  <c r="C17" i="16" s="1"/>
  <c r="D140" i="16"/>
  <c r="D17" i="16" s="1"/>
  <c r="H140" i="16"/>
  <c r="H17" i="16" s="1"/>
  <c r="E140" i="16"/>
  <c r="E17" i="16" s="1"/>
  <c r="D133" i="17"/>
  <c r="D13" i="17" s="1"/>
  <c r="G140" i="16"/>
  <c r="G17" i="16" s="1"/>
  <c r="G132" i="16"/>
  <c r="G9" i="16" s="1"/>
  <c r="C133" i="17"/>
  <c r="C13" i="17" s="1"/>
  <c r="G137" i="16"/>
  <c r="G14" i="16" s="1"/>
  <c r="G133" i="16"/>
  <c r="G10" i="16" s="1"/>
  <c r="G136" i="16"/>
  <c r="G13" i="16" s="1"/>
  <c r="G135" i="16"/>
  <c r="G12" i="16" s="1"/>
  <c r="G138" i="16"/>
  <c r="G15" i="16" s="1"/>
  <c r="H133" i="16"/>
  <c r="H10" i="16" s="1"/>
  <c r="H138" i="16"/>
  <c r="H15" i="16" s="1"/>
  <c r="G134" i="17"/>
  <c r="G14" i="17" s="1"/>
  <c r="G131" i="17"/>
  <c r="G11" i="17" s="1"/>
  <c r="H134" i="16"/>
  <c r="H11" i="16" s="1"/>
  <c r="H137" i="16"/>
  <c r="H14" i="16" s="1"/>
  <c r="G130" i="17"/>
  <c r="G10" i="17" s="1"/>
  <c r="E134" i="17"/>
  <c r="E14" i="17" s="1"/>
  <c r="H141" i="16"/>
  <c r="H18" i="16" s="1"/>
  <c r="G135" i="17"/>
  <c r="G15" i="17" s="1"/>
  <c r="E141" i="16"/>
  <c r="E18" i="16" s="1"/>
  <c r="I141" i="16"/>
  <c r="I18" i="16" s="1"/>
  <c r="C141" i="16"/>
  <c r="C18" i="16" s="1"/>
  <c r="D134" i="17"/>
  <c r="D14" i="17" s="1"/>
  <c r="B134" i="17"/>
  <c r="B14" i="17" s="1"/>
  <c r="B141" i="16"/>
  <c r="B18" i="16" s="1"/>
  <c r="H132" i="16"/>
  <c r="H9" i="16" s="1"/>
  <c r="C134" i="17"/>
  <c r="C14" i="17" s="1"/>
  <c r="D141" i="16"/>
  <c r="D18" i="16" s="1"/>
  <c r="G132" i="17"/>
  <c r="G12" i="17" s="1"/>
  <c r="F141" i="16"/>
  <c r="F18" i="16" s="1"/>
  <c r="H139" i="16"/>
  <c r="H16" i="16" s="1"/>
  <c r="H136" i="16"/>
  <c r="H13" i="16" s="1"/>
  <c r="H135" i="16"/>
  <c r="H12" i="16" s="1"/>
  <c r="G129" i="17"/>
  <c r="G9" i="17" s="1"/>
  <c r="G141" i="16"/>
  <c r="G18" i="16" s="1"/>
  <c r="G133" i="17"/>
  <c r="G13" i="17" s="1"/>
  <c r="H142" i="16"/>
  <c r="H19" i="16" s="1"/>
  <c r="H131" i="17"/>
  <c r="H11" i="17" s="1"/>
  <c r="I139" i="16"/>
  <c r="I16" i="16" s="1"/>
  <c r="I135" i="16"/>
  <c r="I12" i="16" s="1"/>
  <c r="I137" i="16"/>
  <c r="I14" i="16" s="1"/>
  <c r="I132" i="16"/>
  <c r="I9" i="16" s="1"/>
  <c r="C135" i="17"/>
  <c r="C15" i="17" s="1"/>
  <c r="B142" i="16"/>
  <c r="B19" i="16" s="1"/>
  <c r="I134" i="16"/>
  <c r="I11" i="16" s="1"/>
  <c r="D141" i="17"/>
  <c r="D21" i="17" s="1"/>
  <c r="C141" i="17"/>
  <c r="C21" i="17" s="1"/>
  <c r="K141" i="17"/>
  <c r="K21" i="17" s="1"/>
  <c r="H148" i="16"/>
  <c r="H25" i="16" s="1"/>
  <c r="E148" i="16"/>
  <c r="E25" i="16" s="1"/>
  <c r="D148" i="16"/>
  <c r="D25" i="16" s="1"/>
  <c r="J141" i="17"/>
  <c r="J21" i="17" s="1"/>
  <c r="I141" i="17"/>
  <c r="I21" i="17" s="1"/>
  <c r="G148" i="16"/>
  <c r="G25" i="16" s="1"/>
  <c r="F141" i="17"/>
  <c r="F21" i="17" s="1"/>
  <c r="J148" i="16"/>
  <c r="J25" i="16" s="1"/>
  <c r="H141" i="17"/>
  <c r="H21" i="17" s="1"/>
  <c r="B148" i="16"/>
  <c r="B25" i="16" s="1"/>
  <c r="E141" i="17"/>
  <c r="E21" i="17" s="1"/>
  <c r="G141" i="17"/>
  <c r="G21" i="17" s="1"/>
  <c r="F148" i="16"/>
  <c r="F25" i="16" s="1"/>
  <c r="B141" i="17"/>
  <c r="B21" i="17" s="1"/>
  <c r="I148" i="16"/>
  <c r="I25" i="16" s="1"/>
  <c r="C148" i="16"/>
  <c r="C25" i="16" s="1"/>
  <c r="C149" i="16"/>
  <c r="C26" i="16" s="1"/>
  <c r="B142" i="17"/>
  <c r="D149" i="16"/>
  <c r="D26" i="16" s="1"/>
  <c r="C142" i="17"/>
  <c r="C22" i="17" s="1"/>
  <c r="D142" i="17"/>
  <c r="D22" i="17" s="1"/>
  <c r="B149" i="16"/>
  <c r="B26" i="16" s="1"/>
  <c r="F149" i="16"/>
  <c r="F26" i="16" s="1"/>
  <c r="G149" i="16"/>
  <c r="G26" i="16" s="1"/>
  <c r="J142" i="17"/>
  <c r="J22" i="17" s="1"/>
  <c r="K142" i="17"/>
  <c r="K22" i="17" s="1"/>
  <c r="I142" i="17"/>
  <c r="I22" i="17" s="1"/>
  <c r="H149" i="16"/>
  <c r="H26" i="16" s="1"/>
  <c r="H142" i="17"/>
  <c r="H22" i="17" s="1"/>
  <c r="I149" i="16"/>
  <c r="I26" i="16" s="1"/>
  <c r="E142" i="17"/>
  <c r="E22" i="17" s="1"/>
  <c r="E149" i="16"/>
  <c r="E26" i="16" s="1"/>
  <c r="F142" i="17"/>
  <c r="F22" i="17" s="1"/>
  <c r="J149" i="16"/>
  <c r="J26" i="16" s="1"/>
  <c r="G142" i="17"/>
  <c r="G22" i="17" s="1"/>
  <c r="D63" i="14"/>
  <c r="C63" i="14"/>
  <c r="F63" i="14"/>
  <c r="G63" i="14"/>
  <c r="H63" i="14"/>
  <c r="I63" i="14"/>
  <c r="E63" i="14"/>
  <c r="J63" i="14"/>
  <c r="B63" i="14"/>
  <c r="K63" i="14"/>
  <c r="C22" i="14"/>
  <c r="P106" i="19"/>
  <c r="J64" i="11"/>
  <c r="J24" i="11" s="1"/>
  <c r="H64" i="11"/>
  <c r="H24" i="11" s="1"/>
  <c r="D64" i="11"/>
  <c r="D24" i="11" s="1"/>
  <c r="F90" i="11"/>
  <c r="K64" i="11"/>
  <c r="K24" i="11" s="1"/>
  <c r="C90" i="11"/>
  <c r="I64" i="11"/>
  <c r="I24" i="11" s="1"/>
  <c r="I90" i="11"/>
  <c r="E64" i="11"/>
  <c r="E24" i="11" s="1"/>
  <c r="J90" i="11"/>
  <c r="B90" i="11"/>
  <c r="C64" i="11"/>
  <c r="C24" i="11" s="1"/>
  <c r="B64" i="11"/>
  <c r="B24" i="11" s="1"/>
  <c r="E90" i="11"/>
  <c r="D90" i="11"/>
  <c r="F64" i="11"/>
  <c r="F24" i="11" s="1"/>
  <c r="G64" i="11"/>
  <c r="G24" i="11" s="1"/>
  <c r="K90" i="11"/>
  <c r="H90" i="11"/>
  <c r="G90" i="11"/>
  <c r="F88" i="14"/>
  <c r="G88" i="14"/>
  <c r="H88" i="14"/>
  <c r="I88" i="14"/>
  <c r="B88" i="14"/>
  <c r="J88" i="14"/>
  <c r="D88" i="14"/>
  <c r="K88" i="14"/>
  <c r="C88" i="14"/>
  <c r="E88" i="14"/>
  <c r="I189" i="14"/>
  <c r="B189" i="14"/>
  <c r="J189" i="14"/>
  <c r="D189" i="14"/>
  <c r="K189" i="14"/>
  <c r="E189" i="14"/>
  <c r="C189" i="14"/>
  <c r="F189" i="14"/>
  <c r="G189" i="14"/>
  <c r="H189" i="14"/>
  <c r="E22" i="14"/>
  <c r="E241" i="14"/>
  <c r="F241" i="14"/>
  <c r="G241" i="14"/>
  <c r="H241" i="14"/>
  <c r="I241" i="14"/>
  <c r="D241" i="14"/>
  <c r="J241" i="14"/>
  <c r="B241" i="14"/>
  <c r="K241" i="14"/>
  <c r="C241" i="14"/>
  <c r="I22" i="14"/>
  <c r="J22" i="14"/>
  <c r="A89" i="14"/>
  <c r="A139" i="14"/>
  <c r="A114" i="14"/>
  <c r="A242" i="14"/>
  <c r="A164" i="14"/>
  <c r="A216" i="14"/>
  <c r="A25" i="14"/>
  <c r="A190" i="14"/>
  <c r="A64" i="14"/>
  <c r="H22" i="14"/>
  <c r="D22" i="14"/>
  <c r="B113" i="14"/>
  <c r="F113" i="14"/>
  <c r="G113" i="14"/>
  <c r="H113" i="14"/>
  <c r="I113" i="14"/>
  <c r="D113" i="14"/>
  <c r="J113" i="14"/>
  <c r="C113" i="14"/>
  <c r="K113" i="14"/>
  <c r="E113" i="14"/>
  <c r="G22" i="14"/>
  <c r="G163" i="14"/>
  <c r="H163" i="14"/>
  <c r="I163" i="14"/>
  <c r="B163" i="14"/>
  <c r="J163" i="14"/>
  <c r="D163" i="14"/>
  <c r="K163" i="14"/>
  <c r="E163" i="14"/>
  <c r="C163" i="14"/>
  <c r="F163" i="14"/>
  <c r="C215" i="14"/>
  <c r="F215" i="14"/>
  <c r="G215" i="14"/>
  <c r="H215" i="14"/>
  <c r="I215" i="14"/>
  <c r="B215" i="14"/>
  <c r="J215" i="14"/>
  <c r="E215" i="14"/>
  <c r="K215" i="14"/>
  <c r="D215" i="14"/>
  <c r="F22" i="14"/>
  <c r="A26" i="11"/>
  <c r="A65" i="11"/>
  <c r="A91" i="11"/>
  <c r="B138" i="14"/>
  <c r="J138" i="14"/>
  <c r="D138" i="14"/>
  <c r="K138" i="14"/>
  <c r="E138" i="14"/>
  <c r="C138" i="14"/>
  <c r="F138" i="14"/>
  <c r="G138" i="14"/>
  <c r="H138" i="14"/>
  <c r="I138" i="14"/>
  <c r="B22" i="14"/>
  <c r="B150" i="16"/>
  <c r="K143" i="17"/>
  <c r="K23" i="17" s="1"/>
  <c r="C143" i="17"/>
  <c r="I150" i="16"/>
  <c r="I27" i="16" s="1"/>
  <c r="J143" i="17"/>
  <c r="B143" i="17"/>
  <c r="F150" i="16"/>
  <c r="F27" i="16" s="1"/>
  <c r="I143" i="17"/>
  <c r="I23" i="17" s="1"/>
  <c r="J150" i="16"/>
  <c r="H143" i="17"/>
  <c r="H23" i="17" s="1"/>
  <c r="G150" i="16"/>
  <c r="G27" i="16" s="1"/>
  <c r="G143" i="17"/>
  <c r="G23" i="17" s="1"/>
  <c r="C150" i="16"/>
  <c r="C27" i="16" s="1"/>
  <c r="H150" i="16"/>
  <c r="H27" i="16" s="1"/>
  <c r="F143" i="17"/>
  <c r="F23" i="17" s="1"/>
  <c r="D150" i="16"/>
  <c r="D27" i="16" s="1"/>
  <c r="E143" i="17"/>
  <c r="E150" i="16"/>
  <c r="E27" i="16" s="1"/>
  <c r="D143" i="17"/>
  <c r="D23" i="17" s="1"/>
  <c r="P85" i="19"/>
  <c r="K21" i="2"/>
  <c r="F21" i="2"/>
  <c r="P17" i="19"/>
  <c r="P7" i="19"/>
  <c r="P190" i="19"/>
  <c r="P191" i="19"/>
  <c r="P25" i="19"/>
  <c r="P164" i="19"/>
  <c r="P276" i="19"/>
  <c r="P279" i="19"/>
  <c r="P271" i="19"/>
  <c r="P73" i="19"/>
  <c r="P6" i="19"/>
  <c r="P188" i="19"/>
  <c r="P175" i="19"/>
  <c r="P174" i="19"/>
  <c r="P57" i="19"/>
  <c r="P193" i="19"/>
  <c r="P52" i="19"/>
  <c r="P23" i="19"/>
  <c r="P151" i="19"/>
  <c r="P154" i="19"/>
  <c r="P31" i="19"/>
  <c r="P147" i="19"/>
  <c r="P69" i="19"/>
  <c r="P4" i="19"/>
  <c r="P132" i="19"/>
  <c r="P127" i="19"/>
  <c r="P64" i="19"/>
  <c r="P155" i="19"/>
  <c r="P266" i="19"/>
  <c r="P265" i="19"/>
  <c r="P272" i="19"/>
  <c r="P183" i="19"/>
  <c r="P128" i="19"/>
  <c r="P166" i="19"/>
  <c r="P39" i="19"/>
  <c r="P131" i="19"/>
  <c r="P161" i="19"/>
  <c r="P40" i="19"/>
  <c r="P170" i="19"/>
  <c r="P47" i="19"/>
  <c r="P30" i="19"/>
  <c r="P171" i="19"/>
  <c r="P82" i="19"/>
  <c r="P16" i="19"/>
  <c r="P187" i="19"/>
  <c r="P195" i="19"/>
  <c r="P172" i="19"/>
  <c r="P66" i="19"/>
  <c r="P194" i="19"/>
  <c r="P118" i="19"/>
  <c r="P280" i="19"/>
  <c r="P274" i="19"/>
  <c r="P273" i="19"/>
  <c r="P119" i="19"/>
  <c r="P89" i="19"/>
  <c r="P123" i="19"/>
  <c r="P169" i="19"/>
  <c r="P108" i="19"/>
  <c r="P93" i="19"/>
  <c r="P148" i="19"/>
  <c r="P21" i="19"/>
  <c r="P168" i="19"/>
  <c r="P134" i="19"/>
  <c r="P145" i="19"/>
  <c r="P62" i="19"/>
  <c r="P143" i="19"/>
  <c r="P181" i="19"/>
  <c r="P129" i="19"/>
  <c r="P173" i="19"/>
  <c r="P185" i="19"/>
  <c r="P180" i="19"/>
  <c r="P5" i="19"/>
  <c r="P281" i="19"/>
  <c r="P260" i="19"/>
  <c r="P42" i="19"/>
  <c r="P22" i="19"/>
  <c r="P157" i="19"/>
  <c r="P29" i="19"/>
  <c r="P149" i="19"/>
  <c r="P26" i="19"/>
  <c r="P59" i="19"/>
  <c r="P159" i="19"/>
  <c r="P104" i="19"/>
  <c r="P10" i="19"/>
  <c r="P20" i="19"/>
  <c r="P182" i="19"/>
  <c r="P94" i="19"/>
  <c r="P117" i="19"/>
  <c r="P81" i="19"/>
  <c r="P109" i="19"/>
  <c r="P121" i="19"/>
  <c r="P158" i="19"/>
  <c r="P262" i="19"/>
  <c r="P270" i="19"/>
  <c r="P264" i="19"/>
  <c r="P177" i="19"/>
  <c r="P56" i="19"/>
  <c r="P58" i="19"/>
  <c r="P53" i="19"/>
  <c r="P178" i="19"/>
  <c r="P50" i="19"/>
  <c r="P139" i="19"/>
  <c r="P100" i="19"/>
  <c r="P96" i="19"/>
  <c r="P124" i="19"/>
  <c r="P160" i="19"/>
  <c r="P110" i="19"/>
  <c r="P27" i="19"/>
  <c r="P146" i="19"/>
  <c r="P14" i="19"/>
  <c r="P9" i="19"/>
  <c r="P78" i="19"/>
  <c r="P165" i="19"/>
  <c r="P282" i="19"/>
  <c r="P261" i="19"/>
  <c r="P278" i="19"/>
  <c r="P113" i="19"/>
  <c r="P150" i="19"/>
  <c r="P186" i="19"/>
  <c r="P184" i="19"/>
  <c r="P115" i="19"/>
  <c r="P114" i="19"/>
  <c r="P176" i="19"/>
  <c r="P116" i="19"/>
  <c r="P33" i="19"/>
  <c r="P32" i="19"/>
  <c r="P74" i="19"/>
  <c r="P88" i="19"/>
  <c r="P189" i="19"/>
  <c r="P137" i="19"/>
  <c r="P79" i="19"/>
  <c r="P38" i="19"/>
  <c r="P179" i="19"/>
  <c r="P138" i="19"/>
  <c r="P11" i="19"/>
  <c r="P61" i="19"/>
  <c r="P263" i="19"/>
  <c r="P269" i="19"/>
  <c r="P267" i="19"/>
  <c r="P75" i="19"/>
  <c r="P65" i="19"/>
  <c r="P122" i="19"/>
  <c r="P120" i="19"/>
  <c r="P163" i="19"/>
  <c r="P67" i="19"/>
  <c r="P112" i="19"/>
  <c r="P99" i="19"/>
  <c r="P153" i="19"/>
  <c r="P133" i="19"/>
  <c r="P24" i="19"/>
  <c r="P125" i="19"/>
  <c r="P84" i="19"/>
  <c r="P156" i="19"/>
  <c r="P12" i="19"/>
  <c r="P144" i="19"/>
  <c r="P142" i="19"/>
  <c r="P76" i="19"/>
  <c r="P136" i="19"/>
  <c r="P277" i="19"/>
  <c r="P275" i="19"/>
  <c r="P268" i="19"/>
  <c r="P130" i="19"/>
  <c r="P192" i="19"/>
  <c r="P140" i="19"/>
  <c r="P70" i="19"/>
  <c r="P48" i="19"/>
  <c r="P126" i="19"/>
  <c r="P167" i="19"/>
  <c r="P83" i="19"/>
  <c r="P141" i="19"/>
  <c r="P90" i="19"/>
  <c r="P162" i="19"/>
  <c r="P46" i="19"/>
  <c r="P152" i="19"/>
  <c r="P13" i="19"/>
  <c r="P135" i="19"/>
  <c r="P28" i="19"/>
  <c r="P72" i="19"/>
  <c r="P71" i="19"/>
  <c r="P63" i="19"/>
  <c r="P36" i="19"/>
  <c r="P80" i="19"/>
  <c r="P103" i="19"/>
  <c r="P15" i="19"/>
  <c r="P35" i="19"/>
  <c r="P55" i="19"/>
  <c r="P3" i="19"/>
  <c r="P86" i="19"/>
  <c r="P49" i="19"/>
  <c r="P43" i="19"/>
  <c r="P45" i="19"/>
  <c r="P37" i="19"/>
  <c r="P34" i="19"/>
  <c r="P77" i="19"/>
  <c r="P54" i="19"/>
  <c r="P44" i="19"/>
  <c r="P60" i="19"/>
  <c r="P87" i="19"/>
  <c r="P98" i="19"/>
  <c r="P111" i="19"/>
  <c r="P51" i="19"/>
  <c r="P41" i="19"/>
  <c r="P68" i="19"/>
  <c r="B65" i="2"/>
  <c r="D65" i="2"/>
  <c r="C65" i="2"/>
  <c r="F65" i="2"/>
  <c r="E65" i="2"/>
  <c r="G65" i="2"/>
  <c r="H65" i="2"/>
  <c r="I65" i="2"/>
  <c r="J65" i="2"/>
  <c r="K65" i="2"/>
  <c r="J21" i="2"/>
  <c r="C21" i="2"/>
  <c r="J27" i="16"/>
  <c r="P105" i="19"/>
  <c r="P18" i="19"/>
  <c r="A117" i="2"/>
  <c r="A24" i="2"/>
  <c r="A143" i="2"/>
  <c r="A91" i="2"/>
  <c r="A66" i="2"/>
  <c r="B118" i="17"/>
  <c r="C118" i="17"/>
  <c r="D118" i="17"/>
  <c r="E118" i="17"/>
  <c r="F118" i="17"/>
  <c r="G118" i="17"/>
  <c r="H118" i="17"/>
  <c r="I118" i="17"/>
  <c r="J118" i="17"/>
  <c r="K118" i="17"/>
  <c r="I21" i="2"/>
  <c r="P92" i="19"/>
  <c r="P91" i="19"/>
  <c r="B67" i="17"/>
  <c r="C67" i="17"/>
  <c r="D67" i="17"/>
  <c r="E67" i="17"/>
  <c r="F67" i="17"/>
  <c r="G67" i="17"/>
  <c r="H67" i="17"/>
  <c r="I67" i="17"/>
  <c r="J67" i="17"/>
  <c r="K67" i="17"/>
  <c r="H21" i="2"/>
  <c r="P19" i="19"/>
  <c r="P97" i="19"/>
  <c r="C72" i="16"/>
  <c r="B72" i="16"/>
  <c r="D72" i="16"/>
  <c r="E72" i="16"/>
  <c r="F72" i="16"/>
  <c r="G72" i="16"/>
  <c r="H72" i="16"/>
  <c r="I72" i="16"/>
  <c r="J72" i="16"/>
  <c r="G21" i="2"/>
  <c r="P101" i="19"/>
  <c r="P8" i="19"/>
  <c r="E125" i="16"/>
  <c r="G125" i="16"/>
  <c r="D125" i="16"/>
  <c r="I125" i="16"/>
  <c r="B125" i="16"/>
  <c r="H125" i="16"/>
  <c r="F125" i="16"/>
  <c r="C125" i="16"/>
  <c r="J125" i="16"/>
  <c r="A93" i="17"/>
  <c r="A68" i="17"/>
  <c r="A26" i="17"/>
  <c r="A172" i="17"/>
  <c r="A145" i="17"/>
  <c r="A119" i="17"/>
  <c r="B21" i="2"/>
  <c r="P107" i="19"/>
  <c r="P95" i="19"/>
  <c r="E23" i="17"/>
  <c r="D99" i="16"/>
  <c r="H99" i="16"/>
  <c r="B99" i="16"/>
  <c r="F99" i="16"/>
  <c r="J99" i="16"/>
  <c r="E99" i="16"/>
  <c r="C99" i="16"/>
  <c r="I99" i="16"/>
  <c r="G99" i="16"/>
  <c r="B92" i="17"/>
  <c r="D92" i="17"/>
  <c r="C92" i="17"/>
  <c r="E92" i="17"/>
  <c r="F92" i="17"/>
  <c r="G92" i="17"/>
  <c r="H92" i="17"/>
  <c r="I92" i="17"/>
  <c r="J92" i="17"/>
  <c r="K92" i="17"/>
  <c r="E21" i="2"/>
  <c r="B27" i="16"/>
  <c r="P102" i="19"/>
  <c r="S49" i="12"/>
  <c r="S27" i="12"/>
  <c r="S50" i="12" s="1"/>
  <c r="C23" i="17"/>
  <c r="C116" i="2"/>
  <c r="B116" i="2"/>
  <c r="D116" i="2"/>
  <c r="E116" i="2"/>
  <c r="B90" i="2"/>
  <c r="C90" i="2"/>
  <c r="F142" i="2"/>
  <c r="D90" i="2"/>
  <c r="E142" i="2"/>
  <c r="B142" i="2"/>
  <c r="E90" i="2"/>
  <c r="C142" i="2"/>
  <c r="D142" i="2"/>
  <c r="F90" i="2"/>
  <c r="F116" i="2"/>
  <c r="G90" i="2"/>
  <c r="G116" i="2"/>
  <c r="G142" i="2"/>
  <c r="H142" i="2"/>
  <c r="H90" i="2"/>
  <c r="H116" i="2"/>
  <c r="I90" i="2"/>
  <c r="I142" i="2"/>
  <c r="I116" i="2"/>
  <c r="J142" i="2"/>
  <c r="J90" i="2"/>
  <c r="J116" i="2"/>
  <c r="K116" i="2"/>
  <c r="K142" i="2"/>
  <c r="K90" i="2"/>
  <c r="D21" i="2"/>
  <c r="I171" i="17"/>
  <c r="D33" i="16"/>
  <c r="B34" i="16"/>
  <c r="I34" i="16"/>
  <c r="G178" i="16"/>
  <c r="E171" i="17"/>
  <c r="C34" i="16"/>
  <c r="G34" i="16"/>
  <c r="I33" i="16"/>
  <c r="E178" i="16"/>
  <c r="H171" i="17"/>
  <c r="B30" i="2"/>
  <c r="F171" i="17"/>
  <c r="B171" i="17"/>
  <c r="H178" i="16"/>
  <c r="F34" i="16"/>
  <c r="I178" i="16"/>
  <c r="C33" i="16"/>
  <c r="F33" i="16"/>
  <c r="D34" i="16"/>
  <c r="B178" i="16"/>
  <c r="K171" i="17"/>
  <c r="G33" i="16"/>
  <c r="B29" i="2"/>
  <c r="E34" i="16"/>
  <c r="B33" i="16"/>
  <c r="G171" i="17"/>
  <c r="C171" i="17"/>
  <c r="J171" i="17"/>
  <c r="J33" i="16"/>
  <c r="E33" i="16"/>
  <c r="D171" i="17"/>
  <c r="D178" i="16"/>
  <c r="J34" i="16"/>
  <c r="H33" i="16"/>
  <c r="F178" i="16"/>
  <c r="H34" i="16"/>
  <c r="C178" i="16"/>
  <c r="J178" i="16"/>
  <c r="I32" i="16" l="1"/>
  <c r="H32" i="16"/>
  <c r="E114" i="14"/>
  <c r="D114" i="14"/>
  <c r="F114" i="14"/>
  <c r="G114" i="14"/>
  <c r="H114" i="14"/>
  <c r="I114" i="14"/>
  <c r="B114" i="14"/>
  <c r="J114" i="14"/>
  <c r="C114" i="14"/>
  <c r="K114" i="14"/>
  <c r="C23" i="14"/>
  <c r="F32" i="16"/>
  <c r="B41" i="16"/>
  <c r="B40" i="16"/>
  <c r="B32" i="16"/>
  <c r="D139" i="14"/>
  <c r="J139" i="14"/>
  <c r="E139" i="14"/>
  <c r="K139" i="14"/>
  <c r="B139" i="14"/>
  <c r="C139" i="14"/>
  <c r="F139" i="14"/>
  <c r="G139" i="14"/>
  <c r="H139" i="14"/>
  <c r="I139" i="14"/>
  <c r="B23" i="14"/>
  <c r="D23" i="14"/>
  <c r="E32" i="16"/>
  <c r="G64" i="14"/>
  <c r="H64" i="14"/>
  <c r="I64" i="14"/>
  <c r="D64" i="14"/>
  <c r="J64" i="14"/>
  <c r="B64" i="14"/>
  <c r="K64" i="14"/>
  <c r="C64" i="14"/>
  <c r="E64" i="14"/>
  <c r="F64" i="14"/>
  <c r="G89" i="14"/>
  <c r="H89" i="14"/>
  <c r="I89" i="14"/>
  <c r="B89" i="14"/>
  <c r="J89" i="14"/>
  <c r="C89" i="14"/>
  <c r="K89" i="14"/>
  <c r="D89" i="14"/>
  <c r="E89" i="14"/>
  <c r="F89" i="14"/>
  <c r="J23" i="14"/>
  <c r="G32" i="16"/>
  <c r="D32" i="16"/>
  <c r="C32" i="16"/>
  <c r="K91" i="11"/>
  <c r="F65" i="11"/>
  <c r="F25" i="11" s="1"/>
  <c r="E65" i="11"/>
  <c r="E25" i="11" s="1"/>
  <c r="G65" i="11"/>
  <c r="G25" i="11" s="1"/>
  <c r="B65" i="11"/>
  <c r="B25" i="11" s="1"/>
  <c r="D91" i="11"/>
  <c r="G91" i="11"/>
  <c r="H91" i="11"/>
  <c r="D65" i="11"/>
  <c r="D25" i="11" s="1"/>
  <c r="J65" i="11"/>
  <c r="J25" i="11" s="1"/>
  <c r="J91" i="11"/>
  <c r="C91" i="11"/>
  <c r="K65" i="11"/>
  <c r="K25" i="11" s="1"/>
  <c r="E91" i="11"/>
  <c r="B91" i="11"/>
  <c r="F91" i="11"/>
  <c r="I91" i="11"/>
  <c r="I65" i="11"/>
  <c r="I25" i="11" s="1"/>
  <c r="H65" i="11"/>
  <c r="H25" i="11" s="1"/>
  <c r="C65" i="11"/>
  <c r="C25" i="11" s="1"/>
  <c r="E190" i="14"/>
  <c r="F190" i="14"/>
  <c r="G190" i="14"/>
  <c r="H190" i="14"/>
  <c r="I190" i="14"/>
  <c r="C190" i="14"/>
  <c r="J190" i="14"/>
  <c r="D190" i="14"/>
  <c r="K190" i="14"/>
  <c r="B190" i="14"/>
  <c r="E23" i="14"/>
  <c r="J32" i="16"/>
  <c r="A27" i="11"/>
  <c r="A66" i="11"/>
  <c r="A92" i="11"/>
  <c r="A140" i="14"/>
  <c r="A243" i="14"/>
  <c r="A191" i="14"/>
  <c r="A217" i="14"/>
  <c r="A90" i="14"/>
  <c r="A115" i="14"/>
  <c r="A26" i="14"/>
  <c r="A65" i="14"/>
  <c r="A165" i="14"/>
  <c r="I23" i="14"/>
  <c r="I29" i="14" s="1"/>
  <c r="H23" i="14"/>
  <c r="H29" i="14" s="1"/>
  <c r="G23" i="14"/>
  <c r="D242" i="14"/>
  <c r="C242" i="14"/>
  <c r="F242" i="14"/>
  <c r="G242" i="14"/>
  <c r="H242" i="14"/>
  <c r="I242" i="14"/>
  <c r="B242" i="14"/>
  <c r="J242" i="14"/>
  <c r="E242" i="14"/>
  <c r="K242" i="14"/>
  <c r="F23" i="14"/>
  <c r="B28" i="2"/>
  <c r="E144" i="17"/>
  <c r="B151" i="16"/>
  <c r="D144" i="17"/>
  <c r="D24" i="17" s="1"/>
  <c r="C151" i="16"/>
  <c r="C28" i="16" s="1"/>
  <c r="H151" i="16"/>
  <c r="H28" i="16" s="1"/>
  <c r="K144" i="17"/>
  <c r="K24" i="17" s="1"/>
  <c r="C144" i="17"/>
  <c r="C24" i="17" s="1"/>
  <c r="F151" i="16"/>
  <c r="F28" i="16" s="1"/>
  <c r="J144" i="17"/>
  <c r="J24" i="17" s="1"/>
  <c r="B144" i="17"/>
  <c r="B24" i="17" s="1"/>
  <c r="J151" i="16"/>
  <c r="J28" i="16" s="1"/>
  <c r="I144" i="17"/>
  <c r="I24" i="17" s="1"/>
  <c r="E151" i="16"/>
  <c r="E28" i="16" s="1"/>
  <c r="H144" i="17"/>
  <c r="H24" i="17" s="1"/>
  <c r="G151" i="16"/>
  <c r="G28" i="16" s="1"/>
  <c r="G144" i="17"/>
  <c r="G24" i="17" s="1"/>
  <c r="I151" i="16"/>
  <c r="I28" i="16" s="1"/>
  <c r="F144" i="17"/>
  <c r="F24" i="17" s="1"/>
  <c r="D151" i="16"/>
  <c r="D28" i="16" s="1"/>
  <c r="D68" i="17"/>
  <c r="C68" i="17"/>
  <c r="B68" i="17"/>
  <c r="E68" i="17"/>
  <c r="F68" i="17"/>
  <c r="G68" i="17"/>
  <c r="H68" i="17"/>
  <c r="I68" i="17"/>
  <c r="J68" i="17"/>
  <c r="K68" i="17"/>
  <c r="C22" i="2"/>
  <c r="C93" i="17"/>
  <c r="D93" i="17"/>
  <c r="B93" i="17"/>
  <c r="E93" i="17"/>
  <c r="F93" i="17"/>
  <c r="G93" i="17"/>
  <c r="H93" i="17"/>
  <c r="I93" i="17"/>
  <c r="J93" i="17"/>
  <c r="K93" i="17"/>
  <c r="K22" i="2"/>
  <c r="D22" i="2"/>
  <c r="F66" i="2"/>
  <c r="C66" i="2"/>
  <c r="E66" i="2"/>
  <c r="B66" i="2"/>
  <c r="D66" i="2"/>
  <c r="G66" i="2"/>
  <c r="H66" i="2"/>
  <c r="I66" i="2"/>
  <c r="J66" i="2"/>
  <c r="K66" i="2"/>
  <c r="J22" i="2"/>
  <c r="B22" i="2"/>
  <c r="B28" i="16"/>
  <c r="C155" i="16" s="1"/>
  <c r="B117" i="2"/>
  <c r="C117" i="2"/>
  <c r="D117" i="2"/>
  <c r="E117" i="2"/>
  <c r="B143" i="2"/>
  <c r="C143" i="2"/>
  <c r="D143" i="2"/>
  <c r="C91" i="2"/>
  <c r="B91" i="2"/>
  <c r="D91" i="2"/>
  <c r="F91" i="2"/>
  <c r="E91" i="2"/>
  <c r="E143" i="2"/>
  <c r="F143" i="2"/>
  <c r="F117" i="2"/>
  <c r="G91" i="2"/>
  <c r="G143" i="2"/>
  <c r="G117" i="2"/>
  <c r="H117" i="2"/>
  <c r="H143" i="2"/>
  <c r="H91" i="2"/>
  <c r="I143" i="2"/>
  <c r="I91" i="2"/>
  <c r="I117" i="2"/>
  <c r="J143" i="2"/>
  <c r="J117" i="2"/>
  <c r="J91" i="2"/>
  <c r="K91" i="2"/>
  <c r="K143" i="2"/>
  <c r="K117" i="2"/>
  <c r="I22" i="2"/>
  <c r="K44" i="19"/>
  <c r="K134" i="19"/>
  <c r="K63" i="19"/>
  <c r="K186" i="19"/>
  <c r="K106" i="19"/>
  <c r="K148" i="19"/>
  <c r="K122" i="19"/>
  <c r="K125" i="19"/>
  <c r="K175" i="19"/>
  <c r="K118" i="19"/>
  <c r="K17" i="19"/>
  <c r="K170" i="19"/>
  <c r="K68" i="19"/>
  <c r="K173" i="19"/>
  <c r="K49" i="19"/>
  <c r="K136" i="19"/>
  <c r="K98" i="19"/>
  <c r="K45" i="19"/>
  <c r="K152" i="19"/>
  <c r="K183" i="19"/>
  <c r="K142" i="19"/>
  <c r="K97" i="19"/>
  <c r="K180" i="19"/>
  <c r="K179" i="19"/>
  <c r="K167" i="19"/>
  <c r="K189" i="19"/>
  <c r="K157" i="19"/>
  <c r="K185" i="19"/>
  <c r="K117" i="19"/>
  <c r="K119" i="19"/>
  <c r="K135" i="19"/>
  <c r="K54" i="19"/>
  <c r="K195" i="19"/>
  <c r="K154" i="19"/>
  <c r="K87" i="19"/>
  <c r="K86" i="19"/>
  <c r="K91" i="19"/>
  <c r="K18" i="19"/>
  <c r="K102" i="19"/>
  <c r="K123" i="19"/>
  <c r="K41" i="19"/>
  <c r="K151" i="19"/>
  <c r="K184" i="19"/>
  <c r="K194" i="19"/>
  <c r="K150" i="19"/>
  <c r="K192" i="19"/>
  <c r="K164" i="19"/>
  <c r="K141" i="19"/>
  <c r="K158" i="19"/>
  <c r="K193" i="19"/>
  <c r="K8" i="19"/>
  <c r="K133" i="19"/>
  <c r="K178" i="19"/>
  <c r="K153" i="19"/>
  <c r="K165" i="19"/>
  <c r="K105" i="19"/>
  <c r="K92" i="19"/>
  <c r="K169" i="19"/>
  <c r="K37" i="19"/>
  <c r="K107" i="19"/>
  <c r="K3" i="19"/>
  <c r="K190" i="19"/>
  <c r="K140" i="19"/>
  <c r="K124" i="19"/>
  <c r="K35" i="19"/>
  <c r="K80" i="19"/>
  <c r="K143" i="19"/>
  <c r="K187" i="19"/>
  <c r="K159" i="19"/>
  <c r="K111" i="19"/>
  <c r="K161" i="19"/>
  <c r="K145" i="19"/>
  <c r="K139" i="19"/>
  <c r="K72" i="19"/>
  <c r="K19" i="19"/>
  <c r="K131" i="19"/>
  <c r="K128" i="19"/>
  <c r="K77" i="19"/>
  <c r="K162" i="19"/>
  <c r="K129" i="19"/>
  <c r="K7" i="19"/>
  <c r="K101" i="19"/>
  <c r="K144" i="19"/>
  <c r="K182" i="19"/>
  <c r="K34" i="19"/>
  <c r="K160" i="19"/>
  <c r="K121" i="19"/>
  <c r="K85" i="19"/>
  <c r="K168" i="19"/>
  <c r="K147" i="19"/>
  <c r="K138" i="19"/>
  <c r="K132" i="19"/>
  <c r="K155" i="19"/>
  <c r="K120" i="19"/>
  <c r="K60" i="19"/>
  <c r="K127" i="19"/>
  <c r="K43" i="19"/>
  <c r="K126" i="19"/>
  <c r="K188" i="19"/>
  <c r="K146" i="19"/>
  <c r="K163" i="19"/>
  <c r="K130" i="19"/>
  <c r="K171" i="19"/>
  <c r="K191" i="19"/>
  <c r="K177" i="19"/>
  <c r="K51" i="19"/>
  <c r="K172" i="19"/>
  <c r="K36" i="19"/>
  <c r="K156" i="19"/>
  <c r="K95" i="19"/>
  <c r="K166" i="19"/>
  <c r="K137" i="19"/>
  <c r="K15" i="19"/>
  <c r="K181" i="19"/>
  <c r="K174" i="19"/>
  <c r="K55" i="19"/>
  <c r="K71" i="19"/>
  <c r="K149" i="19"/>
  <c r="K176" i="19"/>
  <c r="C119" i="17"/>
  <c r="D119" i="17"/>
  <c r="B119" i="17"/>
  <c r="E119" i="17"/>
  <c r="F119" i="17"/>
  <c r="G119" i="17"/>
  <c r="H119" i="17"/>
  <c r="I119" i="17"/>
  <c r="J119" i="17"/>
  <c r="K119" i="17"/>
  <c r="H22" i="2"/>
  <c r="E24" i="17"/>
  <c r="A67" i="2"/>
  <c r="A118" i="2"/>
  <c r="A25" i="2"/>
  <c r="A144" i="2"/>
  <c r="A92" i="2"/>
  <c r="G22" i="2"/>
  <c r="E22" i="2"/>
  <c r="A146" i="17"/>
  <c r="A120" i="17"/>
  <c r="A173" i="17"/>
  <c r="A27" i="17"/>
  <c r="A69" i="17"/>
  <c r="A94" i="17"/>
  <c r="F22" i="2"/>
  <c r="P2" i="19"/>
  <c r="D36" i="16"/>
  <c r="B32" i="2"/>
  <c r="I32" i="17"/>
  <c r="E33" i="17"/>
  <c r="B32" i="17"/>
  <c r="D172" i="17"/>
  <c r="J30" i="14"/>
  <c r="B33" i="17"/>
  <c r="J33" i="17"/>
  <c r="G31" i="14"/>
  <c r="F33" i="17"/>
  <c r="J31" i="14"/>
  <c r="I36" i="16"/>
  <c r="F32" i="17"/>
  <c r="E30" i="14"/>
  <c r="C33" i="17"/>
  <c r="B30" i="14"/>
  <c r="D32" i="17"/>
  <c r="D33" i="17"/>
  <c r="F172" i="17"/>
  <c r="B31" i="14"/>
  <c r="I31" i="14"/>
  <c r="D31" i="14"/>
  <c r="H33" i="17"/>
  <c r="H32" i="17"/>
  <c r="H172" i="17"/>
  <c r="C36" i="16"/>
  <c r="I30" i="14"/>
  <c r="F30" i="14"/>
  <c r="G33" i="17"/>
  <c r="I32" i="14"/>
  <c r="G32" i="17"/>
  <c r="J172" i="17"/>
  <c r="F31" i="14"/>
  <c r="I172" i="17"/>
  <c r="G172" i="17"/>
  <c r="H31" i="14"/>
  <c r="E32" i="17"/>
  <c r="I33" i="17"/>
  <c r="J32" i="17"/>
  <c r="H30" i="14"/>
  <c r="G30" i="14"/>
  <c r="B172" i="17"/>
  <c r="H36" i="16"/>
  <c r="C172" i="17"/>
  <c r="H32" i="14"/>
  <c r="C30" i="14"/>
  <c r="F36" i="16"/>
  <c r="E172" i="17"/>
  <c r="D40" i="16"/>
  <c r="D30" i="14"/>
  <c r="E31" i="14"/>
  <c r="C32" i="17"/>
  <c r="C31" i="14"/>
  <c r="K172" i="17"/>
  <c r="E36" i="16"/>
  <c r="G36" i="16"/>
  <c r="B36" i="14" l="1"/>
  <c r="E29" i="14"/>
  <c r="D29" i="14"/>
  <c r="C29" i="14"/>
  <c r="C191" i="14"/>
  <c r="B191" i="14"/>
  <c r="F191" i="14"/>
  <c r="G191" i="14"/>
  <c r="H191" i="14"/>
  <c r="I191" i="14"/>
  <c r="E191" i="14"/>
  <c r="J191" i="14"/>
  <c r="D191" i="14"/>
  <c r="K191" i="14"/>
  <c r="B24" i="14"/>
  <c r="F243" i="14"/>
  <c r="G243" i="14"/>
  <c r="H243" i="14"/>
  <c r="I243" i="14"/>
  <c r="C243" i="14"/>
  <c r="J243" i="14"/>
  <c r="B243" i="14"/>
  <c r="K243" i="14"/>
  <c r="E243" i="14"/>
  <c r="D243" i="14"/>
  <c r="J24" i="14"/>
  <c r="G140" i="14"/>
  <c r="H140" i="14"/>
  <c r="I140" i="14"/>
  <c r="E140" i="14"/>
  <c r="J140" i="14"/>
  <c r="D140" i="14"/>
  <c r="K140" i="14"/>
  <c r="C140" i="14"/>
  <c r="B140" i="14"/>
  <c r="F140" i="14"/>
  <c r="D24" i="14"/>
  <c r="D65" i="14"/>
  <c r="J65" i="14"/>
  <c r="C65" i="14"/>
  <c r="K65" i="14"/>
  <c r="E65" i="14"/>
  <c r="B65" i="14"/>
  <c r="F65" i="14"/>
  <c r="G65" i="14"/>
  <c r="H65" i="14"/>
  <c r="I65" i="14"/>
  <c r="I24" i="14"/>
  <c r="D41" i="16"/>
  <c r="B42" i="16"/>
  <c r="F29" i="14"/>
  <c r="A141" i="14"/>
  <c r="A218" i="14"/>
  <c r="A91" i="14"/>
  <c r="A116" i="14"/>
  <c r="A166" i="14"/>
  <c r="A66" i="14"/>
  <c r="A192" i="14"/>
  <c r="A244" i="14"/>
  <c r="H66" i="11"/>
  <c r="H26" i="11" s="1"/>
  <c r="B66" i="11"/>
  <c r="B26" i="11" s="1"/>
  <c r="K66" i="11"/>
  <c r="K26" i="11" s="1"/>
  <c r="E66" i="11"/>
  <c r="E26" i="11" s="1"/>
  <c r="K92" i="11"/>
  <c r="E92" i="11"/>
  <c r="I66" i="11"/>
  <c r="I26" i="11" s="1"/>
  <c r="D66" i="11"/>
  <c r="D26" i="11" s="1"/>
  <c r="J92" i="11"/>
  <c r="G66" i="11"/>
  <c r="G26" i="11" s="1"/>
  <c r="F66" i="11"/>
  <c r="F26" i="11" s="1"/>
  <c r="B92" i="11"/>
  <c r="I92" i="11"/>
  <c r="C92" i="11"/>
  <c r="F92" i="11"/>
  <c r="D92" i="11"/>
  <c r="C66" i="11"/>
  <c r="C26" i="11" s="1"/>
  <c r="J66" i="11"/>
  <c r="J26" i="11" s="1"/>
  <c r="H92" i="11"/>
  <c r="G92" i="11"/>
  <c r="F24" i="14"/>
  <c r="H24" i="14"/>
  <c r="G29" i="14"/>
  <c r="B35" i="14"/>
  <c r="B115" i="14"/>
  <c r="K115" i="14"/>
  <c r="D115" i="14"/>
  <c r="E115" i="14"/>
  <c r="F115" i="14"/>
  <c r="G115" i="14"/>
  <c r="H115" i="14"/>
  <c r="I115" i="14"/>
  <c r="C115" i="14"/>
  <c r="J115" i="14"/>
  <c r="A93" i="11"/>
  <c r="A67" i="11"/>
  <c r="E24" i="14"/>
  <c r="G24" i="14"/>
  <c r="J29" i="14"/>
  <c r="I90" i="14"/>
  <c r="D90" i="14"/>
  <c r="J90" i="14"/>
  <c r="B90" i="14"/>
  <c r="K90" i="14"/>
  <c r="E90" i="14"/>
  <c r="C90" i="14"/>
  <c r="F90" i="14"/>
  <c r="G90" i="14"/>
  <c r="H90" i="14"/>
  <c r="D42" i="16"/>
  <c r="C24" i="14"/>
  <c r="B29" i="14"/>
  <c r="B31" i="17"/>
  <c r="F31" i="17"/>
  <c r="I31" i="17"/>
  <c r="C31" i="17"/>
  <c r="D31" i="17"/>
  <c r="H31" i="17"/>
  <c r="E31" i="17"/>
  <c r="G31" i="17"/>
  <c r="J145" i="17"/>
  <c r="J25" i="17" s="1"/>
  <c r="E145" i="17"/>
  <c r="E25" i="17" s="1"/>
  <c r="K145" i="17"/>
  <c r="I145" i="17"/>
  <c r="I25" i="17" s="1"/>
  <c r="H145" i="17"/>
  <c r="H25" i="17" s="1"/>
  <c r="G145" i="17"/>
  <c r="G25" i="17" s="1"/>
  <c r="F145" i="17"/>
  <c r="F25" i="17" s="1"/>
  <c r="D145" i="17"/>
  <c r="D25" i="17" s="1"/>
  <c r="C145" i="17"/>
  <c r="C25" i="17" s="1"/>
  <c r="B145" i="17"/>
  <c r="B25" i="17" s="1"/>
  <c r="G23" i="2"/>
  <c r="A174" i="17"/>
  <c r="A147" i="17"/>
  <c r="A95" i="17"/>
  <c r="A70" i="17"/>
  <c r="A121" i="17"/>
  <c r="A28" i="17"/>
  <c r="B120" i="17"/>
  <c r="D120" i="17"/>
  <c r="C120" i="17"/>
  <c r="E120" i="17"/>
  <c r="F120" i="17"/>
  <c r="G120" i="17"/>
  <c r="H120" i="17"/>
  <c r="I120" i="17"/>
  <c r="J120" i="17"/>
  <c r="K120" i="17"/>
  <c r="D118" i="2"/>
  <c r="C118" i="2"/>
  <c r="B118" i="2"/>
  <c r="E118" i="2"/>
  <c r="E144" i="2"/>
  <c r="F92" i="2"/>
  <c r="C144" i="2"/>
  <c r="B144" i="2"/>
  <c r="B92" i="2"/>
  <c r="E92" i="2"/>
  <c r="F144" i="2"/>
  <c r="D144" i="2"/>
  <c r="C92" i="2"/>
  <c r="D92" i="2"/>
  <c r="F118" i="2"/>
  <c r="G144" i="2"/>
  <c r="G92" i="2"/>
  <c r="G118" i="2"/>
  <c r="H118" i="2"/>
  <c r="H144" i="2"/>
  <c r="H92" i="2"/>
  <c r="I144" i="2"/>
  <c r="I118" i="2"/>
  <c r="I92" i="2"/>
  <c r="J144" i="2"/>
  <c r="J118" i="2"/>
  <c r="J92" i="2"/>
  <c r="K144" i="2"/>
  <c r="K118" i="2"/>
  <c r="K92" i="2"/>
  <c r="D23" i="2"/>
  <c r="B39" i="17"/>
  <c r="B40" i="17"/>
  <c r="J31" i="17"/>
  <c r="B23" i="2"/>
  <c r="K25" i="17"/>
  <c r="E23" i="2"/>
  <c r="K23" i="2"/>
  <c r="C23" i="2"/>
  <c r="A68" i="2"/>
  <c r="A119" i="2"/>
  <c r="A93" i="2"/>
  <c r="A145" i="2"/>
  <c r="F67" i="2"/>
  <c r="C67" i="2"/>
  <c r="B67" i="2"/>
  <c r="E67" i="2"/>
  <c r="D67" i="2"/>
  <c r="G67" i="2"/>
  <c r="H67" i="2"/>
  <c r="I67" i="2"/>
  <c r="J67" i="2"/>
  <c r="K67" i="2"/>
  <c r="J23" i="2"/>
  <c r="F23" i="2"/>
  <c r="C94" i="17"/>
  <c r="B94" i="17"/>
  <c r="D94" i="17"/>
  <c r="E94" i="17"/>
  <c r="F94" i="17"/>
  <c r="G94" i="17"/>
  <c r="H94" i="17"/>
  <c r="I94" i="17"/>
  <c r="J94" i="17"/>
  <c r="K94" i="17"/>
  <c r="I23" i="2"/>
  <c r="C69" i="17"/>
  <c r="D69" i="17"/>
  <c r="B69" i="17"/>
  <c r="E69" i="17"/>
  <c r="F69" i="17"/>
  <c r="G69" i="17"/>
  <c r="H69" i="17"/>
  <c r="I69" i="17"/>
  <c r="J69" i="17"/>
  <c r="K69" i="17"/>
  <c r="H23" i="2"/>
  <c r="F35" i="17"/>
  <c r="E173" i="17"/>
  <c r="F32" i="14"/>
  <c r="H35" i="17"/>
  <c r="B173" i="17"/>
  <c r="J36" i="16"/>
  <c r="G173" i="17"/>
  <c r="E32" i="14"/>
  <c r="H173" i="17"/>
  <c r="C173" i="17"/>
  <c r="F173" i="17"/>
  <c r="B35" i="17"/>
  <c r="D35" i="17"/>
  <c r="B36" i="16"/>
  <c r="D35" i="14"/>
  <c r="G32" i="14"/>
  <c r="G35" i="17"/>
  <c r="K173" i="17"/>
  <c r="D39" i="17"/>
  <c r="E35" i="17"/>
  <c r="C32" i="14"/>
  <c r="D173" i="17"/>
  <c r="I173" i="17"/>
  <c r="D32" i="14"/>
  <c r="J173" i="17"/>
  <c r="I35" i="17"/>
  <c r="C35" i="17"/>
  <c r="G24" i="2" l="1"/>
  <c r="B24" i="2"/>
  <c r="E24" i="2"/>
  <c r="C24" i="2"/>
  <c r="H24" i="2"/>
  <c r="F24" i="2"/>
  <c r="D24" i="2"/>
  <c r="K24" i="2"/>
  <c r="J24" i="2"/>
  <c r="F40" i="16"/>
  <c r="F66" i="14"/>
  <c r="G66" i="14"/>
  <c r="H66" i="14"/>
  <c r="I66" i="14"/>
  <c r="B66" i="14"/>
  <c r="J66" i="14"/>
  <c r="D66" i="14"/>
  <c r="K66" i="14"/>
  <c r="E66" i="14"/>
  <c r="C66" i="14"/>
  <c r="F25" i="14"/>
  <c r="B25" i="14"/>
  <c r="D116" i="14"/>
  <c r="J116" i="14"/>
  <c r="E116" i="14"/>
  <c r="K116" i="14"/>
  <c r="B116" i="14"/>
  <c r="C116" i="14"/>
  <c r="F116" i="14"/>
  <c r="G116" i="14"/>
  <c r="H116" i="14"/>
  <c r="I116" i="14"/>
  <c r="E25" i="14"/>
  <c r="C91" i="14"/>
  <c r="F91" i="14"/>
  <c r="G91" i="14"/>
  <c r="H91" i="14"/>
  <c r="I91" i="14"/>
  <c r="B91" i="14"/>
  <c r="J91" i="14"/>
  <c r="D91" i="14"/>
  <c r="K91" i="14"/>
  <c r="E91" i="14"/>
  <c r="C25" i="14"/>
  <c r="B37" i="14"/>
  <c r="D37" i="14"/>
  <c r="D36" i="14"/>
  <c r="I141" i="14"/>
  <c r="C141" i="14"/>
  <c r="J141" i="14"/>
  <c r="B141" i="14"/>
  <c r="K141" i="14"/>
  <c r="D141" i="14"/>
  <c r="E141" i="14"/>
  <c r="F141" i="14"/>
  <c r="G141" i="14"/>
  <c r="H141" i="14"/>
  <c r="I25" i="14"/>
  <c r="J25" i="14"/>
  <c r="C244" i="14"/>
  <c r="J244" i="14"/>
  <c r="E244" i="14"/>
  <c r="K244" i="14"/>
  <c r="D244" i="14"/>
  <c r="B244" i="14"/>
  <c r="F244" i="14"/>
  <c r="G244" i="14"/>
  <c r="H244" i="14"/>
  <c r="I244" i="14"/>
  <c r="H25" i="14"/>
  <c r="D25" i="14"/>
  <c r="H67" i="11"/>
  <c r="H27" i="11" s="1"/>
  <c r="H30" i="11" s="1"/>
  <c r="D67" i="11"/>
  <c r="D27" i="11" s="1"/>
  <c r="E67" i="11"/>
  <c r="E27" i="11" s="1"/>
  <c r="B67" i="11"/>
  <c r="B27" i="11" s="1"/>
  <c r="C67" i="11"/>
  <c r="C27" i="11" s="1"/>
  <c r="C30" i="11" s="1"/>
  <c r="F67" i="11"/>
  <c r="F27" i="11" s="1"/>
  <c r="K67" i="11"/>
  <c r="K27" i="11" s="1"/>
  <c r="I67" i="11"/>
  <c r="I27" i="11" s="1"/>
  <c r="J67" i="11"/>
  <c r="J27" i="11" s="1"/>
  <c r="J30" i="11" s="1"/>
  <c r="G67" i="11"/>
  <c r="G27" i="11" s="1"/>
  <c r="G192" i="14"/>
  <c r="H192" i="14"/>
  <c r="I192" i="14"/>
  <c r="C192" i="14"/>
  <c r="J192" i="14"/>
  <c r="B192" i="14"/>
  <c r="K192" i="14"/>
  <c r="D192" i="14"/>
  <c r="E192" i="14"/>
  <c r="F192" i="14"/>
  <c r="G25" i="14"/>
  <c r="I24" i="2"/>
  <c r="D40" i="17"/>
  <c r="D41" i="17"/>
  <c r="F146" i="17"/>
  <c r="F26" i="17" s="1"/>
  <c r="E146" i="17"/>
  <c r="E26" i="17" s="1"/>
  <c r="D146" i="17"/>
  <c r="D26" i="17" s="1"/>
  <c r="K146" i="17"/>
  <c r="K26" i="17" s="1"/>
  <c r="C146" i="17"/>
  <c r="C26" i="17" s="1"/>
  <c r="J146" i="17"/>
  <c r="J26" i="17" s="1"/>
  <c r="B146" i="17"/>
  <c r="B26" i="17" s="1"/>
  <c r="I146" i="17"/>
  <c r="I26" i="17" s="1"/>
  <c r="H146" i="17"/>
  <c r="H26" i="17" s="1"/>
  <c r="G146" i="17"/>
  <c r="G26" i="17" s="1"/>
  <c r="C68" i="2"/>
  <c r="D68" i="2"/>
  <c r="F68" i="2"/>
  <c r="B68" i="2"/>
  <c r="E68" i="2"/>
  <c r="G68" i="2"/>
  <c r="H68" i="2"/>
  <c r="I68" i="2"/>
  <c r="J68" i="2"/>
  <c r="K68" i="2"/>
  <c r="B41" i="17"/>
  <c r="A96" i="17"/>
  <c r="A122" i="17"/>
  <c r="A148" i="17"/>
  <c r="A71" i="17"/>
  <c r="A175" i="17"/>
  <c r="B121" i="17"/>
  <c r="D121" i="17"/>
  <c r="C121" i="17"/>
  <c r="E121" i="17"/>
  <c r="F121" i="17"/>
  <c r="G121" i="17"/>
  <c r="H121" i="17"/>
  <c r="I121" i="17"/>
  <c r="J121" i="17"/>
  <c r="K121" i="17"/>
  <c r="C70" i="17"/>
  <c r="D70" i="17"/>
  <c r="B70" i="17"/>
  <c r="E70" i="17"/>
  <c r="F70" i="17"/>
  <c r="G70" i="17"/>
  <c r="H70" i="17"/>
  <c r="I70" i="17"/>
  <c r="J70" i="17"/>
  <c r="K70" i="17"/>
  <c r="B119" i="2"/>
  <c r="C119" i="2"/>
  <c r="D119" i="2"/>
  <c r="E119" i="2"/>
  <c r="D93" i="2"/>
  <c r="D25" i="2" s="1"/>
  <c r="E93" i="2"/>
  <c r="E25" i="2" s="1"/>
  <c r="B145" i="2"/>
  <c r="F93" i="2"/>
  <c r="F25" i="2" s="1"/>
  <c r="B93" i="2"/>
  <c r="B25" i="2" s="1"/>
  <c r="C145" i="2"/>
  <c r="F145" i="2"/>
  <c r="C93" i="2"/>
  <c r="C25" i="2" s="1"/>
  <c r="E145" i="2"/>
  <c r="D145" i="2"/>
  <c r="F119" i="2"/>
  <c r="G119" i="2"/>
  <c r="G145" i="2"/>
  <c r="G93" i="2"/>
  <c r="G25" i="2" s="1"/>
  <c r="H119" i="2"/>
  <c r="H145" i="2"/>
  <c r="H93" i="2"/>
  <c r="H25" i="2" s="1"/>
  <c r="I93" i="2"/>
  <c r="I25" i="2" s="1"/>
  <c r="I145" i="2"/>
  <c r="I119" i="2"/>
  <c r="J145" i="2"/>
  <c r="J93" i="2"/>
  <c r="J25" i="2" s="1"/>
  <c r="J119" i="2"/>
  <c r="K145" i="2"/>
  <c r="K119" i="2"/>
  <c r="K93" i="2"/>
  <c r="K25" i="2" s="1"/>
  <c r="B95" i="17"/>
  <c r="C95" i="17"/>
  <c r="D95" i="17"/>
  <c r="E95" i="17"/>
  <c r="F95" i="17"/>
  <c r="G95" i="17"/>
  <c r="H95" i="17"/>
  <c r="I95" i="17"/>
  <c r="J95" i="17"/>
  <c r="K95" i="17"/>
  <c r="B32" i="11"/>
  <c r="J29" i="2"/>
  <c r="I174" i="17"/>
  <c r="I29" i="2"/>
  <c r="G30" i="2"/>
  <c r="D32" i="11"/>
  <c r="K30" i="2"/>
  <c r="E29" i="2"/>
  <c r="C174" i="17"/>
  <c r="I30" i="2"/>
  <c r="F32" i="11"/>
  <c r="D174" i="17"/>
  <c r="B32" i="14"/>
  <c r="K32" i="11"/>
  <c r="J30" i="2"/>
  <c r="D31" i="11"/>
  <c r="J32" i="14"/>
  <c r="I31" i="11"/>
  <c r="H32" i="11"/>
  <c r="J33" i="11"/>
  <c r="C30" i="2"/>
  <c r="I32" i="11"/>
  <c r="G29" i="2"/>
  <c r="G32" i="11"/>
  <c r="F30" i="2"/>
  <c r="D29" i="2"/>
  <c r="C32" i="11"/>
  <c r="H33" i="11"/>
  <c r="J174" i="17"/>
  <c r="E30" i="2"/>
  <c r="G31" i="11"/>
  <c r="J35" i="17"/>
  <c r="K29" i="2"/>
  <c r="B174" i="17"/>
  <c r="F31" i="11"/>
  <c r="F29" i="2"/>
  <c r="E31" i="11"/>
  <c r="E174" i="17"/>
  <c r="H31" i="11"/>
  <c r="C29" i="2"/>
  <c r="E32" i="11"/>
  <c r="J32" i="11"/>
  <c r="B31" i="11"/>
  <c r="D30" i="2"/>
  <c r="J31" i="11"/>
  <c r="H29" i="2"/>
  <c r="K31" i="11"/>
  <c r="C33" i="11"/>
  <c r="H30" i="2"/>
  <c r="H174" i="17"/>
  <c r="G174" i="17"/>
  <c r="C31" i="11"/>
  <c r="F174" i="17"/>
  <c r="K174" i="17"/>
  <c r="B36" i="11" l="1"/>
  <c r="F35" i="14"/>
  <c r="D26" i="14"/>
  <c r="J26" i="14"/>
  <c r="B26" i="14"/>
  <c r="B30" i="11"/>
  <c r="I26" i="14"/>
  <c r="K30" i="11"/>
  <c r="H26" i="14"/>
  <c r="E30" i="11"/>
  <c r="D30" i="11"/>
  <c r="C26" i="14"/>
  <c r="G26" i="14"/>
  <c r="E26" i="14"/>
  <c r="F26" i="14"/>
  <c r="G30" i="11"/>
  <c r="I30" i="11"/>
  <c r="F30" i="11"/>
  <c r="C28" i="2"/>
  <c r="F28" i="2"/>
  <c r="J28" i="2"/>
  <c r="I28" i="2"/>
  <c r="G28" i="2"/>
  <c r="G32" i="2" s="1"/>
  <c r="E28" i="2"/>
  <c r="H28" i="2"/>
  <c r="D28" i="2"/>
  <c r="F39" i="17"/>
  <c r="K147" i="17"/>
  <c r="K27" i="17" s="1"/>
  <c r="C147" i="17"/>
  <c r="C27" i="17" s="1"/>
  <c r="J147" i="17"/>
  <c r="J27" i="17" s="1"/>
  <c r="B147" i="17"/>
  <c r="B27" i="17" s="1"/>
  <c r="I147" i="17"/>
  <c r="I27" i="17" s="1"/>
  <c r="H147" i="17"/>
  <c r="H27" i="17" s="1"/>
  <c r="G147" i="17"/>
  <c r="G27" i="17" s="1"/>
  <c r="F147" i="17"/>
  <c r="F27" i="17" s="1"/>
  <c r="E147" i="17"/>
  <c r="E27" i="17" s="1"/>
  <c r="D147" i="17"/>
  <c r="D27" i="17" s="1"/>
  <c r="B36" i="2"/>
  <c r="D4" i="13" s="1"/>
  <c r="K28" i="2"/>
  <c r="B37" i="2"/>
  <c r="E4" i="13" s="1"/>
  <c r="C122" i="17"/>
  <c r="B122" i="17"/>
  <c r="D122" i="17"/>
  <c r="E122" i="17"/>
  <c r="F122" i="17"/>
  <c r="G122" i="17"/>
  <c r="H122" i="17"/>
  <c r="I122" i="17"/>
  <c r="J122" i="17"/>
  <c r="K122" i="17"/>
  <c r="D96" i="17"/>
  <c r="C96" i="17"/>
  <c r="B96" i="17"/>
  <c r="E96" i="17"/>
  <c r="F96" i="17"/>
  <c r="G96" i="17"/>
  <c r="H96" i="17"/>
  <c r="I96" i="17"/>
  <c r="J96" i="17"/>
  <c r="K96" i="17"/>
  <c r="B71" i="17"/>
  <c r="D71" i="17"/>
  <c r="C71" i="17"/>
  <c r="E71" i="17"/>
  <c r="F71" i="17"/>
  <c r="G71" i="17"/>
  <c r="H71" i="17"/>
  <c r="I71" i="17"/>
  <c r="J71" i="17"/>
  <c r="K71" i="17"/>
  <c r="D36" i="11"/>
  <c r="D175" i="17"/>
  <c r="F175" i="17"/>
  <c r="I32" i="2"/>
  <c r="K175" i="17"/>
  <c r="F33" i="11"/>
  <c r="H175" i="17"/>
  <c r="E33" i="11"/>
  <c r="K32" i="2"/>
  <c r="I175" i="17"/>
  <c r="L175" i="17"/>
  <c r="E32" i="2"/>
  <c r="J32" i="2"/>
  <c r="D32" i="2"/>
  <c r="F32" i="2"/>
  <c r="G175" i="17"/>
  <c r="D36" i="2"/>
  <c r="D33" i="11"/>
  <c r="G33" i="11"/>
  <c r="I33" i="11"/>
  <c r="E175" i="17"/>
  <c r="H32" i="2"/>
  <c r="C32" i="2"/>
  <c r="J175" i="17"/>
  <c r="D38" i="2" l="1"/>
  <c r="I4" i="13" s="1"/>
  <c r="B28" i="17"/>
  <c r="B38" i="2"/>
  <c r="F4" i="13" s="1"/>
  <c r="D37" i="2"/>
  <c r="H4" i="13" s="1"/>
  <c r="D37" i="11"/>
  <c r="D38" i="11"/>
  <c r="B38" i="11"/>
  <c r="G4" i="13"/>
  <c r="F36" i="2"/>
  <c r="J4" i="13" s="1"/>
  <c r="D148" i="17"/>
  <c r="D28" i="17" s="1"/>
  <c r="K148" i="17"/>
  <c r="C148" i="17"/>
  <c r="C28" i="17" s="1"/>
  <c r="D152" i="17" s="1"/>
  <c r="J148" i="17"/>
  <c r="J28" i="17" s="1"/>
  <c r="I148" i="17"/>
  <c r="I28" i="17" s="1"/>
  <c r="H148" i="17"/>
  <c r="H28" i="17" s="1"/>
  <c r="G148" i="17"/>
  <c r="G28" i="17" s="1"/>
  <c r="F148" i="17"/>
  <c r="F28" i="17" s="1"/>
  <c r="E148" i="17"/>
  <c r="E28" i="17" s="1"/>
  <c r="K28" i="17"/>
  <c r="K33" i="11"/>
  <c r="B33" i="11"/>
  <c r="F36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</author>
  </authors>
  <commentList>
    <comment ref="E3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From end of first game in one day to start of latest game in the same day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 Benarroch</author>
  </authors>
  <commentList>
    <comment ref="AH2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Alberto Benarroch:</t>
        </r>
        <r>
          <rPr>
            <sz val="9"/>
            <color indexed="81"/>
            <rFont val="Tahoma"/>
            <family val="2"/>
          </rPr>
          <t xml:space="preserve">
Different from the TM rank, it does not jump on ties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</author>
  </authors>
  <commentList>
    <comment ref="E36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 xml:space="preserve">From end of first game in one day to start of latest game in the same day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</author>
  </authors>
  <commentList>
    <comment ref="E40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 xml:space="preserve">From end of first game in one day to start of latest game in the same day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</author>
  </authors>
  <commentList>
    <comment ref="J5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 xml:space="preserve">From end of first game in one day to start of latest game in the same day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</author>
  </authors>
  <commentList>
    <comment ref="E36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 xml:space="preserve">From end of first game in one day to start of latest game in the same day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Alberto</author>
  </authors>
  <commentList>
    <comment ref="E35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 xml:space="preserve">From end of first game in one day to start of latest game in the same day
</t>
        </r>
      </text>
    </comment>
  </commentList>
</comments>
</file>

<file path=xl/sharedStrings.xml><?xml version="1.0" encoding="utf-8"?>
<sst xmlns="http://schemas.openxmlformats.org/spreadsheetml/2006/main" count="10158" uniqueCount="825">
  <si>
    <t>Checks 1)</t>
  </si>
  <si>
    <t>Check_contraints</t>
  </si>
  <si>
    <t>Regular Games</t>
  </si>
  <si>
    <t>Final games</t>
  </si>
  <si>
    <t>&lt;find alternatives&gt;</t>
  </si>
  <si>
    <t>Total games</t>
  </si>
  <si>
    <t>sum of field conflicts (should be zero) -&gt;</t>
  </si>
  <si>
    <t>Team conflict check -&gt;</t>
  </si>
  <si>
    <t>Calculated Fields</t>
  </si>
  <si>
    <t>Event</t>
  </si>
  <si>
    <t>Round</t>
  </si>
  <si>
    <t>Series</t>
  </si>
  <si>
    <t>Game</t>
  </si>
  <si>
    <t>Date</t>
  </si>
  <si>
    <t>Time</t>
  </si>
  <si>
    <t>Location</t>
  </si>
  <si>
    <t>OT</t>
  </si>
  <si>
    <t>Status</t>
  </si>
  <si>
    <t>Reuse</t>
  </si>
  <si>
    <t>Resched</t>
  </si>
  <si>
    <t>Schedulled</t>
  </si>
  <si>
    <t>Date_and_time</t>
  </si>
  <si>
    <t>DT_field</t>
  </si>
  <si>
    <t>Category</t>
  </si>
  <si>
    <t>Sports</t>
  </si>
  <si>
    <t>DT_participant1</t>
  </si>
  <si>
    <t>DT_Participant2</t>
  </si>
  <si>
    <t>Field</t>
  </si>
  <si>
    <t>Sport</t>
  </si>
  <si>
    <t>Text</t>
  </si>
  <si>
    <t>Ch A Coed Mini Soccer</t>
  </si>
  <si>
    <t>Ch A Coed Basketball</t>
  </si>
  <si>
    <t>Ch A Coed Newcomb</t>
  </si>
  <si>
    <t>Ch A Coed Kickball</t>
  </si>
  <si>
    <t>Ch B Coed Mini Soccer</t>
  </si>
  <si>
    <t>Ch B Coed Basketball</t>
  </si>
  <si>
    <t>Ch B Coed Newcomb</t>
  </si>
  <si>
    <t>Ch B Coed Kickball</t>
  </si>
  <si>
    <t>Ch C Female Mini Soccer</t>
  </si>
  <si>
    <t>Ch C Female Basketball</t>
  </si>
  <si>
    <t>JCC Baskettball out 2</t>
  </si>
  <si>
    <t>Ch C Female Dodgeball</t>
  </si>
  <si>
    <t>Ch C Female Kickball</t>
  </si>
  <si>
    <t>Ch C Male Mini Soccer</t>
  </si>
  <si>
    <t>Ch C Male Basketball</t>
  </si>
  <si>
    <t>Ch C Male Dodgeball</t>
  </si>
  <si>
    <t>Ch C Male Flag Football</t>
  </si>
  <si>
    <t>Ch C Male Kickball</t>
  </si>
  <si>
    <t>Ch D Female Mini Soccer</t>
  </si>
  <si>
    <t>Ch D Female Basketball</t>
  </si>
  <si>
    <t>a</t>
  </si>
  <si>
    <t>Ch D Female Dodgeball</t>
  </si>
  <si>
    <t>Ch D Female Kickball</t>
  </si>
  <si>
    <t>Ch D Male Mini Soccer</t>
  </si>
  <si>
    <t>Ch D Male Basketball</t>
  </si>
  <si>
    <t>Ch D Male Flag Football</t>
  </si>
  <si>
    <t>Ch D Male Dodgeball</t>
  </si>
  <si>
    <t>Ch D Male Kickball</t>
  </si>
  <si>
    <t>Ch E Female Mini Soccer</t>
  </si>
  <si>
    <t>Ch E Female Basketball</t>
  </si>
  <si>
    <t>Ch E Female Dodgeball</t>
  </si>
  <si>
    <t>Ch E Female Volleyball</t>
  </si>
  <si>
    <t>Ch E Male Mini Soccer</t>
  </si>
  <si>
    <t>Ch E Male Basketball</t>
  </si>
  <si>
    <t>Ch E Male Dodgeball</t>
  </si>
  <si>
    <t>Ch E Male Flag Football</t>
  </si>
  <si>
    <t>Ch E Male Volleyball</t>
  </si>
  <si>
    <t>Junior Female Mini Soccer</t>
  </si>
  <si>
    <t>Junior Female Basketball</t>
  </si>
  <si>
    <t>Junior Female Flag Football</t>
  </si>
  <si>
    <t>Junior Female Volleyball</t>
  </si>
  <si>
    <t>Junior A Male Mini Soccer</t>
  </si>
  <si>
    <t>Junior A Male Basketball</t>
  </si>
  <si>
    <t>Junior A Male Flag Football</t>
  </si>
  <si>
    <t>Junior A Male Volleyball</t>
  </si>
  <si>
    <t>Junior B Male Mini Soccer</t>
  </si>
  <si>
    <t>Junior B Male Basketball</t>
  </si>
  <si>
    <t>Junior B Male Flag Football</t>
  </si>
  <si>
    <t>Junior B Male Volleyball</t>
  </si>
  <si>
    <t>Adult Female Kickball</t>
  </si>
  <si>
    <t>Adult Female Volleyball</t>
  </si>
  <si>
    <t>Adult Male Mini Soccer</t>
  </si>
  <si>
    <t>AD M  - ARG  1</t>
  </si>
  <si>
    <t>AD M  - ARG  2</t>
  </si>
  <si>
    <t>AD M  - COL  1</t>
  </si>
  <si>
    <t>Adult Male Basketball</t>
  </si>
  <si>
    <t>Adult Male Volleyball</t>
  </si>
  <si>
    <t>Colllege Volleyball</t>
  </si>
  <si>
    <t>Ch B Coed Mini Soccer Final</t>
  </si>
  <si>
    <t>Ch B Coed Basketball Final</t>
  </si>
  <si>
    <t>Ch B Coed Newcomb Final</t>
  </si>
  <si>
    <t>Ch B Coed Kickball Final</t>
  </si>
  <si>
    <t>Ch C Female Mini Soccer Final</t>
  </si>
  <si>
    <t>Ch C Female Basketball Final</t>
  </si>
  <si>
    <t>Ch C Female Kickball Final</t>
  </si>
  <si>
    <t>Ch C Male Mini Soccer Final</t>
  </si>
  <si>
    <t>Ch C Male Basketball Final</t>
  </si>
  <si>
    <t>Ch C Male Dodgeball Final</t>
  </si>
  <si>
    <t>Ch C Male Flag Football Final</t>
  </si>
  <si>
    <t>Ch C Male Kickball Final</t>
  </si>
  <si>
    <t>Ch D Female Mini Soccer Final</t>
  </si>
  <si>
    <t>Ch D Female BasketballFinal</t>
  </si>
  <si>
    <t>Ch D Female Dodgeball Final</t>
  </si>
  <si>
    <t>Ch D Female Kickball Final</t>
  </si>
  <si>
    <t>Ch D Male Mini Soccer Final</t>
  </si>
  <si>
    <t>Ch D Male Basketball Final</t>
  </si>
  <si>
    <t>Ch D Male Flag Football Final</t>
  </si>
  <si>
    <t>Ch D Male Kickball Final</t>
  </si>
  <si>
    <t>Ch E Female Mini Soccer Final</t>
  </si>
  <si>
    <t>Ch E Female Basketball Final</t>
  </si>
  <si>
    <t>Ch E Female Dodgeball Final</t>
  </si>
  <si>
    <t>Ch E Female Volleyball Final</t>
  </si>
  <si>
    <t>Ch E Male Mini Soccer Final</t>
  </si>
  <si>
    <t>Ch E Male Basketball Final</t>
  </si>
  <si>
    <t>Ch E Male Dodgeball Final</t>
  </si>
  <si>
    <t>Ch E Male Volleyball Final</t>
  </si>
  <si>
    <t>Junior Female Mini Soccer Final</t>
  </si>
  <si>
    <t>Junior Female Basketball Final</t>
  </si>
  <si>
    <t>Junior Female Flag Football Final</t>
  </si>
  <si>
    <t>Junior Female Volleyball Final</t>
  </si>
  <si>
    <t>Junior A Male Mini Soccer Final</t>
  </si>
  <si>
    <t>Junior A Male Basketball Final</t>
  </si>
  <si>
    <t>Junior A Male Flag Football Final</t>
  </si>
  <si>
    <t>Junior A Male Volleyball Final</t>
  </si>
  <si>
    <t>Junior B Male Mini Soccer Final</t>
  </si>
  <si>
    <t>Junior B Male Basketball Final</t>
  </si>
  <si>
    <t>Junior B Male Flag Football Final</t>
  </si>
  <si>
    <t>Junior B Male Volleyball Final</t>
  </si>
  <si>
    <t>Adult Female Kickball Final</t>
  </si>
  <si>
    <t>Adult Female Volleyball Final</t>
  </si>
  <si>
    <t>Adult Male Mini Soccer Final</t>
  </si>
  <si>
    <t>Adult Male Basketball Final</t>
  </si>
  <si>
    <t>Adult Male Volleyball Final</t>
  </si>
  <si>
    <t>Veteran Male Mini Soccer Final</t>
  </si>
  <si>
    <t>Veteran Male Volleyball Final</t>
  </si>
  <si>
    <t>College Baskteball Final</t>
  </si>
  <si>
    <t>Colllege Volleyball Final</t>
  </si>
  <si>
    <t>College Female Mini Soccer</t>
  </si>
  <si>
    <t>College Female Basketball</t>
  </si>
  <si>
    <t>College Female Flag Football</t>
  </si>
  <si>
    <t>College Female Volleyball</t>
  </si>
  <si>
    <t>College Female Mini Soccer Final</t>
  </si>
  <si>
    <t>College Female Basketball Final</t>
  </si>
  <si>
    <t>College Female Flag Football Final</t>
  </si>
  <si>
    <t>College Female Volleyball Final</t>
  </si>
  <si>
    <t>Ch E Female Kickball</t>
  </si>
  <si>
    <t>Ch E Female Kickball Final</t>
  </si>
  <si>
    <t>All Star Game Adult Female</t>
  </si>
  <si>
    <t>CLOSING</t>
  </si>
  <si>
    <t>All Star Game Adult Male</t>
  </si>
  <si>
    <t>All Star Game Ch A</t>
  </si>
  <si>
    <t>All Star Game Ch B</t>
  </si>
  <si>
    <t>All Star Game Ch CF</t>
  </si>
  <si>
    <t>All Star Game Ch CM</t>
  </si>
  <si>
    <t>All Star Game Ch DF</t>
  </si>
  <si>
    <t>CHILD DF - ARG  2</t>
  </si>
  <si>
    <t>All Star Game Ch DM</t>
  </si>
  <si>
    <t>All Star Game Ch EF</t>
  </si>
  <si>
    <t>All Star Game Ch EM</t>
  </si>
  <si>
    <t>All Star Game JR A M</t>
  </si>
  <si>
    <t>All Star Game JR B M</t>
  </si>
  <si>
    <t>All Star Game JR F</t>
  </si>
  <si>
    <t>All Star Game VETERAN</t>
  </si>
  <si>
    <t>Soccer</t>
  </si>
  <si>
    <t>Basketball</t>
  </si>
  <si>
    <t>Soccer / Kickball</t>
  </si>
  <si>
    <t>Flag Football</t>
  </si>
  <si>
    <t>Volleyball</t>
  </si>
  <si>
    <t>Kickball</t>
  </si>
  <si>
    <t>Newcomb</t>
  </si>
  <si>
    <t>leyend</t>
  </si>
  <si>
    <t>XXXXXX</t>
  </si>
  <si>
    <t>ADULT M</t>
  </si>
  <si>
    <t>XXXXXXX</t>
  </si>
  <si>
    <t>VET M</t>
  </si>
  <si>
    <t>COLLG M</t>
  </si>
  <si>
    <t>ADULT F</t>
  </si>
  <si>
    <t xml:space="preserve">JUN AM </t>
  </si>
  <si>
    <t>JUN BM</t>
  </si>
  <si>
    <t>JUN F</t>
  </si>
  <si>
    <t>CH A</t>
  </si>
  <si>
    <t>CH B</t>
  </si>
  <si>
    <t>CH C</t>
  </si>
  <si>
    <t xml:space="preserve">CH CF </t>
  </si>
  <si>
    <t>XXXXX</t>
  </si>
  <si>
    <t>CHDM</t>
  </si>
  <si>
    <t>CHDF</t>
  </si>
  <si>
    <t>CHEM</t>
  </si>
  <si>
    <t>CHEF</t>
  </si>
  <si>
    <t>CHILDREN A COED</t>
  </si>
  <si>
    <t>CHILDREN B COED</t>
  </si>
  <si>
    <t>CHILDREN C FEMALE</t>
  </si>
  <si>
    <t>CHILDREN C MALE</t>
  </si>
  <si>
    <t>CHILDREN D FEMALE</t>
  </si>
  <si>
    <t>CHILDREN D MALE</t>
  </si>
  <si>
    <t>CHILDREN E FEMALE</t>
  </si>
  <si>
    <t>CHILDREN E MALE</t>
  </si>
  <si>
    <t>JUNIORS FEMALE</t>
  </si>
  <si>
    <t>JUNIORS A MALE</t>
  </si>
  <si>
    <t>JUNIORS B MALE</t>
  </si>
  <si>
    <t>ADULTS FEMALE</t>
  </si>
  <si>
    <t>ADULTS MALE</t>
  </si>
  <si>
    <t>VETERANS MALE</t>
  </si>
  <si>
    <t>COLLEGE</t>
  </si>
  <si>
    <t xml:space="preserve"> </t>
  </si>
  <si>
    <t>Start time</t>
  </si>
  <si>
    <t>End time</t>
  </si>
  <si>
    <t>Original Name</t>
  </si>
  <si>
    <t>Display name (on category sched)</t>
  </si>
  <si>
    <t>Category Check should be zero -&gt;</t>
  </si>
  <si>
    <t xml:space="preserve"> -&gt; activities with doublel slots will not apper</t>
  </si>
  <si>
    <t>Adults Female</t>
  </si>
  <si>
    <t>Scheck Family Gymnasium</t>
  </si>
  <si>
    <t>Adults Male</t>
  </si>
  <si>
    <t>Children A Coed</t>
  </si>
  <si>
    <t>Children B Coed</t>
  </si>
  <si>
    <t>Children C Female</t>
  </si>
  <si>
    <t>Children C Male</t>
  </si>
  <si>
    <t>Children D Female</t>
  </si>
  <si>
    <t>Children D Male</t>
  </si>
  <si>
    <t>Children E Female</t>
  </si>
  <si>
    <t>Children E Male</t>
  </si>
  <si>
    <t>Juniors A Male</t>
  </si>
  <si>
    <t>Juniors B Male</t>
  </si>
  <si>
    <t>Juniors Female</t>
  </si>
  <si>
    <t>Veterans Male</t>
  </si>
  <si>
    <t>Adult Male Tennis</t>
  </si>
  <si>
    <t>Tennis</t>
  </si>
  <si>
    <t>Tennis Courts</t>
  </si>
  <si>
    <t>Veteran Male Ping Pong</t>
  </si>
  <si>
    <t>Ping Pong</t>
  </si>
  <si>
    <t>Katz</t>
  </si>
  <si>
    <t>Adult Female Chess</t>
  </si>
  <si>
    <t>Chess Tournament</t>
  </si>
  <si>
    <t>Senior Lounge</t>
  </si>
  <si>
    <t>Adult Male Chess</t>
  </si>
  <si>
    <t xml:space="preserve">Ch A Coed Chess </t>
  </si>
  <si>
    <t>Ch B Coed Chess</t>
  </si>
  <si>
    <t>Ch C Female Chess</t>
  </si>
  <si>
    <t>Ch C Male Chess</t>
  </si>
  <si>
    <t>Ch D Female Chess</t>
  </si>
  <si>
    <t>Ch D Male Chess</t>
  </si>
  <si>
    <t>Ch E Female Chess</t>
  </si>
  <si>
    <t>Ch E Male Chess</t>
  </si>
  <si>
    <t>Junior A Male Chess</t>
  </si>
  <si>
    <t>Junior B Male Chess</t>
  </si>
  <si>
    <t>Junior Female Chess</t>
  </si>
  <si>
    <t>Veteran Male Chess</t>
  </si>
  <si>
    <t>Adult Male Ping Pong</t>
  </si>
  <si>
    <t>Adult Female Ping Pong</t>
  </si>
  <si>
    <t>Ch C Female Swimming</t>
  </si>
  <si>
    <t>Swimming</t>
  </si>
  <si>
    <t>Pool</t>
  </si>
  <si>
    <t>Ch C Male Swimming</t>
  </si>
  <si>
    <t>Ch D Female Swimming</t>
  </si>
  <si>
    <t>Ch D Male Swimming</t>
  </si>
  <si>
    <t>Ch E Female Swimming</t>
  </si>
  <si>
    <t>Ch E Male Swimming</t>
  </si>
  <si>
    <t>Adult Female Swimming</t>
  </si>
  <si>
    <t>Adult Male Swimming</t>
  </si>
  <si>
    <t>Junior A Male Swimming</t>
  </si>
  <si>
    <t>Junior B Male Swimming</t>
  </si>
  <si>
    <t>Junior Female Swimming</t>
  </si>
  <si>
    <t>Veteran Male Swimming</t>
  </si>
  <si>
    <t>Adult Female Bowling</t>
  </si>
  <si>
    <t>Bowling</t>
  </si>
  <si>
    <t>Pines Arena</t>
  </si>
  <si>
    <t>Adult Male Bowling</t>
  </si>
  <si>
    <t>Veteran Male Bowling</t>
  </si>
  <si>
    <t>Adult Female Tennis</t>
  </si>
  <si>
    <t>Ch C Female Dance Competition</t>
    <phoneticPr fontId="0" type="noConversion"/>
  </si>
  <si>
    <t>Dance Competition</t>
  </si>
  <si>
    <t>Ch D Female Dance Competition</t>
    <phoneticPr fontId="0" type="noConversion"/>
  </si>
  <si>
    <t xml:space="preserve">Ch E Female Dance Competition </t>
    <phoneticPr fontId="0" type="noConversion"/>
  </si>
  <si>
    <t>Junior Female Dance Competition</t>
    <phoneticPr fontId="0" type="noConversion"/>
  </si>
  <si>
    <t>Veteran Male Tennis</t>
  </si>
  <si>
    <t>Adult Female Spinathon</t>
  </si>
  <si>
    <t>Spinathon</t>
  </si>
  <si>
    <t>Spinning room</t>
  </si>
  <si>
    <t>Adult Male Spinathon</t>
  </si>
  <si>
    <t>Veteran Male Spinathon</t>
  </si>
  <si>
    <t>Ch C Female Track and Field</t>
  </si>
  <si>
    <t>Track and Field</t>
  </si>
  <si>
    <t>Ch D Female Track and Field</t>
  </si>
  <si>
    <t>Ch C Male Track and Field</t>
  </si>
  <si>
    <t>Ch D Male Track and Field</t>
  </si>
  <si>
    <t>Ch E Female Track and Field</t>
  </si>
  <si>
    <t>Ch E Male Track and Field</t>
  </si>
  <si>
    <t>Domino</t>
  </si>
  <si>
    <t xml:space="preserve">Katz </t>
  </si>
  <si>
    <t>OFF the Wall field trip</t>
  </si>
  <si>
    <t>Ch C Female Tennis</t>
  </si>
  <si>
    <t>Ch C Male Tennis</t>
  </si>
  <si>
    <t>Ch A Coed Tennis</t>
    <phoneticPr fontId="0" type="noConversion"/>
  </si>
  <si>
    <t>Ch B Coed Tennis</t>
    <phoneticPr fontId="0" type="noConversion"/>
  </si>
  <si>
    <t>Junior A Male Tennis</t>
  </si>
  <si>
    <t>Junior B Male Tennis</t>
  </si>
  <si>
    <t>Ch E Female Tennis</t>
    <phoneticPr fontId="0" type="noConversion"/>
  </si>
  <si>
    <t>Ch E male Tennis</t>
  </si>
  <si>
    <t>Junior Female Tennis</t>
    <phoneticPr fontId="0" type="noConversion"/>
  </si>
  <si>
    <t>Ch D Male Tennis</t>
    <phoneticPr fontId="0" type="noConversion"/>
  </si>
  <si>
    <t>Ch D Female Tennis</t>
    <phoneticPr fontId="0" type="noConversion"/>
  </si>
  <si>
    <t>Category Check</t>
  </si>
  <si>
    <t>Display text</t>
  </si>
  <si>
    <t>Adjusted time</t>
  </si>
  <si>
    <t>Date and time</t>
  </si>
  <si>
    <t>Check-overlap</t>
  </si>
  <si>
    <t>Schedulle for:</t>
  </si>
  <si>
    <t xml:space="preserve"> &lt;-select</t>
  </si>
  <si>
    <t>Days</t>
  </si>
  <si>
    <t>Day 1 - Saturday</t>
  </si>
  <si>
    <t>Day 2 - Sunday</t>
  </si>
  <si>
    <t>Day 3 - Monday</t>
  </si>
  <si>
    <t>Day 4 - Tuesday</t>
  </si>
  <si>
    <t>Day 5 - Wednesdy</t>
  </si>
  <si>
    <t>Day 6 - Thursday</t>
  </si>
  <si>
    <t>Day 7 - Friday</t>
  </si>
  <si>
    <t>Day 8 - Saturday</t>
  </si>
  <si>
    <t>Day 9 - Sunday</t>
  </si>
  <si>
    <t>Day 9 - Monday</t>
  </si>
  <si>
    <t>Statistics by day</t>
  </si>
  <si>
    <t>Games played</t>
  </si>
  <si>
    <t>First game</t>
  </si>
  <si>
    <t>Last game</t>
  </si>
  <si>
    <t>Max rest between games</t>
  </si>
  <si>
    <t>Rest between games</t>
  </si>
  <si>
    <t>General stats schedulle quality</t>
  </si>
  <si>
    <t>Games</t>
  </si>
  <si>
    <t>Min games per day</t>
  </si>
  <si>
    <t>Avg. Rest between games</t>
  </si>
  <si>
    <t>Conflicts</t>
  </si>
  <si>
    <t>Avg. games per day</t>
  </si>
  <si>
    <t>Max wait between games</t>
  </si>
  <si>
    <t>(to be dev)</t>
  </si>
  <si>
    <t>Days played</t>
  </si>
  <si>
    <t>Max games per day</t>
  </si>
  <si>
    <t>Calculation support</t>
  </si>
  <si>
    <t>Minutes per slot</t>
  </si>
  <si>
    <t>Team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</si>
  <si>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</si>
  <si>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</si>
  <si>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</si>
  <si>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</si>
  <si>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</si>
  <si>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</si>
  <si>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</si>
  <si>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</si>
  <si>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</si>
  <si>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Finals/semi</t>
  </si>
  <si>
    <t>Schedule for:</t>
  </si>
  <si>
    <t>&lt;- Select</t>
  </si>
  <si>
    <t>Category:</t>
  </si>
  <si>
    <t>Team name:</t>
  </si>
  <si>
    <t>XXXIII ANNUAL MACCABI GAMES 2015</t>
  </si>
  <si>
    <t>Saturday</t>
  </si>
  <si>
    <t>Sunday</t>
  </si>
  <si>
    <t>Monday</t>
  </si>
  <si>
    <t>Tuesday</t>
  </si>
  <si>
    <t>Wednesday</t>
  </si>
  <si>
    <t>Thursday</t>
  </si>
  <si>
    <t>Friday</t>
  </si>
  <si>
    <t>General stats schedule quality</t>
  </si>
  <si>
    <t>Participants in Team 1</t>
  </si>
  <si>
    <t>Participants in team 2</t>
  </si>
  <si>
    <t>Finals and semi-finals</t>
  </si>
  <si>
    <t>Category events</t>
  </si>
  <si>
    <t>Closing Ceremony in JCC Back Field</t>
  </si>
  <si>
    <t>Opening Ceremony in the Scheck Family Gymnasium</t>
  </si>
  <si>
    <t>Games in Team 1</t>
  </si>
  <si>
    <t>Day 0</t>
  </si>
  <si>
    <t>Games in Team 2</t>
  </si>
  <si>
    <t>Extra Schedule by category (first find only)</t>
  </si>
  <si>
    <t>Extra Schedule by category (all events)</t>
  </si>
  <si>
    <t>Quality alerts</t>
  </si>
  <si>
    <t>Too Few games</t>
  </si>
  <si>
    <t>Too Many games</t>
  </si>
  <si>
    <t>Too Few days</t>
  </si>
  <si>
    <t>Too long wait between games</t>
  </si>
  <si>
    <t>AD M - ISR  1</t>
  </si>
  <si>
    <t>&lt;no team&gt;</t>
  </si>
  <si>
    <t>Day 1 - Thursday</t>
  </si>
  <si>
    <t>Day 2 - Saturday</t>
  </si>
  <si>
    <t>Day 3 - Sunday</t>
  </si>
  <si>
    <t>Day 4 - Monday</t>
  </si>
  <si>
    <t>Day 6 - Wednesday</t>
  </si>
  <si>
    <t>NA</t>
  </si>
  <si>
    <t>Min</t>
  </si>
  <si>
    <t>Spot finder</t>
  </si>
  <si>
    <t>Team  1:</t>
  </si>
  <si>
    <t>Location 1:</t>
  </si>
  <si>
    <t>Location 3:</t>
  </si>
  <si>
    <t>locations</t>
  </si>
  <si>
    <t>Team  2:</t>
  </si>
  <si>
    <t>Location 2:</t>
  </si>
  <si>
    <t>Location 4:</t>
  </si>
  <si>
    <t>Team 1 left</t>
  </si>
  <si>
    <t>Team 1 right</t>
  </si>
  <si>
    <t>team 2 left</t>
  </si>
  <si>
    <t>team 2 right</t>
  </si>
  <si>
    <t>Location 1</t>
  </si>
  <si>
    <t>location</t>
  </si>
  <si>
    <t>Location 2</t>
  </si>
  <si>
    <t>Location 3</t>
  </si>
  <si>
    <t>Location 4</t>
  </si>
  <si>
    <t>CHILDREN A COED - COLOMBIA 2</t>
  </si>
  <si>
    <t>COLOMBIA 2</t>
  </si>
  <si>
    <t>COL2</t>
  </si>
  <si>
    <t>Teams</t>
  </si>
  <si>
    <t>Country</t>
  </si>
  <si>
    <t>Country_short</t>
  </si>
  <si>
    <t>Full Name</t>
  </si>
  <si>
    <t>Countr_Short</t>
  </si>
  <si>
    <t>Time Slots</t>
  </si>
  <si>
    <t>Days with Games</t>
  </si>
  <si>
    <t>COLOMBIA 1</t>
  </si>
  <si>
    <t>Adults FEMALE</t>
  </si>
  <si>
    <t>ARGENTINA 1</t>
  </si>
  <si>
    <t>VENEZUELA 1</t>
  </si>
  <si>
    <t>VEN1</t>
  </si>
  <si>
    <t>MEXICO</t>
  </si>
  <si>
    <t>MEX</t>
  </si>
  <si>
    <t>PERU</t>
  </si>
  <si>
    <t>COL1</t>
  </si>
  <si>
    <t>Time Slots used</t>
  </si>
  <si>
    <t>USA 1</t>
  </si>
  <si>
    <t>VENEZUELA 2</t>
  </si>
  <si>
    <t>VEN2</t>
  </si>
  <si>
    <t>Dodgeball</t>
  </si>
  <si>
    <t>USA1</t>
  </si>
  <si>
    <t>ALL</t>
  </si>
  <si>
    <t>ARG1</t>
  </si>
  <si>
    <t>Adults MALE</t>
  </si>
  <si>
    <t>USA 2</t>
  </si>
  <si>
    <t>USA2</t>
  </si>
  <si>
    <t>ARGENTINA 2</t>
  </si>
  <si>
    <t>VENEZUELA 3</t>
  </si>
  <si>
    <t>VEN3</t>
  </si>
  <si>
    <t>ARGENTINA 3</t>
  </si>
  <si>
    <t>ARG2</t>
  </si>
  <si>
    <t>ISRAEL 1</t>
  </si>
  <si>
    <t>ISR1</t>
  </si>
  <si>
    <t>PER</t>
  </si>
  <si>
    <t>BIG 12</t>
  </si>
  <si>
    <t>BIG12</t>
  </si>
  <si>
    <t>BIG 10</t>
  </si>
  <si>
    <t>BIG10</t>
  </si>
  <si>
    <t>SEC</t>
  </si>
  <si>
    <t>BIG EAST</t>
  </si>
  <si>
    <t>BIGEAST</t>
  </si>
  <si>
    <t>COLLEGE FEMALE</t>
  </si>
  <si>
    <t>PACK 12</t>
  </si>
  <si>
    <t>PACK12</t>
  </si>
  <si>
    <t>Or Gadol</t>
  </si>
  <si>
    <t>ACC</t>
  </si>
  <si>
    <t>ARGENTINA</t>
  </si>
  <si>
    <t>ARG</t>
  </si>
  <si>
    <t>ISRAEL 2</t>
  </si>
  <si>
    <t>ISR2</t>
  </si>
  <si>
    <t>ARG3</t>
  </si>
  <si>
    <t>Time Slots used Text formated</t>
  </si>
  <si>
    <t>Junior Female  Mini Soccer</t>
  </si>
  <si>
    <t>Adult Female Mini Soccer</t>
  </si>
  <si>
    <t>Adult Female Basketball</t>
  </si>
  <si>
    <t>Adult Female Dodgeball</t>
  </si>
  <si>
    <t>Adult Male Dodgeball</t>
  </si>
  <si>
    <t>Adult Male Flag Football</t>
  </si>
  <si>
    <t>VETERANs MAlE</t>
  </si>
  <si>
    <t>COLLEGE GIRLS</t>
  </si>
  <si>
    <t>Ch A Coed Mini Soccer Final</t>
  </si>
  <si>
    <t>Ch A Coed Basketball Final</t>
  </si>
  <si>
    <t>Ch A Coed Newcomb Final</t>
  </si>
  <si>
    <t>Ch A Coed Kickball Final</t>
  </si>
  <si>
    <t>Ch B Coed Mini Soccer Semi/Final</t>
  </si>
  <si>
    <t>Ch B Coed Basketball Semi/Final</t>
  </si>
  <si>
    <t>Ch B Coed Newcomb Semi/Final</t>
  </si>
  <si>
    <t>Ch B Coed Kickball Semi/Final</t>
  </si>
  <si>
    <t>Ch C Female Soccer Semi/Final</t>
  </si>
  <si>
    <t>Ch C Female Basketball Semi/Final</t>
  </si>
  <si>
    <t>Ch C Female Dodgeball Semi/Final</t>
  </si>
  <si>
    <t>Ch C Female Kickball Semi/Final</t>
  </si>
  <si>
    <t>Ch C Male Kickball Semi/Final</t>
  </si>
  <si>
    <t>Ch D Female Basketball Final</t>
  </si>
  <si>
    <t>Ch D Male Mini Soccer Semi/Final</t>
  </si>
  <si>
    <t>Ch D Male Basketball Semi/Final</t>
  </si>
  <si>
    <t>Ch D Male Flag Football Semi/Final</t>
  </si>
  <si>
    <t>Ch D Male Dodgeball Semi/Final</t>
  </si>
  <si>
    <t>Ch D Male Kickball Semi/Final</t>
  </si>
  <si>
    <t>Ch E Male Flag Football FInal</t>
  </si>
  <si>
    <t>Junior Female  Mini Soccer Final</t>
  </si>
  <si>
    <t>Junior A Male Flag Football Semi/Final</t>
  </si>
  <si>
    <t>Junior A Male Volleyball Semi/Final</t>
  </si>
  <si>
    <t>Junior B Male Mini Soccer Semi Final/ Final</t>
  </si>
  <si>
    <t>Junior B Male Basketball Semi/Final</t>
  </si>
  <si>
    <t>Junior B Male Flag Football Semi/Final</t>
  </si>
  <si>
    <t>Junior B Male Volleyball Semi/Final</t>
  </si>
  <si>
    <t>Adult Male Flag Football Final</t>
  </si>
  <si>
    <t>Ch E Female Dodgeball Semi/Final</t>
  </si>
  <si>
    <t>Veterans Mini Soccer Final</t>
  </si>
  <si>
    <t>VETERANS MAlE</t>
  </si>
  <si>
    <t>CH E Female Flag Football Semi/Final</t>
  </si>
  <si>
    <t>Ch E Female Basketball Semi/Final</t>
  </si>
  <si>
    <t>Adult Male Mini Soccer Semi/Final</t>
  </si>
  <si>
    <t>Junior Female Dodgeball</t>
  </si>
  <si>
    <t>Junior A Male Dodgeball</t>
  </si>
  <si>
    <t>Junior B Male Dodgeball</t>
  </si>
  <si>
    <t>Adult Female Mini Soccer Final</t>
  </si>
  <si>
    <t>81 AD M - MEX</t>
  </si>
  <si>
    <t>81 AD M - PER</t>
  </si>
  <si>
    <t>81 AD M - USA 1</t>
  </si>
  <si>
    <t>81 AD M - USA 2</t>
  </si>
  <si>
    <t>81 AD M - VEN 1</t>
  </si>
  <si>
    <t>Fooled</t>
  </si>
  <si>
    <t>College Male Mini Soccer</t>
  </si>
  <si>
    <t>College Male Basketball</t>
  </si>
  <si>
    <t>College Male Flag Football</t>
  </si>
  <si>
    <t>College Male Volleyball</t>
  </si>
  <si>
    <t>Veterans Volleyball</t>
  </si>
  <si>
    <t>Veterans Mini Soccer</t>
  </si>
  <si>
    <t>Round - 1</t>
  </si>
  <si>
    <t>Ch C Female Volleyball Semi/Final</t>
  </si>
  <si>
    <t>Ch D Female Volleyball</t>
  </si>
  <si>
    <t>Ch C Female Volleyball Final</t>
  </si>
  <si>
    <t>Ch D Female Volleyball Final</t>
  </si>
  <si>
    <t>Ch C Female Newcomb</t>
  </si>
  <si>
    <t>Veterans Volleyball Final</t>
  </si>
  <si>
    <t>`</t>
  </si>
  <si>
    <t>AD F - COL 1</t>
  </si>
  <si>
    <t>AD F - ARG</t>
  </si>
  <si>
    <t>AD F - MEX</t>
  </si>
  <si>
    <t>AD F - PER</t>
  </si>
  <si>
    <t>AD F - USA 1</t>
  </si>
  <si>
    <t>AD F - VEN 1</t>
  </si>
  <si>
    <t>AD F - ALL</t>
  </si>
  <si>
    <t>AD M - ARG 1</t>
  </si>
  <si>
    <t>AD M - ARG 2</t>
  </si>
  <si>
    <t>AD M - ARG 3</t>
  </si>
  <si>
    <t>AD M - COL 1</t>
  </si>
  <si>
    <t>AD M - MEX</t>
  </si>
  <si>
    <t>AD M - PER</t>
  </si>
  <si>
    <t>AD M - USA 1</t>
  </si>
  <si>
    <t>AD M - USA 2</t>
  </si>
  <si>
    <t>AD M - ISR 1</t>
  </si>
  <si>
    <t>AD M - VEN 1</t>
  </si>
  <si>
    <t>AD M - ALL</t>
  </si>
  <si>
    <t>CHILD A - ARG 1</t>
  </si>
  <si>
    <t>CHILD A - COL 1</t>
  </si>
  <si>
    <t>CHILD A - COL 2</t>
  </si>
  <si>
    <t>CHILD A - MEX</t>
  </si>
  <si>
    <t>CHILD A - USA 1</t>
  </si>
  <si>
    <t>CHILD A - VEN 1</t>
  </si>
  <si>
    <t>CHILD A - VEN 2</t>
  </si>
  <si>
    <t>CHILD A - ALL</t>
  </si>
  <si>
    <t>CHILD B - ARG 1</t>
  </si>
  <si>
    <t>CHILD B - ARG 2</t>
  </si>
  <si>
    <t>CHILD B - COL 1</t>
  </si>
  <si>
    <t>CHILD B - COL 2</t>
  </si>
  <si>
    <t>CHILD B - ISR 1</t>
  </si>
  <si>
    <t>CHILD B - MEX</t>
  </si>
  <si>
    <t>CHILD B - USA 1</t>
  </si>
  <si>
    <t>CHILD B - USA 2</t>
  </si>
  <si>
    <t>CHILD B - VEN 1</t>
  </si>
  <si>
    <t>CHILD B - VEN 2</t>
  </si>
  <si>
    <t>CHILD B - VEN 3</t>
  </si>
  <si>
    <t>CHILD B - ALL</t>
  </si>
  <si>
    <t>CHILD CF - ARG 1</t>
  </si>
  <si>
    <t>CHILD CF - COL 1</t>
  </si>
  <si>
    <t>CHILD CF - MEX</t>
  </si>
  <si>
    <t>CHILD CF - USA 1</t>
  </si>
  <si>
    <t>CHILD CF - USA 2</t>
  </si>
  <si>
    <t>CHILD CF - VEN 1</t>
  </si>
  <si>
    <t>CHILD CF - VEN 2</t>
  </si>
  <si>
    <t>CHILD CF - ALL</t>
  </si>
  <si>
    <t>CHILD CM - ARG 1</t>
  </si>
  <si>
    <t>CHILD CM - ARG 2</t>
  </si>
  <si>
    <t>CHILD CM - COL 1</t>
  </si>
  <si>
    <t>CHILD CM - COL 2</t>
  </si>
  <si>
    <t>CHILD CM - ISR 1</t>
  </si>
  <si>
    <t>CHILD CM - MEX</t>
  </si>
  <si>
    <t>CHILD CM - USA 1</t>
  </si>
  <si>
    <t>CHILD CM - USA 2</t>
  </si>
  <si>
    <t>CHILD CM - VEN 1</t>
  </si>
  <si>
    <t>CHILD CM - VEN 2</t>
  </si>
  <si>
    <t>CHILD CM - ALL</t>
  </si>
  <si>
    <t>CHILD DF - ARG 1</t>
  </si>
  <si>
    <t>CHILD DF - ARG 2</t>
  </si>
  <si>
    <t>CHILD DF - COL 2</t>
  </si>
  <si>
    <t>CHILD DF - COL 1</t>
  </si>
  <si>
    <t>CHILD DF - USA 1</t>
  </si>
  <si>
    <t>CHILD DF - USA 2</t>
  </si>
  <si>
    <t>CHILD DF - VEN 1</t>
  </si>
  <si>
    <t>CHILD DF - VEN 2</t>
  </si>
  <si>
    <t>CHILD DF - ALL</t>
  </si>
  <si>
    <t>CHILD DM - ARG 1</t>
  </si>
  <si>
    <t>CHILD DM - COL 1</t>
  </si>
  <si>
    <t>CHILD DM - PER</t>
  </si>
  <si>
    <t>CHILD DM - USA 1</t>
  </si>
  <si>
    <t>CHILD DM - USA 2</t>
  </si>
  <si>
    <t>CHILD DM - VEN 1</t>
  </si>
  <si>
    <t>CHILD DM - ARG 2</t>
  </si>
  <si>
    <t>CHILD DM - COL 2</t>
  </si>
  <si>
    <t>CHILD DM - ISR 1</t>
  </si>
  <si>
    <t>CHILD DM - MEX</t>
  </si>
  <si>
    <t>CHILD DM - VEN 2</t>
  </si>
  <si>
    <t>CHILD DM - VEN 3</t>
  </si>
  <si>
    <t>CHILD DM - ALL</t>
  </si>
  <si>
    <t>CHILD EF - ARG 1</t>
  </si>
  <si>
    <t>CHILD EF - COL 1</t>
  </si>
  <si>
    <t>CHILD EF - ISR 1</t>
  </si>
  <si>
    <t>CHILD EF - MEX</t>
  </si>
  <si>
    <t>CHILD EF - USA 1</t>
  </si>
  <si>
    <t>CHILD EF - USA 2</t>
  </si>
  <si>
    <t>CHILD EF - COL 2</t>
  </si>
  <si>
    <t>CHILD EF - PER</t>
  </si>
  <si>
    <t>CHILD EF - VEN 1</t>
  </si>
  <si>
    <t>CHILD EF - VEN 2</t>
  </si>
  <si>
    <t>CHILD EF - ALL</t>
  </si>
  <si>
    <t>CHILD EM - ARG 1</t>
  </si>
  <si>
    <t>CHILD EM - ARG 2</t>
  </si>
  <si>
    <t>CHILD EM - COL 1</t>
  </si>
  <si>
    <t>CHILD EM - MEX</t>
  </si>
  <si>
    <t>CHILD EM - PER</t>
  </si>
  <si>
    <t>CHILD EM - USA 1</t>
  </si>
  <si>
    <t>CHILD EM - USA 2</t>
  </si>
  <si>
    <t>CHILD EM - ISR 1</t>
  </si>
  <si>
    <t>CHILD EM - VEN 1</t>
  </si>
  <si>
    <t>CHILD EM - VEN 2</t>
  </si>
  <si>
    <t>CHILD EM - ALL</t>
  </si>
  <si>
    <t>COL M - ACC</t>
  </si>
  <si>
    <t>COL M - BIG 10</t>
  </si>
  <si>
    <t>COL M - BIG 12</t>
  </si>
  <si>
    <t>COL M - BIG EAST</t>
  </si>
  <si>
    <t>COL M - PACK 12</t>
  </si>
  <si>
    <t>COL M - SEC</t>
  </si>
  <si>
    <t>COL F - BIG 10</t>
  </si>
  <si>
    <t>COL F - BIG 12</t>
  </si>
  <si>
    <t>COL F - BIG EAST</t>
  </si>
  <si>
    <t>COL F - ALL</t>
  </si>
  <si>
    <t>JR A M - ARG 1</t>
  </si>
  <si>
    <t>JR A M - ARG 2</t>
  </si>
  <si>
    <t>JR A M - COL 1</t>
  </si>
  <si>
    <t>JR A M - MEX</t>
  </si>
  <si>
    <t>JR A M - PER</t>
  </si>
  <si>
    <t>JR A M - USA 1</t>
  </si>
  <si>
    <t>JR A M - USA 2</t>
  </si>
  <si>
    <t>JR A M - ISR 1</t>
  </si>
  <si>
    <t>JR A M - VEN 1</t>
  </si>
  <si>
    <t>JR A M - VEN 2</t>
  </si>
  <si>
    <t>JR A M - ALL</t>
  </si>
  <si>
    <t>JR B M - ARG 1</t>
  </si>
  <si>
    <t>JR B M - ARG 2</t>
  </si>
  <si>
    <t>JR B M - COL 1</t>
  </si>
  <si>
    <t>JR B M - ISR 1</t>
  </si>
  <si>
    <t>JR B M - MEX</t>
  </si>
  <si>
    <t>JR B M - PER</t>
  </si>
  <si>
    <t>JR B M - USA 1</t>
  </si>
  <si>
    <t>JR B M - USA 2</t>
  </si>
  <si>
    <t>JR B M - VEN 1</t>
  </si>
  <si>
    <t>JR B M - VEN 2</t>
  </si>
  <si>
    <t>JR B M - ALL</t>
  </si>
  <si>
    <t>JR F - ARG 1</t>
  </si>
  <si>
    <t>JR F - COL 2</t>
  </si>
  <si>
    <t>JR F - ISR 1</t>
  </si>
  <si>
    <t>JR F - ISR 2</t>
  </si>
  <si>
    <t>JR F - MEX</t>
  </si>
  <si>
    <t>JR F - PER</t>
  </si>
  <si>
    <t>JR F - USA 1</t>
  </si>
  <si>
    <t>JR F - COL 1</t>
  </si>
  <si>
    <t>JR F - USA 2</t>
  </si>
  <si>
    <t>JR F - VEN 1</t>
  </si>
  <si>
    <t>JR F - VEN 2</t>
  </si>
  <si>
    <t>JR F - VEN 3</t>
  </si>
  <si>
    <t>JR F - ALL</t>
  </si>
  <si>
    <t>VET - ARG 1</t>
  </si>
  <si>
    <t>VET - ARG 2</t>
  </si>
  <si>
    <t>VET - COL 1</t>
  </si>
  <si>
    <t>VET - MEX</t>
  </si>
  <si>
    <t>VET - PER</t>
  </si>
  <si>
    <t>VET - USA 1</t>
  </si>
  <si>
    <t>VET - VEN 1</t>
  </si>
  <si>
    <t>VET - ALL</t>
  </si>
  <si>
    <t>CHILD A - VEN 1</t>
  </si>
  <si>
    <t>AD F - COL 1</t>
  </si>
  <si>
    <t>AD F - ARG1</t>
  </si>
  <si>
    <t>Sinai - Soccer</t>
  </si>
  <si>
    <t>Sinai - Basketball</t>
  </si>
  <si>
    <t>Sinai - Kickball</t>
  </si>
  <si>
    <t>Sinai - Newcomb</t>
  </si>
  <si>
    <t>Sinai - Soccer/Kickball</t>
  </si>
  <si>
    <t>JCC Basketball Out 1</t>
  </si>
  <si>
    <t>JCC Front Circle</t>
  </si>
  <si>
    <t>JCC Front Field 2</t>
  </si>
  <si>
    <t>JCC Front Field 1</t>
  </si>
  <si>
    <t>JCC Back Field 3</t>
  </si>
  <si>
    <t>JCC Back Field 2</t>
  </si>
  <si>
    <t>JCC Back Field 4</t>
  </si>
  <si>
    <t>JCC Back Field 1</t>
  </si>
  <si>
    <t>JCC Gym North</t>
  </si>
  <si>
    <t>JCC Gym South</t>
  </si>
  <si>
    <t>TENNIS COURT 6</t>
  </si>
  <si>
    <t>TENNIS COURT 5</t>
  </si>
  <si>
    <t>TENNIS COURT 8</t>
  </si>
  <si>
    <t>Hillel - Volleyball Out</t>
  </si>
  <si>
    <t>Hillel - Basketball Out</t>
  </si>
  <si>
    <t>Hillel - Field 1</t>
  </si>
  <si>
    <t>Hillel - Field 2</t>
  </si>
  <si>
    <t>Hillel - Field 3</t>
  </si>
  <si>
    <t>Hillel - Field 4</t>
  </si>
  <si>
    <t>Hillel - Gym Basketball</t>
  </si>
  <si>
    <t>Hillel - Gym Volleyball</t>
  </si>
  <si>
    <t>JCC Basketball Out 2</t>
  </si>
  <si>
    <t>MACCABI GAMES 2017</t>
  </si>
  <si>
    <t>Tournament</t>
  </si>
  <si>
    <t>MEXICO 1</t>
  </si>
  <si>
    <t>MEX1</t>
  </si>
  <si>
    <t>MEXICO 2</t>
  </si>
  <si>
    <t>MEX2</t>
  </si>
  <si>
    <t>CHILD EM - VEN 3</t>
  </si>
  <si>
    <t>CHILD EM - MEX 1</t>
  </si>
  <si>
    <t>CHILD EM - MEX 2</t>
  </si>
  <si>
    <t>JR A M - MEX 1</t>
  </si>
  <si>
    <t>JR A M - MEX 2</t>
  </si>
  <si>
    <t>VET - ISR 1</t>
  </si>
  <si>
    <t>Pool A</t>
  </si>
  <si>
    <t>Pool B</t>
  </si>
  <si>
    <t>CHILD DF - MEX</t>
  </si>
  <si>
    <t>CHILD DF - ISR</t>
  </si>
  <si>
    <t>ISRAEL</t>
  </si>
  <si>
    <t>ISR</t>
  </si>
  <si>
    <t>College Male Volleyball Final</t>
  </si>
  <si>
    <t>College Male Flag Football Final</t>
  </si>
  <si>
    <t>College Male Mini Soccer Final</t>
  </si>
  <si>
    <t>College Male Basketball Final</t>
  </si>
  <si>
    <t>Ch E Male Kickball</t>
  </si>
  <si>
    <t>Tournament&amp;Team</t>
  </si>
  <si>
    <t>Tournament&amp;Pool&amp;Team1</t>
  </si>
  <si>
    <t>Tournament&amp;Pool&amp;Team2</t>
  </si>
  <si>
    <t>Points</t>
  </si>
  <si>
    <t>H2H</t>
  </si>
  <si>
    <t>PD</t>
  </si>
  <si>
    <t>W-L-T</t>
  </si>
  <si>
    <t>Qualification</t>
  </si>
  <si>
    <t>W</t>
  </si>
  <si>
    <t>L</t>
  </si>
  <si>
    <t>T</t>
  </si>
  <si>
    <t>Team1Commas</t>
  </si>
  <si>
    <t>Team2Commas</t>
  </si>
  <si>
    <t>W1</t>
  </si>
  <si>
    <t>L1</t>
  </si>
  <si>
    <t>T1</t>
  </si>
  <si>
    <t>W2</t>
  </si>
  <si>
    <t>L2</t>
  </si>
  <si>
    <t>T2</t>
  </si>
  <si>
    <t>AND HERE AND DELIMIT</t>
  </si>
  <si>
    <t>PASTE UNIQUE ,,Tournament,Pool,1,Team HERE</t>
  </si>
  <si>
    <t>Score</t>
  </si>
  <si>
    <t>RANK</t>
  </si>
  <si>
    <t>Tournament Name</t>
  </si>
  <si>
    <t># Per Pool</t>
  </si>
  <si>
    <t>Rank on Points</t>
  </si>
  <si>
    <t>Key</t>
  </si>
  <si>
    <t>Ones</t>
  </si>
  <si>
    <t>HTH - Won or lost?</t>
  </si>
  <si>
    <t>Head to-head first competitor team</t>
  </si>
  <si>
    <t>Score original team</t>
  </si>
  <si>
    <t>Score competitor team</t>
  </si>
  <si>
    <t>Score Original team (in case order is reversed)</t>
  </si>
  <si>
    <t>Score Competitors team (in case order is reversed)</t>
  </si>
  <si>
    <t>Tied? # of teams with same score?</t>
  </si>
  <si>
    <t>NoGamesHereCode</t>
  </si>
  <si>
    <t>Final</t>
  </si>
  <si>
    <t>x</t>
  </si>
  <si>
    <t>Semi-Final</t>
  </si>
  <si>
    <t>Day Code</t>
  </si>
  <si>
    <t>Location Code</t>
  </si>
  <si>
    <t>NONE</t>
  </si>
  <si>
    <t>CHILD A - USA 2</t>
  </si>
  <si>
    <t>JR F - USA 3</t>
  </si>
  <si>
    <t>USA 3</t>
  </si>
  <si>
    <t>USA3</t>
  </si>
  <si>
    <t>Bommarito Strip on JCC Field</t>
  </si>
  <si>
    <t>Pizza Games &amp; Movie Night</t>
  </si>
  <si>
    <t xml:space="preserve">Off the wall </t>
  </si>
  <si>
    <t>TBA</t>
  </si>
  <si>
    <t>Water Polo Exhibition Game</t>
  </si>
  <si>
    <t>JCC Swimming Pool</t>
  </si>
  <si>
    <t>XXXVI ANNUAL Maccabi Games 2017</t>
  </si>
  <si>
    <t>Rank</t>
  </si>
  <si>
    <t>Rank Based Only on Points</t>
  </si>
  <si>
    <t>Added H2H Value</t>
  </si>
  <si>
    <t>Decimal Rank on H2H</t>
  </si>
  <si>
    <t>Final Rank on H2H</t>
  </si>
  <si>
    <t>Added PD Value</t>
  </si>
  <si>
    <t>Decimal Rank on PD</t>
  </si>
  <si>
    <t>Final Rank on PD</t>
  </si>
  <si>
    <t>G+</t>
  </si>
  <si>
    <t>Added G+ Value</t>
  </si>
  <si>
    <t>Decimal Rank on G+</t>
  </si>
  <si>
    <t>PD Intermediate</t>
  </si>
  <si>
    <t>Participant_1</t>
  </si>
  <si>
    <t>Participant_2</t>
  </si>
  <si>
    <t>Score_1</t>
  </si>
  <si>
    <t>Score_2</t>
  </si>
  <si>
    <t>Net_1</t>
  </si>
  <si>
    <t>Net_2</t>
  </si>
  <si>
    <t>Points_1</t>
  </si>
  <si>
    <t>Points_2</t>
  </si>
  <si>
    <t>Schedulled_no_team</t>
  </si>
  <si>
    <t>Field_confict</t>
  </si>
  <si>
    <t>Short_Team_1</t>
  </si>
  <si>
    <t>Short_Team_2</t>
  </si>
  <si>
    <t>Short_Match</t>
  </si>
  <si>
    <t>For_color_Chart</t>
  </si>
  <si>
    <t>Team_conflict1</t>
  </si>
  <si>
    <t>Team_conflic</t>
  </si>
  <si>
    <t>Field_and_time</t>
  </si>
  <si>
    <t>Team_1</t>
  </si>
  <si>
    <t>Team_2</t>
  </si>
  <si>
    <t>Final_or_Tournament_Search</t>
  </si>
  <si>
    <t>TBD</t>
  </si>
  <si>
    <t>Final for Silver</t>
  </si>
  <si>
    <t>AD M  - ISR</t>
  </si>
  <si>
    <t>CHILD B  - COL 2</t>
  </si>
  <si>
    <t>CHILD EM - TBD</t>
  </si>
  <si>
    <t>JR B M -PER</t>
  </si>
  <si>
    <t>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</si>
</sst>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* #,##0.0_);_(* \(#,##0.0\);_(* &quot;-&quot;??_);_(@_)"/>
    <numFmt numFmtId="165" formatCode="0.0"/>
    <numFmt numFmtId="166" formatCode="_(* #,##0_);_(* \(#,##0\);_(* &quot;-&quot;??_);_(@_)"/>
    <numFmt numFmtId="167" formatCode="dddd\ \ dd/mm/yyyy"/>
    <numFmt numFmtId="168" formatCode="0.0000000"/>
    <numFmt numFmtId="169" formatCode="0.0000000000000000000000"/>
    <numFmt numFmtId="170" formatCode="[$-F400]h:mm:ss\ AM/PM"/>
    <numFmt numFmtId="171" formatCode="[$-F800]dddd\,\ mmmm\ dd\,\ yyyy"/>
    <numFmt numFmtId="172" formatCode="[$-409]h:mm:ss\ AM/PM;@"/>
  </numFmts>
  <fonts count="9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theme="4" tint="-0.249977111117893"/>
      <name val="Calibri"/>
      <family val="2"/>
      <scheme val="minor"/>
    </font>
    <font>
      <b/>
      <sz val="12"/>
      <color theme="1"/>
      <name val="Arial"/>
      <family val="2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6"/>
      <color theme="0"/>
      <name val="Arial"/>
      <family val="2"/>
    </font>
    <font>
      <b/>
      <sz val="16"/>
      <name val="Arial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36"/>
      <color theme="0"/>
      <name val="Arial"/>
      <family val="2"/>
    </font>
    <font>
      <sz val="36"/>
      <color theme="1"/>
      <name val="Arial"/>
      <family val="2"/>
    </font>
    <font>
      <sz val="26"/>
      <color theme="1"/>
      <name val="Calibri"/>
      <family val="2"/>
      <scheme val="minor"/>
    </font>
    <font>
      <b/>
      <sz val="18"/>
      <name val="Times New Roman"/>
      <family val="1"/>
    </font>
    <font>
      <sz val="18"/>
      <name val="Arial"/>
      <family val="2"/>
    </font>
    <font>
      <b/>
      <sz val="18"/>
      <color theme="0"/>
      <name val="Times New Roman"/>
      <family val="1"/>
    </font>
    <font>
      <sz val="18"/>
      <color theme="0"/>
      <name val="Arial"/>
      <family val="2"/>
    </font>
    <font>
      <sz val="18"/>
      <color theme="0"/>
      <name val="Times New Roman"/>
      <family val="1"/>
    </font>
    <font>
      <sz val="18"/>
      <name val="Times New Roman"/>
      <family val="1"/>
    </font>
    <font>
      <b/>
      <sz val="18"/>
      <color theme="0"/>
      <name val="Arial"/>
      <family val="2"/>
    </font>
    <font>
      <sz val="14"/>
      <color theme="1"/>
      <name val="Times New Roman"/>
      <family val="1"/>
    </font>
    <font>
      <sz val="14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indexed="8"/>
      <name val="Arial"/>
      <family val="2"/>
    </font>
    <font>
      <sz val="11"/>
      <color theme="1"/>
      <name val="Calibri"/>
      <family val="2"/>
      <scheme val="minor"/>
    </font>
    <font>
      <sz val="14"/>
      <name val="Arial"/>
      <family val="2"/>
    </font>
    <font>
      <b/>
      <sz val="8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4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color indexed="9"/>
      <name val="Arial"/>
      <family val="2"/>
    </font>
    <font>
      <sz val="12"/>
      <color indexed="6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12"/>
      <name val="Arial"/>
      <family val="2"/>
    </font>
    <font>
      <sz val="12"/>
      <color indexed="12"/>
      <name val="Arial"/>
      <family val="2"/>
    </font>
    <font>
      <sz val="12"/>
      <color indexed="48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2"/>
      <color indexed="14"/>
      <name val="Arial"/>
      <family val="2"/>
    </font>
    <font>
      <b/>
      <sz val="12"/>
      <color indexed="11"/>
      <name val="Arial"/>
      <family val="2"/>
    </font>
    <font>
      <sz val="12"/>
      <color indexed="15"/>
      <name val="Arial"/>
      <family val="2"/>
    </font>
    <font>
      <sz val="11"/>
      <color theme="8"/>
      <name val="Calibri"/>
      <family val="2"/>
      <scheme val="minor"/>
    </font>
    <font>
      <sz val="9"/>
      <color indexed="81"/>
      <name val="Tahoma"/>
      <family val="2"/>
    </font>
    <font>
      <sz val="11"/>
      <color rgb="FFFFFF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name val="Calibri"/>
      <family val="2"/>
      <scheme val="minor"/>
    </font>
    <font>
      <sz val="10"/>
      <color rgb="FF242729"/>
      <name val="Consolas"/>
      <family val="3"/>
    </font>
    <font>
      <sz val="10"/>
      <color theme="1"/>
      <name val="Arial"/>
      <family val="2"/>
    </font>
    <font>
      <sz val="10"/>
      <color rgb="FF222222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ashed">
        <color indexed="64"/>
      </right>
      <top style="medium">
        <color indexed="64"/>
      </top>
      <bottom/>
      <diagonal/>
    </border>
    <border>
      <left style="dotted">
        <color indexed="64"/>
      </left>
      <right style="dash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170" fontId="0" fillId="0" borderId="0"/>
    <xf numFmtId="43" fontId="5" fillId="0" borderId="0" applyFont="0" applyFill="0" applyBorder="0" applyAlignment="0" applyProtection="0"/>
    <xf numFmtId="170" fontId="10" fillId="0" borderId="0"/>
    <xf numFmtId="170" fontId="5" fillId="0" borderId="0"/>
    <xf numFmtId="170" fontId="29" fillId="0" borderId="49" applyNumberFormat="0" applyFill="0" applyAlignment="0" applyProtection="0"/>
    <xf numFmtId="170" fontId="30" fillId="0" borderId="50" applyNumberFormat="0" applyFill="0" applyAlignment="0" applyProtection="0"/>
    <xf numFmtId="170" fontId="31" fillId="0" borderId="51" applyNumberFormat="0" applyFill="0" applyAlignment="0" applyProtection="0"/>
    <xf numFmtId="170" fontId="31" fillId="0" borderId="0" applyNumberFormat="0" applyFill="0" applyBorder="0" applyAlignment="0" applyProtection="0"/>
    <xf numFmtId="170" fontId="32" fillId="27" borderId="0" applyNumberFormat="0" applyBorder="0" applyAlignment="0" applyProtection="0"/>
    <xf numFmtId="170" fontId="33" fillId="28" borderId="0" applyNumberFormat="0" applyBorder="0" applyAlignment="0" applyProtection="0"/>
    <xf numFmtId="170" fontId="34" fillId="30" borderId="52" applyNumberFormat="0" applyAlignment="0" applyProtection="0"/>
    <xf numFmtId="170" fontId="35" fillId="31" borderId="53" applyNumberFormat="0" applyAlignment="0" applyProtection="0"/>
    <xf numFmtId="170" fontId="36" fillId="31" borderId="52" applyNumberFormat="0" applyAlignment="0" applyProtection="0"/>
    <xf numFmtId="170" fontId="37" fillId="0" borderId="54" applyNumberFormat="0" applyFill="0" applyAlignment="0" applyProtection="0"/>
    <xf numFmtId="170" fontId="38" fillId="32" borderId="55" applyNumberFormat="0" applyAlignment="0" applyProtection="0"/>
    <xf numFmtId="170" fontId="28" fillId="0" borderId="0" applyNumberFormat="0" applyFill="0" applyBorder="0" applyAlignment="0" applyProtection="0"/>
    <xf numFmtId="170" fontId="5" fillId="33" borderId="56" applyNumberFormat="0" applyFont="0" applyAlignment="0" applyProtection="0"/>
    <xf numFmtId="170" fontId="39" fillId="0" borderId="0" applyNumberFormat="0" applyFill="0" applyBorder="0" applyAlignment="0" applyProtection="0"/>
    <xf numFmtId="170" fontId="1" fillId="0" borderId="57" applyNumberFormat="0" applyFill="0" applyAlignment="0" applyProtection="0"/>
    <xf numFmtId="170" fontId="2" fillId="34" borderId="0" applyNumberFormat="0" applyBorder="0" applyAlignment="0" applyProtection="0"/>
    <xf numFmtId="170" fontId="5" fillId="35" borderId="0" applyNumberFormat="0" applyBorder="0" applyAlignment="0" applyProtection="0"/>
    <xf numFmtId="170" fontId="5" fillId="36" borderId="0" applyNumberFormat="0" applyBorder="0" applyAlignment="0" applyProtection="0"/>
    <xf numFmtId="170" fontId="2" fillId="38" borderId="0" applyNumberFormat="0" applyBorder="0" applyAlignment="0" applyProtection="0"/>
    <xf numFmtId="170" fontId="5" fillId="39" borderId="0" applyNumberFormat="0" applyBorder="0" applyAlignment="0" applyProtection="0"/>
    <xf numFmtId="170" fontId="5" fillId="40" borderId="0" applyNumberFormat="0" applyBorder="0" applyAlignment="0" applyProtection="0"/>
    <xf numFmtId="170" fontId="2" fillId="42" borderId="0" applyNumberFormat="0" applyBorder="0" applyAlignment="0" applyProtection="0"/>
    <xf numFmtId="170" fontId="5" fillId="43" borderId="0" applyNumberFormat="0" applyBorder="0" applyAlignment="0" applyProtection="0"/>
    <xf numFmtId="170" fontId="5" fillId="44" borderId="0" applyNumberFormat="0" applyBorder="0" applyAlignment="0" applyProtection="0"/>
    <xf numFmtId="170" fontId="2" fillId="46" borderId="0" applyNumberFormat="0" applyBorder="0" applyAlignment="0" applyProtection="0"/>
    <xf numFmtId="170" fontId="5" fillId="47" borderId="0" applyNumberFormat="0" applyBorder="0" applyAlignment="0" applyProtection="0"/>
    <xf numFmtId="170" fontId="5" fillId="48" borderId="0" applyNumberFormat="0" applyBorder="0" applyAlignment="0" applyProtection="0"/>
    <xf numFmtId="170" fontId="2" fillId="50" borderId="0" applyNumberFormat="0" applyBorder="0" applyAlignment="0" applyProtection="0"/>
    <xf numFmtId="170" fontId="5" fillId="51" borderId="0" applyNumberFormat="0" applyBorder="0" applyAlignment="0" applyProtection="0"/>
    <xf numFmtId="170" fontId="5" fillId="52" borderId="0" applyNumberFormat="0" applyBorder="0" applyAlignment="0" applyProtection="0"/>
    <xf numFmtId="170" fontId="2" fillId="54" borderId="0" applyNumberFormat="0" applyBorder="0" applyAlignment="0" applyProtection="0"/>
    <xf numFmtId="170" fontId="5" fillId="55" borderId="0" applyNumberFormat="0" applyBorder="0" applyAlignment="0" applyProtection="0"/>
    <xf numFmtId="170" fontId="5" fillId="56" borderId="0" applyNumberFormat="0" applyBorder="0" applyAlignment="0" applyProtection="0"/>
    <xf numFmtId="170" fontId="40" fillId="0" borderId="0" applyNumberFormat="0" applyFill="0" applyBorder="0" applyAlignment="0" applyProtection="0"/>
    <xf numFmtId="170" fontId="41" fillId="29" borderId="0" applyNumberFormat="0" applyBorder="0" applyAlignment="0" applyProtection="0"/>
    <xf numFmtId="170" fontId="2" fillId="37" borderId="0" applyNumberFormat="0" applyBorder="0" applyAlignment="0" applyProtection="0"/>
    <xf numFmtId="170" fontId="2" fillId="41" borderId="0" applyNumberFormat="0" applyBorder="0" applyAlignment="0" applyProtection="0"/>
    <xf numFmtId="170" fontId="2" fillId="45" borderId="0" applyNumberFormat="0" applyBorder="0" applyAlignment="0" applyProtection="0"/>
    <xf numFmtId="170" fontId="2" fillId="49" borderId="0" applyNumberFormat="0" applyBorder="0" applyAlignment="0" applyProtection="0"/>
    <xf numFmtId="170" fontId="2" fillId="53" borderId="0" applyNumberFormat="0" applyBorder="0" applyAlignment="0" applyProtection="0"/>
    <xf numFmtId="170" fontId="2" fillId="57" borderId="0" applyNumberFormat="0" applyBorder="0" applyAlignment="0" applyProtection="0"/>
    <xf numFmtId="170" fontId="88" fillId="29" borderId="0" applyNumberFormat="0" applyBorder="0" applyAlignment="0" applyProtection="0"/>
  </cellStyleXfs>
  <cellXfs count="488">
    <xf numFmtId="170" fontId="0" fillId="0" borderId="0" xfId="0"/>
    <xf numFmtId="170" fontId="2" fillId="3" borderId="0" xfId="0" applyFont="1" applyFill="1"/>
    <xf numFmtId="170" fontId="2" fillId="4" borderId="0" xfId="0" applyFont="1" applyFill="1"/>
    <xf numFmtId="170" fontId="0" fillId="5" borderId="0" xfId="0" applyFill="1"/>
    <xf numFmtId="14" fontId="0" fillId="5" borderId="0" xfId="0" applyNumberFormat="1" applyFill="1"/>
    <xf numFmtId="19" fontId="0" fillId="5" borderId="0" xfId="0" applyNumberFormat="1" applyFill="1"/>
    <xf numFmtId="170" fontId="0" fillId="0" borderId="0" xfId="0" applyFill="1" applyBorder="1"/>
    <xf numFmtId="170" fontId="0" fillId="0" borderId="0" xfId="0" applyBorder="1"/>
    <xf numFmtId="170" fontId="0" fillId="0" borderId="5" xfId="0" applyBorder="1"/>
    <xf numFmtId="170" fontId="0" fillId="0" borderId="4" xfId="0" applyBorder="1"/>
    <xf numFmtId="170" fontId="0" fillId="0" borderId="6" xfId="0" applyBorder="1"/>
    <xf numFmtId="170" fontId="0" fillId="0" borderId="7" xfId="0" applyBorder="1"/>
    <xf numFmtId="170" fontId="0" fillId="0" borderId="8" xfId="0" applyBorder="1"/>
    <xf numFmtId="170" fontId="0" fillId="0" borderId="4" xfId="0" applyFill="1" applyBorder="1" applyAlignment="1">
      <alignment horizontal="left"/>
    </xf>
    <xf numFmtId="170" fontId="0" fillId="0" borderId="4" xfId="0" applyBorder="1" applyAlignment="1">
      <alignment horizontal="left"/>
    </xf>
    <xf numFmtId="170" fontId="0" fillId="0" borderId="9" xfId="0" applyBorder="1"/>
    <xf numFmtId="20" fontId="4" fillId="0" borderId="10" xfId="0" applyNumberFormat="1" applyFont="1" applyBorder="1"/>
    <xf numFmtId="20" fontId="4" fillId="0" borderId="0" xfId="0" applyNumberFormat="1" applyFont="1" applyBorder="1"/>
    <xf numFmtId="170" fontId="0" fillId="0" borderId="0" xfId="0" applyFill="1" applyBorder="1" applyAlignment="1">
      <alignment horizontal="center"/>
    </xf>
    <xf numFmtId="170" fontId="0" fillId="0" borderId="7" xfId="0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70" fontId="0" fillId="0" borderId="0" xfId="0" applyBorder="1" applyAlignment="1">
      <alignment horizontal="center"/>
    </xf>
    <xf numFmtId="19" fontId="1" fillId="0" borderId="0" xfId="0" applyNumberFormat="1" applyFont="1" applyBorder="1"/>
    <xf numFmtId="170" fontId="1" fillId="0" borderId="0" xfId="0" applyFont="1"/>
    <xf numFmtId="170" fontId="1" fillId="7" borderId="0" xfId="0" applyFont="1" applyFill="1"/>
    <xf numFmtId="170" fontId="1" fillId="0" borderId="11" xfId="0" applyNumberFormat="1" applyFont="1" applyBorder="1" applyAlignment="1">
      <alignment wrapText="1"/>
    </xf>
    <xf numFmtId="170" fontId="1" fillId="0" borderId="0" xfId="0" applyNumberFormat="1" applyFont="1" applyBorder="1" applyAlignment="1">
      <alignment wrapText="1"/>
    </xf>
    <xf numFmtId="164" fontId="0" fillId="0" borderId="5" xfId="1" applyNumberFormat="1" applyFont="1" applyFill="1" applyBorder="1" applyAlignment="1">
      <alignment horizontal="center"/>
    </xf>
    <xf numFmtId="170" fontId="0" fillId="0" borderId="5" xfId="0" applyBorder="1" applyAlignment="1">
      <alignment horizontal="center"/>
    </xf>
    <xf numFmtId="170" fontId="0" fillId="0" borderId="8" xfId="0" applyBorder="1" applyAlignment="1">
      <alignment horizontal="center"/>
    </xf>
    <xf numFmtId="170" fontId="1" fillId="7" borderId="1" xfId="0" applyFont="1" applyFill="1" applyBorder="1"/>
    <xf numFmtId="170" fontId="1" fillId="7" borderId="2" xfId="0" applyFont="1" applyFill="1" applyBorder="1"/>
    <xf numFmtId="170" fontId="1" fillId="7" borderId="3" xfId="0" applyFont="1" applyFill="1" applyBorder="1"/>
    <xf numFmtId="164" fontId="1" fillId="0" borderId="7" xfId="1" applyNumberFormat="1" applyFont="1" applyBorder="1" applyAlignment="1">
      <alignment horizontal="center"/>
    </xf>
    <xf numFmtId="164" fontId="1" fillId="0" borderId="8" xfId="1" applyNumberFormat="1" applyFont="1" applyBorder="1" applyAlignment="1">
      <alignment horizontal="center"/>
    </xf>
    <xf numFmtId="166" fontId="1" fillId="0" borderId="0" xfId="1" applyNumberFormat="1" applyFont="1" applyBorder="1" applyAlignment="1">
      <alignment horizontal="center"/>
    </xf>
    <xf numFmtId="166" fontId="1" fillId="0" borderId="5" xfId="1" applyNumberFormat="1" applyFont="1" applyBorder="1" applyAlignment="1">
      <alignment horizontal="center"/>
    </xf>
    <xf numFmtId="170" fontId="4" fillId="8" borderId="11" xfId="0" applyFont="1" applyFill="1" applyBorder="1"/>
    <xf numFmtId="14" fontId="4" fillId="8" borderId="11" xfId="0" applyNumberFormat="1" applyFont="1" applyFill="1" applyBorder="1" applyAlignment="1">
      <alignment horizontal="center" vertical="center"/>
    </xf>
    <xf numFmtId="170" fontId="0" fillId="8" borderId="11" xfId="0" applyFill="1" applyBorder="1"/>
    <xf numFmtId="170" fontId="1" fillId="8" borderId="11" xfId="0" applyFont="1" applyFill="1" applyBorder="1" applyAlignment="1">
      <alignment horizontal="center"/>
    </xf>
    <xf numFmtId="19" fontId="4" fillId="8" borderId="11" xfId="0" applyNumberFormat="1" applyFont="1" applyFill="1" applyBorder="1"/>
    <xf numFmtId="19" fontId="1" fillId="8" borderId="11" xfId="0" applyNumberFormat="1" applyFont="1" applyFill="1" applyBorder="1"/>
    <xf numFmtId="164" fontId="0" fillId="0" borderId="0" xfId="1" applyNumberFormat="1" applyFont="1"/>
    <xf numFmtId="166" fontId="0" fillId="0" borderId="0" xfId="1" applyNumberFormat="1" applyFont="1"/>
    <xf numFmtId="170" fontId="4" fillId="0" borderId="0" xfId="0" applyFont="1"/>
    <xf numFmtId="170" fontId="6" fillId="8" borderId="12" xfId="0" applyFont="1" applyFill="1" applyBorder="1"/>
    <xf numFmtId="170" fontId="7" fillId="0" borderId="0" xfId="0" applyFont="1" applyBorder="1" applyAlignment="1">
      <alignment vertical="center"/>
    </xf>
    <xf numFmtId="170" fontId="1" fillId="8" borderId="11" xfId="0" applyNumberFormat="1" applyFont="1" applyFill="1" applyBorder="1" applyAlignment="1">
      <alignment wrapText="1"/>
    </xf>
    <xf numFmtId="14" fontId="0" fillId="5" borderId="0" xfId="0" applyNumberFormat="1" applyFill="1" applyAlignment="1">
      <alignment horizontal="center"/>
    </xf>
    <xf numFmtId="170" fontId="1" fillId="6" borderId="1" xfId="0" applyFont="1" applyFill="1" applyBorder="1" applyAlignment="1">
      <alignment horizontal="center" vertical="center" wrapText="1"/>
    </xf>
    <xf numFmtId="170" fontId="1" fillId="6" borderId="2" xfId="0" applyFont="1" applyFill="1" applyBorder="1" applyAlignment="1">
      <alignment horizontal="center" vertical="center" wrapText="1"/>
    </xf>
    <xf numFmtId="170" fontId="1" fillId="6" borderId="3" xfId="0" applyFont="1" applyFill="1" applyBorder="1" applyAlignment="1">
      <alignment horizontal="center" vertical="center" wrapText="1"/>
    </xf>
    <xf numFmtId="166" fontId="0" fillId="0" borderId="0" xfId="1" applyNumberFormat="1" applyFont="1" applyBorder="1"/>
    <xf numFmtId="164" fontId="0" fillId="0" borderId="0" xfId="1" applyNumberFormat="1" applyFont="1" applyBorder="1"/>
    <xf numFmtId="170" fontId="1" fillId="7" borderId="1" xfId="0" applyFont="1" applyFill="1" applyBorder="1" applyAlignment="1">
      <alignment horizontal="center" vertical="center" wrapText="1"/>
    </xf>
    <xf numFmtId="170" fontId="1" fillId="7" borderId="2" xfId="0" applyFont="1" applyFill="1" applyBorder="1" applyAlignment="1">
      <alignment horizontal="center" vertical="center" wrapText="1"/>
    </xf>
    <xf numFmtId="170" fontId="1" fillId="7" borderId="3" xfId="0" applyFont="1" applyFill="1" applyBorder="1" applyAlignment="1">
      <alignment horizontal="center" vertical="center" wrapText="1"/>
    </xf>
    <xf numFmtId="166" fontId="0" fillId="0" borderId="7" xfId="1" applyNumberFormat="1" applyFont="1" applyBorder="1"/>
    <xf numFmtId="164" fontId="0" fillId="0" borderId="7" xfId="1" applyNumberFormat="1" applyFont="1" applyBorder="1"/>
    <xf numFmtId="170" fontId="8" fillId="0" borderId="11" xfId="0" applyNumberFormat="1" applyFont="1" applyBorder="1" applyAlignment="1">
      <alignment wrapText="1"/>
    </xf>
    <xf numFmtId="170" fontId="8" fillId="8" borderId="11" xfId="0" applyNumberFormat="1" applyFont="1" applyFill="1" applyBorder="1" applyAlignment="1">
      <alignment wrapText="1"/>
    </xf>
    <xf numFmtId="164" fontId="1" fillId="0" borderId="0" xfId="1" applyNumberFormat="1" applyFont="1" applyBorder="1" applyAlignment="1">
      <alignment horizontal="center"/>
    </xf>
    <xf numFmtId="170" fontId="0" fillId="10" borderId="0" xfId="0" applyFill="1"/>
    <xf numFmtId="170" fontId="0" fillId="0" borderId="4" xfId="0" applyFill="1" applyBorder="1"/>
    <xf numFmtId="166" fontId="0" fillId="0" borderId="0" xfId="1" applyNumberFormat="1" applyFont="1" applyFill="1" applyBorder="1"/>
    <xf numFmtId="164" fontId="0" fillId="0" borderId="0" xfId="1" applyNumberFormat="1" applyFont="1" applyFill="1" applyBorder="1"/>
    <xf numFmtId="170" fontId="0" fillId="0" borderId="5" xfId="0" applyFill="1" applyBorder="1"/>
    <xf numFmtId="170" fontId="8" fillId="11" borderId="11" xfId="0" applyNumberFormat="1" applyFont="1" applyFill="1" applyBorder="1" applyAlignment="1">
      <alignment wrapText="1"/>
    </xf>
    <xf numFmtId="170" fontId="8" fillId="0" borderId="11" xfId="0" applyNumberFormat="1" applyFont="1" applyFill="1" applyBorder="1" applyAlignment="1">
      <alignment wrapText="1"/>
    </xf>
    <xf numFmtId="170" fontId="8" fillId="9" borderId="11" xfId="0" applyNumberFormat="1" applyFont="1" applyFill="1" applyBorder="1" applyAlignment="1">
      <alignment wrapText="1"/>
    </xf>
    <xf numFmtId="170" fontId="1" fillId="11" borderId="11" xfId="0" applyNumberFormat="1" applyFont="1" applyFill="1" applyBorder="1" applyAlignment="1">
      <alignment wrapText="1"/>
    </xf>
    <xf numFmtId="170" fontId="1" fillId="9" borderId="11" xfId="0" applyNumberFormat="1" applyFont="1" applyFill="1" applyBorder="1" applyAlignment="1">
      <alignment wrapText="1"/>
    </xf>
    <xf numFmtId="170" fontId="0" fillId="5" borderId="0" xfId="0" applyFill="1" applyAlignment="1">
      <alignment horizontal="center"/>
    </xf>
    <xf numFmtId="170" fontId="8" fillId="10" borderId="11" xfId="0" applyNumberFormat="1" applyFont="1" applyFill="1" applyBorder="1" applyAlignment="1">
      <alignment horizontal="center" vertical="center" wrapText="1"/>
    </xf>
    <xf numFmtId="170" fontId="8" fillId="0" borderId="11" xfId="0" applyNumberFormat="1" applyFont="1" applyBorder="1" applyAlignment="1">
      <alignment horizontal="center" vertical="center" wrapText="1"/>
    </xf>
    <xf numFmtId="170" fontId="8" fillId="9" borderId="11" xfId="0" applyNumberFormat="1" applyFont="1" applyFill="1" applyBorder="1" applyAlignment="1">
      <alignment horizontal="center" vertical="center" wrapText="1"/>
    </xf>
    <xf numFmtId="170" fontId="0" fillId="8" borderId="11" xfId="0" applyNumberFormat="1" applyFont="1" applyFill="1" applyBorder="1" applyAlignment="1">
      <alignment horizontal="center" vertical="center" wrapText="1"/>
    </xf>
    <xf numFmtId="170" fontId="8" fillId="11" borderId="11" xfId="0" applyNumberFormat="1" applyFont="1" applyFill="1" applyBorder="1" applyAlignment="1">
      <alignment horizontal="center" vertical="center" wrapText="1"/>
    </xf>
    <xf numFmtId="170" fontId="0" fillId="0" borderId="28" xfId="0" applyFont="1" applyBorder="1" applyAlignment="1"/>
    <xf numFmtId="166" fontId="0" fillId="0" borderId="0" xfId="0" applyNumberFormat="1"/>
    <xf numFmtId="18" fontId="0" fillId="0" borderId="0" xfId="0" applyNumberFormat="1"/>
    <xf numFmtId="14" fontId="0" fillId="23" borderId="0" xfId="0" applyNumberFormat="1" applyFill="1"/>
    <xf numFmtId="170" fontId="0" fillId="23" borderId="0" xfId="0" applyFill="1"/>
    <xf numFmtId="170" fontId="0" fillId="0" borderId="0" xfId="0" applyNumberFormat="1"/>
    <xf numFmtId="19" fontId="11" fillId="0" borderId="0" xfId="0" applyNumberFormat="1" applyFont="1" applyFill="1" applyBorder="1"/>
    <xf numFmtId="19" fontId="0" fillId="0" borderId="0" xfId="0" applyNumberFormat="1" applyFont="1" applyFill="1" applyBorder="1"/>
    <xf numFmtId="18" fontId="0" fillId="0" borderId="0" xfId="0" applyNumberFormat="1" applyFill="1"/>
    <xf numFmtId="19" fontId="0" fillId="23" borderId="0" xfId="0" applyNumberFormat="1" applyFill="1"/>
    <xf numFmtId="168" fontId="0" fillId="23" borderId="0" xfId="0" applyNumberFormat="1" applyFill="1"/>
    <xf numFmtId="169" fontId="0" fillId="23" borderId="0" xfId="0" applyNumberFormat="1" applyFill="1"/>
    <xf numFmtId="19" fontId="0" fillId="0" borderId="0" xfId="0" applyNumberFormat="1" applyFill="1"/>
    <xf numFmtId="170" fontId="0" fillId="10" borderId="0" xfId="0" quotePrefix="1" applyFill="1"/>
    <xf numFmtId="170" fontId="14" fillId="0" borderId="0" xfId="0" applyFont="1" applyBorder="1"/>
    <xf numFmtId="170" fontId="14" fillId="0" borderId="0" xfId="0" applyFont="1"/>
    <xf numFmtId="170" fontId="13" fillId="0" borderId="0" xfId="0" applyFont="1" applyFill="1" applyBorder="1" applyAlignment="1"/>
    <xf numFmtId="170" fontId="16" fillId="25" borderId="11" xfId="0" applyFont="1" applyFill="1" applyBorder="1" applyAlignment="1">
      <alignment horizontal="center" vertical="center" wrapText="1"/>
    </xf>
    <xf numFmtId="170" fontId="12" fillId="25" borderId="11" xfId="0" applyFont="1" applyFill="1" applyBorder="1" applyAlignment="1">
      <alignment horizontal="center" vertical="center" wrapText="1"/>
    </xf>
    <xf numFmtId="170" fontId="17" fillId="25" borderId="11" xfId="0" applyFont="1" applyFill="1" applyBorder="1" applyAlignment="1">
      <alignment horizontal="center" vertical="center" wrapText="1"/>
    </xf>
    <xf numFmtId="170" fontId="18" fillId="8" borderId="12" xfId="0" applyNumberFormat="1" applyFont="1" applyFill="1" applyBorder="1"/>
    <xf numFmtId="170" fontId="19" fillId="0" borderId="0" xfId="0" applyNumberFormat="1" applyFont="1" applyBorder="1"/>
    <xf numFmtId="170" fontId="19" fillId="0" borderId="0" xfId="0" applyNumberFormat="1" applyFont="1"/>
    <xf numFmtId="170" fontId="20" fillId="0" borderId="0" xfId="0" applyNumberFormat="1" applyFont="1" applyBorder="1"/>
    <xf numFmtId="170" fontId="18" fillId="0" borderId="0" xfId="0" applyNumberFormat="1" applyFont="1" applyBorder="1"/>
    <xf numFmtId="170" fontId="18" fillId="7" borderId="1" xfId="0" applyNumberFormat="1" applyFont="1" applyFill="1" applyBorder="1"/>
    <xf numFmtId="170" fontId="19" fillId="0" borderId="4" xfId="0" applyNumberFormat="1" applyFont="1" applyBorder="1"/>
    <xf numFmtId="170" fontId="19" fillId="0" borderId="6" xfId="0" applyNumberFormat="1" applyFont="1" applyBorder="1"/>
    <xf numFmtId="170" fontId="19" fillId="0" borderId="4" xfId="0" applyNumberFormat="1" applyFont="1" applyFill="1" applyBorder="1" applyAlignment="1">
      <alignment horizontal="left"/>
    </xf>
    <xf numFmtId="170" fontId="19" fillId="0" borderId="4" xfId="0" applyNumberFormat="1" applyFont="1" applyBorder="1" applyAlignment="1">
      <alignment horizontal="left"/>
    </xf>
    <xf numFmtId="170" fontId="18" fillId="7" borderId="0" xfId="0" applyNumberFormat="1" applyFont="1" applyFill="1"/>
    <xf numFmtId="170" fontId="19" fillId="0" borderId="9" xfId="0" applyNumberFormat="1" applyFont="1" applyBorder="1"/>
    <xf numFmtId="170" fontId="20" fillId="0" borderId="10" xfId="0" applyNumberFormat="1" applyFont="1" applyBorder="1"/>
    <xf numFmtId="170" fontId="18" fillId="0" borderId="0" xfId="0" applyNumberFormat="1" applyFont="1"/>
    <xf numFmtId="170" fontId="19" fillId="5" borderId="0" xfId="0" applyNumberFormat="1" applyFont="1" applyFill="1"/>
    <xf numFmtId="170" fontId="18" fillId="24" borderId="12" xfId="0" applyNumberFormat="1" applyFont="1" applyFill="1" applyBorder="1"/>
    <xf numFmtId="170" fontId="21" fillId="24" borderId="11" xfId="0" applyNumberFormat="1" applyFont="1" applyFill="1" applyBorder="1"/>
    <xf numFmtId="14" fontId="21" fillId="24" borderId="11" xfId="0" applyNumberFormat="1" applyFont="1" applyFill="1" applyBorder="1" applyAlignment="1">
      <alignment horizontal="center" vertical="center"/>
    </xf>
    <xf numFmtId="170" fontId="22" fillId="0" borderId="0" xfId="0" applyFont="1"/>
    <xf numFmtId="170" fontId="23" fillId="0" borderId="11" xfId="0" applyNumberFormat="1" applyFont="1" applyFill="1" applyBorder="1"/>
    <xf numFmtId="170" fontId="23" fillId="0" borderId="11" xfId="0" applyFont="1" applyFill="1" applyBorder="1" applyAlignment="1">
      <alignment horizontal="center"/>
    </xf>
    <xf numFmtId="170" fontId="9" fillId="26" borderId="0" xfId="0" applyFont="1" applyFill="1"/>
    <xf numFmtId="170" fontId="0" fillId="0" borderId="0" xfId="0" applyAlignment="1">
      <alignment vertical="center" wrapText="1"/>
    </xf>
    <xf numFmtId="18" fontId="0" fillId="0" borderId="0" xfId="0" applyNumberFormat="1" applyAlignment="1">
      <alignment vertical="center" wrapText="1"/>
    </xf>
    <xf numFmtId="14" fontId="0" fillId="23" borderId="0" xfId="0" applyNumberFormat="1" applyFill="1" applyBorder="1"/>
    <xf numFmtId="19" fontId="0" fillId="23" borderId="0" xfId="0" applyNumberFormat="1" applyFill="1" applyBorder="1"/>
    <xf numFmtId="170" fontId="0" fillId="23" borderId="0" xfId="0" applyFill="1" applyBorder="1"/>
    <xf numFmtId="170" fontId="0" fillId="9" borderId="11" xfId="0" applyNumberFormat="1" applyFont="1" applyFill="1" applyBorder="1" applyAlignment="1">
      <alignment wrapText="1"/>
    </xf>
    <xf numFmtId="170" fontId="0" fillId="0" borderId="11" xfId="0" applyNumberFormat="1" applyFont="1" applyBorder="1" applyAlignment="1">
      <alignment wrapText="1"/>
    </xf>
    <xf numFmtId="170" fontId="0" fillId="11" borderId="11" xfId="0" applyNumberFormat="1" applyFont="1" applyFill="1" applyBorder="1" applyAlignment="1">
      <alignment wrapText="1"/>
    </xf>
    <xf numFmtId="170" fontId="0" fillId="8" borderId="11" xfId="0" applyNumberFormat="1" applyFont="1" applyFill="1" applyBorder="1" applyAlignment="1">
      <alignment wrapText="1"/>
    </xf>
    <xf numFmtId="170" fontId="0" fillId="0" borderId="11" xfId="0" applyNumberFormat="1" applyFont="1" applyFill="1" applyBorder="1" applyAlignment="1">
      <alignment wrapText="1"/>
    </xf>
    <xf numFmtId="170" fontId="25" fillId="0" borderId="0" xfId="0" applyFont="1"/>
    <xf numFmtId="170" fontId="26" fillId="0" borderId="0" xfId="0" applyFont="1"/>
    <xf numFmtId="170" fontId="25" fillId="7" borderId="0" xfId="0" applyFont="1" applyFill="1"/>
    <xf numFmtId="170" fontId="26" fillId="0" borderId="0" xfId="0" applyFont="1" applyFill="1"/>
    <xf numFmtId="170" fontId="26" fillId="0" borderId="0" xfId="0" applyFont="1" applyAlignment="1">
      <alignment vertical="center"/>
    </xf>
    <xf numFmtId="20" fontId="25" fillId="0" borderId="0" xfId="0" applyNumberFormat="1" applyFont="1"/>
    <xf numFmtId="167" fontId="25" fillId="0" borderId="0" xfId="0" applyNumberFormat="1" applyFont="1"/>
    <xf numFmtId="19" fontId="27" fillId="0" borderId="0" xfId="0" applyNumberFormat="1" applyFont="1" applyFill="1" applyBorder="1"/>
    <xf numFmtId="170" fontId="25" fillId="0" borderId="0" xfId="0" applyNumberFormat="1" applyFont="1"/>
    <xf numFmtId="19" fontId="26" fillId="0" borderId="0" xfId="0" applyNumberFormat="1" applyFont="1" applyFill="1" applyBorder="1"/>
    <xf numFmtId="170" fontId="26" fillId="26" borderId="0" xfId="0" applyFont="1" applyFill="1"/>
    <xf numFmtId="170" fontId="26" fillId="2" borderId="0" xfId="0" applyFont="1" applyFill="1"/>
    <xf numFmtId="170" fontId="26" fillId="23" borderId="0" xfId="0" applyFont="1" applyFill="1"/>
    <xf numFmtId="170" fontId="0" fillId="0" borderId="0" xfId="0" applyFont="1" applyAlignment="1">
      <alignment vertical="center"/>
    </xf>
    <xf numFmtId="170" fontId="9" fillId="0" borderId="0" xfId="0" applyFont="1"/>
    <xf numFmtId="170" fontId="0" fillId="0" borderId="0" xfId="0" applyFont="1" applyFill="1"/>
    <xf numFmtId="170" fontId="0" fillId="0" borderId="0" xfId="0" applyFont="1" applyAlignment="1">
      <alignment vertical="center" wrapText="1"/>
    </xf>
    <xf numFmtId="170" fontId="42" fillId="0" borderId="0" xfId="0" applyFont="1"/>
    <xf numFmtId="170" fontId="42" fillId="0" borderId="0" xfId="0" applyNumberFormat="1" applyFont="1"/>
    <xf numFmtId="170" fontId="43" fillId="4" borderId="0" xfId="0" applyFont="1" applyFill="1"/>
    <xf numFmtId="170" fontId="43" fillId="3" borderId="0" xfId="0" applyFont="1" applyFill="1"/>
    <xf numFmtId="170" fontId="43" fillId="4" borderId="0" xfId="0" applyFont="1" applyFill="1" applyAlignment="1">
      <alignment horizontal="center"/>
    </xf>
    <xf numFmtId="170" fontId="42" fillId="0" borderId="0" xfId="0" applyFont="1" applyAlignment="1">
      <alignment vertical="center" wrapText="1"/>
    </xf>
    <xf numFmtId="14" fontId="42" fillId="0" borderId="0" xfId="0" applyNumberFormat="1" applyFont="1" applyAlignment="1">
      <alignment vertical="center" wrapText="1"/>
    </xf>
    <xf numFmtId="170" fontId="42" fillId="0" borderId="0" xfId="0" applyNumberFormat="1" applyFont="1" applyAlignment="1">
      <alignment vertical="center" wrapText="1"/>
    </xf>
    <xf numFmtId="22" fontId="42" fillId="0" borderId="0" xfId="0" applyNumberFormat="1" applyFont="1"/>
    <xf numFmtId="170" fontId="42" fillId="0" borderId="0" xfId="0" applyFont="1" applyBorder="1"/>
    <xf numFmtId="170" fontId="42" fillId="0" borderId="0" xfId="0" applyFont="1" applyFill="1"/>
    <xf numFmtId="170" fontId="44" fillId="0" borderId="28" xfId="0" applyFont="1" applyBorder="1" applyAlignment="1"/>
    <xf numFmtId="170" fontId="45" fillId="0" borderId="0" xfId="0" applyFont="1"/>
    <xf numFmtId="170" fontId="44" fillId="0" borderId="0" xfId="0" applyFont="1"/>
    <xf numFmtId="170" fontId="47" fillId="0" borderId="0" xfId="0" applyFont="1" applyBorder="1"/>
    <xf numFmtId="170" fontId="47" fillId="0" borderId="0" xfId="0" applyFont="1"/>
    <xf numFmtId="170" fontId="48" fillId="0" borderId="0" xfId="0" applyFont="1" applyFill="1" applyBorder="1" applyAlignment="1"/>
    <xf numFmtId="170" fontId="49" fillId="0" borderId="0" xfId="0" applyFont="1" applyBorder="1"/>
    <xf numFmtId="170" fontId="49" fillId="0" borderId="0" xfId="0" applyFont="1"/>
    <xf numFmtId="170" fontId="47" fillId="0" borderId="0" xfId="0" applyFont="1" applyFill="1" applyBorder="1" applyAlignment="1">
      <alignment horizontal="center"/>
    </xf>
    <xf numFmtId="170" fontId="53" fillId="0" borderId="11" xfId="0" applyFont="1" applyBorder="1" applyAlignment="1">
      <alignment horizontal="center" vertical="center" wrapText="1"/>
    </xf>
    <xf numFmtId="170" fontId="54" fillId="0" borderId="11" xfId="0" applyFont="1" applyBorder="1" applyAlignment="1">
      <alignment horizontal="center" vertical="center" wrapText="1"/>
    </xf>
    <xf numFmtId="170" fontId="52" fillId="0" borderId="36" xfId="0" applyNumberFormat="1" applyFont="1" applyFill="1" applyBorder="1" applyAlignment="1">
      <alignment horizontal="center" vertical="center"/>
    </xf>
    <xf numFmtId="170" fontId="53" fillId="0" borderId="37" xfId="0" applyFont="1" applyBorder="1" applyAlignment="1">
      <alignment horizontal="center" vertical="center" wrapText="1"/>
    </xf>
    <xf numFmtId="170" fontId="54" fillId="0" borderId="37" xfId="0" applyFont="1" applyBorder="1" applyAlignment="1">
      <alignment horizontal="center" vertical="center" wrapText="1"/>
    </xf>
    <xf numFmtId="170" fontId="52" fillId="0" borderId="38" xfId="0" applyNumberFormat="1" applyFont="1" applyFill="1" applyBorder="1" applyAlignment="1">
      <alignment horizontal="center" vertical="center"/>
    </xf>
    <xf numFmtId="170" fontId="53" fillId="0" borderId="31" xfId="0" applyFont="1" applyBorder="1" applyAlignment="1">
      <alignment horizontal="center" vertical="center" wrapText="1"/>
    </xf>
    <xf numFmtId="170" fontId="54" fillId="0" borderId="31" xfId="0" applyFont="1" applyBorder="1" applyAlignment="1">
      <alignment horizontal="center" vertical="center" wrapText="1"/>
    </xf>
    <xf numFmtId="170" fontId="52" fillId="0" borderId="41" xfId="0" applyNumberFormat="1" applyFont="1" applyFill="1" applyBorder="1" applyAlignment="1">
      <alignment horizontal="center" vertical="center"/>
    </xf>
    <xf numFmtId="170" fontId="55" fillId="0" borderId="11" xfId="0" applyFont="1" applyBorder="1" applyAlignment="1">
      <alignment horizontal="center" vertical="center" wrapText="1"/>
    </xf>
    <xf numFmtId="170" fontId="56" fillId="0" borderId="11" xfId="0" applyFont="1" applyBorder="1" applyAlignment="1">
      <alignment horizontal="center" vertical="center" wrapText="1"/>
    </xf>
    <xf numFmtId="170" fontId="57" fillId="0" borderId="11" xfId="0" applyFont="1" applyBorder="1" applyAlignment="1">
      <alignment horizontal="center" vertical="center" wrapText="1"/>
    </xf>
    <xf numFmtId="170" fontId="58" fillId="0" borderId="11" xfId="0" applyFont="1" applyBorder="1" applyAlignment="1">
      <alignment horizontal="center" vertical="center" wrapText="1"/>
    </xf>
    <xf numFmtId="170" fontId="55" fillId="0" borderId="37" xfId="0" applyFont="1" applyBorder="1" applyAlignment="1">
      <alignment horizontal="center" vertical="center" wrapText="1"/>
    </xf>
    <xf numFmtId="170" fontId="59" fillId="0" borderId="37" xfId="0" applyFont="1" applyBorder="1" applyAlignment="1">
      <alignment horizontal="center" vertical="center" wrapText="1"/>
    </xf>
    <xf numFmtId="170" fontId="52" fillId="0" borderId="38" xfId="0" applyNumberFormat="1" applyFont="1" applyFill="1" applyBorder="1" applyAlignment="1">
      <alignment horizontal="center"/>
    </xf>
    <xf numFmtId="170" fontId="60" fillId="0" borderId="31" xfId="0" applyFont="1" applyBorder="1" applyAlignment="1">
      <alignment horizontal="center" vertical="center" wrapText="1"/>
    </xf>
    <xf numFmtId="170" fontId="61" fillId="0" borderId="31" xfId="0" applyFont="1" applyBorder="1" applyAlignment="1">
      <alignment horizontal="center" vertical="center" wrapText="1"/>
    </xf>
    <xf numFmtId="170" fontId="52" fillId="0" borderId="30" xfId="0" applyNumberFormat="1" applyFont="1" applyFill="1" applyBorder="1" applyAlignment="1">
      <alignment horizontal="center"/>
    </xf>
    <xf numFmtId="170" fontId="62" fillId="0" borderId="0" xfId="0" applyNumberFormat="1" applyFont="1" applyBorder="1" applyAlignment="1">
      <alignment wrapText="1"/>
    </xf>
    <xf numFmtId="170" fontId="62" fillId="7" borderId="2" xfId="0" applyFont="1" applyFill="1" applyBorder="1"/>
    <xf numFmtId="166" fontId="62" fillId="0" borderId="0" xfId="1" applyNumberFormat="1" applyFont="1" applyBorder="1" applyAlignment="1">
      <alignment horizontal="center"/>
    </xf>
    <xf numFmtId="164" fontId="62" fillId="0" borderId="7" xfId="1" applyNumberFormat="1" applyFont="1" applyBorder="1" applyAlignment="1">
      <alignment horizontal="center"/>
    </xf>
    <xf numFmtId="164" fontId="62" fillId="0" borderId="0" xfId="1" applyNumberFormat="1" applyFont="1" applyBorder="1" applyAlignment="1">
      <alignment horizontal="center"/>
    </xf>
    <xf numFmtId="170" fontId="62" fillId="7" borderId="3" xfId="0" applyFont="1" applyFill="1" applyBorder="1"/>
    <xf numFmtId="170" fontId="47" fillId="0" borderId="0" xfId="0" applyFont="1" applyFill="1" applyBorder="1"/>
    <xf numFmtId="170" fontId="47" fillId="0" borderId="0" xfId="0" applyFont="1" applyBorder="1" applyAlignment="1">
      <alignment horizontal="center"/>
    </xf>
    <xf numFmtId="164" fontId="47" fillId="0" borderId="5" xfId="1" applyNumberFormat="1" applyFont="1" applyFill="1" applyBorder="1" applyAlignment="1">
      <alignment horizontal="center"/>
    </xf>
    <xf numFmtId="165" fontId="47" fillId="0" borderId="0" xfId="0" applyNumberFormat="1" applyFont="1" applyFill="1" applyBorder="1" applyAlignment="1">
      <alignment horizontal="center"/>
    </xf>
    <xf numFmtId="170" fontId="47" fillId="0" borderId="5" xfId="0" applyFont="1" applyBorder="1" applyAlignment="1">
      <alignment horizontal="center"/>
    </xf>
    <xf numFmtId="170" fontId="47" fillId="0" borderId="7" xfId="0" applyFont="1" applyFill="1" applyBorder="1" applyAlignment="1">
      <alignment horizontal="center"/>
    </xf>
    <xf numFmtId="170" fontId="47" fillId="0" borderId="7" xfId="0" applyFont="1" applyBorder="1"/>
    <xf numFmtId="170" fontId="47" fillId="0" borderId="8" xfId="0" applyFont="1" applyBorder="1" applyAlignment="1">
      <alignment horizontal="center"/>
    </xf>
    <xf numFmtId="170" fontId="62" fillId="7" borderId="0" xfId="0" applyFont="1" applyFill="1"/>
    <xf numFmtId="170" fontId="46" fillId="5" borderId="0" xfId="0" applyNumberFormat="1" applyFont="1" applyFill="1"/>
    <xf numFmtId="170" fontId="47" fillId="5" borderId="0" xfId="0" applyFont="1" applyFill="1"/>
    <xf numFmtId="14" fontId="47" fillId="5" borderId="0" xfId="0" applyNumberFormat="1" applyFont="1" applyFill="1" applyAlignment="1">
      <alignment horizontal="center"/>
    </xf>
    <xf numFmtId="170" fontId="47" fillId="5" borderId="0" xfId="0" applyFont="1" applyFill="1" applyAlignment="1">
      <alignment horizontal="center"/>
    </xf>
    <xf numFmtId="14" fontId="0" fillId="0" borderId="0" xfId="0" applyNumberFormat="1" applyAlignment="1">
      <alignment vertical="center" wrapText="1"/>
    </xf>
    <xf numFmtId="170" fontId="63" fillId="0" borderId="0" xfId="2" applyFont="1" applyFill="1" applyBorder="1" applyAlignment="1"/>
    <xf numFmtId="170" fontId="64" fillId="0" borderId="0" xfId="0" applyFont="1" applyBorder="1"/>
    <xf numFmtId="170" fontId="64" fillId="0" borderId="0" xfId="0" applyFont="1"/>
    <xf numFmtId="170" fontId="65" fillId="0" borderId="0" xfId="0" applyFont="1" applyBorder="1"/>
    <xf numFmtId="170" fontId="66" fillId="0" borderId="16" xfId="2" applyFont="1" applyFill="1" applyBorder="1" applyAlignment="1">
      <alignment horizontal="center" wrapText="1"/>
    </xf>
    <xf numFmtId="170" fontId="66" fillId="0" borderId="17" xfId="2" applyFont="1" applyFill="1" applyBorder="1" applyAlignment="1">
      <alignment horizontal="center" wrapText="1"/>
    </xf>
    <xf numFmtId="170" fontId="66" fillId="0" borderId="25" xfId="2" applyFont="1" applyFill="1" applyBorder="1" applyAlignment="1">
      <alignment horizontal="center" wrapText="1"/>
    </xf>
    <xf numFmtId="170" fontId="66" fillId="0" borderId="2" xfId="2" applyFont="1" applyFill="1" applyBorder="1" applyAlignment="1">
      <alignment horizontal="center" wrapText="1"/>
    </xf>
    <xf numFmtId="170" fontId="66" fillId="0" borderId="3" xfId="2" applyFont="1" applyFill="1" applyBorder="1" applyAlignment="1">
      <alignment horizontal="center" wrapText="1"/>
    </xf>
    <xf numFmtId="170" fontId="66" fillId="0" borderId="9" xfId="2" applyFont="1" applyFill="1" applyBorder="1" applyAlignment="1">
      <alignment horizontal="center" wrapText="1"/>
    </xf>
    <xf numFmtId="170" fontId="66" fillId="0" borderId="18" xfId="2" applyFont="1" applyFill="1" applyBorder="1" applyAlignment="1">
      <alignment horizontal="center" wrapText="1"/>
    </xf>
    <xf numFmtId="170" fontId="63" fillId="0" borderId="0" xfId="2" applyFont="1" applyFill="1" applyBorder="1" applyAlignment="1">
      <alignment horizontal="center"/>
    </xf>
    <xf numFmtId="170" fontId="66" fillId="0" borderId="22" xfId="2" applyFont="1" applyFill="1" applyBorder="1" applyAlignment="1">
      <alignment horizontal="center" wrapText="1"/>
    </xf>
    <xf numFmtId="170" fontId="66" fillId="0" borderId="23" xfId="2" applyFont="1" applyFill="1" applyBorder="1" applyAlignment="1">
      <alignment horizontal="center" wrapText="1"/>
    </xf>
    <xf numFmtId="170" fontId="66" fillId="0" borderId="27" xfId="2" applyFont="1" applyFill="1" applyBorder="1" applyAlignment="1">
      <alignment horizontal="center" wrapText="1"/>
    </xf>
    <xf numFmtId="170" fontId="66" fillId="0" borderId="7" xfId="2" applyFont="1" applyFill="1" applyBorder="1" applyAlignment="1">
      <alignment horizontal="center" wrapText="1"/>
    </xf>
    <xf numFmtId="170" fontId="66" fillId="0" borderId="8" xfId="2" applyFont="1" applyFill="1" applyBorder="1" applyAlignment="1">
      <alignment horizontal="center" wrapText="1"/>
    </xf>
    <xf numFmtId="170" fontId="66" fillId="0" borderId="0" xfId="2" applyFont="1" applyFill="1" applyBorder="1" applyAlignment="1">
      <alignment horizontal="center" wrapText="1"/>
    </xf>
    <xf numFmtId="170" fontId="66" fillId="0" borderId="5" xfId="2" applyFont="1" applyFill="1" applyBorder="1" applyAlignment="1">
      <alignment horizontal="center" wrapText="1"/>
    </xf>
    <xf numFmtId="170" fontId="66" fillId="0" borderId="10" xfId="2" applyFont="1" applyFill="1" applyBorder="1" applyAlignment="1">
      <alignment horizontal="center" wrapText="1"/>
    </xf>
    <xf numFmtId="170" fontId="66" fillId="0" borderId="24" xfId="2" applyFont="1" applyFill="1" applyBorder="1" applyAlignment="1">
      <alignment horizontal="center" wrapText="1"/>
    </xf>
    <xf numFmtId="170" fontId="64" fillId="0" borderId="43" xfId="0" applyFont="1" applyBorder="1"/>
    <xf numFmtId="170" fontId="64" fillId="0" borderId="44" xfId="0" applyFont="1" applyBorder="1"/>
    <xf numFmtId="170" fontId="64" fillId="0" borderId="21" xfId="0" applyFont="1" applyBorder="1"/>
    <xf numFmtId="170" fontId="64" fillId="0" borderId="46" xfId="0" applyFont="1" applyBorder="1"/>
    <xf numFmtId="170" fontId="64" fillId="0" borderId="20" xfId="0" applyFont="1" applyBorder="1"/>
    <xf numFmtId="170" fontId="64" fillId="0" borderId="26" xfId="0" applyFont="1" applyBorder="1"/>
    <xf numFmtId="170" fontId="64" fillId="0" borderId="5" xfId="0" applyFont="1" applyBorder="1"/>
    <xf numFmtId="170" fontId="64" fillId="0" borderId="19" xfId="0" applyFont="1" applyBorder="1"/>
    <xf numFmtId="170" fontId="64" fillId="0" borderId="15" xfId="0" applyFont="1" applyBorder="1"/>
    <xf numFmtId="170" fontId="67" fillId="0" borderId="45" xfId="0" applyFont="1" applyBorder="1"/>
    <xf numFmtId="170" fontId="67" fillId="0" borderId="47" xfId="0" applyFont="1" applyBorder="1"/>
    <xf numFmtId="170" fontId="67" fillId="0" borderId="26" xfId="0" applyFont="1" applyBorder="1"/>
    <xf numFmtId="170" fontId="67" fillId="0" borderId="19" xfId="0" applyFont="1" applyBorder="1"/>
    <xf numFmtId="170" fontId="67" fillId="0" borderId="15" xfId="0" applyFont="1" applyBorder="1"/>
    <xf numFmtId="170" fontId="67" fillId="0" borderId="48" xfId="0" applyFont="1" applyBorder="1"/>
    <xf numFmtId="170" fontId="67" fillId="0" borderId="20" xfId="0" applyFont="1" applyBorder="1"/>
    <xf numFmtId="170" fontId="67" fillId="0" borderId="21" xfId="0" applyFont="1" applyBorder="1"/>
    <xf numFmtId="170" fontId="67" fillId="0" borderId="44" xfId="0" applyFont="1" applyBorder="1"/>
    <xf numFmtId="170" fontId="67" fillId="0" borderId="0" xfId="0" applyFont="1" applyBorder="1"/>
    <xf numFmtId="170" fontId="67" fillId="0" borderId="5" xfId="0" applyFont="1" applyBorder="1"/>
    <xf numFmtId="18" fontId="69" fillId="0" borderId="1" xfId="0" applyNumberFormat="1" applyFont="1" applyBorder="1"/>
    <xf numFmtId="170" fontId="70" fillId="0" borderId="16" xfId="0" applyFont="1" applyBorder="1"/>
    <xf numFmtId="170" fontId="70" fillId="0" borderId="17" xfId="0" applyFont="1" applyBorder="1"/>
    <xf numFmtId="170" fontId="70" fillId="0" borderId="2" xfId="0" applyFont="1" applyBorder="1"/>
    <xf numFmtId="170" fontId="70" fillId="0" borderId="3" xfId="0" applyFont="1" applyBorder="1"/>
    <xf numFmtId="170" fontId="70" fillId="0" borderId="9" xfId="0" applyFont="1" applyBorder="1"/>
    <xf numFmtId="170" fontId="70" fillId="0" borderId="18" xfId="0" applyFont="1" applyBorder="1"/>
    <xf numFmtId="170" fontId="70" fillId="0" borderId="0" xfId="0" applyFont="1"/>
    <xf numFmtId="170" fontId="70" fillId="0" borderId="0" xfId="0" applyFont="1" applyBorder="1"/>
    <xf numFmtId="18" fontId="70" fillId="0" borderId="6" xfId="0" applyNumberFormat="1" applyFont="1" applyBorder="1"/>
    <xf numFmtId="170" fontId="70" fillId="0" borderId="22" xfId="0" applyFont="1" applyBorder="1"/>
    <xf numFmtId="170" fontId="70" fillId="0" borderId="23" xfId="0" applyFont="1" applyBorder="1"/>
    <xf numFmtId="170" fontId="70" fillId="0" borderId="7" xfId="0" applyFont="1" applyBorder="1"/>
    <xf numFmtId="170" fontId="70" fillId="0" borderId="8" xfId="0" applyFont="1" applyBorder="1"/>
    <xf numFmtId="170" fontId="70" fillId="0" borderId="10" xfId="0" applyFont="1" applyBorder="1"/>
    <xf numFmtId="170" fontId="70" fillId="0" borderId="24" xfId="0" applyFont="1" applyBorder="1"/>
    <xf numFmtId="18" fontId="70" fillId="0" borderId="1" xfId="0" applyNumberFormat="1" applyFont="1" applyBorder="1"/>
    <xf numFmtId="170" fontId="70" fillId="0" borderId="42" xfId="0" applyFont="1" applyBorder="1"/>
    <xf numFmtId="170" fontId="70" fillId="0" borderId="29" xfId="0" applyFont="1" applyBorder="1"/>
    <xf numFmtId="18" fontId="64" fillId="0" borderId="6" xfId="0" applyNumberFormat="1" applyFont="1" applyBorder="1"/>
    <xf numFmtId="170" fontId="64" fillId="0" borderId="7" xfId="0" applyFont="1" applyBorder="1"/>
    <xf numFmtId="170" fontId="64" fillId="0" borderId="8" xfId="0" applyFont="1" applyBorder="1"/>
    <xf numFmtId="18" fontId="64" fillId="0" borderId="1" xfId="0" applyNumberFormat="1" applyFont="1" applyBorder="1"/>
    <xf numFmtId="170" fontId="64" fillId="0" borderId="16" xfId="0" applyFont="1" applyBorder="1"/>
    <xf numFmtId="170" fontId="64" fillId="0" borderId="2" xfId="0" applyFont="1" applyBorder="1"/>
    <xf numFmtId="170" fontId="64" fillId="0" borderId="3" xfId="0" applyFont="1" applyBorder="1"/>
    <xf numFmtId="170" fontId="71" fillId="0" borderId="0" xfId="2" applyFont="1" applyFill="1" applyBorder="1"/>
    <xf numFmtId="170" fontId="72" fillId="0" borderId="0" xfId="2" applyFont="1" applyFill="1" applyBorder="1"/>
    <xf numFmtId="170" fontId="73" fillId="13" borderId="0" xfId="2" applyFont="1" applyFill="1" applyBorder="1"/>
    <xf numFmtId="170" fontId="74" fillId="0" borderId="0" xfId="2" applyFont="1" applyFill="1" applyBorder="1"/>
    <xf numFmtId="170" fontId="73" fillId="15" borderId="0" xfId="0" applyFont="1" applyFill="1" applyBorder="1"/>
    <xf numFmtId="170" fontId="75" fillId="16" borderId="0" xfId="2" applyFont="1" applyFill="1" applyBorder="1"/>
    <xf numFmtId="170" fontId="76" fillId="0" borderId="0" xfId="2" applyFont="1" applyFill="1" applyBorder="1"/>
    <xf numFmtId="170" fontId="77" fillId="0" borderId="0" xfId="2" applyFont="1" applyFill="1" applyBorder="1"/>
    <xf numFmtId="170" fontId="78" fillId="0" borderId="0" xfId="2" applyFont="1" applyFill="1" applyBorder="1"/>
    <xf numFmtId="170" fontId="79" fillId="18" borderId="0" xfId="2" applyFont="1" applyFill="1" applyBorder="1"/>
    <xf numFmtId="170" fontId="80" fillId="0" borderId="0" xfId="2" applyFont="1" applyFill="1" applyBorder="1"/>
    <xf numFmtId="170" fontId="81" fillId="0" borderId="0" xfId="2" applyFont="1" applyFill="1" applyBorder="1"/>
    <xf numFmtId="170" fontId="75" fillId="12" borderId="0" xfId="2" applyFont="1" applyFill="1" applyBorder="1"/>
    <xf numFmtId="170" fontId="82" fillId="0" borderId="0" xfId="2" applyFont="1" applyFill="1" applyBorder="1"/>
    <xf numFmtId="170" fontId="76" fillId="0" borderId="0" xfId="0" applyFont="1" applyBorder="1"/>
    <xf numFmtId="170" fontId="75" fillId="14" borderId="0" xfId="2" applyFont="1" applyFill="1" applyBorder="1"/>
    <xf numFmtId="170" fontId="83" fillId="0" borderId="0" xfId="2" applyFont="1" applyFill="1" applyBorder="1"/>
    <xf numFmtId="170" fontId="72" fillId="17" borderId="0" xfId="2" applyFont="1" applyFill="1" applyBorder="1"/>
    <xf numFmtId="170" fontId="84" fillId="0" borderId="0" xfId="2" applyFont="1" applyFill="1" applyBorder="1"/>
    <xf numFmtId="170" fontId="81" fillId="19" borderId="0" xfId="2" applyFont="1" applyFill="1" applyBorder="1"/>
    <xf numFmtId="170" fontId="76" fillId="20" borderId="0" xfId="2" applyFont="1" applyFill="1" applyBorder="1"/>
    <xf numFmtId="170" fontId="81" fillId="21" borderId="0" xfId="2" applyFont="1" applyFill="1" applyBorder="1"/>
    <xf numFmtId="170" fontId="0" fillId="0" borderId="0" xfId="0" applyFont="1"/>
    <xf numFmtId="170" fontId="0" fillId="0" borderId="0" xfId="0" applyNumberFormat="1" applyFont="1" applyAlignment="1">
      <alignment vertical="center" wrapText="1"/>
    </xf>
    <xf numFmtId="170" fontId="0" fillId="0" borderId="0" xfId="0" applyAlignment="1">
      <alignment horizontal="left"/>
    </xf>
    <xf numFmtId="1" fontId="42" fillId="0" borderId="0" xfId="0" applyNumberFormat="1" applyFont="1" applyAlignment="1">
      <alignment horizontal="center"/>
    </xf>
    <xf numFmtId="1" fontId="2" fillId="3" borderId="0" xfId="0" applyNumberFormat="1" applyFont="1" applyFill="1" applyAlignment="1">
      <alignment horizontal="center"/>
    </xf>
    <xf numFmtId="1" fontId="42" fillId="0" borderId="0" xfId="0" applyNumberFormat="1" applyFont="1" applyAlignment="1">
      <alignment horizontal="center" vertical="center" wrapText="1"/>
    </xf>
    <xf numFmtId="170" fontId="0" fillId="0" borderId="0" xfId="0" applyAlignment="1">
      <alignment horizontal="center"/>
    </xf>
    <xf numFmtId="1" fontId="42" fillId="0" borderId="0" xfId="0" applyNumberFormat="1" applyFont="1" applyAlignment="1">
      <alignment horizontal="left" vertical="center" wrapText="1"/>
    </xf>
    <xf numFmtId="170" fontId="2" fillId="3" borderId="0" xfId="0" applyFont="1" applyFill="1" applyAlignment="1">
      <alignment horizontal="center"/>
    </xf>
    <xf numFmtId="170" fontId="42" fillId="0" borderId="0" xfId="0" applyFont="1" applyAlignment="1">
      <alignment horizontal="center"/>
    </xf>
    <xf numFmtId="170" fontId="42" fillId="0" borderId="0" xfId="0" applyFont="1" applyAlignment="1">
      <alignment horizontal="center" vertical="center" wrapText="1"/>
    </xf>
    <xf numFmtId="170" fontId="85" fillId="3" borderId="0" xfId="0" applyFont="1" applyFill="1"/>
    <xf numFmtId="170" fontId="85" fillId="3" borderId="0" xfId="0" applyNumberFormat="1" applyFont="1" applyFill="1"/>
    <xf numFmtId="1" fontId="0" fillId="0" borderId="0" xfId="0" applyNumberFormat="1" applyFont="1" applyAlignment="1">
      <alignment horizontal="left" vertical="center" wrapText="1"/>
    </xf>
    <xf numFmtId="170" fontId="85" fillId="3" borderId="0" xfId="0" applyFont="1" applyFill="1" applyAlignment="1">
      <alignment horizontal="center"/>
    </xf>
    <xf numFmtId="1" fontId="0" fillId="0" borderId="0" xfId="0" applyNumberFormat="1" applyFont="1" applyAlignment="1">
      <alignment horizontal="left" vertical="center"/>
    </xf>
    <xf numFmtId="170" fontId="0" fillId="60" borderId="0" xfId="0" applyFill="1" applyAlignment="1">
      <alignment horizontal="center" vertical="center" wrapText="1"/>
    </xf>
    <xf numFmtId="49" fontId="42" fillId="0" borderId="0" xfId="0" applyNumberFormat="1" applyFont="1"/>
    <xf numFmtId="49" fontId="42" fillId="0" borderId="0" xfId="0" applyNumberFormat="1" applyFont="1" applyAlignment="1">
      <alignment vertical="center" wrapText="1"/>
    </xf>
    <xf numFmtId="17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vertical="center" wrapText="1"/>
    </xf>
    <xf numFmtId="170" fontId="5" fillId="0" borderId="0" xfId="0" applyNumberFormat="1" applyFont="1" applyAlignment="1">
      <alignment vertical="center" wrapText="1"/>
    </xf>
    <xf numFmtId="170" fontId="5" fillId="0" borderId="0" xfId="0" applyNumberFormat="1" applyFont="1"/>
    <xf numFmtId="170" fontId="5" fillId="0" borderId="0" xfId="0" applyFont="1"/>
    <xf numFmtId="14" fontId="5" fillId="0" borderId="0" xfId="0" applyNumberFormat="1" applyFont="1"/>
    <xf numFmtId="1" fontId="42" fillId="0" borderId="0" xfId="0" applyNumberFormat="1" applyFont="1" applyAlignment="1">
      <alignment horizontal="right"/>
    </xf>
    <xf numFmtId="1" fontId="87" fillId="3" borderId="0" xfId="0" applyNumberFormat="1" applyFont="1" applyFill="1" applyAlignment="1">
      <alignment horizontal="right"/>
    </xf>
    <xf numFmtId="170" fontId="42" fillId="0" borderId="0" xfId="0" applyNumberFormat="1" applyFont="1" applyAlignment="1">
      <alignment horizontal="right" vertical="center"/>
    </xf>
    <xf numFmtId="49" fontId="43" fillId="3" borderId="0" xfId="0" applyNumberFormat="1" applyFont="1" applyFill="1"/>
    <xf numFmtId="49" fontId="5" fillId="0" borderId="0" xfId="0" applyNumberFormat="1" applyFont="1" applyAlignment="1">
      <alignment vertical="center" wrapText="1"/>
    </xf>
    <xf numFmtId="170" fontId="32" fillId="27" borderId="0" xfId="8"/>
    <xf numFmtId="14" fontId="0" fillId="0" borderId="0" xfId="0" applyNumberFormat="1" applyFont="1" applyAlignment="1">
      <alignment vertical="center" wrapText="1"/>
    </xf>
    <xf numFmtId="170" fontId="5" fillId="0" borderId="0" xfId="0" applyFont="1" applyFill="1"/>
    <xf numFmtId="170" fontId="5" fillId="0" borderId="0" xfId="0" applyFont="1" applyFill="1" applyAlignment="1">
      <alignment vertical="center" wrapText="1"/>
    </xf>
    <xf numFmtId="14" fontId="5" fillId="0" borderId="0" xfId="0" applyNumberFormat="1" applyFont="1" applyFill="1" applyAlignment="1">
      <alignment vertical="center" wrapText="1"/>
    </xf>
    <xf numFmtId="170" fontId="5" fillId="0" borderId="0" xfId="0" applyNumberFormat="1" applyFont="1" applyFill="1" applyAlignment="1">
      <alignment vertical="center" wrapText="1"/>
    </xf>
    <xf numFmtId="14" fontId="5" fillId="0" borderId="0" xfId="0" applyNumberFormat="1" applyFont="1" applyFill="1"/>
    <xf numFmtId="170" fontId="0" fillId="0" borderId="0" xfId="0" applyFill="1"/>
    <xf numFmtId="170" fontId="5" fillId="58" borderId="0" xfId="0" applyFont="1" applyFill="1"/>
    <xf numFmtId="14" fontId="0" fillId="0" borderId="0" xfId="0" applyNumberFormat="1"/>
    <xf numFmtId="19" fontId="0" fillId="0" borderId="0" xfId="0" applyNumberFormat="1"/>
    <xf numFmtId="170" fontId="89" fillId="0" borderId="32" xfId="0" applyNumberFormat="1" applyFont="1" applyFill="1" applyBorder="1"/>
    <xf numFmtId="14" fontId="89" fillId="0" borderId="33" xfId="0" applyNumberFormat="1" applyFont="1" applyFill="1" applyBorder="1" applyAlignment="1">
      <alignment horizontal="center" vertical="center"/>
    </xf>
    <xf numFmtId="170" fontId="89" fillId="24" borderId="34" xfId="0" applyNumberFormat="1" applyFont="1" applyFill="1" applyBorder="1"/>
    <xf numFmtId="170" fontId="89" fillId="0" borderId="0" xfId="0" applyFont="1"/>
    <xf numFmtId="170" fontId="89" fillId="0" borderId="35" xfId="0" applyNumberFormat="1" applyFont="1" applyFill="1" applyBorder="1"/>
    <xf numFmtId="170" fontId="89" fillId="0" borderId="11" xfId="0" applyFont="1" applyFill="1" applyBorder="1" applyAlignment="1">
      <alignment horizontal="center"/>
    </xf>
    <xf numFmtId="170" fontId="90" fillId="0" borderId="36" xfId="0" applyNumberFormat="1" applyFont="1" applyFill="1" applyBorder="1"/>
    <xf numFmtId="170" fontId="21" fillId="8" borderId="12" xfId="0" applyNumberFormat="1" applyFont="1" applyFill="1" applyBorder="1"/>
    <xf numFmtId="170" fontId="89" fillId="0" borderId="35" xfId="0" applyNumberFormat="1" applyFont="1" applyFill="1" applyBorder="1" applyAlignment="1">
      <alignment horizontal="center" vertical="center"/>
    </xf>
    <xf numFmtId="170" fontId="89" fillId="0" borderId="39" xfId="0" applyNumberFormat="1" applyFont="1" applyFill="1" applyBorder="1" applyAlignment="1">
      <alignment horizontal="center" vertical="center"/>
    </xf>
    <xf numFmtId="170" fontId="89" fillId="0" borderId="40" xfId="0" applyNumberFormat="1" applyFont="1" applyFill="1" applyBorder="1" applyAlignment="1">
      <alignment horizontal="center" vertical="center"/>
    </xf>
    <xf numFmtId="170" fontId="89" fillId="0" borderId="30" xfId="0" applyNumberFormat="1" applyFont="1" applyFill="1" applyBorder="1" applyAlignment="1">
      <alignment horizontal="center" vertical="center"/>
    </xf>
    <xf numFmtId="170" fontId="18" fillId="0" borderId="4" xfId="0" applyNumberFormat="1" applyFont="1" applyBorder="1"/>
    <xf numFmtId="170" fontId="18" fillId="0" borderId="6" xfId="0" applyNumberFormat="1" applyFont="1" applyBorder="1"/>
    <xf numFmtId="170" fontId="18" fillId="0" borderId="4" xfId="0" applyNumberFormat="1" applyFont="1" applyFill="1" applyBorder="1" applyAlignment="1">
      <alignment horizontal="left"/>
    </xf>
    <xf numFmtId="170" fontId="18" fillId="0" borderId="4" xfId="0" applyNumberFormat="1" applyFont="1" applyBorder="1" applyAlignment="1">
      <alignment horizontal="left"/>
    </xf>
    <xf numFmtId="170" fontId="18" fillId="0" borderId="9" xfId="0" applyNumberFormat="1" applyFont="1" applyBorder="1"/>
    <xf numFmtId="170" fontId="18" fillId="5" borderId="0" xfId="0" applyNumberFormat="1" applyFont="1" applyFill="1"/>
    <xf numFmtId="170" fontId="0" fillId="0" borderId="0" xfId="0" applyAlignment="1"/>
    <xf numFmtId="170" fontId="0" fillId="59" borderId="0" xfId="0" applyFill="1" applyAlignment="1">
      <alignment horizontal="left" vertical="center"/>
    </xf>
    <xf numFmtId="170" fontId="5" fillId="0" borderId="23" xfId="0" applyFont="1" applyBorder="1"/>
    <xf numFmtId="170" fontId="5" fillId="0" borderId="7" xfId="0" applyFont="1" applyBorder="1"/>
    <xf numFmtId="170" fontId="5" fillId="0" borderId="8" xfId="0" applyFont="1" applyBorder="1"/>
    <xf numFmtId="170" fontId="5" fillId="0" borderId="17" xfId="0" applyFont="1" applyBorder="1"/>
    <xf numFmtId="170" fontId="5" fillId="0" borderId="2" xfId="0" applyFont="1" applyBorder="1"/>
    <xf numFmtId="170" fontId="5" fillId="0" borderId="3" xfId="0" applyFont="1" applyBorder="1"/>
    <xf numFmtId="170" fontId="5" fillId="0" borderId="29" xfId="0" applyFont="1" applyBorder="1"/>
    <xf numFmtId="170" fontId="5" fillId="0" borderId="42" xfId="0" applyFont="1" applyBorder="1"/>
    <xf numFmtId="170" fontId="92" fillId="0" borderId="0" xfId="0" applyFont="1"/>
    <xf numFmtId="170" fontId="93" fillId="0" borderId="0" xfId="0" applyFont="1" applyAlignment="1">
      <alignment vertical="center" wrapText="1"/>
    </xf>
    <xf numFmtId="170" fontId="0" fillId="0" borderId="0" xfId="0" applyFill="1" applyAlignment="1">
      <alignment horizontal="left"/>
    </xf>
    <xf numFmtId="1" fontId="42" fillId="0" borderId="0" xfId="0" applyNumberFormat="1" applyFont="1" applyFill="1" applyAlignment="1">
      <alignment horizontal="left" vertical="center" wrapText="1"/>
    </xf>
    <xf numFmtId="1" fontId="0" fillId="0" borderId="0" xfId="0" applyNumberFormat="1" applyFont="1" applyFill="1" applyAlignment="1">
      <alignment horizontal="left" vertical="center"/>
    </xf>
    <xf numFmtId="0" fontId="92" fillId="0" borderId="0" xfId="0" applyNumberFormat="1" applyFont="1"/>
    <xf numFmtId="0" fontId="92" fillId="0" borderId="0" xfId="0" applyNumberFormat="1" applyFont="1" applyAlignment="1"/>
    <xf numFmtId="0" fontId="42" fillId="0" borderId="0" xfId="0" applyNumberFormat="1" applyFont="1" applyAlignment="1"/>
    <xf numFmtId="0" fontId="91" fillId="0" borderId="0" xfId="0" applyNumberFormat="1" applyFont="1" applyAlignment="1">
      <alignment vertical="center"/>
    </xf>
    <xf numFmtId="0" fontId="42" fillId="0" borderId="0" xfId="0" applyNumberFormat="1" applyFont="1"/>
    <xf numFmtId="0" fontId="2" fillId="3" borderId="0" xfId="0" applyNumberFormat="1" applyFont="1" applyFill="1"/>
    <xf numFmtId="0" fontId="5" fillId="0" borderId="0" xfId="0" applyNumberFormat="1" applyFont="1"/>
    <xf numFmtId="0" fontId="0" fillId="0" borderId="0" xfId="0" applyNumberFormat="1" applyFont="1"/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Fill="1" applyAlignment="1">
      <alignment vertical="center" wrapText="1"/>
    </xf>
    <xf numFmtId="0" fontId="5" fillId="0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vertical="center" wrapText="1"/>
    </xf>
    <xf numFmtId="0" fontId="42" fillId="0" borderId="0" xfId="0" applyNumberFormat="1" applyFont="1" applyAlignment="1">
      <alignment vertical="center" wrapText="1"/>
    </xf>
    <xf numFmtId="0" fontId="85" fillId="3" borderId="0" xfId="0" applyNumberFormat="1" applyFont="1" applyFill="1"/>
    <xf numFmtId="0" fontId="42" fillId="0" borderId="0" xfId="0" applyNumberFormat="1" applyFont="1" applyAlignment="1">
      <alignment horizontal="center"/>
    </xf>
    <xf numFmtId="0" fontId="2" fillId="3" borderId="0" xfId="0" applyNumberFormat="1" applyFont="1" applyFill="1" applyAlignment="1">
      <alignment horizontal="center"/>
    </xf>
    <xf numFmtId="0" fontId="42" fillId="0" borderId="0" xfId="0" applyNumberFormat="1" applyFont="1" applyAlignment="1">
      <alignment horizontal="center" vertical="center" wrapText="1"/>
    </xf>
    <xf numFmtId="0" fontId="5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0" fontId="0" fillId="59" borderId="0" xfId="0" applyNumberFormat="1" applyFill="1" applyAlignment="1">
      <alignment horizontal="center" vertical="center"/>
    </xf>
    <xf numFmtId="0" fontId="0" fillId="59" borderId="0" xfId="0" applyNumberFormat="1" applyFill="1" applyAlignment="1">
      <alignment horizontal="center" vertical="center" wrapText="1"/>
    </xf>
    <xf numFmtId="0" fontId="0" fillId="59" borderId="0" xfId="0" applyNumberFormat="1" applyFill="1" applyAlignment="1">
      <alignment horizontal="left" vertical="center" wrapText="1"/>
    </xf>
    <xf numFmtId="0" fontId="0" fillId="0" borderId="0" xfId="0" applyNumberFormat="1" applyAlignment="1">
      <alignment horizontal="center" vertical="center"/>
    </xf>
    <xf numFmtId="0" fontId="0" fillId="6" borderId="0" xfId="0" applyNumberFormat="1" applyFill="1" applyAlignment="1">
      <alignment horizontal="center" vertical="center" wrapText="1"/>
    </xf>
    <xf numFmtId="0" fontId="0" fillId="0" borderId="0" xfId="0" applyNumberFormat="1" applyFont="1" applyAlignment="1">
      <alignment horizontal="center" vertical="center" wrapText="1"/>
    </xf>
    <xf numFmtId="0" fontId="42" fillId="0" borderId="0" xfId="0" applyNumberFormat="1" applyFont="1" applyAlignment="1">
      <alignment horizontal="left" vertical="center" wrapText="1"/>
    </xf>
    <xf numFmtId="0" fontId="42" fillId="0" borderId="0" xfId="0" applyNumberFormat="1" applyFont="1" applyAlignment="1">
      <alignment horizontal="center" wrapText="1"/>
    </xf>
    <xf numFmtId="0" fontId="0" fillId="0" borderId="0" xfId="0" applyNumberFormat="1" applyFont="1" applyFill="1" applyAlignment="1">
      <alignment horizontal="center" vertical="center" wrapText="1"/>
    </xf>
    <xf numFmtId="0" fontId="42" fillId="0" borderId="0" xfId="0" applyNumberFormat="1" applyFont="1" applyFill="1" applyAlignment="1">
      <alignment horizontal="center" vertical="center" wrapText="1"/>
    </xf>
    <xf numFmtId="0" fontId="42" fillId="0" borderId="0" xfId="0" applyNumberFormat="1" applyFont="1" applyFill="1" applyAlignment="1">
      <alignment horizontal="left" vertical="center" wrapText="1"/>
    </xf>
    <xf numFmtId="0" fontId="0" fillId="0" borderId="0" xfId="0" applyNumberFormat="1" applyFill="1" applyAlignment="1">
      <alignment horizontal="center"/>
    </xf>
    <xf numFmtId="0" fontId="0" fillId="0" borderId="0" xfId="0" applyNumberFormat="1" applyFill="1"/>
    <xf numFmtId="0" fontId="0" fillId="0" borderId="0" xfId="0" applyNumberFormat="1" applyFont="1" applyAlignment="1">
      <alignment horizontal="left" vertical="center" wrapText="1"/>
    </xf>
    <xf numFmtId="0" fontId="0" fillId="60" borderId="0" xfId="0" applyNumberFormat="1" applyFill="1" applyAlignment="1">
      <alignment horizontal="center" vertical="center" wrapText="1"/>
    </xf>
    <xf numFmtId="0" fontId="0" fillId="0" borderId="0" xfId="0" applyNumberFormat="1" applyFill="1" applyAlignment="1">
      <alignment horizontal="left"/>
    </xf>
    <xf numFmtId="171" fontId="68" fillId="8" borderId="0" xfId="0" applyNumberFormat="1" applyFont="1" applyFill="1" applyBorder="1" applyAlignment="1">
      <alignment horizontal="center" vertical="center"/>
    </xf>
    <xf numFmtId="0" fontId="64" fillId="0" borderId="0" xfId="0" applyNumberFormat="1" applyFont="1" applyBorder="1"/>
    <xf numFmtId="0" fontId="64" fillId="0" borderId="19" xfId="0" applyNumberFormat="1" applyFont="1" applyBorder="1" applyAlignment="1">
      <alignment horizontal="center"/>
    </xf>
    <xf numFmtId="0" fontId="64" fillId="0" borderId="20" xfId="0" applyNumberFormat="1" applyFont="1" applyBorder="1" applyAlignment="1">
      <alignment horizontal="center"/>
    </xf>
    <xf numFmtId="0" fontId="64" fillId="0" borderId="21" xfId="0" applyNumberFormat="1" applyFont="1" applyBorder="1" applyAlignment="1">
      <alignment horizontal="center"/>
    </xf>
    <xf numFmtId="0" fontId="64" fillId="0" borderId="29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center"/>
    </xf>
    <xf numFmtId="0" fontId="64" fillId="0" borderId="5" xfId="0" applyNumberFormat="1" applyFont="1" applyBorder="1" applyAlignment="1">
      <alignment horizontal="center"/>
    </xf>
    <xf numFmtId="0" fontId="64" fillId="0" borderId="15" xfId="0" applyNumberFormat="1" applyFont="1" applyBorder="1" applyAlignment="1">
      <alignment horizontal="center"/>
    </xf>
    <xf numFmtId="0" fontId="64" fillId="0" borderId="0" xfId="0" applyNumberFormat="1" applyFont="1"/>
    <xf numFmtId="172" fontId="5" fillId="0" borderId="0" xfId="0" applyNumberFormat="1" applyFont="1" applyAlignment="1">
      <alignment vertical="center" wrapText="1"/>
    </xf>
    <xf numFmtId="172" fontId="5" fillId="0" borderId="0" xfId="0" applyNumberFormat="1" applyFont="1"/>
    <xf numFmtId="170" fontId="42" fillId="0" borderId="0" xfId="0" applyFont="1" applyAlignment="1">
      <alignment wrapText="1"/>
    </xf>
    <xf numFmtId="0" fontId="88" fillId="29" borderId="0" xfId="45" applyNumberFormat="1" applyAlignment="1">
      <alignment horizontal="center"/>
    </xf>
    <xf numFmtId="1" fontId="42" fillId="0" borderId="0" xfId="0" applyNumberFormat="1" applyFont="1" applyAlignment="1">
      <alignment horizontal="center" wrapText="1"/>
    </xf>
    <xf numFmtId="170" fontId="42" fillId="0" borderId="0" xfId="0" applyNumberFormat="1" applyFont="1" applyAlignment="1">
      <alignment horizontal="right"/>
    </xf>
    <xf numFmtId="170" fontId="0" fillId="58" borderId="0" xfId="0" applyFill="1" applyAlignment="1">
      <alignment vertical="center" wrapText="1"/>
    </xf>
    <xf numFmtId="170" fontId="19" fillId="0" borderId="2" xfId="0" applyFont="1" applyBorder="1"/>
    <xf numFmtId="0" fontId="42" fillId="0" borderId="0" xfId="0" applyNumberFormat="1" applyFont="1" applyAlignment="1">
      <alignment wrapText="1"/>
    </xf>
    <xf numFmtId="170" fontId="19" fillId="0" borderId="16" xfId="0" applyFont="1" applyBorder="1"/>
    <xf numFmtId="0" fontId="42" fillId="10" borderId="0" xfId="0" applyNumberFormat="1" applyFont="1" applyFill="1"/>
    <xf numFmtId="0" fontId="43" fillId="4" borderId="0" xfId="0" applyNumberFormat="1" applyFont="1" applyFill="1" applyAlignment="1">
      <alignment horizontal="center"/>
    </xf>
    <xf numFmtId="49" fontId="5" fillId="0" borderId="0" xfId="0" applyNumberFormat="1" applyFont="1" applyAlignment="1">
      <alignment wrapText="1"/>
    </xf>
    <xf numFmtId="22" fontId="42" fillId="0" borderId="0" xfId="0" applyNumberFormat="1" applyFont="1" applyAlignment="1"/>
    <xf numFmtId="0" fontId="32" fillId="27" borderId="0" xfId="8" applyNumberFormat="1" applyAlignment="1">
      <alignment horizontal="center"/>
    </xf>
    <xf numFmtId="170" fontId="19" fillId="0" borderId="42" xfId="0" applyFont="1" applyBorder="1"/>
    <xf numFmtId="170" fontId="0" fillId="0" borderId="0" xfId="0"/>
    <xf numFmtId="170" fontId="19" fillId="0" borderId="17" xfId="0" applyFont="1" applyBorder="1"/>
    <xf numFmtId="170" fontId="42" fillId="0" borderId="0" xfId="0" applyFont="1" applyBorder="1" applyAlignment="1"/>
    <xf numFmtId="170" fontId="19" fillId="0" borderId="3" xfId="0" applyFont="1" applyBorder="1"/>
    <xf numFmtId="170" fontId="19" fillId="0" borderId="9" xfId="0" applyFont="1" applyBorder="1"/>
    <xf numFmtId="0" fontId="41" fillId="29" borderId="0" xfId="38" applyNumberFormat="1" applyAlignment="1">
      <alignment horizontal="center"/>
    </xf>
    <xf numFmtId="170" fontId="19" fillId="0" borderId="18" xfId="0" applyFont="1" applyBorder="1"/>
    <xf numFmtId="170" fontId="42" fillId="0" borderId="0" xfId="0" applyFont="1" applyAlignment="1">
      <alignment horizontal="center" wrapText="1"/>
    </xf>
    <xf numFmtId="170" fontId="5" fillId="0" borderId="0" xfId="0" applyFont="1"/>
    <xf numFmtId="170" fontId="42" fillId="0" borderId="0" xfId="0" applyFont="1" applyAlignment="1"/>
    <xf numFmtId="170" fontId="0" fillId="0" borderId="0" xfId="0" applyFont="1" applyAlignment="1">
      <alignment vertical="center" wrapText="1"/>
    </xf>
    <xf numFmtId="17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vertical="center" wrapText="1"/>
    </xf>
    <xf numFmtId="49" fontId="5" fillId="0" borderId="0" xfId="0" applyNumberFormat="1" applyFont="1" applyAlignment="1">
      <alignment vertical="center" wrapText="1"/>
    </xf>
    <xf numFmtId="170" fontId="5" fillId="58" borderId="0" xfId="0" applyFont="1" applyFill="1"/>
    <xf numFmtId="170" fontId="0" fillId="0" borderId="0" xfId="0" applyAlignment="1"/>
    <xf numFmtId="0" fontId="5" fillId="0" borderId="0" xfId="0" applyNumberFormat="1" applyFont="1" applyAlignment="1"/>
    <xf numFmtId="0" fontId="5" fillId="0" borderId="0" xfId="0" applyNumberFormat="1" applyFont="1"/>
    <xf numFmtId="0" fontId="5" fillId="0" borderId="0" xfId="0" applyNumberFormat="1" applyFont="1" applyAlignment="1">
      <alignment vertical="center" wrapText="1"/>
    </xf>
    <xf numFmtId="0" fontId="0" fillId="0" borderId="0" xfId="0" applyNumberFormat="1"/>
    <xf numFmtId="0" fontId="0" fillId="0" borderId="0" xfId="0" applyNumberFormat="1" applyAlignment="1">
      <alignment horizontal="center"/>
    </xf>
    <xf numFmtId="172" fontId="5" fillId="0" borderId="0" xfId="0" applyNumberFormat="1" applyFont="1" applyAlignment="1">
      <alignment vertical="center" wrapText="1"/>
    </xf>
    <xf numFmtId="1" fontId="0" fillId="0" borderId="0" xfId="0" applyNumberFormat="1" applyAlignment="1">
      <alignment horizontal="center"/>
    </xf>
    <xf numFmtId="170" fontId="5" fillId="0" borderId="0" xfId="0" applyFont="1" applyAlignment="1">
      <alignment wrapText="1"/>
    </xf>
    <xf numFmtId="0" fontId="5" fillId="0" borderId="0" xfId="0" applyNumberFormat="1" applyFont="1" applyAlignment="1">
      <alignment wrapText="1"/>
    </xf>
    <xf numFmtId="14" fontId="5" fillId="0" borderId="0" xfId="0" applyNumberFormat="1" applyFont="1" applyAlignment="1">
      <alignment wrapText="1"/>
    </xf>
    <xf numFmtId="172" fontId="5" fillId="0" borderId="0" xfId="0" applyNumberFormat="1" applyFont="1" applyAlignment="1">
      <alignment wrapText="1"/>
    </xf>
    <xf numFmtId="170" fontId="0" fillId="58" borderId="0" xfId="0" applyFont="1" applyFill="1"/>
    <xf numFmtId="170" fontId="5" fillId="58" borderId="0" xfId="0" applyFont="1" applyFill="1" applyAlignment="1">
      <alignment vertical="center" wrapText="1"/>
    </xf>
    <xf numFmtId="170" fontId="0" fillId="58" borderId="0" xfId="0" applyFill="1"/>
    <xf numFmtId="170" fontId="0" fillId="58" borderId="0" xfId="0" applyFont="1" applyFill="1" applyAlignment="1">
      <alignment vertical="center" wrapText="1"/>
    </xf>
    <xf numFmtId="170" fontId="0" fillId="58" borderId="0" xfId="0" applyFont="1" applyFill="1" applyAlignment="1">
      <alignment wrapText="1"/>
    </xf>
    <xf numFmtId="170" fontId="0" fillId="58" borderId="0" xfId="0" applyFill="1" applyAlignment="1"/>
    <xf numFmtId="170" fontId="19" fillId="0" borderId="22" xfId="0" applyFont="1" applyBorder="1"/>
    <xf numFmtId="170" fontId="19" fillId="0" borderId="23" xfId="0" applyFont="1" applyBorder="1"/>
    <xf numFmtId="170" fontId="19" fillId="0" borderId="7" xfId="0" applyFont="1" applyBorder="1"/>
    <xf numFmtId="170" fontId="19" fillId="0" borderId="8" xfId="0" applyFont="1" applyBorder="1"/>
    <xf numFmtId="170" fontId="19" fillId="0" borderId="10" xfId="0" applyFont="1" applyBorder="1"/>
    <xf numFmtId="170" fontId="19" fillId="0" borderId="29" xfId="0" applyFont="1" applyBorder="1"/>
    <xf numFmtId="170" fontId="19" fillId="0" borderId="24" xfId="0" applyFont="1" applyBorder="1"/>
    <xf numFmtId="170" fontId="33" fillId="28" borderId="0" xfId="9"/>
    <xf numFmtId="49" fontId="0" fillId="58" borderId="0" xfId="0" applyNumberFormat="1" applyFont="1" applyFill="1" applyAlignment="1">
      <alignment wrapText="1"/>
    </xf>
    <xf numFmtId="49" fontId="0" fillId="58" borderId="0" xfId="0" applyNumberFormat="1" applyFont="1" applyFill="1" applyAlignment="1">
      <alignment horizontal="left" wrapText="1"/>
    </xf>
    <xf numFmtId="170" fontId="33" fillId="28" borderId="0" xfId="9" applyAlignment="1">
      <alignment vertical="center" wrapText="1"/>
    </xf>
    <xf numFmtId="0" fontId="5" fillId="0" borderId="0" xfId="0" applyNumberFormat="1" applyFont="1" applyAlignment="1">
      <alignment horizontal="center" wrapText="1"/>
    </xf>
    <xf numFmtId="170" fontId="50" fillId="22" borderId="0" xfId="0" applyFont="1" applyFill="1" applyBorder="1" applyAlignment="1">
      <alignment horizontal="center"/>
    </xf>
    <xf numFmtId="170" fontId="50" fillId="22" borderId="5" xfId="0" applyFont="1" applyFill="1" applyBorder="1" applyAlignment="1">
      <alignment horizontal="center"/>
    </xf>
    <xf numFmtId="170" fontId="51" fillId="0" borderId="4" xfId="0" applyFont="1" applyBorder="1" applyAlignment="1">
      <alignment horizontal="center"/>
    </xf>
    <xf numFmtId="170" fontId="51" fillId="0" borderId="0" xfId="0" applyFont="1" applyBorder="1" applyAlignment="1">
      <alignment horizontal="center"/>
    </xf>
    <xf numFmtId="170" fontId="6" fillId="8" borderId="13" xfId="0" applyFont="1" applyFill="1" applyBorder="1" applyAlignment="1">
      <alignment horizontal="left"/>
    </xf>
    <xf numFmtId="170" fontId="6" fillId="8" borderId="14" xfId="0" applyFont="1" applyFill="1" applyBorder="1" applyAlignment="1">
      <alignment horizontal="left"/>
    </xf>
    <xf numFmtId="170" fontId="15" fillId="0" borderId="4" xfId="0" applyFont="1" applyBorder="1" applyAlignment="1">
      <alignment horizontal="center"/>
    </xf>
    <xf numFmtId="170" fontId="15" fillId="0" borderId="0" xfId="0" applyFont="1" applyBorder="1" applyAlignment="1">
      <alignment horizontal="center"/>
    </xf>
    <xf numFmtId="170" fontId="24" fillId="22" borderId="0" xfId="0" applyFont="1" applyFill="1" applyBorder="1" applyAlignment="1">
      <alignment horizontal="center"/>
    </xf>
    <xf numFmtId="170" fontId="24" fillId="22" borderId="5" xfId="0" applyFont="1" applyFill="1" applyBorder="1" applyAlignment="1">
      <alignment horizontal="center"/>
    </xf>
  </cellXfs>
  <cellStyles count="46">
    <cellStyle name="20% - Accent1" xfId="20" builtinId="30" customBuiltin="1"/>
    <cellStyle name="20% - Accent2" xfId="23" builtinId="34" customBuiltin="1"/>
    <cellStyle name="20% - Accent3" xfId="26" builtinId="38" customBuiltin="1"/>
    <cellStyle name="20% - Accent4" xfId="29" builtinId="42" customBuiltin="1"/>
    <cellStyle name="20% - Accent5" xfId="32" builtinId="46" customBuiltin="1"/>
    <cellStyle name="20% - Accent6" xfId="35" builtinId="50" customBuiltin="1"/>
    <cellStyle name="40% - Accent1" xfId="21" builtinId="31" customBuiltin="1"/>
    <cellStyle name="40% - Accent2" xfId="24" builtinId="35" customBuiltin="1"/>
    <cellStyle name="40% - Accent3" xfId="27" builtinId="39" customBuiltin="1"/>
    <cellStyle name="40% - Accent4" xfId="30" builtinId="43" customBuiltin="1"/>
    <cellStyle name="40% - Accent5" xfId="33" builtinId="47" customBuiltin="1"/>
    <cellStyle name="40% - Accent6" xfId="36" builtinId="51" customBuiltin="1"/>
    <cellStyle name="60% - Accent1 2" xfId="39" xr:uid="{00000000-0005-0000-0000-00000C000000}"/>
    <cellStyle name="60% - Accent2 2" xfId="40" xr:uid="{00000000-0005-0000-0000-00000D000000}"/>
    <cellStyle name="60% - Accent3 2" xfId="41" xr:uid="{00000000-0005-0000-0000-00000E000000}"/>
    <cellStyle name="60% - Accent4 2" xfId="42" xr:uid="{00000000-0005-0000-0000-00000F000000}"/>
    <cellStyle name="60% - Accent5 2" xfId="43" xr:uid="{00000000-0005-0000-0000-000010000000}"/>
    <cellStyle name="60% - Accent6 2" xfId="44" xr:uid="{00000000-0005-0000-0000-000011000000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9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0" builtinId="20" customBuiltin="1"/>
    <cellStyle name="Linked Cell" xfId="13" builtinId="24" customBuiltin="1"/>
    <cellStyle name="Neutral" xfId="45" builtinId="28"/>
    <cellStyle name="Neutral 2" xfId="38" xr:uid="{00000000-0005-0000-0000-000025000000}"/>
    <cellStyle name="Normal" xfId="0" builtinId="0"/>
    <cellStyle name="Normal 2" xfId="3" xr:uid="{00000000-0005-0000-0000-000027000000}"/>
    <cellStyle name="Normal_MACABBI" xfId="2" xr:uid="{00000000-0005-0000-0000-000028000000}"/>
    <cellStyle name="Note" xfId="16" builtinId="10" customBuiltin="1"/>
    <cellStyle name="Output" xfId="11" builtinId="21" customBuiltin="1"/>
    <cellStyle name="Title 2" xfId="37" xr:uid="{00000000-0005-0000-0000-00002B000000}"/>
    <cellStyle name="Total" xfId="18" builtinId="25" customBuiltin="1"/>
    <cellStyle name="Warning Text" xfId="15" builtinId="11" customBuiltin="1"/>
  </cellStyles>
  <dxfs count="84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996600"/>
        </patternFill>
      </fill>
    </dxf>
    <dxf>
      <font>
        <color theme="0"/>
      </font>
      <fill>
        <patternFill>
          <bgColor rgb="FF267444"/>
        </patternFill>
      </fill>
    </dxf>
    <dxf>
      <font>
        <color theme="0"/>
      </font>
      <fill>
        <patternFill>
          <bgColor rgb="FFF3120D"/>
        </patternFill>
      </fill>
    </dxf>
    <dxf>
      <fill>
        <patternFill>
          <bgColor rgb="FFC76BBC"/>
        </patternFill>
      </fill>
    </dxf>
    <dxf>
      <font>
        <color theme="0"/>
      </font>
      <fill>
        <patternFill patternType="solid">
          <bgColor rgb="FF336699"/>
        </patternFill>
      </fill>
    </dxf>
    <dxf>
      <font>
        <b val="0"/>
        <i val="0"/>
        <color auto="1"/>
      </font>
      <fill>
        <patternFill>
          <bgColor rgb="FFFF9900"/>
        </patternFill>
      </fill>
    </dxf>
    <dxf>
      <font>
        <b val="0"/>
        <i val="0"/>
        <color theme="0"/>
      </font>
      <fill>
        <patternFill>
          <bgColor rgb="FF6600FF"/>
        </patternFill>
      </fill>
    </dxf>
    <dxf>
      <font>
        <color theme="0"/>
      </font>
      <fill>
        <patternFill>
          <bgColor rgb="FFFF3399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9900"/>
        </patternFill>
      </fill>
    </dxf>
    <dxf>
      <font>
        <color rgb="FFFF0000"/>
      </font>
      <fill>
        <patternFill>
          <bgColor rgb="FFFFCC00"/>
        </patternFill>
      </fill>
    </dxf>
    <dxf>
      <font>
        <b/>
        <i val="0"/>
        <color auto="1"/>
      </font>
      <fill>
        <patternFill>
          <bgColor rgb="FF00CDC8"/>
        </patternFill>
      </fill>
    </dxf>
    <dxf>
      <fill>
        <patternFill>
          <bgColor rgb="FFCC99FF"/>
        </patternFill>
      </fill>
    </dxf>
    <dxf>
      <font>
        <b val="0"/>
        <i val="0"/>
        <color theme="0"/>
      </font>
      <fill>
        <patternFill>
          <bgColor rgb="FF0033CC"/>
        </patternFill>
      </fill>
    </dxf>
    <dxf>
      <fill>
        <patternFill>
          <bgColor rgb="FF66FF66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996600"/>
        </patternFill>
      </fill>
    </dxf>
    <dxf>
      <font>
        <color theme="0"/>
      </font>
      <fill>
        <patternFill>
          <bgColor rgb="FF267444"/>
        </patternFill>
      </fill>
    </dxf>
    <dxf>
      <font>
        <color theme="0"/>
      </font>
      <fill>
        <patternFill>
          <bgColor rgb="FFF3120D"/>
        </patternFill>
      </fill>
    </dxf>
    <dxf>
      <fill>
        <patternFill>
          <bgColor rgb="FFC76BBC"/>
        </patternFill>
      </fill>
    </dxf>
    <dxf>
      <font>
        <color theme="0"/>
      </font>
      <fill>
        <patternFill patternType="solid">
          <bgColor rgb="FF336699"/>
        </patternFill>
      </fill>
    </dxf>
    <dxf>
      <font>
        <b val="0"/>
        <i val="0"/>
        <color auto="1"/>
      </font>
      <fill>
        <patternFill>
          <bgColor rgb="FFFF9900"/>
        </patternFill>
      </fill>
    </dxf>
    <dxf>
      <font>
        <b val="0"/>
        <i val="0"/>
        <color theme="0"/>
      </font>
      <fill>
        <patternFill>
          <bgColor rgb="FF6600FF"/>
        </patternFill>
      </fill>
    </dxf>
    <dxf>
      <font>
        <color theme="0"/>
      </font>
      <fill>
        <patternFill>
          <bgColor rgb="FFFF3399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9900"/>
        </patternFill>
      </fill>
    </dxf>
    <dxf>
      <font>
        <color rgb="FFFF0000"/>
      </font>
      <fill>
        <patternFill>
          <bgColor rgb="FFFFCC00"/>
        </patternFill>
      </fill>
    </dxf>
    <dxf>
      <font>
        <b/>
        <i val="0"/>
        <color auto="1"/>
      </font>
      <fill>
        <patternFill>
          <bgColor rgb="FF00CDC8"/>
        </patternFill>
      </fill>
    </dxf>
    <dxf>
      <fill>
        <patternFill>
          <bgColor rgb="FFCC99FF"/>
        </patternFill>
      </fill>
    </dxf>
    <dxf>
      <font>
        <b val="0"/>
        <i val="0"/>
        <color theme="0"/>
      </font>
      <fill>
        <patternFill>
          <bgColor rgb="FF0033CC"/>
        </patternFill>
      </fill>
    </dxf>
    <dxf>
      <fill>
        <patternFill>
          <bgColor rgb="FF66FF66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color theme="0"/>
      </font>
      <fill>
        <patternFill>
          <bgColor rgb="FF996600"/>
        </patternFill>
      </fill>
    </dxf>
    <dxf>
      <font>
        <color theme="0"/>
      </font>
      <fill>
        <patternFill>
          <bgColor rgb="FF267444"/>
        </patternFill>
      </fill>
    </dxf>
    <dxf>
      <font>
        <color theme="0"/>
      </font>
      <fill>
        <patternFill>
          <bgColor rgb="FFF3120D"/>
        </patternFill>
      </fill>
    </dxf>
    <dxf>
      <fill>
        <patternFill>
          <bgColor rgb="FFC76BBC"/>
        </patternFill>
      </fill>
    </dxf>
    <dxf>
      <font>
        <color theme="0"/>
      </font>
      <fill>
        <patternFill patternType="solid">
          <bgColor rgb="FF336699"/>
        </patternFill>
      </fill>
    </dxf>
    <dxf>
      <font>
        <b val="0"/>
        <i val="0"/>
        <color auto="1"/>
      </font>
      <fill>
        <patternFill>
          <bgColor rgb="FFFF9900"/>
        </patternFill>
      </fill>
    </dxf>
    <dxf>
      <font>
        <b val="0"/>
        <i val="0"/>
        <color theme="0"/>
      </font>
      <fill>
        <patternFill>
          <bgColor rgb="FF6600FF"/>
        </patternFill>
      </fill>
    </dxf>
    <dxf>
      <font>
        <color theme="0"/>
      </font>
      <fill>
        <patternFill>
          <bgColor rgb="FFFF3399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9900"/>
        </patternFill>
      </fill>
    </dxf>
    <dxf>
      <font>
        <color rgb="FFFF0000"/>
      </font>
      <fill>
        <patternFill>
          <bgColor rgb="FFFFCC00"/>
        </patternFill>
      </fill>
    </dxf>
    <dxf>
      <font>
        <b/>
        <i val="0"/>
        <color auto="1"/>
      </font>
      <fill>
        <patternFill>
          <bgColor rgb="FF00CDC8"/>
        </patternFill>
      </fill>
    </dxf>
    <dxf>
      <fill>
        <patternFill>
          <bgColor rgb="FFCC99FF"/>
        </patternFill>
      </fill>
    </dxf>
    <dxf>
      <font>
        <b val="0"/>
        <i val="0"/>
        <color theme="0"/>
      </font>
      <fill>
        <patternFill>
          <bgColor rgb="FF0033CC"/>
        </patternFill>
      </fill>
    </dxf>
    <dxf>
      <fill>
        <patternFill>
          <bgColor rgb="FF66FF66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996600"/>
        </patternFill>
      </fill>
    </dxf>
    <dxf>
      <font>
        <color theme="0"/>
      </font>
      <fill>
        <patternFill>
          <bgColor rgb="FF267444"/>
        </patternFill>
      </fill>
    </dxf>
    <dxf>
      <font>
        <color theme="0"/>
      </font>
      <fill>
        <patternFill>
          <bgColor rgb="FFF3120D"/>
        </patternFill>
      </fill>
    </dxf>
    <dxf>
      <fill>
        <patternFill>
          <bgColor rgb="FFC76BBC"/>
        </patternFill>
      </fill>
    </dxf>
    <dxf>
      <font>
        <color theme="0"/>
      </font>
      <fill>
        <patternFill patternType="solid">
          <bgColor rgb="FF336699"/>
        </patternFill>
      </fill>
    </dxf>
    <dxf>
      <font>
        <b val="0"/>
        <i val="0"/>
        <color auto="1"/>
      </font>
      <fill>
        <patternFill>
          <bgColor rgb="FFFF9900"/>
        </patternFill>
      </fill>
    </dxf>
    <dxf>
      <font>
        <b val="0"/>
        <i val="0"/>
        <color theme="0"/>
      </font>
      <fill>
        <patternFill>
          <bgColor rgb="FF6600FF"/>
        </patternFill>
      </fill>
    </dxf>
    <dxf>
      <font>
        <color theme="0"/>
      </font>
      <fill>
        <patternFill>
          <bgColor rgb="FFFF3399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9900"/>
        </patternFill>
      </fill>
    </dxf>
    <dxf>
      <font>
        <color rgb="FFFF0000"/>
      </font>
      <fill>
        <patternFill>
          <bgColor rgb="FFFFCC00"/>
        </patternFill>
      </fill>
    </dxf>
    <dxf>
      <font>
        <b/>
        <i val="0"/>
        <color auto="1"/>
      </font>
      <fill>
        <patternFill>
          <bgColor rgb="FF00CDC8"/>
        </patternFill>
      </fill>
    </dxf>
    <dxf>
      <fill>
        <patternFill>
          <bgColor rgb="FFCC99FF"/>
        </patternFill>
      </fill>
    </dxf>
    <dxf>
      <font>
        <b val="0"/>
        <i val="0"/>
        <color theme="0"/>
      </font>
      <fill>
        <patternFill>
          <bgColor rgb="FF0033CC"/>
        </patternFill>
      </fill>
    </dxf>
    <dxf>
      <fill>
        <patternFill>
          <bgColor rgb="FF66FF66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996600"/>
        </patternFill>
      </fill>
    </dxf>
    <dxf>
      <font>
        <color theme="0"/>
      </font>
      <fill>
        <patternFill>
          <bgColor rgb="FF267444"/>
        </patternFill>
      </fill>
    </dxf>
    <dxf>
      <font>
        <color theme="0"/>
      </font>
      <fill>
        <patternFill>
          <bgColor rgb="FFF3120D"/>
        </patternFill>
      </fill>
    </dxf>
    <dxf>
      <fill>
        <patternFill>
          <bgColor rgb="FFC76BBC"/>
        </patternFill>
      </fill>
    </dxf>
    <dxf>
      <font>
        <color theme="0"/>
      </font>
      <fill>
        <patternFill patternType="solid">
          <bgColor rgb="FF336699"/>
        </patternFill>
      </fill>
    </dxf>
    <dxf>
      <font>
        <b val="0"/>
        <i val="0"/>
        <color auto="1"/>
      </font>
      <fill>
        <patternFill>
          <bgColor rgb="FFFF9900"/>
        </patternFill>
      </fill>
    </dxf>
    <dxf>
      <font>
        <b val="0"/>
        <i val="0"/>
        <color theme="0"/>
      </font>
      <fill>
        <patternFill>
          <bgColor rgb="FF6600FF"/>
        </patternFill>
      </fill>
    </dxf>
    <dxf>
      <font>
        <color theme="0"/>
      </font>
      <fill>
        <patternFill>
          <bgColor rgb="FFFF3399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rgb="FF009900"/>
        </patternFill>
      </fill>
    </dxf>
    <dxf>
      <font>
        <color rgb="FFFF0000"/>
      </font>
      <fill>
        <patternFill>
          <bgColor rgb="FFFFCC00"/>
        </patternFill>
      </fill>
    </dxf>
    <dxf>
      <font>
        <b/>
        <i val="0"/>
        <color auto="1"/>
      </font>
      <fill>
        <patternFill>
          <bgColor rgb="FF00CDC8"/>
        </patternFill>
      </fill>
    </dxf>
    <dxf>
      <fill>
        <patternFill>
          <bgColor rgb="FFCC99FF"/>
        </patternFill>
      </fill>
    </dxf>
    <dxf>
      <font>
        <b val="0"/>
        <i val="0"/>
        <color theme="0"/>
      </font>
      <fill>
        <patternFill>
          <bgColor rgb="FF0033CC"/>
        </patternFill>
      </fill>
    </dxf>
    <dxf>
      <fill>
        <patternFill>
          <bgColor rgb="FF66FF66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9933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3333CC"/>
      </font>
      <fill>
        <patternFill patternType="none">
          <bgColor auto="1"/>
        </patternFill>
      </fill>
    </dxf>
    <dxf>
      <font>
        <color theme="3" tint="-0.24994659260841701"/>
      </font>
      <fill>
        <patternFill>
          <bgColor rgb="FFFFFFCC"/>
        </patternFill>
      </fill>
    </dxf>
    <dxf>
      <font>
        <b/>
        <i val="0"/>
      </font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ont>
        <b/>
        <i val="0"/>
        <color rgb="FF99FF33"/>
      </font>
    </dxf>
    <dxf>
      <font>
        <color rgb="FFFF0000"/>
      </font>
      <fill>
        <patternFill>
          <bgColor rgb="FFFFCC00"/>
        </patternFill>
      </fill>
    </dxf>
    <dxf>
      <font>
        <b/>
        <i val="0"/>
        <color rgb="FF00FFFF"/>
      </font>
    </dxf>
    <dxf>
      <fill>
        <patternFill>
          <bgColor rgb="FFCC99FF"/>
        </patternFill>
      </fill>
    </dxf>
    <dxf>
      <fill>
        <patternFill>
          <bgColor rgb="FFB2B2B2"/>
        </patternFill>
      </fill>
    </dxf>
    <dxf>
      <fill>
        <patternFill>
          <bgColor rgb="FFCCFFCC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colors>
    <mruColors>
      <color rgb="FFFFFF00"/>
      <color rgb="FFC76BBC"/>
      <color rgb="FF00CDC8"/>
      <color rgb="FF996600"/>
      <color rgb="FFFF9900"/>
      <color rgb="FFFF3399"/>
      <color rgb="FF267444"/>
      <color rgb="FFF3120D"/>
      <color rgb="FF4BE7D4"/>
      <color rgb="FF33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4143375</xdr:colOff>
      <xdr:row>4</xdr:row>
      <xdr:rowOff>23812</xdr:rowOff>
    </xdr:from>
    <xdr:to>
      <xdr:col>5</xdr:col>
      <xdr:colOff>1662112</xdr:colOff>
      <xdr:row>5</xdr:row>
      <xdr:rowOff>23812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97875" y="1095375"/>
          <a:ext cx="1657350" cy="5715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128588</xdr:colOff>
      <xdr:row>21</xdr:row>
      <xdr:rowOff>117679</xdr:rowOff>
    </xdr:from>
    <xdr:to>
      <xdr:col>10</xdr:col>
      <xdr:colOff>2476500</xdr:colOff>
      <xdr:row>21</xdr:row>
      <xdr:rowOff>927537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12713" y="16310179"/>
          <a:ext cx="2347912" cy="809858"/>
        </a:xfrm>
        <a:prstGeom prst="rect">
          <a:avLst/>
        </a:prstGeom>
      </xdr:spPr>
    </xdr:pic>
    <xdr:clientData/>
  </xdr:twoCellAnchor>
  <xdr:twoCellAnchor editAs="oneCell">
    <xdr:from>
      <xdr:col>10</xdr:col>
      <xdr:colOff>52388</xdr:colOff>
      <xdr:row>18</xdr:row>
      <xdr:rowOff>450442</xdr:rowOff>
    </xdr:from>
    <xdr:to>
      <xdr:col>11</xdr:col>
      <xdr:colOff>0</xdr:colOff>
      <xdr:row>20</xdr:row>
      <xdr:rowOff>974317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AB16088-B1D2-4EFD-AE87-FE5522154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36513" y="13499692"/>
          <a:ext cx="2547938" cy="26193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D97" totalsRowShown="0" headerRowCellStyle="Normal" dataCellStyle="Normal">
  <autoFilter ref="B1:D97" xr:uid="{00000000-0009-0000-0100-000001000000}"/>
  <tableColumns count="3">
    <tableColumn id="1" xr3:uid="{00000000-0010-0000-0000-000001000000}" name="Tournament" dataCellStyle="Normal"/>
    <tableColumn id="2" xr3:uid="{00000000-0010-0000-0000-000002000000}" name="Pool" dataCellStyle="Normal"/>
    <tableColumn id="3" xr3:uid="{00000000-0010-0000-0000-000003000000}" name="Team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A1044954" totalsRowShown="0">
  <autoFilter ref="A1:A1044954" xr:uid="{00000000-0009-0000-0100-000002000000}"/>
  <tableColumns count="1">
    <tableColumn id="1" xr3:uid="{00000000-0010-0000-0100-000001000000}" name="Tournament&amp;Team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1:B60" totalsRowShown="0">
  <autoFilter ref="A1:B60" xr:uid="{00000000-0009-0000-0100-000003000000}"/>
  <sortState ref="A2:B60">
    <sortCondition ref="A1:A60"/>
  </sortState>
  <tableColumns count="2">
    <tableColumn id="1" xr3:uid="{00000000-0010-0000-0200-000001000000}" name="Tournament Name" dataDxfId="144"/>
    <tableColumn id="2" xr3:uid="{00000000-0010-0000-0200-000002000000}" name="# Per Pool" dataDxfId="14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CE1063"/>
  <sheetViews>
    <sheetView tabSelected="1" zoomScale="115" zoomScaleNormal="115" workbookViewId="0">
      <selection activeCell="N4" sqref="N4"/>
    </sheetView>
  </sheetViews>
  <sheetFormatPr baseColWidth="10" defaultColWidth="9.1640625" defaultRowHeight="15" outlineLevelCol="1" x14ac:dyDescent="0.2"/>
  <cols>
    <col min="1" max="1" width="9.1640625" style="374"/>
    <col min="2" max="2" width="43.1640625" style="148" bestFit="1" customWidth="1"/>
    <col min="3" max="3" width="16.6640625" style="148" customWidth="1"/>
    <col min="4" max="5" width="8.5" style="374" customWidth="1"/>
    <col min="6" max="6" width="9.5" style="148" hidden="1" customWidth="1"/>
    <col min="7" max="7" width="11.83203125" style="148" bestFit="1" customWidth="1"/>
    <col min="8" max="8" width="14.1640625" style="149" bestFit="1" customWidth="1"/>
    <col min="9" max="9" width="9.5" style="313" hidden="1" customWidth="1"/>
    <col min="10" max="10" width="22.6640625" style="148" customWidth="1"/>
    <col min="11" max="11" width="9.5" style="148" hidden="1" customWidth="1"/>
    <col min="12" max="12" width="16.33203125" style="148" customWidth="1"/>
    <col min="13" max="13" width="11.5" style="148" hidden="1" customWidth="1"/>
    <col min="14" max="14" width="27.6640625" style="148" bestFit="1" customWidth="1"/>
    <col min="15" max="15" width="6.83203125" style="148" customWidth="1" outlineLevel="1"/>
    <col min="16" max="17" width="9.5" style="385" customWidth="1" outlineLevel="1"/>
    <col min="18" max="18" width="8.1640625" style="305" customWidth="1" outlineLevel="1"/>
    <col min="19" max="19" width="5.6640625" style="148" customWidth="1" outlineLevel="1"/>
    <col min="20" max="21" width="8.6640625" style="148" customWidth="1" outlineLevel="1"/>
    <col min="22" max="22" width="10.6640625" style="148" customWidth="1" outlineLevel="1"/>
    <col min="23" max="23" width="10.83203125" style="385" customWidth="1" outlineLevel="1"/>
    <col min="24" max="24" width="5.6640625" style="385" customWidth="1" outlineLevel="1"/>
    <col min="25" max="26" width="8" style="299" customWidth="1" outlineLevel="1"/>
    <col min="27" max="27" width="24.5" style="321" customWidth="1" outlineLevel="1"/>
    <col min="28" max="28" width="48" style="299" customWidth="1" outlineLevel="1"/>
    <col min="29" max="29" width="44" style="148" customWidth="1" outlineLevel="1"/>
    <col min="30" max="30" width="48" style="148" customWidth="1" outlineLevel="1"/>
    <col min="31" max="31" width="44" style="148" customWidth="1" outlineLevel="1"/>
    <col min="32" max="32" width="6.1640625" style="374" bestFit="1" customWidth="1" outlineLevel="1"/>
    <col min="33" max="33" width="5.1640625" style="374" bestFit="1" customWidth="1" outlineLevel="1"/>
    <col min="34" max="34" width="3" style="374" customWidth="1" outlineLevel="1"/>
    <col min="35" max="35" width="6.1640625" style="374" bestFit="1" customWidth="1" outlineLevel="1"/>
    <col min="36" max="37" width="3" style="374" customWidth="1" outlineLevel="1"/>
    <col min="38" max="38" width="9.1640625" style="148" customWidth="1" outlineLevel="1"/>
    <col min="39" max="39" width="16.33203125" style="148" bestFit="1" customWidth="1"/>
    <col min="40" max="40" width="18.83203125" style="148" bestFit="1" customWidth="1"/>
    <col min="41" max="41" width="19.33203125" style="148" bestFit="1" customWidth="1"/>
    <col min="42" max="42" width="38.33203125" style="148" bestFit="1" customWidth="1"/>
    <col min="43" max="43" width="11.83203125" style="374" bestFit="1" customWidth="1"/>
    <col min="44" max="45" width="12.5" style="148" bestFit="1" customWidth="1"/>
    <col min="46" max="46" width="11.6640625" style="148" bestFit="1" customWidth="1"/>
    <col min="47" max="47" width="22.5" style="148" bestFit="1" customWidth="1"/>
    <col min="48" max="48" width="19" style="148" bestFit="1" customWidth="1"/>
    <col min="49" max="49" width="12.33203125" style="148" bestFit="1" customWidth="1"/>
    <col min="50" max="50" width="9.1640625" style="374"/>
    <col min="51" max="51" width="33.83203125" style="148" bestFit="1" customWidth="1"/>
    <col min="52" max="53" width="33.33203125" style="148" bestFit="1" customWidth="1"/>
    <col min="54" max="55" width="14" style="374" bestFit="1" customWidth="1"/>
    <col min="56" max="56" width="12.1640625" style="148" bestFit="1" customWidth="1"/>
    <col min="57" max="57" width="2" style="148" bestFit="1" customWidth="1"/>
    <col min="58" max="59" width="33.33203125" style="148" bestFit="1" customWidth="1"/>
    <col min="60" max="60" width="38.33203125" style="148" bestFit="1" customWidth="1"/>
    <col min="61" max="61" width="46.5" style="148" bestFit="1" customWidth="1"/>
    <col min="62" max="62" width="59" style="148" bestFit="1" customWidth="1"/>
    <col min="63" max="63" width="12.33203125" style="148" bestFit="1" customWidth="1"/>
    <col min="64" max="65" width="16.33203125" style="148" bestFit="1" customWidth="1"/>
    <col min="66" max="66" width="11.83203125" style="148" bestFit="1" customWidth="1"/>
    <col min="67" max="67" width="2" style="148" bestFit="1" customWidth="1"/>
    <col min="68" max="68" width="36" style="148" bestFit="1" customWidth="1"/>
    <col min="69" max="69" width="43.5" style="148" bestFit="1" customWidth="1"/>
    <col min="70" max="70" width="2" style="148" bestFit="1" customWidth="1"/>
    <col min="71" max="71" width="33.6640625" style="148" customWidth="1"/>
    <col min="72" max="83" width="2" style="148" bestFit="1" customWidth="1"/>
    <col min="84" max="16384" width="9.1640625" style="148"/>
  </cols>
  <sheetData>
    <row r="2" spans="1:69" x14ac:dyDescent="0.2">
      <c r="BQ2" s="374"/>
    </row>
    <row r="3" spans="1:69" x14ac:dyDescent="0.2">
      <c r="D3" s="374">
        <f>AM7</f>
        <v>0</v>
      </c>
      <c r="E3" s="374">
        <f>AQ8</f>
        <v>0</v>
      </c>
      <c r="G3" s="374">
        <f>BB8</f>
        <v>4</v>
      </c>
      <c r="H3" s="374">
        <f>BC8</f>
        <v>4</v>
      </c>
      <c r="AM3" s="148" t="s">
        <v>0</v>
      </c>
      <c r="BQ3" s="374"/>
    </row>
    <row r="4" spans="1:69" x14ac:dyDescent="0.2">
      <c r="O4" s="296"/>
      <c r="AM4" s="148" t="s">
        <v>1</v>
      </c>
      <c r="BP4" s="148" t="s">
        <v>2</v>
      </c>
      <c r="BQ4" s="374">
        <f>COUNTIF(BP11:BP1026,"no f or sf")</f>
        <v>0</v>
      </c>
    </row>
    <row r="5" spans="1:69" x14ac:dyDescent="0.2">
      <c r="BP5" s="148" t="s">
        <v>3</v>
      </c>
      <c r="BQ5" s="374">
        <f>COUNTA(BP11:BP1026)-COUNTIF(BP11:BP1026,"no game")-BQ4</f>
        <v>866</v>
      </c>
    </row>
    <row r="6" spans="1:69" x14ac:dyDescent="0.2">
      <c r="BQ6" s="374"/>
    </row>
    <row r="7" spans="1:69" x14ac:dyDescent="0.2">
      <c r="AM7" s="374">
        <f>COUNTIF($AQ$11:$AQ$1051,"&gt;1")</f>
        <v>0</v>
      </c>
      <c r="AN7" s="374"/>
      <c r="AO7" s="374"/>
      <c r="AP7" s="374"/>
      <c r="AZ7" s="148" t="s">
        <v>4</v>
      </c>
      <c r="BP7" s="148" t="s">
        <v>5</v>
      </c>
      <c r="BQ7" s="374">
        <f>SUM(BQ4:BQ5)</f>
        <v>866</v>
      </c>
    </row>
    <row r="8" spans="1:69" x14ac:dyDescent="0.2">
      <c r="AM8" s="374"/>
      <c r="AN8" s="374"/>
      <c r="AO8" s="374"/>
      <c r="AP8" s="374" t="s">
        <v>6</v>
      </c>
      <c r="AQ8" s="427">
        <f>COUNTIF($AQ$11:$AQ$1051,"&gt;1")</f>
        <v>0</v>
      </c>
      <c r="BA8" s="148" t="s">
        <v>7</v>
      </c>
      <c r="BB8" s="427">
        <f>COUNTIF($BB$11:$BB$1051,"&gt;1")</f>
        <v>4</v>
      </c>
      <c r="BC8" s="427">
        <f>COUNTIF($BC$11:$BC$1051,"&gt;1")</f>
        <v>4</v>
      </c>
      <c r="BQ8" s="374"/>
    </row>
    <row r="9" spans="1:69" x14ac:dyDescent="0.2">
      <c r="AM9" s="150" t="s">
        <v>8</v>
      </c>
      <c r="AN9" s="150"/>
    </row>
    <row r="10" spans="1:69" x14ac:dyDescent="0.2">
      <c r="A10" s="375" t="s">
        <v>759</v>
      </c>
      <c r="B10" s="307" t="s">
        <v>9</v>
      </c>
      <c r="C10" s="307" t="s">
        <v>10</v>
      </c>
      <c r="D10" s="375" t="s">
        <v>11</v>
      </c>
      <c r="E10" s="384" t="s">
        <v>12</v>
      </c>
      <c r="F10" s="151" t="s">
        <v>511</v>
      </c>
      <c r="G10" s="307" t="s">
        <v>13</v>
      </c>
      <c r="H10" s="308" t="s">
        <v>14</v>
      </c>
      <c r="I10" s="324" t="s">
        <v>511</v>
      </c>
      <c r="J10" s="307" t="s">
        <v>15</v>
      </c>
      <c r="K10" s="151" t="s">
        <v>511</v>
      </c>
      <c r="L10" s="307" t="s">
        <v>798</v>
      </c>
      <c r="M10" s="151" t="s">
        <v>511</v>
      </c>
      <c r="N10" s="307" t="s">
        <v>799</v>
      </c>
      <c r="O10" s="1" t="s">
        <v>252</v>
      </c>
      <c r="P10" s="386" t="s">
        <v>800</v>
      </c>
      <c r="Q10" s="386" t="s">
        <v>801</v>
      </c>
      <c r="R10" s="310" t="s">
        <v>754</v>
      </c>
      <c r="S10" s="307" t="s">
        <v>16</v>
      </c>
      <c r="T10" s="307" t="s">
        <v>17</v>
      </c>
      <c r="U10" s="151" t="s">
        <v>18</v>
      </c>
      <c r="V10" s="151" t="s">
        <v>19</v>
      </c>
      <c r="W10" s="386" t="s">
        <v>802</v>
      </c>
      <c r="X10" s="386" t="s">
        <v>803</v>
      </c>
      <c r="Y10" s="300" t="s">
        <v>804</v>
      </c>
      <c r="Z10" s="300" t="s">
        <v>805</v>
      </c>
      <c r="AA10" s="322" t="s">
        <v>768</v>
      </c>
      <c r="AB10" s="300" t="s">
        <v>744</v>
      </c>
      <c r="AC10" s="1" t="s">
        <v>734</v>
      </c>
      <c r="AD10" s="304" t="s">
        <v>745</v>
      </c>
      <c r="AE10" s="1" t="s">
        <v>735</v>
      </c>
      <c r="AF10" s="375" t="s">
        <v>746</v>
      </c>
      <c r="AG10" s="375" t="s">
        <v>747</v>
      </c>
      <c r="AH10" s="375" t="s">
        <v>748</v>
      </c>
      <c r="AI10" s="375" t="s">
        <v>749</v>
      </c>
      <c r="AJ10" s="375" t="s">
        <v>750</v>
      </c>
      <c r="AK10" s="375" t="s">
        <v>751</v>
      </c>
      <c r="AM10" s="152" t="s">
        <v>20</v>
      </c>
      <c r="AN10" s="152" t="s">
        <v>806</v>
      </c>
      <c r="AO10" s="152" t="s">
        <v>21</v>
      </c>
      <c r="AP10" s="152" t="s">
        <v>22</v>
      </c>
      <c r="AQ10" s="428" t="s">
        <v>807</v>
      </c>
      <c r="AR10" s="152" t="s">
        <v>808</v>
      </c>
      <c r="AS10" s="152" t="s">
        <v>809</v>
      </c>
      <c r="AT10" s="152" t="s">
        <v>810</v>
      </c>
      <c r="AU10" s="152" t="s">
        <v>811</v>
      </c>
      <c r="AV10" s="152" t="s">
        <v>23</v>
      </c>
      <c r="AW10" s="152" t="s">
        <v>24</v>
      </c>
      <c r="AX10" s="384" t="s">
        <v>759</v>
      </c>
      <c r="AY10" s="152"/>
      <c r="AZ10" s="152" t="s">
        <v>25</v>
      </c>
      <c r="BA10" s="150" t="s">
        <v>26</v>
      </c>
      <c r="BB10" s="428" t="s">
        <v>812</v>
      </c>
      <c r="BC10" s="428" t="s">
        <v>812</v>
      </c>
      <c r="BD10" s="152" t="s">
        <v>813</v>
      </c>
      <c r="BF10" s="152" t="s">
        <v>25</v>
      </c>
      <c r="BG10" s="152" t="s">
        <v>26</v>
      </c>
      <c r="BH10" s="152" t="s">
        <v>814</v>
      </c>
      <c r="BI10" s="152" t="s">
        <v>27</v>
      </c>
      <c r="BJ10" s="152" t="s">
        <v>12</v>
      </c>
      <c r="BK10" s="152" t="s">
        <v>28</v>
      </c>
      <c r="BL10" s="152" t="s">
        <v>815</v>
      </c>
      <c r="BM10" s="152" t="s">
        <v>816</v>
      </c>
      <c r="BN10" s="152" t="s">
        <v>10</v>
      </c>
      <c r="BP10" s="152" t="s">
        <v>817</v>
      </c>
      <c r="BQ10" s="152" t="s">
        <v>29</v>
      </c>
    </row>
    <row r="11" spans="1:69" ht="15" customHeight="1" x14ac:dyDescent="0.2">
      <c r="A11" s="376">
        <v>1</v>
      </c>
      <c r="B11" t="s">
        <v>462</v>
      </c>
      <c r="C11" s="315" t="s">
        <v>518</v>
      </c>
      <c r="D11" s="378">
        <v>1</v>
      </c>
      <c r="E11" s="378">
        <v>1</v>
      </c>
      <c r="F11" s="315" t="s">
        <v>770</v>
      </c>
      <c r="G11" s="327">
        <v>43058</v>
      </c>
      <c r="H11" s="297">
        <v>0.47222222222222227</v>
      </c>
      <c r="I11" s="325" t="s">
        <v>770</v>
      </c>
      <c r="J11" s="147" t="s">
        <v>696</v>
      </c>
      <c r="K11" s="315"/>
      <c r="L11" s="315" t="s">
        <v>526</v>
      </c>
      <c r="M11"/>
      <c r="N11" s="319" t="s">
        <v>528</v>
      </c>
      <c r="O11" s="153" t="str">
        <f>IF(L11&lt;&gt;"",IFERROR(VLOOKUP(B11&amp;L11,Pools!$A$2:$D$130,3,FALSE),""),"")</f>
        <v/>
      </c>
      <c r="P11" s="388">
        <v>32</v>
      </c>
      <c r="Q11" s="388">
        <v>2</v>
      </c>
      <c r="R11" s="306" t="str">
        <f t="shared" ref="R11:R74" si="0">P11&amp;"-"&amp;Q11</f>
        <v>32-2</v>
      </c>
      <c r="T11" s="148" t="str">
        <f t="shared" ref="T11:T74" si="1">IF(AND(P11&lt;&gt;"",Q11&lt;&gt;""),"Completed","Pending")</f>
        <v>Completed</v>
      </c>
      <c r="U11" s="153"/>
      <c r="V11" s="153"/>
      <c r="W11" s="387">
        <f t="shared" ref="W11:W74" si="2">IF(AW11="Basketball",(IF(P11-Q11&gt;15,15,IF(P11-Q11&lt;-15,-15,(P11-Q11)))),IF(AW11="Soccer",(IF(P11-Q11&gt;3,3,IF(P11-Q11&lt;-3,-3,(P11-Q11)))),IF(AW11="Kickball",(IF(P11-Q11&gt;5,5,IF(P11-Q11&lt;-5,-5,(P11-Q11)))),IF(AW11="Flag Football",(IF(P11-Q11&gt;21,21,IF(P11-Q11&lt;-21,-21,(P11-Q11)))),P11-Q11))))</f>
        <v>15</v>
      </c>
      <c r="X11" s="387">
        <f t="shared" ref="X11:X74" si="3">IF(AW11="Basketball",(IF(Q11-P11&gt;15,15,IF(Q11-P11&lt;-15,-15,(Q11-P11)))),IF(AW11="Soccer",(IF(Q11-P11&gt;3,3,IF(Q11-P11&lt;-3,-3,(Q11-P11)))),IF(AW11="Kickball",(IF(Q11-P11&gt;5,5,IF(Q11-P11&lt;-5,-5,(Q11-P11)))),IF(AW11="Flag Football",(IF(Q11-P11&gt;21,21,IF(Q11-P11&lt;-21,-21,(Q11-P11)))),Q11-P11))))</f>
        <v>-15</v>
      </c>
      <c r="Y11" s="301">
        <f t="shared" ref="Y11:Y74" si="4">IF(T11="Completed",(IF(P11&gt;Q11,2,IF(P11=Q11,1,IF(P11&lt;Q11,0)))),"X")</f>
        <v>2</v>
      </c>
      <c r="Z11" s="301">
        <f t="shared" ref="Z11:Z74" si="5">IF(T11="Completed",(IF(Q11&gt;P11,2,IF(Q11=P11,1,IF(Q11&lt;P11,0)))),"X")</f>
        <v>0</v>
      </c>
      <c r="AA11" s="323" t="str">
        <f>CONCATENATE("                x[team1,team2,sport,'",IF(OR(I11="x",I11=""),VLOOKUP('Schedule from TM'!J11,Tables!$P$3:$Q$33,2,FALSE),'Schedule from TM'!I11),",",J11,"','",IF(OR(F11="x",F11=""),VLOOKUP('Schedule from TM'!G11,Tables!$U$3:$V$14,2,FALSE),'Schedule from TM'!F11),",",TEXT(G11,"mm/dd/yyyy"),"','",TEXT(H11,"h:mm:ss AM/PM"),"'].ub=0.0      #",B11)</f>
        <v xml:space="preserve">                x[team1,team2,sport,'11,JCC Gym North','11,11/19/2017','11:20:00 AM'].ub=0.0      #Adult Female Basketball</v>
      </c>
      <c r="AB11" s="301" t="str">
        <f t="shared" ref="AB11:AB74" si="6">",,"&amp;B11&amp;","&amp;O11&amp;",1,"&amp;L11</f>
        <v>,,Adult Female Basketball,,1,AD F - COL 1</v>
      </c>
      <c r="AC11" s="153" t="str">
        <f t="shared" ref="AC11:AC74" si="7">B11&amp;O11&amp;L11</f>
        <v>Adult Female BasketballAD F - COL 1</v>
      </c>
      <c r="AD11" s="301" t="str">
        <f t="shared" ref="AD11:AD74" si="8">",,"&amp;B11&amp;","&amp;O11&amp;",1,"&amp;N11</f>
        <v>,,Adult Female Basketball,,1,AD F - MEX</v>
      </c>
      <c r="AE11" s="153" t="str">
        <f t="shared" ref="AE11:AE74" si="9">B11&amp;O11&amp;N11</f>
        <v>Adult Female BasketballAD F - MEX</v>
      </c>
      <c r="AF11" s="383">
        <f t="shared" ref="AF11:AF74" si="10">IF(Y11=2,1,0)</f>
        <v>1</v>
      </c>
      <c r="AG11" s="383">
        <f t="shared" ref="AG11:AG74" si="11">IF(Y11=0,1,0)</f>
        <v>0</v>
      </c>
      <c r="AH11" s="383">
        <f t="shared" ref="AH11:AH74" si="12">IF(Y11=1,1,0)</f>
        <v>0</v>
      </c>
      <c r="AI11" s="383">
        <f t="shared" ref="AI11:AI74" si="13">IF(Z11=2,1,0)</f>
        <v>0</v>
      </c>
      <c r="AJ11" s="383">
        <f t="shared" ref="AJ11:AJ74" si="14">IF(Z11=0,1,0)</f>
        <v>1</v>
      </c>
      <c r="AK11" s="383">
        <f t="shared" ref="AK11:AK74" si="15">IF(Z11=1,1,0)</f>
        <v>0</v>
      </c>
      <c r="AM11" s="148" t="str">
        <f t="shared" ref="AM11:AM74" si="16">IF(G11&amp;H11&amp;J11&lt;&gt;"","Schedulled","Not Schedulled")</f>
        <v>Schedulled</v>
      </c>
      <c r="AN11" s="148" t="str">
        <f t="shared" ref="AN11:AN74" si="17">IF(AND(AM11="schedulled",L11&amp;N11=""),"Schedulled no team","")</f>
        <v/>
      </c>
      <c r="AO11" s="156">
        <f t="shared" ref="AO11:AO74" si="18">G11+H11</f>
        <v>43058.472222222219</v>
      </c>
      <c r="AP11" s="148" t="str">
        <f t="shared" ref="AP11:AP74" si="19">TEXT(AO11,"MM/DD/YYYY HH:MM")&amp;"-&gt;"&amp;J11</f>
        <v>11/19/2017 11:20-&gt;JCC Gym North</v>
      </c>
      <c r="AQ11" s="374">
        <f t="shared" ref="AQ11:AQ74" si="20">IF(AM11="not schedulled", 0,COUNTIF($AP$11:$AP$1051,AP11))</f>
        <v>1</v>
      </c>
      <c r="AR11" s="148" t="str">
        <f t="shared" ref="AR11:AR74" si="21">IFERROR(VLOOKUP(L11,teams_table,3,FALSE),"")</f>
        <v>COL1</v>
      </c>
      <c r="AS11" s="148" t="str">
        <f t="shared" ref="AS11:AS74" si="22">IFERROR(VLOOKUP(N11,teams_table,3,FALSE),"")</f>
        <v>MEX</v>
      </c>
      <c r="AT11" s="157" t="str">
        <f t="shared" ref="AT11:AT74" si="23">IF(AR11&amp;AS11&lt;&gt;"",AR11&amp;"-"&amp;AS11,"")</f>
        <v>COL1-MEX</v>
      </c>
      <c r="AU11" s="157" t="str">
        <f t="shared" ref="AU11:AU74" si="24">IF(AT11="","",AT11&amp;" ")&amp;IF(C11="final",AW11&amp;" Final","")&amp;IF(C11="semi-final",AW11&amp;" Semi-Final","")&amp;IF(C11="Tournament",AW11&amp;" Tournament","")</f>
        <v xml:space="preserve">COL1-MEX </v>
      </c>
      <c r="AV11" s="157" t="str">
        <f t="shared" ref="AV11:AV74" si="25">IFERROR(VLOOKUP(B11,events_table,2,FALSE),"")</f>
        <v>Adults FEMALE</v>
      </c>
      <c r="AW11" s="157" t="str">
        <f t="shared" ref="AW11:AW74" si="26">IFERROR(VLOOKUP(B11,events_table,3,0),"")</f>
        <v>Basketball</v>
      </c>
      <c r="AX11" s="376">
        <f t="shared" ref="AX11:AX74" si="27">A11</f>
        <v>1</v>
      </c>
      <c r="AY11" s="148" t="str">
        <f t="shared" ref="AY11:AY74" si="28">L11&amp;"-&gt;"&amp;N11</f>
        <v>AD F - COL 1-&gt;AD F - MEX</v>
      </c>
      <c r="AZ11" s="148" t="str">
        <f t="shared" ref="AZ11:AZ74" si="29">TEXT(AO11,"MM/DD/YYYY HH:MM")&amp;"-&gt;"&amp;L11</f>
        <v>11/19/2017 11:20-&gt;AD F - COL 1</v>
      </c>
      <c r="BA11" s="148" t="str">
        <f t="shared" ref="BA11:BA74" si="30">TEXT(AO11,"MM/DD/YYYY HH:MM")&amp;"-&gt;"&amp;N11</f>
        <v>11/19/2017 11:20-&gt;AD F - MEX</v>
      </c>
      <c r="BB11" s="374">
        <f t="shared" ref="BB11:BB74" si="31">IF(OR(AM11="not schedulled",AN11="schedulled no team"),0,COUNTIF($AZ$11:$BA$1051,AZ11))</f>
        <v>1</v>
      </c>
      <c r="BC11" s="374">
        <f t="shared" ref="BC11:BC74" si="32">IF(OR(AM11="not schedulled",AN11="schedulled no team"),0,COUNTIF($AZ$11:$BA$1051,BA11))</f>
        <v>1</v>
      </c>
      <c r="BD11" s="148" t="str">
        <f t="shared" ref="BD11:BD74" si="33">IF(OR(BB11&gt;1,BC11&gt;1),"conflict","no conflict")</f>
        <v>no conflict</v>
      </c>
      <c r="BF11" s="148" t="str">
        <f t="shared" ref="BF11:BF74" si="34">TEXT(AO11,"MM/DD/YYYY HH:MM")&amp;"-&gt;"&amp;L11</f>
        <v>11/19/2017 11:20-&gt;AD F - COL 1</v>
      </c>
      <c r="BG11" s="148" t="str">
        <f t="shared" ref="BG11:BG74" si="35">TEXT(AO11,"MM/DD/YYYY HH:MM")&amp;"-&gt;"&amp;N11</f>
        <v>11/19/2017 11:20-&gt;AD F - MEX</v>
      </c>
      <c r="BH11" s="148" t="str">
        <f t="shared" ref="BH11:BH74" si="36">TEXT(AO11,"MM/DD/YYYY HH:MM")&amp;"-&gt;"&amp;J11</f>
        <v>11/19/2017 11:20-&gt;JCC Gym North</v>
      </c>
      <c r="BI11" s="148" t="str">
        <f t="shared" ref="BI11:BI74" si="37">AW11&amp; " in "&amp;J11 &amp;" ("&amp;AT11&amp;")"</f>
        <v>Basketball in JCC Gym North (COL1-MEX)</v>
      </c>
      <c r="BJ11" s="148" t="str">
        <f t="shared" ref="BJ11:BJ74" si="38">B11 &amp;"-- " &amp;L11&amp;" vs. "&amp;N11</f>
        <v>Adult Female Basketball-- AD F - COL 1 vs. AD F - MEX</v>
      </c>
      <c r="BK11" s="148" t="str">
        <f t="shared" ref="BK11:BK74" si="39">AW11</f>
        <v>Basketball</v>
      </c>
      <c r="BL11" s="148" t="str">
        <f t="shared" ref="BL11:BL74" si="40">L11</f>
        <v>AD F - COL 1</v>
      </c>
      <c r="BM11" s="148" t="str">
        <f t="shared" ref="BM11:BM74" si="41">N11</f>
        <v>AD F - MEX</v>
      </c>
      <c r="BN11" s="148" t="str">
        <f t="shared" ref="BN11:BN74" si="42">C11</f>
        <v>Round - 1</v>
      </c>
      <c r="BP11" s="148" t="str">
        <f t="shared" ref="BP11:BP74" si="43">IF(OR(NOT(ISERR(SEARCH("final",C11))),NOT(ISERR(SEARCH("tournament",C11)))),TEXT(AO11,"MM/DD/YYYY HH:MM")&amp;"-&gt;"&amp;AV11,IF(B11="","no game","no t, f, or sf"))</f>
        <v>no t, f, or sf</v>
      </c>
      <c r="BQ11" s="148" t="str">
        <f t="shared" ref="BQ11:BQ74" si="44">IF(BP11&lt;&gt;"no t, f, or sf",AW11&amp;" "&amp;C11&amp;" in "&amp;J11,"")</f>
        <v/>
      </c>
    </row>
    <row r="12" spans="1:69" ht="15" customHeight="1" x14ac:dyDescent="0.2">
      <c r="A12" s="376">
        <v>2</v>
      </c>
      <c r="B12" t="s">
        <v>462</v>
      </c>
      <c r="C12" s="315" t="s">
        <v>518</v>
      </c>
      <c r="D12" s="378">
        <v>1</v>
      </c>
      <c r="E12" s="378">
        <v>1</v>
      </c>
      <c r="F12" s="315" t="s">
        <v>770</v>
      </c>
      <c r="G12" s="327">
        <v>43058</v>
      </c>
      <c r="H12" s="317">
        <v>0.68055555555555547</v>
      </c>
      <c r="I12" s="325" t="s">
        <v>770</v>
      </c>
      <c r="J12" s="147" t="s">
        <v>696</v>
      </c>
      <c r="K12" s="315"/>
      <c r="L12" s="315" t="s">
        <v>526</v>
      </c>
      <c r="M12"/>
      <c r="N12" s="319" t="s">
        <v>530</v>
      </c>
      <c r="O12" s="153" t="str">
        <f>IF(L12&lt;&gt;"",IFERROR(VLOOKUP(B12&amp;L12,Pools!$A$2:$D$130,3,FALSE),""),"")</f>
        <v/>
      </c>
      <c r="P12" s="388">
        <v>20</v>
      </c>
      <c r="Q12" s="388">
        <v>7</v>
      </c>
      <c r="R12" s="306" t="str">
        <f t="shared" si="0"/>
        <v>20-7</v>
      </c>
      <c r="T12" s="148" t="str">
        <f t="shared" si="1"/>
        <v>Completed</v>
      </c>
      <c r="U12" s="153"/>
      <c r="V12" s="153"/>
      <c r="W12" s="387">
        <f t="shared" si="2"/>
        <v>13</v>
      </c>
      <c r="X12" s="387">
        <f t="shared" si="3"/>
        <v>-13</v>
      </c>
      <c r="Y12" s="301">
        <f t="shared" si="4"/>
        <v>2</v>
      </c>
      <c r="Z12" s="301">
        <f t="shared" si="5"/>
        <v>0</v>
      </c>
      <c r="AA12" s="323" t="str">
        <f>CONCATENATE("                x[team1,team2,sport,'",IF(OR(I12="x",I12=""),VLOOKUP('Schedule from TM'!J12,Tables!$P$3:$Q$33,2,FALSE),'Schedule from TM'!I12),",",J12,"','",IF(OR(F12="x",F12=""),VLOOKUP('Schedule from TM'!G12,Tables!$U$3:$V$14,2,FALSE),'Schedule from TM'!F12),",",TEXT(G12,"mm/dd/yyyy"),"','",TEXT(H12,"h:mm:ss AM/PM"),"'].ub=0.0      #",B12)</f>
        <v xml:space="preserve">                x[team1,team2,sport,'11,JCC Gym North','11,11/19/2017','4:20:00 PM'].ub=0.0      #Adult Female Basketball</v>
      </c>
      <c r="AB12" s="301" t="str">
        <f t="shared" si="6"/>
        <v>,,Adult Female Basketball,,1,AD F - COL 1</v>
      </c>
      <c r="AC12" s="153" t="str">
        <f t="shared" si="7"/>
        <v>Adult Female BasketballAD F - COL 1</v>
      </c>
      <c r="AD12" s="301" t="str">
        <f t="shared" si="8"/>
        <v>,,Adult Female Basketball,,1,AD F - USA 1</v>
      </c>
      <c r="AE12" s="153" t="str">
        <f t="shared" si="9"/>
        <v>Adult Female BasketballAD F - USA 1</v>
      </c>
      <c r="AF12" s="383">
        <f t="shared" si="10"/>
        <v>1</v>
      </c>
      <c r="AG12" s="383">
        <f t="shared" si="11"/>
        <v>0</v>
      </c>
      <c r="AH12" s="383">
        <f t="shared" si="12"/>
        <v>0</v>
      </c>
      <c r="AI12" s="383">
        <f t="shared" si="13"/>
        <v>0</v>
      </c>
      <c r="AJ12" s="383">
        <f t="shared" si="14"/>
        <v>1</v>
      </c>
      <c r="AK12" s="383">
        <f t="shared" si="15"/>
        <v>0</v>
      </c>
      <c r="AM12" s="148" t="str">
        <f t="shared" si="16"/>
        <v>Schedulled</v>
      </c>
      <c r="AN12" s="148" t="str">
        <f t="shared" si="17"/>
        <v/>
      </c>
      <c r="AO12" s="156">
        <f t="shared" si="18"/>
        <v>43058.680555555555</v>
      </c>
      <c r="AP12" s="148" t="str">
        <f t="shared" si="19"/>
        <v>11/19/2017 16:20-&gt;JCC Gym North</v>
      </c>
      <c r="AQ12" s="374">
        <f t="shared" si="20"/>
        <v>1</v>
      </c>
      <c r="AR12" s="148" t="str">
        <f t="shared" si="21"/>
        <v>COL1</v>
      </c>
      <c r="AS12" s="148" t="str">
        <f t="shared" si="22"/>
        <v>USA1</v>
      </c>
      <c r="AT12" s="157" t="str">
        <f t="shared" si="23"/>
        <v>COL1-USA1</v>
      </c>
      <c r="AU12" s="157" t="str">
        <f t="shared" si="24"/>
        <v xml:space="preserve">COL1-USA1 </v>
      </c>
      <c r="AV12" s="157" t="str">
        <f t="shared" si="25"/>
        <v>Adults FEMALE</v>
      </c>
      <c r="AW12" s="157" t="str">
        <f t="shared" si="26"/>
        <v>Basketball</v>
      </c>
      <c r="AX12" s="376">
        <f t="shared" si="27"/>
        <v>2</v>
      </c>
      <c r="AY12" s="148" t="str">
        <f t="shared" si="28"/>
        <v>AD F - COL 1-&gt;AD F - USA 1</v>
      </c>
      <c r="AZ12" s="148" t="str">
        <f t="shared" si="29"/>
        <v>11/19/2017 16:20-&gt;AD F - COL 1</v>
      </c>
      <c r="BA12" s="148" t="str">
        <f t="shared" si="30"/>
        <v>11/19/2017 16:20-&gt;AD F - USA 1</v>
      </c>
      <c r="BB12" s="374">
        <f t="shared" si="31"/>
        <v>1</v>
      </c>
      <c r="BC12" s="374">
        <f t="shared" si="32"/>
        <v>1</v>
      </c>
      <c r="BD12" s="148" t="str">
        <f t="shared" si="33"/>
        <v>no conflict</v>
      </c>
      <c r="BF12" s="148" t="str">
        <f t="shared" si="34"/>
        <v>11/19/2017 16:20-&gt;AD F - COL 1</v>
      </c>
      <c r="BG12" s="148" t="str">
        <f t="shared" si="35"/>
        <v>11/19/2017 16:20-&gt;AD F - USA 1</v>
      </c>
      <c r="BH12" s="148" t="str">
        <f t="shared" si="36"/>
        <v>11/19/2017 16:20-&gt;JCC Gym North</v>
      </c>
      <c r="BI12" s="148" t="str">
        <f t="shared" si="37"/>
        <v>Basketball in JCC Gym North (COL1-USA1)</v>
      </c>
      <c r="BJ12" s="148" t="str">
        <f t="shared" si="38"/>
        <v>Adult Female Basketball-- AD F - COL 1 vs. AD F - USA 1</v>
      </c>
      <c r="BK12" s="148" t="str">
        <f t="shared" si="39"/>
        <v>Basketball</v>
      </c>
      <c r="BL12" s="148" t="str">
        <f t="shared" si="40"/>
        <v>AD F - COL 1</v>
      </c>
      <c r="BM12" s="148" t="str">
        <f t="shared" si="41"/>
        <v>AD F - USA 1</v>
      </c>
      <c r="BN12" s="148" t="str">
        <f t="shared" si="42"/>
        <v>Round - 1</v>
      </c>
      <c r="BP12" s="148" t="str">
        <f t="shared" si="43"/>
        <v>no t, f, or sf</v>
      </c>
      <c r="BQ12" s="148" t="str">
        <f t="shared" si="44"/>
        <v/>
      </c>
    </row>
    <row r="13" spans="1:69" ht="15" customHeight="1" x14ac:dyDescent="0.2">
      <c r="A13" s="376">
        <v>3</v>
      </c>
      <c r="B13" t="s">
        <v>462</v>
      </c>
      <c r="C13" s="315" t="s">
        <v>518</v>
      </c>
      <c r="D13" s="378">
        <v>1</v>
      </c>
      <c r="E13" s="378">
        <v>1</v>
      </c>
      <c r="F13" s="315" t="s">
        <v>770</v>
      </c>
      <c r="G13" s="327">
        <v>43063</v>
      </c>
      <c r="H13" s="417">
        <v>0.64583333333333337</v>
      </c>
      <c r="I13" s="325" t="s">
        <v>770</v>
      </c>
      <c r="J13" s="315" t="s">
        <v>707</v>
      </c>
      <c r="K13" s="315"/>
      <c r="L13" s="319" t="s">
        <v>528</v>
      </c>
      <c r="M13"/>
      <c r="N13" s="319" t="s">
        <v>530</v>
      </c>
      <c r="O13" s="153" t="str">
        <f>IF(L13&lt;&gt;"",IFERROR(VLOOKUP(B13&amp;L13,Pools!$A$2:$D$130,3,FALSE),""),"")</f>
        <v/>
      </c>
      <c r="P13" s="388">
        <v>3</v>
      </c>
      <c r="Q13" s="388">
        <v>34</v>
      </c>
      <c r="R13" s="306" t="str">
        <f t="shared" si="0"/>
        <v>3-34</v>
      </c>
      <c r="T13" s="148" t="str">
        <f t="shared" si="1"/>
        <v>Completed</v>
      </c>
      <c r="U13" s="153"/>
      <c r="V13" s="153"/>
      <c r="W13" s="387">
        <f t="shared" si="2"/>
        <v>-15</v>
      </c>
      <c r="X13" s="387">
        <f t="shared" si="3"/>
        <v>15</v>
      </c>
      <c r="Y13" s="301">
        <f t="shared" si="4"/>
        <v>0</v>
      </c>
      <c r="Z13" s="301">
        <f t="shared" si="5"/>
        <v>2</v>
      </c>
      <c r="AA13" s="323" t="str">
        <f>CONCATENATE("                x[team1,team2,sport,'",IF(OR(I13="x",I13=""),VLOOKUP('Schedule from TM'!J13,Tables!$P$3:$Q$33,2,FALSE),'Schedule from TM'!I13),",",J13,"','",IF(OR(F13="x",F13=""),VLOOKUP('Schedule from TM'!G13,Tables!$U$3:$V$14,2,FALSE),'Schedule from TM'!F13),",",TEXT(G13,"mm/dd/yyyy"),"','",TEXT(H13,"h:mm:ss AM/PM"),"'].ub=0.0      #",B13)</f>
        <v xml:space="preserve">                x[team1,team2,sport,'21,Hillel - Gym Basketball','11,11/24/2017','3:30:00 PM'].ub=0.0      #Adult Female Basketball</v>
      </c>
      <c r="AB13" s="301" t="str">
        <f t="shared" si="6"/>
        <v>,,Adult Female Basketball,,1,AD F - MEX</v>
      </c>
      <c r="AC13" s="153" t="str">
        <f t="shared" si="7"/>
        <v>Adult Female BasketballAD F - MEX</v>
      </c>
      <c r="AD13" s="301" t="str">
        <f t="shared" si="8"/>
        <v>,,Adult Female Basketball,,1,AD F - USA 1</v>
      </c>
      <c r="AE13" s="153" t="str">
        <f t="shared" si="9"/>
        <v>Adult Female BasketballAD F - USA 1</v>
      </c>
      <c r="AF13" s="383">
        <f t="shared" si="10"/>
        <v>0</v>
      </c>
      <c r="AG13" s="383">
        <f t="shared" si="11"/>
        <v>1</v>
      </c>
      <c r="AH13" s="383">
        <f t="shared" si="12"/>
        <v>0</v>
      </c>
      <c r="AI13" s="383">
        <f t="shared" si="13"/>
        <v>1</v>
      </c>
      <c r="AJ13" s="383">
        <f t="shared" si="14"/>
        <v>0</v>
      </c>
      <c r="AK13" s="383">
        <f t="shared" si="15"/>
        <v>0</v>
      </c>
      <c r="AM13" s="148" t="str">
        <f t="shared" si="16"/>
        <v>Schedulled</v>
      </c>
      <c r="AN13" s="148" t="str">
        <f t="shared" si="17"/>
        <v/>
      </c>
      <c r="AO13" s="156">
        <f t="shared" si="18"/>
        <v>43063.645833333336</v>
      </c>
      <c r="AP13" s="148" t="str">
        <f t="shared" si="19"/>
        <v>11/24/2017 15:30-&gt;Hillel - Gym Basketball</v>
      </c>
      <c r="AQ13" s="374">
        <f t="shared" si="20"/>
        <v>1</v>
      </c>
      <c r="AR13" s="148" t="str">
        <f t="shared" si="21"/>
        <v>MEX</v>
      </c>
      <c r="AS13" s="148" t="str">
        <f t="shared" si="22"/>
        <v>USA1</v>
      </c>
      <c r="AT13" s="157" t="str">
        <f t="shared" si="23"/>
        <v>MEX-USA1</v>
      </c>
      <c r="AU13" s="157" t="str">
        <f t="shared" si="24"/>
        <v xml:space="preserve">MEX-USA1 </v>
      </c>
      <c r="AV13" s="157" t="str">
        <f t="shared" si="25"/>
        <v>Adults FEMALE</v>
      </c>
      <c r="AW13" s="157" t="str">
        <f t="shared" si="26"/>
        <v>Basketball</v>
      </c>
      <c r="AX13" s="376">
        <f t="shared" si="27"/>
        <v>3</v>
      </c>
      <c r="AY13" s="148" t="str">
        <f t="shared" si="28"/>
        <v>AD F - MEX-&gt;AD F - USA 1</v>
      </c>
      <c r="AZ13" s="148" t="str">
        <f t="shared" si="29"/>
        <v>11/24/2017 15:30-&gt;AD F - MEX</v>
      </c>
      <c r="BA13" s="148" t="str">
        <f t="shared" si="30"/>
        <v>11/24/2017 15:30-&gt;AD F - USA 1</v>
      </c>
      <c r="BB13" s="374">
        <f t="shared" si="31"/>
        <v>1</v>
      </c>
      <c r="BC13" s="374">
        <f t="shared" si="32"/>
        <v>1</v>
      </c>
      <c r="BD13" s="148" t="str">
        <f t="shared" si="33"/>
        <v>no conflict</v>
      </c>
      <c r="BF13" s="148" t="str">
        <f t="shared" si="34"/>
        <v>11/24/2017 15:30-&gt;AD F - MEX</v>
      </c>
      <c r="BG13" s="148" t="str">
        <f t="shared" si="35"/>
        <v>11/24/2017 15:30-&gt;AD F - USA 1</v>
      </c>
      <c r="BH13" s="148" t="str">
        <f t="shared" si="36"/>
        <v>11/24/2017 15:30-&gt;Hillel - Gym Basketball</v>
      </c>
      <c r="BI13" s="148" t="str">
        <f t="shared" si="37"/>
        <v>Basketball in Hillel - Gym Basketball (MEX-USA1)</v>
      </c>
      <c r="BJ13" s="148" t="str">
        <f t="shared" si="38"/>
        <v>Adult Female Basketball-- AD F - MEX vs. AD F - USA 1</v>
      </c>
      <c r="BK13" s="148" t="str">
        <f t="shared" si="39"/>
        <v>Basketball</v>
      </c>
      <c r="BL13" s="148" t="str">
        <f t="shared" si="40"/>
        <v>AD F - MEX</v>
      </c>
      <c r="BM13" s="148" t="str">
        <f t="shared" si="41"/>
        <v>AD F - USA 1</v>
      </c>
      <c r="BN13" s="148" t="str">
        <f t="shared" si="42"/>
        <v>Round - 1</v>
      </c>
      <c r="BP13" s="148" t="str">
        <f t="shared" si="43"/>
        <v>no t, f, or sf</v>
      </c>
      <c r="BQ13" s="148" t="str">
        <f t="shared" si="44"/>
        <v/>
      </c>
    </row>
    <row r="14" spans="1:69" ht="15" customHeight="1" x14ac:dyDescent="0.2">
      <c r="A14" s="376">
        <v>4</v>
      </c>
      <c r="B14" s="433" t="s">
        <v>79</v>
      </c>
      <c r="C14" s="441" t="s">
        <v>518</v>
      </c>
      <c r="D14" s="450">
        <v>1</v>
      </c>
      <c r="E14" s="450">
        <v>1</v>
      </c>
      <c r="F14" s="315" t="s">
        <v>770</v>
      </c>
      <c r="G14" s="320">
        <v>43058</v>
      </c>
      <c r="H14" s="318">
        <v>0.36805555555555558</v>
      </c>
      <c r="I14" s="325" t="s">
        <v>770</v>
      </c>
      <c r="J14" s="441" t="s">
        <v>705</v>
      </c>
      <c r="K14" s="441">
        <v>832</v>
      </c>
      <c r="L14" s="441" t="s">
        <v>526</v>
      </c>
      <c r="M14" s="441">
        <v>832</v>
      </c>
      <c r="N14" s="441" t="s">
        <v>530</v>
      </c>
      <c r="O14" s="153" t="str">
        <f>IF(L14&lt;&gt;"",IFERROR(VLOOKUP(B14&amp;L14,Pools!$A$2:$D$130,3,FALSE),""),"")</f>
        <v/>
      </c>
      <c r="P14" s="388">
        <v>4</v>
      </c>
      <c r="Q14" s="388">
        <v>8</v>
      </c>
      <c r="R14" s="306" t="str">
        <f t="shared" si="0"/>
        <v>4-8</v>
      </c>
      <c r="T14" s="148" t="str">
        <f t="shared" si="1"/>
        <v>Completed</v>
      </c>
      <c r="U14" s="153"/>
      <c r="V14" s="153"/>
      <c r="W14" s="387">
        <f t="shared" si="2"/>
        <v>-4</v>
      </c>
      <c r="X14" s="387">
        <f t="shared" si="3"/>
        <v>4</v>
      </c>
      <c r="Y14" s="301">
        <f t="shared" si="4"/>
        <v>0</v>
      </c>
      <c r="Z14" s="301">
        <f t="shared" si="5"/>
        <v>2</v>
      </c>
      <c r="AA14" s="323" t="str">
        <f>CONCATENATE("                x[team1,team2,sport,'",IF(OR(I14="x",I14=""),VLOOKUP('Schedule from TM'!J14,Tables!$P$3:$Q$33,2,FALSE),'Schedule from TM'!I14),",",J14,"','",IF(OR(F14="x",F14=""),VLOOKUP('Schedule from TM'!G14,Tables!$U$3:$V$14,2,FALSE),'Schedule from TM'!F14),",",TEXT(G14,"mm/dd/yyyy"),"','",TEXT(H14,"h:mm:ss AM/PM"),"'].ub=0.0      #",B14)</f>
        <v xml:space="preserve">                x[team1,team2,sport,'21,Hillel - Field 3','11,11/19/2017','8:50:00 AM'].ub=0.0      #Adult Female Kickball</v>
      </c>
      <c r="AB14" s="301" t="str">
        <f t="shared" si="6"/>
        <v>,,Adult Female Kickball,,1,AD F - COL 1</v>
      </c>
      <c r="AC14" s="153" t="str">
        <f t="shared" si="7"/>
        <v>Adult Female KickballAD F - COL 1</v>
      </c>
      <c r="AD14" s="301" t="str">
        <f t="shared" si="8"/>
        <v>,,Adult Female Kickball,,1,AD F - USA 1</v>
      </c>
      <c r="AE14" s="153" t="str">
        <f t="shared" si="9"/>
        <v>Adult Female KickballAD F - USA 1</v>
      </c>
      <c r="AF14" s="383">
        <f t="shared" si="10"/>
        <v>0</v>
      </c>
      <c r="AG14" s="383">
        <f t="shared" si="11"/>
        <v>1</v>
      </c>
      <c r="AH14" s="383">
        <f t="shared" si="12"/>
        <v>0</v>
      </c>
      <c r="AI14" s="383">
        <f t="shared" si="13"/>
        <v>1</v>
      </c>
      <c r="AJ14" s="383">
        <f t="shared" si="14"/>
        <v>0</v>
      </c>
      <c r="AK14" s="383">
        <f t="shared" si="15"/>
        <v>0</v>
      </c>
      <c r="AM14" s="148" t="str">
        <f t="shared" si="16"/>
        <v>Schedulled</v>
      </c>
      <c r="AN14" s="148" t="str">
        <f t="shared" si="17"/>
        <v/>
      </c>
      <c r="AO14" s="156">
        <f t="shared" si="18"/>
        <v>43058.368055555555</v>
      </c>
      <c r="AP14" s="148" t="str">
        <f t="shared" si="19"/>
        <v>11/19/2017 08:50-&gt;Hillel - Field 3</v>
      </c>
      <c r="AQ14" s="374">
        <f t="shared" si="20"/>
        <v>1</v>
      </c>
      <c r="AR14" s="148" t="str">
        <f t="shared" si="21"/>
        <v>COL1</v>
      </c>
      <c r="AS14" s="148" t="str">
        <f t="shared" si="22"/>
        <v>USA1</v>
      </c>
      <c r="AT14" s="157" t="str">
        <f t="shared" si="23"/>
        <v>COL1-USA1</v>
      </c>
      <c r="AU14" s="157" t="str">
        <f t="shared" si="24"/>
        <v xml:space="preserve">COL1-USA1 </v>
      </c>
      <c r="AV14" s="157" t="str">
        <f t="shared" si="25"/>
        <v>Adults FEMALE</v>
      </c>
      <c r="AW14" s="157" t="str">
        <f t="shared" si="26"/>
        <v>Kickball</v>
      </c>
      <c r="AX14" s="376">
        <f t="shared" si="27"/>
        <v>4</v>
      </c>
      <c r="AY14" s="148" t="str">
        <f t="shared" si="28"/>
        <v>AD F - COL 1-&gt;AD F - USA 1</v>
      </c>
      <c r="AZ14" s="148" t="str">
        <f t="shared" si="29"/>
        <v>11/19/2017 08:50-&gt;AD F - COL 1</v>
      </c>
      <c r="BA14" s="148" t="str">
        <f t="shared" si="30"/>
        <v>11/19/2017 08:50-&gt;AD F - USA 1</v>
      </c>
      <c r="BB14" s="374">
        <f t="shared" si="31"/>
        <v>1</v>
      </c>
      <c r="BC14" s="374">
        <f t="shared" si="32"/>
        <v>1</v>
      </c>
      <c r="BD14" s="148" t="str">
        <f t="shared" si="33"/>
        <v>no conflict</v>
      </c>
      <c r="BF14" s="148" t="str">
        <f t="shared" si="34"/>
        <v>11/19/2017 08:50-&gt;AD F - COL 1</v>
      </c>
      <c r="BG14" s="148" t="str">
        <f t="shared" si="35"/>
        <v>11/19/2017 08:50-&gt;AD F - USA 1</v>
      </c>
      <c r="BH14" s="148" t="str">
        <f t="shared" si="36"/>
        <v>11/19/2017 08:50-&gt;Hillel - Field 3</v>
      </c>
      <c r="BI14" s="148" t="str">
        <f t="shared" si="37"/>
        <v>Kickball in Hillel - Field 3 (COL1-USA1)</v>
      </c>
      <c r="BJ14" s="148" t="str">
        <f t="shared" si="38"/>
        <v>Adult Female Kickball-- AD F - COL 1 vs. AD F - USA 1</v>
      </c>
      <c r="BK14" s="148" t="str">
        <f t="shared" si="39"/>
        <v>Kickball</v>
      </c>
      <c r="BL14" s="148" t="str">
        <f t="shared" si="40"/>
        <v>AD F - COL 1</v>
      </c>
      <c r="BM14" s="148" t="str">
        <f t="shared" si="41"/>
        <v>AD F - USA 1</v>
      </c>
      <c r="BN14" s="148" t="str">
        <f t="shared" si="42"/>
        <v>Round - 1</v>
      </c>
      <c r="BP14" s="148" t="str">
        <f t="shared" si="43"/>
        <v>no t, f, or sf</v>
      </c>
      <c r="BQ14" s="148" t="str">
        <f t="shared" si="44"/>
        <v/>
      </c>
    </row>
    <row r="15" spans="1:69" ht="15" customHeight="1" x14ac:dyDescent="0.2">
      <c r="A15" s="376">
        <v>5</v>
      </c>
      <c r="B15" s="333" t="s">
        <v>79</v>
      </c>
      <c r="C15" s="329" t="s">
        <v>518</v>
      </c>
      <c r="D15" s="379">
        <v>1</v>
      </c>
      <c r="E15" s="379">
        <v>1</v>
      </c>
      <c r="F15" s="315" t="s">
        <v>770</v>
      </c>
      <c r="G15" s="332">
        <v>43058</v>
      </c>
      <c r="H15" s="331">
        <v>0.40277777777777773</v>
      </c>
      <c r="I15" s="325" t="s">
        <v>770</v>
      </c>
      <c r="J15" s="328" t="s">
        <v>704</v>
      </c>
      <c r="K15" s="447"/>
      <c r="L15" s="328" t="s">
        <v>527</v>
      </c>
      <c r="M15" s="447"/>
      <c r="N15" s="329" t="s">
        <v>531</v>
      </c>
      <c r="O15" s="153" t="str">
        <f>IF(L15&lt;&gt;"",IFERROR(VLOOKUP(B15&amp;L15,Pools!$A$2:$D$130,3,FALSE),""),"")</f>
        <v/>
      </c>
      <c r="P15" s="388">
        <v>0</v>
      </c>
      <c r="Q15" s="388">
        <v>5</v>
      </c>
      <c r="R15" s="306" t="str">
        <f t="shared" si="0"/>
        <v>0-5</v>
      </c>
      <c r="T15" s="148" t="str">
        <f t="shared" si="1"/>
        <v>Completed</v>
      </c>
      <c r="U15" s="153"/>
      <c r="V15" s="153"/>
      <c r="W15" s="387">
        <f t="shared" si="2"/>
        <v>-5</v>
      </c>
      <c r="X15" s="387">
        <f t="shared" si="3"/>
        <v>5</v>
      </c>
      <c r="Y15" s="301">
        <f t="shared" si="4"/>
        <v>0</v>
      </c>
      <c r="Z15" s="301">
        <f t="shared" si="5"/>
        <v>2</v>
      </c>
      <c r="AA15" s="323" t="str">
        <f>CONCATENATE("                x[team1,team2,sport,'",IF(OR(I15="x",I15=""),VLOOKUP('Schedule from TM'!J15,Tables!$P$3:$Q$33,2,FALSE),'Schedule from TM'!I15),",",J15,"','",IF(OR(F15="x",F15=""),VLOOKUP('Schedule from TM'!G15,Tables!$U$3:$V$14,2,FALSE),'Schedule from TM'!F15),",",TEXT(G15,"mm/dd/yyyy"),"','",TEXT(H15,"h:mm:ss AM/PM"),"'].ub=0.0      #",B15)</f>
        <v xml:space="preserve">                x[team1,team2,sport,'21,Hillel - Field 2','11,11/19/2017','9:40:00 AM'].ub=0.0      #Adult Female Kickball</v>
      </c>
      <c r="AB15" s="301" t="str">
        <f t="shared" si="6"/>
        <v>,,Adult Female Kickball,,1,AD F - ARG</v>
      </c>
      <c r="AC15" s="153" t="str">
        <f t="shared" si="7"/>
        <v>Adult Female KickballAD F - ARG</v>
      </c>
      <c r="AD15" s="301" t="str">
        <f t="shared" si="8"/>
        <v>,,Adult Female Kickball,,1,AD F - VEN 1</v>
      </c>
      <c r="AE15" s="153" t="str">
        <f t="shared" si="9"/>
        <v>Adult Female KickballAD F - VEN 1</v>
      </c>
      <c r="AF15" s="383">
        <f t="shared" si="10"/>
        <v>0</v>
      </c>
      <c r="AG15" s="383">
        <f t="shared" si="11"/>
        <v>1</v>
      </c>
      <c r="AH15" s="383">
        <f t="shared" si="12"/>
        <v>0</v>
      </c>
      <c r="AI15" s="383">
        <f t="shared" si="13"/>
        <v>1</v>
      </c>
      <c r="AJ15" s="383">
        <f t="shared" si="14"/>
        <v>0</v>
      </c>
      <c r="AK15" s="383">
        <f t="shared" si="15"/>
        <v>0</v>
      </c>
      <c r="AM15" s="148" t="str">
        <f t="shared" si="16"/>
        <v>Schedulled</v>
      </c>
      <c r="AN15" s="148" t="str">
        <f t="shared" si="17"/>
        <v/>
      </c>
      <c r="AO15" s="156">
        <f t="shared" si="18"/>
        <v>43058.402777777781</v>
      </c>
      <c r="AP15" s="148" t="str">
        <f t="shared" si="19"/>
        <v>11/19/2017 09:40-&gt;Hillel - Field 2</v>
      </c>
      <c r="AQ15" s="374">
        <f t="shared" si="20"/>
        <v>1</v>
      </c>
      <c r="AR15" s="148" t="str">
        <f t="shared" si="21"/>
        <v>ARG1</v>
      </c>
      <c r="AS15" s="148" t="str">
        <f t="shared" si="22"/>
        <v>VEN1</v>
      </c>
      <c r="AT15" s="157" t="str">
        <f t="shared" si="23"/>
        <v>ARG1-VEN1</v>
      </c>
      <c r="AU15" s="157" t="str">
        <f t="shared" si="24"/>
        <v xml:space="preserve">ARG1-VEN1 </v>
      </c>
      <c r="AV15" s="157" t="str">
        <f t="shared" si="25"/>
        <v>Adults FEMALE</v>
      </c>
      <c r="AW15" s="157" t="str">
        <f t="shared" si="26"/>
        <v>Kickball</v>
      </c>
      <c r="AX15" s="376">
        <f t="shared" si="27"/>
        <v>5</v>
      </c>
      <c r="AY15" s="148" t="str">
        <f t="shared" si="28"/>
        <v>AD F - ARG-&gt;AD F - VEN 1</v>
      </c>
      <c r="AZ15" s="148" t="str">
        <f t="shared" si="29"/>
        <v>11/19/2017 09:40-&gt;AD F - ARG</v>
      </c>
      <c r="BA15" s="148" t="str">
        <f t="shared" si="30"/>
        <v>11/19/2017 09:40-&gt;AD F - VEN 1</v>
      </c>
      <c r="BB15" s="374">
        <f t="shared" si="31"/>
        <v>1</v>
      </c>
      <c r="BC15" s="374">
        <f t="shared" si="32"/>
        <v>1</v>
      </c>
      <c r="BD15" s="148" t="str">
        <f t="shared" si="33"/>
        <v>no conflict</v>
      </c>
      <c r="BF15" s="148" t="str">
        <f t="shared" si="34"/>
        <v>11/19/2017 09:40-&gt;AD F - ARG</v>
      </c>
      <c r="BG15" s="148" t="str">
        <f t="shared" si="35"/>
        <v>11/19/2017 09:40-&gt;AD F - VEN 1</v>
      </c>
      <c r="BH15" s="148" t="str">
        <f t="shared" si="36"/>
        <v>11/19/2017 09:40-&gt;Hillel - Field 2</v>
      </c>
      <c r="BI15" s="148" t="str">
        <f t="shared" si="37"/>
        <v>Kickball in Hillel - Field 2 (ARG1-VEN1)</v>
      </c>
      <c r="BJ15" s="148" t="str">
        <f t="shared" si="38"/>
        <v>Adult Female Kickball-- AD F - ARG vs. AD F - VEN 1</v>
      </c>
      <c r="BK15" s="148" t="str">
        <f t="shared" si="39"/>
        <v>Kickball</v>
      </c>
      <c r="BL15" s="148" t="str">
        <f t="shared" si="40"/>
        <v>AD F - ARG</v>
      </c>
      <c r="BM15" s="148" t="str">
        <f t="shared" si="41"/>
        <v>AD F - VEN 1</v>
      </c>
      <c r="BN15" s="148" t="str">
        <f t="shared" si="42"/>
        <v>Round - 1</v>
      </c>
      <c r="BP15" s="148" t="str">
        <f t="shared" si="43"/>
        <v>no t, f, or sf</v>
      </c>
      <c r="BQ15" s="148" t="str">
        <f t="shared" si="44"/>
        <v/>
      </c>
    </row>
    <row r="16" spans="1:69" ht="15" customHeight="1" x14ac:dyDescent="0.2">
      <c r="A16" s="376">
        <v>6</v>
      </c>
      <c r="B16" s="333" t="s">
        <v>79</v>
      </c>
      <c r="C16" s="328" t="s">
        <v>518</v>
      </c>
      <c r="D16" s="380">
        <v>1</v>
      </c>
      <c r="E16" s="380">
        <v>1</v>
      </c>
      <c r="F16" s="315" t="s">
        <v>770</v>
      </c>
      <c r="G16" s="332">
        <v>43058</v>
      </c>
      <c r="H16" s="331">
        <v>0.47222222222222227</v>
      </c>
      <c r="I16" s="325" t="s">
        <v>770</v>
      </c>
      <c r="J16" s="146" t="s">
        <v>703</v>
      </c>
      <c r="K16" s="334"/>
      <c r="L16" s="328" t="s">
        <v>527</v>
      </c>
      <c r="M16" s="334"/>
      <c r="N16" s="328" t="s">
        <v>530</v>
      </c>
      <c r="O16" s="153" t="str">
        <f>IF(L16&lt;&gt;"",IFERROR(VLOOKUP(B16&amp;L16,Pools!$A$2:$D$130,3,FALSE),""),"")</f>
        <v/>
      </c>
      <c r="P16" s="388">
        <v>0</v>
      </c>
      <c r="Q16" s="388">
        <v>5</v>
      </c>
      <c r="R16" s="306" t="str">
        <f t="shared" si="0"/>
        <v>0-5</v>
      </c>
      <c r="T16" s="148" t="str">
        <f t="shared" si="1"/>
        <v>Completed</v>
      </c>
      <c r="U16" s="153"/>
      <c r="V16" s="153"/>
      <c r="W16" s="387">
        <f t="shared" si="2"/>
        <v>-5</v>
      </c>
      <c r="X16" s="387">
        <f t="shared" si="3"/>
        <v>5</v>
      </c>
      <c r="Y16" s="301">
        <f t="shared" si="4"/>
        <v>0</v>
      </c>
      <c r="Z16" s="301">
        <f t="shared" si="5"/>
        <v>2</v>
      </c>
      <c r="AA16" s="323" t="str">
        <f>CONCATENATE("                x[team1,team2,sport,'",IF(OR(I16="x",I16=""),VLOOKUP('Schedule from TM'!J16,Tables!$P$3:$Q$33,2,FALSE),'Schedule from TM'!I16),",",J16,"','",IF(OR(F16="x",F16=""),VLOOKUP('Schedule from TM'!G16,Tables!$U$3:$V$14,2,FALSE),'Schedule from TM'!F16),",",TEXT(G16,"mm/dd/yyyy"),"','",TEXT(H16,"h:mm:ss AM/PM"),"'].ub=0.0      #",B16)</f>
        <v xml:space="preserve">                x[team1,team2,sport,'21,Hillel - Field 1','11,11/19/2017','11:20:00 AM'].ub=0.0      #Adult Female Kickball</v>
      </c>
      <c r="AB16" s="301" t="str">
        <f t="shared" si="6"/>
        <v>,,Adult Female Kickball,,1,AD F - ARG</v>
      </c>
      <c r="AC16" s="153" t="str">
        <f t="shared" si="7"/>
        <v>Adult Female KickballAD F - ARG</v>
      </c>
      <c r="AD16" s="301" t="str">
        <f t="shared" si="8"/>
        <v>,,Adult Female Kickball,,1,AD F - USA 1</v>
      </c>
      <c r="AE16" s="153" t="str">
        <f t="shared" si="9"/>
        <v>Adult Female KickballAD F - USA 1</v>
      </c>
      <c r="AF16" s="383">
        <f t="shared" si="10"/>
        <v>0</v>
      </c>
      <c r="AG16" s="383">
        <f t="shared" si="11"/>
        <v>1</v>
      </c>
      <c r="AH16" s="383">
        <f t="shared" si="12"/>
        <v>0</v>
      </c>
      <c r="AI16" s="383">
        <f t="shared" si="13"/>
        <v>1</v>
      </c>
      <c r="AJ16" s="383">
        <f t="shared" si="14"/>
        <v>0</v>
      </c>
      <c r="AK16" s="383">
        <f t="shared" si="15"/>
        <v>0</v>
      </c>
      <c r="AM16" s="148" t="str">
        <f t="shared" si="16"/>
        <v>Schedulled</v>
      </c>
      <c r="AN16" s="148" t="str">
        <f t="shared" si="17"/>
        <v/>
      </c>
      <c r="AO16" s="156">
        <f t="shared" si="18"/>
        <v>43058.472222222219</v>
      </c>
      <c r="AP16" s="148" t="str">
        <f t="shared" si="19"/>
        <v>11/19/2017 11:20-&gt;Hillel - Field 1</v>
      </c>
      <c r="AQ16" s="374">
        <f t="shared" si="20"/>
        <v>1</v>
      </c>
      <c r="AR16" s="148" t="str">
        <f t="shared" si="21"/>
        <v>ARG1</v>
      </c>
      <c r="AS16" s="148" t="str">
        <f t="shared" si="22"/>
        <v>USA1</v>
      </c>
      <c r="AT16" s="157" t="str">
        <f t="shared" si="23"/>
        <v>ARG1-USA1</v>
      </c>
      <c r="AU16" s="157" t="str">
        <f t="shared" si="24"/>
        <v xml:space="preserve">ARG1-USA1 </v>
      </c>
      <c r="AV16" s="157" t="str">
        <f t="shared" si="25"/>
        <v>Adults FEMALE</v>
      </c>
      <c r="AW16" s="157" t="str">
        <f t="shared" si="26"/>
        <v>Kickball</v>
      </c>
      <c r="AX16" s="376">
        <f t="shared" si="27"/>
        <v>6</v>
      </c>
      <c r="AY16" s="148" t="str">
        <f t="shared" si="28"/>
        <v>AD F - ARG-&gt;AD F - USA 1</v>
      </c>
      <c r="AZ16" s="148" t="str">
        <f t="shared" si="29"/>
        <v>11/19/2017 11:20-&gt;AD F - ARG</v>
      </c>
      <c r="BA16" s="148" t="str">
        <f t="shared" si="30"/>
        <v>11/19/2017 11:20-&gt;AD F - USA 1</v>
      </c>
      <c r="BB16" s="374">
        <f t="shared" si="31"/>
        <v>1</v>
      </c>
      <c r="BC16" s="374">
        <f t="shared" si="32"/>
        <v>1</v>
      </c>
      <c r="BD16" s="148" t="str">
        <f t="shared" si="33"/>
        <v>no conflict</v>
      </c>
      <c r="BF16" s="148" t="str">
        <f t="shared" si="34"/>
        <v>11/19/2017 11:20-&gt;AD F - ARG</v>
      </c>
      <c r="BG16" s="148" t="str">
        <f t="shared" si="35"/>
        <v>11/19/2017 11:20-&gt;AD F - USA 1</v>
      </c>
      <c r="BH16" s="148" t="str">
        <f t="shared" si="36"/>
        <v>11/19/2017 11:20-&gt;Hillel - Field 1</v>
      </c>
      <c r="BI16" s="148" t="str">
        <f t="shared" si="37"/>
        <v>Kickball in Hillel - Field 1 (ARG1-USA1)</v>
      </c>
      <c r="BJ16" s="148" t="str">
        <f t="shared" si="38"/>
        <v>Adult Female Kickball-- AD F - ARG vs. AD F - USA 1</v>
      </c>
      <c r="BK16" s="148" t="str">
        <f t="shared" si="39"/>
        <v>Kickball</v>
      </c>
      <c r="BL16" s="148" t="str">
        <f t="shared" si="40"/>
        <v>AD F - ARG</v>
      </c>
      <c r="BM16" s="148" t="str">
        <f t="shared" si="41"/>
        <v>AD F - USA 1</v>
      </c>
      <c r="BN16" s="148" t="str">
        <f t="shared" si="42"/>
        <v>Round - 1</v>
      </c>
      <c r="BP16" s="148" t="str">
        <f t="shared" si="43"/>
        <v>no t, f, or sf</v>
      </c>
      <c r="BQ16" s="148" t="str">
        <f t="shared" si="44"/>
        <v/>
      </c>
    </row>
    <row r="17" spans="1:69" ht="15" customHeight="1" x14ac:dyDescent="0.2">
      <c r="A17" s="376">
        <v>7</v>
      </c>
      <c r="B17" s="433" t="s">
        <v>79</v>
      </c>
      <c r="C17" s="441" t="s">
        <v>518</v>
      </c>
      <c r="D17" s="450">
        <v>1</v>
      </c>
      <c r="E17" s="450">
        <v>1</v>
      </c>
      <c r="F17" s="315" t="s">
        <v>770</v>
      </c>
      <c r="G17" s="320">
        <v>43063</v>
      </c>
      <c r="H17" s="418">
        <v>0.33333333333333331</v>
      </c>
      <c r="I17" s="325" t="s">
        <v>770</v>
      </c>
      <c r="J17" s="296" t="s">
        <v>706</v>
      </c>
      <c r="K17" s="441">
        <v>832</v>
      </c>
      <c r="L17" s="441" t="s">
        <v>529</v>
      </c>
      <c r="M17" s="441">
        <v>832</v>
      </c>
      <c r="N17" s="441" t="s">
        <v>531</v>
      </c>
      <c r="O17" s="153" t="str">
        <f>IF(L17&lt;&gt;"",IFERROR(VLOOKUP(B17&amp;L17,Pools!$A$2:$D$130,3,FALSE),""),"")</f>
        <v/>
      </c>
      <c r="P17" s="388">
        <v>0</v>
      </c>
      <c r="Q17" s="388">
        <v>5</v>
      </c>
      <c r="R17" s="306" t="str">
        <f t="shared" si="0"/>
        <v>0-5</v>
      </c>
      <c r="T17" s="148" t="str">
        <f t="shared" si="1"/>
        <v>Completed</v>
      </c>
      <c r="U17" s="153"/>
      <c r="V17" s="153"/>
      <c r="W17" s="387">
        <f t="shared" si="2"/>
        <v>-5</v>
      </c>
      <c r="X17" s="387">
        <f t="shared" si="3"/>
        <v>5</v>
      </c>
      <c r="Y17" s="301">
        <f t="shared" si="4"/>
        <v>0</v>
      </c>
      <c r="Z17" s="301">
        <f t="shared" si="5"/>
        <v>2</v>
      </c>
      <c r="AA17" s="323" t="str">
        <f>CONCATENATE("                x[team1,team2,sport,'",IF(OR(I17="x",I17=""),VLOOKUP('Schedule from TM'!J17,Tables!$P$3:$Q$33,2,FALSE),'Schedule from TM'!I17),",",J17,"','",IF(OR(F17="x",F17=""),VLOOKUP('Schedule from TM'!G17,Tables!$U$3:$V$14,2,FALSE),'Schedule from TM'!F17),",",TEXT(G17,"mm/dd/yyyy"),"','",TEXT(H17,"h:mm:ss AM/PM"),"'].ub=0.0      #",B17)</f>
        <v xml:space="preserve">                x[team1,team2,sport,'21,Hillel - Field 4','11,11/24/2017','8:00:00 AM'].ub=0.0      #Adult Female Kickball</v>
      </c>
      <c r="AB17" s="301" t="str">
        <f t="shared" si="6"/>
        <v>,,Adult Female Kickball,,1,AD F - PER</v>
      </c>
      <c r="AC17" s="153" t="str">
        <f t="shared" si="7"/>
        <v>Adult Female KickballAD F - PER</v>
      </c>
      <c r="AD17" s="301" t="str">
        <f t="shared" si="8"/>
        <v>,,Adult Female Kickball,,1,AD F - VEN 1</v>
      </c>
      <c r="AE17" s="153" t="str">
        <f t="shared" si="9"/>
        <v>Adult Female KickballAD F - VEN 1</v>
      </c>
      <c r="AF17" s="383">
        <f t="shared" si="10"/>
        <v>0</v>
      </c>
      <c r="AG17" s="383">
        <f t="shared" si="11"/>
        <v>1</v>
      </c>
      <c r="AH17" s="383">
        <f t="shared" si="12"/>
        <v>0</v>
      </c>
      <c r="AI17" s="383">
        <f t="shared" si="13"/>
        <v>1</v>
      </c>
      <c r="AJ17" s="383">
        <f t="shared" si="14"/>
        <v>0</v>
      </c>
      <c r="AK17" s="383">
        <f t="shared" si="15"/>
        <v>0</v>
      </c>
      <c r="AM17" s="148" t="str">
        <f t="shared" si="16"/>
        <v>Schedulled</v>
      </c>
      <c r="AN17" s="148" t="str">
        <f t="shared" si="17"/>
        <v/>
      </c>
      <c r="AO17" s="156">
        <f t="shared" si="18"/>
        <v>43063.333333333336</v>
      </c>
      <c r="AP17" s="148" t="str">
        <f t="shared" si="19"/>
        <v>11/24/2017 08:00-&gt;Hillel - Field 4</v>
      </c>
      <c r="AQ17" s="374">
        <f t="shared" si="20"/>
        <v>1</v>
      </c>
      <c r="AR17" s="148" t="str">
        <f t="shared" si="21"/>
        <v>PER</v>
      </c>
      <c r="AS17" s="148" t="str">
        <f t="shared" si="22"/>
        <v>VEN1</v>
      </c>
      <c r="AT17" s="157" t="str">
        <f t="shared" si="23"/>
        <v>PER-VEN1</v>
      </c>
      <c r="AU17" s="157" t="str">
        <f t="shared" si="24"/>
        <v xml:space="preserve">PER-VEN1 </v>
      </c>
      <c r="AV17" s="157" t="str">
        <f t="shared" si="25"/>
        <v>Adults FEMALE</v>
      </c>
      <c r="AW17" s="157" t="str">
        <f t="shared" si="26"/>
        <v>Kickball</v>
      </c>
      <c r="AX17" s="376">
        <f t="shared" si="27"/>
        <v>7</v>
      </c>
      <c r="AY17" s="148" t="str">
        <f t="shared" si="28"/>
        <v>AD F - PER-&gt;AD F - VEN 1</v>
      </c>
      <c r="AZ17" s="148" t="str">
        <f t="shared" si="29"/>
        <v>11/24/2017 08:00-&gt;AD F - PER</v>
      </c>
      <c r="BA17" s="148" t="str">
        <f t="shared" si="30"/>
        <v>11/24/2017 08:00-&gt;AD F - VEN 1</v>
      </c>
      <c r="BB17" s="374">
        <f t="shared" si="31"/>
        <v>1</v>
      </c>
      <c r="BC17" s="374">
        <f t="shared" si="32"/>
        <v>1</v>
      </c>
      <c r="BD17" s="148" t="str">
        <f t="shared" si="33"/>
        <v>no conflict</v>
      </c>
      <c r="BF17" s="148" t="str">
        <f t="shared" si="34"/>
        <v>11/24/2017 08:00-&gt;AD F - PER</v>
      </c>
      <c r="BG17" s="148" t="str">
        <f t="shared" si="35"/>
        <v>11/24/2017 08:00-&gt;AD F - VEN 1</v>
      </c>
      <c r="BH17" s="148" t="str">
        <f t="shared" si="36"/>
        <v>11/24/2017 08:00-&gt;Hillel - Field 4</v>
      </c>
      <c r="BI17" s="148" t="str">
        <f t="shared" si="37"/>
        <v>Kickball in Hillel - Field 4 (PER-VEN1)</v>
      </c>
      <c r="BJ17" s="148" t="str">
        <f t="shared" si="38"/>
        <v>Adult Female Kickball-- AD F - PER vs. AD F - VEN 1</v>
      </c>
      <c r="BK17" s="148" t="str">
        <f t="shared" si="39"/>
        <v>Kickball</v>
      </c>
      <c r="BL17" s="148" t="str">
        <f t="shared" si="40"/>
        <v>AD F - PER</v>
      </c>
      <c r="BM17" s="148" t="str">
        <f t="shared" si="41"/>
        <v>AD F - VEN 1</v>
      </c>
      <c r="BN17" s="148" t="str">
        <f t="shared" si="42"/>
        <v>Round - 1</v>
      </c>
      <c r="BP17" s="148" t="str">
        <f t="shared" si="43"/>
        <v>no t, f, or sf</v>
      </c>
      <c r="BQ17" s="148" t="str">
        <f t="shared" si="44"/>
        <v/>
      </c>
    </row>
    <row r="18" spans="1:69" ht="15" customHeight="1" x14ac:dyDescent="0.2">
      <c r="A18" s="376">
        <v>8</v>
      </c>
      <c r="B18" t="s">
        <v>79</v>
      </c>
      <c r="C18" s="319" t="s">
        <v>518</v>
      </c>
      <c r="D18" s="376">
        <v>1</v>
      </c>
      <c r="E18" s="376">
        <v>1</v>
      </c>
      <c r="F18" s="315" t="s">
        <v>770</v>
      </c>
      <c r="G18" s="320">
        <v>43062</v>
      </c>
      <c r="H18" s="331">
        <v>0.40277777777777773</v>
      </c>
      <c r="I18" s="325" t="s">
        <v>770</v>
      </c>
      <c r="J18" s="444" t="s">
        <v>705</v>
      </c>
      <c r="K18" s="319"/>
      <c r="L18" s="328" t="s">
        <v>527</v>
      </c>
      <c r="M18" s="319"/>
      <c r="N18" s="444" t="s">
        <v>526</v>
      </c>
      <c r="O18" s="153" t="str">
        <f>IF(L18&lt;&gt;"",IFERROR(VLOOKUP(B18&amp;L18,Pools!$A$2:$D$130,3,FALSE),""),"")</f>
        <v/>
      </c>
      <c r="P18" s="388">
        <v>0</v>
      </c>
      <c r="Q18" s="388">
        <v>3</v>
      </c>
      <c r="R18" s="306" t="str">
        <f t="shared" si="0"/>
        <v>0-3</v>
      </c>
      <c r="T18" s="148" t="str">
        <f t="shared" si="1"/>
        <v>Completed</v>
      </c>
      <c r="U18" s="153"/>
      <c r="V18" s="153"/>
      <c r="W18" s="387">
        <f t="shared" si="2"/>
        <v>-3</v>
      </c>
      <c r="X18" s="387">
        <f t="shared" si="3"/>
        <v>3</v>
      </c>
      <c r="Y18" s="301">
        <f t="shared" si="4"/>
        <v>0</v>
      </c>
      <c r="Z18" s="301">
        <f t="shared" si="5"/>
        <v>2</v>
      </c>
      <c r="AA18" s="323" t="str">
        <f>CONCATENATE("                x[team1,team2,sport,'",IF(OR(I18="x",I18=""),VLOOKUP('Schedule from TM'!J18,Tables!$P$3:$Q$33,2,FALSE),'Schedule from TM'!I18),",",J18,"','",IF(OR(F18="x",F18=""),VLOOKUP('Schedule from TM'!G18,Tables!$U$3:$V$14,2,FALSE),'Schedule from TM'!F18),",",TEXT(G18,"mm/dd/yyyy"),"','",TEXT(H18,"h:mm:ss AM/PM"),"'].ub=0.0      #",B18)</f>
        <v xml:space="preserve">                x[team1,team2,sport,'21,Hillel - Field 3','11,11/23/2017','9:40:00 AM'].ub=0.0      #Adult Female Kickball</v>
      </c>
      <c r="AB18" s="301" t="str">
        <f t="shared" si="6"/>
        <v>,,Adult Female Kickball,,1,AD F - ARG</v>
      </c>
      <c r="AC18" s="153" t="str">
        <f t="shared" si="7"/>
        <v>Adult Female KickballAD F - ARG</v>
      </c>
      <c r="AD18" s="301" t="str">
        <f t="shared" si="8"/>
        <v>,,Adult Female Kickball,,1,AD F - COL 1</v>
      </c>
      <c r="AE18" s="153" t="str">
        <f t="shared" si="9"/>
        <v>Adult Female KickballAD F - COL 1</v>
      </c>
      <c r="AF18" s="383">
        <f t="shared" si="10"/>
        <v>0</v>
      </c>
      <c r="AG18" s="383">
        <f t="shared" si="11"/>
        <v>1</v>
      </c>
      <c r="AH18" s="383">
        <f t="shared" si="12"/>
        <v>0</v>
      </c>
      <c r="AI18" s="383">
        <f t="shared" si="13"/>
        <v>1</v>
      </c>
      <c r="AJ18" s="383">
        <f t="shared" si="14"/>
        <v>0</v>
      </c>
      <c r="AK18" s="383">
        <f t="shared" si="15"/>
        <v>0</v>
      </c>
      <c r="AM18" s="148" t="str">
        <f t="shared" si="16"/>
        <v>Schedulled</v>
      </c>
      <c r="AN18" s="148" t="str">
        <f t="shared" si="17"/>
        <v/>
      </c>
      <c r="AO18" s="156">
        <f t="shared" si="18"/>
        <v>43062.402777777781</v>
      </c>
      <c r="AP18" s="148" t="str">
        <f t="shared" si="19"/>
        <v>11/23/2017 09:40-&gt;Hillel - Field 3</v>
      </c>
      <c r="AQ18" s="374">
        <f t="shared" si="20"/>
        <v>1</v>
      </c>
      <c r="AR18" s="148" t="str">
        <f t="shared" si="21"/>
        <v>ARG1</v>
      </c>
      <c r="AS18" s="148" t="str">
        <f t="shared" si="22"/>
        <v>COL1</v>
      </c>
      <c r="AT18" s="157" t="str">
        <f t="shared" si="23"/>
        <v>ARG1-COL1</v>
      </c>
      <c r="AU18" s="157" t="str">
        <f t="shared" si="24"/>
        <v xml:space="preserve">ARG1-COL1 </v>
      </c>
      <c r="AV18" s="157" t="str">
        <f t="shared" si="25"/>
        <v>Adults FEMALE</v>
      </c>
      <c r="AW18" s="157" t="str">
        <f t="shared" si="26"/>
        <v>Kickball</v>
      </c>
      <c r="AX18" s="376">
        <f t="shared" si="27"/>
        <v>8</v>
      </c>
      <c r="AY18" s="148" t="str">
        <f t="shared" si="28"/>
        <v>AD F - ARG-&gt;AD F - COL 1</v>
      </c>
      <c r="AZ18" s="148" t="str">
        <f t="shared" si="29"/>
        <v>11/23/2017 09:40-&gt;AD F - ARG</v>
      </c>
      <c r="BA18" s="148" t="str">
        <f t="shared" si="30"/>
        <v>11/23/2017 09:40-&gt;AD F - COL 1</v>
      </c>
      <c r="BB18" s="374">
        <f t="shared" si="31"/>
        <v>1</v>
      </c>
      <c r="BC18" s="374">
        <f t="shared" si="32"/>
        <v>1</v>
      </c>
      <c r="BD18" s="148" t="str">
        <f t="shared" si="33"/>
        <v>no conflict</v>
      </c>
      <c r="BF18" s="148" t="str">
        <f t="shared" si="34"/>
        <v>11/23/2017 09:40-&gt;AD F - ARG</v>
      </c>
      <c r="BG18" s="148" t="str">
        <f t="shared" si="35"/>
        <v>11/23/2017 09:40-&gt;AD F - COL 1</v>
      </c>
      <c r="BH18" s="148" t="str">
        <f t="shared" si="36"/>
        <v>11/23/2017 09:40-&gt;Hillel - Field 3</v>
      </c>
      <c r="BI18" s="148" t="str">
        <f t="shared" si="37"/>
        <v>Kickball in Hillel - Field 3 (ARG1-COL1)</v>
      </c>
      <c r="BJ18" s="148" t="str">
        <f t="shared" si="38"/>
        <v>Adult Female Kickball-- AD F - ARG vs. AD F - COL 1</v>
      </c>
      <c r="BK18" s="148" t="str">
        <f t="shared" si="39"/>
        <v>Kickball</v>
      </c>
      <c r="BL18" s="148" t="str">
        <f t="shared" si="40"/>
        <v>AD F - ARG</v>
      </c>
      <c r="BM18" s="148" t="str">
        <f t="shared" si="41"/>
        <v>AD F - COL 1</v>
      </c>
      <c r="BN18" s="148" t="str">
        <f t="shared" si="42"/>
        <v>Round - 1</v>
      </c>
      <c r="BP18" s="148" t="str">
        <f t="shared" si="43"/>
        <v>no t, f, or sf</v>
      </c>
      <c r="BQ18" s="148" t="str">
        <f t="shared" si="44"/>
        <v/>
      </c>
    </row>
    <row r="19" spans="1:69" ht="15" customHeight="1" x14ac:dyDescent="0.2">
      <c r="A19" s="376">
        <v>9</v>
      </c>
      <c r="B19" t="s">
        <v>79</v>
      </c>
      <c r="C19" s="319" t="s">
        <v>518</v>
      </c>
      <c r="D19" s="376">
        <v>1</v>
      </c>
      <c r="E19" s="376">
        <v>1</v>
      </c>
      <c r="F19" s="315" t="s">
        <v>770</v>
      </c>
      <c r="G19" s="320">
        <v>43062</v>
      </c>
      <c r="H19" s="318">
        <v>0.4375</v>
      </c>
      <c r="I19" s="325" t="s">
        <v>770</v>
      </c>
      <c r="J19" s="441" t="s">
        <v>704</v>
      </c>
      <c r="K19" s="319">
        <v>832</v>
      </c>
      <c r="L19" s="441" t="s">
        <v>526</v>
      </c>
      <c r="M19" s="319">
        <v>832</v>
      </c>
      <c r="N19" s="441" t="s">
        <v>529</v>
      </c>
      <c r="O19" s="153" t="str">
        <f>IF(L19&lt;&gt;"",IFERROR(VLOOKUP(B19&amp;L19,Pools!$A$2:$D$130,3,FALSE),""),"")</f>
        <v/>
      </c>
      <c r="P19" s="388">
        <v>1</v>
      </c>
      <c r="Q19" s="388">
        <v>8</v>
      </c>
      <c r="R19" s="306" t="str">
        <f t="shared" si="0"/>
        <v>1-8</v>
      </c>
      <c r="T19" s="148" t="str">
        <f t="shared" si="1"/>
        <v>Completed</v>
      </c>
      <c r="U19" s="153"/>
      <c r="V19" s="153"/>
      <c r="W19" s="387">
        <f t="shared" si="2"/>
        <v>-5</v>
      </c>
      <c r="X19" s="387">
        <f t="shared" si="3"/>
        <v>5</v>
      </c>
      <c r="Y19" s="301">
        <f t="shared" si="4"/>
        <v>0</v>
      </c>
      <c r="Z19" s="301">
        <f t="shared" si="5"/>
        <v>2</v>
      </c>
      <c r="AA19" s="323" t="str">
        <f>CONCATENATE("                x[team1,team2,sport,'",IF(OR(I19="x",I19=""),VLOOKUP('Schedule from TM'!J19,Tables!$P$3:$Q$33,2,FALSE),'Schedule from TM'!I19),",",J19,"','",IF(OR(F19="x",F19=""),VLOOKUP('Schedule from TM'!G19,Tables!$U$3:$V$14,2,FALSE),'Schedule from TM'!F19),",",TEXT(G19,"mm/dd/yyyy"),"','",TEXT(H19,"h:mm:ss AM/PM"),"'].ub=0.0      #",B19)</f>
        <v xml:space="preserve">                x[team1,team2,sport,'21,Hillel - Field 2','11,11/23/2017','10:30:00 AM'].ub=0.0      #Adult Female Kickball</v>
      </c>
      <c r="AB19" s="301" t="str">
        <f t="shared" si="6"/>
        <v>,,Adult Female Kickball,,1,AD F - COL 1</v>
      </c>
      <c r="AC19" s="153" t="str">
        <f t="shared" si="7"/>
        <v>Adult Female KickballAD F - COL 1</v>
      </c>
      <c r="AD19" s="301" t="str">
        <f t="shared" si="8"/>
        <v>,,Adult Female Kickball,,1,AD F - PER</v>
      </c>
      <c r="AE19" s="153" t="str">
        <f t="shared" si="9"/>
        <v>Adult Female KickballAD F - PER</v>
      </c>
      <c r="AF19" s="383">
        <f t="shared" si="10"/>
        <v>0</v>
      </c>
      <c r="AG19" s="383">
        <f t="shared" si="11"/>
        <v>1</v>
      </c>
      <c r="AH19" s="383">
        <f t="shared" si="12"/>
        <v>0</v>
      </c>
      <c r="AI19" s="383">
        <f t="shared" si="13"/>
        <v>1</v>
      </c>
      <c r="AJ19" s="383">
        <f t="shared" si="14"/>
        <v>0</v>
      </c>
      <c r="AK19" s="383">
        <f t="shared" si="15"/>
        <v>0</v>
      </c>
      <c r="AM19" s="148" t="str">
        <f t="shared" si="16"/>
        <v>Schedulled</v>
      </c>
      <c r="AN19" s="148" t="str">
        <f t="shared" si="17"/>
        <v/>
      </c>
      <c r="AO19" s="156">
        <f t="shared" si="18"/>
        <v>43062.4375</v>
      </c>
      <c r="AP19" s="148" t="str">
        <f t="shared" si="19"/>
        <v>11/23/2017 10:30-&gt;Hillel - Field 2</v>
      </c>
      <c r="AQ19" s="374">
        <f t="shared" si="20"/>
        <v>1</v>
      </c>
      <c r="AR19" s="148" t="str">
        <f t="shared" si="21"/>
        <v>COL1</v>
      </c>
      <c r="AS19" s="148" t="str">
        <f t="shared" si="22"/>
        <v>PER</v>
      </c>
      <c r="AT19" s="157" t="str">
        <f t="shared" si="23"/>
        <v>COL1-PER</v>
      </c>
      <c r="AU19" s="157" t="str">
        <f t="shared" si="24"/>
        <v xml:space="preserve">COL1-PER </v>
      </c>
      <c r="AV19" s="157" t="str">
        <f t="shared" si="25"/>
        <v>Adults FEMALE</v>
      </c>
      <c r="AW19" s="157" t="str">
        <f t="shared" si="26"/>
        <v>Kickball</v>
      </c>
      <c r="AX19" s="376">
        <f t="shared" si="27"/>
        <v>9</v>
      </c>
      <c r="AY19" s="148" t="str">
        <f t="shared" si="28"/>
        <v>AD F - COL 1-&gt;AD F - PER</v>
      </c>
      <c r="AZ19" s="148" t="str">
        <f t="shared" si="29"/>
        <v>11/23/2017 10:30-&gt;AD F - COL 1</v>
      </c>
      <c r="BA19" s="148" t="str">
        <f t="shared" si="30"/>
        <v>11/23/2017 10:30-&gt;AD F - PER</v>
      </c>
      <c r="BB19" s="374">
        <f t="shared" si="31"/>
        <v>1</v>
      </c>
      <c r="BC19" s="374">
        <f t="shared" si="32"/>
        <v>1</v>
      </c>
      <c r="BD19" s="148" t="str">
        <f t="shared" si="33"/>
        <v>no conflict</v>
      </c>
      <c r="BF19" s="148" t="str">
        <f t="shared" si="34"/>
        <v>11/23/2017 10:30-&gt;AD F - COL 1</v>
      </c>
      <c r="BG19" s="148" t="str">
        <f t="shared" si="35"/>
        <v>11/23/2017 10:30-&gt;AD F - PER</v>
      </c>
      <c r="BH19" s="148" t="str">
        <f t="shared" si="36"/>
        <v>11/23/2017 10:30-&gt;Hillel - Field 2</v>
      </c>
      <c r="BI19" s="148" t="str">
        <f t="shared" si="37"/>
        <v>Kickball in Hillel - Field 2 (COL1-PER)</v>
      </c>
      <c r="BJ19" s="148" t="str">
        <f t="shared" si="38"/>
        <v>Adult Female Kickball-- AD F - COL 1 vs. AD F - PER</v>
      </c>
      <c r="BK19" s="148" t="str">
        <f t="shared" si="39"/>
        <v>Kickball</v>
      </c>
      <c r="BL19" s="148" t="str">
        <f t="shared" si="40"/>
        <v>AD F - COL 1</v>
      </c>
      <c r="BM19" s="148" t="str">
        <f t="shared" si="41"/>
        <v>AD F - PER</v>
      </c>
      <c r="BN19" s="148" t="str">
        <f t="shared" si="42"/>
        <v>Round - 1</v>
      </c>
      <c r="BP19" s="148" t="str">
        <f t="shared" si="43"/>
        <v>no t, f, or sf</v>
      </c>
      <c r="BQ19" s="148" t="str">
        <f t="shared" si="44"/>
        <v/>
      </c>
    </row>
    <row r="20" spans="1:69" ht="15" customHeight="1" x14ac:dyDescent="0.2">
      <c r="A20" s="376">
        <v>10</v>
      </c>
      <c r="B20" t="s">
        <v>79</v>
      </c>
      <c r="C20" s="319" t="s">
        <v>518</v>
      </c>
      <c r="D20" s="376">
        <v>1</v>
      </c>
      <c r="E20" s="376">
        <v>1</v>
      </c>
      <c r="F20" s="315" t="s">
        <v>770</v>
      </c>
      <c r="G20" s="320">
        <v>43062</v>
      </c>
      <c r="H20" s="317">
        <v>0.50694444444444442</v>
      </c>
      <c r="I20" s="325" t="s">
        <v>770</v>
      </c>
      <c r="J20" s="319" t="s">
        <v>706</v>
      </c>
      <c r="K20" s="319">
        <v>832</v>
      </c>
      <c r="L20" s="319" t="s">
        <v>530</v>
      </c>
      <c r="M20" s="319">
        <v>832</v>
      </c>
      <c r="N20" s="319" t="s">
        <v>531</v>
      </c>
      <c r="O20" s="153" t="str">
        <f>IF(L20&lt;&gt;"",IFERROR(VLOOKUP(B20&amp;L20,Pools!$A$2:$D$130,3,FALSE),""),"")</f>
        <v/>
      </c>
      <c r="P20" s="388">
        <v>7</v>
      </c>
      <c r="Q20" s="388">
        <v>2</v>
      </c>
      <c r="R20" s="306" t="str">
        <f t="shared" si="0"/>
        <v>7-2</v>
      </c>
      <c r="T20" s="148" t="str">
        <f t="shared" si="1"/>
        <v>Completed</v>
      </c>
      <c r="U20" s="153"/>
      <c r="V20" s="153"/>
      <c r="W20" s="387">
        <f t="shared" si="2"/>
        <v>5</v>
      </c>
      <c r="X20" s="387">
        <f t="shared" si="3"/>
        <v>-5</v>
      </c>
      <c r="Y20" s="301">
        <f t="shared" si="4"/>
        <v>2</v>
      </c>
      <c r="Z20" s="301">
        <f t="shared" si="5"/>
        <v>0</v>
      </c>
      <c r="AA20" s="323" t="str">
        <f>CONCATENATE("                x[team1,team2,sport,'",IF(OR(I20="x",I20=""),VLOOKUP('Schedule from TM'!J20,Tables!$P$3:$Q$33,2,FALSE),'Schedule from TM'!I20),",",J20,"','",IF(OR(F20="x",F20=""),VLOOKUP('Schedule from TM'!G20,Tables!$U$3:$V$14,2,FALSE),'Schedule from TM'!F20),",",TEXT(G20,"mm/dd/yyyy"),"','",TEXT(H20,"h:mm:ss AM/PM"),"'].ub=0.0      #",B20)</f>
        <v xml:space="preserve">                x[team1,team2,sport,'21,Hillel - Field 4','11,11/23/2017','12:10:00 PM'].ub=0.0      #Adult Female Kickball</v>
      </c>
      <c r="AB20" s="301" t="str">
        <f t="shared" si="6"/>
        <v>,,Adult Female Kickball,,1,AD F - USA 1</v>
      </c>
      <c r="AC20" s="153" t="str">
        <f t="shared" si="7"/>
        <v>Adult Female KickballAD F - USA 1</v>
      </c>
      <c r="AD20" s="301" t="str">
        <f t="shared" si="8"/>
        <v>,,Adult Female Kickball,,1,AD F - VEN 1</v>
      </c>
      <c r="AE20" s="153" t="str">
        <f t="shared" si="9"/>
        <v>Adult Female KickballAD F - VEN 1</v>
      </c>
      <c r="AF20" s="383">
        <f t="shared" si="10"/>
        <v>1</v>
      </c>
      <c r="AG20" s="383">
        <f t="shared" si="11"/>
        <v>0</v>
      </c>
      <c r="AH20" s="383">
        <f t="shared" si="12"/>
        <v>0</v>
      </c>
      <c r="AI20" s="383">
        <f t="shared" si="13"/>
        <v>0</v>
      </c>
      <c r="AJ20" s="383">
        <f t="shared" si="14"/>
        <v>1</v>
      </c>
      <c r="AK20" s="383">
        <f t="shared" si="15"/>
        <v>0</v>
      </c>
      <c r="AM20" s="148" t="str">
        <f t="shared" si="16"/>
        <v>Schedulled</v>
      </c>
      <c r="AN20" s="148" t="str">
        <f t="shared" si="17"/>
        <v/>
      </c>
      <c r="AO20" s="156">
        <f t="shared" si="18"/>
        <v>43062.506944444445</v>
      </c>
      <c r="AP20" s="148" t="str">
        <f t="shared" si="19"/>
        <v>11/23/2017 12:10-&gt;Hillel - Field 4</v>
      </c>
      <c r="AQ20" s="374">
        <f t="shared" si="20"/>
        <v>1</v>
      </c>
      <c r="AR20" s="148" t="str">
        <f t="shared" si="21"/>
        <v>USA1</v>
      </c>
      <c r="AS20" s="148" t="str">
        <f t="shared" si="22"/>
        <v>VEN1</v>
      </c>
      <c r="AT20" s="157" t="str">
        <f t="shared" si="23"/>
        <v>USA1-VEN1</v>
      </c>
      <c r="AU20" s="157" t="str">
        <f t="shared" si="24"/>
        <v xml:space="preserve">USA1-VEN1 </v>
      </c>
      <c r="AV20" s="157" t="str">
        <f t="shared" si="25"/>
        <v>Adults FEMALE</v>
      </c>
      <c r="AW20" s="157" t="str">
        <f t="shared" si="26"/>
        <v>Kickball</v>
      </c>
      <c r="AX20" s="376">
        <f t="shared" si="27"/>
        <v>10</v>
      </c>
      <c r="AY20" s="148" t="str">
        <f t="shared" si="28"/>
        <v>AD F - USA 1-&gt;AD F - VEN 1</v>
      </c>
      <c r="AZ20" s="148" t="str">
        <f t="shared" si="29"/>
        <v>11/23/2017 12:10-&gt;AD F - USA 1</v>
      </c>
      <c r="BA20" s="148" t="str">
        <f t="shared" si="30"/>
        <v>11/23/2017 12:10-&gt;AD F - VEN 1</v>
      </c>
      <c r="BB20" s="374">
        <f t="shared" si="31"/>
        <v>1</v>
      </c>
      <c r="BC20" s="374">
        <f t="shared" si="32"/>
        <v>1</v>
      </c>
      <c r="BD20" s="148" t="str">
        <f t="shared" si="33"/>
        <v>no conflict</v>
      </c>
      <c r="BF20" s="148" t="str">
        <f t="shared" si="34"/>
        <v>11/23/2017 12:10-&gt;AD F - USA 1</v>
      </c>
      <c r="BG20" s="148" t="str">
        <f t="shared" si="35"/>
        <v>11/23/2017 12:10-&gt;AD F - VEN 1</v>
      </c>
      <c r="BH20" s="148" t="str">
        <f t="shared" si="36"/>
        <v>11/23/2017 12:10-&gt;Hillel - Field 4</v>
      </c>
      <c r="BI20" s="148" t="str">
        <f t="shared" si="37"/>
        <v>Kickball in Hillel - Field 4 (USA1-VEN1)</v>
      </c>
      <c r="BJ20" s="148" t="str">
        <f t="shared" si="38"/>
        <v>Adult Female Kickball-- AD F - USA 1 vs. AD F - VEN 1</v>
      </c>
      <c r="BK20" s="148" t="str">
        <f t="shared" si="39"/>
        <v>Kickball</v>
      </c>
      <c r="BL20" s="148" t="str">
        <f t="shared" si="40"/>
        <v>AD F - USA 1</v>
      </c>
      <c r="BM20" s="148" t="str">
        <f t="shared" si="41"/>
        <v>AD F - VEN 1</v>
      </c>
      <c r="BN20" s="148" t="str">
        <f t="shared" si="42"/>
        <v>Round - 1</v>
      </c>
      <c r="BP20" s="148" t="str">
        <f t="shared" si="43"/>
        <v>no t, f, or sf</v>
      </c>
      <c r="BQ20" s="148" t="str">
        <f t="shared" si="44"/>
        <v/>
      </c>
    </row>
    <row r="21" spans="1:69" ht="15" customHeight="1" x14ac:dyDescent="0.2">
      <c r="A21" s="376">
        <v>11</v>
      </c>
      <c r="B21" t="s">
        <v>79</v>
      </c>
      <c r="C21" s="319" t="s">
        <v>518</v>
      </c>
      <c r="D21" s="376">
        <v>1</v>
      </c>
      <c r="E21" s="376">
        <v>1</v>
      </c>
      <c r="F21" s="315" t="s">
        <v>770</v>
      </c>
      <c r="G21" s="320">
        <v>43063</v>
      </c>
      <c r="H21" s="418">
        <v>0.36805555555555558</v>
      </c>
      <c r="I21" s="325" t="s">
        <v>770</v>
      </c>
      <c r="J21" s="319" t="s">
        <v>706</v>
      </c>
      <c r="K21" s="319">
        <v>832</v>
      </c>
      <c r="L21" s="319" t="s">
        <v>529</v>
      </c>
      <c r="M21" s="319">
        <v>832</v>
      </c>
      <c r="N21" s="319" t="s">
        <v>530</v>
      </c>
      <c r="O21" s="153" t="str">
        <f>IF(L21&lt;&gt;"",IFERROR(VLOOKUP(B21&amp;L21,Pools!$A$2:$D$130,3,FALSE),""),"")</f>
        <v/>
      </c>
      <c r="P21" s="388">
        <v>14</v>
      </c>
      <c r="Q21" s="388">
        <v>8</v>
      </c>
      <c r="R21" s="306" t="str">
        <f t="shared" si="0"/>
        <v>14-8</v>
      </c>
      <c r="T21" s="148" t="str">
        <f t="shared" si="1"/>
        <v>Completed</v>
      </c>
      <c r="U21" s="153"/>
      <c r="V21" s="153"/>
      <c r="W21" s="387">
        <f t="shared" si="2"/>
        <v>5</v>
      </c>
      <c r="X21" s="387">
        <f t="shared" si="3"/>
        <v>-5</v>
      </c>
      <c r="Y21" s="301">
        <f t="shared" si="4"/>
        <v>2</v>
      </c>
      <c r="Z21" s="301">
        <f t="shared" si="5"/>
        <v>0</v>
      </c>
      <c r="AA21" s="323" t="str">
        <f>CONCATENATE("                x[team1,team2,sport,'",IF(OR(I21="x",I21=""),VLOOKUP('Schedule from TM'!J21,Tables!$P$3:$Q$33,2,FALSE),'Schedule from TM'!I21),",",J21,"','",IF(OR(F21="x",F21=""),VLOOKUP('Schedule from TM'!G21,Tables!$U$3:$V$14,2,FALSE),'Schedule from TM'!F21),",",TEXT(G21,"mm/dd/yyyy"),"','",TEXT(H21,"h:mm:ss AM/PM"),"'].ub=0.0      #",B21)</f>
        <v xml:space="preserve">                x[team1,team2,sport,'21,Hillel - Field 4','11,11/24/2017','8:50:00 AM'].ub=0.0      #Adult Female Kickball</v>
      </c>
      <c r="AB21" s="301" t="str">
        <f t="shared" si="6"/>
        <v>,,Adult Female Kickball,,1,AD F - PER</v>
      </c>
      <c r="AC21" s="153" t="str">
        <f t="shared" si="7"/>
        <v>Adult Female KickballAD F - PER</v>
      </c>
      <c r="AD21" s="301" t="str">
        <f t="shared" si="8"/>
        <v>,,Adult Female Kickball,,1,AD F - USA 1</v>
      </c>
      <c r="AE21" s="153" t="str">
        <f t="shared" si="9"/>
        <v>Adult Female KickballAD F - USA 1</v>
      </c>
      <c r="AF21" s="383">
        <f t="shared" si="10"/>
        <v>1</v>
      </c>
      <c r="AG21" s="383">
        <f t="shared" si="11"/>
        <v>0</v>
      </c>
      <c r="AH21" s="383">
        <f t="shared" si="12"/>
        <v>0</v>
      </c>
      <c r="AI21" s="383">
        <f t="shared" si="13"/>
        <v>0</v>
      </c>
      <c r="AJ21" s="383">
        <f t="shared" si="14"/>
        <v>1</v>
      </c>
      <c r="AK21" s="383">
        <f t="shared" si="15"/>
        <v>0</v>
      </c>
      <c r="AM21" s="148" t="str">
        <f t="shared" si="16"/>
        <v>Schedulled</v>
      </c>
      <c r="AN21" s="148" t="str">
        <f t="shared" si="17"/>
        <v/>
      </c>
      <c r="AO21" s="156">
        <f t="shared" si="18"/>
        <v>43063.368055555555</v>
      </c>
      <c r="AP21" s="148" t="str">
        <f t="shared" si="19"/>
        <v>11/24/2017 08:50-&gt;Hillel - Field 4</v>
      </c>
      <c r="AQ21" s="374">
        <f t="shared" si="20"/>
        <v>1</v>
      </c>
      <c r="AR21" s="148" t="str">
        <f t="shared" si="21"/>
        <v>PER</v>
      </c>
      <c r="AS21" s="148" t="str">
        <f t="shared" si="22"/>
        <v>USA1</v>
      </c>
      <c r="AT21" s="157" t="str">
        <f t="shared" si="23"/>
        <v>PER-USA1</v>
      </c>
      <c r="AU21" s="157" t="str">
        <f t="shared" si="24"/>
        <v xml:space="preserve">PER-USA1 </v>
      </c>
      <c r="AV21" s="157" t="str">
        <f t="shared" si="25"/>
        <v>Adults FEMALE</v>
      </c>
      <c r="AW21" s="157" t="str">
        <f t="shared" si="26"/>
        <v>Kickball</v>
      </c>
      <c r="AX21" s="376">
        <f t="shared" si="27"/>
        <v>11</v>
      </c>
      <c r="AY21" s="148" t="str">
        <f t="shared" si="28"/>
        <v>AD F - PER-&gt;AD F - USA 1</v>
      </c>
      <c r="AZ21" s="148" t="str">
        <f t="shared" si="29"/>
        <v>11/24/2017 08:50-&gt;AD F - PER</v>
      </c>
      <c r="BA21" s="148" t="str">
        <f t="shared" si="30"/>
        <v>11/24/2017 08:50-&gt;AD F - USA 1</v>
      </c>
      <c r="BB21" s="374">
        <f t="shared" si="31"/>
        <v>1</v>
      </c>
      <c r="BC21" s="374">
        <f t="shared" si="32"/>
        <v>1</v>
      </c>
      <c r="BD21" s="148" t="str">
        <f t="shared" si="33"/>
        <v>no conflict</v>
      </c>
      <c r="BF21" s="148" t="str">
        <f t="shared" si="34"/>
        <v>11/24/2017 08:50-&gt;AD F - PER</v>
      </c>
      <c r="BG21" s="148" t="str">
        <f t="shared" si="35"/>
        <v>11/24/2017 08:50-&gt;AD F - USA 1</v>
      </c>
      <c r="BH21" s="148" t="str">
        <f t="shared" si="36"/>
        <v>11/24/2017 08:50-&gt;Hillel - Field 4</v>
      </c>
      <c r="BI21" s="148" t="str">
        <f t="shared" si="37"/>
        <v>Kickball in Hillel - Field 4 (PER-USA1)</v>
      </c>
      <c r="BJ21" s="148" t="str">
        <f t="shared" si="38"/>
        <v>Adult Female Kickball-- AD F - PER vs. AD F - USA 1</v>
      </c>
      <c r="BK21" s="148" t="str">
        <f t="shared" si="39"/>
        <v>Kickball</v>
      </c>
      <c r="BL21" s="148" t="str">
        <f t="shared" si="40"/>
        <v>AD F - PER</v>
      </c>
      <c r="BM21" s="148" t="str">
        <f t="shared" si="41"/>
        <v>AD F - USA 1</v>
      </c>
      <c r="BN21" s="148" t="str">
        <f t="shared" si="42"/>
        <v>Round - 1</v>
      </c>
      <c r="BP21" s="148" t="str">
        <f t="shared" si="43"/>
        <v>no t, f, or sf</v>
      </c>
      <c r="BQ21" s="148" t="str">
        <f t="shared" si="44"/>
        <v/>
      </c>
    </row>
    <row r="22" spans="1:69" ht="15" customHeight="1" x14ac:dyDescent="0.2">
      <c r="A22" s="376">
        <v>12</v>
      </c>
      <c r="B22" t="s">
        <v>79</v>
      </c>
      <c r="C22" s="444" t="s">
        <v>518</v>
      </c>
      <c r="D22" s="451">
        <v>1</v>
      </c>
      <c r="E22" s="451">
        <v>1</v>
      </c>
      <c r="F22" s="315" t="s">
        <v>770</v>
      </c>
      <c r="G22" s="445">
        <v>43063</v>
      </c>
      <c r="H22" s="454">
        <v>0.40277777777777773</v>
      </c>
      <c r="I22" s="325" t="s">
        <v>770</v>
      </c>
      <c r="J22" s="444" t="s">
        <v>705</v>
      </c>
      <c r="K22" s="444">
        <v>832</v>
      </c>
      <c r="L22" s="444" t="s">
        <v>526</v>
      </c>
      <c r="M22" s="444">
        <v>832</v>
      </c>
      <c r="N22" s="444" t="s">
        <v>531</v>
      </c>
      <c r="O22" s="153" t="str">
        <f>IF(L22&lt;&gt;"",IFERROR(VLOOKUP(B22&amp;L22,Pools!$A$2:$D$130,3,FALSE),""),"")</f>
        <v/>
      </c>
      <c r="P22" s="388">
        <v>8</v>
      </c>
      <c r="Q22" s="388">
        <v>0</v>
      </c>
      <c r="R22" s="306" t="str">
        <f t="shared" si="0"/>
        <v>8-0</v>
      </c>
      <c r="T22" s="148" t="str">
        <f t="shared" si="1"/>
        <v>Completed</v>
      </c>
      <c r="U22" s="153"/>
      <c r="V22" s="153"/>
      <c r="W22" s="387">
        <f t="shared" si="2"/>
        <v>5</v>
      </c>
      <c r="X22" s="387">
        <f t="shared" si="3"/>
        <v>-5</v>
      </c>
      <c r="Y22" s="301">
        <f t="shared" si="4"/>
        <v>2</v>
      </c>
      <c r="Z22" s="301">
        <f t="shared" si="5"/>
        <v>0</v>
      </c>
      <c r="AA22" s="323" t="str">
        <f>CONCATENATE("                x[team1,team2,sport,'",IF(OR(I22="x",I22=""),VLOOKUP('Schedule from TM'!J22,Tables!$P$3:$Q$33,2,FALSE),'Schedule from TM'!I22),",",J22,"','",IF(OR(F22="x",F22=""),VLOOKUP('Schedule from TM'!G22,Tables!$U$3:$V$14,2,FALSE),'Schedule from TM'!F22),",",TEXT(G22,"mm/dd/yyyy"),"','",TEXT(H22,"h:mm:ss AM/PM"),"'].ub=0.0      #",B22)</f>
        <v xml:space="preserve">                x[team1,team2,sport,'21,Hillel - Field 3','11,11/24/2017','9:40:00 AM'].ub=0.0      #Adult Female Kickball</v>
      </c>
      <c r="AB22" s="301" t="str">
        <f t="shared" si="6"/>
        <v>,,Adult Female Kickball,,1,AD F - COL 1</v>
      </c>
      <c r="AC22" s="153" t="str">
        <f t="shared" si="7"/>
        <v>Adult Female KickballAD F - COL 1</v>
      </c>
      <c r="AD22" s="301" t="str">
        <f t="shared" si="8"/>
        <v>,,Adult Female Kickball,,1,AD F - VEN 1</v>
      </c>
      <c r="AE22" s="153" t="str">
        <f t="shared" si="9"/>
        <v>Adult Female KickballAD F - VEN 1</v>
      </c>
      <c r="AF22" s="383">
        <f t="shared" si="10"/>
        <v>1</v>
      </c>
      <c r="AG22" s="383">
        <f t="shared" si="11"/>
        <v>0</v>
      </c>
      <c r="AH22" s="383">
        <f t="shared" si="12"/>
        <v>0</v>
      </c>
      <c r="AI22" s="383">
        <f t="shared" si="13"/>
        <v>0</v>
      </c>
      <c r="AJ22" s="383">
        <f t="shared" si="14"/>
        <v>1</v>
      </c>
      <c r="AK22" s="383">
        <f t="shared" si="15"/>
        <v>0</v>
      </c>
      <c r="AM22" s="148" t="str">
        <f t="shared" si="16"/>
        <v>Schedulled</v>
      </c>
      <c r="AN22" s="148" t="str">
        <f t="shared" si="17"/>
        <v/>
      </c>
      <c r="AO22" s="156">
        <f t="shared" si="18"/>
        <v>43063.402777777781</v>
      </c>
      <c r="AP22" s="148" t="str">
        <f t="shared" si="19"/>
        <v>11/24/2017 09:40-&gt;Hillel - Field 3</v>
      </c>
      <c r="AQ22" s="374">
        <f t="shared" si="20"/>
        <v>1</v>
      </c>
      <c r="AR22" s="148" t="str">
        <f t="shared" si="21"/>
        <v>COL1</v>
      </c>
      <c r="AS22" s="148" t="str">
        <f t="shared" si="22"/>
        <v>VEN1</v>
      </c>
      <c r="AT22" s="157" t="str">
        <f t="shared" si="23"/>
        <v>COL1-VEN1</v>
      </c>
      <c r="AU22" s="157" t="str">
        <f t="shared" si="24"/>
        <v xml:space="preserve">COL1-VEN1 </v>
      </c>
      <c r="AV22" s="157" t="str">
        <f t="shared" si="25"/>
        <v>Adults FEMALE</v>
      </c>
      <c r="AW22" s="157" t="str">
        <f t="shared" si="26"/>
        <v>Kickball</v>
      </c>
      <c r="AX22" s="376">
        <f t="shared" si="27"/>
        <v>12</v>
      </c>
      <c r="AY22" s="148" t="str">
        <f t="shared" si="28"/>
        <v>AD F - COL 1-&gt;AD F - VEN 1</v>
      </c>
      <c r="AZ22" s="148" t="str">
        <f t="shared" si="29"/>
        <v>11/24/2017 09:40-&gt;AD F - COL 1</v>
      </c>
      <c r="BA22" s="148" t="str">
        <f t="shared" si="30"/>
        <v>11/24/2017 09:40-&gt;AD F - VEN 1</v>
      </c>
      <c r="BB22" s="374">
        <f t="shared" si="31"/>
        <v>1</v>
      </c>
      <c r="BC22" s="374">
        <f t="shared" si="32"/>
        <v>1</v>
      </c>
      <c r="BD22" s="148" t="str">
        <f t="shared" si="33"/>
        <v>no conflict</v>
      </c>
      <c r="BF22" s="148" t="str">
        <f t="shared" si="34"/>
        <v>11/24/2017 09:40-&gt;AD F - COL 1</v>
      </c>
      <c r="BG22" s="148" t="str">
        <f t="shared" si="35"/>
        <v>11/24/2017 09:40-&gt;AD F - VEN 1</v>
      </c>
      <c r="BH22" s="148" t="str">
        <f t="shared" si="36"/>
        <v>11/24/2017 09:40-&gt;Hillel - Field 3</v>
      </c>
      <c r="BI22" s="148" t="str">
        <f t="shared" si="37"/>
        <v>Kickball in Hillel - Field 3 (COL1-VEN1)</v>
      </c>
      <c r="BJ22" s="148" t="str">
        <f t="shared" si="38"/>
        <v>Adult Female Kickball-- AD F - COL 1 vs. AD F - VEN 1</v>
      </c>
      <c r="BK22" s="148" t="str">
        <f t="shared" si="39"/>
        <v>Kickball</v>
      </c>
      <c r="BL22" s="148" t="str">
        <f t="shared" si="40"/>
        <v>AD F - COL 1</v>
      </c>
      <c r="BM22" s="148" t="str">
        <f t="shared" si="41"/>
        <v>AD F - VEN 1</v>
      </c>
      <c r="BN22" s="148" t="str">
        <f t="shared" si="42"/>
        <v>Round - 1</v>
      </c>
      <c r="BP22" s="148" t="str">
        <f t="shared" si="43"/>
        <v>no t, f, or sf</v>
      </c>
      <c r="BQ22" s="148" t="str">
        <f t="shared" si="44"/>
        <v/>
      </c>
    </row>
    <row r="23" spans="1:69" ht="15" customHeight="1" x14ac:dyDescent="0.2">
      <c r="A23" s="376">
        <v>13</v>
      </c>
      <c r="B23" t="s">
        <v>79</v>
      </c>
      <c r="C23" s="441" t="s">
        <v>518</v>
      </c>
      <c r="D23" s="450">
        <v>1</v>
      </c>
      <c r="E23" s="450">
        <v>1</v>
      </c>
      <c r="F23" s="315" t="s">
        <v>770</v>
      </c>
      <c r="G23" s="320">
        <v>43065</v>
      </c>
      <c r="H23" s="418">
        <v>0.36805555555555558</v>
      </c>
      <c r="I23" s="325" t="s">
        <v>770</v>
      </c>
      <c r="J23" s="443" t="s">
        <v>703</v>
      </c>
      <c r="K23" s="441"/>
      <c r="L23" s="328" t="s">
        <v>527</v>
      </c>
      <c r="M23" s="441"/>
      <c r="N23" s="441" t="s">
        <v>529</v>
      </c>
      <c r="O23" s="153" t="str">
        <f>IF(L23&lt;&gt;"",IFERROR(VLOOKUP(B23&amp;L23,Pools!$A$2:$D$130,3,FALSE),""),"")</f>
        <v/>
      </c>
      <c r="P23" s="388">
        <v>6</v>
      </c>
      <c r="Q23" s="388">
        <v>12</v>
      </c>
      <c r="R23" s="306" t="str">
        <f t="shared" si="0"/>
        <v>6-12</v>
      </c>
      <c r="T23" s="148" t="str">
        <f t="shared" si="1"/>
        <v>Completed</v>
      </c>
      <c r="U23" s="153"/>
      <c r="V23" s="153"/>
      <c r="W23" s="387">
        <f t="shared" si="2"/>
        <v>-5</v>
      </c>
      <c r="X23" s="387">
        <f t="shared" si="3"/>
        <v>5</v>
      </c>
      <c r="Y23" s="301">
        <f t="shared" si="4"/>
        <v>0</v>
      </c>
      <c r="Z23" s="301">
        <f t="shared" si="5"/>
        <v>2</v>
      </c>
      <c r="AA23" s="323" t="str">
        <f>CONCATENATE("                x[team1,team2,sport,'",IF(OR(I23="x",I23=""),VLOOKUP('Schedule from TM'!J23,Tables!$P$3:$Q$33,2,FALSE),'Schedule from TM'!I23),",",J23,"','",IF(OR(F23="x",F23=""),VLOOKUP('Schedule from TM'!G23,Tables!$U$3:$V$14,2,FALSE),'Schedule from TM'!F23),",",TEXT(G23,"mm/dd/yyyy"),"','",TEXT(H23,"h:mm:ss AM/PM"),"'].ub=0.0      #",B23)</f>
        <v xml:space="preserve">                x[team1,team2,sport,'21,Hillel - Field 1','21,11/26/2017','8:50:00 AM'].ub=0.0      #Adult Female Kickball</v>
      </c>
      <c r="AB23" s="301" t="str">
        <f t="shared" si="6"/>
        <v>,,Adult Female Kickball,,1,AD F - ARG</v>
      </c>
      <c r="AC23" s="153" t="str">
        <f t="shared" si="7"/>
        <v>Adult Female KickballAD F - ARG</v>
      </c>
      <c r="AD23" s="301" t="str">
        <f t="shared" si="8"/>
        <v>,,Adult Female Kickball,,1,AD F - PER</v>
      </c>
      <c r="AE23" s="153" t="str">
        <f t="shared" si="9"/>
        <v>Adult Female KickballAD F - PER</v>
      </c>
      <c r="AF23" s="383">
        <f t="shared" si="10"/>
        <v>0</v>
      </c>
      <c r="AG23" s="383">
        <f t="shared" si="11"/>
        <v>1</v>
      </c>
      <c r="AH23" s="383">
        <f t="shared" si="12"/>
        <v>0</v>
      </c>
      <c r="AI23" s="383">
        <f t="shared" si="13"/>
        <v>1</v>
      </c>
      <c r="AJ23" s="383">
        <f t="shared" si="14"/>
        <v>0</v>
      </c>
      <c r="AK23" s="383">
        <f t="shared" si="15"/>
        <v>0</v>
      </c>
      <c r="AM23" s="148" t="str">
        <f t="shared" si="16"/>
        <v>Schedulled</v>
      </c>
      <c r="AN23" s="148" t="str">
        <f t="shared" si="17"/>
        <v/>
      </c>
      <c r="AO23" s="156">
        <f t="shared" si="18"/>
        <v>43065.368055555555</v>
      </c>
      <c r="AP23" s="148" t="str">
        <f t="shared" si="19"/>
        <v>11/26/2017 08:50-&gt;Hillel - Field 1</v>
      </c>
      <c r="AQ23" s="374">
        <f t="shared" si="20"/>
        <v>1</v>
      </c>
      <c r="AR23" s="148" t="str">
        <f t="shared" si="21"/>
        <v>ARG1</v>
      </c>
      <c r="AS23" s="148" t="str">
        <f t="shared" si="22"/>
        <v>PER</v>
      </c>
      <c r="AT23" s="157" t="str">
        <f t="shared" si="23"/>
        <v>ARG1-PER</v>
      </c>
      <c r="AU23" s="157" t="str">
        <f t="shared" si="24"/>
        <v xml:space="preserve">ARG1-PER </v>
      </c>
      <c r="AV23" s="157" t="str">
        <f t="shared" si="25"/>
        <v>Adults FEMALE</v>
      </c>
      <c r="AW23" s="157" t="str">
        <f t="shared" si="26"/>
        <v>Kickball</v>
      </c>
      <c r="AX23" s="376">
        <f t="shared" si="27"/>
        <v>13</v>
      </c>
      <c r="AY23" s="148" t="str">
        <f t="shared" si="28"/>
        <v>AD F - ARG-&gt;AD F - PER</v>
      </c>
      <c r="AZ23" s="148" t="str">
        <f t="shared" si="29"/>
        <v>11/26/2017 08:50-&gt;AD F - ARG</v>
      </c>
      <c r="BA23" s="148" t="str">
        <f t="shared" si="30"/>
        <v>11/26/2017 08:50-&gt;AD F - PER</v>
      </c>
      <c r="BB23" s="374">
        <f t="shared" si="31"/>
        <v>1</v>
      </c>
      <c r="BC23" s="374">
        <f t="shared" si="32"/>
        <v>1</v>
      </c>
      <c r="BD23" s="148" t="str">
        <f t="shared" si="33"/>
        <v>no conflict</v>
      </c>
      <c r="BF23" s="148" t="str">
        <f t="shared" si="34"/>
        <v>11/26/2017 08:50-&gt;AD F - ARG</v>
      </c>
      <c r="BG23" s="148" t="str">
        <f t="shared" si="35"/>
        <v>11/26/2017 08:50-&gt;AD F - PER</v>
      </c>
      <c r="BH23" s="148" t="str">
        <f t="shared" si="36"/>
        <v>11/26/2017 08:50-&gt;Hillel - Field 1</v>
      </c>
      <c r="BI23" s="148" t="str">
        <f t="shared" si="37"/>
        <v>Kickball in Hillel - Field 1 (ARG1-PER)</v>
      </c>
      <c r="BJ23" s="148" t="str">
        <f t="shared" si="38"/>
        <v>Adult Female Kickball-- AD F - ARG vs. AD F - PER</v>
      </c>
      <c r="BK23" s="148" t="str">
        <f t="shared" si="39"/>
        <v>Kickball</v>
      </c>
      <c r="BL23" s="148" t="str">
        <f t="shared" si="40"/>
        <v>AD F - ARG</v>
      </c>
      <c r="BM23" s="148" t="str">
        <f t="shared" si="41"/>
        <v>AD F - PER</v>
      </c>
      <c r="BN23" s="148" t="str">
        <f t="shared" si="42"/>
        <v>Round - 1</v>
      </c>
      <c r="BP23" s="148" t="str">
        <f t="shared" si="43"/>
        <v>no t, f, or sf</v>
      </c>
      <c r="BQ23" s="148" t="str">
        <f t="shared" si="44"/>
        <v/>
      </c>
    </row>
    <row r="24" spans="1:69" ht="15" customHeight="1" x14ac:dyDescent="0.2">
      <c r="A24" s="376">
        <v>14</v>
      </c>
      <c r="B24" s="433" t="s">
        <v>461</v>
      </c>
      <c r="C24" s="441" t="s">
        <v>518</v>
      </c>
      <c r="D24" s="450">
        <v>1</v>
      </c>
      <c r="E24" s="450">
        <v>1</v>
      </c>
      <c r="F24" s="315" t="s">
        <v>770</v>
      </c>
      <c r="G24" s="320">
        <v>43061</v>
      </c>
      <c r="H24" s="318">
        <v>0.78472222222222221</v>
      </c>
      <c r="I24" s="325" t="s">
        <v>770</v>
      </c>
      <c r="J24" s="441" t="s">
        <v>694</v>
      </c>
      <c r="K24" s="441">
        <v>831</v>
      </c>
      <c r="L24" s="441" t="s">
        <v>526</v>
      </c>
      <c r="M24" s="441">
        <v>831</v>
      </c>
      <c r="N24" s="441" t="s">
        <v>528</v>
      </c>
      <c r="O24" s="153" t="str">
        <f>IF(L24&lt;&gt;"",IFERROR(VLOOKUP(B24&amp;L24,Pools!$A$2:$D$130,3,FALSE),""),"")</f>
        <v/>
      </c>
      <c r="P24" s="388">
        <v>0</v>
      </c>
      <c r="Q24" s="388">
        <v>1</v>
      </c>
      <c r="R24" s="306" t="str">
        <f t="shared" si="0"/>
        <v>0-1</v>
      </c>
      <c r="T24" s="148" t="str">
        <f t="shared" si="1"/>
        <v>Completed</v>
      </c>
      <c r="U24" s="153"/>
      <c r="V24" s="153"/>
      <c r="W24" s="387">
        <f t="shared" si="2"/>
        <v>-1</v>
      </c>
      <c r="X24" s="387">
        <f t="shared" si="3"/>
        <v>1</v>
      </c>
      <c r="Y24" s="301">
        <f t="shared" si="4"/>
        <v>0</v>
      </c>
      <c r="Z24" s="301">
        <f t="shared" si="5"/>
        <v>2</v>
      </c>
      <c r="AA24" s="323" t="str">
        <f>CONCATENATE("                x[team1,team2,sport,'",IF(OR(I24="x",I24=""),VLOOKUP('Schedule from TM'!J24,Tables!$P$3:$Q$33,2,FALSE),'Schedule from TM'!I24),",",J24,"','",IF(OR(F24="x",F24=""),VLOOKUP('Schedule from TM'!G24,Tables!$U$3:$V$14,2,FALSE),'Schedule from TM'!F24),",",TEXT(G24,"mm/dd/yyyy"),"','",TEXT(H24,"h:mm:ss AM/PM"),"'].ub=0.0      #",B24)</f>
        <v xml:space="preserve">                x[team1,team2,sport,'11,JCC Back Field 4','22,11/22/2017','6:50:00 PM'].ub=0.0      #Adult Female Mini Soccer</v>
      </c>
      <c r="AB24" s="301" t="str">
        <f t="shared" si="6"/>
        <v>,,Adult Female Mini Soccer,,1,AD F - COL 1</v>
      </c>
      <c r="AC24" s="153" t="str">
        <f t="shared" si="7"/>
        <v>Adult Female Mini SoccerAD F - COL 1</v>
      </c>
      <c r="AD24" s="301" t="str">
        <f t="shared" si="8"/>
        <v>,,Adult Female Mini Soccer,,1,AD F - MEX</v>
      </c>
      <c r="AE24" s="153" t="str">
        <f t="shared" si="9"/>
        <v>Adult Female Mini SoccerAD F - MEX</v>
      </c>
      <c r="AF24" s="383">
        <f t="shared" si="10"/>
        <v>0</v>
      </c>
      <c r="AG24" s="383">
        <f t="shared" si="11"/>
        <v>1</v>
      </c>
      <c r="AH24" s="383">
        <f t="shared" si="12"/>
        <v>0</v>
      </c>
      <c r="AI24" s="383">
        <f t="shared" si="13"/>
        <v>1</v>
      </c>
      <c r="AJ24" s="383">
        <f t="shared" si="14"/>
        <v>0</v>
      </c>
      <c r="AK24" s="383">
        <f t="shared" si="15"/>
        <v>0</v>
      </c>
      <c r="AM24" s="148" t="str">
        <f t="shared" si="16"/>
        <v>Schedulled</v>
      </c>
      <c r="AN24" s="148" t="str">
        <f t="shared" si="17"/>
        <v/>
      </c>
      <c r="AO24" s="156">
        <f t="shared" si="18"/>
        <v>43061.784722222219</v>
      </c>
      <c r="AP24" s="148" t="str">
        <f t="shared" si="19"/>
        <v>11/22/2017 18:50-&gt;JCC Back Field 4</v>
      </c>
      <c r="AQ24" s="374">
        <f t="shared" si="20"/>
        <v>1</v>
      </c>
      <c r="AR24" s="148" t="str">
        <f t="shared" si="21"/>
        <v>COL1</v>
      </c>
      <c r="AS24" s="148" t="str">
        <f t="shared" si="22"/>
        <v>MEX</v>
      </c>
      <c r="AT24" s="157" t="str">
        <f t="shared" si="23"/>
        <v>COL1-MEX</v>
      </c>
      <c r="AU24" s="157" t="str">
        <f t="shared" si="24"/>
        <v xml:space="preserve">COL1-MEX </v>
      </c>
      <c r="AV24" s="157" t="str">
        <f t="shared" si="25"/>
        <v>Adults FEMALE</v>
      </c>
      <c r="AW24" s="157" t="str">
        <f t="shared" si="26"/>
        <v>Soccer</v>
      </c>
      <c r="AX24" s="376">
        <f t="shared" si="27"/>
        <v>14</v>
      </c>
      <c r="AY24" s="148" t="str">
        <f t="shared" si="28"/>
        <v>AD F - COL 1-&gt;AD F - MEX</v>
      </c>
      <c r="AZ24" s="148" t="str">
        <f t="shared" si="29"/>
        <v>11/22/2017 18:50-&gt;AD F - COL 1</v>
      </c>
      <c r="BA24" s="148" t="str">
        <f t="shared" si="30"/>
        <v>11/22/2017 18:50-&gt;AD F - MEX</v>
      </c>
      <c r="BB24" s="374">
        <f t="shared" si="31"/>
        <v>1</v>
      </c>
      <c r="BC24" s="374">
        <f t="shared" si="32"/>
        <v>1</v>
      </c>
      <c r="BD24" s="148" t="str">
        <f t="shared" si="33"/>
        <v>no conflict</v>
      </c>
      <c r="BF24" s="148" t="str">
        <f t="shared" si="34"/>
        <v>11/22/2017 18:50-&gt;AD F - COL 1</v>
      </c>
      <c r="BG24" s="148" t="str">
        <f t="shared" si="35"/>
        <v>11/22/2017 18:50-&gt;AD F - MEX</v>
      </c>
      <c r="BH24" s="148" t="str">
        <f t="shared" si="36"/>
        <v>11/22/2017 18:50-&gt;JCC Back Field 4</v>
      </c>
      <c r="BI24" s="148" t="str">
        <f t="shared" si="37"/>
        <v>Soccer in JCC Back Field 4 (COL1-MEX)</v>
      </c>
      <c r="BJ24" s="148" t="str">
        <f t="shared" si="38"/>
        <v>Adult Female Mini Soccer-- AD F - COL 1 vs. AD F - MEX</v>
      </c>
      <c r="BK24" s="148" t="str">
        <f t="shared" si="39"/>
        <v>Soccer</v>
      </c>
      <c r="BL24" s="148" t="str">
        <f t="shared" si="40"/>
        <v>AD F - COL 1</v>
      </c>
      <c r="BM24" s="148" t="str">
        <f t="shared" si="41"/>
        <v>AD F - MEX</v>
      </c>
      <c r="BN24" s="148" t="str">
        <f t="shared" si="42"/>
        <v>Round - 1</v>
      </c>
      <c r="BP24" s="148" t="str">
        <f t="shared" si="43"/>
        <v>no t, f, or sf</v>
      </c>
      <c r="BQ24" s="148" t="str">
        <f t="shared" si="44"/>
        <v/>
      </c>
    </row>
    <row r="25" spans="1:69" ht="15" customHeight="1" x14ac:dyDescent="0.2">
      <c r="A25" s="376">
        <v>15</v>
      </c>
      <c r="B25" s="444" t="s">
        <v>461</v>
      </c>
      <c r="C25" s="444" t="s">
        <v>518</v>
      </c>
      <c r="D25" s="451">
        <v>1</v>
      </c>
      <c r="E25" s="451">
        <v>1</v>
      </c>
      <c r="F25" s="315" t="s">
        <v>770</v>
      </c>
      <c r="G25" s="445">
        <v>43061</v>
      </c>
      <c r="H25" s="318">
        <v>0.78472222222222221</v>
      </c>
      <c r="I25" s="325" t="s">
        <v>770</v>
      </c>
      <c r="J25" s="444" t="s">
        <v>692</v>
      </c>
      <c r="K25" s="444">
        <v>831</v>
      </c>
      <c r="L25" s="444" t="s">
        <v>529</v>
      </c>
      <c r="M25" s="444">
        <v>831</v>
      </c>
      <c r="N25" s="444" t="s">
        <v>531</v>
      </c>
      <c r="O25" s="153" t="str">
        <f>IF(L25&lt;&gt;"",IFERROR(VLOOKUP(B25&amp;L25,Pools!$A$2:$D$130,3,FALSE),""),"")</f>
        <v/>
      </c>
      <c r="P25" s="388">
        <v>0</v>
      </c>
      <c r="Q25" s="388">
        <v>10</v>
      </c>
      <c r="R25" s="306" t="str">
        <f t="shared" si="0"/>
        <v>0-10</v>
      </c>
      <c r="T25" s="148" t="str">
        <f t="shared" si="1"/>
        <v>Completed</v>
      </c>
      <c r="U25" s="153"/>
      <c r="V25" s="153"/>
      <c r="W25" s="387">
        <f t="shared" si="2"/>
        <v>-3</v>
      </c>
      <c r="X25" s="387">
        <f t="shared" si="3"/>
        <v>3</v>
      </c>
      <c r="Y25" s="301">
        <f t="shared" si="4"/>
        <v>0</v>
      </c>
      <c r="Z25" s="301">
        <f t="shared" si="5"/>
        <v>2</v>
      </c>
      <c r="AA25" s="323" t="str">
        <f>CONCATENATE("                x[team1,team2,sport,'",IF(OR(I25="x",I25=""),VLOOKUP('Schedule from TM'!J25,Tables!$P$3:$Q$33,2,FALSE),'Schedule from TM'!I25),",",J25,"','",IF(OR(F25="x",F25=""),VLOOKUP('Schedule from TM'!G25,Tables!$U$3:$V$14,2,FALSE),'Schedule from TM'!F25),",",TEXT(G25,"mm/dd/yyyy"),"','",TEXT(H25,"h:mm:ss AM/PM"),"'].ub=0.0      #",B25)</f>
        <v xml:space="preserve">                x[team1,team2,sport,'11,JCC Back Field 3','22,11/22/2017','6:50:00 PM'].ub=0.0      #Adult Female Mini Soccer</v>
      </c>
      <c r="AB25" s="301" t="str">
        <f t="shared" si="6"/>
        <v>,,Adult Female Mini Soccer,,1,AD F - PER</v>
      </c>
      <c r="AC25" s="153" t="str">
        <f t="shared" si="7"/>
        <v>Adult Female Mini SoccerAD F - PER</v>
      </c>
      <c r="AD25" s="301" t="str">
        <f t="shared" si="8"/>
        <v>,,Adult Female Mini Soccer,,1,AD F - VEN 1</v>
      </c>
      <c r="AE25" s="153" t="str">
        <f t="shared" si="9"/>
        <v>Adult Female Mini SoccerAD F - VEN 1</v>
      </c>
      <c r="AF25" s="383">
        <f t="shared" si="10"/>
        <v>0</v>
      </c>
      <c r="AG25" s="383">
        <f t="shared" si="11"/>
        <v>1</v>
      </c>
      <c r="AH25" s="383">
        <f t="shared" si="12"/>
        <v>0</v>
      </c>
      <c r="AI25" s="383">
        <f t="shared" si="13"/>
        <v>1</v>
      </c>
      <c r="AJ25" s="383">
        <f t="shared" si="14"/>
        <v>0</v>
      </c>
      <c r="AK25" s="383">
        <f t="shared" si="15"/>
        <v>0</v>
      </c>
      <c r="AM25" s="148" t="str">
        <f t="shared" si="16"/>
        <v>Schedulled</v>
      </c>
      <c r="AN25" s="148" t="str">
        <f t="shared" si="17"/>
        <v/>
      </c>
      <c r="AO25" s="156">
        <f t="shared" si="18"/>
        <v>43061.784722222219</v>
      </c>
      <c r="AP25" s="148" t="str">
        <f t="shared" si="19"/>
        <v>11/22/2017 18:50-&gt;JCC Back Field 3</v>
      </c>
      <c r="AQ25" s="374">
        <f t="shared" si="20"/>
        <v>1</v>
      </c>
      <c r="AR25" s="148" t="str">
        <f t="shared" si="21"/>
        <v>PER</v>
      </c>
      <c r="AS25" s="148" t="str">
        <f t="shared" si="22"/>
        <v>VEN1</v>
      </c>
      <c r="AT25" s="157" t="str">
        <f t="shared" si="23"/>
        <v>PER-VEN1</v>
      </c>
      <c r="AU25" s="157" t="str">
        <f t="shared" si="24"/>
        <v xml:space="preserve">PER-VEN1 </v>
      </c>
      <c r="AV25" s="157" t="str">
        <f t="shared" si="25"/>
        <v>Adults FEMALE</v>
      </c>
      <c r="AW25" s="157" t="str">
        <f t="shared" si="26"/>
        <v>Soccer</v>
      </c>
      <c r="AX25" s="376">
        <f t="shared" si="27"/>
        <v>15</v>
      </c>
      <c r="AY25" s="148" t="str">
        <f t="shared" si="28"/>
        <v>AD F - PER-&gt;AD F - VEN 1</v>
      </c>
      <c r="AZ25" s="148" t="str">
        <f t="shared" si="29"/>
        <v>11/22/2017 18:50-&gt;AD F - PER</v>
      </c>
      <c r="BA25" s="148" t="str">
        <f t="shared" si="30"/>
        <v>11/22/2017 18:50-&gt;AD F - VEN 1</v>
      </c>
      <c r="BB25" s="374">
        <f t="shared" si="31"/>
        <v>1</v>
      </c>
      <c r="BC25" s="374">
        <f t="shared" si="32"/>
        <v>1</v>
      </c>
      <c r="BD25" s="148" t="str">
        <f t="shared" si="33"/>
        <v>no conflict</v>
      </c>
      <c r="BF25" s="148" t="str">
        <f t="shared" si="34"/>
        <v>11/22/2017 18:50-&gt;AD F - PER</v>
      </c>
      <c r="BG25" s="148" t="str">
        <f t="shared" si="35"/>
        <v>11/22/2017 18:50-&gt;AD F - VEN 1</v>
      </c>
      <c r="BH25" s="148" t="str">
        <f t="shared" si="36"/>
        <v>11/22/2017 18:50-&gt;JCC Back Field 3</v>
      </c>
      <c r="BI25" s="148" t="str">
        <f t="shared" si="37"/>
        <v>Soccer in JCC Back Field 3 (PER-VEN1)</v>
      </c>
      <c r="BJ25" s="148" t="str">
        <f t="shared" si="38"/>
        <v>Adult Female Mini Soccer-- AD F - PER vs. AD F - VEN 1</v>
      </c>
      <c r="BK25" s="148" t="str">
        <f t="shared" si="39"/>
        <v>Soccer</v>
      </c>
      <c r="BL25" s="148" t="str">
        <f t="shared" si="40"/>
        <v>AD F - PER</v>
      </c>
      <c r="BM25" s="148" t="str">
        <f t="shared" si="41"/>
        <v>AD F - VEN 1</v>
      </c>
      <c r="BN25" s="148" t="str">
        <f t="shared" si="42"/>
        <v>Round - 1</v>
      </c>
      <c r="BP25" s="148" t="str">
        <f t="shared" si="43"/>
        <v>no t, f, or sf</v>
      </c>
      <c r="BQ25" s="148" t="str">
        <f t="shared" si="44"/>
        <v/>
      </c>
    </row>
    <row r="26" spans="1:69" ht="15" customHeight="1" x14ac:dyDescent="0.2">
      <c r="A26" s="376">
        <v>16</v>
      </c>
      <c r="B26" t="s">
        <v>461</v>
      </c>
      <c r="C26" s="444" t="s">
        <v>518</v>
      </c>
      <c r="D26" s="451">
        <v>1</v>
      </c>
      <c r="E26" s="451">
        <v>1</v>
      </c>
      <c r="F26" s="315" t="s">
        <v>770</v>
      </c>
      <c r="G26" s="445">
        <v>43062</v>
      </c>
      <c r="H26" s="317">
        <v>0.36805555555555558</v>
      </c>
      <c r="I26" s="325" t="s">
        <v>770</v>
      </c>
      <c r="J26" s="444" t="s">
        <v>693</v>
      </c>
      <c r="K26" s="444">
        <v>831</v>
      </c>
      <c r="L26" s="444" t="s">
        <v>528</v>
      </c>
      <c r="M26" s="444">
        <v>831</v>
      </c>
      <c r="N26" s="444" t="s">
        <v>529</v>
      </c>
      <c r="O26" s="153" t="str">
        <f>IF(L26&lt;&gt;"",IFERROR(VLOOKUP(B26&amp;L26,Pools!$A$2:$D$130,3,FALSE),""),"")</f>
        <v/>
      </c>
      <c r="P26" s="388">
        <v>0</v>
      </c>
      <c r="Q26" s="388">
        <v>8</v>
      </c>
      <c r="R26" s="306" t="str">
        <f t="shared" si="0"/>
        <v>0-8</v>
      </c>
      <c r="T26" s="148" t="str">
        <f t="shared" si="1"/>
        <v>Completed</v>
      </c>
      <c r="U26" s="153"/>
      <c r="V26" s="153"/>
      <c r="W26" s="387">
        <f t="shared" si="2"/>
        <v>-3</v>
      </c>
      <c r="X26" s="387">
        <f t="shared" si="3"/>
        <v>3</v>
      </c>
      <c r="Y26" s="301">
        <f t="shared" si="4"/>
        <v>0</v>
      </c>
      <c r="Z26" s="301">
        <f t="shared" si="5"/>
        <v>2</v>
      </c>
      <c r="AA26" s="323" t="str">
        <f>CONCATENATE("                x[team1,team2,sport,'",IF(OR(I26="x",I26=""),VLOOKUP('Schedule from TM'!J26,Tables!$P$3:$Q$33,2,FALSE),'Schedule from TM'!I26),",",J26,"','",IF(OR(F26="x",F26=""),VLOOKUP('Schedule from TM'!G26,Tables!$U$3:$V$14,2,FALSE),'Schedule from TM'!F26),",",TEXT(G26,"mm/dd/yyyy"),"','",TEXT(H26,"h:mm:ss AM/PM"),"'].ub=0.0      #",B26)</f>
        <v xml:space="preserve">                x[team1,team2,sport,'11,JCC Back Field 2','11,11/23/2017','8:50:00 AM'].ub=0.0      #Adult Female Mini Soccer</v>
      </c>
      <c r="AB26" s="301" t="str">
        <f t="shared" si="6"/>
        <v>,,Adult Female Mini Soccer,,1,AD F - MEX</v>
      </c>
      <c r="AC26" s="153" t="str">
        <f t="shared" si="7"/>
        <v>Adult Female Mini SoccerAD F - MEX</v>
      </c>
      <c r="AD26" s="301" t="str">
        <f t="shared" si="8"/>
        <v>,,Adult Female Mini Soccer,,1,AD F - PER</v>
      </c>
      <c r="AE26" s="153" t="str">
        <f t="shared" si="9"/>
        <v>Adult Female Mini SoccerAD F - PER</v>
      </c>
      <c r="AF26" s="383">
        <f t="shared" si="10"/>
        <v>0</v>
      </c>
      <c r="AG26" s="383">
        <f t="shared" si="11"/>
        <v>1</v>
      </c>
      <c r="AH26" s="383">
        <f t="shared" si="12"/>
        <v>0</v>
      </c>
      <c r="AI26" s="383">
        <f t="shared" si="13"/>
        <v>1</v>
      </c>
      <c r="AJ26" s="383">
        <f t="shared" si="14"/>
        <v>0</v>
      </c>
      <c r="AK26" s="383">
        <f t="shared" si="15"/>
        <v>0</v>
      </c>
      <c r="AM26" s="148" t="str">
        <f t="shared" si="16"/>
        <v>Schedulled</v>
      </c>
      <c r="AN26" s="148" t="str">
        <f t="shared" si="17"/>
        <v/>
      </c>
      <c r="AO26" s="156">
        <f t="shared" si="18"/>
        <v>43062.368055555555</v>
      </c>
      <c r="AP26" s="148" t="str">
        <f t="shared" si="19"/>
        <v>11/23/2017 08:50-&gt;JCC Back Field 2</v>
      </c>
      <c r="AQ26" s="374">
        <f t="shared" si="20"/>
        <v>1</v>
      </c>
      <c r="AR26" s="148" t="str">
        <f t="shared" si="21"/>
        <v>MEX</v>
      </c>
      <c r="AS26" s="148" t="str">
        <f t="shared" si="22"/>
        <v>PER</v>
      </c>
      <c r="AT26" s="157" t="str">
        <f t="shared" si="23"/>
        <v>MEX-PER</v>
      </c>
      <c r="AU26" s="157" t="str">
        <f t="shared" si="24"/>
        <v xml:space="preserve">MEX-PER </v>
      </c>
      <c r="AV26" s="157" t="str">
        <f t="shared" si="25"/>
        <v>Adults FEMALE</v>
      </c>
      <c r="AW26" s="157" t="str">
        <f t="shared" si="26"/>
        <v>Soccer</v>
      </c>
      <c r="AX26" s="376">
        <f t="shared" si="27"/>
        <v>16</v>
      </c>
      <c r="AY26" s="148" t="str">
        <f t="shared" si="28"/>
        <v>AD F - MEX-&gt;AD F - PER</v>
      </c>
      <c r="AZ26" s="148" t="str">
        <f t="shared" si="29"/>
        <v>11/23/2017 08:50-&gt;AD F - MEX</v>
      </c>
      <c r="BA26" s="148" t="str">
        <f t="shared" si="30"/>
        <v>11/23/2017 08:50-&gt;AD F - PER</v>
      </c>
      <c r="BB26" s="374">
        <f t="shared" si="31"/>
        <v>1</v>
      </c>
      <c r="BC26" s="374">
        <f t="shared" si="32"/>
        <v>1</v>
      </c>
      <c r="BD26" s="148" t="str">
        <f t="shared" si="33"/>
        <v>no conflict</v>
      </c>
      <c r="BF26" s="148" t="str">
        <f t="shared" si="34"/>
        <v>11/23/2017 08:50-&gt;AD F - MEX</v>
      </c>
      <c r="BG26" s="148" t="str">
        <f t="shared" si="35"/>
        <v>11/23/2017 08:50-&gt;AD F - PER</v>
      </c>
      <c r="BH26" s="148" t="str">
        <f t="shared" si="36"/>
        <v>11/23/2017 08:50-&gt;JCC Back Field 2</v>
      </c>
      <c r="BI26" s="148" t="str">
        <f t="shared" si="37"/>
        <v>Soccer in JCC Back Field 2 (MEX-PER)</v>
      </c>
      <c r="BJ26" s="148" t="str">
        <f t="shared" si="38"/>
        <v>Adult Female Mini Soccer-- AD F - MEX vs. AD F - PER</v>
      </c>
      <c r="BK26" s="148" t="str">
        <f t="shared" si="39"/>
        <v>Soccer</v>
      </c>
      <c r="BL26" s="148" t="str">
        <f t="shared" si="40"/>
        <v>AD F - MEX</v>
      </c>
      <c r="BM26" s="148" t="str">
        <f t="shared" si="41"/>
        <v>AD F - PER</v>
      </c>
      <c r="BN26" s="148" t="str">
        <f t="shared" si="42"/>
        <v>Round - 1</v>
      </c>
      <c r="BP26" s="148" t="str">
        <f t="shared" si="43"/>
        <v>no t, f, or sf</v>
      </c>
      <c r="BQ26" s="148" t="str">
        <f t="shared" si="44"/>
        <v/>
      </c>
    </row>
    <row r="27" spans="1:69" ht="15" customHeight="1" x14ac:dyDescent="0.2">
      <c r="A27" s="376">
        <v>17</v>
      </c>
      <c r="B27" s="433" t="s">
        <v>461</v>
      </c>
      <c r="C27" s="441" t="s">
        <v>518</v>
      </c>
      <c r="D27" s="450">
        <v>1</v>
      </c>
      <c r="E27" s="450">
        <v>1</v>
      </c>
      <c r="F27" s="315" t="s">
        <v>770</v>
      </c>
      <c r="G27" s="320">
        <v>43062</v>
      </c>
      <c r="H27" s="317">
        <v>0.57638888888888895</v>
      </c>
      <c r="I27" s="325" t="s">
        <v>770</v>
      </c>
      <c r="J27" s="296" t="s">
        <v>695</v>
      </c>
      <c r="K27" s="441">
        <v>831</v>
      </c>
      <c r="L27" s="441" t="s">
        <v>526</v>
      </c>
      <c r="M27" s="441">
        <v>831</v>
      </c>
      <c r="N27" s="441" t="s">
        <v>531</v>
      </c>
      <c r="O27" s="153" t="str">
        <f>IF(L27&lt;&gt;"",IFERROR(VLOOKUP(B27&amp;L27,Pools!$A$2:$D$130,3,FALSE),""),"")</f>
        <v/>
      </c>
      <c r="P27" s="388">
        <v>2</v>
      </c>
      <c r="Q27" s="388">
        <v>0</v>
      </c>
      <c r="R27" s="306" t="str">
        <f t="shared" si="0"/>
        <v>2-0</v>
      </c>
      <c r="T27" s="148" t="str">
        <f t="shared" si="1"/>
        <v>Completed</v>
      </c>
      <c r="U27" s="153"/>
      <c r="V27" s="153"/>
      <c r="W27" s="387">
        <f t="shared" si="2"/>
        <v>2</v>
      </c>
      <c r="X27" s="387">
        <f t="shared" si="3"/>
        <v>-2</v>
      </c>
      <c r="Y27" s="301">
        <f t="shared" si="4"/>
        <v>2</v>
      </c>
      <c r="Z27" s="301">
        <f t="shared" si="5"/>
        <v>0</v>
      </c>
      <c r="AA27" s="323" t="str">
        <f>CONCATENATE("                x[team1,team2,sport,'",IF(OR(I27="x",I27=""),VLOOKUP('Schedule from TM'!J27,Tables!$P$3:$Q$33,2,FALSE),'Schedule from TM'!I27),",",J27,"','",IF(OR(F27="x",F27=""),VLOOKUP('Schedule from TM'!G27,Tables!$U$3:$V$14,2,FALSE),'Schedule from TM'!F27),",",TEXT(G27,"mm/dd/yyyy"),"','",TEXT(H27,"h:mm:ss AM/PM"),"'].ub=0.0      #",B27)</f>
        <v xml:space="preserve">                x[team1,team2,sport,'11,JCC Back Field 1','11,11/23/2017','1:50:00 PM'].ub=0.0      #Adult Female Mini Soccer</v>
      </c>
      <c r="AB27" s="301" t="str">
        <f t="shared" si="6"/>
        <v>,,Adult Female Mini Soccer,,1,AD F - COL 1</v>
      </c>
      <c r="AC27" s="153" t="str">
        <f t="shared" si="7"/>
        <v>Adult Female Mini SoccerAD F - COL 1</v>
      </c>
      <c r="AD27" s="301" t="str">
        <f t="shared" si="8"/>
        <v>,,Adult Female Mini Soccer,,1,AD F - VEN 1</v>
      </c>
      <c r="AE27" s="153" t="str">
        <f t="shared" si="9"/>
        <v>Adult Female Mini SoccerAD F - VEN 1</v>
      </c>
      <c r="AF27" s="383">
        <f t="shared" si="10"/>
        <v>1</v>
      </c>
      <c r="AG27" s="383">
        <f t="shared" si="11"/>
        <v>0</v>
      </c>
      <c r="AH27" s="383">
        <f t="shared" si="12"/>
        <v>0</v>
      </c>
      <c r="AI27" s="383">
        <f t="shared" si="13"/>
        <v>0</v>
      </c>
      <c r="AJ27" s="383">
        <f t="shared" si="14"/>
        <v>1</v>
      </c>
      <c r="AK27" s="383">
        <f t="shared" si="15"/>
        <v>0</v>
      </c>
      <c r="AM27" s="148" t="str">
        <f t="shared" si="16"/>
        <v>Schedulled</v>
      </c>
      <c r="AN27" s="148" t="str">
        <f t="shared" si="17"/>
        <v/>
      </c>
      <c r="AO27" s="156">
        <f t="shared" si="18"/>
        <v>43062.576388888891</v>
      </c>
      <c r="AP27" s="148" t="str">
        <f t="shared" si="19"/>
        <v>11/23/2017 13:50-&gt;JCC Back Field 1</v>
      </c>
      <c r="AQ27" s="374">
        <f t="shared" si="20"/>
        <v>1</v>
      </c>
      <c r="AR27" s="148" t="str">
        <f t="shared" si="21"/>
        <v>COL1</v>
      </c>
      <c r="AS27" s="148" t="str">
        <f t="shared" si="22"/>
        <v>VEN1</v>
      </c>
      <c r="AT27" s="157" t="str">
        <f t="shared" si="23"/>
        <v>COL1-VEN1</v>
      </c>
      <c r="AU27" s="157" t="str">
        <f t="shared" si="24"/>
        <v xml:space="preserve">COL1-VEN1 </v>
      </c>
      <c r="AV27" s="157" t="str">
        <f t="shared" si="25"/>
        <v>Adults FEMALE</v>
      </c>
      <c r="AW27" s="157" t="str">
        <f t="shared" si="26"/>
        <v>Soccer</v>
      </c>
      <c r="AX27" s="376">
        <f t="shared" si="27"/>
        <v>17</v>
      </c>
      <c r="AY27" s="148" t="str">
        <f t="shared" si="28"/>
        <v>AD F - COL 1-&gt;AD F - VEN 1</v>
      </c>
      <c r="AZ27" s="148" t="str">
        <f t="shared" si="29"/>
        <v>11/23/2017 13:50-&gt;AD F - COL 1</v>
      </c>
      <c r="BA27" s="148" t="str">
        <f t="shared" si="30"/>
        <v>11/23/2017 13:50-&gt;AD F - VEN 1</v>
      </c>
      <c r="BB27" s="374">
        <f t="shared" si="31"/>
        <v>1</v>
      </c>
      <c r="BC27" s="374">
        <f t="shared" si="32"/>
        <v>1</v>
      </c>
      <c r="BD27" s="148" t="str">
        <f t="shared" si="33"/>
        <v>no conflict</v>
      </c>
      <c r="BF27" s="148" t="str">
        <f t="shared" si="34"/>
        <v>11/23/2017 13:50-&gt;AD F - COL 1</v>
      </c>
      <c r="BG27" s="148" t="str">
        <f t="shared" si="35"/>
        <v>11/23/2017 13:50-&gt;AD F - VEN 1</v>
      </c>
      <c r="BH27" s="148" t="str">
        <f t="shared" si="36"/>
        <v>11/23/2017 13:50-&gt;JCC Back Field 1</v>
      </c>
      <c r="BI27" s="148" t="str">
        <f t="shared" si="37"/>
        <v>Soccer in JCC Back Field 1 (COL1-VEN1)</v>
      </c>
      <c r="BJ27" s="148" t="str">
        <f t="shared" si="38"/>
        <v>Adult Female Mini Soccer-- AD F - COL 1 vs. AD F - VEN 1</v>
      </c>
      <c r="BK27" s="148" t="str">
        <f t="shared" si="39"/>
        <v>Soccer</v>
      </c>
      <c r="BL27" s="148" t="str">
        <f t="shared" si="40"/>
        <v>AD F - COL 1</v>
      </c>
      <c r="BM27" s="148" t="str">
        <f t="shared" si="41"/>
        <v>AD F - VEN 1</v>
      </c>
      <c r="BN27" s="148" t="str">
        <f t="shared" si="42"/>
        <v>Round - 1</v>
      </c>
      <c r="BP27" s="148" t="str">
        <f t="shared" si="43"/>
        <v>no t, f, or sf</v>
      </c>
      <c r="BQ27" s="148" t="str">
        <f t="shared" si="44"/>
        <v/>
      </c>
    </row>
    <row r="28" spans="1:69" ht="15" customHeight="1" x14ac:dyDescent="0.2">
      <c r="A28" s="376">
        <v>18</v>
      </c>
      <c r="B28" t="s">
        <v>461</v>
      </c>
      <c r="C28" s="441" t="s">
        <v>518</v>
      </c>
      <c r="D28" s="450">
        <v>1</v>
      </c>
      <c r="E28" s="450">
        <v>1</v>
      </c>
      <c r="F28" s="315" t="s">
        <v>770</v>
      </c>
      <c r="G28" s="320">
        <v>43063</v>
      </c>
      <c r="H28" s="454">
        <v>0.54166666666666663</v>
      </c>
      <c r="I28" s="325" t="s">
        <v>770</v>
      </c>
      <c r="J28" s="441" t="s">
        <v>695</v>
      </c>
      <c r="K28" s="441">
        <v>831</v>
      </c>
      <c r="L28" s="441" t="s">
        <v>526</v>
      </c>
      <c r="M28" s="441">
        <v>831</v>
      </c>
      <c r="N28" s="441" t="s">
        <v>529</v>
      </c>
      <c r="O28" s="153" t="str">
        <f>IF(L28&lt;&gt;"",IFERROR(VLOOKUP(B28&amp;L28,Pools!$A$2:$D$130,3,FALSE),""),"")</f>
        <v/>
      </c>
      <c r="P28" s="388">
        <v>0</v>
      </c>
      <c r="Q28" s="388">
        <v>9</v>
      </c>
      <c r="R28" s="306" t="str">
        <f t="shared" si="0"/>
        <v>0-9</v>
      </c>
      <c r="T28" s="148" t="str">
        <f t="shared" si="1"/>
        <v>Completed</v>
      </c>
      <c r="U28" s="153"/>
      <c r="V28" s="153"/>
      <c r="W28" s="387">
        <f t="shared" si="2"/>
        <v>-3</v>
      </c>
      <c r="X28" s="387">
        <f t="shared" si="3"/>
        <v>3</v>
      </c>
      <c r="Y28" s="301">
        <f t="shared" si="4"/>
        <v>0</v>
      </c>
      <c r="Z28" s="301">
        <f t="shared" si="5"/>
        <v>2</v>
      </c>
      <c r="AA28" s="323" t="str">
        <f>CONCATENATE("                x[team1,team2,sport,'",IF(OR(I28="x",I28=""),VLOOKUP('Schedule from TM'!J28,Tables!$P$3:$Q$33,2,FALSE),'Schedule from TM'!I28),",",J28,"','",IF(OR(F28="x",F28=""),VLOOKUP('Schedule from TM'!G28,Tables!$U$3:$V$14,2,FALSE),'Schedule from TM'!F28),",",TEXT(G28,"mm/dd/yyyy"),"','",TEXT(H28,"h:mm:ss AM/PM"),"'].ub=0.0      #",B28)</f>
        <v xml:space="preserve">                x[team1,team2,sport,'11,JCC Back Field 1','11,11/24/2017','1:00:00 PM'].ub=0.0      #Adult Female Mini Soccer</v>
      </c>
      <c r="AB28" s="301" t="str">
        <f t="shared" si="6"/>
        <v>,,Adult Female Mini Soccer,,1,AD F - COL 1</v>
      </c>
      <c r="AC28" s="153" t="str">
        <f t="shared" si="7"/>
        <v>Adult Female Mini SoccerAD F - COL 1</v>
      </c>
      <c r="AD28" s="301" t="str">
        <f t="shared" si="8"/>
        <v>,,Adult Female Mini Soccer,,1,AD F - PER</v>
      </c>
      <c r="AE28" s="153" t="str">
        <f t="shared" si="9"/>
        <v>Adult Female Mini SoccerAD F - PER</v>
      </c>
      <c r="AF28" s="383">
        <f t="shared" si="10"/>
        <v>0</v>
      </c>
      <c r="AG28" s="383">
        <f t="shared" si="11"/>
        <v>1</v>
      </c>
      <c r="AH28" s="383">
        <f t="shared" si="12"/>
        <v>0</v>
      </c>
      <c r="AI28" s="383">
        <f t="shared" si="13"/>
        <v>1</v>
      </c>
      <c r="AJ28" s="383">
        <f t="shared" si="14"/>
        <v>0</v>
      </c>
      <c r="AK28" s="383">
        <f t="shared" si="15"/>
        <v>0</v>
      </c>
      <c r="AM28" s="148" t="str">
        <f t="shared" si="16"/>
        <v>Schedulled</v>
      </c>
      <c r="AN28" s="148" t="str">
        <f t="shared" si="17"/>
        <v/>
      </c>
      <c r="AO28" s="156">
        <f t="shared" si="18"/>
        <v>43063.541666666664</v>
      </c>
      <c r="AP28" s="148" t="str">
        <f t="shared" si="19"/>
        <v>11/24/2017 13:00-&gt;JCC Back Field 1</v>
      </c>
      <c r="AQ28" s="374">
        <f t="shared" si="20"/>
        <v>1</v>
      </c>
      <c r="AR28" s="148" t="str">
        <f t="shared" si="21"/>
        <v>COL1</v>
      </c>
      <c r="AS28" s="148" t="str">
        <f t="shared" si="22"/>
        <v>PER</v>
      </c>
      <c r="AT28" s="157" t="str">
        <f t="shared" si="23"/>
        <v>COL1-PER</v>
      </c>
      <c r="AU28" s="157" t="str">
        <f t="shared" si="24"/>
        <v xml:space="preserve">COL1-PER </v>
      </c>
      <c r="AV28" s="157" t="str">
        <f t="shared" si="25"/>
        <v>Adults FEMALE</v>
      </c>
      <c r="AW28" s="157" t="str">
        <f t="shared" si="26"/>
        <v>Soccer</v>
      </c>
      <c r="AX28" s="376">
        <f t="shared" si="27"/>
        <v>18</v>
      </c>
      <c r="AY28" s="148" t="str">
        <f t="shared" si="28"/>
        <v>AD F - COL 1-&gt;AD F - PER</v>
      </c>
      <c r="AZ28" s="148" t="str">
        <f t="shared" si="29"/>
        <v>11/24/2017 13:00-&gt;AD F - COL 1</v>
      </c>
      <c r="BA28" s="148" t="str">
        <f t="shared" si="30"/>
        <v>11/24/2017 13:00-&gt;AD F - PER</v>
      </c>
      <c r="BB28" s="374">
        <f t="shared" si="31"/>
        <v>1</v>
      </c>
      <c r="BC28" s="374">
        <f t="shared" si="32"/>
        <v>1</v>
      </c>
      <c r="BD28" s="148" t="str">
        <f t="shared" si="33"/>
        <v>no conflict</v>
      </c>
      <c r="BF28" s="148" t="str">
        <f t="shared" si="34"/>
        <v>11/24/2017 13:00-&gt;AD F - COL 1</v>
      </c>
      <c r="BG28" s="148" t="str">
        <f t="shared" si="35"/>
        <v>11/24/2017 13:00-&gt;AD F - PER</v>
      </c>
      <c r="BH28" s="148" t="str">
        <f t="shared" si="36"/>
        <v>11/24/2017 13:00-&gt;JCC Back Field 1</v>
      </c>
      <c r="BI28" s="148" t="str">
        <f t="shared" si="37"/>
        <v>Soccer in JCC Back Field 1 (COL1-PER)</v>
      </c>
      <c r="BJ28" s="148" t="str">
        <f t="shared" si="38"/>
        <v>Adult Female Mini Soccer-- AD F - COL 1 vs. AD F - PER</v>
      </c>
      <c r="BK28" s="148" t="str">
        <f t="shared" si="39"/>
        <v>Soccer</v>
      </c>
      <c r="BL28" s="148" t="str">
        <f t="shared" si="40"/>
        <v>AD F - COL 1</v>
      </c>
      <c r="BM28" s="148" t="str">
        <f t="shared" si="41"/>
        <v>AD F - PER</v>
      </c>
      <c r="BN28" s="148" t="str">
        <f t="shared" si="42"/>
        <v>Round - 1</v>
      </c>
      <c r="BP28" s="148" t="str">
        <f t="shared" si="43"/>
        <v>no t, f, or sf</v>
      </c>
      <c r="BQ28" s="148" t="str">
        <f t="shared" si="44"/>
        <v/>
      </c>
    </row>
    <row r="29" spans="1:69" ht="15" customHeight="1" x14ac:dyDescent="0.2">
      <c r="A29" s="376">
        <v>19</v>
      </c>
      <c r="B29" t="s">
        <v>461</v>
      </c>
      <c r="C29" s="319" t="s">
        <v>518</v>
      </c>
      <c r="D29" s="376">
        <v>1</v>
      </c>
      <c r="E29" s="376">
        <v>1</v>
      </c>
      <c r="F29" s="315" t="s">
        <v>770</v>
      </c>
      <c r="G29" s="320">
        <v>43063</v>
      </c>
      <c r="H29" s="454">
        <v>0.57638888888888895</v>
      </c>
      <c r="I29" s="325" t="s">
        <v>770</v>
      </c>
      <c r="J29" s="441" t="s">
        <v>693</v>
      </c>
      <c r="K29" s="319">
        <v>831</v>
      </c>
      <c r="L29" s="319" t="s">
        <v>528</v>
      </c>
      <c r="M29" s="319">
        <v>831</v>
      </c>
      <c r="N29" s="319" t="s">
        <v>531</v>
      </c>
      <c r="O29" s="153" t="str">
        <f>IF(L29&lt;&gt;"",IFERROR(VLOOKUP(B29&amp;L29,Pools!$A$2:$D$130,3,FALSE),""),"")</f>
        <v/>
      </c>
      <c r="P29" s="388">
        <v>3</v>
      </c>
      <c r="Q29" s="388">
        <v>0</v>
      </c>
      <c r="R29" s="306" t="str">
        <f t="shared" si="0"/>
        <v>3-0</v>
      </c>
      <c r="T29" s="148" t="str">
        <f t="shared" si="1"/>
        <v>Completed</v>
      </c>
      <c r="U29" s="153"/>
      <c r="V29" s="153"/>
      <c r="W29" s="387">
        <f t="shared" si="2"/>
        <v>3</v>
      </c>
      <c r="X29" s="387">
        <f t="shared" si="3"/>
        <v>-3</v>
      </c>
      <c r="Y29" s="301">
        <f t="shared" si="4"/>
        <v>2</v>
      </c>
      <c r="Z29" s="301">
        <f t="shared" si="5"/>
        <v>0</v>
      </c>
      <c r="AA29" s="323" t="str">
        <f>CONCATENATE("                x[team1,team2,sport,'",IF(OR(I29="x",I29=""),VLOOKUP('Schedule from TM'!J29,Tables!$P$3:$Q$33,2,FALSE),'Schedule from TM'!I29),",",J29,"','",IF(OR(F29="x",F29=""),VLOOKUP('Schedule from TM'!G29,Tables!$U$3:$V$14,2,FALSE),'Schedule from TM'!F29),",",TEXT(G29,"mm/dd/yyyy"),"','",TEXT(H29,"h:mm:ss AM/PM"),"'].ub=0.0      #",B29)</f>
        <v xml:space="preserve">                x[team1,team2,sport,'11,JCC Back Field 2','11,11/24/2017','1:50:00 PM'].ub=0.0      #Adult Female Mini Soccer</v>
      </c>
      <c r="AB29" s="301" t="str">
        <f t="shared" si="6"/>
        <v>,,Adult Female Mini Soccer,,1,AD F - MEX</v>
      </c>
      <c r="AC29" s="153" t="str">
        <f t="shared" si="7"/>
        <v>Adult Female Mini SoccerAD F - MEX</v>
      </c>
      <c r="AD29" s="301" t="str">
        <f t="shared" si="8"/>
        <v>,,Adult Female Mini Soccer,,1,AD F - VEN 1</v>
      </c>
      <c r="AE29" s="153" t="str">
        <f t="shared" si="9"/>
        <v>Adult Female Mini SoccerAD F - VEN 1</v>
      </c>
      <c r="AF29" s="383">
        <f t="shared" si="10"/>
        <v>1</v>
      </c>
      <c r="AG29" s="383">
        <f t="shared" si="11"/>
        <v>0</v>
      </c>
      <c r="AH29" s="383">
        <f t="shared" si="12"/>
        <v>0</v>
      </c>
      <c r="AI29" s="383">
        <f t="shared" si="13"/>
        <v>0</v>
      </c>
      <c r="AJ29" s="383">
        <f t="shared" si="14"/>
        <v>1</v>
      </c>
      <c r="AK29" s="383">
        <f t="shared" si="15"/>
        <v>0</v>
      </c>
      <c r="AM29" s="148" t="str">
        <f t="shared" si="16"/>
        <v>Schedulled</v>
      </c>
      <c r="AN29" s="148" t="str">
        <f t="shared" si="17"/>
        <v/>
      </c>
      <c r="AO29" s="156">
        <f t="shared" si="18"/>
        <v>43063.576388888891</v>
      </c>
      <c r="AP29" s="148" t="str">
        <f t="shared" si="19"/>
        <v>11/24/2017 13:50-&gt;JCC Back Field 2</v>
      </c>
      <c r="AQ29" s="374">
        <f t="shared" si="20"/>
        <v>1</v>
      </c>
      <c r="AR29" s="148" t="str">
        <f t="shared" si="21"/>
        <v>MEX</v>
      </c>
      <c r="AS29" s="148" t="str">
        <f t="shared" si="22"/>
        <v>VEN1</v>
      </c>
      <c r="AT29" s="157" t="str">
        <f t="shared" si="23"/>
        <v>MEX-VEN1</v>
      </c>
      <c r="AU29" s="157" t="str">
        <f t="shared" si="24"/>
        <v xml:space="preserve">MEX-VEN1 </v>
      </c>
      <c r="AV29" s="157" t="str">
        <f t="shared" si="25"/>
        <v>Adults FEMALE</v>
      </c>
      <c r="AW29" s="157" t="str">
        <f t="shared" si="26"/>
        <v>Soccer</v>
      </c>
      <c r="AX29" s="376">
        <f t="shared" si="27"/>
        <v>19</v>
      </c>
      <c r="AY29" s="148" t="str">
        <f t="shared" si="28"/>
        <v>AD F - MEX-&gt;AD F - VEN 1</v>
      </c>
      <c r="AZ29" s="148" t="str">
        <f t="shared" si="29"/>
        <v>11/24/2017 13:50-&gt;AD F - MEX</v>
      </c>
      <c r="BA29" s="148" t="str">
        <f t="shared" si="30"/>
        <v>11/24/2017 13:50-&gt;AD F - VEN 1</v>
      </c>
      <c r="BB29" s="374">
        <f t="shared" si="31"/>
        <v>1</v>
      </c>
      <c r="BC29" s="374">
        <f t="shared" si="32"/>
        <v>1</v>
      </c>
      <c r="BD29" s="148" t="str">
        <f t="shared" si="33"/>
        <v>no conflict</v>
      </c>
      <c r="BF29" s="148" t="str">
        <f t="shared" si="34"/>
        <v>11/24/2017 13:50-&gt;AD F - MEX</v>
      </c>
      <c r="BG29" s="148" t="str">
        <f t="shared" si="35"/>
        <v>11/24/2017 13:50-&gt;AD F - VEN 1</v>
      </c>
      <c r="BH29" s="148" t="str">
        <f t="shared" si="36"/>
        <v>11/24/2017 13:50-&gt;JCC Back Field 2</v>
      </c>
      <c r="BI29" s="148" t="str">
        <f t="shared" si="37"/>
        <v>Soccer in JCC Back Field 2 (MEX-VEN1)</v>
      </c>
      <c r="BJ29" s="148" t="str">
        <f t="shared" si="38"/>
        <v>Adult Female Mini Soccer-- AD F - MEX vs. AD F - VEN 1</v>
      </c>
      <c r="BK29" s="148" t="str">
        <f t="shared" si="39"/>
        <v>Soccer</v>
      </c>
      <c r="BL29" s="148" t="str">
        <f t="shared" si="40"/>
        <v>AD F - MEX</v>
      </c>
      <c r="BM29" s="148" t="str">
        <f t="shared" si="41"/>
        <v>AD F - VEN 1</v>
      </c>
      <c r="BN29" s="148" t="str">
        <f t="shared" si="42"/>
        <v>Round - 1</v>
      </c>
      <c r="BP29" s="148" t="str">
        <f t="shared" si="43"/>
        <v>no t, f, or sf</v>
      </c>
      <c r="BQ29" s="148" t="str">
        <f t="shared" si="44"/>
        <v/>
      </c>
    </row>
    <row r="30" spans="1:69" ht="15" customHeight="1" x14ac:dyDescent="0.2">
      <c r="A30" s="376">
        <v>20</v>
      </c>
      <c r="B30" t="s">
        <v>80</v>
      </c>
      <c r="C30" s="319" t="s">
        <v>518</v>
      </c>
      <c r="D30" s="376">
        <v>1</v>
      </c>
      <c r="E30" s="376">
        <v>1</v>
      </c>
      <c r="F30" s="315" t="s">
        <v>770</v>
      </c>
      <c r="G30" s="320">
        <v>43058</v>
      </c>
      <c r="H30" s="318">
        <v>0.40277777777777773</v>
      </c>
      <c r="I30" s="325" t="s">
        <v>770</v>
      </c>
      <c r="J30" s="319" t="s">
        <v>708</v>
      </c>
      <c r="K30" s="319">
        <v>833</v>
      </c>
      <c r="L30" s="319" t="s">
        <v>528</v>
      </c>
      <c r="M30" s="319">
        <v>833</v>
      </c>
      <c r="N30" s="319" t="s">
        <v>529</v>
      </c>
      <c r="O30" s="153" t="str">
        <f>IF(L30&lt;&gt;"",IFERROR(VLOOKUP(B30&amp;L30,Pools!$A$2:$D$130,3,FALSE),""),"")</f>
        <v/>
      </c>
      <c r="P30" s="388">
        <v>0</v>
      </c>
      <c r="Q30" s="388">
        <v>2</v>
      </c>
      <c r="R30" s="306" t="str">
        <f t="shared" si="0"/>
        <v>0-2</v>
      </c>
      <c r="T30" s="148" t="str">
        <f t="shared" si="1"/>
        <v>Completed</v>
      </c>
      <c r="U30" s="153"/>
      <c r="V30" s="153"/>
      <c r="W30" s="387">
        <f t="shared" si="2"/>
        <v>-2</v>
      </c>
      <c r="X30" s="387">
        <f t="shared" si="3"/>
        <v>2</v>
      </c>
      <c r="Y30" s="301">
        <f t="shared" si="4"/>
        <v>0</v>
      </c>
      <c r="Z30" s="301">
        <f t="shared" si="5"/>
        <v>2</v>
      </c>
      <c r="AA30" s="323" t="str">
        <f>CONCATENATE("                x[team1,team2,sport,'",IF(OR(I30="x",I30=""),VLOOKUP('Schedule from TM'!J30,Tables!$P$3:$Q$33,2,FALSE),'Schedule from TM'!I30),",",J30,"','",IF(OR(F30="x",F30=""),VLOOKUP('Schedule from TM'!G30,Tables!$U$3:$V$14,2,FALSE),'Schedule from TM'!F30),",",TEXT(G30,"mm/dd/yyyy"),"','",TEXT(H30,"h:mm:ss AM/PM"),"'].ub=0.0      #",B30)</f>
        <v xml:space="preserve">                x[team1,team2,sport,'21,Hillel - Gym Volleyball','11,11/19/2017','9:40:00 AM'].ub=0.0      #Adult Female Volleyball</v>
      </c>
      <c r="AB30" s="301" t="str">
        <f t="shared" si="6"/>
        <v>,,Adult Female Volleyball,,1,AD F - MEX</v>
      </c>
      <c r="AC30" s="153" t="str">
        <f t="shared" si="7"/>
        <v>Adult Female VolleyballAD F - MEX</v>
      </c>
      <c r="AD30" s="301" t="str">
        <f t="shared" si="8"/>
        <v>,,Adult Female Volleyball,,1,AD F - PER</v>
      </c>
      <c r="AE30" s="153" t="str">
        <f t="shared" si="9"/>
        <v>Adult Female VolleyballAD F - PER</v>
      </c>
      <c r="AF30" s="383">
        <f t="shared" si="10"/>
        <v>0</v>
      </c>
      <c r="AG30" s="383">
        <f t="shared" si="11"/>
        <v>1</v>
      </c>
      <c r="AH30" s="383">
        <f t="shared" si="12"/>
        <v>0</v>
      </c>
      <c r="AI30" s="383">
        <f t="shared" si="13"/>
        <v>1</v>
      </c>
      <c r="AJ30" s="383">
        <f t="shared" si="14"/>
        <v>0</v>
      </c>
      <c r="AK30" s="383">
        <f t="shared" si="15"/>
        <v>0</v>
      </c>
      <c r="AM30" s="148" t="str">
        <f t="shared" si="16"/>
        <v>Schedulled</v>
      </c>
      <c r="AN30" s="148" t="str">
        <f t="shared" si="17"/>
        <v/>
      </c>
      <c r="AO30" s="156">
        <f t="shared" si="18"/>
        <v>43058.402777777781</v>
      </c>
      <c r="AP30" s="148" t="str">
        <f t="shared" si="19"/>
        <v>11/19/2017 09:40-&gt;Hillel - Gym Volleyball</v>
      </c>
      <c r="AQ30" s="374">
        <f t="shared" si="20"/>
        <v>1</v>
      </c>
      <c r="AR30" s="148" t="str">
        <f t="shared" si="21"/>
        <v>MEX</v>
      </c>
      <c r="AS30" s="148" t="str">
        <f t="shared" si="22"/>
        <v>PER</v>
      </c>
      <c r="AT30" s="157" t="str">
        <f t="shared" si="23"/>
        <v>MEX-PER</v>
      </c>
      <c r="AU30" s="157" t="str">
        <f t="shared" si="24"/>
        <v xml:space="preserve">MEX-PER </v>
      </c>
      <c r="AV30" s="157" t="str">
        <f t="shared" si="25"/>
        <v>Adults FEMALE</v>
      </c>
      <c r="AW30" s="157" t="str">
        <f t="shared" si="26"/>
        <v>Volleyball</v>
      </c>
      <c r="AX30" s="376">
        <f t="shared" si="27"/>
        <v>20</v>
      </c>
      <c r="AY30" s="148" t="str">
        <f t="shared" si="28"/>
        <v>AD F - MEX-&gt;AD F - PER</v>
      </c>
      <c r="AZ30" s="148" t="str">
        <f t="shared" si="29"/>
        <v>11/19/2017 09:40-&gt;AD F - MEX</v>
      </c>
      <c r="BA30" s="148" t="str">
        <f t="shared" si="30"/>
        <v>11/19/2017 09:40-&gt;AD F - PER</v>
      </c>
      <c r="BB30" s="374">
        <f t="shared" si="31"/>
        <v>1</v>
      </c>
      <c r="BC30" s="374">
        <f t="shared" si="32"/>
        <v>1</v>
      </c>
      <c r="BD30" s="148" t="str">
        <f t="shared" si="33"/>
        <v>no conflict</v>
      </c>
      <c r="BF30" s="148" t="str">
        <f t="shared" si="34"/>
        <v>11/19/2017 09:40-&gt;AD F - MEX</v>
      </c>
      <c r="BG30" s="148" t="str">
        <f t="shared" si="35"/>
        <v>11/19/2017 09:40-&gt;AD F - PER</v>
      </c>
      <c r="BH30" s="148" t="str">
        <f t="shared" si="36"/>
        <v>11/19/2017 09:40-&gt;Hillel - Gym Volleyball</v>
      </c>
      <c r="BI30" s="148" t="str">
        <f t="shared" si="37"/>
        <v>Volleyball in Hillel - Gym Volleyball (MEX-PER)</v>
      </c>
      <c r="BJ30" s="148" t="str">
        <f t="shared" si="38"/>
        <v>Adult Female Volleyball-- AD F - MEX vs. AD F - PER</v>
      </c>
      <c r="BK30" s="148" t="str">
        <f t="shared" si="39"/>
        <v>Volleyball</v>
      </c>
      <c r="BL30" s="148" t="str">
        <f t="shared" si="40"/>
        <v>AD F - MEX</v>
      </c>
      <c r="BM30" s="148" t="str">
        <f t="shared" si="41"/>
        <v>AD F - PER</v>
      </c>
      <c r="BN30" s="148" t="str">
        <f t="shared" si="42"/>
        <v>Round - 1</v>
      </c>
      <c r="BP30" s="148" t="str">
        <f t="shared" si="43"/>
        <v>no t, f, or sf</v>
      </c>
      <c r="BQ30" s="148" t="str">
        <f t="shared" si="44"/>
        <v/>
      </c>
    </row>
    <row r="31" spans="1:69" ht="15" customHeight="1" x14ac:dyDescent="0.2">
      <c r="A31" s="376">
        <v>21</v>
      </c>
      <c r="B31" t="s">
        <v>80</v>
      </c>
      <c r="C31" s="319" t="s">
        <v>518</v>
      </c>
      <c r="D31" s="376">
        <v>1</v>
      </c>
      <c r="E31" s="376">
        <v>1</v>
      </c>
      <c r="F31" s="315" t="s">
        <v>770</v>
      </c>
      <c r="G31" s="320">
        <v>43058</v>
      </c>
      <c r="H31" s="317">
        <v>0.61111111111111105</v>
      </c>
      <c r="I31" s="325" t="s">
        <v>770</v>
      </c>
      <c r="J31" s="319" t="s">
        <v>697</v>
      </c>
      <c r="K31" s="319">
        <v>833</v>
      </c>
      <c r="L31" s="319" t="s">
        <v>526</v>
      </c>
      <c r="M31" s="319">
        <v>833</v>
      </c>
      <c r="N31" s="319" t="s">
        <v>530</v>
      </c>
      <c r="O31" s="153" t="str">
        <f>IF(L31&lt;&gt;"",IFERROR(VLOOKUP(B31&amp;L31,Pools!$A$2:$D$130,3,FALSE),""),"")</f>
        <v/>
      </c>
      <c r="P31" s="388">
        <v>2</v>
      </c>
      <c r="Q31" s="388">
        <v>0</v>
      </c>
      <c r="R31" s="306" t="str">
        <f t="shared" si="0"/>
        <v>2-0</v>
      </c>
      <c r="T31" s="148" t="str">
        <f t="shared" si="1"/>
        <v>Completed</v>
      </c>
      <c r="U31" s="153"/>
      <c r="V31" s="153"/>
      <c r="W31" s="387">
        <f t="shared" si="2"/>
        <v>2</v>
      </c>
      <c r="X31" s="387">
        <f t="shared" si="3"/>
        <v>-2</v>
      </c>
      <c r="Y31" s="301">
        <f t="shared" si="4"/>
        <v>2</v>
      </c>
      <c r="Z31" s="301">
        <f t="shared" si="5"/>
        <v>0</v>
      </c>
      <c r="AA31" s="323" t="str">
        <f>CONCATENATE("                x[team1,team2,sport,'",IF(OR(I31="x",I31=""),VLOOKUP('Schedule from TM'!J31,Tables!$P$3:$Q$33,2,FALSE),'Schedule from TM'!I31),",",J31,"','",IF(OR(F31="x",F31=""),VLOOKUP('Schedule from TM'!G31,Tables!$U$3:$V$14,2,FALSE),'Schedule from TM'!F31),",",TEXT(G31,"mm/dd/yyyy"),"','",TEXT(H31,"h:mm:ss AM/PM"),"'].ub=0.0      #",B31)</f>
        <v xml:space="preserve">                x[team1,team2,sport,'11,JCC Gym South','11,11/19/2017','2:40:00 PM'].ub=0.0      #Adult Female Volleyball</v>
      </c>
      <c r="AB31" s="301" t="str">
        <f t="shared" si="6"/>
        <v>,,Adult Female Volleyball,,1,AD F - COL 1</v>
      </c>
      <c r="AC31" s="153" t="str">
        <f t="shared" si="7"/>
        <v>Adult Female VolleyballAD F - COL 1</v>
      </c>
      <c r="AD31" s="301" t="str">
        <f t="shared" si="8"/>
        <v>,,Adult Female Volleyball,,1,AD F - USA 1</v>
      </c>
      <c r="AE31" s="153" t="str">
        <f t="shared" si="9"/>
        <v>Adult Female VolleyballAD F - USA 1</v>
      </c>
      <c r="AF31" s="383">
        <f t="shared" si="10"/>
        <v>1</v>
      </c>
      <c r="AG31" s="383">
        <f t="shared" si="11"/>
        <v>0</v>
      </c>
      <c r="AH31" s="383">
        <f t="shared" si="12"/>
        <v>0</v>
      </c>
      <c r="AI31" s="383">
        <f t="shared" si="13"/>
        <v>0</v>
      </c>
      <c r="AJ31" s="383">
        <f t="shared" si="14"/>
        <v>1</v>
      </c>
      <c r="AK31" s="383">
        <f t="shared" si="15"/>
        <v>0</v>
      </c>
      <c r="AM31" s="148" t="str">
        <f t="shared" si="16"/>
        <v>Schedulled</v>
      </c>
      <c r="AN31" s="148" t="str">
        <f t="shared" si="17"/>
        <v/>
      </c>
      <c r="AO31" s="156">
        <f t="shared" si="18"/>
        <v>43058.611111111109</v>
      </c>
      <c r="AP31" s="148" t="str">
        <f t="shared" si="19"/>
        <v>11/19/2017 14:40-&gt;JCC Gym South</v>
      </c>
      <c r="AQ31" s="374">
        <f t="shared" si="20"/>
        <v>1</v>
      </c>
      <c r="AR31" s="148" t="str">
        <f t="shared" si="21"/>
        <v>COL1</v>
      </c>
      <c r="AS31" s="148" t="str">
        <f t="shared" si="22"/>
        <v>USA1</v>
      </c>
      <c r="AT31" s="157" t="str">
        <f t="shared" si="23"/>
        <v>COL1-USA1</v>
      </c>
      <c r="AU31" s="157" t="str">
        <f t="shared" si="24"/>
        <v xml:space="preserve">COL1-USA1 </v>
      </c>
      <c r="AV31" s="157" t="str">
        <f t="shared" si="25"/>
        <v>Adults FEMALE</v>
      </c>
      <c r="AW31" s="157" t="str">
        <f t="shared" si="26"/>
        <v>Volleyball</v>
      </c>
      <c r="AX31" s="376">
        <f t="shared" si="27"/>
        <v>21</v>
      </c>
      <c r="AY31" s="148" t="str">
        <f t="shared" si="28"/>
        <v>AD F - COL 1-&gt;AD F - USA 1</v>
      </c>
      <c r="AZ31" s="148" t="str">
        <f t="shared" si="29"/>
        <v>11/19/2017 14:40-&gt;AD F - COL 1</v>
      </c>
      <c r="BA31" s="148" t="str">
        <f t="shared" si="30"/>
        <v>11/19/2017 14:40-&gt;AD F - USA 1</v>
      </c>
      <c r="BB31" s="374">
        <f t="shared" si="31"/>
        <v>1</v>
      </c>
      <c r="BC31" s="374">
        <f t="shared" si="32"/>
        <v>1</v>
      </c>
      <c r="BD31" s="148" t="str">
        <f t="shared" si="33"/>
        <v>no conflict</v>
      </c>
      <c r="BF31" s="148" t="str">
        <f t="shared" si="34"/>
        <v>11/19/2017 14:40-&gt;AD F - COL 1</v>
      </c>
      <c r="BG31" s="148" t="str">
        <f t="shared" si="35"/>
        <v>11/19/2017 14:40-&gt;AD F - USA 1</v>
      </c>
      <c r="BH31" s="148" t="str">
        <f t="shared" si="36"/>
        <v>11/19/2017 14:40-&gt;JCC Gym South</v>
      </c>
      <c r="BI31" s="148" t="str">
        <f t="shared" si="37"/>
        <v>Volleyball in JCC Gym South (COL1-USA1)</v>
      </c>
      <c r="BJ31" s="148" t="str">
        <f t="shared" si="38"/>
        <v>Adult Female Volleyball-- AD F - COL 1 vs. AD F - USA 1</v>
      </c>
      <c r="BK31" s="148" t="str">
        <f t="shared" si="39"/>
        <v>Volleyball</v>
      </c>
      <c r="BL31" s="148" t="str">
        <f t="shared" si="40"/>
        <v>AD F - COL 1</v>
      </c>
      <c r="BM31" s="148" t="str">
        <f t="shared" si="41"/>
        <v>AD F - USA 1</v>
      </c>
      <c r="BN31" s="148" t="str">
        <f t="shared" si="42"/>
        <v>Round - 1</v>
      </c>
      <c r="BP31" s="148" t="str">
        <f t="shared" si="43"/>
        <v>no t, f, or sf</v>
      </c>
      <c r="BQ31" s="148" t="str">
        <f t="shared" si="44"/>
        <v/>
      </c>
    </row>
    <row r="32" spans="1:69" ht="15" customHeight="1" x14ac:dyDescent="0.2">
      <c r="A32" s="376">
        <v>22</v>
      </c>
      <c r="B32" s="444" t="s">
        <v>80</v>
      </c>
      <c r="C32" s="444" t="s">
        <v>518</v>
      </c>
      <c r="D32" s="451">
        <v>1</v>
      </c>
      <c r="E32" s="451">
        <v>1</v>
      </c>
      <c r="F32" s="315" t="s">
        <v>770</v>
      </c>
      <c r="G32" s="445">
        <v>43058</v>
      </c>
      <c r="H32" s="317">
        <v>0.68055555555555547</v>
      </c>
      <c r="I32" s="325" t="s">
        <v>770</v>
      </c>
      <c r="J32" s="441" t="s">
        <v>708</v>
      </c>
      <c r="K32" s="444">
        <v>833</v>
      </c>
      <c r="L32" s="444" t="s">
        <v>527</v>
      </c>
      <c r="M32" s="444">
        <v>833</v>
      </c>
      <c r="N32" s="444" t="s">
        <v>528</v>
      </c>
      <c r="O32" s="153" t="str">
        <f>IF(L32&lt;&gt;"",IFERROR(VLOOKUP(B32&amp;L32,Pools!$A$2:$D$130,3,FALSE),""),"")</f>
        <v/>
      </c>
      <c r="P32" s="388">
        <v>2</v>
      </c>
      <c r="Q32" s="388">
        <v>0</v>
      </c>
      <c r="R32" s="306" t="str">
        <f t="shared" si="0"/>
        <v>2-0</v>
      </c>
      <c r="T32" s="148" t="str">
        <f t="shared" si="1"/>
        <v>Completed</v>
      </c>
      <c r="U32" s="153"/>
      <c r="V32" s="153"/>
      <c r="W32" s="387">
        <f t="shared" si="2"/>
        <v>2</v>
      </c>
      <c r="X32" s="387">
        <f t="shared" si="3"/>
        <v>-2</v>
      </c>
      <c r="Y32" s="301">
        <f t="shared" si="4"/>
        <v>2</v>
      </c>
      <c r="Z32" s="301">
        <f t="shared" si="5"/>
        <v>0</v>
      </c>
      <c r="AA32" s="323" t="str">
        <f>CONCATENATE("                x[team1,team2,sport,'",IF(OR(I32="x",I32=""),VLOOKUP('Schedule from TM'!J32,Tables!$P$3:$Q$33,2,FALSE),'Schedule from TM'!I32),",",J32,"','",IF(OR(F32="x",F32=""),VLOOKUP('Schedule from TM'!G32,Tables!$U$3:$V$14,2,FALSE),'Schedule from TM'!F32),",",TEXT(G32,"mm/dd/yyyy"),"','",TEXT(H32,"h:mm:ss AM/PM"),"'].ub=0.0      #",B32)</f>
        <v xml:space="preserve">                x[team1,team2,sport,'21,Hillel - Gym Volleyball','11,11/19/2017','4:20:00 PM'].ub=0.0      #Adult Female Volleyball</v>
      </c>
      <c r="AB32" s="301" t="str">
        <f t="shared" si="6"/>
        <v>,,Adult Female Volleyball,,1,AD F - ARG</v>
      </c>
      <c r="AC32" s="153" t="str">
        <f t="shared" si="7"/>
        <v>Adult Female VolleyballAD F - ARG</v>
      </c>
      <c r="AD32" s="301" t="str">
        <f t="shared" si="8"/>
        <v>,,Adult Female Volleyball,,1,AD F - MEX</v>
      </c>
      <c r="AE32" s="153" t="str">
        <f t="shared" si="9"/>
        <v>Adult Female VolleyballAD F - MEX</v>
      </c>
      <c r="AF32" s="383">
        <f t="shared" si="10"/>
        <v>1</v>
      </c>
      <c r="AG32" s="383">
        <f t="shared" si="11"/>
        <v>0</v>
      </c>
      <c r="AH32" s="383">
        <f t="shared" si="12"/>
        <v>0</v>
      </c>
      <c r="AI32" s="383">
        <f t="shared" si="13"/>
        <v>0</v>
      </c>
      <c r="AJ32" s="383">
        <f t="shared" si="14"/>
        <v>1</v>
      </c>
      <c r="AK32" s="383">
        <f t="shared" si="15"/>
        <v>0</v>
      </c>
      <c r="AM32" s="148" t="str">
        <f t="shared" si="16"/>
        <v>Schedulled</v>
      </c>
      <c r="AN32" s="148" t="str">
        <f t="shared" si="17"/>
        <v/>
      </c>
      <c r="AO32" s="156">
        <f t="shared" si="18"/>
        <v>43058.680555555555</v>
      </c>
      <c r="AP32" s="148" t="str">
        <f t="shared" si="19"/>
        <v>11/19/2017 16:20-&gt;Hillel - Gym Volleyball</v>
      </c>
      <c r="AQ32" s="374">
        <f t="shared" si="20"/>
        <v>1</v>
      </c>
      <c r="AR32" s="148" t="str">
        <f t="shared" si="21"/>
        <v>ARG1</v>
      </c>
      <c r="AS32" s="148" t="str">
        <f t="shared" si="22"/>
        <v>MEX</v>
      </c>
      <c r="AT32" s="157" t="str">
        <f t="shared" si="23"/>
        <v>ARG1-MEX</v>
      </c>
      <c r="AU32" s="157" t="str">
        <f t="shared" si="24"/>
        <v xml:space="preserve">ARG1-MEX </v>
      </c>
      <c r="AV32" s="157" t="str">
        <f t="shared" si="25"/>
        <v>Adults FEMALE</v>
      </c>
      <c r="AW32" s="157" t="str">
        <f t="shared" si="26"/>
        <v>Volleyball</v>
      </c>
      <c r="AX32" s="376">
        <f t="shared" si="27"/>
        <v>22</v>
      </c>
      <c r="AY32" s="148" t="str">
        <f t="shared" si="28"/>
        <v>AD F - ARG-&gt;AD F - MEX</v>
      </c>
      <c r="AZ32" s="148" t="str">
        <f t="shared" si="29"/>
        <v>11/19/2017 16:20-&gt;AD F - ARG</v>
      </c>
      <c r="BA32" s="148" t="str">
        <f t="shared" si="30"/>
        <v>11/19/2017 16:20-&gt;AD F - MEX</v>
      </c>
      <c r="BB32" s="374">
        <f t="shared" si="31"/>
        <v>1</v>
      </c>
      <c r="BC32" s="374">
        <f t="shared" si="32"/>
        <v>1</v>
      </c>
      <c r="BD32" s="148" t="str">
        <f t="shared" si="33"/>
        <v>no conflict</v>
      </c>
      <c r="BF32" s="148" t="str">
        <f t="shared" si="34"/>
        <v>11/19/2017 16:20-&gt;AD F - ARG</v>
      </c>
      <c r="BG32" s="148" t="str">
        <f t="shared" si="35"/>
        <v>11/19/2017 16:20-&gt;AD F - MEX</v>
      </c>
      <c r="BH32" s="148" t="str">
        <f t="shared" si="36"/>
        <v>11/19/2017 16:20-&gt;Hillel - Gym Volleyball</v>
      </c>
      <c r="BI32" s="148" t="str">
        <f t="shared" si="37"/>
        <v>Volleyball in Hillel - Gym Volleyball (ARG1-MEX)</v>
      </c>
      <c r="BJ32" s="148" t="str">
        <f t="shared" si="38"/>
        <v>Adult Female Volleyball-- AD F - ARG vs. AD F - MEX</v>
      </c>
      <c r="BK32" s="148" t="str">
        <f t="shared" si="39"/>
        <v>Volleyball</v>
      </c>
      <c r="BL32" s="148" t="str">
        <f t="shared" si="40"/>
        <v>AD F - ARG</v>
      </c>
      <c r="BM32" s="148" t="str">
        <f t="shared" si="41"/>
        <v>AD F - MEX</v>
      </c>
      <c r="BN32" s="148" t="str">
        <f t="shared" si="42"/>
        <v>Round - 1</v>
      </c>
      <c r="BP32" s="148" t="str">
        <f t="shared" si="43"/>
        <v>no t, f, or sf</v>
      </c>
      <c r="BQ32" s="148" t="str">
        <f t="shared" si="44"/>
        <v/>
      </c>
    </row>
    <row r="33" spans="1:69" ht="15" customHeight="1" x14ac:dyDescent="0.2">
      <c r="A33" s="376">
        <v>23</v>
      </c>
      <c r="B33" s="444" t="s">
        <v>80</v>
      </c>
      <c r="C33" s="444" t="s">
        <v>518</v>
      </c>
      <c r="D33" s="451">
        <v>1</v>
      </c>
      <c r="E33" s="451">
        <v>1</v>
      </c>
      <c r="F33" s="315" t="s">
        <v>770</v>
      </c>
      <c r="G33" s="445">
        <v>43059</v>
      </c>
      <c r="H33" s="318">
        <v>0.81944444444444453</v>
      </c>
      <c r="I33" s="325" t="s">
        <v>770</v>
      </c>
      <c r="J33" s="296" t="s">
        <v>708</v>
      </c>
      <c r="K33" s="444">
        <v>833</v>
      </c>
      <c r="L33" s="444" t="s">
        <v>526</v>
      </c>
      <c r="M33" s="444">
        <v>833</v>
      </c>
      <c r="N33" s="444" t="s">
        <v>531</v>
      </c>
      <c r="O33" s="153" t="str">
        <f>IF(L33&lt;&gt;"",IFERROR(VLOOKUP(B33&amp;L33,Pools!$A$2:$D$130,3,FALSE),""),"")</f>
        <v/>
      </c>
      <c r="P33" s="388">
        <v>2</v>
      </c>
      <c r="Q33" s="388">
        <v>0</v>
      </c>
      <c r="R33" s="306" t="str">
        <f t="shared" si="0"/>
        <v>2-0</v>
      </c>
      <c r="T33" s="148" t="str">
        <f t="shared" si="1"/>
        <v>Completed</v>
      </c>
      <c r="U33" s="153"/>
      <c r="V33" s="153"/>
      <c r="W33" s="387">
        <f t="shared" si="2"/>
        <v>2</v>
      </c>
      <c r="X33" s="387">
        <f t="shared" si="3"/>
        <v>-2</v>
      </c>
      <c r="Y33" s="301">
        <f t="shared" si="4"/>
        <v>2</v>
      </c>
      <c r="Z33" s="301">
        <f t="shared" si="5"/>
        <v>0</v>
      </c>
      <c r="AA33" s="323" t="str">
        <f>CONCATENATE("                x[team1,team2,sport,'",IF(OR(I33="x",I33=""),VLOOKUP('Schedule from TM'!J33,Tables!$P$3:$Q$33,2,FALSE),'Schedule from TM'!I33),",",J33,"','",IF(OR(F33="x",F33=""),VLOOKUP('Schedule from TM'!G33,Tables!$U$3:$V$14,2,FALSE),'Schedule from TM'!F33),",",TEXT(G33,"mm/dd/yyyy"),"','",TEXT(H33,"h:mm:ss AM/PM"),"'].ub=0.0      #",B33)</f>
        <v xml:space="preserve">                x[team1,team2,sport,'21,Hillel - Gym Volleyball','22,11/20/2017','7:40:00 PM'].ub=0.0      #Adult Female Volleyball</v>
      </c>
      <c r="AB33" s="301" t="str">
        <f t="shared" si="6"/>
        <v>,,Adult Female Volleyball,,1,AD F - COL 1</v>
      </c>
      <c r="AC33" s="153" t="str">
        <f t="shared" si="7"/>
        <v>Adult Female VolleyballAD F - COL 1</v>
      </c>
      <c r="AD33" s="301" t="str">
        <f t="shared" si="8"/>
        <v>,,Adult Female Volleyball,,1,AD F - VEN 1</v>
      </c>
      <c r="AE33" s="153" t="str">
        <f t="shared" si="9"/>
        <v>Adult Female VolleyballAD F - VEN 1</v>
      </c>
      <c r="AF33" s="383">
        <f t="shared" si="10"/>
        <v>1</v>
      </c>
      <c r="AG33" s="383">
        <f t="shared" si="11"/>
        <v>0</v>
      </c>
      <c r="AH33" s="383">
        <f t="shared" si="12"/>
        <v>0</v>
      </c>
      <c r="AI33" s="383">
        <f t="shared" si="13"/>
        <v>0</v>
      </c>
      <c r="AJ33" s="383">
        <f t="shared" si="14"/>
        <v>1</v>
      </c>
      <c r="AK33" s="383">
        <f t="shared" si="15"/>
        <v>0</v>
      </c>
      <c r="AM33" s="148" t="str">
        <f t="shared" si="16"/>
        <v>Schedulled</v>
      </c>
      <c r="AN33" s="148" t="str">
        <f t="shared" si="17"/>
        <v/>
      </c>
      <c r="AO33" s="156">
        <f t="shared" si="18"/>
        <v>43059.819444444445</v>
      </c>
      <c r="AP33" s="148" t="str">
        <f t="shared" si="19"/>
        <v>11/20/2017 19:40-&gt;Hillel - Gym Volleyball</v>
      </c>
      <c r="AQ33" s="374">
        <f t="shared" si="20"/>
        <v>1</v>
      </c>
      <c r="AR33" s="148" t="str">
        <f t="shared" si="21"/>
        <v>COL1</v>
      </c>
      <c r="AS33" s="148" t="str">
        <f t="shared" si="22"/>
        <v>VEN1</v>
      </c>
      <c r="AT33" s="157" t="str">
        <f t="shared" si="23"/>
        <v>COL1-VEN1</v>
      </c>
      <c r="AU33" s="157" t="str">
        <f t="shared" si="24"/>
        <v xml:space="preserve">COL1-VEN1 </v>
      </c>
      <c r="AV33" s="157" t="str">
        <f t="shared" si="25"/>
        <v>Adults FEMALE</v>
      </c>
      <c r="AW33" s="157" t="str">
        <f t="shared" si="26"/>
        <v>Volleyball</v>
      </c>
      <c r="AX33" s="376">
        <f t="shared" si="27"/>
        <v>23</v>
      </c>
      <c r="AY33" s="148" t="str">
        <f t="shared" si="28"/>
        <v>AD F - COL 1-&gt;AD F - VEN 1</v>
      </c>
      <c r="AZ33" s="148" t="str">
        <f t="shared" si="29"/>
        <v>11/20/2017 19:40-&gt;AD F - COL 1</v>
      </c>
      <c r="BA33" s="148" t="str">
        <f t="shared" si="30"/>
        <v>11/20/2017 19:40-&gt;AD F - VEN 1</v>
      </c>
      <c r="BB33" s="374">
        <f t="shared" si="31"/>
        <v>1</v>
      </c>
      <c r="BC33" s="374">
        <f t="shared" si="32"/>
        <v>1</v>
      </c>
      <c r="BD33" s="148" t="str">
        <f t="shared" si="33"/>
        <v>no conflict</v>
      </c>
      <c r="BF33" s="148" t="str">
        <f t="shared" si="34"/>
        <v>11/20/2017 19:40-&gt;AD F - COL 1</v>
      </c>
      <c r="BG33" s="148" t="str">
        <f t="shared" si="35"/>
        <v>11/20/2017 19:40-&gt;AD F - VEN 1</v>
      </c>
      <c r="BH33" s="148" t="str">
        <f t="shared" si="36"/>
        <v>11/20/2017 19:40-&gt;Hillel - Gym Volleyball</v>
      </c>
      <c r="BI33" s="148" t="str">
        <f t="shared" si="37"/>
        <v>Volleyball in Hillel - Gym Volleyball (COL1-VEN1)</v>
      </c>
      <c r="BJ33" s="148" t="str">
        <f t="shared" si="38"/>
        <v>Adult Female Volleyball-- AD F - COL 1 vs. AD F - VEN 1</v>
      </c>
      <c r="BK33" s="148" t="str">
        <f t="shared" si="39"/>
        <v>Volleyball</v>
      </c>
      <c r="BL33" s="148" t="str">
        <f t="shared" si="40"/>
        <v>AD F - COL 1</v>
      </c>
      <c r="BM33" s="148" t="str">
        <f t="shared" si="41"/>
        <v>AD F - VEN 1</v>
      </c>
      <c r="BN33" s="148" t="str">
        <f t="shared" si="42"/>
        <v>Round - 1</v>
      </c>
      <c r="BP33" s="148" t="str">
        <f t="shared" si="43"/>
        <v>no t, f, or sf</v>
      </c>
      <c r="BQ33" s="148" t="str">
        <f t="shared" si="44"/>
        <v/>
      </c>
    </row>
    <row r="34" spans="1:69" ht="15" customHeight="1" x14ac:dyDescent="0.2">
      <c r="A34" s="376">
        <v>24</v>
      </c>
      <c r="B34" s="433" t="s">
        <v>80</v>
      </c>
      <c r="C34" s="441" t="s">
        <v>518</v>
      </c>
      <c r="D34" s="450">
        <v>1</v>
      </c>
      <c r="E34" s="450">
        <v>1</v>
      </c>
      <c r="F34" s="315" t="s">
        <v>770</v>
      </c>
      <c r="G34" s="320">
        <v>43061</v>
      </c>
      <c r="H34" s="318">
        <v>0.85416666666666663</v>
      </c>
      <c r="I34" s="325" t="s">
        <v>770</v>
      </c>
      <c r="J34" s="441" t="s">
        <v>697</v>
      </c>
      <c r="K34" s="441">
        <v>833</v>
      </c>
      <c r="L34" s="441" t="s">
        <v>526</v>
      </c>
      <c r="M34" s="441">
        <v>833</v>
      </c>
      <c r="N34" s="441" t="s">
        <v>528</v>
      </c>
      <c r="O34" s="153" t="str">
        <f>IF(L34&lt;&gt;"",IFERROR(VLOOKUP(B34&amp;L34,Pools!$A$2:$D$130,3,FALSE),""),"")</f>
        <v/>
      </c>
      <c r="P34" s="388">
        <v>2</v>
      </c>
      <c r="Q34" s="388">
        <v>0</v>
      </c>
      <c r="R34" s="306" t="str">
        <f t="shared" si="0"/>
        <v>2-0</v>
      </c>
      <c r="T34" s="148" t="str">
        <f t="shared" si="1"/>
        <v>Completed</v>
      </c>
      <c r="U34" s="153"/>
      <c r="V34" s="153"/>
      <c r="W34" s="387">
        <f t="shared" si="2"/>
        <v>2</v>
      </c>
      <c r="X34" s="387">
        <f t="shared" si="3"/>
        <v>-2</v>
      </c>
      <c r="Y34" s="301">
        <f t="shared" si="4"/>
        <v>2</v>
      </c>
      <c r="Z34" s="301">
        <f t="shared" si="5"/>
        <v>0</v>
      </c>
      <c r="AA34" s="323" t="str">
        <f>CONCATENATE("                x[team1,team2,sport,'",IF(OR(I34="x",I34=""),VLOOKUP('Schedule from TM'!J34,Tables!$P$3:$Q$33,2,FALSE),'Schedule from TM'!I34),",",J34,"','",IF(OR(F34="x",F34=""),VLOOKUP('Schedule from TM'!G34,Tables!$U$3:$V$14,2,FALSE),'Schedule from TM'!F34),",",TEXT(G34,"mm/dd/yyyy"),"','",TEXT(H34,"h:mm:ss AM/PM"),"'].ub=0.0      #",B34)</f>
        <v xml:space="preserve">                x[team1,team2,sport,'11,JCC Gym South','22,11/22/2017','8:30:00 PM'].ub=0.0      #Adult Female Volleyball</v>
      </c>
      <c r="AB34" s="301" t="str">
        <f t="shared" si="6"/>
        <v>,,Adult Female Volleyball,,1,AD F - COL 1</v>
      </c>
      <c r="AC34" s="153" t="str">
        <f t="shared" si="7"/>
        <v>Adult Female VolleyballAD F - COL 1</v>
      </c>
      <c r="AD34" s="301" t="str">
        <f t="shared" si="8"/>
        <v>,,Adult Female Volleyball,,1,AD F - MEX</v>
      </c>
      <c r="AE34" s="153" t="str">
        <f t="shared" si="9"/>
        <v>Adult Female VolleyballAD F - MEX</v>
      </c>
      <c r="AF34" s="383">
        <f t="shared" si="10"/>
        <v>1</v>
      </c>
      <c r="AG34" s="383">
        <f t="shared" si="11"/>
        <v>0</v>
      </c>
      <c r="AH34" s="383">
        <f t="shared" si="12"/>
        <v>0</v>
      </c>
      <c r="AI34" s="383">
        <f t="shared" si="13"/>
        <v>0</v>
      </c>
      <c r="AJ34" s="383">
        <f t="shared" si="14"/>
        <v>1</v>
      </c>
      <c r="AK34" s="383">
        <f t="shared" si="15"/>
        <v>0</v>
      </c>
      <c r="AM34" s="148" t="str">
        <f t="shared" si="16"/>
        <v>Schedulled</v>
      </c>
      <c r="AN34" s="148" t="str">
        <f t="shared" si="17"/>
        <v/>
      </c>
      <c r="AO34" s="156">
        <f t="shared" si="18"/>
        <v>43061.854166666664</v>
      </c>
      <c r="AP34" s="148" t="str">
        <f t="shared" si="19"/>
        <v>11/22/2017 20:30-&gt;JCC Gym South</v>
      </c>
      <c r="AQ34" s="374">
        <f t="shared" si="20"/>
        <v>1</v>
      </c>
      <c r="AR34" s="148" t="str">
        <f t="shared" si="21"/>
        <v>COL1</v>
      </c>
      <c r="AS34" s="148" t="str">
        <f t="shared" si="22"/>
        <v>MEX</v>
      </c>
      <c r="AT34" s="157" t="str">
        <f t="shared" si="23"/>
        <v>COL1-MEX</v>
      </c>
      <c r="AU34" s="157" t="str">
        <f t="shared" si="24"/>
        <v xml:space="preserve">COL1-MEX </v>
      </c>
      <c r="AV34" s="157" t="str">
        <f t="shared" si="25"/>
        <v>Adults FEMALE</v>
      </c>
      <c r="AW34" s="157" t="str">
        <f t="shared" si="26"/>
        <v>Volleyball</v>
      </c>
      <c r="AX34" s="376">
        <f t="shared" si="27"/>
        <v>24</v>
      </c>
      <c r="AY34" s="148" t="str">
        <f t="shared" si="28"/>
        <v>AD F - COL 1-&gt;AD F - MEX</v>
      </c>
      <c r="AZ34" s="148" t="str">
        <f t="shared" si="29"/>
        <v>11/22/2017 20:30-&gt;AD F - COL 1</v>
      </c>
      <c r="BA34" s="148" t="str">
        <f t="shared" si="30"/>
        <v>11/22/2017 20:30-&gt;AD F - MEX</v>
      </c>
      <c r="BB34" s="374">
        <f t="shared" si="31"/>
        <v>1</v>
      </c>
      <c r="BC34" s="374">
        <f t="shared" si="32"/>
        <v>1</v>
      </c>
      <c r="BD34" s="148" t="str">
        <f t="shared" si="33"/>
        <v>no conflict</v>
      </c>
      <c r="BF34" s="148" t="str">
        <f t="shared" si="34"/>
        <v>11/22/2017 20:30-&gt;AD F - COL 1</v>
      </c>
      <c r="BG34" s="148" t="str">
        <f t="shared" si="35"/>
        <v>11/22/2017 20:30-&gt;AD F - MEX</v>
      </c>
      <c r="BH34" s="148" t="str">
        <f t="shared" si="36"/>
        <v>11/22/2017 20:30-&gt;JCC Gym South</v>
      </c>
      <c r="BI34" s="148" t="str">
        <f t="shared" si="37"/>
        <v>Volleyball in JCC Gym South (COL1-MEX)</v>
      </c>
      <c r="BJ34" s="148" t="str">
        <f t="shared" si="38"/>
        <v>Adult Female Volleyball-- AD F - COL 1 vs. AD F - MEX</v>
      </c>
      <c r="BK34" s="148" t="str">
        <f t="shared" si="39"/>
        <v>Volleyball</v>
      </c>
      <c r="BL34" s="148" t="str">
        <f t="shared" si="40"/>
        <v>AD F - COL 1</v>
      </c>
      <c r="BM34" s="148" t="str">
        <f t="shared" si="41"/>
        <v>AD F - MEX</v>
      </c>
      <c r="BN34" s="148" t="str">
        <f t="shared" si="42"/>
        <v>Round - 1</v>
      </c>
      <c r="BP34" s="148" t="str">
        <f t="shared" si="43"/>
        <v>no t, f, or sf</v>
      </c>
      <c r="BQ34" s="148" t="str">
        <f t="shared" si="44"/>
        <v/>
      </c>
    </row>
    <row r="35" spans="1:69" ht="15" customHeight="1" x14ac:dyDescent="0.2">
      <c r="A35" s="376">
        <v>25</v>
      </c>
      <c r="B35" t="s">
        <v>80</v>
      </c>
      <c r="C35" s="319" t="s">
        <v>518</v>
      </c>
      <c r="D35" s="376">
        <v>1</v>
      </c>
      <c r="E35" s="376">
        <v>1</v>
      </c>
      <c r="F35" s="315" t="s">
        <v>770</v>
      </c>
      <c r="G35" s="320">
        <v>43062</v>
      </c>
      <c r="H35" s="317">
        <v>0.50694444444444442</v>
      </c>
      <c r="I35" s="325" t="s">
        <v>770</v>
      </c>
      <c r="J35" s="319" t="s">
        <v>697</v>
      </c>
      <c r="K35" s="319">
        <v>833</v>
      </c>
      <c r="L35" s="319" t="s">
        <v>526</v>
      </c>
      <c r="M35" s="319">
        <v>833</v>
      </c>
      <c r="N35" s="319" t="s">
        <v>527</v>
      </c>
      <c r="O35" s="153" t="str">
        <f>IF(L35&lt;&gt;"",IFERROR(VLOOKUP(B35&amp;L35,Pools!$A$2:$D$130,3,FALSE),""),"")</f>
        <v/>
      </c>
      <c r="P35" s="388">
        <v>2</v>
      </c>
      <c r="Q35" s="388">
        <v>0</v>
      </c>
      <c r="R35" s="306" t="str">
        <f t="shared" si="0"/>
        <v>2-0</v>
      </c>
      <c r="T35" s="148" t="str">
        <f t="shared" si="1"/>
        <v>Completed</v>
      </c>
      <c r="U35" s="153"/>
      <c r="V35" s="153"/>
      <c r="W35" s="387">
        <f t="shared" si="2"/>
        <v>2</v>
      </c>
      <c r="X35" s="387">
        <f t="shared" si="3"/>
        <v>-2</v>
      </c>
      <c r="Y35" s="301">
        <f t="shared" si="4"/>
        <v>2</v>
      </c>
      <c r="Z35" s="301">
        <f t="shared" si="5"/>
        <v>0</v>
      </c>
      <c r="AA35" s="323" t="str">
        <f>CONCATENATE("                x[team1,team2,sport,'",IF(OR(I35="x",I35=""),VLOOKUP('Schedule from TM'!J35,Tables!$P$3:$Q$33,2,FALSE),'Schedule from TM'!I35),",",J35,"','",IF(OR(F35="x",F35=""),VLOOKUP('Schedule from TM'!G35,Tables!$U$3:$V$14,2,FALSE),'Schedule from TM'!F35),",",TEXT(G35,"mm/dd/yyyy"),"','",TEXT(H35,"h:mm:ss AM/PM"),"'].ub=0.0      #",B35)</f>
        <v xml:space="preserve">                x[team1,team2,sport,'11,JCC Gym South','11,11/23/2017','12:10:00 PM'].ub=0.0      #Adult Female Volleyball</v>
      </c>
      <c r="AB35" s="301" t="str">
        <f t="shared" si="6"/>
        <v>,,Adult Female Volleyball,,1,AD F - COL 1</v>
      </c>
      <c r="AC35" s="153" t="str">
        <f t="shared" si="7"/>
        <v>Adult Female VolleyballAD F - COL 1</v>
      </c>
      <c r="AD35" s="301" t="str">
        <f t="shared" si="8"/>
        <v>,,Adult Female Volleyball,,1,AD F - ARG</v>
      </c>
      <c r="AE35" s="153" t="str">
        <f t="shared" si="9"/>
        <v>Adult Female VolleyballAD F - ARG</v>
      </c>
      <c r="AF35" s="383">
        <f t="shared" si="10"/>
        <v>1</v>
      </c>
      <c r="AG35" s="383">
        <f t="shared" si="11"/>
        <v>0</v>
      </c>
      <c r="AH35" s="383">
        <f t="shared" si="12"/>
        <v>0</v>
      </c>
      <c r="AI35" s="383">
        <f t="shared" si="13"/>
        <v>0</v>
      </c>
      <c r="AJ35" s="383">
        <f t="shared" si="14"/>
        <v>1</v>
      </c>
      <c r="AK35" s="383">
        <f t="shared" si="15"/>
        <v>0</v>
      </c>
      <c r="AM35" s="148" t="str">
        <f t="shared" si="16"/>
        <v>Schedulled</v>
      </c>
      <c r="AN35" s="148" t="str">
        <f t="shared" si="17"/>
        <v/>
      </c>
      <c r="AO35" s="156">
        <f t="shared" si="18"/>
        <v>43062.506944444445</v>
      </c>
      <c r="AP35" s="148" t="str">
        <f t="shared" si="19"/>
        <v>11/23/2017 12:10-&gt;JCC Gym South</v>
      </c>
      <c r="AQ35" s="374">
        <f t="shared" si="20"/>
        <v>1</v>
      </c>
      <c r="AR35" s="148" t="str">
        <f t="shared" si="21"/>
        <v>COL1</v>
      </c>
      <c r="AS35" s="148" t="str">
        <f t="shared" si="22"/>
        <v>ARG1</v>
      </c>
      <c r="AT35" s="157" t="str">
        <f t="shared" si="23"/>
        <v>COL1-ARG1</v>
      </c>
      <c r="AU35" s="157" t="str">
        <f t="shared" si="24"/>
        <v xml:space="preserve">COL1-ARG1 </v>
      </c>
      <c r="AV35" s="157" t="str">
        <f t="shared" si="25"/>
        <v>Adults FEMALE</v>
      </c>
      <c r="AW35" s="157" t="str">
        <f t="shared" si="26"/>
        <v>Volleyball</v>
      </c>
      <c r="AX35" s="376">
        <f t="shared" si="27"/>
        <v>25</v>
      </c>
      <c r="AY35" s="148" t="str">
        <f t="shared" si="28"/>
        <v>AD F - COL 1-&gt;AD F - ARG</v>
      </c>
      <c r="AZ35" s="148" t="str">
        <f t="shared" si="29"/>
        <v>11/23/2017 12:10-&gt;AD F - COL 1</v>
      </c>
      <c r="BA35" s="148" t="str">
        <f t="shared" si="30"/>
        <v>11/23/2017 12:10-&gt;AD F - ARG</v>
      </c>
      <c r="BB35" s="374">
        <f t="shared" si="31"/>
        <v>1</v>
      </c>
      <c r="BC35" s="374">
        <f t="shared" si="32"/>
        <v>1</v>
      </c>
      <c r="BD35" s="148" t="str">
        <f t="shared" si="33"/>
        <v>no conflict</v>
      </c>
      <c r="BF35" s="148" t="str">
        <f t="shared" si="34"/>
        <v>11/23/2017 12:10-&gt;AD F - COL 1</v>
      </c>
      <c r="BG35" s="148" t="str">
        <f t="shared" si="35"/>
        <v>11/23/2017 12:10-&gt;AD F - ARG</v>
      </c>
      <c r="BH35" s="148" t="str">
        <f t="shared" si="36"/>
        <v>11/23/2017 12:10-&gt;JCC Gym South</v>
      </c>
      <c r="BI35" s="148" t="str">
        <f t="shared" si="37"/>
        <v>Volleyball in JCC Gym South (COL1-ARG1)</v>
      </c>
      <c r="BJ35" s="148" t="str">
        <f t="shared" si="38"/>
        <v>Adult Female Volleyball-- AD F - COL 1 vs. AD F - ARG</v>
      </c>
      <c r="BK35" s="148" t="str">
        <f t="shared" si="39"/>
        <v>Volleyball</v>
      </c>
      <c r="BL35" s="148" t="str">
        <f t="shared" si="40"/>
        <v>AD F - COL 1</v>
      </c>
      <c r="BM35" s="148" t="str">
        <f t="shared" si="41"/>
        <v>AD F - ARG</v>
      </c>
      <c r="BN35" s="148" t="str">
        <f t="shared" si="42"/>
        <v>Round - 1</v>
      </c>
      <c r="BP35" s="148" t="str">
        <f t="shared" si="43"/>
        <v>no t, f, or sf</v>
      </c>
      <c r="BQ35" s="148" t="str">
        <f t="shared" si="44"/>
        <v/>
      </c>
    </row>
    <row r="36" spans="1:69" ht="15" customHeight="1" x14ac:dyDescent="0.2">
      <c r="A36" s="376">
        <v>26</v>
      </c>
      <c r="B36" t="s">
        <v>80</v>
      </c>
      <c r="C36" s="319" t="s">
        <v>518</v>
      </c>
      <c r="D36" s="376">
        <v>1</v>
      </c>
      <c r="E36" s="376">
        <v>1</v>
      </c>
      <c r="F36" s="315" t="s">
        <v>770</v>
      </c>
      <c r="G36" s="320">
        <v>43062</v>
      </c>
      <c r="H36" s="317">
        <v>0.57638888888888895</v>
      </c>
      <c r="I36" s="325" t="s">
        <v>770</v>
      </c>
      <c r="J36" s="444" t="s">
        <v>708</v>
      </c>
      <c r="K36" s="319">
        <v>833</v>
      </c>
      <c r="L36" s="319" t="s">
        <v>529</v>
      </c>
      <c r="M36" s="319">
        <v>833</v>
      </c>
      <c r="N36" s="319" t="s">
        <v>530</v>
      </c>
      <c r="O36" s="153" t="str">
        <f>IF(L36&lt;&gt;"",IFERROR(VLOOKUP(B36&amp;L36,Pools!$A$2:$D$130,3,FALSE),""),"")</f>
        <v/>
      </c>
      <c r="P36" s="388">
        <v>0</v>
      </c>
      <c r="Q36" s="388">
        <v>2</v>
      </c>
      <c r="R36" s="306" t="str">
        <f t="shared" si="0"/>
        <v>0-2</v>
      </c>
      <c r="T36" s="148" t="str">
        <f t="shared" si="1"/>
        <v>Completed</v>
      </c>
      <c r="U36" s="153"/>
      <c r="V36" s="153"/>
      <c r="W36" s="387">
        <f t="shared" si="2"/>
        <v>-2</v>
      </c>
      <c r="X36" s="387">
        <f t="shared" si="3"/>
        <v>2</v>
      </c>
      <c r="Y36" s="301">
        <f t="shared" si="4"/>
        <v>0</v>
      </c>
      <c r="Z36" s="301">
        <f t="shared" si="5"/>
        <v>2</v>
      </c>
      <c r="AA36" s="323" t="str">
        <f>CONCATENATE("                x[team1,team2,sport,'",IF(OR(I36="x",I36=""),VLOOKUP('Schedule from TM'!J36,Tables!$P$3:$Q$33,2,FALSE),'Schedule from TM'!I36),",",J36,"','",IF(OR(F36="x",F36=""),VLOOKUP('Schedule from TM'!G36,Tables!$U$3:$V$14,2,FALSE),'Schedule from TM'!F36),",",TEXT(G36,"mm/dd/yyyy"),"','",TEXT(H36,"h:mm:ss AM/PM"),"'].ub=0.0      #",B36)</f>
        <v xml:space="preserve">                x[team1,team2,sport,'21,Hillel - Gym Volleyball','11,11/23/2017','1:50:00 PM'].ub=0.0      #Adult Female Volleyball</v>
      </c>
      <c r="AB36" s="301" t="str">
        <f t="shared" si="6"/>
        <v>,,Adult Female Volleyball,,1,AD F - PER</v>
      </c>
      <c r="AC36" s="153" t="str">
        <f t="shared" si="7"/>
        <v>Adult Female VolleyballAD F - PER</v>
      </c>
      <c r="AD36" s="301" t="str">
        <f t="shared" si="8"/>
        <v>,,Adult Female Volleyball,,1,AD F - USA 1</v>
      </c>
      <c r="AE36" s="153" t="str">
        <f t="shared" si="9"/>
        <v>Adult Female VolleyballAD F - USA 1</v>
      </c>
      <c r="AF36" s="383">
        <f t="shared" si="10"/>
        <v>0</v>
      </c>
      <c r="AG36" s="383">
        <f t="shared" si="11"/>
        <v>1</v>
      </c>
      <c r="AH36" s="383">
        <f t="shared" si="12"/>
        <v>0</v>
      </c>
      <c r="AI36" s="383">
        <f t="shared" si="13"/>
        <v>1</v>
      </c>
      <c r="AJ36" s="383">
        <f t="shared" si="14"/>
        <v>0</v>
      </c>
      <c r="AK36" s="383">
        <f t="shared" si="15"/>
        <v>0</v>
      </c>
      <c r="AM36" s="148" t="str">
        <f t="shared" si="16"/>
        <v>Schedulled</v>
      </c>
      <c r="AN36" s="148" t="str">
        <f t="shared" si="17"/>
        <v/>
      </c>
      <c r="AO36" s="156">
        <f t="shared" si="18"/>
        <v>43062.576388888891</v>
      </c>
      <c r="AP36" s="148" t="str">
        <f t="shared" si="19"/>
        <v>11/23/2017 13:50-&gt;Hillel - Gym Volleyball</v>
      </c>
      <c r="AQ36" s="374">
        <f t="shared" si="20"/>
        <v>1</v>
      </c>
      <c r="AR36" s="148" t="str">
        <f t="shared" si="21"/>
        <v>PER</v>
      </c>
      <c r="AS36" s="148" t="str">
        <f t="shared" si="22"/>
        <v>USA1</v>
      </c>
      <c r="AT36" s="157" t="str">
        <f t="shared" si="23"/>
        <v>PER-USA1</v>
      </c>
      <c r="AU36" s="157" t="str">
        <f t="shared" si="24"/>
        <v xml:space="preserve">PER-USA1 </v>
      </c>
      <c r="AV36" s="157" t="str">
        <f t="shared" si="25"/>
        <v>Adults FEMALE</v>
      </c>
      <c r="AW36" s="157" t="str">
        <f t="shared" si="26"/>
        <v>Volleyball</v>
      </c>
      <c r="AX36" s="376">
        <f t="shared" si="27"/>
        <v>26</v>
      </c>
      <c r="AY36" s="148" t="str">
        <f t="shared" si="28"/>
        <v>AD F - PER-&gt;AD F - USA 1</v>
      </c>
      <c r="AZ36" s="148" t="str">
        <f t="shared" si="29"/>
        <v>11/23/2017 13:50-&gt;AD F - PER</v>
      </c>
      <c r="BA36" s="148" t="str">
        <f t="shared" si="30"/>
        <v>11/23/2017 13:50-&gt;AD F - USA 1</v>
      </c>
      <c r="BB36" s="374">
        <f t="shared" si="31"/>
        <v>1</v>
      </c>
      <c r="BC36" s="374">
        <f t="shared" si="32"/>
        <v>1</v>
      </c>
      <c r="BD36" s="148" t="str">
        <f t="shared" si="33"/>
        <v>no conflict</v>
      </c>
      <c r="BF36" s="148" t="str">
        <f t="shared" si="34"/>
        <v>11/23/2017 13:50-&gt;AD F - PER</v>
      </c>
      <c r="BG36" s="148" t="str">
        <f t="shared" si="35"/>
        <v>11/23/2017 13:50-&gt;AD F - USA 1</v>
      </c>
      <c r="BH36" s="148" t="str">
        <f t="shared" si="36"/>
        <v>11/23/2017 13:50-&gt;Hillel - Gym Volleyball</v>
      </c>
      <c r="BI36" s="148" t="str">
        <f t="shared" si="37"/>
        <v>Volleyball in Hillel - Gym Volleyball (PER-USA1)</v>
      </c>
      <c r="BJ36" s="148" t="str">
        <f t="shared" si="38"/>
        <v>Adult Female Volleyball-- AD F - PER vs. AD F - USA 1</v>
      </c>
      <c r="BK36" s="148" t="str">
        <f t="shared" si="39"/>
        <v>Volleyball</v>
      </c>
      <c r="BL36" s="148" t="str">
        <f t="shared" si="40"/>
        <v>AD F - PER</v>
      </c>
      <c r="BM36" s="148" t="str">
        <f t="shared" si="41"/>
        <v>AD F - USA 1</v>
      </c>
      <c r="BN36" s="148" t="str">
        <f t="shared" si="42"/>
        <v>Round - 1</v>
      </c>
      <c r="BP36" s="148" t="str">
        <f t="shared" si="43"/>
        <v>no t, f, or sf</v>
      </c>
      <c r="BQ36" s="148" t="str">
        <f t="shared" si="44"/>
        <v/>
      </c>
    </row>
    <row r="37" spans="1:69" ht="15" customHeight="1" x14ac:dyDescent="0.2">
      <c r="A37" s="376">
        <v>27</v>
      </c>
      <c r="B37" s="433" t="s">
        <v>80</v>
      </c>
      <c r="C37" s="441" t="s">
        <v>518</v>
      </c>
      <c r="D37" s="450">
        <v>1</v>
      </c>
      <c r="E37" s="450">
        <v>1</v>
      </c>
      <c r="F37" s="315" t="s">
        <v>770</v>
      </c>
      <c r="G37" s="320">
        <v>43062</v>
      </c>
      <c r="H37" s="317">
        <v>0.64583333333333337</v>
      </c>
      <c r="I37" s="325" t="s">
        <v>770</v>
      </c>
      <c r="J37" s="319" t="s">
        <v>697</v>
      </c>
      <c r="K37" s="441">
        <v>833</v>
      </c>
      <c r="L37" s="441" t="s">
        <v>527</v>
      </c>
      <c r="M37" s="441">
        <v>833</v>
      </c>
      <c r="N37" s="441" t="s">
        <v>531</v>
      </c>
      <c r="O37" s="153" t="str">
        <f>IF(L37&lt;&gt;"",IFERROR(VLOOKUP(B37&amp;L37,Pools!$A$2:$D$130,3,FALSE),""),"")</f>
        <v/>
      </c>
      <c r="P37" s="388">
        <v>2</v>
      </c>
      <c r="Q37" s="388">
        <v>0</v>
      </c>
      <c r="R37" s="306" t="str">
        <f t="shared" si="0"/>
        <v>2-0</v>
      </c>
      <c r="T37" s="148" t="str">
        <f t="shared" si="1"/>
        <v>Completed</v>
      </c>
      <c r="U37" s="153"/>
      <c r="V37" s="153"/>
      <c r="W37" s="387">
        <f t="shared" si="2"/>
        <v>2</v>
      </c>
      <c r="X37" s="387">
        <f t="shared" si="3"/>
        <v>-2</v>
      </c>
      <c r="Y37" s="301">
        <f t="shared" si="4"/>
        <v>2</v>
      </c>
      <c r="Z37" s="301">
        <f t="shared" si="5"/>
        <v>0</v>
      </c>
      <c r="AA37" s="323" t="str">
        <f>CONCATENATE("                x[team1,team2,sport,'",IF(OR(I37="x",I37=""),VLOOKUP('Schedule from TM'!J37,Tables!$P$3:$Q$33,2,FALSE),'Schedule from TM'!I37),",",J37,"','",IF(OR(F37="x",F37=""),VLOOKUP('Schedule from TM'!G37,Tables!$U$3:$V$14,2,FALSE),'Schedule from TM'!F37),",",TEXT(G37,"mm/dd/yyyy"),"','",TEXT(H37,"h:mm:ss AM/PM"),"'].ub=0.0      #",B37)</f>
        <v xml:space="preserve">                x[team1,team2,sport,'11,JCC Gym South','11,11/23/2017','3:30:00 PM'].ub=0.0      #Adult Female Volleyball</v>
      </c>
      <c r="AB37" s="301" t="str">
        <f t="shared" si="6"/>
        <v>,,Adult Female Volleyball,,1,AD F - ARG</v>
      </c>
      <c r="AC37" s="153" t="str">
        <f t="shared" si="7"/>
        <v>Adult Female VolleyballAD F - ARG</v>
      </c>
      <c r="AD37" s="301" t="str">
        <f t="shared" si="8"/>
        <v>,,Adult Female Volleyball,,1,AD F - VEN 1</v>
      </c>
      <c r="AE37" s="153" t="str">
        <f t="shared" si="9"/>
        <v>Adult Female VolleyballAD F - VEN 1</v>
      </c>
      <c r="AF37" s="383">
        <f t="shared" si="10"/>
        <v>1</v>
      </c>
      <c r="AG37" s="383">
        <f t="shared" si="11"/>
        <v>0</v>
      </c>
      <c r="AH37" s="383">
        <f t="shared" si="12"/>
        <v>0</v>
      </c>
      <c r="AI37" s="383">
        <f t="shared" si="13"/>
        <v>0</v>
      </c>
      <c r="AJ37" s="383">
        <f t="shared" si="14"/>
        <v>1</v>
      </c>
      <c r="AK37" s="383">
        <f t="shared" si="15"/>
        <v>0</v>
      </c>
      <c r="AM37" s="148" t="str">
        <f t="shared" si="16"/>
        <v>Schedulled</v>
      </c>
      <c r="AN37" s="148" t="str">
        <f t="shared" si="17"/>
        <v/>
      </c>
      <c r="AO37" s="156">
        <f t="shared" si="18"/>
        <v>43062.645833333336</v>
      </c>
      <c r="AP37" s="148" t="str">
        <f t="shared" si="19"/>
        <v>11/23/2017 15:30-&gt;JCC Gym South</v>
      </c>
      <c r="AQ37" s="374">
        <f t="shared" si="20"/>
        <v>1</v>
      </c>
      <c r="AR37" s="148" t="str">
        <f t="shared" si="21"/>
        <v>ARG1</v>
      </c>
      <c r="AS37" s="148" t="str">
        <f t="shared" si="22"/>
        <v>VEN1</v>
      </c>
      <c r="AT37" s="157" t="str">
        <f t="shared" si="23"/>
        <v>ARG1-VEN1</v>
      </c>
      <c r="AU37" s="157" t="str">
        <f t="shared" si="24"/>
        <v xml:space="preserve">ARG1-VEN1 </v>
      </c>
      <c r="AV37" s="157" t="str">
        <f t="shared" si="25"/>
        <v>Adults FEMALE</v>
      </c>
      <c r="AW37" s="157" t="str">
        <f t="shared" si="26"/>
        <v>Volleyball</v>
      </c>
      <c r="AX37" s="376">
        <f t="shared" si="27"/>
        <v>27</v>
      </c>
      <c r="AY37" s="148" t="str">
        <f t="shared" si="28"/>
        <v>AD F - ARG-&gt;AD F - VEN 1</v>
      </c>
      <c r="AZ37" s="148" t="str">
        <f t="shared" si="29"/>
        <v>11/23/2017 15:30-&gt;AD F - ARG</v>
      </c>
      <c r="BA37" s="148" t="str">
        <f t="shared" si="30"/>
        <v>11/23/2017 15:30-&gt;AD F - VEN 1</v>
      </c>
      <c r="BB37" s="374">
        <f t="shared" si="31"/>
        <v>1</v>
      </c>
      <c r="BC37" s="374">
        <f t="shared" si="32"/>
        <v>1</v>
      </c>
      <c r="BD37" s="148" t="str">
        <f t="shared" si="33"/>
        <v>no conflict</v>
      </c>
      <c r="BF37" s="148" t="str">
        <f t="shared" si="34"/>
        <v>11/23/2017 15:30-&gt;AD F - ARG</v>
      </c>
      <c r="BG37" s="148" t="str">
        <f t="shared" si="35"/>
        <v>11/23/2017 15:30-&gt;AD F - VEN 1</v>
      </c>
      <c r="BH37" s="148" t="str">
        <f t="shared" si="36"/>
        <v>11/23/2017 15:30-&gt;JCC Gym South</v>
      </c>
      <c r="BI37" s="148" t="str">
        <f t="shared" si="37"/>
        <v>Volleyball in JCC Gym South (ARG1-VEN1)</v>
      </c>
      <c r="BJ37" s="148" t="str">
        <f t="shared" si="38"/>
        <v>Adult Female Volleyball-- AD F - ARG vs. AD F - VEN 1</v>
      </c>
      <c r="BK37" s="148" t="str">
        <f t="shared" si="39"/>
        <v>Volleyball</v>
      </c>
      <c r="BL37" s="148" t="str">
        <f t="shared" si="40"/>
        <v>AD F - ARG</v>
      </c>
      <c r="BM37" s="148" t="str">
        <f t="shared" si="41"/>
        <v>AD F - VEN 1</v>
      </c>
      <c r="BN37" s="148" t="str">
        <f t="shared" si="42"/>
        <v>Round - 1</v>
      </c>
      <c r="BP37" s="148" t="str">
        <f t="shared" si="43"/>
        <v>no t, f, or sf</v>
      </c>
      <c r="BQ37" s="148" t="str">
        <f t="shared" si="44"/>
        <v/>
      </c>
    </row>
    <row r="38" spans="1:69" ht="15" customHeight="1" x14ac:dyDescent="0.2">
      <c r="A38" s="376">
        <v>28</v>
      </c>
      <c r="B38" s="433" t="s">
        <v>80</v>
      </c>
      <c r="C38" s="441" t="s">
        <v>518</v>
      </c>
      <c r="D38" s="450">
        <v>1</v>
      </c>
      <c r="E38" s="450">
        <v>1</v>
      </c>
      <c r="F38" s="315" t="s">
        <v>770</v>
      </c>
      <c r="G38" s="320">
        <v>43062</v>
      </c>
      <c r="H38" s="317">
        <v>0.68055555555555547</v>
      </c>
      <c r="I38" s="325" t="s">
        <v>770</v>
      </c>
      <c r="J38" s="441" t="s">
        <v>697</v>
      </c>
      <c r="K38" s="441">
        <v>833</v>
      </c>
      <c r="L38" s="441" t="s">
        <v>528</v>
      </c>
      <c r="M38" s="441">
        <v>833</v>
      </c>
      <c r="N38" s="441" t="s">
        <v>530</v>
      </c>
      <c r="O38" s="153" t="str">
        <f>IF(L38&lt;&gt;"",IFERROR(VLOOKUP(B38&amp;L38,Pools!$A$2:$D$130,3,FALSE),""),"")</f>
        <v/>
      </c>
      <c r="P38" s="388">
        <v>0</v>
      </c>
      <c r="Q38" s="388">
        <v>2</v>
      </c>
      <c r="R38" s="306" t="str">
        <f t="shared" si="0"/>
        <v>0-2</v>
      </c>
      <c r="T38" s="148" t="str">
        <f t="shared" si="1"/>
        <v>Completed</v>
      </c>
      <c r="U38" s="153"/>
      <c r="V38" s="153"/>
      <c r="W38" s="387">
        <f t="shared" si="2"/>
        <v>-2</v>
      </c>
      <c r="X38" s="387">
        <f t="shared" si="3"/>
        <v>2</v>
      </c>
      <c r="Y38" s="301">
        <f t="shared" si="4"/>
        <v>0</v>
      </c>
      <c r="Z38" s="301">
        <f t="shared" si="5"/>
        <v>2</v>
      </c>
      <c r="AA38" s="323" t="str">
        <f>CONCATENATE("                x[team1,team2,sport,'",IF(OR(I38="x",I38=""),VLOOKUP('Schedule from TM'!J38,Tables!$P$3:$Q$33,2,FALSE),'Schedule from TM'!I38),",",J38,"','",IF(OR(F38="x",F38=""),VLOOKUP('Schedule from TM'!G38,Tables!$U$3:$V$14,2,FALSE),'Schedule from TM'!F38),",",TEXT(G38,"mm/dd/yyyy"),"','",TEXT(H38,"h:mm:ss AM/PM"),"'].ub=0.0      #",B38)</f>
        <v xml:space="preserve">                x[team1,team2,sport,'11,JCC Gym South','11,11/23/2017','4:20:00 PM'].ub=0.0      #Adult Female Volleyball</v>
      </c>
      <c r="AB38" s="301" t="str">
        <f t="shared" si="6"/>
        <v>,,Adult Female Volleyball,,1,AD F - MEX</v>
      </c>
      <c r="AC38" s="153" t="str">
        <f t="shared" si="7"/>
        <v>Adult Female VolleyballAD F - MEX</v>
      </c>
      <c r="AD38" s="301" t="str">
        <f t="shared" si="8"/>
        <v>,,Adult Female Volleyball,,1,AD F - USA 1</v>
      </c>
      <c r="AE38" s="153" t="str">
        <f t="shared" si="9"/>
        <v>Adult Female VolleyballAD F - USA 1</v>
      </c>
      <c r="AF38" s="383">
        <f t="shared" si="10"/>
        <v>0</v>
      </c>
      <c r="AG38" s="383">
        <f t="shared" si="11"/>
        <v>1</v>
      </c>
      <c r="AH38" s="383">
        <f t="shared" si="12"/>
        <v>0</v>
      </c>
      <c r="AI38" s="383">
        <f t="shared" si="13"/>
        <v>1</v>
      </c>
      <c r="AJ38" s="383">
        <f t="shared" si="14"/>
        <v>0</v>
      </c>
      <c r="AK38" s="383">
        <f t="shared" si="15"/>
        <v>0</v>
      </c>
      <c r="AM38" s="148" t="str">
        <f t="shared" si="16"/>
        <v>Schedulled</v>
      </c>
      <c r="AN38" s="148" t="str">
        <f t="shared" si="17"/>
        <v/>
      </c>
      <c r="AO38" s="156">
        <f t="shared" si="18"/>
        <v>43062.680555555555</v>
      </c>
      <c r="AP38" s="148" t="str">
        <f t="shared" si="19"/>
        <v>11/23/2017 16:20-&gt;JCC Gym South</v>
      </c>
      <c r="AQ38" s="374">
        <f t="shared" si="20"/>
        <v>1</v>
      </c>
      <c r="AR38" s="148" t="str">
        <f t="shared" si="21"/>
        <v>MEX</v>
      </c>
      <c r="AS38" s="148" t="str">
        <f t="shared" si="22"/>
        <v>USA1</v>
      </c>
      <c r="AT38" s="157" t="str">
        <f t="shared" si="23"/>
        <v>MEX-USA1</v>
      </c>
      <c r="AU38" s="157" t="str">
        <f t="shared" si="24"/>
        <v xml:space="preserve">MEX-USA1 </v>
      </c>
      <c r="AV38" s="157" t="str">
        <f t="shared" si="25"/>
        <v>Adults FEMALE</v>
      </c>
      <c r="AW38" s="157" t="str">
        <f t="shared" si="26"/>
        <v>Volleyball</v>
      </c>
      <c r="AX38" s="376">
        <f t="shared" si="27"/>
        <v>28</v>
      </c>
      <c r="AY38" s="148" t="str">
        <f t="shared" si="28"/>
        <v>AD F - MEX-&gt;AD F - USA 1</v>
      </c>
      <c r="AZ38" s="148" t="str">
        <f t="shared" si="29"/>
        <v>11/23/2017 16:20-&gt;AD F - MEX</v>
      </c>
      <c r="BA38" s="148" t="str">
        <f t="shared" si="30"/>
        <v>11/23/2017 16:20-&gt;AD F - USA 1</v>
      </c>
      <c r="BB38" s="374">
        <f t="shared" si="31"/>
        <v>1</v>
      </c>
      <c r="BC38" s="374">
        <f t="shared" si="32"/>
        <v>1</v>
      </c>
      <c r="BD38" s="148" t="str">
        <f t="shared" si="33"/>
        <v>no conflict</v>
      </c>
      <c r="BF38" s="148" t="str">
        <f t="shared" si="34"/>
        <v>11/23/2017 16:20-&gt;AD F - MEX</v>
      </c>
      <c r="BG38" s="148" t="str">
        <f t="shared" si="35"/>
        <v>11/23/2017 16:20-&gt;AD F - USA 1</v>
      </c>
      <c r="BH38" s="148" t="str">
        <f t="shared" si="36"/>
        <v>11/23/2017 16:20-&gt;JCC Gym South</v>
      </c>
      <c r="BI38" s="148" t="str">
        <f t="shared" si="37"/>
        <v>Volleyball in JCC Gym South (MEX-USA1)</v>
      </c>
      <c r="BJ38" s="148" t="str">
        <f t="shared" si="38"/>
        <v>Adult Female Volleyball-- AD F - MEX vs. AD F - USA 1</v>
      </c>
      <c r="BK38" s="148" t="str">
        <f t="shared" si="39"/>
        <v>Volleyball</v>
      </c>
      <c r="BL38" s="148" t="str">
        <f t="shared" si="40"/>
        <v>AD F - MEX</v>
      </c>
      <c r="BM38" s="148" t="str">
        <f t="shared" si="41"/>
        <v>AD F - USA 1</v>
      </c>
      <c r="BN38" s="148" t="str">
        <f t="shared" si="42"/>
        <v>Round - 1</v>
      </c>
      <c r="BP38" s="148" t="str">
        <f t="shared" si="43"/>
        <v>no t, f, or sf</v>
      </c>
      <c r="BQ38" s="148" t="str">
        <f t="shared" si="44"/>
        <v/>
      </c>
    </row>
    <row r="39" spans="1:69" ht="15" customHeight="1" x14ac:dyDescent="0.2">
      <c r="A39" s="376">
        <v>29</v>
      </c>
      <c r="B39" s="444" t="s">
        <v>80</v>
      </c>
      <c r="C39" s="444" t="s">
        <v>518</v>
      </c>
      <c r="D39" s="451">
        <v>1</v>
      </c>
      <c r="E39" s="451">
        <v>1</v>
      </c>
      <c r="F39" s="315" t="s">
        <v>770</v>
      </c>
      <c r="G39" s="445">
        <v>43063</v>
      </c>
      <c r="H39" s="454">
        <v>0.47222222222222227</v>
      </c>
      <c r="I39" s="325" t="s">
        <v>770</v>
      </c>
      <c r="J39" s="444" t="s">
        <v>697</v>
      </c>
      <c r="K39" s="444">
        <v>833</v>
      </c>
      <c r="L39" s="444" t="s">
        <v>527</v>
      </c>
      <c r="M39" s="444">
        <v>833</v>
      </c>
      <c r="N39" s="444" t="s">
        <v>529</v>
      </c>
      <c r="O39" s="153" t="str">
        <f>IF(L39&lt;&gt;"",IFERROR(VLOOKUP(B39&amp;L39,Pools!$A$2:$D$130,3,FALSE),""),"")</f>
        <v/>
      </c>
      <c r="P39" s="388">
        <v>2</v>
      </c>
      <c r="Q39" s="388">
        <v>0</v>
      </c>
      <c r="R39" s="306" t="str">
        <f t="shared" si="0"/>
        <v>2-0</v>
      </c>
      <c r="T39" s="148" t="str">
        <f t="shared" si="1"/>
        <v>Completed</v>
      </c>
      <c r="U39" s="153"/>
      <c r="V39" s="153"/>
      <c r="W39" s="387">
        <f t="shared" si="2"/>
        <v>2</v>
      </c>
      <c r="X39" s="387">
        <f t="shared" si="3"/>
        <v>-2</v>
      </c>
      <c r="Y39" s="301">
        <f t="shared" si="4"/>
        <v>2</v>
      </c>
      <c r="Z39" s="301">
        <f t="shared" si="5"/>
        <v>0</v>
      </c>
      <c r="AA39" s="323" t="str">
        <f>CONCATENATE("                x[team1,team2,sport,'",IF(OR(I39="x",I39=""),VLOOKUP('Schedule from TM'!J39,Tables!$P$3:$Q$33,2,FALSE),'Schedule from TM'!I39),",",J39,"','",IF(OR(F39="x",F39=""),VLOOKUP('Schedule from TM'!G39,Tables!$U$3:$V$14,2,FALSE),'Schedule from TM'!F39),",",TEXT(G39,"mm/dd/yyyy"),"','",TEXT(H39,"h:mm:ss AM/PM"),"'].ub=0.0      #",B39)</f>
        <v xml:space="preserve">                x[team1,team2,sport,'11,JCC Gym South','11,11/24/2017','11:20:00 AM'].ub=0.0      #Adult Female Volleyball</v>
      </c>
      <c r="AB39" s="301" t="str">
        <f t="shared" si="6"/>
        <v>,,Adult Female Volleyball,,1,AD F - ARG</v>
      </c>
      <c r="AC39" s="153" t="str">
        <f t="shared" si="7"/>
        <v>Adult Female VolleyballAD F - ARG</v>
      </c>
      <c r="AD39" s="301" t="str">
        <f t="shared" si="8"/>
        <v>,,Adult Female Volleyball,,1,AD F - PER</v>
      </c>
      <c r="AE39" s="153" t="str">
        <f t="shared" si="9"/>
        <v>Adult Female VolleyballAD F - PER</v>
      </c>
      <c r="AF39" s="383">
        <f t="shared" si="10"/>
        <v>1</v>
      </c>
      <c r="AG39" s="383">
        <f t="shared" si="11"/>
        <v>0</v>
      </c>
      <c r="AH39" s="383">
        <f t="shared" si="12"/>
        <v>0</v>
      </c>
      <c r="AI39" s="383">
        <f t="shared" si="13"/>
        <v>0</v>
      </c>
      <c r="AJ39" s="383">
        <f t="shared" si="14"/>
        <v>1</v>
      </c>
      <c r="AK39" s="383">
        <f t="shared" si="15"/>
        <v>0</v>
      </c>
      <c r="AM39" s="148" t="str">
        <f t="shared" si="16"/>
        <v>Schedulled</v>
      </c>
      <c r="AN39" s="148" t="str">
        <f t="shared" si="17"/>
        <v/>
      </c>
      <c r="AO39" s="156">
        <f t="shared" si="18"/>
        <v>43063.472222222219</v>
      </c>
      <c r="AP39" s="148" t="str">
        <f t="shared" si="19"/>
        <v>11/24/2017 11:20-&gt;JCC Gym South</v>
      </c>
      <c r="AQ39" s="374">
        <f t="shared" si="20"/>
        <v>1</v>
      </c>
      <c r="AR39" s="148" t="str">
        <f t="shared" si="21"/>
        <v>ARG1</v>
      </c>
      <c r="AS39" s="148" t="str">
        <f t="shared" si="22"/>
        <v>PER</v>
      </c>
      <c r="AT39" s="157" t="str">
        <f t="shared" si="23"/>
        <v>ARG1-PER</v>
      </c>
      <c r="AU39" s="157" t="str">
        <f t="shared" si="24"/>
        <v xml:space="preserve">ARG1-PER </v>
      </c>
      <c r="AV39" s="157" t="str">
        <f t="shared" si="25"/>
        <v>Adults FEMALE</v>
      </c>
      <c r="AW39" s="157" t="str">
        <f t="shared" si="26"/>
        <v>Volleyball</v>
      </c>
      <c r="AX39" s="376">
        <f t="shared" si="27"/>
        <v>29</v>
      </c>
      <c r="AY39" s="148" t="str">
        <f t="shared" si="28"/>
        <v>AD F - ARG-&gt;AD F - PER</v>
      </c>
      <c r="AZ39" s="148" t="str">
        <f t="shared" si="29"/>
        <v>11/24/2017 11:20-&gt;AD F - ARG</v>
      </c>
      <c r="BA39" s="148" t="str">
        <f t="shared" si="30"/>
        <v>11/24/2017 11:20-&gt;AD F - PER</v>
      </c>
      <c r="BB39" s="374">
        <f t="shared" si="31"/>
        <v>1</v>
      </c>
      <c r="BC39" s="374">
        <f t="shared" si="32"/>
        <v>1</v>
      </c>
      <c r="BD39" s="148" t="str">
        <f t="shared" si="33"/>
        <v>no conflict</v>
      </c>
      <c r="BF39" s="148" t="str">
        <f t="shared" si="34"/>
        <v>11/24/2017 11:20-&gt;AD F - ARG</v>
      </c>
      <c r="BG39" s="148" t="str">
        <f t="shared" si="35"/>
        <v>11/24/2017 11:20-&gt;AD F - PER</v>
      </c>
      <c r="BH39" s="148" t="str">
        <f t="shared" si="36"/>
        <v>11/24/2017 11:20-&gt;JCC Gym South</v>
      </c>
      <c r="BI39" s="148" t="str">
        <f t="shared" si="37"/>
        <v>Volleyball in JCC Gym South (ARG1-PER)</v>
      </c>
      <c r="BJ39" s="148" t="str">
        <f t="shared" si="38"/>
        <v>Adult Female Volleyball-- AD F - ARG vs. AD F - PER</v>
      </c>
      <c r="BK39" s="148" t="str">
        <f t="shared" si="39"/>
        <v>Volleyball</v>
      </c>
      <c r="BL39" s="148" t="str">
        <f t="shared" si="40"/>
        <v>AD F - ARG</v>
      </c>
      <c r="BM39" s="148" t="str">
        <f t="shared" si="41"/>
        <v>AD F - PER</v>
      </c>
      <c r="BN39" s="148" t="str">
        <f t="shared" si="42"/>
        <v>Round - 1</v>
      </c>
      <c r="BP39" s="148" t="str">
        <f t="shared" si="43"/>
        <v>no t, f, or sf</v>
      </c>
      <c r="BQ39" s="148" t="str">
        <f t="shared" si="44"/>
        <v/>
      </c>
    </row>
    <row r="40" spans="1:69" ht="15" customHeight="1" x14ac:dyDescent="0.2">
      <c r="A40" s="376">
        <v>30</v>
      </c>
      <c r="B40" t="s">
        <v>80</v>
      </c>
      <c r="C40" s="444" t="s">
        <v>518</v>
      </c>
      <c r="D40" s="451">
        <v>1</v>
      </c>
      <c r="E40" s="451">
        <v>1</v>
      </c>
      <c r="F40" s="315" t="s">
        <v>770</v>
      </c>
      <c r="G40" s="445">
        <v>43063</v>
      </c>
      <c r="H40" s="454">
        <v>0.50694444444444442</v>
      </c>
      <c r="I40" s="325" t="s">
        <v>770</v>
      </c>
      <c r="J40" s="444" t="s">
        <v>697</v>
      </c>
      <c r="K40" s="444">
        <v>833</v>
      </c>
      <c r="L40" s="433" t="s">
        <v>530</v>
      </c>
      <c r="M40" s="433">
        <v>833</v>
      </c>
      <c r="N40" s="433" t="s">
        <v>531</v>
      </c>
      <c r="O40" s="153" t="str">
        <f>IF(L40&lt;&gt;"",IFERROR(VLOOKUP(B40&amp;L40,Pools!$A$2:$D$130,3,FALSE),""),"")</f>
        <v/>
      </c>
      <c r="P40" s="388">
        <v>2</v>
      </c>
      <c r="Q40" s="388">
        <v>0</v>
      </c>
      <c r="R40" s="306" t="str">
        <f t="shared" si="0"/>
        <v>2-0</v>
      </c>
      <c r="T40" s="148" t="str">
        <f t="shared" si="1"/>
        <v>Completed</v>
      </c>
      <c r="U40" s="153"/>
      <c r="V40" s="153"/>
      <c r="W40" s="387">
        <f t="shared" si="2"/>
        <v>2</v>
      </c>
      <c r="X40" s="387">
        <f t="shared" si="3"/>
        <v>-2</v>
      </c>
      <c r="Y40" s="301">
        <f t="shared" si="4"/>
        <v>2</v>
      </c>
      <c r="Z40" s="301">
        <f t="shared" si="5"/>
        <v>0</v>
      </c>
      <c r="AA40" s="323" t="str">
        <f>CONCATENATE("                x[team1,team2,sport,'",IF(OR(I40="x",I40=""),VLOOKUP('Schedule from TM'!J40,Tables!$P$3:$Q$33,2,FALSE),'Schedule from TM'!I40),",",J40,"','",IF(OR(F40="x",F40=""),VLOOKUP('Schedule from TM'!G40,Tables!$U$3:$V$14,2,FALSE),'Schedule from TM'!F40),",",TEXT(G40,"mm/dd/yyyy"),"','",TEXT(H40,"h:mm:ss AM/PM"),"'].ub=0.0      #",B40)</f>
        <v xml:space="preserve">                x[team1,team2,sport,'11,JCC Gym South','11,11/24/2017','12:10:00 PM'].ub=0.0      #Adult Female Volleyball</v>
      </c>
      <c r="AB40" s="301" t="str">
        <f t="shared" si="6"/>
        <v>,,Adult Female Volleyball,,1,AD F - USA 1</v>
      </c>
      <c r="AC40" s="153" t="str">
        <f t="shared" si="7"/>
        <v>Adult Female VolleyballAD F - USA 1</v>
      </c>
      <c r="AD40" s="301" t="str">
        <f t="shared" si="8"/>
        <v>,,Adult Female Volleyball,,1,AD F - VEN 1</v>
      </c>
      <c r="AE40" s="153" t="str">
        <f t="shared" si="9"/>
        <v>Adult Female VolleyballAD F - VEN 1</v>
      </c>
      <c r="AF40" s="383">
        <f t="shared" si="10"/>
        <v>1</v>
      </c>
      <c r="AG40" s="383">
        <f t="shared" si="11"/>
        <v>0</v>
      </c>
      <c r="AH40" s="383">
        <f t="shared" si="12"/>
        <v>0</v>
      </c>
      <c r="AI40" s="383">
        <f t="shared" si="13"/>
        <v>0</v>
      </c>
      <c r="AJ40" s="383">
        <f t="shared" si="14"/>
        <v>1</v>
      </c>
      <c r="AK40" s="383">
        <f t="shared" si="15"/>
        <v>0</v>
      </c>
      <c r="AM40" s="148" t="str">
        <f t="shared" si="16"/>
        <v>Schedulled</v>
      </c>
      <c r="AN40" s="148" t="str">
        <f t="shared" si="17"/>
        <v/>
      </c>
      <c r="AO40" s="156">
        <f t="shared" si="18"/>
        <v>43063.506944444445</v>
      </c>
      <c r="AP40" s="148" t="str">
        <f t="shared" si="19"/>
        <v>11/24/2017 12:10-&gt;JCC Gym South</v>
      </c>
      <c r="AQ40" s="374">
        <f t="shared" si="20"/>
        <v>1</v>
      </c>
      <c r="AR40" s="148" t="str">
        <f t="shared" si="21"/>
        <v>USA1</v>
      </c>
      <c r="AS40" s="148" t="str">
        <f t="shared" si="22"/>
        <v>VEN1</v>
      </c>
      <c r="AT40" s="157" t="str">
        <f t="shared" si="23"/>
        <v>USA1-VEN1</v>
      </c>
      <c r="AU40" s="157" t="str">
        <f t="shared" si="24"/>
        <v xml:space="preserve">USA1-VEN1 </v>
      </c>
      <c r="AV40" s="157" t="str">
        <f t="shared" si="25"/>
        <v>Adults FEMALE</v>
      </c>
      <c r="AW40" s="157" t="str">
        <f t="shared" si="26"/>
        <v>Volleyball</v>
      </c>
      <c r="AX40" s="376">
        <f t="shared" si="27"/>
        <v>30</v>
      </c>
      <c r="AY40" s="148" t="str">
        <f t="shared" si="28"/>
        <v>AD F - USA 1-&gt;AD F - VEN 1</v>
      </c>
      <c r="AZ40" s="148" t="str">
        <f t="shared" si="29"/>
        <v>11/24/2017 12:10-&gt;AD F - USA 1</v>
      </c>
      <c r="BA40" s="148" t="str">
        <f t="shared" si="30"/>
        <v>11/24/2017 12:10-&gt;AD F - VEN 1</v>
      </c>
      <c r="BB40" s="374">
        <f t="shared" si="31"/>
        <v>1</v>
      </c>
      <c r="BC40" s="374">
        <f t="shared" si="32"/>
        <v>1</v>
      </c>
      <c r="BD40" s="148" t="str">
        <f t="shared" si="33"/>
        <v>no conflict</v>
      </c>
      <c r="BF40" s="148" t="str">
        <f t="shared" si="34"/>
        <v>11/24/2017 12:10-&gt;AD F - USA 1</v>
      </c>
      <c r="BG40" s="148" t="str">
        <f t="shared" si="35"/>
        <v>11/24/2017 12:10-&gt;AD F - VEN 1</v>
      </c>
      <c r="BH40" s="148" t="str">
        <f t="shared" si="36"/>
        <v>11/24/2017 12:10-&gt;JCC Gym South</v>
      </c>
      <c r="BI40" s="148" t="str">
        <f t="shared" si="37"/>
        <v>Volleyball in JCC Gym South (USA1-VEN1)</v>
      </c>
      <c r="BJ40" s="148" t="str">
        <f t="shared" si="38"/>
        <v>Adult Female Volleyball-- AD F - USA 1 vs. AD F - VEN 1</v>
      </c>
      <c r="BK40" s="148" t="str">
        <f t="shared" si="39"/>
        <v>Volleyball</v>
      </c>
      <c r="BL40" s="148" t="str">
        <f t="shared" si="40"/>
        <v>AD F - USA 1</v>
      </c>
      <c r="BM40" s="148" t="str">
        <f t="shared" si="41"/>
        <v>AD F - VEN 1</v>
      </c>
      <c r="BN40" s="148" t="str">
        <f t="shared" si="42"/>
        <v>Round - 1</v>
      </c>
      <c r="BP40" s="148" t="str">
        <f t="shared" si="43"/>
        <v>no t, f, or sf</v>
      </c>
      <c r="BQ40" s="148" t="str">
        <f t="shared" si="44"/>
        <v/>
      </c>
    </row>
    <row r="41" spans="1:69" ht="15" customHeight="1" x14ac:dyDescent="0.2">
      <c r="A41" s="376">
        <v>31</v>
      </c>
      <c r="B41" t="s">
        <v>80</v>
      </c>
      <c r="C41" s="319" t="s">
        <v>518</v>
      </c>
      <c r="D41" s="376">
        <v>1</v>
      </c>
      <c r="E41" s="376">
        <v>1</v>
      </c>
      <c r="F41" s="315" t="s">
        <v>770</v>
      </c>
      <c r="G41" s="320">
        <v>43063</v>
      </c>
      <c r="H41" s="454">
        <v>0.64583333333333337</v>
      </c>
      <c r="I41" s="325" t="s">
        <v>770</v>
      </c>
      <c r="J41" s="441" t="s">
        <v>708</v>
      </c>
      <c r="K41" s="319">
        <v>833</v>
      </c>
      <c r="L41" s="319" t="s">
        <v>529</v>
      </c>
      <c r="M41" s="319">
        <v>833</v>
      </c>
      <c r="N41" s="319" t="s">
        <v>531</v>
      </c>
      <c r="O41" s="153" t="str">
        <f>IF(L41&lt;&gt;"",IFERROR(VLOOKUP(B41&amp;L41,Pools!$A$2:$D$130,3,FALSE),""),"")</f>
        <v/>
      </c>
      <c r="P41" s="388">
        <v>2</v>
      </c>
      <c r="Q41" s="388">
        <v>0</v>
      </c>
      <c r="R41" s="306" t="str">
        <f t="shared" si="0"/>
        <v>2-0</v>
      </c>
      <c r="T41" s="148" t="str">
        <f t="shared" si="1"/>
        <v>Completed</v>
      </c>
      <c r="U41" s="153"/>
      <c r="V41" s="153"/>
      <c r="W41" s="387">
        <f t="shared" si="2"/>
        <v>2</v>
      </c>
      <c r="X41" s="387">
        <f t="shared" si="3"/>
        <v>-2</v>
      </c>
      <c r="Y41" s="301">
        <f t="shared" si="4"/>
        <v>2</v>
      </c>
      <c r="Z41" s="301">
        <f t="shared" si="5"/>
        <v>0</v>
      </c>
      <c r="AA41" s="323" t="str">
        <f>CONCATENATE("                x[team1,team2,sport,'",IF(OR(I41="x",I41=""),VLOOKUP('Schedule from TM'!J41,Tables!$P$3:$Q$33,2,FALSE),'Schedule from TM'!I41),",",J41,"','",IF(OR(F41="x",F41=""),VLOOKUP('Schedule from TM'!G41,Tables!$U$3:$V$14,2,FALSE),'Schedule from TM'!F41),",",TEXT(G41,"mm/dd/yyyy"),"','",TEXT(H41,"h:mm:ss AM/PM"),"'].ub=0.0      #",B41)</f>
        <v xml:space="preserve">                x[team1,team2,sport,'21,Hillel - Gym Volleyball','11,11/24/2017','3:30:00 PM'].ub=0.0      #Adult Female Volleyball</v>
      </c>
      <c r="AB41" s="301" t="str">
        <f t="shared" si="6"/>
        <v>,,Adult Female Volleyball,,1,AD F - PER</v>
      </c>
      <c r="AC41" s="153" t="str">
        <f t="shared" si="7"/>
        <v>Adult Female VolleyballAD F - PER</v>
      </c>
      <c r="AD41" s="301" t="str">
        <f t="shared" si="8"/>
        <v>,,Adult Female Volleyball,,1,AD F - VEN 1</v>
      </c>
      <c r="AE41" s="153" t="str">
        <f t="shared" si="9"/>
        <v>Adult Female VolleyballAD F - VEN 1</v>
      </c>
      <c r="AF41" s="383">
        <f t="shared" si="10"/>
        <v>1</v>
      </c>
      <c r="AG41" s="383">
        <f t="shared" si="11"/>
        <v>0</v>
      </c>
      <c r="AH41" s="383">
        <f t="shared" si="12"/>
        <v>0</v>
      </c>
      <c r="AI41" s="383">
        <f t="shared" si="13"/>
        <v>0</v>
      </c>
      <c r="AJ41" s="383">
        <f t="shared" si="14"/>
        <v>1</v>
      </c>
      <c r="AK41" s="383">
        <f t="shared" si="15"/>
        <v>0</v>
      </c>
      <c r="AM41" s="148" t="str">
        <f t="shared" si="16"/>
        <v>Schedulled</v>
      </c>
      <c r="AN41" s="148" t="str">
        <f t="shared" si="17"/>
        <v/>
      </c>
      <c r="AO41" s="156">
        <f t="shared" si="18"/>
        <v>43063.645833333336</v>
      </c>
      <c r="AP41" s="148" t="str">
        <f t="shared" si="19"/>
        <v>11/24/2017 15:30-&gt;Hillel - Gym Volleyball</v>
      </c>
      <c r="AQ41" s="374">
        <f t="shared" si="20"/>
        <v>1</v>
      </c>
      <c r="AR41" s="148" t="str">
        <f t="shared" si="21"/>
        <v>PER</v>
      </c>
      <c r="AS41" s="148" t="str">
        <f t="shared" si="22"/>
        <v>VEN1</v>
      </c>
      <c r="AT41" s="157" t="str">
        <f t="shared" si="23"/>
        <v>PER-VEN1</v>
      </c>
      <c r="AU41" s="157" t="str">
        <f t="shared" si="24"/>
        <v xml:space="preserve">PER-VEN1 </v>
      </c>
      <c r="AV41" s="157" t="str">
        <f t="shared" si="25"/>
        <v>Adults FEMALE</v>
      </c>
      <c r="AW41" s="157" t="str">
        <f t="shared" si="26"/>
        <v>Volleyball</v>
      </c>
      <c r="AX41" s="376">
        <f t="shared" si="27"/>
        <v>31</v>
      </c>
      <c r="AY41" s="148" t="str">
        <f t="shared" si="28"/>
        <v>AD F - PER-&gt;AD F - VEN 1</v>
      </c>
      <c r="AZ41" s="148" t="str">
        <f t="shared" si="29"/>
        <v>11/24/2017 15:30-&gt;AD F - PER</v>
      </c>
      <c r="BA41" s="148" t="str">
        <f t="shared" si="30"/>
        <v>11/24/2017 15:30-&gt;AD F - VEN 1</v>
      </c>
      <c r="BB41" s="374">
        <f t="shared" si="31"/>
        <v>1</v>
      </c>
      <c r="BC41" s="374">
        <f t="shared" si="32"/>
        <v>1</v>
      </c>
      <c r="BD41" s="148" t="str">
        <f t="shared" si="33"/>
        <v>no conflict</v>
      </c>
      <c r="BF41" s="148" t="str">
        <f t="shared" si="34"/>
        <v>11/24/2017 15:30-&gt;AD F - PER</v>
      </c>
      <c r="BG41" s="148" t="str">
        <f t="shared" si="35"/>
        <v>11/24/2017 15:30-&gt;AD F - VEN 1</v>
      </c>
      <c r="BH41" s="148" t="str">
        <f t="shared" si="36"/>
        <v>11/24/2017 15:30-&gt;Hillel - Gym Volleyball</v>
      </c>
      <c r="BI41" s="148" t="str">
        <f t="shared" si="37"/>
        <v>Volleyball in Hillel - Gym Volleyball (PER-VEN1)</v>
      </c>
      <c r="BJ41" s="148" t="str">
        <f t="shared" si="38"/>
        <v>Adult Female Volleyball-- AD F - PER vs. AD F - VEN 1</v>
      </c>
      <c r="BK41" s="148" t="str">
        <f t="shared" si="39"/>
        <v>Volleyball</v>
      </c>
      <c r="BL41" s="148" t="str">
        <f t="shared" si="40"/>
        <v>AD F - PER</v>
      </c>
      <c r="BM41" s="148" t="str">
        <f t="shared" si="41"/>
        <v>AD F - VEN 1</v>
      </c>
      <c r="BN41" s="148" t="str">
        <f t="shared" si="42"/>
        <v>Round - 1</v>
      </c>
      <c r="BP41" s="148" t="str">
        <f t="shared" si="43"/>
        <v>no t, f, or sf</v>
      </c>
      <c r="BQ41" s="148" t="str">
        <f t="shared" si="44"/>
        <v/>
      </c>
    </row>
    <row r="42" spans="1:69" ht="15" customHeight="1" x14ac:dyDescent="0.2">
      <c r="A42" s="376">
        <v>32</v>
      </c>
      <c r="B42" t="s">
        <v>85</v>
      </c>
      <c r="C42" s="433" t="s">
        <v>518</v>
      </c>
      <c r="D42" s="452">
        <v>1</v>
      </c>
      <c r="E42" s="452">
        <v>1</v>
      </c>
      <c r="F42" s="433">
        <v>11</v>
      </c>
      <c r="G42" s="335">
        <v>43058</v>
      </c>
      <c r="H42" s="336">
        <v>0.54166666666666663</v>
      </c>
      <c r="I42" s="433">
        <v>21</v>
      </c>
      <c r="J42" s="433" t="s">
        <v>707</v>
      </c>
      <c r="K42" s="433">
        <v>812</v>
      </c>
      <c r="L42" s="433" t="s">
        <v>721</v>
      </c>
      <c r="M42" s="433">
        <v>812</v>
      </c>
      <c r="N42" s="433" t="s">
        <v>539</v>
      </c>
      <c r="O42" s="153" t="str">
        <f>IF(L42&lt;&gt;"",IFERROR(VLOOKUP(B42&amp;L42,Pools!$A$2:$D$130,3,FALSE),""),"")</f>
        <v/>
      </c>
      <c r="P42" s="388">
        <v>36</v>
      </c>
      <c r="Q42" s="388">
        <v>56</v>
      </c>
      <c r="R42" s="306" t="str">
        <f t="shared" si="0"/>
        <v>36-56</v>
      </c>
      <c r="T42" s="148" t="str">
        <f t="shared" si="1"/>
        <v>Completed</v>
      </c>
      <c r="U42" s="153"/>
      <c r="V42" s="153"/>
      <c r="W42" s="387">
        <f t="shared" si="2"/>
        <v>-15</v>
      </c>
      <c r="X42" s="387">
        <f t="shared" si="3"/>
        <v>15</v>
      </c>
      <c r="Y42" s="301">
        <f t="shared" si="4"/>
        <v>0</v>
      </c>
      <c r="Z42" s="301">
        <f t="shared" si="5"/>
        <v>2</v>
      </c>
      <c r="AA42" s="323" t="str">
        <f>CONCATENATE("                x[team1,team2,sport,'",IF(OR(I42="x",I42=""),VLOOKUP('Schedule from TM'!J42,Tables!$P$3:$Q$33,2,FALSE),'Schedule from TM'!I42),",",J42,"','",IF(OR(F42="x",F42=""),VLOOKUP('Schedule from TM'!G42,Tables!$U$3:$V$14,2,FALSE),'Schedule from TM'!F42),",",TEXT(G42,"mm/dd/yyyy"),"','",TEXT(H42,"h:mm:ss AM/PM"),"'].ub=0.0      #",B42)</f>
        <v xml:space="preserve">                x[team1,team2,sport,'21,Hillel - Gym Basketball','11,11/19/2017','1:00:00 PM'].ub=0.0      #Adult Male Basketball</v>
      </c>
      <c r="AB42" s="301" t="str">
        <f t="shared" si="6"/>
        <v>,,Adult Male Basketball,,1,VET - ISR 1</v>
      </c>
      <c r="AC42" s="153" t="str">
        <f t="shared" si="7"/>
        <v>Adult Male BasketballVET - ISR 1</v>
      </c>
      <c r="AD42" s="301" t="str">
        <f t="shared" si="8"/>
        <v>,,Adult Male Basketball,,1,AD M - USA 1</v>
      </c>
      <c r="AE42" s="153" t="str">
        <f t="shared" si="9"/>
        <v>Adult Male BasketballAD M - USA 1</v>
      </c>
      <c r="AF42" s="383">
        <f t="shared" si="10"/>
        <v>0</v>
      </c>
      <c r="AG42" s="383">
        <f t="shared" si="11"/>
        <v>1</v>
      </c>
      <c r="AH42" s="383">
        <f t="shared" si="12"/>
        <v>0</v>
      </c>
      <c r="AI42" s="383">
        <f t="shared" si="13"/>
        <v>1</v>
      </c>
      <c r="AJ42" s="383">
        <f t="shared" si="14"/>
        <v>0</v>
      </c>
      <c r="AK42" s="383">
        <f t="shared" si="15"/>
        <v>0</v>
      </c>
      <c r="AM42" s="148" t="str">
        <f t="shared" si="16"/>
        <v>Schedulled</v>
      </c>
      <c r="AN42" s="148" t="str">
        <f t="shared" si="17"/>
        <v/>
      </c>
      <c r="AO42" s="156">
        <f t="shared" si="18"/>
        <v>43058.541666666664</v>
      </c>
      <c r="AP42" s="148" t="str">
        <f t="shared" si="19"/>
        <v>11/19/2017 13:00-&gt;Hillel - Gym Basketball</v>
      </c>
      <c r="AQ42" s="374">
        <f t="shared" si="20"/>
        <v>1</v>
      </c>
      <c r="AR42" s="148" t="str">
        <f t="shared" si="21"/>
        <v>ISR1</v>
      </c>
      <c r="AS42" s="148" t="str">
        <f t="shared" si="22"/>
        <v>USA1</v>
      </c>
      <c r="AT42" s="157" t="str">
        <f t="shared" si="23"/>
        <v>ISR1-USA1</v>
      </c>
      <c r="AU42" s="157" t="str">
        <f t="shared" si="24"/>
        <v xml:space="preserve">ISR1-USA1 </v>
      </c>
      <c r="AV42" s="157" t="str">
        <f t="shared" si="25"/>
        <v>Adults MALE</v>
      </c>
      <c r="AW42" s="157" t="str">
        <f t="shared" si="26"/>
        <v>Basketball</v>
      </c>
      <c r="AX42" s="376">
        <f t="shared" si="27"/>
        <v>32</v>
      </c>
      <c r="AY42" s="148" t="str">
        <f t="shared" si="28"/>
        <v>VET - ISR 1-&gt;AD M - USA 1</v>
      </c>
      <c r="AZ42" s="148" t="str">
        <f t="shared" si="29"/>
        <v>11/19/2017 13:00-&gt;VET - ISR 1</v>
      </c>
      <c r="BA42" s="148" t="str">
        <f t="shared" si="30"/>
        <v>11/19/2017 13:00-&gt;AD M - USA 1</v>
      </c>
      <c r="BB42" s="374">
        <f t="shared" si="31"/>
        <v>1</v>
      </c>
      <c r="BC42" s="374">
        <f t="shared" si="32"/>
        <v>1</v>
      </c>
      <c r="BD42" s="148" t="str">
        <f t="shared" si="33"/>
        <v>no conflict</v>
      </c>
      <c r="BF42" s="148" t="str">
        <f t="shared" si="34"/>
        <v>11/19/2017 13:00-&gt;VET - ISR 1</v>
      </c>
      <c r="BG42" s="148" t="str">
        <f t="shared" si="35"/>
        <v>11/19/2017 13:00-&gt;AD M - USA 1</v>
      </c>
      <c r="BH42" s="148" t="str">
        <f t="shared" si="36"/>
        <v>11/19/2017 13:00-&gt;Hillel - Gym Basketball</v>
      </c>
      <c r="BI42" s="148" t="str">
        <f t="shared" si="37"/>
        <v>Basketball in Hillel - Gym Basketball (ISR1-USA1)</v>
      </c>
      <c r="BJ42" s="148" t="str">
        <f t="shared" si="38"/>
        <v>Adult Male Basketball-- VET - ISR 1 vs. AD M - USA 1</v>
      </c>
      <c r="BK42" s="148" t="str">
        <f t="shared" si="39"/>
        <v>Basketball</v>
      </c>
      <c r="BL42" s="148" t="str">
        <f t="shared" si="40"/>
        <v>VET - ISR 1</v>
      </c>
      <c r="BM42" s="148" t="str">
        <f t="shared" si="41"/>
        <v>AD M - USA 1</v>
      </c>
      <c r="BN42" s="148" t="str">
        <f t="shared" si="42"/>
        <v>Round - 1</v>
      </c>
      <c r="BP42" s="148" t="str">
        <f t="shared" si="43"/>
        <v>no t, f, or sf</v>
      </c>
      <c r="BQ42" s="148" t="str">
        <f t="shared" si="44"/>
        <v/>
      </c>
    </row>
    <row r="43" spans="1:69" ht="15" customHeight="1" x14ac:dyDescent="0.2">
      <c r="A43" s="376">
        <v>33</v>
      </c>
      <c r="B43" t="s">
        <v>85</v>
      </c>
      <c r="C43" s="433" t="s">
        <v>518</v>
      </c>
      <c r="D43" s="452">
        <v>1</v>
      </c>
      <c r="E43" s="452">
        <v>1</v>
      </c>
      <c r="F43" s="433" t="s">
        <v>770</v>
      </c>
      <c r="G43" s="335">
        <v>43058</v>
      </c>
      <c r="H43" s="336">
        <v>0.36805555555555558</v>
      </c>
      <c r="I43" s="433" t="s">
        <v>770</v>
      </c>
      <c r="J43" s="433" t="s">
        <v>696</v>
      </c>
      <c r="K43" s="433">
        <v>812</v>
      </c>
      <c r="L43" s="433" t="s">
        <v>533</v>
      </c>
      <c r="M43" s="433">
        <v>812</v>
      </c>
      <c r="N43" s="433" t="s">
        <v>542</v>
      </c>
      <c r="O43" s="153" t="str">
        <f>IF(L43&lt;&gt;"",IFERROR(VLOOKUP(B43&amp;L43,Pools!$A$2:$D$130,3,FALSE),""),"")</f>
        <v/>
      </c>
      <c r="P43" s="388">
        <v>28</v>
      </c>
      <c r="Q43" s="388">
        <v>41</v>
      </c>
      <c r="R43" s="306" t="str">
        <f t="shared" si="0"/>
        <v>28-41</v>
      </c>
      <c r="T43" s="148" t="str">
        <f t="shared" si="1"/>
        <v>Completed</v>
      </c>
      <c r="U43" s="153"/>
      <c r="V43" s="153"/>
      <c r="W43" s="387">
        <f t="shared" si="2"/>
        <v>-13</v>
      </c>
      <c r="X43" s="387">
        <f t="shared" si="3"/>
        <v>13</v>
      </c>
      <c r="Y43" s="301">
        <f t="shared" si="4"/>
        <v>0</v>
      </c>
      <c r="Z43" s="301">
        <f t="shared" si="5"/>
        <v>2</v>
      </c>
      <c r="AA43" s="323" t="str">
        <f>CONCATENATE("                x[team1,team2,sport,'",IF(OR(I43="x",I43=""),VLOOKUP('Schedule from TM'!J43,Tables!$P$3:$Q$33,2,FALSE),'Schedule from TM'!I43),",",J43,"','",IF(OR(F43="x",F43=""),VLOOKUP('Schedule from TM'!G43,Tables!$U$3:$V$14,2,FALSE),'Schedule from TM'!F43),",",TEXT(G43,"mm/dd/yyyy"),"','",TEXT(H43,"h:mm:ss AM/PM"),"'].ub=0.0      #",B43)</f>
        <v xml:space="preserve">                x[team1,team2,sport,'11,JCC Gym North','11,11/19/2017','8:50:00 AM'].ub=0.0      #Adult Male Basketball</v>
      </c>
      <c r="AB43" s="301" t="str">
        <f t="shared" si="6"/>
        <v>,,Adult Male Basketball,,1,AD M - ARG 1</v>
      </c>
      <c r="AC43" s="153" t="str">
        <f t="shared" si="7"/>
        <v>Adult Male BasketballAD M - ARG 1</v>
      </c>
      <c r="AD43" s="301" t="str">
        <f t="shared" si="8"/>
        <v>,,Adult Male Basketball,,1,AD M - VEN 1</v>
      </c>
      <c r="AE43" s="153" t="str">
        <f t="shared" si="9"/>
        <v>Adult Male BasketballAD M - VEN 1</v>
      </c>
      <c r="AF43" s="383">
        <f t="shared" si="10"/>
        <v>0</v>
      </c>
      <c r="AG43" s="383">
        <f t="shared" si="11"/>
        <v>1</v>
      </c>
      <c r="AH43" s="383">
        <f t="shared" si="12"/>
        <v>0</v>
      </c>
      <c r="AI43" s="383">
        <f t="shared" si="13"/>
        <v>1</v>
      </c>
      <c r="AJ43" s="383">
        <f t="shared" si="14"/>
        <v>0</v>
      </c>
      <c r="AK43" s="383">
        <f t="shared" si="15"/>
        <v>0</v>
      </c>
      <c r="AM43" s="148" t="str">
        <f t="shared" si="16"/>
        <v>Schedulled</v>
      </c>
      <c r="AN43" s="148" t="str">
        <f t="shared" si="17"/>
        <v/>
      </c>
      <c r="AO43" s="156">
        <f t="shared" si="18"/>
        <v>43058.368055555555</v>
      </c>
      <c r="AP43" s="148" t="str">
        <f t="shared" si="19"/>
        <v>11/19/2017 08:50-&gt;JCC Gym North</v>
      </c>
      <c r="AQ43" s="374">
        <f t="shared" si="20"/>
        <v>1</v>
      </c>
      <c r="AR43" s="148" t="str">
        <f t="shared" si="21"/>
        <v>ARG1</v>
      </c>
      <c r="AS43" s="148" t="str">
        <f t="shared" si="22"/>
        <v>VEN1</v>
      </c>
      <c r="AT43" s="157" t="str">
        <f t="shared" si="23"/>
        <v>ARG1-VEN1</v>
      </c>
      <c r="AU43" s="157" t="str">
        <f t="shared" si="24"/>
        <v xml:space="preserve">ARG1-VEN1 </v>
      </c>
      <c r="AV43" s="157" t="str">
        <f t="shared" si="25"/>
        <v>Adults MALE</v>
      </c>
      <c r="AW43" s="157" t="str">
        <f t="shared" si="26"/>
        <v>Basketball</v>
      </c>
      <c r="AX43" s="376">
        <f t="shared" si="27"/>
        <v>33</v>
      </c>
      <c r="AY43" s="148" t="str">
        <f t="shared" si="28"/>
        <v>AD M - ARG 1-&gt;AD M - VEN 1</v>
      </c>
      <c r="AZ43" s="148" t="str">
        <f t="shared" si="29"/>
        <v>11/19/2017 08:50-&gt;AD M - ARG 1</v>
      </c>
      <c r="BA43" s="148" t="str">
        <f t="shared" si="30"/>
        <v>11/19/2017 08:50-&gt;AD M - VEN 1</v>
      </c>
      <c r="BB43" s="374">
        <f t="shared" si="31"/>
        <v>1</v>
      </c>
      <c r="BC43" s="374">
        <f t="shared" si="32"/>
        <v>1</v>
      </c>
      <c r="BD43" s="148" t="str">
        <f t="shared" si="33"/>
        <v>no conflict</v>
      </c>
      <c r="BF43" s="148" t="str">
        <f t="shared" si="34"/>
        <v>11/19/2017 08:50-&gt;AD M - ARG 1</v>
      </c>
      <c r="BG43" s="148" t="str">
        <f t="shared" si="35"/>
        <v>11/19/2017 08:50-&gt;AD M - VEN 1</v>
      </c>
      <c r="BH43" s="148" t="str">
        <f t="shared" si="36"/>
        <v>11/19/2017 08:50-&gt;JCC Gym North</v>
      </c>
      <c r="BI43" s="148" t="str">
        <f t="shared" si="37"/>
        <v>Basketball in JCC Gym North (ARG1-VEN1)</v>
      </c>
      <c r="BJ43" s="148" t="str">
        <f t="shared" si="38"/>
        <v>Adult Male Basketball-- AD M - ARG 1 vs. AD M - VEN 1</v>
      </c>
      <c r="BK43" s="148" t="str">
        <f t="shared" si="39"/>
        <v>Basketball</v>
      </c>
      <c r="BL43" s="148" t="str">
        <f t="shared" si="40"/>
        <v>AD M - ARG 1</v>
      </c>
      <c r="BM43" s="148" t="str">
        <f t="shared" si="41"/>
        <v>AD M - VEN 1</v>
      </c>
      <c r="BN43" s="148" t="str">
        <f t="shared" si="42"/>
        <v>Round - 1</v>
      </c>
      <c r="BP43" s="148" t="str">
        <f t="shared" si="43"/>
        <v>no t, f, or sf</v>
      </c>
      <c r="BQ43" s="148" t="str">
        <f t="shared" si="44"/>
        <v/>
      </c>
    </row>
    <row r="44" spans="1:69" ht="15" customHeight="1" x14ac:dyDescent="0.2">
      <c r="A44" s="376">
        <v>34</v>
      </c>
      <c r="B44" s="433" t="s">
        <v>85</v>
      </c>
      <c r="C44" s="433" t="s">
        <v>518</v>
      </c>
      <c r="D44" s="452">
        <v>1</v>
      </c>
      <c r="E44" s="452">
        <v>1</v>
      </c>
      <c r="F44" s="433" t="s">
        <v>770</v>
      </c>
      <c r="G44" s="335">
        <v>43058</v>
      </c>
      <c r="H44" s="336">
        <v>0.78472222222222221</v>
      </c>
      <c r="I44" s="433" t="s">
        <v>770</v>
      </c>
      <c r="J44" s="433" t="s">
        <v>696</v>
      </c>
      <c r="K44" s="433">
        <v>812</v>
      </c>
      <c r="L44" s="433" t="s">
        <v>541</v>
      </c>
      <c r="M44" s="433">
        <v>812</v>
      </c>
      <c r="N44" s="433" t="s">
        <v>542</v>
      </c>
      <c r="O44" s="153" t="str">
        <f>IF(L44&lt;&gt;"",IFERROR(VLOOKUP(B44&amp;L44,Pools!$A$2:$D$130,3,FALSE),""),"")</f>
        <v/>
      </c>
      <c r="P44" s="388">
        <v>20</v>
      </c>
      <c r="Q44" s="388">
        <v>30</v>
      </c>
      <c r="R44" s="306" t="str">
        <f t="shared" si="0"/>
        <v>20-30</v>
      </c>
      <c r="T44" s="148" t="str">
        <f t="shared" si="1"/>
        <v>Completed</v>
      </c>
      <c r="U44" s="153"/>
      <c r="V44" s="153"/>
      <c r="W44" s="387">
        <f t="shared" si="2"/>
        <v>-10</v>
      </c>
      <c r="X44" s="387">
        <f t="shared" si="3"/>
        <v>10</v>
      </c>
      <c r="Y44" s="301">
        <f t="shared" si="4"/>
        <v>0</v>
      </c>
      <c r="Z44" s="301">
        <f t="shared" si="5"/>
        <v>2</v>
      </c>
      <c r="AA44" s="323" t="str">
        <f>CONCATENATE("                x[team1,team2,sport,'",IF(OR(I44="x",I44=""),VLOOKUP('Schedule from TM'!J44,Tables!$P$3:$Q$33,2,FALSE),'Schedule from TM'!I44),",",J44,"','",IF(OR(F44="x",F44=""),VLOOKUP('Schedule from TM'!G44,Tables!$U$3:$V$14,2,FALSE),'Schedule from TM'!F44),",",TEXT(G44,"mm/dd/yyyy"),"','",TEXT(H44,"h:mm:ss AM/PM"),"'].ub=0.0      #",B44)</f>
        <v xml:space="preserve">                x[team1,team2,sport,'11,JCC Gym North','11,11/19/2017','6:50:00 PM'].ub=0.0      #Adult Male Basketball</v>
      </c>
      <c r="AB44" s="301" t="str">
        <f t="shared" si="6"/>
        <v>,,Adult Male Basketball,,1,AD M - ISR 1</v>
      </c>
      <c r="AC44" s="153" t="str">
        <f t="shared" si="7"/>
        <v>Adult Male BasketballAD M - ISR 1</v>
      </c>
      <c r="AD44" s="301" t="str">
        <f t="shared" si="8"/>
        <v>,,Adult Male Basketball,,1,AD M - VEN 1</v>
      </c>
      <c r="AE44" s="153" t="str">
        <f t="shared" si="9"/>
        <v>Adult Male BasketballAD M - VEN 1</v>
      </c>
      <c r="AF44" s="383">
        <f t="shared" si="10"/>
        <v>0</v>
      </c>
      <c r="AG44" s="383">
        <f t="shared" si="11"/>
        <v>1</v>
      </c>
      <c r="AH44" s="383">
        <f t="shared" si="12"/>
        <v>0</v>
      </c>
      <c r="AI44" s="383">
        <f t="shared" si="13"/>
        <v>1</v>
      </c>
      <c r="AJ44" s="383">
        <f t="shared" si="14"/>
        <v>0</v>
      </c>
      <c r="AK44" s="383">
        <f t="shared" si="15"/>
        <v>0</v>
      </c>
      <c r="AM44" s="148" t="str">
        <f t="shared" si="16"/>
        <v>Schedulled</v>
      </c>
      <c r="AN44" s="148" t="str">
        <f t="shared" si="17"/>
        <v/>
      </c>
      <c r="AO44" s="156">
        <f t="shared" si="18"/>
        <v>43058.784722222219</v>
      </c>
      <c r="AP44" s="148" t="str">
        <f t="shared" si="19"/>
        <v>11/19/2017 18:50-&gt;JCC Gym North</v>
      </c>
      <c r="AQ44" s="374">
        <f t="shared" si="20"/>
        <v>1</v>
      </c>
      <c r="AR44" s="148" t="str">
        <f t="shared" si="21"/>
        <v>ISR1</v>
      </c>
      <c r="AS44" s="148" t="str">
        <f t="shared" si="22"/>
        <v>VEN1</v>
      </c>
      <c r="AT44" s="157" t="str">
        <f t="shared" si="23"/>
        <v>ISR1-VEN1</v>
      </c>
      <c r="AU44" s="157" t="str">
        <f t="shared" si="24"/>
        <v xml:space="preserve">ISR1-VEN1 </v>
      </c>
      <c r="AV44" s="157" t="str">
        <f t="shared" si="25"/>
        <v>Adults MALE</v>
      </c>
      <c r="AW44" s="157" t="str">
        <f t="shared" si="26"/>
        <v>Basketball</v>
      </c>
      <c r="AX44" s="376">
        <f t="shared" si="27"/>
        <v>34</v>
      </c>
      <c r="AY44" s="148" t="str">
        <f t="shared" si="28"/>
        <v>AD M - ISR 1-&gt;AD M - VEN 1</v>
      </c>
      <c r="AZ44" s="148" t="str">
        <f t="shared" si="29"/>
        <v>11/19/2017 18:50-&gt;AD M - ISR 1</v>
      </c>
      <c r="BA44" s="148" t="str">
        <f t="shared" si="30"/>
        <v>11/19/2017 18:50-&gt;AD M - VEN 1</v>
      </c>
      <c r="BB44" s="374">
        <f t="shared" si="31"/>
        <v>1</v>
      </c>
      <c r="BC44" s="374">
        <f t="shared" si="32"/>
        <v>1</v>
      </c>
      <c r="BD44" s="148" t="str">
        <f t="shared" si="33"/>
        <v>no conflict</v>
      </c>
      <c r="BF44" s="148" t="str">
        <f t="shared" si="34"/>
        <v>11/19/2017 18:50-&gt;AD M - ISR 1</v>
      </c>
      <c r="BG44" s="148" t="str">
        <f t="shared" si="35"/>
        <v>11/19/2017 18:50-&gt;AD M - VEN 1</v>
      </c>
      <c r="BH44" s="148" t="str">
        <f t="shared" si="36"/>
        <v>11/19/2017 18:50-&gt;JCC Gym North</v>
      </c>
      <c r="BI44" s="148" t="str">
        <f t="shared" si="37"/>
        <v>Basketball in JCC Gym North (ISR1-VEN1)</v>
      </c>
      <c r="BJ44" s="148" t="str">
        <f t="shared" si="38"/>
        <v>Adult Male Basketball-- AD M - ISR 1 vs. AD M - VEN 1</v>
      </c>
      <c r="BK44" s="148" t="str">
        <f t="shared" si="39"/>
        <v>Basketball</v>
      </c>
      <c r="BL44" s="148" t="str">
        <f t="shared" si="40"/>
        <v>AD M - ISR 1</v>
      </c>
      <c r="BM44" s="148" t="str">
        <f t="shared" si="41"/>
        <v>AD M - VEN 1</v>
      </c>
      <c r="BN44" s="148" t="str">
        <f t="shared" si="42"/>
        <v>Round - 1</v>
      </c>
      <c r="BP44" s="148" t="str">
        <f t="shared" si="43"/>
        <v>no t, f, or sf</v>
      </c>
      <c r="BQ44" s="148" t="str">
        <f t="shared" si="44"/>
        <v/>
      </c>
    </row>
    <row r="45" spans="1:69" ht="15" customHeight="1" x14ac:dyDescent="0.2">
      <c r="A45" s="376">
        <v>35</v>
      </c>
      <c r="B45" t="s">
        <v>85</v>
      </c>
      <c r="C45" s="433" t="s">
        <v>518</v>
      </c>
      <c r="D45" s="452">
        <v>1</v>
      </c>
      <c r="E45" s="452">
        <v>1</v>
      </c>
      <c r="F45" s="433">
        <v>22</v>
      </c>
      <c r="G45" s="335">
        <v>43059</v>
      </c>
      <c r="H45" s="336">
        <v>0.88888888888888884</v>
      </c>
      <c r="I45" s="433">
        <v>11</v>
      </c>
      <c r="J45" s="433" t="s">
        <v>696</v>
      </c>
      <c r="K45" s="433">
        <v>812</v>
      </c>
      <c r="L45" t="s">
        <v>721</v>
      </c>
      <c r="M45">
        <v>812</v>
      </c>
      <c r="N45" t="s">
        <v>538</v>
      </c>
      <c r="O45" s="153" t="str">
        <f>IF(L45&lt;&gt;"",IFERROR(VLOOKUP(B45&amp;L45,Pools!$A$2:$D$130,3,FALSE),""),"")</f>
        <v/>
      </c>
      <c r="P45" s="388">
        <v>13</v>
      </c>
      <c r="Q45" s="388">
        <v>18</v>
      </c>
      <c r="R45" s="306" t="str">
        <f t="shared" si="0"/>
        <v>13-18</v>
      </c>
      <c r="T45" s="148" t="str">
        <f t="shared" si="1"/>
        <v>Completed</v>
      </c>
      <c r="U45" s="153"/>
      <c r="V45" s="153"/>
      <c r="W45" s="387">
        <f t="shared" si="2"/>
        <v>-5</v>
      </c>
      <c r="X45" s="387">
        <f t="shared" si="3"/>
        <v>5</v>
      </c>
      <c r="Y45" s="301">
        <f t="shared" si="4"/>
        <v>0</v>
      </c>
      <c r="Z45" s="301">
        <f t="shared" si="5"/>
        <v>2</v>
      </c>
      <c r="AA45" s="323" t="str">
        <f>CONCATENATE("                x[team1,team2,sport,'",IF(OR(I45="x",I45=""),VLOOKUP('Schedule from TM'!J45,Tables!$P$3:$Q$33,2,FALSE),'Schedule from TM'!I45),",",J45,"','",IF(OR(F45="x",F45=""),VLOOKUP('Schedule from TM'!G45,Tables!$U$3:$V$14,2,FALSE),'Schedule from TM'!F45),",",TEXT(G45,"mm/dd/yyyy"),"','",TEXT(H45,"h:mm:ss AM/PM"),"'].ub=0.0      #",B45)</f>
        <v xml:space="preserve">                x[team1,team2,sport,'11,JCC Gym North','22,11/20/2017','9:20:00 PM'].ub=0.0      #Adult Male Basketball</v>
      </c>
      <c r="AB45" s="301" t="str">
        <f t="shared" si="6"/>
        <v>,,Adult Male Basketball,,1,VET - ISR 1</v>
      </c>
      <c r="AC45" s="153" t="str">
        <f t="shared" si="7"/>
        <v>Adult Male BasketballVET - ISR 1</v>
      </c>
      <c r="AD45" s="301" t="str">
        <f t="shared" si="8"/>
        <v>,,Adult Male Basketball,,1,AD M - PER</v>
      </c>
      <c r="AE45" s="153" t="str">
        <f t="shared" si="9"/>
        <v>Adult Male BasketballAD M - PER</v>
      </c>
      <c r="AF45" s="383">
        <f t="shared" si="10"/>
        <v>0</v>
      </c>
      <c r="AG45" s="383">
        <f t="shared" si="11"/>
        <v>1</v>
      </c>
      <c r="AH45" s="383">
        <f t="shared" si="12"/>
        <v>0</v>
      </c>
      <c r="AI45" s="383">
        <f t="shared" si="13"/>
        <v>1</v>
      </c>
      <c r="AJ45" s="383">
        <f t="shared" si="14"/>
        <v>0</v>
      </c>
      <c r="AK45" s="383">
        <f t="shared" si="15"/>
        <v>0</v>
      </c>
      <c r="AM45" s="148" t="str">
        <f t="shared" si="16"/>
        <v>Schedulled</v>
      </c>
      <c r="AN45" s="148" t="str">
        <f t="shared" si="17"/>
        <v/>
      </c>
      <c r="AO45" s="156">
        <f t="shared" si="18"/>
        <v>43059.888888888891</v>
      </c>
      <c r="AP45" s="148" t="str">
        <f t="shared" si="19"/>
        <v>11/20/2017 21:20-&gt;JCC Gym North</v>
      </c>
      <c r="AQ45" s="374">
        <f t="shared" si="20"/>
        <v>1</v>
      </c>
      <c r="AR45" s="148" t="str">
        <f t="shared" si="21"/>
        <v>ISR1</v>
      </c>
      <c r="AS45" s="148" t="str">
        <f t="shared" si="22"/>
        <v>PER</v>
      </c>
      <c r="AT45" s="157" t="str">
        <f t="shared" si="23"/>
        <v>ISR1-PER</v>
      </c>
      <c r="AU45" s="157" t="str">
        <f t="shared" si="24"/>
        <v xml:space="preserve">ISR1-PER </v>
      </c>
      <c r="AV45" s="157" t="str">
        <f t="shared" si="25"/>
        <v>Adults MALE</v>
      </c>
      <c r="AW45" s="157" t="str">
        <f t="shared" si="26"/>
        <v>Basketball</v>
      </c>
      <c r="AX45" s="376">
        <f t="shared" si="27"/>
        <v>35</v>
      </c>
      <c r="AY45" s="148" t="str">
        <f t="shared" si="28"/>
        <v>VET - ISR 1-&gt;AD M - PER</v>
      </c>
      <c r="AZ45" s="148" t="str">
        <f t="shared" si="29"/>
        <v>11/20/2017 21:20-&gt;VET - ISR 1</v>
      </c>
      <c r="BA45" s="148" t="str">
        <f t="shared" si="30"/>
        <v>11/20/2017 21:20-&gt;AD M - PER</v>
      </c>
      <c r="BB45" s="374">
        <f t="shared" si="31"/>
        <v>1</v>
      </c>
      <c r="BC45" s="374">
        <f t="shared" si="32"/>
        <v>1</v>
      </c>
      <c r="BD45" s="148" t="str">
        <f t="shared" si="33"/>
        <v>no conflict</v>
      </c>
      <c r="BF45" s="148" t="str">
        <f t="shared" si="34"/>
        <v>11/20/2017 21:20-&gt;VET - ISR 1</v>
      </c>
      <c r="BG45" s="148" t="str">
        <f t="shared" si="35"/>
        <v>11/20/2017 21:20-&gt;AD M - PER</v>
      </c>
      <c r="BH45" s="148" t="str">
        <f t="shared" si="36"/>
        <v>11/20/2017 21:20-&gt;JCC Gym North</v>
      </c>
      <c r="BI45" s="148" t="str">
        <f t="shared" si="37"/>
        <v>Basketball in JCC Gym North (ISR1-PER)</v>
      </c>
      <c r="BJ45" s="148" t="str">
        <f t="shared" si="38"/>
        <v>Adult Male Basketball-- VET - ISR 1 vs. AD M - PER</v>
      </c>
      <c r="BK45" s="148" t="str">
        <f t="shared" si="39"/>
        <v>Basketball</v>
      </c>
      <c r="BL45" s="148" t="str">
        <f t="shared" si="40"/>
        <v>VET - ISR 1</v>
      </c>
      <c r="BM45" s="148" t="str">
        <f t="shared" si="41"/>
        <v>AD M - PER</v>
      </c>
      <c r="BN45" s="148" t="str">
        <f t="shared" si="42"/>
        <v>Round - 1</v>
      </c>
      <c r="BP45" s="148" t="str">
        <f t="shared" si="43"/>
        <v>no t, f, or sf</v>
      </c>
      <c r="BQ45" s="148" t="str">
        <f t="shared" si="44"/>
        <v/>
      </c>
    </row>
    <row r="46" spans="1:69" ht="15" customHeight="1" x14ac:dyDescent="0.2">
      <c r="A46" s="376">
        <v>36</v>
      </c>
      <c r="B46" t="s">
        <v>85</v>
      </c>
      <c r="C46" s="433" t="s">
        <v>518</v>
      </c>
      <c r="D46" s="452">
        <v>1</v>
      </c>
      <c r="E46" s="452">
        <v>1</v>
      </c>
      <c r="F46" s="433" t="s">
        <v>770</v>
      </c>
      <c r="G46" s="335">
        <v>43060</v>
      </c>
      <c r="H46" s="336">
        <v>0.78472222222222221</v>
      </c>
      <c r="I46" s="433" t="s">
        <v>770</v>
      </c>
      <c r="J46" s="433" t="s">
        <v>696</v>
      </c>
      <c r="K46" s="433">
        <v>812</v>
      </c>
      <c r="L46" s="433" t="s">
        <v>538</v>
      </c>
      <c r="M46" s="433">
        <v>812</v>
      </c>
      <c r="N46" s="433" t="s">
        <v>539</v>
      </c>
      <c r="O46" s="153" t="str">
        <f>IF(L46&lt;&gt;"",IFERROR(VLOOKUP(B46&amp;L46,Pools!$A$2:$D$130,3,FALSE),""),"")</f>
        <v/>
      </c>
      <c r="P46" s="388">
        <v>40</v>
      </c>
      <c r="Q46" s="388">
        <v>44</v>
      </c>
      <c r="R46" s="306" t="str">
        <f t="shared" si="0"/>
        <v>40-44</v>
      </c>
      <c r="T46" s="148" t="str">
        <f t="shared" si="1"/>
        <v>Completed</v>
      </c>
      <c r="U46" s="153"/>
      <c r="V46" s="153"/>
      <c r="W46" s="387">
        <f t="shared" si="2"/>
        <v>-4</v>
      </c>
      <c r="X46" s="387">
        <f t="shared" si="3"/>
        <v>4</v>
      </c>
      <c r="Y46" s="301">
        <f t="shared" si="4"/>
        <v>0</v>
      </c>
      <c r="Z46" s="301">
        <f t="shared" si="5"/>
        <v>2</v>
      </c>
      <c r="AA46" s="323" t="str">
        <f>CONCATENATE("                x[team1,team2,sport,'",IF(OR(I46="x",I46=""),VLOOKUP('Schedule from TM'!J46,Tables!$P$3:$Q$33,2,FALSE),'Schedule from TM'!I46),",",J46,"','",IF(OR(F46="x",F46=""),VLOOKUP('Schedule from TM'!G46,Tables!$U$3:$V$14,2,FALSE),'Schedule from TM'!F46),",",TEXT(G46,"mm/dd/yyyy"),"','",TEXT(H46,"h:mm:ss AM/PM"),"'].ub=0.0      #",B46)</f>
        <v xml:space="preserve">                x[team1,team2,sport,'11,JCC Gym North','22,11/21/2017','6:50:00 PM'].ub=0.0      #Adult Male Basketball</v>
      </c>
      <c r="AB46" s="301" t="str">
        <f t="shared" si="6"/>
        <v>,,Adult Male Basketball,,1,AD M - PER</v>
      </c>
      <c r="AC46" s="153" t="str">
        <f t="shared" si="7"/>
        <v>Adult Male BasketballAD M - PER</v>
      </c>
      <c r="AD46" s="301" t="str">
        <f t="shared" si="8"/>
        <v>,,Adult Male Basketball,,1,AD M - USA 1</v>
      </c>
      <c r="AE46" s="153" t="str">
        <f t="shared" si="9"/>
        <v>Adult Male BasketballAD M - USA 1</v>
      </c>
      <c r="AF46" s="383">
        <f t="shared" si="10"/>
        <v>0</v>
      </c>
      <c r="AG46" s="383">
        <f t="shared" si="11"/>
        <v>1</v>
      </c>
      <c r="AH46" s="383">
        <f t="shared" si="12"/>
        <v>0</v>
      </c>
      <c r="AI46" s="383">
        <f t="shared" si="13"/>
        <v>1</v>
      </c>
      <c r="AJ46" s="383">
        <f t="shared" si="14"/>
        <v>0</v>
      </c>
      <c r="AK46" s="383">
        <f t="shared" si="15"/>
        <v>0</v>
      </c>
      <c r="AM46" s="148" t="str">
        <f t="shared" si="16"/>
        <v>Schedulled</v>
      </c>
      <c r="AN46" s="148" t="str">
        <f t="shared" si="17"/>
        <v/>
      </c>
      <c r="AO46" s="156">
        <f t="shared" si="18"/>
        <v>43060.784722222219</v>
      </c>
      <c r="AP46" s="148" t="str">
        <f t="shared" si="19"/>
        <v>11/21/2017 18:50-&gt;JCC Gym North</v>
      </c>
      <c r="AQ46" s="374">
        <f t="shared" si="20"/>
        <v>1</v>
      </c>
      <c r="AR46" s="148" t="str">
        <f t="shared" si="21"/>
        <v>PER</v>
      </c>
      <c r="AS46" s="148" t="str">
        <f t="shared" si="22"/>
        <v>USA1</v>
      </c>
      <c r="AT46" s="157" t="str">
        <f t="shared" si="23"/>
        <v>PER-USA1</v>
      </c>
      <c r="AU46" s="157" t="str">
        <f t="shared" si="24"/>
        <v xml:space="preserve">PER-USA1 </v>
      </c>
      <c r="AV46" s="157" t="str">
        <f t="shared" si="25"/>
        <v>Adults MALE</v>
      </c>
      <c r="AW46" s="157" t="str">
        <f t="shared" si="26"/>
        <v>Basketball</v>
      </c>
      <c r="AX46" s="376">
        <f t="shared" si="27"/>
        <v>36</v>
      </c>
      <c r="AY46" s="148" t="str">
        <f t="shared" si="28"/>
        <v>AD M - PER-&gt;AD M - USA 1</v>
      </c>
      <c r="AZ46" s="148" t="str">
        <f t="shared" si="29"/>
        <v>11/21/2017 18:50-&gt;AD M - PER</v>
      </c>
      <c r="BA46" s="148" t="str">
        <f t="shared" si="30"/>
        <v>11/21/2017 18:50-&gt;AD M - USA 1</v>
      </c>
      <c r="BB46" s="374">
        <f t="shared" si="31"/>
        <v>1</v>
      </c>
      <c r="BC46" s="374">
        <f t="shared" si="32"/>
        <v>1</v>
      </c>
      <c r="BD46" s="148" t="str">
        <f t="shared" si="33"/>
        <v>no conflict</v>
      </c>
      <c r="BF46" s="148" t="str">
        <f t="shared" si="34"/>
        <v>11/21/2017 18:50-&gt;AD M - PER</v>
      </c>
      <c r="BG46" s="148" t="str">
        <f t="shared" si="35"/>
        <v>11/21/2017 18:50-&gt;AD M - USA 1</v>
      </c>
      <c r="BH46" s="148" t="str">
        <f t="shared" si="36"/>
        <v>11/21/2017 18:50-&gt;JCC Gym North</v>
      </c>
      <c r="BI46" s="148" t="str">
        <f t="shared" si="37"/>
        <v>Basketball in JCC Gym North (PER-USA1)</v>
      </c>
      <c r="BJ46" s="148" t="str">
        <f t="shared" si="38"/>
        <v>Adult Male Basketball-- AD M - PER vs. AD M - USA 1</v>
      </c>
      <c r="BK46" s="148" t="str">
        <f t="shared" si="39"/>
        <v>Basketball</v>
      </c>
      <c r="BL46" s="148" t="str">
        <f t="shared" si="40"/>
        <v>AD M - PER</v>
      </c>
      <c r="BM46" s="148" t="str">
        <f t="shared" si="41"/>
        <v>AD M - USA 1</v>
      </c>
      <c r="BN46" s="148" t="str">
        <f t="shared" si="42"/>
        <v>Round - 1</v>
      </c>
      <c r="BP46" s="148" t="str">
        <f t="shared" si="43"/>
        <v>no t, f, or sf</v>
      </c>
      <c r="BQ46" s="148" t="str">
        <f t="shared" si="44"/>
        <v/>
      </c>
    </row>
    <row r="47" spans="1:69" ht="15" customHeight="1" x14ac:dyDescent="0.2">
      <c r="A47" s="376">
        <v>37</v>
      </c>
      <c r="B47" s="433" t="s">
        <v>85</v>
      </c>
      <c r="C47" s="433" t="s">
        <v>518</v>
      </c>
      <c r="D47" s="452">
        <v>1</v>
      </c>
      <c r="E47" s="452">
        <v>1</v>
      </c>
      <c r="F47" s="433" t="s">
        <v>770</v>
      </c>
      <c r="G47" s="335">
        <v>43061</v>
      </c>
      <c r="H47" s="336">
        <v>0.75</v>
      </c>
      <c r="I47" s="433" t="s">
        <v>770</v>
      </c>
      <c r="J47" s="433" t="s">
        <v>696</v>
      </c>
      <c r="K47" s="433">
        <v>812</v>
      </c>
      <c r="L47" s="433" t="s">
        <v>533</v>
      </c>
      <c r="M47" s="433">
        <v>812</v>
      </c>
      <c r="N47" s="433" t="s">
        <v>541</v>
      </c>
      <c r="O47" s="153" t="str">
        <f>IF(L47&lt;&gt;"",IFERROR(VLOOKUP(B47&amp;L47,Pools!$A$2:$D$130,3,FALSE),""),"")</f>
        <v/>
      </c>
      <c r="P47" s="388">
        <v>29</v>
      </c>
      <c r="Q47" s="388">
        <v>32</v>
      </c>
      <c r="R47" s="306" t="str">
        <f t="shared" si="0"/>
        <v>29-32</v>
      </c>
      <c r="T47" s="148" t="str">
        <f t="shared" si="1"/>
        <v>Completed</v>
      </c>
      <c r="U47" s="153"/>
      <c r="V47" s="153"/>
      <c r="W47" s="387">
        <f t="shared" si="2"/>
        <v>-3</v>
      </c>
      <c r="X47" s="387">
        <f t="shared" si="3"/>
        <v>3</v>
      </c>
      <c r="Y47" s="301">
        <f t="shared" si="4"/>
        <v>0</v>
      </c>
      <c r="Z47" s="301">
        <f t="shared" si="5"/>
        <v>2</v>
      </c>
      <c r="AA47" s="323" t="str">
        <f>CONCATENATE("                x[team1,team2,sport,'",IF(OR(I47="x",I47=""),VLOOKUP('Schedule from TM'!J47,Tables!$P$3:$Q$33,2,FALSE),'Schedule from TM'!I47),",",J47,"','",IF(OR(F47="x",F47=""),VLOOKUP('Schedule from TM'!G47,Tables!$U$3:$V$14,2,FALSE),'Schedule from TM'!F47),",",TEXT(G47,"mm/dd/yyyy"),"','",TEXT(H47,"h:mm:ss AM/PM"),"'].ub=0.0      #",B47)</f>
        <v xml:space="preserve">                x[team1,team2,sport,'11,JCC Gym North','22,11/22/2017','6:00:00 PM'].ub=0.0      #Adult Male Basketball</v>
      </c>
      <c r="AB47" s="301" t="str">
        <f t="shared" si="6"/>
        <v>,,Adult Male Basketball,,1,AD M - ARG 1</v>
      </c>
      <c r="AC47" s="153" t="str">
        <f t="shared" si="7"/>
        <v>Adult Male BasketballAD M - ARG 1</v>
      </c>
      <c r="AD47" s="301" t="str">
        <f t="shared" si="8"/>
        <v>,,Adult Male Basketball,,1,AD M - ISR 1</v>
      </c>
      <c r="AE47" s="153" t="str">
        <f t="shared" si="9"/>
        <v>Adult Male BasketballAD M - ISR 1</v>
      </c>
      <c r="AF47" s="383">
        <f t="shared" si="10"/>
        <v>0</v>
      </c>
      <c r="AG47" s="383">
        <f t="shared" si="11"/>
        <v>1</v>
      </c>
      <c r="AH47" s="383">
        <f t="shared" si="12"/>
        <v>0</v>
      </c>
      <c r="AI47" s="383">
        <f t="shared" si="13"/>
        <v>1</v>
      </c>
      <c r="AJ47" s="383">
        <f t="shared" si="14"/>
        <v>0</v>
      </c>
      <c r="AK47" s="383">
        <f t="shared" si="15"/>
        <v>0</v>
      </c>
      <c r="AM47" s="148" t="str">
        <f t="shared" si="16"/>
        <v>Schedulled</v>
      </c>
      <c r="AN47" s="148" t="str">
        <f t="shared" si="17"/>
        <v/>
      </c>
      <c r="AO47" s="156">
        <f t="shared" si="18"/>
        <v>43061.75</v>
      </c>
      <c r="AP47" s="148" t="str">
        <f t="shared" si="19"/>
        <v>11/22/2017 18:00-&gt;JCC Gym North</v>
      </c>
      <c r="AQ47" s="374">
        <f t="shared" si="20"/>
        <v>1</v>
      </c>
      <c r="AR47" s="148" t="str">
        <f t="shared" si="21"/>
        <v>ARG1</v>
      </c>
      <c r="AS47" s="148" t="str">
        <f t="shared" si="22"/>
        <v>ISR1</v>
      </c>
      <c r="AT47" s="157" t="str">
        <f t="shared" si="23"/>
        <v>ARG1-ISR1</v>
      </c>
      <c r="AU47" s="157" t="str">
        <f t="shared" si="24"/>
        <v xml:space="preserve">ARG1-ISR1 </v>
      </c>
      <c r="AV47" s="157" t="str">
        <f t="shared" si="25"/>
        <v>Adults MALE</v>
      </c>
      <c r="AW47" s="157" t="str">
        <f t="shared" si="26"/>
        <v>Basketball</v>
      </c>
      <c r="AX47" s="376">
        <f t="shared" si="27"/>
        <v>37</v>
      </c>
      <c r="AY47" s="148" t="str">
        <f t="shared" si="28"/>
        <v>AD M - ARG 1-&gt;AD M - ISR 1</v>
      </c>
      <c r="AZ47" s="148" t="str">
        <f t="shared" si="29"/>
        <v>11/22/2017 18:00-&gt;AD M - ARG 1</v>
      </c>
      <c r="BA47" s="148" t="str">
        <f t="shared" si="30"/>
        <v>11/22/2017 18:00-&gt;AD M - ISR 1</v>
      </c>
      <c r="BB47" s="374">
        <f t="shared" si="31"/>
        <v>2</v>
      </c>
      <c r="BC47" s="374">
        <f t="shared" si="32"/>
        <v>1</v>
      </c>
      <c r="BD47" s="148" t="str">
        <f t="shared" si="33"/>
        <v>conflict</v>
      </c>
      <c r="BF47" s="148" t="str">
        <f t="shared" si="34"/>
        <v>11/22/2017 18:00-&gt;AD M - ARG 1</v>
      </c>
      <c r="BG47" s="148" t="str">
        <f t="shared" si="35"/>
        <v>11/22/2017 18:00-&gt;AD M - ISR 1</v>
      </c>
      <c r="BH47" s="148" t="str">
        <f t="shared" si="36"/>
        <v>11/22/2017 18:00-&gt;JCC Gym North</v>
      </c>
      <c r="BI47" s="148" t="str">
        <f t="shared" si="37"/>
        <v>Basketball in JCC Gym North (ARG1-ISR1)</v>
      </c>
      <c r="BJ47" s="148" t="str">
        <f t="shared" si="38"/>
        <v>Adult Male Basketball-- AD M - ARG 1 vs. AD M - ISR 1</v>
      </c>
      <c r="BK47" s="148" t="str">
        <f t="shared" si="39"/>
        <v>Basketball</v>
      </c>
      <c r="BL47" s="148" t="str">
        <f t="shared" si="40"/>
        <v>AD M - ARG 1</v>
      </c>
      <c r="BM47" s="148" t="str">
        <f t="shared" si="41"/>
        <v>AD M - ISR 1</v>
      </c>
      <c r="BN47" s="148" t="str">
        <f t="shared" si="42"/>
        <v>Round - 1</v>
      </c>
      <c r="BP47" s="148" t="str">
        <f t="shared" si="43"/>
        <v>no t, f, or sf</v>
      </c>
      <c r="BQ47" s="148" t="str">
        <f t="shared" si="44"/>
        <v/>
      </c>
    </row>
    <row r="48" spans="1:69" ht="15" customHeight="1" x14ac:dyDescent="0.2">
      <c r="A48" s="376">
        <v>38</v>
      </c>
      <c r="B48" t="s">
        <v>85</v>
      </c>
      <c r="C48" t="s">
        <v>518</v>
      </c>
      <c r="D48" s="381">
        <v>1</v>
      </c>
      <c r="E48" s="381">
        <v>1</v>
      </c>
      <c r="F48">
        <v>22</v>
      </c>
      <c r="G48" s="335">
        <v>43061</v>
      </c>
      <c r="H48" s="336">
        <v>0.78472222222222221</v>
      </c>
      <c r="I48">
        <v>11</v>
      </c>
      <c r="J48" t="s">
        <v>696</v>
      </c>
      <c r="K48">
        <v>812</v>
      </c>
      <c r="L48" t="s">
        <v>721</v>
      </c>
      <c r="M48">
        <v>812</v>
      </c>
      <c r="N48" t="s">
        <v>542</v>
      </c>
      <c r="O48" s="153" t="str">
        <f>IF(L48&lt;&gt;"",IFERROR(VLOOKUP(B48&amp;L48,Pools!$A$2:$D$130,3,FALSE),""),"")</f>
        <v/>
      </c>
      <c r="P48" s="388">
        <v>41</v>
      </c>
      <c r="Q48" s="388">
        <v>78</v>
      </c>
      <c r="R48" s="306" t="str">
        <f t="shared" si="0"/>
        <v>41-78</v>
      </c>
      <c r="T48" s="148" t="str">
        <f t="shared" si="1"/>
        <v>Completed</v>
      </c>
      <c r="U48" s="153"/>
      <c r="V48" s="153"/>
      <c r="W48" s="387">
        <f t="shared" si="2"/>
        <v>-15</v>
      </c>
      <c r="X48" s="387">
        <f t="shared" si="3"/>
        <v>15</v>
      </c>
      <c r="Y48" s="301">
        <f t="shared" si="4"/>
        <v>0</v>
      </c>
      <c r="Z48" s="301">
        <f t="shared" si="5"/>
        <v>2</v>
      </c>
      <c r="AA48" s="323" t="str">
        <f>CONCATENATE("                x[team1,team2,sport,'",IF(OR(I48="x",I48=""),VLOOKUP('Schedule from TM'!J48,Tables!$P$3:$Q$33,2,FALSE),'Schedule from TM'!I48),",",J48,"','",IF(OR(F48="x",F48=""),VLOOKUP('Schedule from TM'!G48,Tables!$U$3:$V$14,2,FALSE),'Schedule from TM'!F48),",",TEXT(G48,"mm/dd/yyyy"),"','",TEXT(H48,"h:mm:ss AM/PM"),"'].ub=0.0      #",B48)</f>
        <v xml:space="preserve">                x[team1,team2,sport,'11,JCC Gym North','22,11/22/2017','6:50:00 PM'].ub=0.0      #Adult Male Basketball</v>
      </c>
      <c r="AB48" s="301" t="str">
        <f t="shared" si="6"/>
        <v>,,Adult Male Basketball,,1,VET - ISR 1</v>
      </c>
      <c r="AC48" s="153" t="str">
        <f t="shared" si="7"/>
        <v>Adult Male BasketballVET - ISR 1</v>
      </c>
      <c r="AD48" s="301" t="str">
        <f t="shared" si="8"/>
        <v>,,Adult Male Basketball,,1,AD M - VEN 1</v>
      </c>
      <c r="AE48" s="153" t="str">
        <f t="shared" si="9"/>
        <v>Adult Male BasketballAD M - VEN 1</v>
      </c>
      <c r="AF48" s="383">
        <f t="shared" si="10"/>
        <v>0</v>
      </c>
      <c r="AG48" s="383">
        <f t="shared" si="11"/>
        <v>1</v>
      </c>
      <c r="AH48" s="383">
        <f t="shared" si="12"/>
        <v>0</v>
      </c>
      <c r="AI48" s="383">
        <f t="shared" si="13"/>
        <v>1</v>
      </c>
      <c r="AJ48" s="383">
        <f t="shared" si="14"/>
        <v>0</v>
      </c>
      <c r="AK48" s="383">
        <f t="shared" si="15"/>
        <v>0</v>
      </c>
      <c r="AM48" s="148" t="str">
        <f t="shared" si="16"/>
        <v>Schedulled</v>
      </c>
      <c r="AN48" s="148" t="str">
        <f t="shared" si="17"/>
        <v/>
      </c>
      <c r="AO48" s="156">
        <f t="shared" si="18"/>
        <v>43061.784722222219</v>
      </c>
      <c r="AP48" s="148" t="str">
        <f t="shared" si="19"/>
        <v>11/22/2017 18:50-&gt;JCC Gym North</v>
      </c>
      <c r="AQ48" s="374">
        <f t="shared" si="20"/>
        <v>1</v>
      </c>
      <c r="AR48" s="148" t="str">
        <f t="shared" si="21"/>
        <v>ISR1</v>
      </c>
      <c r="AS48" s="148" t="str">
        <f t="shared" si="22"/>
        <v>VEN1</v>
      </c>
      <c r="AT48" s="157" t="str">
        <f t="shared" si="23"/>
        <v>ISR1-VEN1</v>
      </c>
      <c r="AU48" s="157" t="str">
        <f t="shared" si="24"/>
        <v xml:space="preserve">ISR1-VEN1 </v>
      </c>
      <c r="AV48" s="157" t="str">
        <f t="shared" si="25"/>
        <v>Adults MALE</v>
      </c>
      <c r="AW48" s="157" t="str">
        <f t="shared" si="26"/>
        <v>Basketball</v>
      </c>
      <c r="AX48" s="376">
        <f t="shared" si="27"/>
        <v>38</v>
      </c>
      <c r="AY48" s="148" t="str">
        <f t="shared" si="28"/>
        <v>VET - ISR 1-&gt;AD M - VEN 1</v>
      </c>
      <c r="AZ48" s="148" t="str">
        <f t="shared" si="29"/>
        <v>11/22/2017 18:50-&gt;VET - ISR 1</v>
      </c>
      <c r="BA48" s="148" t="str">
        <f t="shared" si="30"/>
        <v>11/22/2017 18:50-&gt;AD M - VEN 1</v>
      </c>
      <c r="BB48" s="374">
        <f t="shared" si="31"/>
        <v>1</v>
      </c>
      <c r="BC48" s="374">
        <f t="shared" si="32"/>
        <v>1</v>
      </c>
      <c r="BD48" s="148" t="str">
        <f t="shared" si="33"/>
        <v>no conflict</v>
      </c>
      <c r="BF48" s="148" t="str">
        <f t="shared" si="34"/>
        <v>11/22/2017 18:50-&gt;VET - ISR 1</v>
      </c>
      <c r="BG48" s="148" t="str">
        <f t="shared" si="35"/>
        <v>11/22/2017 18:50-&gt;AD M - VEN 1</v>
      </c>
      <c r="BH48" s="148" t="str">
        <f t="shared" si="36"/>
        <v>11/22/2017 18:50-&gt;JCC Gym North</v>
      </c>
      <c r="BI48" s="148" t="str">
        <f t="shared" si="37"/>
        <v>Basketball in JCC Gym North (ISR1-VEN1)</v>
      </c>
      <c r="BJ48" s="148" t="str">
        <f t="shared" si="38"/>
        <v>Adult Male Basketball-- VET - ISR 1 vs. AD M - VEN 1</v>
      </c>
      <c r="BK48" s="148" t="str">
        <f t="shared" si="39"/>
        <v>Basketball</v>
      </c>
      <c r="BL48" s="148" t="str">
        <f t="shared" si="40"/>
        <v>VET - ISR 1</v>
      </c>
      <c r="BM48" s="148" t="str">
        <f t="shared" si="41"/>
        <v>AD M - VEN 1</v>
      </c>
      <c r="BN48" s="148" t="str">
        <f t="shared" si="42"/>
        <v>Round - 1</v>
      </c>
      <c r="BP48" s="148" t="str">
        <f t="shared" si="43"/>
        <v>no t, f, or sf</v>
      </c>
      <c r="BQ48" s="148" t="str">
        <f t="shared" si="44"/>
        <v/>
      </c>
    </row>
    <row r="49" spans="1:69" ht="15" customHeight="1" x14ac:dyDescent="0.2">
      <c r="A49" s="376">
        <v>39</v>
      </c>
      <c r="B49" t="s">
        <v>85</v>
      </c>
      <c r="C49" t="s">
        <v>518</v>
      </c>
      <c r="D49" s="381">
        <v>1</v>
      </c>
      <c r="E49" s="381">
        <v>1</v>
      </c>
      <c r="F49" t="s">
        <v>770</v>
      </c>
      <c r="G49" s="335">
        <v>43059</v>
      </c>
      <c r="H49" s="336">
        <v>0.85416666666666663</v>
      </c>
      <c r="I49" t="s">
        <v>770</v>
      </c>
      <c r="J49" t="s">
        <v>696</v>
      </c>
      <c r="K49">
        <v>812</v>
      </c>
      <c r="L49" t="s">
        <v>539</v>
      </c>
      <c r="M49">
        <v>812</v>
      </c>
      <c r="N49" t="s">
        <v>542</v>
      </c>
      <c r="O49" s="153" t="str">
        <f>IF(L49&lt;&gt;"",IFERROR(VLOOKUP(B49&amp;L49,Pools!$A$2:$D$130,3,FALSE),""),"")</f>
        <v/>
      </c>
      <c r="P49" s="388">
        <v>50</v>
      </c>
      <c r="Q49" s="388">
        <v>37</v>
      </c>
      <c r="R49" s="306" t="str">
        <f t="shared" si="0"/>
        <v>50-37</v>
      </c>
      <c r="T49" s="148" t="str">
        <f t="shared" si="1"/>
        <v>Completed</v>
      </c>
      <c r="U49" s="153"/>
      <c r="V49" s="153"/>
      <c r="W49" s="387">
        <f t="shared" si="2"/>
        <v>13</v>
      </c>
      <c r="X49" s="387">
        <f t="shared" si="3"/>
        <v>-13</v>
      </c>
      <c r="Y49" s="301">
        <f t="shared" si="4"/>
        <v>2</v>
      </c>
      <c r="Z49" s="301">
        <f t="shared" si="5"/>
        <v>0</v>
      </c>
      <c r="AA49" s="323" t="str">
        <f>CONCATENATE("                x[team1,team2,sport,'",IF(OR(I49="x",I49=""),VLOOKUP('Schedule from TM'!J49,Tables!$P$3:$Q$33,2,FALSE),'Schedule from TM'!I49),",",J49,"','",IF(OR(F49="x",F49=""),VLOOKUP('Schedule from TM'!G49,Tables!$U$3:$V$14,2,FALSE),'Schedule from TM'!F49),",",TEXT(G49,"mm/dd/yyyy"),"','",TEXT(H49,"h:mm:ss AM/PM"),"'].ub=0.0      #",B49)</f>
        <v xml:space="preserve">                x[team1,team2,sport,'11,JCC Gym North','22,11/20/2017','8:30:00 PM'].ub=0.0      #Adult Male Basketball</v>
      </c>
      <c r="AB49" s="301" t="str">
        <f t="shared" si="6"/>
        <v>,,Adult Male Basketball,,1,AD M - USA 1</v>
      </c>
      <c r="AC49" s="153" t="str">
        <f t="shared" si="7"/>
        <v>Adult Male BasketballAD M - USA 1</v>
      </c>
      <c r="AD49" s="301" t="str">
        <f t="shared" si="8"/>
        <v>,,Adult Male Basketball,,1,AD M - VEN 1</v>
      </c>
      <c r="AE49" s="153" t="str">
        <f t="shared" si="9"/>
        <v>Adult Male BasketballAD M - VEN 1</v>
      </c>
      <c r="AF49" s="383">
        <f t="shared" si="10"/>
        <v>1</v>
      </c>
      <c r="AG49" s="383">
        <f t="shared" si="11"/>
        <v>0</v>
      </c>
      <c r="AH49" s="383">
        <f t="shared" si="12"/>
        <v>0</v>
      </c>
      <c r="AI49" s="383">
        <f t="shared" si="13"/>
        <v>0</v>
      </c>
      <c r="AJ49" s="383">
        <f t="shared" si="14"/>
        <v>1</v>
      </c>
      <c r="AK49" s="383">
        <f t="shared" si="15"/>
        <v>0</v>
      </c>
      <c r="AM49" s="148" t="str">
        <f t="shared" si="16"/>
        <v>Schedulled</v>
      </c>
      <c r="AN49" s="148" t="str">
        <f t="shared" si="17"/>
        <v/>
      </c>
      <c r="AO49" s="156">
        <f t="shared" si="18"/>
        <v>43059.854166666664</v>
      </c>
      <c r="AP49" s="148" t="str">
        <f t="shared" si="19"/>
        <v>11/20/2017 20:30-&gt;JCC Gym North</v>
      </c>
      <c r="AQ49" s="374">
        <f t="shared" si="20"/>
        <v>1</v>
      </c>
      <c r="AR49" s="148" t="str">
        <f t="shared" si="21"/>
        <v>USA1</v>
      </c>
      <c r="AS49" s="148" t="str">
        <f t="shared" si="22"/>
        <v>VEN1</v>
      </c>
      <c r="AT49" s="157" t="str">
        <f t="shared" si="23"/>
        <v>USA1-VEN1</v>
      </c>
      <c r="AU49" s="157" t="str">
        <f t="shared" si="24"/>
        <v xml:space="preserve">USA1-VEN1 </v>
      </c>
      <c r="AV49" s="157" t="str">
        <f t="shared" si="25"/>
        <v>Adults MALE</v>
      </c>
      <c r="AW49" s="157" t="str">
        <f t="shared" si="26"/>
        <v>Basketball</v>
      </c>
      <c r="AX49" s="376">
        <f t="shared" si="27"/>
        <v>39</v>
      </c>
      <c r="AY49" s="148" t="str">
        <f t="shared" si="28"/>
        <v>AD M - USA 1-&gt;AD M - VEN 1</v>
      </c>
      <c r="AZ49" s="148" t="str">
        <f t="shared" si="29"/>
        <v>11/20/2017 20:30-&gt;AD M - USA 1</v>
      </c>
      <c r="BA49" s="148" t="str">
        <f t="shared" si="30"/>
        <v>11/20/2017 20:30-&gt;AD M - VEN 1</v>
      </c>
      <c r="BB49" s="374">
        <f t="shared" si="31"/>
        <v>1</v>
      </c>
      <c r="BC49" s="374">
        <f t="shared" si="32"/>
        <v>1</v>
      </c>
      <c r="BD49" s="148" t="str">
        <f t="shared" si="33"/>
        <v>no conflict</v>
      </c>
      <c r="BF49" s="148" t="str">
        <f t="shared" si="34"/>
        <v>11/20/2017 20:30-&gt;AD M - USA 1</v>
      </c>
      <c r="BG49" s="148" t="str">
        <f t="shared" si="35"/>
        <v>11/20/2017 20:30-&gt;AD M - VEN 1</v>
      </c>
      <c r="BH49" s="148" t="str">
        <f t="shared" si="36"/>
        <v>11/20/2017 20:30-&gt;JCC Gym North</v>
      </c>
      <c r="BI49" s="148" t="str">
        <f t="shared" si="37"/>
        <v>Basketball in JCC Gym North (USA1-VEN1)</v>
      </c>
      <c r="BJ49" s="148" t="str">
        <f t="shared" si="38"/>
        <v>Adult Male Basketball-- AD M - USA 1 vs. AD M - VEN 1</v>
      </c>
      <c r="BK49" s="148" t="str">
        <f t="shared" si="39"/>
        <v>Basketball</v>
      </c>
      <c r="BL49" s="148" t="str">
        <f t="shared" si="40"/>
        <v>AD M - USA 1</v>
      </c>
      <c r="BM49" s="148" t="str">
        <f t="shared" si="41"/>
        <v>AD M - VEN 1</v>
      </c>
      <c r="BN49" s="148" t="str">
        <f t="shared" si="42"/>
        <v>Round - 1</v>
      </c>
      <c r="BP49" s="148" t="str">
        <f t="shared" si="43"/>
        <v>no t, f, or sf</v>
      </c>
      <c r="BQ49" s="148" t="str">
        <f t="shared" si="44"/>
        <v/>
      </c>
    </row>
    <row r="50" spans="1:69" ht="15" customHeight="1" x14ac:dyDescent="0.2">
      <c r="A50" s="376">
        <v>40</v>
      </c>
      <c r="B50" t="s">
        <v>85</v>
      </c>
      <c r="C50" t="s">
        <v>518</v>
      </c>
      <c r="D50" s="381">
        <v>1</v>
      </c>
      <c r="E50" s="381">
        <v>1</v>
      </c>
      <c r="F50" t="s">
        <v>770</v>
      </c>
      <c r="G50" s="335">
        <v>43062</v>
      </c>
      <c r="H50" s="336">
        <v>0.54166666666666663</v>
      </c>
      <c r="I50" t="s">
        <v>770</v>
      </c>
      <c r="J50" t="s">
        <v>707</v>
      </c>
      <c r="K50">
        <v>812</v>
      </c>
      <c r="L50" t="s">
        <v>538</v>
      </c>
      <c r="M50">
        <v>812</v>
      </c>
      <c r="N50" t="s">
        <v>541</v>
      </c>
      <c r="O50" s="153" t="str">
        <f>IF(L50&lt;&gt;"",IFERROR(VLOOKUP(B50&amp;L50,Pools!$A$2:$D$130,3,FALSE),""),"")</f>
        <v/>
      </c>
      <c r="P50" s="388">
        <v>24</v>
      </c>
      <c r="Q50" s="388">
        <v>23</v>
      </c>
      <c r="R50" s="306" t="str">
        <f t="shared" si="0"/>
        <v>24-23</v>
      </c>
      <c r="T50" s="148" t="str">
        <f t="shared" si="1"/>
        <v>Completed</v>
      </c>
      <c r="U50" s="153"/>
      <c r="V50" s="153"/>
      <c r="W50" s="387">
        <f t="shared" si="2"/>
        <v>1</v>
      </c>
      <c r="X50" s="387">
        <f t="shared" si="3"/>
        <v>-1</v>
      </c>
      <c r="Y50" s="301">
        <f t="shared" si="4"/>
        <v>2</v>
      </c>
      <c r="Z50" s="301">
        <f t="shared" si="5"/>
        <v>0</v>
      </c>
      <c r="AA50" s="323" t="str">
        <f>CONCATENATE("                x[team1,team2,sport,'",IF(OR(I50="x",I50=""),VLOOKUP('Schedule from TM'!J50,Tables!$P$3:$Q$33,2,FALSE),'Schedule from TM'!I50),",",J50,"','",IF(OR(F50="x",F50=""),VLOOKUP('Schedule from TM'!G50,Tables!$U$3:$V$14,2,FALSE),'Schedule from TM'!F50),",",TEXT(G50,"mm/dd/yyyy"),"','",TEXT(H50,"h:mm:ss AM/PM"),"'].ub=0.0      #",B50)</f>
        <v xml:space="preserve">                x[team1,team2,sport,'21,Hillel - Gym Basketball','11,11/23/2017','1:00:00 PM'].ub=0.0      #Adult Male Basketball</v>
      </c>
      <c r="AB50" s="301" t="str">
        <f t="shared" si="6"/>
        <v>,,Adult Male Basketball,,1,AD M - PER</v>
      </c>
      <c r="AC50" s="153" t="str">
        <f t="shared" si="7"/>
        <v>Adult Male BasketballAD M - PER</v>
      </c>
      <c r="AD50" s="301" t="str">
        <f t="shared" si="8"/>
        <v>,,Adult Male Basketball,,1,AD M - ISR 1</v>
      </c>
      <c r="AE50" s="153" t="str">
        <f t="shared" si="9"/>
        <v>Adult Male BasketballAD M - ISR 1</v>
      </c>
      <c r="AF50" s="383">
        <f t="shared" si="10"/>
        <v>1</v>
      </c>
      <c r="AG50" s="383">
        <f t="shared" si="11"/>
        <v>0</v>
      </c>
      <c r="AH50" s="383">
        <f t="shared" si="12"/>
        <v>0</v>
      </c>
      <c r="AI50" s="383">
        <f t="shared" si="13"/>
        <v>0</v>
      </c>
      <c r="AJ50" s="383">
        <f t="shared" si="14"/>
        <v>1</v>
      </c>
      <c r="AK50" s="383">
        <f t="shared" si="15"/>
        <v>0</v>
      </c>
      <c r="AM50" s="148" t="str">
        <f t="shared" si="16"/>
        <v>Schedulled</v>
      </c>
      <c r="AN50" s="148" t="str">
        <f t="shared" si="17"/>
        <v/>
      </c>
      <c r="AO50" s="156">
        <f t="shared" si="18"/>
        <v>43062.541666666664</v>
      </c>
      <c r="AP50" s="148" t="str">
        <f t="shared" si="19"/>
        <v>11/23/2017 13:00-&gt;Hillel - Gym Basketball</v>
      </c>
      <c r="AQ50" s="374">
        <f t="shared" si="20"/>
        <v>1</v>
      </c>
      <c r="AR50" s="148" t="str">
        <f t="shared" si="21"/>
        <v>PER</v>
      </c>
      <c r="AS50" s="148" t="str">
        <f t="shared" si="22"/>
        <v>ISR1</v>
      </c>
      <c r="AT50" s="157" t="str">
        <f t="shared" si="23"/>
        <v>PER-ISR1</v>
      </c>
      <c r="AU50" s="157" t="str">
        <f t="shared" si="24"/>
        <v xml:space="preserve">PER-ISR1 </v>
      </c>
      <c r="AV50" s="157" t="str">
        <f t="shared" si="25"/>
        <v>Adults MALE</v>
      </c>
      <c r="AW50" s="157" t="str">
        <f t="shared" si="26"/>
        <v>Basketball</v>
      </c>
      <c r="AX50" s="376">
        <f t="shared" si="27"/>
        <v>40</v>
      </c>
      <c r="AY50" s="148" t="str">
        <f t="shared" si="28"/>
        <v>AD M - PER-&gt;AD M - ISR 1</v>
      </c>
      <c r="AZ50" s="148" t="str">
        <f t="shared" si="29"/>
        <v>11/23/2017 13:00-&gt;AD M - PER</v>
      </c>
      <c r="BA50" s="148" t="str">
        <f t="shared" si="30"/>
        <v>11/23/2017 13:00-&gt;AD M - ISR 1</v>
      </c>
      <c r="BB50" s="374">
        <f t="shared" si="31"/>
        <v>1</v>
      </c>
      <c r="BC50" s="374">
        <f t="shared" si="32"/>
        <v>1</v>
      </c>
      <c r="BD50" s="148" t="str">
        <f t="shared" si="33"/>
        <v>no conflict</v>
      </c>
      <c r="BF50" s="148" t="str">
        <f t="shared" si="34"/>
        <v>11/23/2017 13:00-&gt;AD M - PER</v>
      </c>
      <c r="BG50" s="148" t="str">
        <f t="shared" si="35"/>
        <v>11/23/2017 13:00-&gt;AD M - ISR 1</v>
      </c>
      <c r="BH50" s="148" t="str">
        <f t="shared" si="36"/>
        <v>11/23/2017 13:00-&gt;Hillel - Gym Basketball</v>
      </c>
      <c r="BI50" s="148" t="str">
        <f t="shared" si="37"/>
        <v>Basketball in Hillel - Gym Basketball (PER-ISR1)</v>
      </c>
      <c r="BJ50" s="148" t="str">
        <f t="shared" si="38"/>
        <v>Adult Male Basketball-- AD M - PER vs. AD M - ISR 1</v>
      </c>
      <c r="BK50" s="148" t="str">
        <f t="shared" si="39"/>
        <v>Basketball</v>
      </c>
      <c r="BL50" s="148" t="str">
        <f t="shared" si="40"/>
        <v>AD M - PER</v>
      </c>
      <c r="BM50" s="148" t="str">
        <f t="shared" si="41"/>
        <v>AD M - ISR 1</v>
      </c>
      <c r="BN50" s="148" t="str">
        <f t="shared" si="42"/>
        <v>Round - 1</v>
      </c>
      <c r="BP50" s="148" t="str">
        <f t="shared" si="43"/>
        <v>no t, f, or sf</v>
      </c>
      <c r="BQ50" s="148" t="str">
        <f t="shared" si="44"/>
        <v/>
      </c>
    </row>
    <row r="51" spans="1:69" ht="15" customHeight="1" x14ac:dyDescent="0.2">
      <c r="A51" s="376">
        <v>41</v>
      </c>
      <c r="B51" t="s">
        <v>85</v>
      </c>
      <c r="C51" t="s">
        <v>518</v>
      </c>
      <c r="D51" s="381">
        <v>1</v>
      </c>
      <c r="E51" s="381">
        <v>1</v>
      </c>
      <c r="F51">
        <v>11</v>
      </c>
      <c r="G51" s="335">
        <v>43063</v>
      </c>
      <c r="H51" s="336">
        <v>0.4375</v>
      </c>
      <c r="I51">
        <v>11</v>
      </c>
      <c r="J51" t="s">
        <v>707</v>
      </c>
      <c r="K51">
        <v>812</v>
      </c>
      <c r="L51" t="s">
        <v>533</v>
      </c>
      <c r="M51">
        <v>812</v>
      </c>
      <c r="N51" t="s">
        <v>721</v>
      </c>
      <c r="O51" s="153" t="str">
        <f>IF(L51&lt;&gt;"",IFERROR(VLOOKUP(B51&amp;L51,Pools!$A$2:$D$130,3,FALSE),""),"")</f>
        <v/>
      </c>
      <c r="P51" s="388">
        <v>0</v>
      </c>
      <c r="Q51" s="388">
        <v>15</v>
      </c>
      <c r="R51" s="306" t="str">
        <f t="shared" si="0"/>
        <v>0-15</v>
      </c>
      <c r="T51" s="148" t="str">
        <f t="shared" si="1"/>
        <v>Completed</v>
      </c>
      <c r="U51" s="153"/>
      <c r="V51" s="153"/>
      <c r="W51" s="387">
        <f t="shared" si="2"/>
        <v>-15</v>
      </c>
      <c r="X51" s="387">
        <f t="shared" si="3"/>
        <v>15</v>
      </c>
      <c r="Y51" s="301">
        <f t="shared" si="4"/>
        <v>0</v>
      </c>
      <c r="Z51" s="301">
        <f t="shared" si="5"/>
        <v>2</v>
      </c>
      <c r="AA51" s="323" t="str">
        <f>CONCATENATE("                x[team1,team2,sport,'",IF(OR(I51="x",I51=""),VLOOKUP('Schedule from TM'!J51,Tables!$P$3:$Q$33,2,FALSE),'Schedule from TM'!I51),",",J51,"','",IF(OR(F51="x",F51=""),VLOOKUP('Schedule from TM'!G51,Tables!$U$3:$V$14,2,FALSE),'Schedule from TM'!F51),",",TEXT(G51,"mm/dd/yyyy"),"','",TEXT(H51,"h:mm:ss AM/PM"),"'].ub=0.0      #",B51)</f>
        <v xml:space="preserve">                x[team1,team2,sport,'11,Hillel - Gym Basketball','11,11/24/2017','10:30:00 AM'].ub=0.0      #Adult Male Basketball</v>
      </c>
      <c r="AB51" s="301" t="str">
        <f t="shared" si="6"/>
        <v>,,Adult Male Basketball,,1,AD M - ARG 1</v>
      </c>
      <c r="AC51" s="153" t="str">
        <f t="shared" si="7"/>
        <v>Adult Male BasketballAD M - ARG 1</v>
      </c>
      <c r="AD51" s="301" t="str">
        <f t="shared" si="8"/>
        <v>,,Adult Male Basketball,,1,VET - ISR 1</v>
      </c>
      <c r="AE51" s="153" t="str">
        <f t="shared" si="9"/>
        <v>Adult Male BasketballVET - ISR 1</v>
      </c>
      <c r="AF51" s="383">
        <f t="shared" si="10"/>
        <v>0</v>
      </c>
      <c r="AG51" s="383">
        <f t="shared" si="11"/>
        <v>1</v>
      </c>
      <c r="AH51" s="383">
        <f t="shared" si="12"/>
        <v>0</v>
      </c>
      <c r="AI51" s="383">
        <f t="shared" si="13"/>
        <v>1</v>
      </c>
      <c r="AJ51" s="383">
        <f t="shared" si="14"/>
        <v>0</v>
      </c>
      <c r="AK51" s="383">
        <f t="shared" si="15"/>
        <v>0</v>
      </c>
      <c r="AM51" s="148" t="str">
        <f t="shared" si="16"/>
        <v>Schedulled</v>
      </c>
      <c r="AN51" s="148" t="str">
        <f t="shared" si="17"/>
        <v/>
      </c>
      <c r="AO51" s="156">
        <f t="shared" si="18"/>
        <v>43063.4375</v>
      </c>
      <c r="AP51" s="148" t="str">
        <f t="shared" si="19"/>
        <v>11/24/2017 10:30-&gt;Hillel - Gym Basketball</v>
      </c>
      <c r="AQ51" s="374">
        <f t="shared" si="20"/>
        <v>1</v>
      </c>
      <c r="AR51" s="148" t="str">
        <f t="shared" si="21"/>
        <v>ARG1</v>
      </c>
      <c r="AS51" s="148" t="str">
        <f t="shared" si="22"/>
        <v>ISR1</v>
      </c>
      <c r="AT51" s="157" t="str">
        <f t="shared" si="23"/>
        <v>ARG1-ISR1</v>
      </c>
      <c r="AU51" s="157" t="str">
        <f t="shared" si="24"/>
        <v xml:space="preserve">ARG1-ISR1 </v>
      </c>
      <c r="AV51" s="157" t="str">
        <f t="shared" si="25"/>
        <v>Adults MALE</v>
      </c>
      <c r="AW51" s="157" t="str">
        <f t="shared" si="26"/>
        <v>Basketball</v>
      </c>
      <c r="AX51" s="376">
        <f t="shared" si="27"/>
        <v>41</v>
      </c>
      <c r="AY51" s="148" t="str">
        <f t="shared" si="28"/>
        <v>AD M - ARG 1-&gt;VET - ISR 1</v>
      </c>
      <c r="AZ51" s="148" t="str">
        <f t="shared" si="29"/>
        <v>11/24/2017 10:30-&gt;AD M - ARG 1</v>
      </c>
      <c r="BA51" s="148" t="str">
        <f t="shared" si="30"/>
        <v>11/24/2017 10:30-&gt;VET - ISR 1</v>
      </c>
      <c r="BB51" s="374">
        <f t="shared" si="31"/>
        <v>1</v>
      </c>
      <c r="BC51" s="374">
        <f t="shared" si="32"/>
        <v>1</v>
      </c>
      <c r="BD51" s="148" t="str">
        <f t="shared" si="33"/>
        <v>no conflict</v>
      </c>
      <c r="BF51" s="148" t="str">
        <f t="shared" si="34"/>
        <v>11/24/2017 10:30-&gt;AD M - ARG 1</v>
      </c>
      <c r="BG51" s="148" t="str">
        <f t="shared" si="35"/>
        <v>11/24/2017 10:30-&gt;VET - ISR 1</v>
      </c>
      <c r="BH51" s="148" t="str">
        <f t="shared" si="36"/>
        <v>11/24/2017 10:30-&gt;Hillel - Gym Basketball</v>
      </c>
      <c r="BI51" s="148" t="str">
        <f t="shared" si="37"/>
        <v>Basketball in Hillel - Gym Basketball (ARG1-ISR1)</v>
      </c>
      <c r="BJ51" s="148" t="str">
        <f t="shared" si="38"/>
        <v>Adult Male Basketball-- AD M - ARG 1 vs. VET - ISR 1</v>
      </c>
      <c r="BK51" s="148" t="str">
        <f t="shared" si="39"/>
        <v>Basketball</v>
      </c>
      <c r="BL51" s="148" t="str">
        <f t="shared" si="40"/>
        <v>AD M - ARG 1</v>
      </c>
      <c r="BM51" s="148" t="str">
        <f t="shared" si="41"/>
        <v>VET - ISR 1</v>
      </c>
      <c r="BN51" s="148" t="str">
        <f t="shared" si="42"/>
        <v>Round - 1</v>
      </c>
      <c r="BP51" s="148" t="str">
        <f t="shared" si="43"/>
        <v>no t, f, or sf</v>
      </c>
      <c r="BQ51" s="148" t="str">
        <f t="shared" si="44"/>
        <v/>
      </c>
    </row>
    <row r="52" spans="1:69" ht="15" customHeight="1" x14ac:dyDescent="0.2">
      <c r="A52" s="376">
        <v>42</v>
      </c>
      <c r="B52" t="s">
        <v>85</v>
      </c>
      <c r="C52" t="s">
        <v>518</v>
      </c>
      <c r="D52" s="381">
        <v>1</v>
      </c>
      <c r="E52" s="381">
        <v>1</v>
      </c>
      <c r="F52" t="s">
        <v>770</v>
      </c>
      <c r="G52" s="335">
        <v>43063</v>
      </c>
      <c r="H52" s="336">
        <v>0.54166666666666663</v>
      </c>
      <c r="I52" t="s">
        <v>770</v>
      </c>
      <c r="J52" t="s">
        <v>707</v>
      </c>
      <c r="K52">
        <v>812</v>
      </c>
      <c r="L52" t="s">
        <v>539</v>
      </c>
      <c r="M52">
        <v>812</v>
      </c>
      <c r="N52" t="s">
        <v>541</v>
      </c>
      <c r="O52" s="153" t="str">
        <f>IF(L52&lt;&gt;"",IFERROR(VLOOKUP(B52&amp;L52,Pools!$A$2:$D$130,3,FALSE),""),"")</f>
        <v/>
      </c>
      <c r="P52" s="388">
        <v>39</v>
      </c>
      <c r="Q52" s="388">
        <v>42</v>
      </c>
      <c r="R52" s="306" t="str">
        <f t="shared" si="0"/>
        <v>39-42</v>
      </c>
      <c r="T52" s="148" t="str">
        <f t="shared" si="1"/>
        <v>Completed</v>
      </c>
      <c r="U52" s="153"/>
      <c r="V52" s="153"/>
      <c r="W52" s="387">
        <f t="shared" si="2"/>
        <v>-3</v>
      </c>
      <c r="X52" s="387">
        <f t="shared" si="3"/>
        <v>3</v>
      </c>
      <c r="Y52" s="301">
        <f t="shared" si="4"/>
        <v>0</v>
      </c>
      <c r="Z52" s="301">
        <f t="shared" si="5"/>
        <v>2</v>
      </c>
      <c r="AA52" s="323" t="str">
        <f>CONCATENATE("                x[team1,team2,sport,'",IF(OR(I52="x",I52=""),VLOOKUP('Schedule from TM'!J52,Tables!$P$3:$Q$33,2,FALSE),'Schedule from TM'!I52),",",J52,"','",IF(OR(F52="x",F52=""),VLOOKUP('Schedule from TM'!G52,Tables!$U$3:$V$14,2,FALSE),'Schedule from TM'!F52),",",TEXT(G52,"mm/dd/yyyy"),"','",TEXT(H52,"h:mm:ss AM/PM"),"'].ub=0.0      #",B52)</f>
        <v xml:space="preserve">                x[team1,team2,sport,'21,Hillel - Gym Basketball','11,11/24/2017','1:00:00 PM'].ub=0.0      #Adult Male Basketball</v>
      </c>
      <c r="AB52" s="301" t="str">
        <f t="shared" si="6"/>
        <v>,,Adult Male Basketball,,1,AD M - USA 1</v>
      </c>
      <c r="AC52" s="153" t="str">
        <f t="shared" si="7"/>
        <v>Adult Male BasketballAD M - USA 1</v>
      </c>
      <c r="AD52" s="301" t="str">
        <f t="shared" si="8"/>
        <v>,,Adult Male Basketball,,1,AD M - ISR 1</v>
      </c>
      <c r="AE52" s="153" t="str">
        <f t="shared" si="9"/>
        <v>Adult Male BasketballAD M - ISR 1</v>
      </c>
      <c r="AF52" s="383">
        <f t="shared" si="10"/>
        <v>0</v>
      </c>
      <c r="AG52" s="383">
        <f t="shared" si="11"/>
        <v>1</v>
      </c>
      <c r="AH52" s="383">
        <f t="shared" si="12"/>
        <v>0</v>
      </c>
      <c r="AI52" s="383">
        <f t="shared" si="13"/>
        <v>1</v>
      </c>
      <c r="AJ52" s="383">
        <f t="shared" si="14"/>
        <v>0</v>
      </c>
      <c r="AK52" s="383">
        <f t="shared" si="15"/>
        <v>0</v>
      </c>
      <c r="AM52" s="148" t="str">
        <f t="shared" si="16"/>
        <v>Schedulled</v>
      </c>
      <c r="AN52" s="148" t="str">
        <f t="shared" si="17"/>
        <v/>
      </c>
      <c r="AO52" s="156">
        <f t="shared" si="18"/>
        <v>43063.541666666664</v>
      </c>
      <c r="AP52" s="148" t="str">
        <f t="shared" si="19"/>
        <v>11/24/2017 13:00-&gt;Hillel - Gym Basketball</v>
      </c>
      <c r="AQ52" s="374">
        <f t="shared" si="20"/>
        <v>1</v>
      </c>
      <c r="AR52" s="148" t="str">
        <f t="shared" si="21"/>
        <v>USA1</v>
      </c>
      <c r="AS52" s="148" t="str">
        <f t="shared" si="22"/>
        <v>ISR1</v>
      </c>
      <c r="AT52" s="157" t="str">
        <f t="shared" si="23"/>
        <v>USA1-ISR1</v>
      </c>
      <c r="AU52" s="157" t="str">
        <f t="shared" si="24"/>
        <v xml:space="preserve">USA1-ISR1 </v>
      </c>
      <c r="AV52" s="157" t="str">
        <f t="shared" si="25"/>
        <v>Adults MALE</v>
      </c>
      <c r="AW52" s="157" t="str">
        <f t="shared" si="26"/>
        <v>Basketball</v>
      </c>
      <c r="AX52" s="376">
        <f t="shared" si="27"/>
        <v>42</v>
      </c>
      <c r="AY52" s="148" t="str">
        <f t="shared" si="28"/>
        <v>AD M - USA 1-&gt;AD M - ISR 1</v>
      </c>
      <c r="AZ52" s="148" t="str">
        <f t="shared" si="29"/>
        <v>11/24/2017 13:00-&gt;AD M - USA 1</v>
      </c>
      <c r="BA52" s="148" t="str">
        <f t="shared" si="30"/>
        <v>11/24/2017 13:00-&gt;AD M - ISR 1</v>
      </c>
      <c r="BB52" s="374">
        <f t="shared" si="31"/>
        <v>1</v>
      </c>
      <c r="BC52" s="374">
        <f t="shared" si="32"/>
        <v>1</v>
      </c>
      <c r="BD52" s="148" t="str">
        <f t="shared" si="33"/>
        <v>no conflict</v>
      </c>
      <c r="BF52" s="148" t="str">
        <f t="shared" si="34"/>
        <v>11/24/2017 13:00-&gt;AD M - USA 1</v>
      </c>
      <c r="BG52" s="148" t="str">
        <f t="shared" si="35"/>
        <v>11/24/2017 13:00-&gt;AD M - ISR 1</v>
      </c>
      <c r="BH52" s="148" t="str">
        <f t="shared" si="36"/>
        <v>11/24/2017 13:00-&gt;Hillel - Gym Basketball</v>
      </c>
      <c r="BI52" s="148" t="str">
        <f t="shared" si="37"/>
        <v>Basketball in Hillel - Gym Basketball (USA1-ISR1)</v>
      </c>
      <c r="BJ52" s="148" t="str">
        <f t="shared" si="38"/>
        <v>Adult Male Basketball-- AD M - USA 1 vs. AD M - ISR 1</v>
      </c>
      <c r="BK52" s="148" t="str">
        <f t="shared" si="39"/>
        <v>Basketball</v>
      </c>
      <c r="BL52" s="148" t="str">
        <f t="shared" si="40"/>
        <v>AD M - USA 1</v>
      </c>
      <c r="BM52" s="148" t="str">
        <f t="shared" si="41"/>
        <v>AD M - ISR 1</v>
      </c>
      <c r="BN52" s="148" t="str">
        <f t="shared" si="42"/>
        <v>Round - 1</v>
      </c>
      <c r="BP52" s="148" t="str">
        <f t="shared" si="43"/>
        <v>no t, f, or sf</v>
      </c>
      <c r="BQ52" s="148" t="str">
        <f t="shared" si="44"/>
        <v/>
      </c>
    </row>
    <row r="53" spans="1:69" ht="15" customHeight="1" x14ac:dyDescent="0.2">
      <c r="A53" s="376">
        <v>43</v>
      </c>
      <c r="B53" t="s">
        <v>85</v>
      </c>
      <c r="C53" t="s">
        <v>518</v>
      </c>
      <c r="D53" s="381">
        <v>1</v>
      </c>
      <c r="E53" s="381">
        <v>1</v>
      </c>
      <c r="F53" t="s">
        <v>770</v>
      </c>
      <c r="G53" s="335">
        <v>43063</v>
      </c>
      <c r="H53" s="336">
        <v>0.36805555555555558</v>
      </c>
      <c r="I53" t="s">
        <v>770</v>
      </c>
      <c r="J53" t="s">
        <v>707</v>
      </c>
      <c r="K53">
        <v>812</v>
      </c>
      <c r="L53" t="s">
        <v>533</v>
      </c>
      <c r="M53">
        <v>812</v>
      </c>
      <c r="N53" t="s">
        <v>538</v>
      </c>
      <c r="O53" s="153" t="str">
        <f>IF(L53&lt;&gt;"",IFERROR(VLOOKUP(B53&amp;L53,Pools!$A$2:$D$130,3,FALSE),""),"")</f>
        <v/>
      </c>
      <c r="P53" s="388">
        <v>44</v>
      </c>
      <c r="Q53" s="388">
        <v>38</v>
      </c>
      <c r="R53" s="306" t="str">
        <f t="shared" si="0"/>
        <v>44-38</v>
      </c>
      <c r="T53" s="148" t="str">
        <f t="shared" si="1"/>
        <v>Completed</v>
      </c>
      <c r="U53" s="153"/>
      <c r="V53" s="153"/>
      <c r="W53" s="387">
        <f t="shared" si="2"/>
        <v>6</v>
      </c>
      <c r="X53" s="387">
        <f t="shared" si="3"/>
        <v>-6</v>
      </c>
      <c r="Y53" s="301">
        <f t="shared" si="4"/>
        <v>2</v>
      </c>
      <c r="Z53" s="301">
        <f t="shared" si="5"/>
        <v>0</v>
      </c>
      <c r="AA53" s="323" t="str">
        <f>CONCATENATE("                x[team1,team2,sport,'",IF(OR(I53="x",I53=""),VLOOKUP('Schedule from TM'!J53,Tables!$P$3:$Q$33,2,FALSE),'Schedule from TM'!I53),",",J53,"','",IF(OR(F53="x",F53=""),VLOOKUP('Schedule from TM'!G53,Tables!$U$3:$V$14,2,FALSE),'Schedule from TM'!F53),",",TEXT(G53,"mm/dd/yyyy"),"','",TEXT(H53,"h:mm:ss AM/PM"),"'].ub=0.0      #",B53)</f>
        <v xml:space="preserve">                x[team1,team2,sport,'21,Hillel - Gym Basketball','11,11/24/2017','8:50:00 AM'].ub=0.0      #Adult Male Basketball</v>
      </c>
      <c r="AB53" s="301" t="str">
        <f t="shared" si="6"/>
        <v>,,Adult Male Basketball,,1,AD M - ARG 1</v>
      </c>
      <c r="AC53" s="153" t="str">
        <f t="shared" si="7"/>
        <v>Adult Male BasketballAD M - ARG 1</v>
      </c>
      <c r="AD53" s="301" t="str">
        <f t="shared" si="8"/>
        <v>,,Adult Male Basketball,,1,AD M - PER</v>
      </c>
      <c r="AE53" s="153" t="str">
        <f t="shared" si="9"/>
        <v>Adult Male BasketballAD M - PER</v>
      </c>
      <c r="AF53" s="383">
        <f t="shared" si="10"/>
        <v>1</v>
      </c>
      <c r="AG53" s="383">
        <f t="shared" si="11"/>
        <v>0</v>
      </c>
      <c r="AH53" s="383">
        <f t="shared" si="12"/>
        <v>0</v>
      </c>
      <c r="AI53" s="383">
        <f t="shared" si="13"/>
        <v>0</v>
      </c>
      <c r="AJ53" s="383">
        <f t="shared" si="14"/>
        <v>1</v>
      </c>
      <c r="AK53" s="383">
        <f t="shared" si="15"/>
        <v>0</v>
      </c>
      <c r="AM53" s="148" t="str">
        <f t="shared" si="16"/>
        <v>Schedulled</v>
      </c>
      <c r="AN53" s="148" t="str">
        <f t="shared" si="17"/>
        <v/>
      </c>
      <c r="AO53" s="156">
        <f t="shared" si="18"/>
        <v>43063.368055555555</v>
      </c>
      <c r="AP53" s="148" t="str">
        <f t="shared" si="19"/>
        <v>11/24/2017 08:50-&gt;Hillel - Gym Basketball</v>
      </c>
      <c r="AQ53" s="374">
        <f t="shared" si="20"/>
        <v>1</v>
      </c>
      <c r="AR53" s="148" t="str">
        <f t="shared" si="21"/>
        <v>ARG1</v>
      </c>
      <c r="AS53" s="148" t="str">
        <f t="shared" si="22"/>
        <v>PER</v>
      </c>
      <c r="AT53" s="157" t="str">
        <f t="shared" si="23"/>
        <v>ARG1-PER</v>
      </c>
      <c r="AU53" s="157" t="str">
        <f t="shared" si="24"/>
        <v xml:space="preserve">ARG1-PER </v>
      </c>
      <c r="AV53" s="157" t="str">
        <f t="shared" si="25"/>
        <v>Adults MALE</v>
      </c>
      <c r="AW53" s="157" t="str">
        <f t="shared" si="26"/>
        <v>Basketball</v>
      </c>
      <c r="AX53" s="376">
        <f t="shared" si="27"/>
        <v>43</v>
      </c>
      <c r="AY53" s="148" t="str">
        <f t="shared" si="28"/>
        <v>AD M - ARG 1-&gt;AD M - PER</v>
      </c>
      <c r="AZ53" s="148" t="str">
        <f t="shared" si="29"/>
        <v>11/24/2017 08:50-&gt;AD M - ARG 1</v>
      </c>
      <c r="BA53" s="148" t="str">
        <f t="shared" si="30"/>
        <v>11/24/2017 08:50-&gt;AD M - PER</v>
      </c>
      <c r="BB53" s="374">
        <f t="shared" si="31"/>
        <v>1</v>
      </c>
      <c r="BC53" s="374">
        <f t="shared" si="32"/>
        <v>1</v>
      </c>
      <c r="BD53" s="148" t="str">
        <f t="shared" si="33"/>
        <v>no conflict</v>
      </c>
      <c r="BF53" s="148" t="str">
        <f t="shared" si="34"/>
        <v>11/24/2017 08:50-&gt;AD M - ARG 1</v>
      </c>
      <c r="BG53" s="148" t="str">
        <f t="shared" si="35"/>
        <v>11/24/2017 08:50-&gt;AD M - PER</v>
      </c>
      <c r="BH53" s="148" t="str">
        <f t="shared" si="36"/>
        <v>11/24/2017 08:50-&gt;Hillel - Gym Basketball</v>
      </c>
      <c r="BI53" s="148" t="str">
        <f t="shared" si="37"/>
        <v>Basketball in Hillel - Gym Basketball (ARG1-PER)</v>
      </c>
      <c r="BJ53" s="148" t="str">
        <f t="shared" si="38"/>
        <v>Adult Male Basketball-- AD M - ARG 1 vs. AD M - PER</v>
      </c>
      <c r="BK53" s="148" t="str">
        <f t="shared" si="39"/>
        <v>Basketball</v>
      </c>
      <c r="BL53" s="148" t="str">
        <f t="shared" si="40"/>
        <v>AD M - ARG 1</v>
      </c>
      <c r="BM53" s="148" t="str">
        <f t="shared" si="41"/>
        <v>AD M - PER</v>
      </c>
      <c r="BN53" s="148" t="str">
        <f t="shared" si="42"/>
        <v>Round - 1</v>
      </c>
      <c r="BP53" s="148" t="str">
        <f t="shared" si="43"/>
        <v>no t, f, or sf</v>
      </c>
      <c r="BQ53" s="148" t="str">
        <f t="shared" si="44"/>
        <v/>
      </c>
    </row>
    <row r="54" spans="1:69" ht="15" customHeight="1" x14ac:dyDescent="0.2">
      <c r="A54" s="376">
        <v>44</v>
      </c>
      <c r="B54" t="s">
        <v>465</v>
      </c>
      <c r="C54" s="441" t="s">
        <v>518</v>
      </c>
      <c r="D54" s="451">
        <v>1</v>
      </c>
      <c r="E54" s="451">
        <v>1</v>
      </c>
      <c r="F54" s="444" t="s">
        <v>770</v>
      </c>
      <c r="G54" s="320">
        <v>43061</v>
      </c>
      <c r="H54" s="317">
        <v>0.78472222222222221</v>
      </c>
      <c r="I54" s="446" t="s">
        <v>770</v>
      </c>
      <c r="J54" s="443" t="s">
        <v>703</v>
      </c>
      <c r="K54" s="444"/>
      <c r="L54" s="444" t="s">
        <v>539</v>
      </c>
      <c r="M54" s="441" t="s">
        <v>538</v>
      </c>
      <c r="N54" s="441" t="s">
        <v>541</v>
      </c>
      <c r="O54" s="153" t="str">
        <f>IF(L54&lt;&gt;"",IFERROR(VLOOKUP(B54&amp;L54,Pools!$A$2:$D$130,3,FALSE),""),"")</f>
        <v/>
      </c>
      <c r="P54" s="388">
        <v>20</v>
      </c>
      <c r="Q54" s="388">
        <v>36</v>
      </c>
      <c r="R54" s="306" t="str">
        <f t="shared" si="0"/>
        <v>20-36</v>
      </c>
      <c r="T54" s="148" t="str">
        <f t="shared" si="1"/>
        <v>Completed</v>
      </c>
      <c r="U54" s="153"/>
      <c r="V54" s="153"/>
      <c r="W54" s="387">
        <f t="shared" si="2"/>
        <v>-16</v>
      </c>
      <c r="X54" s="387">
        <f t="shared" si="3"/>
        <v>16</v>
      </c>
      <c r="Y54" s="301">
        <f t="shared" si="4"/>
        <v>0</v>
      </c>
      <c r="Z54" s="301">
        <f t="shared" si="5"/>
        <v>2</v>
      </c>
      <c r="AA54" s="323" t="str">
        <f>CONCATENATE("                x[team1,team2,sport,'",IF(OR(I54="x",I54=""),VLOOKUP('Schedule from TM'!J54,Tables!$P$3:$Q$33,2,FALSE),'Schedule from TM'!I54),",",J54,"','",IF(OR(F54="x",F54=""),VLOOKUP('Schedule from TM'!G54,Tables!$U$3:$V$14,2,FALSE),'Schedule from TM'!F54),",",TEXT(G54,"mm/dd/yyyy"),"','",TEXT(H54,"h:mm:ss AM/PM"),"'].ub=0.0      #",B54)</f>
        <v xml:space="preserve">                x[team1,team2,sport,'21,Hillel - Field 1','22,11/22/2017','6:50:00 PM'].ub=0.0      #Adult Male Flag Football</v>
      </c>
      <c r="AB54" s="301" t="str">
        <f t="shared" si="6"/>
        <v>,,Adult Male Flag Football,,1,AD M - USA 1</v>
      </c>
      <c r="AC54" s="153" t="str">
        <f t="shared" si="7"/>
        <v>Adult Male Flag FootballAD M - USA 1</v>
      </c>
      <c r="AD54" s="301" t="str">
        <f t="shared" si="8"/>
        <v>,,Adult Male Flag Football,,1,AD M - ISR 1</v>
      </c>
      <c r="AE54" s="153" t="str">
        <f t="shared" si="9"/>
        <v>Adult Male Flag FootballAD M - ISR 1</v>
      </c>
      <c r="AF54" s="383">
        <f t="shared" si="10"/>
        <v>0</v>
      </c>
      <c r="AG54" s="383">
        <f t="shared" si="11"/>
        <v>1</v>
      </c>
      <c r="AH54" s="383">
        <f t="shared" si="12"/>
        <v>0</v>
      </c>
      <c r="AI54" s="383">
        <f t="shared" si="13"/>
        <v>1</v>
      </c>
      <c r="AJ54" s="383">
        <f t="shared" si="14"/>
        <v>0</v>
      </c>
      <c r="AK54" s="383">
        <f t="shared" si="15"/>
        <v>0</v>
      </c>
      <c r="AM54" s="148" t="str">
        <f t="shared" si="16"/>
        <v>Schedulled</v>
      </c>
      <c r="AN54" s="148" t="str">
        <f t="shared" si="17"/>
        <v/>
      </c>
      <c r="AO54" s="156">
        <f t="shared" si="18"/>
        <v>43061.784722222219</v>
      </c>
      <c r="AP54" s="148" t="str">
        <f t="shared" si="19"/>
        <v>11/22/2017 18:50-&gt;Hillel - Field 1</v>
      </c>
      <c r="AQ54" s="374">
        <f t="shared" si="20"/>
        <v>1</v>
      </c>
      <c r="AR54" s="148" t="str">
        <f t="shared" si="21"/>
        <v>USA1</v>
      </c>
      <c r="AS54" s="148" t="str">
        <f t="shared" si="22"/>
        <v>ISR1</v>
      </c>
      <c r="AT54" s="157" t="str">
        <f t="shared" si="23"/>
        <v>USA1-ISR1</v>
      </c>
      <c r="AU54" s="157" t="str">
        <f t="shared" si="24"/>
        <v xml:space="preserve">USA1-ISR1 </v>
      </c>
      <c r="AV54" s="157" t="str">
        <f t="shared" si="25"/>
        <v>Adults MALE</v>
      </c>
      <c r="AW54" s="157" t="str">
        <f t="shared" si="26"/>
        <v>Flag Football</v>
      </c>
      <c r="AX54" s="376">
        <f t="shared" si="27"/>
        <v>44</v>
      </c>
      <c r="AY54" s="148" t="str">
        <f t="shared" si="28"/>
        <v>AD M - USA 1-&gt;AD M - ISR 1</v>
      </c>
      <c r="AZ54" s="148" t="str">
        <f t="shared" si="29"/>
        <v>11/22/2017 18:50-&gt;AD M - USA 1</v>
      </c>
      <c r="BA54" s="148" t="str">
        <f t="shared" si="30"/>
        <v>11/22/2017 18:50-&gt;AD M - ISR 1</v>
      </c>
      <c r="BB54" s="374">
        <f t="shared" si="31"/>
        <v>1</v>
      </c>
      <c r="BC54" s="374">
        <f t="shared" si="32"/>
        <v>1</v>
      </c>
      <c r="BD54" s="148" t="str">
        <f t="shared" si="33"/>
        <v>no conflict</v>
      </c>
      <c r="BF54" s="148" t="str">
        <f t="shared" si="34"/>
        <v>11/22/2017 18:50-&gt;AD M - USA 1</v>
      </c>
      <c r="BG54" s="148" t="str">
        <f t="shared" si="35"/>
        <v>11/22/2017 18:50-&gt;AD M - ISR 1</v>
      </c>
      <c r="BH54" s="148" t="str">
        <f t="shared" si="36"/>
        <v>11/22/2017 18:50-&gt;Hillel - Field 1</v>
      </c>
      <c r="BI54" s="148" t="str">
        <f t="shared" si="37"/>
        <v>Flag Football in Hillel - Field 1 (USA1-ISR1)</v>
      </c>
      <c r="BJ54" s="148" t="str">
        <f t="shared" si="38"/>
        <v>Adult Male Flag Football-- AD M - USA 1 vs. AD M - ISR 1</v>
      </c>
      <c r="BK54" s="148" t="str">
        <f t="shared" si="39"/>
        <v>Flag Football</v>
      </c>
      <c r="BL54" s="148" t="str">
        <f t="shared" si="40"/>
        <v>AD M - USA 1</v>
      </c>
      <c r="BM54" s="148" t="str">
        <f t="shared" si="41"/>
        <v>AD M - ISR 1</v>
      </c>
      <c r="BN54" s="148" t="str">
        <f t="shared" si="42"/>
        <v>Round - 1</v>
      </c>
      <c r="BP54" s="148" t="str">
        <f t="shared" si="43"/>
        <v>no t, f, or sf</v>
      </c>
      <c r="BQ54" s="148" t="str">
        <f t="shared" si="44"/>
        <v/>
      </c>
    </row>
    <row r="55" spans="1:69" ht="15" customHeight="1" x14ac:dyDescent="0.2">
      <c r="A55" s="376">
        <v>45</v>
      </c>
      <c r="B55" t="s">
        <v>465</v>
      </c>
      <c r="C55" s="441" t="s">
        <v>518</v>
      </c>
      <c r="D55" s="451">
        <v>1</v>
      </c>
      <c r="E55" s="451">
        <v>1</v>
      </c>
      <c r="F55" s="444" t="s">
        <v>770</v>
      </c>
      <c r="G55" s="320">
        <v>43061</v>
      </c>
      <c r="H55" s="318">
        <v>0.85416666666666663</v>
      </c>
      <c r="I55" s="446" t="s">
        <v>770</v>
      </c>
      <c r="J55" s="443" t="s">
        <v>703</v>
      </c>
      <c r="K55" s="444"/>
      <c r="L55" s="444" t="s">
        <v>539</v>
      </c>
      <c r="M55"/>
      <c r="N55" s="441" t="s">
        <v>538</v>
      </c>
      <c r="O55" s="153" t="str">
        <f>IF(L55&lt;&gt;"",IFERROR(VLOOKUP(B55&amp;L55,Pools!$A$2:$D$130,3,FALSE),""),"")</f>
        <v/>
      </c>
      <c r="P55" s="388">
        <v>13</v>
      </c>
      <c r="Q55" s="388">
        <v>25</v>
      </c>
      <c r="R55" s="306" t="str">
        <f t="shared" si="0"/>
        <v>13-25</v>
      </c>
      <c r="T55" s="148" t="str">
        <f t="shared" si="1"/>
        <v>Completed</v>
      </c>
      <c r="U55" s="153"/>
      <c r="V55" s="153"/>
      <c r="W55" s="387">
        <f t="shared" si="2"/>
        <v>-12</v>
      </c>
      <c r="X55" s="387">
        <f t="shared" si="3"/>
        <v>12</v>
      </c>
      <c r="Y55" s="301">
        <f t="shared" si="4"/>
        <v>0</v>
      </c>
      <c r="Z55" s="301">
        <f t="shared" si="5"/>
        <v>2</v>
      </c>
      <c r="AA55" s="323" t="str">
        <f>CONCATENATE("                x[team1,team2,sport,'",IF(OR(I55="x",I55=""),VLOOKUP('Schedule from TM'!J55,Tables!$P$3:$Q$33,2,FALSE),'Schedule from TM'!I55),",",J55,"','",IF(OR(F55="x",F55=""),VLOOKUP('Schedule from TM'!G55,Tables!$U$3:$V$14,2,FALSE),'Schedule from TM'!F55),",",TEXT(G55,"mm/dd/yyyy"),"','",TEXT(H55,"h:mm:ss AM/PM"),"'].ub=0.0      #",B55)</f>
        <v xml:space="preserve">                x[team1,team2,sport,'21,Hillel - Field 1','22,11/22/2017','8:30:00 PM'].ub=0.0      #Adult Male Flag Football</v>
      </c>
      <c r="AB55" s="301" t="str">
        <f t="shared" si="6"/>
        <v>,,Adult Male Flag Football,,1,AD M - USA 1</v>
      </c>
      <c r="AC55" s="153" t="str">
        <f t="shared" si="7"/>
        <v>Adult Male Flag FootballAD M - USA 1</v>
      </c>
      <c r="AD55" s="301" t="str">
        <f t="shared" si="8"/>
        <v>,,Adult Male Flag Football,,1,AD M - PER</v>
      </c>
      <c r="AE55" s="153" t="str">
        <f t="shared" si="9"/>
        <v>Adult Male Flag FootballAD M - PER</v>
      </c>
      <c r="AF55" s="383">
        <f t="shared" si="10"/>
        <v>0</v>
      </c>
      <c r="AG55" s="383">
        <f t="shared" si="11"/>
        <v>1</v>
      </c>
      <c r="AH55" s="383">
        <f t="shared" si="12"/>
        <v>0</v>
      </c>
      <c r="AI55" s="383">
        <f t="shared" si="13"/>
        <v>1</v>
      </c>
      <c r="AJ55" s="383">
        <f t="shared" si="14"/>
        <v>0</v>
      </c>
      <c r="AK55" s="383">
        <f t="shared" si="15"/>
        <v>0</v>
      </c>
      <c r="AM55" s="148" t="str">
        <f t="shared" si="16"/>
        <v>Schedulled</v>
      </c>
      <c r="AN55" s="148" t="str">
        <f t="shared" si="17"/>
        <v/>
      </c>
      <c r="AO55" s="156">
        <f t="shared" si="18"/>
        <v>43061.854166666664</v>
      </c>
      <c r="AP55" s="148" t="str">
        <f t="shared" si="19"/>
        <v>11/22/2017 20:30-&gt;Hillel - Field 1</v>
      </c>
      <c r="AQ55" s="374">
        <f t="shared" si="20"/>
        <v>1</v>
      </c>
      <c r="AR55" s="148" t="str">
        <f t="shared" si="21"/>
        <v>USA1</v>
      </c>
      <c r="AS55" s="148" t="str">
        <f t="shared" si="22"/>
        <v>PER</v>
      </c>
      <c r="AT55" s="157" t="str">
        <f t="shared" si="23"/>
        <v>USA1-PER</v>
      </c>
      <c r="AU55" s="157" t="str">
        <f t="shared" si="24"/>
        <v xml:space="preserve">USA1-PER </v>
      </c>
      <c r="AV55" s="157" t="str">
        <f t="shared" si="25"/>
        <v>Adults MALE</v>
      </c>
      <c r="AW55" s="157" t="str">
        <f t="shared" si="26"/>
        <v>Flag Football</v>
      </c>
      <c r="AX55" s="376">
        <f t="shared" si="27"/>
        <v>45</v>
      </c>
      <c r="AY55" s="148" t="str">
        <f t="shared" si="28"/>
        <v>AD M - USA 1-&gt;AD M - PER</v>
      </c>
      <c r="AZ55" s="148" t="str">
        <f t="shared" si="29"/>
        <v>11/22/2017 20:30-&gt;AD M - USA 1</v>
      </c>
      <c r="BA55" s="148" t="str">
        <f t="shared" si="30"/>
        <v>11/22/2017 20:30-&gt;AD M - PER</v>
      </c>
      <c r="BB55" s="374">
        <f t="shared" si="31"/>
        <v>1</v>
      </c>
      <c r="BC55" s="374">
        <f t="shared" si="32"/>
        <v>1</v>
      </c>
      <c r="BD55" s="148" t="str">
        <f t="shared" si="33"/>
        <v>no conflict</v>
      </c>
      <c r="BF55" s="148" t="str">
        <f t="shared" si="34"/>
        <v>11/22/2017 20:30-&gt;AD M - USA 1</v>
      </c>
      <c r="BG55" s="148" t="str">
        <f t="shared" si="35"/>
        <v>11/22/2017 20:30-&gt;AD M - PER</v>
      </c>
      <c r="BH55" s="148" t="str">
        <f t="shared" si="36"/>
        <v>11/22/2017 20:30-&gt;Hillel - Field 1</v>
      </c>
      <c r="BI55" s="148" t="str">
        <f t="shared" si="37"/>
        <v>Flag Football in Hillel - Field 1 (USA1-PER)</v>
      </c>
      <c r="BJ55" s="148" t="str">
        <f t="shared" si="38"/>
        <v>Adult Male Flag Football-- AD M - USA 1 vs. AD M - PER</v>
      </c>
      <c r="BK55" s="148" t="str">
        <f t="shared" si="39"/>
        <v>Flag Football</v>
      </c>
      <c r="BL55" s="148" t="str">
        <f t="shared" si="40"/>
        <v>AD M - USA 1</v>
      </c>
      <c r="BM55" s="148" t="str">
        <f t="shared" si="41"/>
        <v>AD M - PER</v>
      </c>
      <c r="BN55" s="148" t="str">
        <f t="shared" si="42"/>
        <v>Round - 1</v>
      </c>
      <c r="BP55" s="148" t="str">
        <f t="shared" si="43"/>
        <v>no t, f, or sf</v>
      </c>
      <c r="BQ55" s="148" t="str">
        <f t="shared" si="44"/>
        <v/>
      </c>
    </row>
    <row r="56" spans="1:69" ht="15" customHeight="1" x14ac:dyDescent="0.2">
      <c r="A56" s="376">
        <v>46</v>
      </c>
      <c r="B56" t="s">
        <v>465</v>
      </c>
      <c r="C56" s="441" t="s">
        <v>518</v>
      </c>
      <c r="D56" s="451">
        <v>1</v>
      </c>
      <c r="E56" s="451">
        <v>1</v>
      </c>
      <c r="F56" s="444" t="s">
        <v>770</v>
      </c>
      <c r="G56" s="320">
        <v>43061</v>
      </c>
      <c r="H56" s="317">
        <v>0.81944444444444453</v>
      </c>
      <c r="I56" s="446" t="s">
        <v>770</v>
      </c>
      <c r="J56" s="443" t="s">
        <v>705</v>
      </c>
      <c r="K56" s="444"/>
      <c r="L56" s="441" t="s">
        <v>538</v>
      </c>
      <c r="M56"/>
      <c r="N56" s="441" t="s">
        <v>541</v>
      </c>
      <c r="O56" s="153" t="str">
        <f>IF(L56&lt;&gt;"",IFERROR(VLOOKUP(B56&amp;L56,Pools!$A$2:$D$130,3,FALSE),""),"")</f>
        <v/>
      </c>
      <c r="P56" s="388">
        <v>0</v>
      </c>
      <c r="Q56" s="388">
        <v>26</v>
      </c>
      <c r="R56" s="306" t="str">
        <f t="shared" si="0"/>
        <v>0-26</v>
      </c>
      <c r="T56" s="148" t="str">
        <f t="shared" si="1"/>
        <v>Completed</v>
      </c>
      <c r="U56" s="153"/>
      <c r="V56" s="153"/>
      <c r="W56" s="387">
        <f t="shared" si="2"/>
        <v>-21</v>
      </c>
      <c r="X56" s="387">
        <f t="shared" si="3"/>
        <v>21</v>
      </c>
      <c r="Y56" s="301">
        <f t="shared" si="4"/>
        <v>0</v>
      </c>
      <c r="Z56" s="301">
        <f t="shared" si="5"/>
        <v>2</v>
      </c>
      <c r="AA56" s="323" t="str">
        <f>CONCATENATE("                x[team1,team2,sport,'",IF(OR(I56="x",I56=""),VLOOKUP('Schedule from TM'!J56,Tables!$P$3:$Q$33,2,FALSE),'Schedule from TM'!I56),",",J56,"','",IF(OR(F56="x",F56=""),VLOOKUP('Schedule from TM'!G56,Tables!$U$3:$V$14,2,FALSE),'Schedule from TM'!F56),",",TEXT(G56,"mm/dd/yyyy"),"','",TEXT(H56,"h:mm:ss AM/PM"),"'].ub=0.0      #",B56)</f>
        <v xml:space="preserve">                x[team1,team2,sport,'21,Hillel - Field 3','22,11/22/2017','7:40:00 PM'].ub=0.0      #Adult Male Flag Football</v>
      </c>
      <c r="AB56" s="301" t="str">
        <f t="shared" si="6"/>
        <v>,,Adult Male Flag Football,,1,AD M - PER</v>
      </c>
      <c r="AC56" s="153" t="str">
        <f t="shared" si="7"/>
        <v>Adult Male Flag FootballAD M - PER</v>
      </c>
      <c r="AD56" s="301" t="str">
        <f t="shared" si="8"/>
        <v>,,Adult Male Flag Football,,1,AD M - ISR 1</v>
      </c>
      <c r="AE56" s="153" t="str">
        <f t="shared" si="9"/>
        <v>Adult Male Flag FootballAD M - ISR 1</v>
      </c>
      <c r="AF56" s="383">
        <f t="shared" si="10"/>
        <v>0</v>
      </c>
      <c r="AG56" s="383">
        <f t="shared" si="11"/>
        <v>1</v>
      </c>
      <c r="AH56" s="383">
        <f t="shared" si="12"/>
        <v>0</v>
      </c>
      <c r="AI56" s="383">
        <f t="shared" si="13"/>
        <v>1</v>
      </c>
      <c r="AJ56" s="383">
        <f t="shared" si="14"/>
        <v>0</v>
      </c>
      <c r="AK56" s="383">
        <f t="shared" si="15"/>
        <v>0</v>
      </c>
      <c r="AM56" s="148" t="str">
        <f t="shared" si="16"/>
        <v>Schedulled</v>
      </c>
      <c r="AN56" s="148" t="str">
        <f t="shared" si="17"/>
        <v/>
      </c>
      <c r="AO56" s="156">
        <f t="shared" si="18"/>
        <v>43061.819444444445</v>
      </c>
      <c r="AP56" s="148" t="str">
        <f t="shared" si="19"/>
        <v>11/22/2017 19:40-&gt;Hillel - Field 3</v>
      </c>
      <c r="AQ56" s="374">
        <f t="shared" si="20"/>
        <v>1</v>
      </c>
      <c r="AR56" s="148" t="str">
        <f t="shared" si="21"/>
        <v>PER</v>
      </c>
      <c r="AS56" s="148" t="str">
        <f t="shared" si="22"/>
        <v>ISR1</v>
      </c>
      <c r="AT56" s="157" t="str">
        <f t="shared" si="23"/>
        <v>PER-ISR1</v>
      </c>
      <c r="AU56" s="157" t="str">
        <f t="shared" si="24"/>
        <v xml:space="preserve">PER-ISR1 </v>
      </c>
      <c r="AV56" s="157" t="str">
        <f t="shared" si="25"/>
        <v>Adults MALE</v>
      </c>
      <c r="AW56" s="157" t="str">
        <f t="shared" si="26"/>
        <v>Flag Football</v>
      </c>
      <c r="AX56" s="376">
        <f t="shared" si="27"/>
        <v>46</v>
      </c>
      <c r="AY56" s="148" t="str">
        <f t="shared" si="28"/>
        <v>AD M - PER-&gt;AD M - ISR 1</v>
      </c>
      <c r="AZ56" s="148" t="str">
        <f t="shared" si="29"/>
        <v>11/22/2017 19:40-&gt;AD M - PER</v>
      </c>
      <c r="BA56" s="148" t="str">
        <f t="shared" si="30"/>
        <v>11/22/2017 19:40-&gt;AD M - ISR 1</v>
      </c>
      <c r="BB56" s="374">
        <f t="shared" si="31"/>
        <v>1</v>
      </c>
      <c r="BC56" s="374">
        <f t="shared" si="32"/>
        <v>1</v>
      </c>
      <c r="BD56" s="148" t="str">
        <f t="shared" si="33"/>
        <v>no conflict</v>
      </c>
      <c r="BF56" s="148" t="str">
        <f t="shared" si="34"/>
        <v>11/22/2017 19:40-&gt;AD M - PER</v>
      </c>
      <c r="BG56" s="148" t="str">
        <f t="shared" si="35"/>
        <v>11/22/2017 19:40-&gt;AD M - ISR 1</v>
      </c>
      <c r="BH56" s="148" t="str">
        <f t="shared" si="36"/>
        <v>11/22/2017 19:40-&gt;Hillel - Field 3</v>
      </c>
      <c r="BI56" s="148" t="str">
        <f t="shared" si="37"/>
        <v>Flag Football in Hillel - Field 3 (PER-ISR1)</v>
      </c>
      <c r="BJ56" s="148" t="str">
        <f t="shared" si="38"/>
        <v>Adult Male Flag Football-- AD M - PER vs. AD M - ISR 1</v>
      </c>
      <c r="BK56" s="148" t="str">
        <f t="shared" si="39"/>
        <v>Flag Football</v>
      </c>
      <c r="BL56" s="148" t="str">
        <f t="shared" si="40"/>
        <v>AD M - PER</v>
      </c>
      <c r="BM56" s="148" t="str">
        <f t="shared" si="41"/>
        <v>AD M - ISR 1</v>
      </c>
      <c r="BN56" s="148" t="str">
        <f t="shared" si="42"/>
        <v>Round - 1</v>
      </c>
      <c r="BP56" s="148" t="str">
        <f t="shared" si="43"/>
        <v>no t, f, or sf</v>
      </c>
      <c r="BQ56" s="148" t="str">
        <f t="shared" si="44"/>
        <v/>
      </c>
    </row>
    <row r="57" spans="1:69" ht="15" customHeight="1" x14ac:dyDescent="0.2">
      <c r="A57" s="376">
        <v>48</v>
      </c>
      <c r="B57" t="s">
        <v>81</v>
      </c>
      <c r="C57" s="441" t="s">
        <v>518</v>
      </c>
      <c r="D57" s="450">
        <v>1</v>
      </c>
      <c r="E57" s="450">
        <v>1</v>
      </c>
      <c r="F57" s="444" t="s">
        <v>770</v>
      </c>
      <c r="G57" s="320">
        <v>43063</v>
      </c>
      <c r="H57" s="454">
        <v>0.50694444444444442</v>
      </c>
      <c r="I57" s="446" t="s">
        <v>770</v>
      </c>
      <c r="J57" s="441" t="s">
        <v>694</v>
      </c>
      <c r="K57" s="441">
        <v>811</v>
      </c>
      <c r="L57" s="441" t="s">
        <v>533</v>
      </c>
      <c r="M57" s="441">
        <v>811</v>
      </c>
      <c r="N57" s="441" t="s">
        <v>539</v>
      </c>
      <c r="O57" s="153" t="str">
        <f>IF(L57&lt;&gt;"",IFERROR(VLOOKUP(B57&amp;L57,Pools!$A$2:$D$130,3,FALSE),""),"")</f>
        <v/>
      </c>
      <c r="P57" s="388">
        <v>0</v>
      </c>
      <c r="Q57" s="388">
        <v>3</v>
      </c>
      <c r="R57" s="306" t="str">
        <f t="shared" si="0"/>
        <v>0-3</v>
      </c>
      <c r="T57" s="148" t="str">
        <f t="shared" si="1"/>
        <v>Completed</v>
      </c>
      <c r="U57" s="153"/>
      <c r="V57" s="153"/>
      <c r="W57" s="387">
        <f t="shared" si="2"/>
        <v>-3</v>
      </c>
      <c r="X57" s="387">
        <f t="shared" si="3"/>
        <v>3</v>
      </c>
      <c r="Y57" s="301">
        <f t="shared" si="4"/>
        <v>0</v>
      </c>
      <c r="Z57" s="301">
        <f t="shared" si="5"/>
        <v>2</v>
      </c>
      <c r="AA57" s="323" t="str">
        <f>CONCATENATE("                x[team1,team2,sport,'",IF(OR(I57="x",I57=""),VLOOKUP('Schedule from TM'!J57,Tables!$P$3:$Q$33,2,FALSE),'Schedule from TM'!I57),",",J57,"','",IF(OR(F57="x",F57=""),VLOOKUP('Schedule from TM'!G57,Tables!$U$3:$V$14,2,FALSE),'Schedule from TM'!F57),",",TEXT(G57,"mm/dd/yyyy"),"','",TEXT(H57,"h:mm:ss AM/PM"),"'].ub=0.0      #",B57)</f>
        <v xml:space="preserve">                x[team1,team2,sport,'11,JCC Back Field 4','11,11/24/2017','12:10:00 PM'].ub=0.0      #Adult Male Mini Soccer</v>
      </c>
      <c r="AB57" s="301" t="str">
        <f t="shared" si="6"/>
        <v>,,Adult Male Mini Soccer,,1,AD M - ARG 1</v>
      </c>
      <c r="AC57" s="153" t="str">
        <f t="shared" si="7"/>
        <v>Adult Male Mini SoccerAD M - ARG 1</v>
      </c>
      <c r="AD57" s="301" t="str">
        <f t="shared" si="8"/>
        <v>,,Adult Male Mini Soccer,,1,AD M - USA 1</v>
      </c>
      <c r="AE57" s="153" t="str">
        <f t="shared" si="9"/>
        <v>Adult Male Mini SoccerAD M - USA 1</v>
      </c>
      <c r="AF57" s="383">
        <f t="shared" si="10"/>
        <v>0</v>
      </c>
      <c r="AG57" s="383">
        <f t="shared" si="11"/>
        <v>1</v>
      </c>
      <c r="AH57" s="383">
        <f t="shared" si="12"/>
        <v>0</v>
      </c>
      <c r="AI57" s="383">
        <f t="shared" si="13"/>
        <v>1</v>
      </c>
      <c r="AJ57" s="383">
        <f t="shared" si="14"/>
        <v>0</v>
      </c>
      <c r="AK57" s="383">
        <f t="shared" si="15"/>
        <v>0</v>
      </c>
      <c r="AM57" s="148" t="str">
        <f t="shared" si="16"/>
        <v>Schedulled</v>
      </c>
      <c r="AN57" s="148" t="str">
        <f t="shared" si="17"/>
        <v/>
      </c>
      <c r="AO57" s="156">
        <f t="shared" si="18"/>
        <v>43063.506944444445</v>
      </c>
      <c r="AP57" s="148" t="str">
        <f t="shared" si="19"/>
        <v>11/24/2017 12:10-&gt;JCC Back Field 4</v>
      </c>
      <c r="AQ57" s="374">
        <f t="shared" si="20"/>
        <v>1</v>
      </c>
      <c r="AR57" s="148" t="str">
        <f t="shared" si="21"/>
        <v>ARG1</v>
      </c>
      <c r="AS57" s="148" t="str">
        <f t="shared" si="22"/>
        <v>USA1</v>
      </c>
      <c r="AT57" s="157" t="str">
        <f t="shared" si="23"/>
        <v>ARG1-USA1</v>
      </c>
      <c r="AU57" s="157" t="str">
        <f t="shared" si="24"/>
        <v xml:space="preserve">ARG1-USA1 </v>
      </c>
      <c r="AV57" s="157" t="str">
        <f t="shared" si="25"/>
        <v>Adults MALE</v>
      </c>
      <c r="AW57" s="157" t="str">
        <f t="shared" si="26"/>
        <v>Soccer</v>
      </c>
      <c r="AX57" s="376">
        <f t="shared" si="27"/>
        <v>48</v>
      </c>
      <c r="AY57" s="148" t="str">
        <f t="shared" si="28"/>
        <v>AD M - ARG 1-&gt;AD M - USA 1</v>
      </c>
      <c r="AZ57" s="148" t="str">
        <f t="shared" si="29"/>
        <v>11/24/2017 12:10-&gt;AD M - ARG 1</v>
      </c>
      <c r="BA57" s="148" t="str">
        <f t="shared" si="30"/>
        <v>11/24/2017 12:10-&gt;AD M - USA 1</v>
      </c>
      <c r="BB57" s="374">
        <f t="shared" si="31"/>
        <v>1</v>
      </c>
      <c r="BC57" s="374">
        <f t="shared" si="32"/>
        <v>1</v>
      </c>
      <c r="BD57" s="148" t="str">
        <f t="shared" si="33"/>
        <v>no conflict</v>
      </c>
      <c r="BF57" s="148" t="str">
        <f t="shared" si="34"/>
        <v>11/24/2017 12:10-&gt;AD M - ARG 1</v>
      </c>
      <c r="BG57" s="148" t="str">
        <f t="shared" si="35"/>
        <v>11/24/2017 12:10-&gt;AD M - USA 1</v>
      </c>
      <c r="BH57" s="148" t="str">
        <f t="shared" si="36"/>
        <v>11/24/2017 12:10-&gt;JCC Back Field 4</v>
      </c>
      <c r="BI57" s="148" t="str">
        <f t="shared" si="37"/>
        <v>Soccer in JCC Back Field 4 (ARG1-USA1)</v>
      </c>
      <c r="BJ57" s="148" t="str">
        <f t="shared" si="38"/>
        <v>Adult Male Mini Soccer-- AD M - ARG 1 vs. AD M - USA 1</v>
      </c>
      <c r="BK57" s="148" t="str">
        <f t="shared" si="39"/>
        <v>Soccer</v>
      </c>
      <c r="BL57" s="148" t="str">
        <f t="shared" si="40"/>
        <v>AD M - ARG 1</v>
      </c>
      <c r="BM57" s="148" t="str">
        <f t="shared" si="41"/>
        <v>AD M - USA 1</v>
      </c>
      <c r="BN57" s="148" t="str">
        <f t="shared" si="42"/>
        <v>Round - 1</v>
      </c>
      <c r="BP57" s="148" t="str">
        <f t="shared" si="43"/>
        <v>no t, f, or sf</v>
      </c>
      <c r="BQ57" s="148" t="str">
        <f t="shared" si="44"/>
        <v/>
      </c>
    </row>
    <row r="58" spans="1:69" ht="15" customHeight="1" x14ac:dyDescent="0.2">
      <c r="A58" s="376">
        <v>50</v>
      </c>
      <c r="B58" t="s">
        <v>81</v>
      </c>
      <c r="C58" s="441" t="s">
        <v>518</v>
      </c>
      <c r="D58" s="450">
        <v>1</v>
      </c>
      <c r="E58" s="450">
        <v>1</v>
      </c>
      <c r="F58" s="444" t="s">
        <v>770</v>
      </c>
      <c r="G58" s="320">
        <v>43061</v>
      </c>
      <c r="H58" s="318">
        <v>0.75</v>
      </c>
      <c r="I58" s="446" t="s">
        <v>770</v>
      </c>
      <c r="J58" s="296" t="s">
        <v>695</v>
      </c>
      <c r="K58" s="441">
        <v>811</v>
      </c>
      <c r="L58" s="441" t="s">
        <v>533</v>
      </c>
      <c r="M58" s="441">
        <v>811</v>
      </c>
      <c r="N58" s="441" t="s">
        <v>538</v>
      </c>
      <c r="O58" s="153" t="str">
        <f>IF(L58&lt;&gt;"",IFERROR(VLOOKUP(B58&amp;L58,Pools!$A$2:$D$130,3,FALSE),""),"")</f>
        <v/>
      </c>
      <c r="P58" s="388">
        <v>0</v>
      </c>
      <c r="Q58" s="388">
        <v>2</v>
      </c>
      <c r="R58" s="306" t="str">
        <f t="shared" si="0"/>
        <v>0-2</v>
      </c>
      <c r="T58" s="148" t="str">
        <f t="shared" si="1"/>
        <v>Completed</v>
      </c>
      <c r="U58" s="153"/>
      <c r="V58" s="153"/>
      <c r="W58" s="387">
        <f t="shared" si="2"/>
        <v>-2</v>
      </c>
      <c r="X58" s="387">
        <f t="shared" si="3"/>
        <v>2</v>
      </c>
      <c r="Y58" s="301">
        <f t="shared" si="4"/>
        <v>0</v>
      </c>
      <c r="Z58" s="301">
        <f t="shared" si="5"/>
        <v>2</v>
      </c>
      <c r="AA58" s="323" t="str">
        <f>CONCATENATE("                x[team1,team2,sport,'",IF(OR(I58="x",I58=""),VLOOKUP('Schedule from TM'!J58,Tables!$P$3:$Q$33,2,FALSE),'Schedule from TM'!I58),",",J58,"','",IF(OR(F58="x",F58=""),VLOOKUP('Schedule from TM'!G58,Tables!$U$3:$V$14,2,FALSE),'Schedule from TM'!F58),",",TEXT(G58,"mm/dd/yyyy"),"','",TEXT(H58,"h:mm:ss AM/PM"),"'].ub=0.0      #",B58)</f>
        <v xml:space="preserve">                x[team1,team2,sport,'11,JCC Back Field 1','22,11/22/2017','6:00:00 PM'].ub=0.0      #Adult Male Mini Soccer</v>
      </c>
      <c r="AB58" s="301" t="str">
        <f t="shared" si="6"/>
        <v>,,Adult Male Mini Soccer,,1,AD M - ARG 1</v>
      </c>
      <c r="AC58" s="153" t="str">
        <f t="shared" si="7"/>
        <v>Adult Male Mini SoccerAD M - ARG 1</v>
      </c>
      <c r="AD58" s="301" t="str">
        <f t="shared" si="8"/>
        <v>,,Adult Male Mini Soccer,,1,AD M - PER</v>
      </c>
      <c r="AE58" s="153" t="str">
        <f t="shared" si="9"/>
        <v>Adult Male Mini SoccerAD M - PER</v>
      </c>
      <c r="AF58" s="383">
        <f t="shared" si="10"/>
        <v>0</v>
      </c>
      <c r="AG58" s="383">
        <f t="shared" si="11"/>
        <v>1</v>
      </c>
      <c r="AH58" s="383">
        <f t="shared" si="12"/>
        <v>0</v>
      </c>
      <c r="AI58" s="383">
        <f t="shared" si="13"/>
        <v>1</v>
      </c>
      <c r="AJ58" s="383">
        <f t="shared" si="14"/>
        <v>0</v>
      </c>
      <c r="AK58" s="383">
        <f t="shared" si="15"/>
        <v>0</v>
      </c>
      <c r="AM58" s="148" t="str">
        <f t="shared" si="16"/>
        <v>Schedulled</v>
      </c>
      <c r="AN58" s="148" t="str">
        <f t="shared" si="17"/>
        <v/>
      </c>
      <c r="AO58" s="156">
        <f t="shared" si="18"/>
        <v>43061.75</v>
      </c>
      <c r="AP58" s="148" t="str">
        <f t="shared" si="19"/>
        <v>11/22/2017 18:00-&gt;JCC Back Field 1</v>
      </c>
      <c r="AQ58" s="374">
        <f t="shared" si="20"/>
        <v>1</v>
      </c>
      <c r="AR58" s="148" t="str">
        <f t="shared" si="21"/>
        <v>ARG1</v>
      </c>
      <c r="AS58" s="148" t="str">
        <f t="shared" si="22"/>
        <v>PER</v>
      </c>
      <c r="AT58" s="157" t="str">
        <f t="shared" si="23"/>
        <v>ARG1-PER</v>
      </c>
      <c r="AU58" s="157" t="str">
        <f t="shared" si="24"/>
        <v xml:space="preserve">ARG1-PER </v>
      </c>
      <c r="AV58" s="157" t="str">
        <f t="shared" si="25"/>
        <v>Adults MALE</v>
      </c>
      <c r="AW58" s="157" t="str">
        <f t="shared" si="26"/>
        <v>Soccer</v>
      </c>
      <c r="AX58" s="376">
        <f t="shared" si="27"/>
        <v>50</v>
      </c>
      <c r="AY58" s="148" t="str">
        <f t="shared" si="28"/>
        <v>AD M - ARG 1-&gt;AD M - PER</v>
      </c>
      <c r="AZ58" s="148" t="str">
        <f t="shared" si="29"/>
        <v>11/22/2017 18:00-&gt;AD M - ARG 1</v>
      </c>
      <c r="BA58" s="148" t="str">
        <f t="shared" si="30"/>
        <v>11/22/2017 18:00-&gt;AD M - PER</v>
      </c>
      <c r="BB58" s="374">
        <f t="shared" si="31"/>
        <v>2</v>
      </c>
      <c r="BC58" s="374">
        <f t="shared" si="32"/>
        <v>1</v>
      </c>
      <c r="BD58" s="148" t="str">
        <f t="shared" si="33"/>
        <v>conflict</v>
      </c>
      <c r="BF58" s="148" t="str">
        <f t="shared" si="34"/>
        <v>11/22/2017 18:00-&gt;AD M - ARG 1</v>
      </c>
      <c r="BG58" s="148" t="str">
        <f t="shared" si="35"/>
        <v>11/22/2017 18:00-&gt;AD M - PER</v>
      </c>
      <c r="BH58" s="148" t="str">
        <f t="shared" si="36"/>
        <v>11/22/2017 18:00-&gt;JCC Back Field 1</v>
      </c>
      <c r="BI58" s="148" t="str">
        <f t="shared" si="37"/>
        <v>Soccer in JCC Back Field 1 (ARG1-PER)</v>
      </c>
      <c r="BJ58" s="148" t="str">
        <f t="shared" si="38"/>
        <v>Adult Male Mini Soccer-- AD M - ARG 1 vs. AD M - PER</v>
      </c>
      <c r="BK58" s="148" t="str">
        <f t="shared" si="39"/>
        <v>Soccer</v>
      </c>
      <c r="BL58" s="148" t="str">
        <f t="shared" si="40"/>
        <v>AD M - ARG 1</v>
      </c>
      <c r="BM58" s="148" t="str">
        <f t="shared" si="41"/>
        <v>AD M - PER</v>
      </c>
      <c r="BN58" s="148" t="str">
        <f t="shared" si="42"/>
        <v>Round - 1</v>
      </c>
      <c r="BP58" s="148" t="str">
        <f t="shared" si="43"/>
        <v>no t, f, or sf</v>
      </c>
      <c r="BQ58" s="148" t="str">
        <f t="shared" si="44"/>
        <v/>
      </c>
    </row>
    <row r="59" spans="1:69" ht="15" customHeight="1" x14ac:dyDescent="0.2">
      <c r="A59" s="376">
        <v>52</v>
      </c>
      <c r="B59" t="s">
        <v>81</v>
      </c>
      <c r="C59" s="441" t="s">
        <v>518</v>
      </c>
      <c r="D59" s="450">
        <v>1</v>
      </c>
      <c r="E59" s="450">
        <v>1</v>
      </c>
      <c r="F59" s="444" t="s">
        <v>770</v>
      </c>
      <c r="G59" s="320">
        <v>43062</v>
      </c>
      <c r="H59" s="318">
        <v>0.40277777777777773</v>
      </c>
      <c r="I59" s="446" t="s">
        <v>770</v>
      </c>
      <c r="J59" s="296" t="s">
        <v>693</v>
      </c>
      <c r="K59" s="441">
        <v>811</v>
      </c>
      <c r="L59" s="441" t="s">
        <v>538</v>
      </c>
      <c r="M59" s="441">
        <v>811</v>
      </c>
      <c r="N59" s="441" t="s">
        <v>541</v>
      </c>
      <c r="O59" s="153" t="str">
        <f>IF(L59&lt;&gt;"",IFERROR(VLOOKUP(B59&amp;L59,Pools!$A$2:$D$130,3,FALSE),""),"")</f>
        <v/>
      </c>
      <c r="P59" s="388">
        <v>1</v>
      </c>
      <c r="Q59" s="388">
        <v>5</v>
      </c>
      <c r="R59" s="306" t="str">
        <f t="shared" si="0"/>
        <v>1-5</v>
      </c>
      <c r="T59" s="148" t="str">
        <f t="shared" si="1"/>
        <v>Completed</v>
      </c>
      <c r="U59" s="153"/>
      <c r="V59" s="153"/>
      <c r="W59" s="387">
        <f t="shared" si="2"/>
        <v>-3</v>
      </c>
      <c r="X59" s="387">
        <f t="shared" si="3"/>
        <v>3</v>
      </c>
      <c r="Y59" s="301">
        <f t="shared" si="4"/>
        <v>0</v>
      </c>
      <c r="Z59" s="301">
        <f t="shared" si="5"/>
        <v>2</v>
      </c>
      <c r="AA59" s="323" t="str">
        <f>CONCATENATE("                x[team1,team2,sport,'",IF(OR(I59="x",I59=""),VLOOKUP('Schedule from TM'!J59,Tables!$P$3:$Q$33,2,FALSE),'Schedule from TM'!I59),",",J59,"','",IF(OR(F59="x",F59=""),VLOOKUP('Schedule from TM'!G59,Tables!$U$3:$V$14,2,FALSE),'Schedule from TM'!F59),",",TEXT(G59,"mm/dd/yyyy"),"','",TEXT(H59,"h:mm:ss AM/PM"),"'].ub=0.0      #",B59)</f>
        <v xml:space="preserve">                x[team1,team2,sport,'11,JCC Back Field 2','11,11/23/2017','9:40:00 AM'].ub=0.0      #Adult Male Mini Soccer</v>
      </c>
      <c r="AB59" s="301" t="str">
        <f t="shared" si="6"/>
        <v>,,Adult Male Mini Soccer,,1,AD M - PER</v>
      </c>
      <c r="AC59" s="153" t="str">
        <f t="shared" si="7"/>
        <v>Adult Male Mini SoccerAD M - PER</v>
      </c>
      <c r="AD59" s="301" t="str">
        <f t="shared" si="8"/>
        <v>,,Adult Male Mini Soccer,,1,AD M - ISR 1</v>
      </c>
      <c r="AE59" s="153" t="str">
        <f t="shared" si="9"/>
        <v>Adult Male Mini SoccerAD M - ISR 1</v>
      </c>
      <c r="AF59" s="383">
        <f t="shared" si="10"/>
        <v>0</v>
      </c>
      <c r="AG59" s="383">
        <f t="shared" si="11"/>
        <v>1</v>
      </c>
      <c r="AH59" s="383">
        <f t="shared" si="12"/>
        <v>0</v>
      </c>
      <c r="AI59" s="383">
        <f t="shared" si="13"/>
        <v>1</v>
      </c>
      <c r="AJ59" s="383">
        <f t="shared" si="14"/>
        <v>0</v>
      </c>
      <c r="AK59" s="383">
        <f t="shared" si="15"/>
        <v>0</v>
      </c>
      <c r="AM59" s="148" t="str">
        <f t="shared" si="16"/>
        <v>Schedulled</v>
      </c>
      <c r="AN59" s="148" t="str">
        <f t="shared" si="17"/>
        <v/>
      </c>
      <c r="AO59" s="156">
        <f t="shared" si="18"/>
        <v>43062.402777777781</v>
      </c>
      <c r="AP59" s="148" t="str">
        <f t="shared" si="19"/>
        <v>11/23/2017 09:40-&gt;JCC Back Field 2</v>
      </c>
      <c r="AQ59" s="374">
        <f t="shared" si="20"/>
        <v>1</v>
      </c>
      <c r="AR59" s="148" t="str">
        <f t="shared" si="21"/>
        <v>PER</v>
      </c>
      <c r="AS59" s="148" t="str">
        <f t="shared" si="22"/>
        <v>ISR1</v>
      </c>
      <c r="AT59" s="157" t="str">
        <f t="shared" si="23"/>
        <v>PER-ISR1</v>
      </c>
      <c r="AU59" s="157" t="str">
        <f t="shared" si="24"/>
        <v xml:space="preserve">PER-ISR1 </v>
      </c>
      <c r="AV59" s="157" t="str">
        <f t="shared" si="25"/>
        <v>Adults MALE</v>
      </c>
      <c r="AW59" s="157" t="str">
        <f t="shared" si="26"/>
        <v>Soccer</v>
      </c>
      <c r="AX59" s="376">
        <f t="shared" si="27"/>
        <v>52</v>
      </c>
      <c r="AY59" s="148" t="str">
        <f t="shared" si="28"/>
        <v>AD M - PER-&gt;AD M - ISR 1</v>
      </c>
      <c r="AZ59" s="148" t="str">
        <f t="shared" si="29"/>
        <v>11/23/2017 09:40-&gt;AD M - PER</v>
      </c>
      <c r="BA59" s="148" t="str">
        <f t="shared" si="30"/>
        <v>11/23/2017 09:40-&gt;AD M - ISR 1</v>
      </c>
      <c r="BB59" s="374">
        <f t="shared" si="31"/>
        <v>1</v>
      </c>
      <c r="BC59" s="374">
        <f t="shared" si="32"/>
        <v>1</v>
      </c>
      <c r="BD59" s="148" t="str">
        <f t="shared" si="33"/>
        <v>no conflict</v>
      </c>
      <c r="BF59" s="148" t="str">
        <f t="shared" si="34"/>
        <v>11/23/2017 09:40-&gt;AD M - PER</v>
      </c>
      <c r="BG59" s="148" t="str">
        <f t="shared" si="35"/>
        <v>11/23/2017 09:40-&gt;AD M - ISR 1</v>
      </c>
      <c r="BH59" s="148" t="str">
        <f t="shared" si="36"/>
        <v>11/23/2017 09:40-&gt;JCC Back Field 2</v>
      </c>
      <c r="BI59" s="148" t="str">
        <f t="shared" si="37"/>
        <v>Soccer in JCC Back Field 2 (PER-ISR1)</v>
      </c>
      <c r="BJ59" s="148" t="str">
        <f t="shared" si="38"/>
        <v>Adult Male Mini Soccer-- AD M - PER vs. AD M - ISR 1</v>
      </c>
      <c r="BK59" s="148" t="str">
        <f t="shared" si="39"/>
        <v>Soccer</v>
      </c>
      <c r="BL59" s="148" t="str">
        <f t="shared" si="40"/>
        <v>AD M - PER</v>
      </c>
      <c r="BM59" s="148" t="str">
        <f t="shared" si="41"/>
        <v>AD M - ISR 1</v>
      </c>
      <c r="BN59" s="148" t="str">
        <f t="shared" si="42"/>
        <v>Round - 1</v>
      </c>
      <c r="BP59" s="148" t="str">
        <f t="shared" si="43"/>
        <v>no t, f, or sf</v>
      </c>
      <c r="BQ59" s="148" t="str">
        <f t="shared" si="44"/>
        <v/>
      </c>
    </row>
    <row r="60" spans="1:69" ht="15" customHeight="1" x14ac:dyDescent="0.2">
      <c r="A60" s="376">
        <v>53</v>
      </c>
      <c r="B60" s="433" t="s">
        <v>81</v>
      </c>
      <c r="C60" s="441" t="s">
        <v>518</v>
      </c>
      <c r="D60" s="450">
        <v>1</v>
      </c>
      <c r="E60" s="450">
        <v>1</v>
      </c>
      <c r="F60" s="315" t="s">
        <v>770</v>
      </c>
      <c r="G60" s="320">
        <v>43060</v>
      </c>
      <c r="H60" s="317">
        <v>0.75</v>
      </c>
      <c r="I60" s="325" t="s">
        <v>770</v>
      </c>
      <c r="J60" s="296" t="s">
        <v>694</v>
      </c>
      <c r="K60" s="441">
        <v>811</v>
      </c>
      <c r="L60" s="441" t="s">
        <v>533</v>
      </c>
      <c r="M60" s="441">
        <v>811</v>
      </c>
      <c r="N60" s="441" t="s">
        <v>541</v>
      </c>
      <c r="O60" s="153" t="str">
        <f>IF(L60&lt;&gt;"",IFERROR(VLOOKUP(B60&amp;L60,Pools!$A$2:$D$130,3,FALSE),""),"")</f>
        <v/>
      </c>
      <c r="P60" s="388">
        <v>4</v>
      </c>
      <c r="Q60" s="388">
        <v>1</v>
      </c>
      <c r="R60" s="306" t="str">
        <f t="shared" si="0"/>
        <v>4-1</v>
      </c>
      <c r="T60" s="148" t="str">
        <f t="shared" si="1"/>
        <v>Completed</v>
      </c>
      <c r="U60" s="153"/>
      <c r="V60" s="153"/>
      <c r="W60" s="387">
        <f t="shared" si="2"/>
        <v>3</v>
      </c>
      <c r="X60" s="387">
        <f t="shared" si="3"/>
        <v>-3</v>
      </c>
      <c r="Y60" s="301">
        <f t="shared" si="4"/>
        <v>2</v>
      </c>
      <c r="Z60" s="301">
        <f t="shared" si="5"/>
        <v>0</v>
      </c>
      <c r="AA60" s="323" t="str">
        <f>CONCATENATE("                x[team1,team2,sport,'",IF(OR(I60="x",I60=""),VLOOKUP('Schedule from TM'!J60,Tables!$P$3:$Q$33,2,FALSE),'Schedule from TM'!I60),",",J60,"','",IF(OR(F60="x",F60=""),VLOOKUP('Schedule from TM'!G60,Tables!$U$3:$V$14,2,FALSE),'Schedule from TM'!F60),",",TEXT(G60,"mm/dd/yyyy"),"','",TEXT(H60,"h:mm:ss AM/PM"),"'].ub=0.0      #",B60)</f>
        <v xml:space="preserve">                x[team1,team2,sport,'11,JCC Back Field 4','22,11/21/2017','6:00:00 PM'].ub=0.0      #Adult Male Mini Soccer</v>
      </c>
      <c r="AB60" s="301" t="str">
        <f t="shared" si="6"/>
        <v>,,Adult Male Mini Soccer,,1,AD M - ARG 1</v>
      </c>
      <c r="AC60" s="153" t="str">
        <f t="shared" si="7"/>
        <v>Adult Male Mini SoccerAD M - ARG 1</v>
      </c>
      <c r="AD60" s="301" t="str">
        <f t="shared" si="8"/>
        <v>,,Adult Male Mini Soccer,,1,AD M - ISR 1</v>
      </c>
      <c r="AE60" s="153" t="str">
        <f t="shared" si="9"/>
        <v>Adult Male Mini SoccerAD M - ISR 1</v>
      </c>
      <c r="AF60" s="383">
        <f t="shared" si="10"/>
        <v>1</v>
      </c>
      <c r="AG60" s="383">
        <f t="shared" si="11"/>
        <v>0</v>
      </c>
      <c r="AH60" s="383">
        <f t="shared" si="12"/>
        <v>0</v>
      </c>
      <c r="AI60" s="383">
        <f t="shared" si="13"/>
        <v>0</v>
      </c>
      <c r="AJ60" s="383">
        <f t="shared" si="14"/>
        <v>1</v>
      </c>
      <c r="AK60" s="383">
        <f t="shared" si="15"/>
        <v>0</v>
      </c>
      <c r="AM60" s="148" t="str">
        <f t="shared" si="16"/>
        <v>Schedulled</v>
      </c>
      <c r="AN60" s="148" t="str">
        <f t="shared" si="17"/>
        <v/>
      </c>
      <c r="AO60" s="156">
        <f t="shared" si="18"/>
        <v>43060.75</v>
      </c>
      <c r="AP60" s="148" t="str">
        <f t="shared" si="19"/>
        <v>11/21/2017 18:00-&gt;JCC Back Field 4</v>
      </c>
      <c r="AQ60" s="374">
        <f t="shared" si="20"/>
        <v>1</v>
      </c>
      <c r="AR60" s="148" t="str">
        <f t="shared" si="21"/>
        <v>ARG1</v>
      </c>
      <c r="AS60" s="148" t="str">
        <f t="shared" si="22"/>
        <v>ISR1</v>
      </c>
      <c r="AT60" s="157" t="str">
        <f t="shared" si="23"/>
        <v>ARG1-ISR1</v>
      </c>
      <c r="AU60" s="157" t="str">
        <f t="shared" si="24"/>
        <v xml:space="preserve">ARG1-ISR1 </v>
      </c>
      <c r="AV60" s="157" t="str">
        <f t="shared" si="25"/>
        <v>Adults MALE</v>
      </c>
      <c r="AW60" s="157" t="str">
        <f t="shared" si="26"/>
        <v>Soccer</v>
      </c>
      <c r="AX60" s="376">
        <f t="shared" si="27"/>
        <v>53</v>
      </c>
      <c r="AY60" s="148" t="str">
        <f t="shared" si="28"/>
        <v>AD M - ARG 1-&gt;AD M - ISR 1</v>
      </c>
      <c r="AZ60" s="148" t="str">
        <f t="shared" si="29"/>
        <v>11/21/2017 18:00-&gt;AD M - ARG 1</v>
      </c>
      <c r="BA60" s="148" t="str">
        <f t="shared" si="30"/>
        <v>11/21/2017 18:00-&gt;AD M - ISR 1</v>
      </c>
      <c r="BB60" s="374">
        <f t="shared" si="31"/>
        <v>1</v>
      </c>
      <c r="BC60" s="374">
        <f t="shared" si="32"/>
        <v>1</v>
      </c>
      <c r="BD60" s="148" t="str">
        <f t="shared" si="33"/>
        <v>no conflict</v>
      </c>
      <c r="BF60" s="148" t="str">
        <f t="shared" si="34"/>
        <v>11/21/2017 18:00-&gt;AD M - ARG 1</v>
      </c>
      <c r="BG60" s="148" t="str">
        <f t="shared" si="35"/>
        <v>11/21/2017 18:00-&gt;AD M - ISR 1</v>
      </c>
      <c r="BH60" s="148" t="str">
        <f t="shared" si="36"/>
        <v>11/21/2017 18:00-&gt;JCC Back Field 4</v>
      </c>
      <c r="BI60" s="148" t="str">
        <f t="shared" si="37"/>
        <v>Soccer in JCC Back Field 4 (ARG1-ISR1)</v>
      </c>
      <c r="BJ60" s="148" t="str">
        <f t="shared" si="38"/>
        <v>Adult Male Mini Soccer-- AD M - ARG 1 vs. AD M - ISR 1</v>
      </c>
      <c r="BK60" s="148" t="str">
        <f t="shared" si="39"/>
        <v>Soccer</v>
      </c>
      <c r="BL60" s="148" t="str">
        <f t="shared" si="40"/>
        <v>AD M - ARG 1</v>
      </c>
      <c r="BM60" s="148" t="str">
        <f t="shared" si="41"/>
        <v>AD M - ISR 1</v>
      </c>
      <c r="BN60" s="148" t="str">
        <f t="shared" si="42"/>
        <v>Round - 1</v>
      </c>
      <c r="BP60" s="148" t="str">
        <f t="shared" si="43"/>
        <v>no t, f, or sf</v>
      </c>
      <c r="BQ60" s="148" t="str">
        <f t="shared" si="44"/>
        <v/>
      </c>
    </row>
    <row r="61" spans="1:69" ht="15" customHeight="1" x14ac:dyDescent="0.2">
      <c r="A61" s="376">
        <v>54</v>
      </c>
      <c r="B61" t="s">
        <v>81</v>
      </c>
      <c r="C61" s="319" t="s">
        <v>518</v>
      </c>
      <c r="D61" s="450">
        <v>1</v>
      </c>
      <c r="E61" s="450">
        <v>1</v>
      </c>
      <c r="F61" s="315" t="s">
        <v>770</v>
      </c>
      <c r="G61" s="320">
        <v>43062</v>
      </c>
      <c r="H61" s="317">
        <v>0.64583333333333337</v>
      </c>
      <c r="I61" s="325" t="s">
        <v>770</v>
      </c>
      <c r="J61" s="441" t="s">
        <v>695</v>
      </c>
      <c r="K61" s="441">
        <v>811</v>
      </c>
      <c r="L61" s="441" t="s">
        <v>537</v>
      </c>
      <c r="M61" s="319">
        <v>811</v>
      </c>
      <c r="N61" s="319" t="s">
        <v>538</v>
      </c>
      <c r="O61" s="153" t="str">
        <f>IF(L61&lt;&gt;"",IFERROR(VLOOKUP(B61&amp;L61,Pools!$A$2:$D$130,3,FALSE),""),"")</f>
        <v/>
      </c>
      <c r="P61" s="388">
        <v>5</v>
      </c>
      <c r="Q61" s="388">
        <v>2</v>
      </c>
      <c r="R61" s="306" t="str">
        <f t="shared" si="0"/>
        <v>5-2</v>
      </c>
      <c r="T61" s="148" t="str">
        <f t="shared" si="1"/>
        <v>Completed</v>
      </c>
      <c r="U61" s="153"/>
      <c r="V61" s="153"/>
      <c r="W61" s="387">
        <f t="shared" si="2"/>
        <v>3</v>
      </c>
      <c r="X61" s="387">
        <f t="shared" si="3"/>
        <v>-3</v>
      </c>
      <c r="Y61" s="301">
        <f t="shared" si="4"/>
        <v>2</v>
      </c>
      <c r="Z61" s="301">
        <f t="shared" si="5"/>
        <v>0</v>
      </c>
      <c r="AA61" s="323" t="str">
        <f>CONCATENATE("                x[team1,team2,sport,'",IF(OR(I61="x",I61=""),VLOOKUP('Schedule from TM'!J61,Tables!$P$3:$Q$33,2,FALSE),'Schedule from TM'!I61),",",J61,"','",IF(OR(F61="x",F61=""),VLOOKUP('Schedule from TM'!G61,Tables!$U$3:$V$14,2,FALSE),'Schedule from TM'!F61),",",TEXT(G61,"mm/dd/yyyy"),"','",TEXT(H61,"h:mm:ss AM/PM"),"'].ub=0.0      #",B61)</f>
        <v xml:space="preserve">                x[team1,team2,sport,'11,JCC Back Field 1','11,11/23/2017','3:30:00 PM'].ub=0.0      #Adult Male Mini Soccer</v>
      </c>
      <c r="AB61" s="301" t="str">
        <f t="shared" si="6"/>
        <v>,,Adult Male Mini Soccer,,1,AD M - MEX</v>
      </c>
      <c r="AC61" s="153" t="str">
        <f t="shared" si="7"/>
        <v>Adult Male Mini SoccerAD M - MEX</v>
      </c>
      <c r="AD61" s="301" t="str">
        <f t="shared" si="8"/>
        <v>,,Adult Male Mini Soccer,,1,AD M - PER</v>
      </c>
      <c r="AE61" s="153" t="str">
        <f t="shared" si="9"/>
        <v>Adult Male Mini SoccerAD M - PER</v>
      </c>
      <c r="AF61" s="383">
        <f t="shared" si="10"/>
        <v>1</v>
      </c>
      <c r="AG61" s="383">
        <f t="shared" si="11"/>
        <v>0</v>
      </c>
      <c r="AH61" s="383">
        <f t="shared" si="12"/>
        <v>0</v>
      </c>
      <c r="AI61" s="383">
        <f t="shared" si="13"/>
        <v>0</v>
      </c>
      <c r="AJ61" s="383">
        <f t="shared" si="14"/>
        <v>1</v>
      </c>
      <c r="AK61" s="383">
        <f t="shared" si="15"/>
        <v>0</v>
      </c>
      <c r="AM61" s="148" t="str">
        <f t="shared" si="16"/>
        <v>Schedulled</v>
      </c>
      <c r="AN61" s="148" t="str">
        <f t="shared" si="17"/>
        <v/>
      </c>
      <c r="AO61" s="156">
        <f t="shared" si="18"/>
        <v>43062.645833333336</v>
      </c>
      <c r="AP61" s="148" t="str">
        <f t="shared" si="19"/>
        <v>11/23/2017 15:30-&gt;JCC Back Field 1</v>
      </c>
      <c r="AQ61" s="374">
        <f t="shared" si="20"/>
        <v>1</v>
      </c>
      <c r="AR61" s="148" t="str">
        <f t="shared" si="21"/>
        <v>MEX</v>
      </c>
      <c r="AS61" s="148" t="str">
        <f t="shared" si="22"/>
        <v>PER</v>
      </c>
      <c r="AT61" s="157" t="str">
        <f t="shared" si="23"/>
        <v>MEX-PER</v>
      </c>
      <c r="AU61" s="157" t="str">
        <f t="shared" si="24"/>
        <v xml:space="preserve">MEX-PER </v>
      </c>
      <c r="AV61" s="157" t="str">
        <f t="shared" si="25"/>
        <v>Adults MALE</v>
      </c>
      <c r="AW61" s="157" t="str">
        <f t="shared" si="26"/>
        <v>Soccer</v>
      </c>
      <c r="AX61" s="376">
        <f t="shared" si="27"/>
        <v>54</v>
      </c>
      <c r="AY61" s="148" t="str">
        <f t="shared" si="28"/>
        <v>AD M - MEX-&gt;AD M - PER</v>
      </c>
      <c r="AZ61" s="148" t="str">
        <f t="shared" si="29"/>
        <v>11/23/2017 15:30-&gt;AD M - MEX</v>
      </c>
      <c r="BA61" s="148" t="str">
        <f t="shared" si="30"/>
        <v>11/23/2017 15:30-&gt;AD M - PER</v>
      </c>
      <c r="BB61" s="374">
        <f t="shared" si="31"/>
        <v>1</v>
      </c>
      <c r="BC61" s="374">
        <f t="shared" si="32"/>
        <v>1</v>
      </c>
      <c r="BD61" s="148" t="str">
        <f t="shared" si="33"/>
        <v>no conflict</v>
      </c>
      <c r="BF61" s="148" t="str">
        <f t="shared" si="34"/>
        <v>11/23/2017 15:30-&gt;AD M - MEX</v>
      </c>
      <c r="BG61" s="148" t="str">
        <f t="shared" si="35"/>
        <v>11/23/2017 15:30-&gt;AD M - PER</v>
      </c>
      <c r="BH61" s="148" t="str">
        <f t="shared" si="36"/>
        <v>11/23/2017 15:30-&gt;JCC Back Field 1</v>
      </c>
      <c r="BI61" s="148" t="str">
        <f t="shared" si="37"/>
        <v>Soccer in JCC Back Field 1 (MEX-PER)</v>
      </c>
      <c r="BJ61" s="148" t="str">
        <f t="shared" si="38"/>
        <v>Adult Male Mini Soccer-- AD M - MEX vs. AD M - PER</v>
      </c>
      <c r="BK61" s="148" t="str">
        <f t="shared" si="39"/>
        <v>Soccer</v>
      </c>
      <c r="BL61" s="148" t="str">
        <f t="shared" si="40"/>
        <v>AD M - MEX</v>
      </c>
      <c r="BM61" s="148" t="str">
        <f t="shared" si="41"/>
        <v>AD M - PER</v>
      </c>
      <c r="BN61" s="148" t="str">
        <f t="shared" si="42"/>
        <v>Round - 1</v>
      </c>
      <c r="BP61" s="148" t="str">
        <f t="shared" si="43"/>
        <v>no t, f, or sf</v>
      </c>
      <c r="BQ61" s="148" t="str">
        <f t="shared" si="44"/>
        <v/>
      </c>
    </row>
    <row r="62" spans="1:69" ht="15" customHeight="1" x14ac:dyDescent="0.2">
      <c r="A62" s="376">
        <v>55</v>
      </c>
      <c r="B62" t="s">
        <v>81</v>
      </c>
      <c r="C62" s="319" t="s">
        <v>518</v>
      </c>
      <c r="D62" s="450">
        <v>1</v>
      </c>
      <c r="E62" s="450">
        <v>1</v>
      </c>
      <c r="F62" s="315" t="s">
        <v>770</v>
      </c>
      <c r="G62" s="320">
        <v>43063</v>
      </c>
      <c r="H62" s="418">
        <v>0.36805555555555558</v>
      </c>
      <c r="I62" s="325" t="s">
        <v>770</v>
      </c>
      <c r="J62" s="296" t="s">
        <v>693</v>
      </c>
      <c r="K62" s="441">
        <v>811</v>
      </c>
      <c r="L62" s="441" t="s">
        <v>537</v>
      </c>
      <c r="M62" s="441">
        <v>811</v>
      </c>
      <c r="N62" s="319" t="s">
        <v>541</v>
      </c>
      <c r="O62" s="153" t="str">
        <f>IF(L62&lt;&gt;"",IFERROR(VLOOKUP(B62&amp;L62,Pools!$A$2:$D$130,3,FALSE),""),"")</f>
        <v/>
      </c>
      <c r="P62" s="388">
        <v>6</v>
      </c>
      <c r="Q62" s="388">
        <v>0</v>
      </c>
      <c r="R62" s="306" t="str">
        <f t="shared" si="0"/>
        <v>6-0</v>
      </c>
      <c r="T62" s="148" t="str">
        <f t="shared" si="1"/>
        <v>Completed</v>
      </c>
      <c r="U62" s="153"/>
      <c r="V62" s="153"/>
      <c r="W62" s="387">
        <f t="shared" si="2"/>
        <v>3</v>
      </c>
      <c r="X62" s="387">
        <f t="shared" si="3"/>
        <v>-3</v>
      </c>
      <c r="Y62" s="301">
        <f t="shared" si="4"/>
        <v>2</v>
      </c>
      <c r="Z62" s="301">
        <f t="shared" si="5"/>
        <v>0</v>
      </c>
      <c r="AA62" s="323" t="str">
        <f>CONCATENATE("                x[team1,team2,sport,'",IF(OR(I62="x",I62=""),VLOOKUP('Schedule from TM'!J62,Tables!$P$3:$Q$33,2,FALSE),'Schedule from TM'!I62),",",J62,"','",IF(OR(F62="x",F62=""),VLOOKUP('Schedule from TM'!G62,Tables!$U$3:$V$14,2,FALSE),'Schedule from TM'!F62),",",TEXT(G62,"mm/dd/yyyy"),"','",TEXT(H62,"h:mm:ss AM/PM"),"'].ub=0.0      #",B62)</f>
        <v xml:space="preserve">                x[team1,team2,sport,'11,JCC Back Field 2','11,11/24/2017','8:50:00 AM'].ub=0.0      #Adult Male Mini Soccer</v>
      </c>
      <c r="AB62" s="301" t="str">
        <f t="shared" si="6"/>
        <v>,,Adult Male Mini Soccer,,1,AD M - MEX</v>
      </c>
      <c r="AC62" s="153" t="str">
        <f t="shared" si="7"/>
        <v>Adult Male Mini SoccerAD M - MEX</v>
      </c>
      <c r="AD62" s="301" t="str">
        <f t="shared" si="8"/>
        <v>,,Adult Male Mini Soccer,,1,AD M - ISR 1</v>
      </c>
      <c r="AE62" s="153" t="str">
        <f t="shared" si="9"/>
        <v>Adult Male Mini SoccerAD M - ISR 1</v>
      </c>
      <c r="AF62" s="383">
        <f t="shared" si="10"/>
        <v>1</v>
      </c>
      <c r="AG62" s="383">
        <f t="shared" si="11"/>
        <v>0</v>
      </c>
      <c r="AH62" s="383">
        <f t="shared" si="12"/>
        <v>0</v>
      </c>
      <c r="AI62" s="383">
        <f t="shared" si="13"/>
        <v>0</v>
      </c>
      <c r="AJ62" s="383">
        <f t="shared" si="14"/>
        <v>1</v>
      </c>
      <c r="AK62" s="383">
        <f t="shared" si="15"/>
        <v>0</v>
      </c>
      <c r="AM62" s="148" t="str">
        <f t="shared" si="16"/>
        <v>Schedulled</v>
      </c>
      <c r="AN62" s="148" t="str">
        <f t="shared" si="17"/>
        <v/>
      </c>
      <c r="AO62" s="156">
        <f t="shared" si="18"/>
        <v>43063.368055555555</v>
      </c>
      <c r="AP62" s="148" t="str">
        <f t="shared" si="19"/>
        <v>11/24/2017 08:50-&gt;JCC Back Field 2</v>
      </c>
      <c r="AQ62" s="374">
        <f t="shared" si="20"/>
        <v>1</v>
      </c>
      <c r="AR62" s="148" t="str">
        <f t="shared" si="21"/>
        <v>MEX</v>
      </c>
      <c r="AS62" s="148" t="str">
        <f t="shared" si="22"/>
        <v>ISR1</v>
      </c>
      <c r="AT62" s="157" t="str">
        <f t="shared" si="23"/>
        <v>MEX-ISR1</v>
      </c>
      <c r="AU62" s="157" t="str">
        <f t="shared" si="24"/>
        <v xml:space="preserve">MEX-ISR1 </v>
      </c>
      <c r="AV62" s="157" t="str">
        <f t="shared" si="25"/>
        <v>Adults MALE</v>
      </c>
      <c r="AW62" s="157" t="str">
        <f t="shared" si="26"/>
        <v>Soccer</v>
      </c>
      <c r="AX62" s="376">
        <f t="shared" si="27"/>
        <v>55</v>
      </c>
      <c r="AY62" s="148" t="str">
        <f t="shared" si="28"/>
        <v>AD M - MEX-&gt;AD M - ISR 1</v>
      </c>
      <c r="AZ62" s="148" t="str">
        <f t="shared" si="29"/>
        <v>11/24/2017 08:50-&gt;AD M - MEX</v>
      </c>
      <c r="BA62" s="148" t="str">
        <f t="shared" si="30"/>
        <v>11/24/2017 08:50-&gt;AD M - ISR 1</v>
      </c>
      <c r="BB62" s="374">
        <f t="shared" si="31"/>
        <v>1</v>
      </c>
      <c r="BC62" s="374">
        <f t="shared" si="32"/>
        <v>1</v>
      </c>
      <c r="BD62" s="148" t="str">
        <f t="shared" si="33"/>
        <v>no conflict</v>
      </c>
      <c r="BF62" s="148" t="str">
        <f t="shared" si="34"/>
        <v>11/24/2017 08:50-&gt;AD M - MEX</v>
      </c>
      <c r="BG62" s="148" t="str">
        <f t="shared" si="35"/>
        <v>11/24/2017 08:50-&gt;AD M - ISR 1</v>
      </c>
      <c r="BH62" s="148" t="str">
        <f t="shared" si="36"/>
        <v>11/24/2017 08:50-&gt;JCC Back Field 2</v>
      </c>
      <c r="BI62" s="148" t="str">
        <f t="shared" si="37"/>
        <v>Soccer in JCC Back Field 2 (MEX-ISR1)</v>
      </c>
      <c r="BJ62" s="148" t="str">
        <f t="shared" si="38"/>
        <v>Adult Male Mini Soccer-- AD M - MEX vs. AD M - ISR 1</v>
      </c>
      <c r="BK62" s="148" t="str">
        <f t="shared" si="39"/>
        <v>Soccer</v>
      </c>
      <c r="BL62" s="148" t="str">
        <f t="shared" si="40"/>
        <v>AD M - MEX</v>
      </c>
      <c r="BM62" s="148" t="str">
        <f t="shared" si="41"/>
        <v>AD M - ISR 1</v>
      </c>
      <c r="BN62" s="148" t="str">
        <f t="shared" si="42"/>
        <v>Round - 1</v>
      </c>
      <c r="BP62" s="148" t="str">
        <f t="shared" si="43"/>
        <v>no t, f, or sf</v>
      </c>
      <c r="BQ62" s="148" t="str">
        <f t="shared" si="44"/>
        <v/>
      </c>
    </row>
    <row r="63" spans="1:69" ht="15" customHeight="1" x14ac:dyDescent="0.2">
      <c r="A63" s="376">
        <v>56</v>
      </c>
      <c r="B63" t="s">
        <v>81</v>
      </c>
      <c r="C63" s="319" t="s">
        <v>518</v>
      </c>
      <c r="D63" s="450">
        <v>1</v>
      </c>
      <c r="E63" s="450">
        <v>1</v>
      </c>
      <c r="F63" s="315" t="s">
        <v>770</v>
      </c>
      <c r="G63" s="320">
        <v>43063</v>
      </c>
      <c r="H63" s="454">
        <v>0.47222222222222227</v>
      </c>
      <c r="I63" s="325" t="s">
        <v>770</v>
      </c>
      <c r="J63" s="296" t="s">
        <v>692</v>
      </c>
      <c r="K63" s="441">
        <v>811</v>
      </c>
      <c r="L63" s="319" t="s">
        <v>538</v>
      </c>
      <c r="M63" s="441">
        <v>811</v>
      </c>
      <c r="N63" s="319" t="s">
        <v>539</v>
      </c>
      <c r="O63" s="153" t="str">
        <f>IF(L63&lt;&gt;"",IFERROR(VLOOKUP(B63&amp;L63,Pools!$A$2:$D$130,3,FALSE),""),"")</f>
        <v/>
      </c>
      <c r="P63" s="388">
        <v>1</v>
      </c>
      <c r="Q63" s="388">
        <v>2</v>
      </c>
      <c r="R63" s="306" t="str">
        <f t="shared" si="0"/>
        <v>1-2</v>
      </c>
      <c r="T63" s="148" t="str">
        <f t="shared" si="1"/>
        <v>Completed</v>
      </c>
      <c r="U63" s="153"/>
      <c r="V63" s="153"/>
      <c r="W63" s="387">
        <f t="shared" si="2"/>
        <v>-1</v>
      </c>
      <c r="X63" s="387">
        <f t="shared" si="3"/>
        <v>1</v>
      </c>
      <c r="Y63" s="301">
        <f t="shared" si="4"/>
        <v>0</v>
      </c>
      <c r="Z63" s="301">
        <f t="shared" si="5"/>
        <v>2</v>
      </c>
      <c r="AA63" s="323" t="str">
        <f>CONCATENATE("                x[team1,team2,sport,'",IF(OR(I63="x",I63=""),VLOOKUP('Schedule from TM'!J63,Tables!$P$3:$Q$33,2,FALSE),'Schedule from TM'!I63),",",J63,"','",IF(OR(F63="x",F63=""),VLOOKUP('Schedule from TM'!G63,Tables!$U$3:$V$14,2,FALSE),'Schedule from TM'!F63),",",TEXT(G63,"mm/dd/yyyy"),"','",TEXT(H63,"h:mm:ss AM/PM"),"'].ub=0.0      #",B63)</f>
        <v xml:space="preserve">                x[team1,team2,sport,'11,JCC Back Field 3','11,11/24/2017','11:20:00 AM'].ub=0.0      #Adult Male Mini Soccer</v>
      </c>
      <c r="AB63" s="301" t="str">
        <f t="shared" si="6"/>
        <v>,,Adult Male Mini Soccer,,1,AD M - PER</v>
      </c>
      <c r="AC63" s="153" t="str">
        <f t="shared" si="7"/>
        <v>Adult Male Mini SoccerAD M - PER</v>
      </c>
      <c r="AD63" s="301" t="str">
        <f t="shared" si="8"/>
        <v>,,Adult Male Mini Soccer,,1,AD M - USA 1</v>
      </c>
      <c r="AE63" s="153" t="str">
        <f t="shared" si="9"/>
        <v>Adult Male Mini SoccerAD M - USA 1</v>
      </c>
      <c r="AF63" s="383">
        <f t="shared" si="10"/>
        <v>0</v>
      </c>
      <c r="AG63" s="383">
        <f t="shared" si="11"/>
        <v>1</v>
      </c>
      <c r="AH63" s="383">
        <f t="shared" si="12"/>
        <v>0</v>
      </c>
      <c r="AI63" s="383">
        <f t="shared" si="13"/>
        <v>1</v>
      </c>
      <c r="AJ63" s="383">
        <f t="shared" si="14"/>
        <v>0</v>
      </c>
      <c r="AK63" s="383">
        <f t="shared" si="15"/>
        <v>0</v>
      </c>
      <c r="AM63" s="148" t="str">
        <f t="shared" si="16"/>
        <v>Schedulled</v>
      </c>
      <c r="AN63" s="148" t="str">
        <f t="shared" si="17"/>
        <v/>
      </c>
      <c r="AO63" s="156">
        <f t="shared" si="18"/>
        <v>43063.472222222219</v>
      </c>
      <c r="AP63" s="148" t="str">
        <f t="shared" si="19"/>
        <v>11/24/2017 11:20-&gt;JCC Back Field 3</v>
      </c>
      <c r="AQ63" s="374">
        <f t="shared" si="20"/>
        <v>1</v>
      </c>
      <c r="AR63" s="148" t="str">
        <f t="shared" si="21"/>
        <v>PER</v>
      </c>
      <c r="AS63" s="148" t="str">
        <f t="shared" si="22"/>
        <v>USA1</v>
      </c>
      <c r="AT63" s="157" t="str">
        <f t="shared" si="23"/>
        <v>PER-USA1</v>
      </c>
      <c r="AU63" s="157" t="str">
        <f t="shared" si="24"/>
        <v xml:space="preserve">PER-USA1 </v>
      </c>
      <c r="AV63" s="157" t="str">
        <f t="shared" si="25"/>
        <v>Adults MALE</v>
      </c>
      <c r="AW63" s="157" t="str">
        <f t="shared" si="26"/>
        <v>Soccer</v>
      </c>
      <c r="AX63" s="376">
        <f t="shared" si="27"/>
        <v>56</v>
      </c>
      <c r="AY63" s="148" t="str">
        <f t="shared" si="28"/>
        <v>AD M - PER-&gt;AD M - USA 1</v>
      </c>
      <c r="AZ63" s="148" t="str">
        <f t="shared" si="29"/>
        <v>11/24/2017 11:20-&gt;AD M - PER</v>
      </c>
      <c r="BA63" s="148" t="str">
        <f t="shared" si="30"/>
        <v>11/24/2017 11:20-&gt;AD M - USA 1</v>
      </c>
      <c r="BB63" s="374">
        <f t="shared" si="31"/>
        <v>1</v>
      </c>
      <c r="BC63" s="374">
        <f t="shared" si="32"/>
        <v>1</v>
      </c>
      <c r="BD63" s="148" t="str">
        <f t="shared" si="33"/>
        <v>no conflict</v>
      </c>
      <c r="BF63" s="148" t="str">
        <f t="shared" si="34"/>
        <v>11/24/2017 11:20-&gt;AD M - PER</v>
      </c>
      <c r="BG63" s="148" t="str">
        <f t="shared" si="35"/>
        <v>11/24/2017 11:20-&gt;AD M - USA 1</v>
      </c>
      <c r="BH63" s="148" t="str">
        <f t="shared" si="36"/>
        <v>11/24/2017 11:20-&gt;JCC Back Field 3</v>
      </c>
      <c r="BI63" s="148" t="str">
        <f t="shared" si="37"/>
        <v>Soccer in JCC Back Field 3 (PER-USA1)</v>
      </c>
      <c r="BJ63" s="148" t="str">
        <f t="shared" si="38"/>
        <v>Adult Male Mini Soccer-- AD M - PER vs. AD M - USA 1</v>
      </c>
      <c r="BK63" s="148" t="str">
        <f t="shared" si="39"/>
        <v>Soccer</v>
      </c>
      <c r="BL63" s="148" t="str">
        <f t="shared" si="40"/>
        <v>AD M - PER</v>
      </c>
      <c r="BM63" s="148" t="str">
        <f t="shared" si="41"/>
        <v>AD M - USA 1</v>
      </c>
      <c r="BN63" s="148" t="str">
        <f t="shared" si="42"/>
        <v>Round - 1</v>
      </c>
      <c r="BP63" s="148" t="str">
        <f t="shared" si="43"/>
        <v>no t, f, or sf</v>
      </c>
      <c r="BQ63" s="148" t="str">
        <f t="shared" si="44"/>
        <v/>
      </c>
    </row>
    <row r="64" spans="1:69" ht="15" customHeight="1" x14ac:dyDescent="0.2">
      <c r="A64" s="376">
        <v>58</v>
      </c>
      <c r="B64" s="433" t="s">
        <v>81</v>
      </c>
      <c r="C64" s="441" t="s">
        <v>518</v>
      </c>
      <c r="D64" s="450">
        <v>1</v>
      </c>
      <c r="E64" s="450">
        <v>1</v>
      </c>
      <c r="F64" s="315" t="s">
        <v>770</v>
      </c>
      <c r="G64" s="320">
        <v>43063</v>
      </c>
      <c r="H64" s="454">
        <v>0.64583333333333337</v>
      </c>
      <c r="I64" s="325" t="s">
        <v>770</v>
      </c>
      <c r="J64" s="441" t="s">
        <v>692</v>
      </c>
      <c r="K64" s="441">
        <v>811</v>
      </c>
      <c r="L64" s="441" t="s">
        <v>537</v>
      </c>
      <c r="M64" s="441">
        <v>811</v>
      </c>
      <c r="N64" s="441" t="s">
        <v>539</v>
      </c>
      <c r="O64" s="153" t="str">
        <f>IF(L64&lt;&gt;"",IFERROR(VLOOKUP(B64&amp;L64,Pools!$A$2:$D$130,3,FALSE),""),"")</f>
        <v/>
      </c>
      <c r="P64" s="388">
        <v>2</v>
      </c>
      <c r="Q64" s="388">
        <v>3</v>
      </c>
      <c r="R64" s="306" t="str">
        <f t="shared" si="0"/>
        <v>2-3</v>
      </c>
      <c r="T64" s="148" t="str">
        <f t="shared" si="1"/>
        <v>Completed</v>
      </c>
      <c r="U64" s="153"/>
      <c r="V64" s="153"/>
      <c r="W64" s="387">
        <f t="shared" si="2"/>
        <v>-1</v>
      </c>
      <c r="X64" s="387">
        <f t="shared" si="3"/>
        <v>1</v>
      </c>
      <c r="Y64" s="301">
        <f t="shared" si="4"/>
        <v>0</v>
      </c>
      <c r="Z64" s="301">
        <f t="shared" si="5"/>
        <v>2</v>
      </c>
      <c r="AA64" s="323" t="str">
        <f>CONCATENATE("                x[team1,team2,sport,'",IF(OR(I64="x",I64=""),VLOOKUP('Schedule from TM'!J64,Tables!$P$3:$Q$33,2,FALSE),'Schedule from TM'!I64),",",J64,"','",IF(OR(F64="x",F64=""),VLOOKUP('Schedule from TM'!G64,Tables!$U$3:$V$14,2,FALSE),'Schedule from TM'!F64),",",TEXT(G64,"mm/dd/yyyy"),"','",TEXT(H64,"h:mm:ss AM/PM"),"'].ub=0.0      #",B64)</f>
        <v xml:space="preserve">                x[team1,team2,sport,'11,JCC Back Field 3','11,11/24/2017','3:30:00 PM'].ub=0.0      #Adult Male Mini Soccer</v>
      </c>
      <c r="AB64" s="301" t="str">
        <f t="shared" si="6"/>
        <v>,,Adult Male Mini Soccer,,1,AD M - MEX</v>
      </c>
      <c r="AC64" s="153" t="str">
        <f t="shared" si="7"/>
        <v>Adult Male Mini SoccerAD M - MEX</v>
      </c>
      <c r="AD64" s="301" t="str">
        <f t="shared" si="8"/>
        <v>,,Adult Male Mini Soccer,,1,AD M - USA 1</v>
      </c>
      <c r="AE64" s="153" t="str">
        <f t="shared" si="9"/>
        <v>Adult Male Mini SoccerAD M - USA 1</v>
      </c>
      <c r="AF64" s="383">
        <f t="shared" si="10"/>
        <v>0</v>
      </c>
      <c r="AG64" s="383">
        <f t="shared" si="11"/>
        <v>1</v>
      </c>
      <c r="AH64" s="383">
        <f t="shared" si="12"/>
        <v>0</v>
      </c>
      <c r="AI64" s="383">
        <f t="shared" si="13"/>
        <v>1</v>
      </c>
      <c r="AJ64" s="383">
        <f t="shared" si="14"/>
        <v>0</v>
      </c>
      <c r="AK64" s="383">
        <f t="shared" si="15"/>
        <v>0</v>
      </c>
      <c r="AM64" s="148" t="str">
        <f t="shared" si="16"/>
        <v>Schedulled</v>
      </c>
      <c r="AN64" s="148" t="str">
        <f t="shared" si="17"/>
        <v/>
      </c>
      <c r="AO64" s="156">
        <f t="shared" si="18"/>
        <v>43063.645833333336</v>
      </c>
      <c r="AP64" s="148" t="str">
        <f t="shared" si="19"/>
        <v>11/24/2017 15:30-&gt;JCC Back Field 3</v>
      </c>
      <c r="AQ64" s="374">
        <f t="shared" si="20"/>
        <v>1</v>
      </c>
      <c r="AR64" s="148" t="str">
        <f t="shared" si="21"/>
        <v>MEX</v>
      </c>
      <c r="AS64" s="148" t="str">
        <f t="shared" si="22"/>
        <v>USA1</v>
      </c>
      <c r="AT64" s="157" t="str">
        <f t="shared" si="23"/>
        <v>MEX-USA1</v>
      </c>
      <c r="AU64" s="157" t="str">
        <f t="shared" si="24"/>
        <v xml:space="preserve">MEX-USA1 </v>
      </c>
      <c r="AV64" s="157" t="str">
        <f t="shared" si="25"/>
        <v>Adults MALE</v>
      </c>
      <c r="AW64" s="157" t="str">
        <f t="shared" si="26"/>
        <v>Soccer</v>
      </c>
      <c r="AX64" s="376">
        <f t="shared" si="27"/>
        <v>58</v>
      </c>
      <c r="AY64" s="148" t="str">
        <f t="shared" si="28"/>
        <v>AD M - MEX-&gt;AD M - USA 1</v>
      </c>
      <c r="AZ64" s="148" t="str">
        <f t="shared" si="29"/>
        <v>11/24/2017 15:30-&gt;AD M - MEX</v>
      </c>
      <c r="BA64" s="148" t="str">
        <f t="shared" si="30"/>
        <v>11/24/2017 15:30-&gt;AD M - USA 1</v>
      </c>
      <c r="BB64" s="374">
        <f t="shared" si="31"/>
        <v>1</v>
      </c>
      <c r="BC64" s="374">
        <f t="shared" si="32"/>
        <v>1</v>
      </c>
      <c r="BD64" s="148" t="str">
        <f t="shared" si="33"/>
        <v>no conflict</v>
      </c>
      <c r="BF64" s="148" t="str">
        <f t="shared" si="34"/>
        <v>11/24/2017 15:30-&gt;AD M - MEX</v>
      </c>
      <c r="BG64" s="148" t="str">
        <f t="shared" si="35"/>
        <v>11/24/2017 15:30-&gt;AD M - USA 1</v>
      </c>
      <c r="BH64" s="148" t="str">
        <f t="shared" si="36"/>
        <v>11/24/2017 15:30-&gt;JCC Back Field 3</v>
      </c>
      <c r="BI64" s="148" t="str">
        <f t="shared" si="37"/>
        <v>Soccer in JCC Back Field 3 (MEX-USA1)</v>
      </c>
      <c r="BJ64" s="148" t="str">
        <f t="shared" si="38"/>
        <v>Adult Male Mini Soccer-- AD M - MEX vs. AD M - USA 1</v>
      </c>
      <c r="BK64" s="148" t="str">
        <f t="shared" si="39"/>
        <v>Soccer</v>
      </c>
      <c r="BL64" s="148" t="str">
        <f t="shared" si="40"/>
        <v>AD M - MEX</v>
      </c>
      <c r="BM64" s="148" t="str">
        <f t="shared" si="41"/>
        <v>AD M - USA 1</v>
      </c>
      <c r="BN64" s="148" t="str">
        <f t="shared" si="42"/>
        <v>Round - 1</v>
      </c>
      <c r="BP64" s="148" t="str">
        <f t="shared" si="43"/>
        <v>no t, f, or sf</v>
      </c>
      <c r="BQ64" s="148" t="str">
        <f t="shared" si="44"/>
        <v/>
      </c>
    </row>
    <row r="65" spans="1:69" ht="15" customHeight="1" x14ac:dyDescent="0.2">
      <c r="A65" s="376">
        <v>60</v>
      </c>
      <c r="B65" t="s">
        <v>86</v>
      </c>
      <c r="C65" s="319" t="s">
        <v>518</v>
      </c>
      <c r="D65" s="376">
        <v>1</v>
      </c>
      <c r="E65" s="376">
        <v>1</v>
      </c>
      <c r="F65" s="315" t="s">
        <v>770</v>
      </c>
      <c r="G65" s="320">
        <v>43058</v>
      </c>
      <c r="H65" s="318">
        <v>0.50694444444444442</v>
      </c>
      <c r="I65" s="325" t="s">
        <v>770</v>
      </c>
      <c r="J65" s="319" t="s">
        <v>708</v>
      </c>
      <c r="K65" s="319">
        <v>813</v>
      </c>
      <c r="L65" s="319" t="s">
        <v>536</v>
      </c>
      <c r="M65" s="319">
        <v>813</v>
      </c>
      <c r="N65" s="319" t="s">
        <v>541</v>
      </c>
      <c r="O65" s="153" t="str">
        <f>IF(L65&lt;&gt;"",IFERROR(VLOOKUP(B65&amp;L65,Pools!$A$2:$D$130,3,FALSE),""),"")</f>
        <v/>
      </c>
      <c r="P65" s="388">
        <v>1</v>
      </c>
      <c r="Q65" s="388">
        <v>2</v>
      </c>
      <c r="R65" s="306" t="str">
        <f t="shared" si="0"/>
        <v>1-2</v>
      </c>
      <c r="T65" s="148" t="str">
        <f t="shared" si="1"/>
        <v>Completed</v>
      </c>
      <c r="U65" s="153"/>
      <c r="V65" s="153"/>
      <c r="W65" s="387">
        <f t="shared" si="2"/>
        <v>-1</v>
      </c>
      <c r="X65" s="387">
        <f t="shared" si="3"/>
        <v>1</v>
      </c>
      <c r="Y65" s="301">
        <f t="shared" si="4"/>
        <v>0</v>
      </c>
      <c r="Z65" s="301">
        <f t="shared" si="5"/>
        <v>2</v>
      </c>
      <c r="AA65" s="323" t="str">
        <f>CONCATENATE("                x[team1,team2,sport,'",IF(OR(I65="x",I65=""),VLOOKUP('Schedule from TM'!J65,Tables!$P$3:$Q$33,2,FALSE),'Schedule from TM'!I65),",",J65,"','",IF(OR(F65="x",F65=""),VLOOKUP('Schedule from TM'!G65,Tables!$U$3:$V$14,2,FALSE),'Schedule from TM'!F65),",",TEXT(G65,"mm/dd/yyyy"),"','",TEXT(H65,"h:mm:ss AM/PM"),"'].ub=0.0      #",B65)</f>
        <v xml:space="preserve">                x[team1,team2,sport,'21,Hillel - Gym Volleyball','11,11/19/2017','12:10:00 PM'].ub=0.0      #Adult Male Volleyball</v>
      </c>
      <c r="AB65" s="301" t="str">
        <f t="shared" si="6"/>
        <v>,,Adult Male Volleyball,,1,AD M - COL 1</v>
      </c>
      <c r="AC65" s="153" t="str">
        <f t="shared" si="7"/>
        <v>Adult Male VolleyballAD M - COL 1</v>
      </c>
      <c r="AD65" s="301" t="str">
        <f t="shared" si="8"/>
        <v>,,Adult Male Volleyball,,1,AD M - ISR 1</v>
      </c>
      <c r="AE65" s="153" t="str">
        <f t="shared" si="9"/>
        <v>Adult Male VolleyballAD M - ISR 1</v>
      </c>
      <c r="AF65" s="383">
        <f t="shared" si="10"/>
        <v>0</v>
      </c>
      <c r="AG65" s="383">
        <f t="shared" si="11"/>
        <v>1</v>
      </c>
      <c r="AH65" s="383">
        <f t="shared" si="12"/>
        <v>0</v>
      </c>
      <c r="AI65" s="383">
        <f t="shared" si="13"/>
        <v>1</v>
      </c>
      <c r="AJ65" s="383">
        <f t="shared" si="14"/>
        <v>0</v>
      </c>
      <c r="AK65" s="383">
        <f t="shared" si="15"/>
        <v>0</v>
      </c>
      <c r="AM65" s="148" t="str">
        <f t="shared" si="16"/>
        <v>Schedulled</v>
      </c>
      <c r="AN65" s="148" t="str">
        <f t="shared" si="17"/>
        <v/>
      </c>
      <c r="AO65" s="156">
        <f t="shared" si="18"/>
        <v>43058.506944444445</v>
      </c>
      <c r="AP65" s="148" t="str">
        <f t="shared" si="19"/>
        <v>11/19/2017 12:10-&gt;Hillel - Gym Volleyball</v>
      </c>
      <c r="AQ65" s="374">
        <f t="shared" si="20"/>
        <v>1</v>
      </c>
      <c r="AR65" s="148" t="str">
        <f t="shared" si="21"/>
        <v>COL1</v>
      </c>
      <c r="AS65" s="148" t="str">
        <f t="shared" si="22"/>
        <v>ISR1</v>
      </c>
      <c r="AT65" s="157" t="str">
        <f t="shared" si="23"/>
        <v>COL1-ISR1</v>
      </c>
      <c r="AU65" s="157" t="str">
        <f t="shared" si="24"/>
        <v xml:space="preserve">COL1-ISR1 </v>
      </c>
      <c r="AV65" s="157" t="str">
        <f t="shared" si="25"/>
        <v>Adults MALE</v>
      </c>
      <c r="AW65" s="157" t="str">
        <f t="shared" si="26"/>
        <v>Volleyball</v>
      </c>
      <c r="AX65" s="376">
        <f t="shared" si="27"/>
        <v>60</v>
      </c>
      <c r="AY65" s="148" t="str">
        <f t="shared" si="28"/>
        <v>AD M - COL 1-&gt;AD M - ISR 1</v>
      </c>
      <c r="AZ65" s="148" t="str">
        <f t="shared" si="29"/>
        <v>11/19/2017 12:10-&gt;AD M - COL 1</v>
      </c>
      <c r="BA65" s="148" t="str">
        <f t="shared" si="30"/>
        <v>11/19/2017 12:10-&gt;AD M - ISR 1</v>
      </c>
      <c r="BB65" s="374">
        <f t="shared" si="31"/>
        <v>1</v>
      </c>
      <c r="BC65" s="374">
        <f t="shared" si="32"/>
        <v>1</v>
      </c>
      <c r="BD65" s="148" t="str">
        <f t="shared" si="33"/>
        <v>no conflict</v>
      </c>
      <c r="BF65" s="148" t="str">
        <f t="shared" si="34"/>
        <v>11/19/2017 12:10-&gt;AD M - COL 1</v>
      </c>
      <c r="BG65" s="148" t="str">
        <f t="shared" si="35"/>
        <v>11/19/2017 12:10-&gt;AD M - ISR 1</v>
      </c>
      <c r="BH65" s="148" t="str">
        <f t="shared" si="36"/>
        <v>11/19/2017 12:10-&gt;Hillel - Gym Volleyball</v>
      </c>
      <c r="BI65" s="148" t="str">
        <f t="shared" si="37"/>
        <v>Volleyball in Hillel - Gym Volleyball (COL1-ISR1)</v>
      </c>
      <c r="BJ65" s="148" t="str">
        <f t="shared" si="38"/>
        <v>Adult Male Volleyball-- AD M - COL 1 vs. AD M - ISR 1</v>
      </c>
      <c r="BK65" s="148" t="str">
        <f t="shared" si="39"/>
        <v>Volleyball</v>
      </c>
      <c r="BL65" s="148" t="str">
        <f t="shared" si="40"/>
        <v>AD M - COL 1</v>
      </c>
      <c r="BM65" s="148" t="str">
        <f t="shared" si="41"/>
        <v>AD M - ISR 1</v>
      </c>
      <c r="BN65" s="148" t="str">
        <f t="shared" si="42"/>
        <v>Round - 1</v>
      </c>
      <c r="BP65" s="148" t="str">
        <f t="shared" si="43"/>
        <v>no t, f, or sf</v>
      </c>
      <c r="BQ65" s="148" t="str">
        <f t="shared" si="44"/>
        <v/>
      </c>
    </row>
    <row r="66" spans="1:69" ht="15" customHeight="1" x14ac:dyDescent="0.2">
      <c r="A66" s="376">
        <v>61</v>
      </c>
      <c r="B66" t="s">
        <v>86</v>
      </c>
      <c r="C66" s="319" t="s">
        <v>518</v>
      </c>
      <c r="D66" s="376">
        <v>1</v>
      </c>
      <c r="E66" s="376">
        <v>1</v>
      </c>
      <c r="F66" s="315" t="s">
        <v>770</v>
      </c>
      <c r="G66" s="320">
        <v>43058</v>
      </c>
      <c r="H66" s="317">
        <v>0.57638888888888895</v>
      </c>
      <c r="I66" s="325" t="s">
        <v>770</v>
      </c>
      <c r="J66" s="444" t="s">
        <v>708</v>
      </c>
      <c r="K66" s="319">
        <v>813</v>
      </c>
      <c r="L66" s="319" t="s">
        <v>539</v>
      </c>
      <c r="M66" s="319">
        <v>813</v>
      </c>
      <c r="N66" s="319" t="s">
        <v>542</v>
      </c>
      <c r="O66" s="153" t="str">
        <f>IF(L66&lt;&gt;"",IFERROR(VLOOKUP(B66&amp;L66,Pools!$A$2:$D$130,3,FALSE),""),"")</f>
        <v/>
      </c>
      <c r="P66" s="388">
        <v>2</v>
      </c>
      <c r="Q66" s="388">
        <v>0</v>
      </c>
      <c r="R66" s="306" t="str">
        <f t="shared" si="0"/>
        <v>2-0</v>
      </c>
      <c r="T66" s="148" t="str">
        <f t="shared" si="1"/>
        <v>Completed</v>
      </c>
      <c r="U66" s="153"/>
      <c r="V66" s="153"/>
      <c r="W66" s="387">
        <f t="shared" si="2"/>
        <v>2</v>
      </c>
      <c r="X66" s="387">
        <f t="shared" si="3"/>
        <v>-2</v>
      </c>
      <c r="Y66" s="301">
        <f t="shared" si="4"/>
        <v>2</v>
      </c>
      <c r="Z66" s="301">
        <f t="shared" si="5"/>
        <v>0</v>
      </c>
      <c r="AA66" s="323" t="str">
        <f>CONCATENATE("                x[team1,team2,sport,'",IF(OR(I66="x",I66=""),VLOOKUP('Schedule from TM'!J66,Tables!$P$3:$Q$33,2,FALSE),'Schedule from TM'!I66),",",J66,"','",IF(OR(F66="x",F66=""),VLOOKUP('Schedule from TM'!G66,Tables!$U$3:$V$14,2,FALSE),'Schedule from TM'!F66),",",TEXT(G66,"mm/dd/yyyy"),"','",TEXT(H66,"h:mm:ss AM/PM"),"'].ub=0.0      #",B66)</f>
        <v xml:space="preserve">                x[team1,team2,sport,'21,Hillel - Gym Volleyball','11,11/19/2017','1:50:00 PM'].ub=0.0      #Adult Male Volleyball</v>
      </c>
      <c r="AB66" s="301" t="str">
        <f t="shared" si="6"/>
        <v>,,Adult Male Volleyball,,1,AD M - USA 1</v>
      </c>
      <c r="AC66" s="153" t="str">
        <f t="shared" si="7"/>
        <v>Adult Male VolleyballAD M - USA 1</v>
      </c>
      <c r="AD66" s="301" t="str">
        <f t="shared" si="8"/>
        <v>,,Adult Male Volleyball,,1,AD M - VEN 1</v>
      </c>
      <c r="AE66" s="153" t="str">
        <f t="shared" si="9"/>
        <v>Adult Male VolleyballAD M - VEN 1</v>
      </c>
      <c r="AF66" s="383">
        <f t="shared" si="10"/>
        <v>1</v>
      </c>
      <c r="AG66" s="383">
        <f t="shared" si="11"/>
        <v>0</v>
      </c>
      <c r="AH66" s="383">
        <f t="shared" si="12"/>
        <v>0</v>
      </c>
      <c r="AI66" s="383">
        <f t="shared" si="13"/>
        <v>0</v>
      </c>
      <c r="AJ66" s="383">
        <f t="shared" si="14"/>
        <v>1</v>
      </c>
      <c r="AK66" s="383">
        <f t="shared" si="15"/>
        <v>0</v>
      </c>
      <c r="AM66" s="148" t="str">
        <f t="shared" si="16"/>
        <v>Schedulled</v>
      </c>
      <c r="AN66" s="148" t="str">
        <f t="shared" si="17"/>
        <v/>
      </c>
      <c r="AO66" s="156">
        <f t="shared" si="18"/>
        <v>43058.576388888891</v>
      </c>
      <c r="AP66" s="148" t="str">
        <f t="shared" si="19"/>
        <v>11/19/2017 13:50-&gt;Hillel - Gym Volleyball</v>
      </c>
      <c r="AQ66" s="374">
        <f t="shared" si="20"/>
        <v>1</v>
      </c>
      <c r="AR66" s="148" t="str">
        <f t="shared" si="21"/>
        <v>USA1</v>
      </c>
      <c r="AS66" s="148" t="str">
        <f t="shared" si="22"/>
        <v>VEN1</v>
      </c>
      <c r="AT66" s="157" t="str">
        <f t="shared" si="23"/>
        <v>USA1-VEN1</v>
      </c>
      <c r="AU66" s="157" t="str">
        <f t="shared" si="24"/>
        <v xml:space="preserve">USA1-VEN1 </v>
      </c>
      <c r="AV66" s="157" t="str">
        <f t="shared" si="25"/>
        <v>Adults MALE</v>
      </c>
      <c r="AW66" s="157" t="str">
        <f t="shared" si="26"/>
        <v>Volleyball</v>
      </c>
      <c r="AX66" s="376">
        <f t="shared" si="27"/>
        <v>61</v>
      </c>
      <c r="AY66" s="148" t="str">
        <f t="shared" si="28"/>
        <v>AD M - USA 1-&gt;AD M - VEN 1</v>
      </c>
      <c r="AZ66" s="148" t="str">
        <f t="shared" si="29"/>
        <v>11/19/2017 13:50-&gt;AD M - USA 1</v>
      </c>
      <c r="BA66" s="148" t="str">
        <f t="shared" si="30"/>
        <v>11/19/2017 13:50-&gt;AD M - VEN 1</v>
      </c>
      <c r="BB66" s="374">
        <f t="shared" si="31"/>
        <v>1</v>
      </c>
      <c r="BC66" s="374">
        <f t="shared" si="32"/>
        <v>1</v>
      </c>
      <c r="BD66" s="148" t="str">
        <f t="shared" si="33"/>
        <v>no conflict</v>
      </c>
      <c r="BF66" s="148" t="str">
        <f t="shared" si="34"/>
        <v>11/19/2017 13:50-&gt;AD M - USA 1</v>
      </c>
      <c r="BG66" s="148" t="str">
        <f t="shared" si="35"/>
        <v>11/19/2017 13:50-&gt;AD M - VEN 1</v>
      </c>
      <c r="BH66" s="148" t="str">
        <f t="shared" si="36"/>
        <v>11/19/2017 13:50-&gt;Hillel - Gym Volleyball</v>
      </c>
      <c r="BI66" s="148" t="str">
        <f t="shared" si="37"/>
        <v>Volleyball in Hillel - Gym Volleyball (USA1-VEN1)</v>
      </c>
      <c r="BJ66" s="148" t="str">
        <f t="shared" si="38"/>
        <v>Adult Male Volleyball-- AD M - USA 1 vs. AD M - VEN 1</v>
      </c>
      <c r="BK66" s="148" t="str">
        <f t="shared" si="39"/>
        <v>Volleyball</v>
      </c>
      <c r="BL66" s="148" t="str">
        <f t="shared" si="40"/>
        <v>AD M - USA 1</v>
      </c>
      <c r="BM66" s="148" t="str">
        <f t="shared" si="41"/>
        <v>AD M - VEN 1</v>
      </c>
      <c r="BN66" s="148" t="str">
        <f t="shared" si="42"/>
        <v>Round - 1</v>
      </c>
      <c r="BP66" s="148" t="str">
        <f t="shared" si="43"/>
        <v>no t, f, or sf</v>
      </c>
      <c r="BQ66" s="148" t="str">
        <f t="shared" si="44"/>
        <v/>
      </c>
    </row>
    <row r="67" spans="1:69" ht="15" customHeight="1" x14ac:dyDescent="0.2">
      <c r="A67" s="376">
        <v>63</v>
      </c>
      <c r="B67" s="444" t="s">
        <v>86</v>
      </c>
      <c r="C67" s="444" t="s">
        <v>518</v>
      </c>
      <c r="D67" s="451">
        <v>1</v>
      </c>
      <c r="E67" s="451">
        <v>1</v>
      </c>
      <c r="F67" s="315" t="s">
        <v>770</v>
      </c>
      <c r="G67" s="445">
        <v>43060</v>
      </c>
      <c r="H67" s="317">
        <v>0.85416666666666663</v>
      </c>
      <c r="I67" s="325" t="s">
        <v>770</v>
      </c>
      <c r="J67" s="441" t="s">
        <v>697</v>
      </c>
      <c r="K67" s="444">
        <v>813</v>
      </c>
      <c r="L67" s="444" t="s">
        <v>538</v>
      </c>
      <c r="M67" s="444">
        <v>813</v>
      </c>
      <c r="N67" s="444" t="s">
        <v>541</v>
      </c>
      <c r="O67" s="153" t="str">
        <f>IF(L67&lt;&gt;"",IFERROR(VLOOKUP(B67&amp;L67,Pools!$A$2:$D$130,3,FALSE),""),"")</f>
        <v/>
      </c>
      <c r="P67" s="388">
        <v>0</v>
      </c>
      <c r="Q67" s="388">
        <v>2</v>
      </c>
      <c r="R67" s="306" t="str">
        <f t="shared" si="0"/>
        <v>0-2</v>
      </c>
      <c r="T67" s="148" t="str">
        <f t="shared" si="1"/>
        <v>Completed</v>
      </c>
      <c r="U67" s="153"/>
      <c r="V67" s="153"/>
      <c r="W67" s="387">
        <f t="shared" si="2"/>
        <v>-2</v>
      </c>
      <c r="X67" s="387">
        <f t="shared" si="3"/>
        <v>2</v>
      </c>
      <c r="Y67" s="301">
        <f t="shared" si="4"/>
        <v>0</v>
      </c>
      <c r="Z67" s="301">
        <f t="shared" si="5"/>
        <v>2</v>
      </c>
      <c r="AA67" s="323" t="str">
        <f>CONCATENATE("                x[team1,team2,sport,'",IF(OR(I67="x",I67=""),VLOOKUP('Schedule from TM'!J67,Tables!$P$3:$Q$33,2,FALSE),'Schedule from TM'!I67),",",J67,"','",IF(OR(F67="x",F67=""),VLOOKUP('Schedule from TM'!G67,Tables!$U$3:$V$14,2,FALSE),'Schedule from TM'!F67),",",TEXT(G67,"mm/dd/yyyy"),"','",TEXT(H67,"h:mm:ss AM/PM"),"'].ub=0.0      #",B67)</f>
        <v xml:space="preserve">                x[team1,team2,sport,'11,JCC Gym South','22,11/21/2017','8:30:00 PM'].ub=0.0      #Adult Male Volleyball</v>
      </c>
      <c r="AB67" s="301" t="str">
        <f t="shared" si="6"/>
        <v>,,Adult Male Volleyball,,1,AD M - PER</v>
      </c>
      <c r="AC67" s="153" t="str">
        <f t="shared" si="7"/>
        <v>Adult Male VolleyballAD M - PER</v>
      </c>
      <c r="AD67" s="301" t="str">
        <f t="shared" si="8"/>
        <v>,,Adult Male Volleyball,,1,AD M - ISR 1</v>
      </c>
      <c r="AE67" s="153" t="str">
        <f t="shared" si="9"/>
        <v>Adult Male VolleyballAD M - ISR 1</v>
      </c>
      <c r="AF67" s="383">
        <f t="shared" si="10"/>
        <v>0</v>
      </c>
      <c r="AG67" s="383">
        <f t="shared" si="11"/>
        <v>1</v>
      </c>
      <c r="AH67" s="383">
        <f t="shared" si="12"/>
        <v>0</v>
      </c>
      <c r="AI67" s="383">
        <f t="shared" si="13"/>
        <v>1</v>
      </c>
      <c r="AJ67" s="383">
        <f t="shared" si="14"/>
        <v>0</v>
      </c>
      <c r="AK67" s="383">
        <f t="shared" si="15"/>
        <v>0</v>
      </c>
      <c r="AM67" s="148" t="str">
        <f t="shared" si="16"/>
        <v>Schedulled</v>
      </c>
      <c r="AN67" s="148" t="str">
        <f t="shared" si="17"/>
        <v/>
      </c>
      <c r="AO67" s="156">
        <f t="shared" si="18"/>
        <v>43060.854166666664</v>
      </c>
      <c r="AP67" s="148" t="str">
        <f t="shared" si="19"/>
        <v>11/21/2017 20:30-&gt;JCC Gym South</v>
      </c>
      <c r="AQ67" s="374">
        <f t="shared" si="20"/>
        <v>1</v>
      </c>
      <c r="AR67" s="148" t="str">
        <f t="shared" si="21"/>
        <v>PER</v>
      </c>
      <c r="AS67" s="148" t="str">
        <f t="shared" si="22"/>
        <v>ISR1</v>
      </c>
      <c r="AT67" s="157" t="str">
        <f t="shared" si="23"/>
        <v>PER-ISR1</v>
      </c>
      <c r="AU67" s="157" t="str">
        <f t="shared" si="24"/>
        <v xml:space="preserve">PER-ISR1 </v>
      </c>
      <c r="AV67" s="157" t="str">
        <f t="shared" si="25"/>
        <v>Adults MALE</v>
      </c>
      <c r="AW67" s="157" t="str">
        <f t="shared" si="26"/>
        <v>Volleyball</v>
      </c>
      <c r="AX67" s="376">
        <f t="shared" si="27"/>
        <v>63</v>
      </c>
      <c r="AY67" s="148" t="str">
        <f t="shared" si="28"/>
        <v>AD M - PER-&gt;AD M - ISR 1</v>
      </c>
      <c r="AZ67" s="148" t="str">
        <f t="shared" si="29"/>
        <v>11/21/2017 20:30-&gt;AD M - PER</v>
      </c>
      <c r="BA67" s="148" t="str">
        <f t="shared" si="30"/>
        <v>11/21/2017 20:30-&gt;AD M - ISR 1</v>
      </c>
      <c r="BB67" s="374">
        <f t="shared" si="31"/>
        <v>1</v>
      </c>
      <c r="BC67" s="374">
        <f t="shared" si="32"/>
        <v>1</v>
      </c>
      <c r="BD67" s="148" t="str">
        <f t="shared" si="33"/>
        <v>no conflict</v>
      </c>
      <c r="BF67" s="148" t="str">
        <f t="shared" si="34"/>
        <v>11/21/2017 20:30-&gt;AD M - PER</v>
      </c>
      <c r="BG67" s="148" t="str">
        <f t="shared" si="35"/>
        <v>11/21/2017 20:30-&gt;AD M - ISR 1</v>
      </c>
      <c r="BH67" s="148" t="str">
        <f t="shared" si="36"/>
        <v>11/21/2017 20:30-&gt;JCC Gym South</v>
      </c>
      <c r="BI67" s="148" t="str">
        <f t="shared" si="37"/>
        <v>Volleyball in JCC Gym South (PER-ISR1)</v>
      </c>
      <c r="BJ67" s="148" t="str">
        <f t="shared" si="38"/>
        <v>Adult Male Volleyball-- AD M - PER vs. AD M - ISR 1</v>
      </c>
      <c r="BK67" s="148" t="str">
        <f t="shared" si="39"/>
        <v>Volleyball</v>
      </c>
      <c r="BL67" s="148" t="str">
        <f t="shared" si="40"/>
        <v>AD M - PER</v>
      </c>
      <c r="BM67" s="148" t="str">
        <f t="shared" si="41"/>
        <v>AD M - ISR 1</v>
      </c>
      <c r="BN67" s="148" t="str">
        <f t="shared" si="42"/>
        <v>Round - 1</v>
      </c>
      <c r="BP67" s="148" t="str">
        <f t="shared" si="43"/>
        <v>no t, f, or sf</v>
      </c>
      <c r="BQ67" s="148" t="str">
        <f t="shared" si="44"/>
        <v/>
      </c>
    </row>
    <row r="68" spans="1:69" ht="15" customHeight="1" x14ac:dyDescent="0.2">
      <c r="A68" s="376">
        <v>65</v>
      </c>
      <c r="B68" t="s">
        <v>86</v>
      </c>
      <c r="C68" s="319" t="s">
        <v>518</v>
      </c>
      <c r="D68" s="376">
        <v>1</v>
      </c>
      <c r="E68" s="376">
        <v>1</v>
      </c>
      <c r="F68" s="315" t="s">
        <v>770</v>
      </c>
      <c r="G68" s="320">
        <v>43062</v>
      </c>
      <c r="H68" s="318">
        <v>0.50694444444444442</v>
      </c>
      <c r="I68" s="325" t="s">
        <v>770</v>
      </c>
      <c r="J68" s="441" t="s">
        <v>708</v>
      </c>
      <c r="K68" s="319">
        <v>813</v>
      </c>
      <c r="L68" s="319" t="s">
        <v>539</v>
      </c>
      <c r="M68" s="319">
        <v>813</v>
      </c>
      <c r="N68" s="319" t="s">
        <v>541</v>
      </c>
      <c r="O68" s="153" t="str">
        <f>IF(L68&lt;&gt;"",IFERROR(VLOOKUP(B68&amp;L68,Pools!$A$2:$D$130,3,FALSE),""),"")</f>
        <v/>
      </c>
      <c r="P68" s="388">
        <v>2</v>
      </c>
      <c r="Q68" s="388">
        <v>0</v>
      </c>
      <c r="R68" s="306" t="str">
        <f t="shared" si="0"/>
        <v>2-0</v>
      </c>
      <c r="T68" s="148" t="str">
        <f t="shared" si="1"/>
        <v>Completed</v>
      </c>
      <c r="U68" s="153"/>
      <c r="V68" s="153"/>
      <c r="W68" s="387">
        <f t="shared" si="2"/>
        <v>2</v>
      </c>
      <c r="X68" s="387">
        <f t="shared" si="3"/>
        <v>-2</v>
      </c>
      <c r="Y68" s="301">
        <f t="shared" si="4"/>
        <v>2</v>
      </c>
      <c r="Z68" s="301">
        <f t="shared" si="5"/>
        <v>0</v>
      </c>
      <c r="AA68" s="323" t="str">
        <f>CONCATENATE("                x[team1,team2,sport,'",IF(OR(I68="x",I68=""),VLOOKUP('Schedule from TM'!J68,Tables!$P$3:$Q$33,2,FALSE),'Schedule from TM'!I68),",",J68,"','",IF(OR(F68="x",F68=""),VLOOKUP('Schedule from TM'!G68,Tables!$U$3:$V$14,2,FALSE),'Schedule from TM'!F68),",",TEXT(G68,"mm/dd/yyyy"),"','",TEXT(H68,"h:mm:ss AM/PM"),"'].ub=0.0      #",B68)</f>
        <v xml:space="preserve">                x[team1,team2,sport,'21,Hillel - Gym Volleyball','11,11/23/2017','12:10:00 PM'].ub=0.0      #Adult Male Volleyball</v>
      </c>
      <c r="AB68" s="301" t="str">
        <f t="shared" si="6"/>
        <v>,,Adult Male Volleyball,,1,AD M - USA 1</v>
      </c>
      <c r="AC68" s="153" t="str">
        <f t="shared" si="7"/>
        <v>Adult Male VolleyballAD M - USA 1</v>
      </c>
      <c r="AD68" s="301" t="str">
        <f t="shared" si="8"/>
        <v>,,Adult Male Volleyball,,1,AD M - ISR 1</v>
      </c>
      <c r="AE68" s="153" t="str">
        <f t="shared" si="9"/>
        <v>Adult Male VolleyballAD M - ISR 1</v>
      </c>
      <c r="AF68" s="383">
        <f t="shared" si="10"/>
        <v>1</v>
      </c>
      <c r="AG68" s="383">
        <f t="shared" si="11"/>
        <v>0</v>
      </c>
      <c r="AH68" s="383">
        <f t="shared" si="12"/>
        <v>0</v>
      </c>
      <c r="AI68" s="383">
        <f t="shared" si="13"/>
        <v>0</v>
      </c>
      <c r="AJ68" s="383">
        <f t="shared" si="14"/>
        <v>1</v>
      </c>
      <c r="AK68" s="383">
        <f t="shared" si="15"/>
        <v>0</v>
      </c>
      <c r="AM68" s="148" t="str">
        <f t="shared" si="16"/>
        <v>Schedulled</v>
      </c>
      <c r="AN68" s="148" t="str">
        <f t="shared" si="17"/>
        <v/>
      </c>
      <c r="AO68" s="156">
        <f t="shared" si="18"/>
        <v>43062.506944444445</v>
      </c>
      <c r="AP68" s="148" t="str">
        <f t="shared" si="19"/>
        <v>11/23/2017 12:10-&gt;Hillel - Gym Volleyball</v>
      </c>
      <c r="AQ68" s="374">
        <f t="shared" si="20"/>
        <v>1</v>
      </c>
      <c r="AR68" s="148" t="str">
        <f t="shared" si="21"/>
        <v>USA1</v>
      </c>
      <c r="AS68" s="148" t="str">
        <f t="shared" si="22"/>
        <v>ISR1</v>
      </c>
      <c r="AT68" s="157" t="str">
        <f t="shared" si="23"/>
        <v>USA1-ISR1</v>
      </c>
      <c r="AU68" s="157" t="str">
        <f t="shared" si="24"/>
        <v xml:space="preserve">USA1-ISR1 </v>
      </c>
      <c r="AV68" s="157" t="str">
        <f t="shared" si="25"/>
        <v>Adults MALE</v>
      </c>
      <c r="AW68" s="157" t="str">
        <f t="shared" si="26"/>
        <v>Volleyball</v>
      </c>
      <c r="AX68" s="376">
        <f t="shared" si="27"/>
        <v>65</v>
      </c>
      <c r="AY68" s="148" t="str">
        <f t="shared" si="28"/>
        <v>AD M - USA 1-&gt;AD M - ISR 1</v>
      </c>
      <c r="AZ68" s="148" t="str">
        <f t="shared" si="29"/>
        <v>11/23/2017 12:10-&gt;AD M - USA 1</v>
      </c>
      <c r="BA68" s="148" t="str">
        <f t="shared" si="30"/>
        <v>11/23/2017 12:10-&gt;AD M - ISR 1</v>
      </c>
      <c r="BB68" s="374">
        <f t="shared" si="31"/>
        <v>1</v>
      </c>
      <c r="BC68" s="374">
        <f t="shared" si="32"/>
        <v>1</v>
      </c>
      <c r="BD68" s="148" t="str">
        <f t="shared" si="33"/>
        <v>no conflict</v>
      </c>
      <c r="BF68" s="148" t="str">
        <f t="shared" si="34"/>
        <v>11/23/2017 12:10-&gt;AD M - USA 1</v>
      </c>
      <c r="BG68" s="148" t="str">
        <f t="shared" si="35"/>
        <v>11/23/2017 12:10-&gt;AD M - ISR 1</v>
      </c>
      <c r="BH68" s="148" t="str">
        <f t="shared" si="36"/>
        <v>11/23/2017 12:10-&gt;Hillel - Gym Volleyball</v>
      </c>
      <c r="BI68" s="148" t="str">
        <f t="shared" si="37"/>
        <v>Volleyball in Hillel - Gym Volleyball (USA1-ISR1)</v>
      </c>
      <c r="BJ68" s="148" t="str">
        <f t="shared" si="38"/>
        <v>Adult Male Volleyball-- AD M - USA 1 vs. AD M - ISR 1</v>
      </c>
      <c r="BK68" s="148" t="str">
        <f t="shared" si="39"/>
        <v>Volleyball</v>
      </c>
      <c r="BL68" s="148" t="str">
        <f t="shared" si="40"/>
        <v>AD M - USA 1</v>
      </c>
      <c r="BM68" s="148" t="str">
        <f t="shared" si="41"/>
        <v>AD M - ISR 1</v>
      </c>
      <c r="BN68" s="148" t="str">
        <f t="shared" si="42"/>
        <v>Round - 1</v>
      </c>
      <c r="BP68" s="148" t="str">
        <f t="shared" si="43"/>
        <v>no t, f, or sf</v>
      </c>
      <c r="BQ68" s="148" t="str">
        <f t="shared" si="44"/>
        <v/>
      </c>
    </row>
    <row r="69" spans="1:69" ht="15" customHeight="1" x14ac:dyDescent="0.2">
      <c r="A69" s="376">
        <v>66</v>
      </c>
      <c r="B69" t="s">
        <v>86</v>
      </c>
      <c r="C69" s="319" t="s">
        <v>518</v>
      </c>
      <c r="D69" s="376">
        <v>1</v>
      </c>
      <c r="E69" s="376">
        <v>1</v>
      </c>
      <c r="F69" s="315" t="s">
        <v>770</v>
      </c>
      <c r="G69" s="320">
        <v>43062</v>
      </c>
      <c r="H69" s="317">
        <v>0.64583333333333337</v>
      </c>
      <c r="I69" s="325" t="s">
        <v>770</v>
      </c>
      <c r="J69" s="319" t="s">
        <v>708</v>
      </c>
      <c r="K69" s="319">
        <v>813</v>
      </c>
      <c r="L69" s="319" t="s">
        <v>536</v>
      </c>
      <c r="M69" s="319">
        <v>813</v>
      </c>
      <c r="N69" s="319" t="s">
        <v>539</v>
      </c>
      <c r="O69" s="153" t="str">
        <f>IF(L69&lt;&gt;"",IFERROR(VLOOKUP(B69&amp;L69,Pools!$A$2:$D$130,3,FALSE),""),"")</f>
        <v/>
      </c>
      <c r="P69" s="388">
        <v>0</v>
      </c>
      <c r="Q69" s="388">
        <v>2</v>
      </c>
      <c r="R69" s="306" t="str">
        <f t="shared" si="0"/>
        <v>0-2</v>
      </c>
      <c r="T69" s="148" t="str">
        <f t="shared" si="1"/>
        <v>Completed</v>
      </c>
      <c r="U69" s="153"/>
      <c r="V69" s="153"/>
      <c r="W69" s="387">
        <f t="shared" si="2"/>
        <v>-2</v>
      </c>
      <c r="X69" s="387">
        <f t="shared" si="3"/>
        <v>2</v>
      </c>
      <c r="Y69" s="301">
        <f t="shared" si="4"/>
        <v>0</v>
      </c>
      <c r="Z69" s="301">
        <f t="shared" si="5"/>
        <v>2</v>
      </c>
      <c r="AA69" s="323" t="str">
        <f>CONCATENATE("                x[team1,team2,sport,'",IF(OR(I69="x",I69=""),VLOOKUP('Schedule from TM'!J69,Tables!$P$3:$Q$33,2,FALSE),'Schedule from TM'!I69),",",J69,"','",IF(OR(F69="x",F69=""),VLOOKUP('Schedule from TM'!G69,Tables!$U$3:$V$14,2,FALSE),'Schedule from TM'!F69),",",TEXT(G69,"mm/dd/yyyy"),"','",TEXT(H69,"h:mm:ss AM/PM"),"'].ub=0.0      #",B69)</f>
        <v xml:space="preserve">                x[team1,team2,sport,'21,Hillel - Gym Volleyball','11,11/23/2017','3:30:00 PM'].ub=0.0      #Adult Male Volleyball</v>
      </c>
      <c r="AB69" s="301" t="str">
        <f t="shared" si="6"/>
        <v>,,Adult Male Volleyball,,1,AD M - COL 1</v>
      </c>
      <c r="AC69" s="153" t="str">
        <f t="shared" si="7"/>
        <v>Adult Male VolleyballAD M - COL 1</v>
      </c>
      <c r="AD69" s="301" t="str">
        <f t="shared" si="8"/>
        <v>,,Adult Male Volleyball,,1,AD M - USA 1</v>
      </c>
      <c r="AE69" s="153" t="str">
        <f t="shared" si="9"/>
        <v>Adult Male VolleyballAD M - USA 1</v>
      </c>
      <c r="AF69" s="383">
        <f t="shared" si="10"/>
        <v>0</v>
      </c>
      <c r="AG69" s="383">
        <f t="shared" si="11"/>
        <v>1</v>
      </c>
      <c r="AH69" s="383">
        <f t="shared" si="12"/>
        <v>0</v>
      </c>
      <c r="AI69" s="383">
        <f t="shared" si="13"/>
        <v>1</v>
      </c>
      <c r="AJ69" s="383">
        <f t="shared" si="14"/>
        <v>0</v>
      </c>
      <c r="AK69" s="383">
        <f t="shared" si="15"/>
        <v>0</v>
      </c>
      <c r="AM69" s="148" t="str">
        <f t="shared" si="16"/>
        <v>Schedulled</v>
      </c>
      <c r="AN69" s="148" t="str">
        <f t="shared" si="17"/>
        <v/>
      </c>
      <c r="AO69" s="156">
        <f t="shared" si="18"/>
        <v>43062.645833333336</v>
      </c>
      <c r="AP69" s="148" t="str">
        <f t="shared" si="19"/>
        <v>11/23/2017 15:30-&gt;Hillel - Gym Volleyball</v>
      </c>
      <c r="AQ69" s="374">
        <f t="shared" si="20"/>
        <v>1</v>
      </c>
      <c r="AR69" s="148" t="str">
        <f t="shared" si="21"/>
        <v>COL1</v>
      </c>
      <c r="AS69" s="148" t="str">
        <f t="shared" si="22"/>
        <v>USA1</v>
      </c>
      <c r="AT69" s="157" t="str">
        <f t="shared" si="23"/>
        <v>COL1-USA1</v>
      </c>
      <c r="AU69" s="157" t="str">
        <f t="shared" si="24"/>
        <v xml:space="preserve">COL1-USA1 </v>
      </c>
      <c r="AV69" s="157" t="str">
        <f t="shared" si="25"/>
        <v>Adults MALE</v>
      </c>
      <c r="AW69" s="157" t="str">
        <f t="shared" si="26"/>
        <v>Volleyball</v>
      </c>
      <c r="AX69" s="376">
        <f t="shared" si="27"/>
        <v>66</v>
      </c>
      <c r="AY69" s="148" t="str">
        <f t="shared" si="28"/>
        <v>AD M - COL 1-&gt;AD M - USA 1</v>
      </c>
      <c r="AZ69" s="148" t="str">
        <f t="shared" si="29"/>
        <v>11/23/2017 15:30-&gt;AD M - COL 1</v>
      </c>
      <c r="BA69" s="148" t="str">
        <f t="shared" si="30"/>
        <v>11/23/2017 15:30-&gt;AD M - USA 1</v>
      </c>
      <c r="BB69" s="374">
        <f t="shared" si="31"/>
        <v>1</v>
      </c>
      <c r="BC69" s="374">
        <f t="shared" si="32"/>
        <v>1</v>
      </c>
      <c r="BD69" s="148" t="str">
        <f t="shared" si="33"/>
        <v>no conflict</v>
      </c>
      <c r="BF69" s="148" t="str">
        <f t="shared" si="34"/>
        <v>11/23/2017 15:30-&gt;AD M - COL 1</v>
      </c>
      <c r="BG69" s="148" t="str">
        <f t="shared" si="35"/>
        <v>11/23/2017 15:30-&gt;AD M - USA 1</v>
      </c>
      <c r="BH69" s="148" t="str">
        <f t="shared" si="36"/>
        <v>11/23/2017 15:30-&gt;Hillel - Gym Volleyball</v>
      </c>
      <c r="BI69" s="148" t="str">
        <f t="shared" si="37"/>
        <v>Volleyball in Hillel - Gym Volleyball (COL1-USA1)</v>
      </c>
      <c r="BJ69" s="148" t="str">
        <f t="shared" si="38"/>
        <v>Adult Male Volleyball-- AD M - COL 1 vs. AD M - USA 1</v>
      </c>
      <c r="BK69" s="148" t="str">
        <f t="shared" si="39"/>
        <v>Volleyball</v>
      </c>
      <c r="BL69" s="148" t="str">
        <f t="shared" si="40"/>
        <v>AD M - COL 1</v>
      </c>
      <c r="BM69" s="148" t="str">
        <f t="shared" si="41"/>
        <v>AD M - USA 1</v>
      </c>
      <c r="BN69" s="148" t="str">
        <f t="shared" si="42"/>
        <v>Round - 1</v>
      </c>
      <c r="BP69" s="148" t="str">
        <f t="shared" si="43"/>
        <v>no t, f, or sf</v>
      </c>
      <c r="BQ69" s="148" t="str">
        <f t="shared" si="44"/>
        <v/>
      </c>
    </row>
    <row r="70" spans="1:69" ht="15" customHeight="1" x14ac:dyDescent="0.2">
      <c r="A70" s="376">
        <v>67</v>
      </c>
      <c r="B70" t="s">
        <v>86</v>
      </c>
      <c r="C70" s="319" t="s">
        <v>518</v>
      </c>
      <c r="D70" s="376">
        <v>1</v>
      </c>
      <c r="E70" s="376">
        <v>1</v>
      </c>
      <c r="F70" s="315" t="s">
        <v>770</v>
      </c>
      <c r="G70" s="320">
        <v>43063</v>
      </c>
      <c r="H70" s="418">
        <v>0.4375</v>
      </c>
      <c r="I70" s="325" t="s">
        <v>770</v>
      </c>
      <c r="J70" s="441" t="s">
        <v>697</v>
      </c>
      <c r="K70" s="319">
        <v>813</v>
      </c>
      <c r="L70" s="319" t="s">
        <v>541</v>
      </c>
      <c r="M70" s="319">
        <v>813</v>
      </c>
      <c r="N70" s="319" t="s">
        <v>542</v>
      </c>
      <c r="O70" s="153" t="str">
        <f>IF(L70&lt;&gt;"",IFERROR(VLOOKUP(B70&amp;L70,Pools!$A$2:$D$130,3,FALSE),""),"")</f>
        <v/>
      </c>
      <c r="P70" s="388">
        <v>0</v>
      </c>
      <c r="Q70" s="388">
        <v>2</v>
      </c>
      <c r="R70" s="306" t="str">
        <f t="shared" si="0"/>
        <v>0-2</v>
      </c>
      <c r="T70" s="148" t="str">
        <f t="shared" si="1"/>
        <v>Completed</v>
      </c>
      <c r="U70" s="153"/>
      <c r="V70" s="153"/>
      <c r="W70" s="387">
        <f t="shared" si="2"/>
        <v>-2</v>
      </c>
      <c r="X70" s="387">
        <f t="shared" si="3"/>
        <v>2</v>
      </c>
      <c r="Y70" s="301">
        <f t="shared" si="4"/>
        <v>0</v>
      </c>
      <c r="Z70" s="301">
        <f t="shared" si="5"/>
        <v>2</v>
      </c>
      <c r="AA70" s="323" t="str">
        <f>CONCATENATE("                x[team1,team2,sport,'",IF(OR(I70="x",I70=""),VLOOKUP('Schedule from TM'!J70,Tables!$P$3:$Q$33,2,FALSE),'Schedule from TM'!I70),",",J70,"','",IF(OR(F70="x",F70=""),VLOOKUP('Schedule from TM'!G70,Tables!$U$3:$V$14,2,FALSE),'Schedule from TM'!F70),",",TEXT(G70,"mm/dd/yyyy"),"','",TEXT(H70,"h:mm:ss AM/PM"),"'].ub=0.0      #",B70)</f>
        <v xml:space="preserve">                x[team1,team2,sport,'11,JCC Gym South','11,11/24/2017','10:30:00 AM'].ub=0.0      #Adult Male Volleyball</v>
      </c>
      <c r="AB70" s="301" t="str">
        <f t="shared" si="6"/>
        <v>,,Adult Male Volleyball,,1,AD M - ISR 1</v>
      </c>
      <c r="AC70" s="153" t="str">
        <f t="shared" si="7"/>
        <v>Adult Male VolleyballAD M - ISR 1</v>
      </c>
      <c r="AD70" s="301" t="str">
        <f t="shared" si="8"/>
        <v>,,Adult Male Volleyball,,1,AD M - VEN 1</v>
      </c>
      <c r="AE70" s="153" t="str">
        <f t="shared" si="9"/>
        <v>Adult Male VolleyballAD M - VEN 1</v>
      </c>
      <c r="AF70" s="383">
        <f t="shared" si="10"/>
        <v>0</v>
      </c>
      <c r="AG70" s="383">
        <f t="shared" si="11"/>
        <v>1</v>
      </c>
      <c r="AH70" s="383">
        <f t="shared" si="12"/>
        <v>0</v>
      </c>
      <c r="AI70" s="383">
        <f t="shared" si="13"/>
        <v>1</v>
      </c>
      <c r="AJ70" s="383">
        <f t="shared" si="14"/>
        <v>0</v>
      </c>
      <c r="AK70" s="383">
        <f t="shared" si="15"/>
        <v>0</v>
      </c>
      <c r="AM70" s="148" t="str">
        <f t="shared" si="16"/>
        <v>Schedulled</v>
      </c>
      <c r="AN70" s="148" t="str">
        <f t="shared" si="17"/>
        <v/>
      </c>
      <c r="AO70" s="156">
        <f t="shared" si="18"/>
        <v>43063.4375</v>
      </c>
      <c r="AP70" s="148" t="str">
        <f t="shared" si="19"/>
        <v>11/24/2017 10:30-&gt;JCC Gym South</v>
      </c>
      <c r="AQ70" s="374">
        <f t="shared" si="20"/>
        <v>1</v>
      </c>
      <c r="AR70" s="148" t="str">
        <f t="shared" si="21"/>
        <v>ISR1</v>
      </c>
      <c r="AS70" s="148" t="str">
        <f t="shared" si="22"/>
        <v>VEN1</v>
      </c>
      <c r="AT70" s="157" t="str">
        <f t="shared" si="23"/>
        <v>ISR1-VEN1</v>
      </c>
      <c r="AU70" s="157" t="str">
        <f t="shared" si="24"/>
        <v xml:space="preserve">ISR1-VEN1 </v>
      </c>
      <c r="AV70" s="157" t="str">
        <f t="shared" si="25"/>
        <v>Adults MALE</v>
      </c>
      <c r="AW70" s="157" t="str">
        <f t="shared" si="26"/>
        <v>Volleyball</v>
      </c>
      <c r="AX70" s="376">
        <f t="shared" si="27"/>
        <v>67</v>
      </c>
      <c r="AY70" s="148" t="str">
        <f t="shared" si="28"/>
        <v>AD M - ISR 1-&gt;AD M - VEN 1</v>
      </c>
      <c r="AZ70" s="148" t="str">
        <f t="shared" si="29"/>
        <v>11/24/2017 10:30-&gt;AD M - ISR 1</v>
      </c>
      <c r="BA70" s="148" t="str">
        <f t="shared" si="30"/>
        <v>11/24/2017 10:30-&gt;AD M - VEN 1</v>
      </c>
      <c r="BB70" s="374">
        <f t="shared" si="31"/>
        <v>1</v>
      </c>
      <c r="BC70" s="374">
        <f t="shared" si="32"/>
        <v>1</v>
      </c>
      <c r="BD70" s="148" t="str">
        <f t="shared" si="33"/>
        <v>no conflict</v>
      </c>
      <c r="BF70" s="148" t="str">
        <f t="shared" si="34"/>
        <v>11/24/2017 10:30-&gt;AD M - ISR 1</v>
      </c>
      <c r="BG70" s="148" t="str">
        <f t="shared" si="35"/>
        <v>11/24/2017 10:30-&gt;AD M - VEN 1</v>
      </c>
      <c r="BH70" s="148" t="str">
        <f t="shared" si="36"/>
        <v>11/24/2017 10:30-&gt;JCC Gym South</v>
      </c>
      <c r="BI70" s="148" t="str">
        <f t="shared" si="37"/>
        <v>Volleyball in JCC Gym South (ISR1-VEN1)</v>
      </c>
      <c r="BJ70" s="148" t="str">
        <f t="shared" si="38"/>
        <v>Adult Male Volleyball-- AD M - ISR 1 vs. AD M - VEN 1</v>
      </c>
      <c r="BK70" s="148" t="str">
        <f t="shared" si="39"/>
        <v>Volleyball</v>
      </c>
      <c r="BL70" s="148" t="str">
        <f t="shared" si="40"/>
        <v>AD M - ISR 1</v>
      </c>
      <c r="BM70" s="148" t="str">
        <f t="shared" si="41"/>
        <v>AD M - VEN 1</v>
      </c>
      <c r="BN70" s="148" t="str">
        <f t="shared" si="42"/>
        <v>Round - 1</v>
      </c>
      <c r="BP70" s="148" t="str">
        <f t="shared" si="43"/>
        <v>no t, f, or sf</v>
      </c>
      <c r="BQ70" s="148" t="str">
        <f t="shared" si="44"/>
        <v/>
      </c>
    </row>
    <row r="71" spans="1:69" ht="15" customHeight="1" x14ac:dyDescent="0.2">
      <c r="A71" s="376">
        <v>68</v>
      </c>
      <c r="B71" t="s">
        <v>86</v>
      </c>
      <c r="C71" s="319" t="s">
        <v>518</v>
      </c>
      <c r="D71" s="376">
        <v>1</v>
      </c>
      <c r="E71" s="376">
        <v>1</v>
      </c>
      <c r="F71" s="315" t="s">
        <v>770</v>
      </c>
      <c r="G71" s="320">
        <v>43063</v>
      </c>
      <c r="H71" s="417">
        <v>0.54166666666666663</v>
      </c>
      <c r="I71" s="325" t="s">
        <v>770</v>
      </c>
      <c r="J71" s="296" t="s">
        <v>708</v>
      </c>
      <c r="K71" s="319">
        <v>813</v>
      </c>
      <c r="L71" s="319" t="s">
        <v>536</v>
      </c>
      <c r="M71" s="319">
        <v>813</v>
      </c>
      <c r="N71" s="319" t="s">
        <v>538</v>
      </c>
      <c r="O71" s="153" t="str">
        <f>IF(L71&lt;&gt;"",IFERROR(VLOOKUP(B71&amp;L71,Pools!$A$2:$D$130,3,FALSE),""),"")</f>
        <v/>
      </c>
      <c r="P71" s="388">
        <v>0</v>
      </c>
      <c r="Q71" s="388">
        <v>2</v>
      </c>
      <c r="R71" s="306" t="str">
        <f t="shared" si="0"/>
        <v>0-2</v>
      </c>
      <c r="T71" s="148" t="str">
        <f t="shared" si="1"/>
        <v>Completed</v>
      </c>
      <c r="U71" s="153"/>
      <c r="V71" s="153"/>
      <c r="W71" s="387">
        <f t="shared" si="2"/>
        <v>-2</v>
      </c>
      <c r="X71" s="387">
        <f t="shared" si="3"/>
        <v>2</v>
      </c>
      <c r="Y71" s="301">
        <f t="shared" si="4"/>
        <v>0</v>
      </c>
      <c r="Z71" s="301">
        <f t="shared" si="5"/>
        <v>2</v>
      </c>
      <c r="AA71" s="323" t="str">
        <f>CONCATENATE("                x[team1,team2,sport,'",IF(OR(I71="x",I71=""),VLOOKUP('Schedule from TM'!J71,Tables!$P$3:$Q$33,2,FALSE),'Schedule from TM'!I71),",",J71,"','",IF(OR(F71="x",F71=""),VLOOKUP('Schedule from TM'!G71,Tables!$U$3:$V$14,2,FALSE),'Schedule from TM'!F71),",",TEXT(G71,"mm/dd/yyyy"),"','",TEXT(H71,"h:mm:ss AM/PM"),"'].ub=0.0      #",B71)</f>
        <v xml:space="preserve">                x[team1,team2,sport,'21,Hillel - Gym Volleyball','11,11/24/2017','1:00:00 PM'].ub=0.0      #Adult Male Volleyball</v>
      </c>
      <c r="AB71" s="301" t="str">
        <f t="shared" si="6"/>
        <v>,,Adult Male Volleyball,,1,AD M - COL 1</v>
      </c>
      <c r="AC71" s="153" t="str">
        <f t="shared" si="7"/>
        <v>Adult Male VolleyballAD M - COL 1</v>
      </c>
      <c r="AD71" s="301" t="str">
        <f t="shared" si="8"/>
        <v>,,Adult Male Volleyball,,1,AD M - PER</v>
      </c>
      <c r="AE71" s="153" t="str">
        <f t="shared" si="9"/>
        <v>Adult Male VolleyballAD M - PER</v>
      </c>
      <c r="AF71" s="383">
        <f t="shared" si="10"/>
        <v>0</v>
      </c>
      <c r="AG71" s="383">
        <f t="shared" si="11"/>
        <v>1</v>
      </c>
      <c r="AH71" s="383">
        <f t="shared" si="12"/>
        <v>0</v>
      </c>
      <c r="AI71" s="383">
        <f t="shared" si="13"/>
        <v>1</v>
      </c>
      <c r="AJ71" s="383">
        <f t="shared" si="14"/>
        <v>0</v>
      </c>
      <c r="AK71" s="383">
        <f t="shared" si="15"/>
        <v>0</v>
      </c>
      <c r="AM71" s="148" t="str">
        <f t="shared" si="16"/>
        <v>Schedulled</v>
      </c>
      <c r="AN71" s="148" t="str">
        <f t="shared" si="17"/>
        <v/>
      </c>
      <c r="AO71" s="156">
        <f t="shared" si="18"/>
        <v>43063.541666666664</v>
      </c>
      <c r="AP71" s="148" t="str">
        <f t="shared" si="19"/>
        <v>11/24/2017 13:00-&gt;Hillel - Gym Volleyball</v>
      </c>
      <c r="AQ71" s="374">
        <f t="shared" si="20"/>
        <v>1</v>
      </c>
      <c r="AR71" s="148" t="str">
        <f t="shared" si="21"/>
        <v>COL1</v>
      </c>
      <c r="AS71" s="148" t="str">
        <f t="shared" si="22"/>
        <v>PER</v>
      </c>
      <c r="AT71" s="157" t="str">
        <f t="shared" si="23"/>
        <v>COL1-PER</v>
      </c>
      <c r="AU71" s="157" t="str">
        <f t="shared" si="24"/>
        <v xml:space="preserve">COL1-PER </v>
      </c>
      <c r="AV71" s="157" t="str">
        <f t="shared" si="25"/>
        <v>Adults MALE</v>
      </c>
      <c r="AW71" s="157" t="str">
        <f t="shared" si="26"/>
        <v>Volleyball</v>
      </c>
      <c r="AX71" s="376">
        <f t="shared" si="27"/>
        <v>68</v>
      </c>
      <c r="AY71" s="148" t="str">
        <f t="shared" si="28"/>
        <v>AD M - COL 1-&gt;AD M - PER</v>
      </c>
      <c r="AZ71" s="148" t="str">
        <f t="shared" si="29"/>
        <v>11/24/2017 13:00-&gt;AD M - COL 1</v>
      </c>
      <c r="BA71" s="148" t="str">
        <f t="shared" si="30"/>
        <v>11/24/2017 13:00-&gt;AD M - PER</v>
      </c>
      <c r="BB71" s="374">
        <f t="shared" si="31"/>
        <v>1</v>
      </c>
      <c r="BC71" s="374">
        <f t="shared" si="32"/>
        <v>1</v>
      </c>
      <c r="BD71" s="148" t="str">
        <f t="shared" si="33"/>
        <v>no conflict</v>
      </c>
      <c r="BF71" s="148" t="str">
        <f t="shared" si="34"/>
        <v>11/24/2017 13:00-&gt;AD M - COL 1</v>
      </c>
      <c r="BG71" s="148" t="str">
        <f t="shared" si="35"/>
        <v>11/24/2017 13:00-&gt;AD M - PER</v>
      </c>
      <c r="BH71" s="148" t="str">
        <f t="shared" si="36"/>
        <v>11/24/2017 13:00-&gt;Hillel - Gym Volleyball</v>
      </c>
      <c r="BI71" s="148" t="str">
        <f t="shared" si="37"/>
        <v>Volleyball in Hillel - Gym Volleyball (COL1-PER)</v>
      </c>
      <c r="BJ71" s="148" t="str">
        <f t="shared" si="38"/>
        <v>Adult Male Volleyball-- AD M - COL 1 vs. AD M - PER</v>
      </c>
      <c r="BK71" s="148" t="str">
        <f t="shared" si="39"/>
        <v>Volleyball</v>
      </c>
      <c r="BL71" s="148" t="str">
        <f t="shared" si="40"/>
        <v>AD M - COL 1</v>
      </c>
      <c r="BM71" s="148" t="str">
        <f t="shared" si="41"/>
        <v>AD M - PER</v>
      </c>
      <c r="BN71" s="148" t="str">
        <f t="shared" si="42"/>
        <v>Round - 1</v>
      </c>
      <c r="BP71" s="148" t="str">
        <f t="shared" si="43"/>
        <v>no t, f, or sf</v>
      </c>
      <c r="BQ71" s="148" t="str">
        <f t="shared" si="44"/>
        <v/>
      </c>
    </row>
    <row r="72" spans="1:69" ht="15" customHeight="1" x14ac:dyDescent="0.2">
      <c r="A72" s="376">
        <v>70</v>
      </c>
      <c r="B72" t="s">
        <v>86</v>
      </c>
      <c r="C72" s="319" t="s">
        <v>518</v>
      </c>
      <c r="D72" s="376">
        <v>1</v>
      </c>
      <c r="E72" s="376">
        <v>1</v>
      </c>
      <c r="F72" s="315" t="s">
        <v>770</v>
      </c>
      <c r="G72" s="320">
        <v>43063</v>
      </c>
      <c r="H72" s="417">
        <v>0.64583333333333337</v>
      </c>
      <c r="I72" s="325" t="s">
        <v>770</v>
      </c>
      <c r="J72" s="319" t="s">
        <v>697</v>
      </c>
      <c r="K72" s="319">
        <v>813</v>
      </c>
      <c r="L72" s="319" t="s">
        <v>538</v>
      </c>
      <c r="M72" s="319">
        <v>813</v>
      </c>
      <c r="N72" s="319" t="s">
        <v>542</v>
      </c>
      <c r="O72" s="153" t="str">
        <f>IF(L72&lt;&gt;"",IFERROR(VLOOKUP(B72&amp;L72,Pools!$A$2:$D$130,3,FALSE),""),"")</f>
        <v/>
      </c>
      <c r="P72" s="388">
        <v>2</v>
      </c>
      <c r="Q72" s="388">
        <v>1</v>
      </c>
      <c r="R72" s="306" t="str">
        <f t="shared" si="0"/>
        <v>2-1</v>
      </c>
      <c r="T72" s="148" t="str">
        <f t="shared" si="1"/>
        <v>Completed</v>
      </c>
      <c r="U72" s="153"/>
      <c r="V72" s="153"/>
      <c r="W72" s="387">
        <f t="shared" si="2"/>
        <v>1</v>
      </c>
      <c r="X72" s="387">
        <f t="shared" si="3"/>
        <v>-1</v>
      </c>
      <c r="Y72" s="301">
        <f t="shared" si="4"/>
        <v>2</v>
      </c>
      <c r="Z72" s="301">
        <f t="shared" si="5"/>
        <v>0</v>
      </c>
      <c r="AA72" s="323" t="str">
        <f>CONCATENATE("                x[team1,team2,sport,'",IF(OR(I72="x",I72=""),VLOOKUP('Schedule from TM'!J72,Tables!$P$3:$Q$33,2,FALSE),'Schedule from TM'!I72),",",J72,"','",IF(OR(F72="x",F72=""),VLOOKUP('Schedule from TM'!G72,Tables!$U$3:$V$14,2,FALSE),'Schedule from TM'!F72),",",TEXT(G72,"mm/dd/yyyy"),"','",TEXT(H72,"h:mm:ss AM/PM"),"'].ub=0.0      #",B72)</f>
        <v xml:space="preserve">                x[team1,team2,sport,'11,JCC Gym South','11,11/24/2017','3:30:00 PM'].ub=0.0      #Adult Male Volleyball</v>
      </c>
      <c r="AB72" s="301" t="str">
        <f t="shared" si="6"/>
        <v>,,Adult Male Volleyball,,1,AD M - PER</v>
      </c>
      <c r="AC72" s="153" t="str">
        <f t="shared" si="7"/>
        <v>Adult Male VolleyballAD M - PER</v>
      </c>
      <c r="AD72" s="301" t="str">
        <f t="shared" si="8"/>
        <v>,,Adult Male Volleyball,,1,AD M - VEN 1</v>
      </c>
      <c r="AE72" s="153" t="str">
        <f t="shared" si="9"/>
        <v>Adult Male VolleyballAD M - VEN 1</v>
      </c>
      <c r="AF72" s="383">
        <f t="shared" si="10"/>
        <v>1</v>
      </c>
      <c r="AG72" s="383">
        <f t="shared" si="11"/>
        <v>0</v>
      </c>
      <c r="AH72" s="383">
        <f t="shared" si="12"/>
        <v>0</v>
      </c>
      <c r="AI72" s="383">
        <f t="shared" si="13"/>
        <v>0</v>
      </c>
      <c r="AJ72" s="383">
        <f t="shared" si="14"/>
        <v>1</v>
      </c>
      <c r="AK72" s="383">
        <f t="shared" si="15"/>
        <v>0</v>
      </c>
      <c r="AM72" s="148" t="str">
        <f t="shared" si="16"/>
        <v>Schedulled</v>
      </c>
      <c r="AN72" s="148" t="str">
        <f t="shared" si="17"/>
        <v/>
      </c>
      <c r="AO72" s="156">
        <f t="shared" si="18"/>
        <v>43063.645833333336</v>
      </c>
      <c r="AP72" s="148" t="str">
        <f t="shared" si="19"/>
        <v>11/24/2017 15:30-&gt;JCC Gym South</v>
      </c>
      <c r="AQ72" s="374">
        <f t="shared" si="20"/>
        <v>1</v>
      </c>
      <c r="AR72" s="148" t="str">
        <f t="shared" si="21"/>
        <v>PER</v>
      </c>
      <c r="AS72" s="148" t="str">
        <f t="shared" si="22"/>
        <v>VEN1</v>
      </c>
      <c r="AT72" s="157" t="str">
        <f t="shared" si="23"/>
        <v>PER-VEN1</v>
      </c>
      <c r="AU72" s="157" t="str">
        <f t="shared" si="24"/>
        <v xml:space="preserve">PER-VEN1 </v>
      </c>
      <c r="AV72" s="157" t="str">
        <f t="shared" si="25"/>
        <v>Adults MALE</v>
      </c>
      <c r="AW72" s="157" t="str">
        <f t="shared" si="26"/>
        <v>Volleyball</v>
      </c>
      <c r="AX72" s="376">
        <f t="shared" si="27"/>
        <v>70</v>
      </c>
      <c r="AY72" s="148" t="str">
        <f t="shared" si="28"/>
        <v>AD M - PER-&gt;AD M - VEN 1</v>
      </c>
      <c r="AZ72" s="148" t="str">
        <f t="shared" si="29"/>
        <v>11/24/2017 15:30-&gt;AD M - PER</v>
      </c>
      <c r="BA72" s="148" t="str">
        <f t="shared" si="30"/>
        <v>11/24/2017 15:30-&gt;AD M - VEN 1</v>
      </c>
      <c r="BB72" s="374">
        <f t="shared" si="31"/>
        <v>1</v>
      </c>
      <c r="BC72" s="374">
        <f t="shared" si="32"/>
        <v>1</v>
      </c>
      <c r="BD72" s="148" t="str">
        <f t="shared" si="33"/>
        <v>no conflict</v>
      </c>
      <c r="BF72" s="148" t="str">
        <f t="shared" si="34"/>
        <v>11/24/2017 15:30-&gt;AD M - PER</v>
      </c>
      <c r="BG72" s="148" t="str">
        <f t="shared" si="35"/>
        <v>11/24/2017 15:30-&gt;AD M - VEN 1</v>
      </c>
      <c r="BH72" s="148" t="str">
        <f t="shared" si="36"/>
        <v>11/24/2017 15:30-&gt;JCC Gym South</v>
      </c>
      <c r="BI72" s="148" t="str">
        <f t="shared" si="37"/>
        <v>Volleyball in JCC Gym South (PER-VEN1)</v>
      </c>
      <c r="BJ72" s="148" t="str">
        <f t="shared" si="38"/>
        <v>Adult Male Volleyball-- AD M - PER vs. AD M - VEN 1</v>
      </c>
      <c r="BK72" s="148" t="str">
        <f t="shared" si="39"/>
        <v>Volleyball</v>
      </c>
      <c r="BL72" s="148" t="str">
        <f t="shared" si="40"/>
        <v>AD M - PER</v>
      </c>
      <c r="BM72" s="148" t="str">
        <f t="shared" si="41"/>
        <v>AD M - VEN 1</v>
      </c>
      <c r="BN72" s="148" t="str">
        <f t="shared" si="42"/>
        <v>Round - 1</v>
      </c>
      <c r="BP72" s="148" t="str">
        <f t="shared" si="43"/>
        <v>no t, f, or sf</v>
      </c>
      <c r="BQ72" s="148" t="str">
        <f t="shared" si="44"/>
        <v/>
      </c>
    </row>
    <row r="73" spans="1:69" ht="15" customHeight="1" x14ac:dyDescent="0.2">
      <c r="A73" s="376">
        <v>71</v>
      </c>
      <c r="B73" s="433" t="s">
        <v>31</v>
      </c>
      <c r="C73" s="441" t="s">
        <v>518</v>
      </c>
      <c r="D73" s="450">
        <v>1</v>
      </c>
      <c r="E73" s="450">
        <v>1</v>
      </c>
      <c r="F73" s="315">
        <v>11</v>
      </c>
      <c r="G73" s="320">
        <v>43058</v>
      </c>
      <c r="H73" s="318">
        <v>0.68055555555555547</v>
      </c>
      <c r="I73" s="325">
        <v>32</v>
      </c>
      <c r="J73" s="441" t="s">
        <v>684</v>
      </c>
      <c r="K73" s="441">
        <v>14</v>
      </c>
      <c r="L73" s="441" t="s">
        <v>548</v>
      </c>
      <c r="M73" s="441">
        <v>14</v>
      </c>
      <c r="N73" s="441" t="s">
        <v>775</v>
      </c>
      <c r="O73" s="153" t="str">
        <f>IF(L73&lt;&gt;"",IFERROR(VLOOKUP(B73&amp;L73,Pools!$A$2:$D$130,3,FALSE),""),"")</f>
        <v/>
      </c>
      <c r="P73" s="388">
        <v>11</v>
      </c>
      <c r="Q73" s="388">
        <v>0</v>
      </c>
      <c r="R73" s="306" t="str">
        <f t="shared" si="0"/>
        <v>11-0</v>
      </c>
      <c r="T73" s="148" t="str">
        <f t="shared" si="1"/>
        <v>Completed</v>
      </c>
      <c r="U73" s="153"/>
      <c r="V73" s="153"/>
      <c r="W73" s="387">
        <f t="shared" si="2"/>
        <v>11</v>
      </c>
      <c r="X73" s="387">
        <f t="shared" si="3"/>
        <v>-11</v>
      </c>
      <c r="Y73" s="301">
        <f t="shared" si="4"/>
        <v>2</v>
      </c>
      <c r="Z73" s="301">
        <f t="shared" si="5"/>
        <v>0</v>
      </c>
      <c r="AA73" s="323" t="str">
        <f>CONCATENATE("                x[team1,team2,sport,'",IF(OR(I73="x",I73=""),VLOOKUP('Schedule from TM'!J73,Tables!$P$3:$Q$33,2,FALSE),'Schedule from TM'!I73),",",J73,"','",IF(OR(F73="x",F73=""),VLOOKUP('Schedule from TM'!G73,Tables!$U$3:$V$14,2,FALSE),'Schedule from TM'!F73),",",TEXT(G73,"mm/dd/yyyy"),"','",TEXT(H73,"h:mm:ss AM/PM"),"'].ub=0.0      #",B73)</f>
        <v xml:space="preserve">                x[team1,team2,sport,'32,Sinai - Basketball','11,11/19/2017','4:20:00 PM'].ub=0.0      #Ch A Coed Basketball</v>
      </c>
      <c r="AB73" s="301" t="str">
        <f t="shared" si="6"/>
        <v>,,Ch A Coed Basketball,,1,CHILD A - USA 1</v>
      </c>
      <c r="AC73" s="153" t="str">
        <f t="shared" si="7"/>
        <v>Ch A Coed BasketballCHILD A - USA 1</v>
      </c>
      <c r="AD73" s="301" t="str">
        <f t="shared" si="8"/>
        <v>,,Ch A Coed Basketball,,1,CHILD A - USA 2</v>
      </c>
      <c r="AE73" s="153" t="str">
        <f t="shared" si="9"/>
        <v>Ch A Coed BasketballCHILD A - USA 2</v>
      </c>
      <c r="AF73" s="383">
        <f t="shared" si="10"/>
        <v>1</v>
      </c>
      <c r="AG73" s="383">
        <f t="shared" si="11"/>
        <v>0</v>
      </c>
      <c r="AH73" s="383">
        <f t="shared" si="12"/>
        <v>0</v>
      </c>
      <c r="AI73" s="383">
        <f t="shared" si="13"/>
        <v>0</v>
      </c>
      <c r="AJ73" s="383">
        <f t="shared" si="14"/>
        <v>1</v>
      </c>
      <c r="AK73" s="383">
        <f t="shared" si="15"/>
        <v>0</v>
      </c>
      <c r="AM73" s="148" t="str">
        <f t="shared" si="16"/>
        <v>Schedulled</v>
      </c>
      <c r="AN73" s="148" t="str">
        <f t="shared" si="17"/>
        <v/>
      </c>
      <c r="AO73" s="156">
        <f t="shared" si="18"/>
        <v>43058.680555555555</v>
      </c>
      <c r="AP73" s="148" t="str">
        <f t="shared" si="19"/>
        <v>11/19/2017 16:20-&gt;Sinai - Basketball</v>
      </c>
      <c r="AQ73" s="374">
        <f t="shared" si="20"/>
        <v>1</v>
      </c>
      <c r="AR73" s="148" t="str">
        <f t="shared" si="21"/>
        <v>USA1</v>
      </c>
      <c r="AS73" s="148" t="str">
        <f t="shared" si="22"/>
        <v>USA2</v>
      </c>
      <c r="AT73" s="157" t="str">
        <f t="shared" si="23"/>
        <v>USA1-USA2</v>
      </c>
      <c r="AU73" s="157" t="str">
        <f t="shared" si="24"/>
        <v xml:space="preserve">USA1-USA2 </v>
      </c>
      <c r="AV73" s="157" t="str">
        <f t="shared" si="25"/>
        <v>CHILDREN A COED</v>
      </c>
      <c r="AW73" s="157" t="str">
        <f t="shared" si="26"/>
        <v>Basketball</v>
      </c>
      <c r="AX73" s="376">
        <f t="shared" si="27"/>
        <v>71</v>
      </c>
      <c r="AY73" s="148" t="str">
        <f t="shared" si="28"/>
        <v>CHILD A - USA 1-&gt;CHILD A - USA 2</v>
      </c>
      <c r="AZ73" s="148" t="str">
        <f t="shared" si="29"/>
        <v>11/19/2017 16:20-&gt;CHILD A - USA 1</v>
      </c>
      <c r="BA73" s="148" t="str">
        <f t="shared" si="30"/>
        <v>11/19/2017 16:20-&gt;CHILD A - USA 2</v>
      </c>
      <c r="BB73" s="374">
        <f t="shared" si="31"/>
        <v>1</v>
      </c>
      <c r="BC73" s="374">
        <f t="shared" si="32"/>
        <v>1</v>
      </c>
      <c r="BD73" s="148" t="str">
        <f t="shared" si="33"/>
        <v>no conflict</v>
      </c>
      <c r="BF73" s="148" t="str">
        <f t="shared" si="34"/>
        <v>11/19/2017 16:20-&gt;CHILD A - USA 1</v>
      </c>
      <c r="BG73" s="148" t="str">
        <f t="shared" si="35"/>
        <v>11/19/2017 16:20-&gt;CHILD A - USA 2</v>
      </c>
      <c r="BH73" s="148" t="str">
        <f t="shared" si="36"/>
        <v>11/19/2017 16:20-&gt;Sinai - Basketball</v>
      </c>
      <c r="BI73" s="148" t="str">
        <f t="shared" si="37"/>
        <v>Basketball in Sinai - Basketball (USA1-USA2)</v>
      </c>
      <c r="BJ73" s="148" t="str">
        <f t="shared" si="38"/>
        <v>Ch A Coed Basketball-- CHILD A - USA 1 vs. CHILD A - USA 2</v>
      </c>
      <c r="BK73" s="148" t="str">
        <f t="shared" si="39"/>
        <v>Basketball</v>
      </c>
      <c r="BL73" s="148" t="str">
        <f t="shared" si="40"/>
        <v>CHILD A - USA 1</v>
      </c>
      <c r="BM73" s="148" t="str">
        <f t="shared" si="41"/>
        <v>CHILD A - USA 2</v>
      </c>
      <c r="BN73" s="148" t="str">
        <f t="shared" si="42"/>
        <v>Round - 1</v>
      </c>
      <c r="BP73" s="148" t="str">
        <f t="shared" si="43"/>
        <v>no t, f, or sf</v>
      </c>
      <c r="BQ73" s="148" t="str">
        <f t="shared" si="44"/>
        <v/>
      </c>
    </row>
    <row r="74" spans="1:69" ht="15" customHeight="1" x14ac:dyDescent="0.2">
      <c r="A74" s="376">
        <v>72</v>
      </c>
      <c r="B74" s="433" t="s">
        <v>31</v>
      </c>
      <c r="C74" s="441" t="s">
        <v>518</v>
      </c>
      <c r="D74" s="450">
        <v>1</v>
      </c>
      <c r="E74" s="450">
        <v>1</v>
      </c>
      <c r="F74" s="315">
        <v>11</v>
      </c>
      <c r="G74" s="320">
        <v>43062</v>
      </c>
      <c r="H74" s="317">
        <v>0.4375</v>
      </c>
      <c r="I74" s="325">
        <v>32</v>
      </c>
      <c r="J74" s="441" t="s">
        <v>684</v>
      </c>
      <c r="K74" s="441">
        <v>14</v>
      </c>
      <c r="L74" s="441" t="s">
        <v>548</v>
      </c>
      <c r="M74" s="441">
        <v>14</v>
      </c>
      <c r="N74" s="441" t="s">
        <v>549</v>
      </c>
      <c r="O74" s="153" t="str">
        <f>IF(L74&lt;&gt;"",IFERROR(VLOOKUP(B74&amp;L74,Pools!$A$2:$D$130,3,FALSE),""),"")</f>
        <v/>
      </c>
      <c r="P74" s="388">
        <v>22</v>
      </c>
      <c r="Q74" s="388">
        <v>4</v>
      </c>
      <c r="R74" s="306" t="str">
        <f t="shared" si="0"/>
        <v>22-4</v>
      </c>
      <c r="T74" s="148" t="str">
        <f t="shared" si="1"/>
        <v>Completed</v>
      </c>
      <c r="U74" s="153"/>
      <c r="V74" s="153"/>
      <c r="W74" s="387">
        <f t="shared" si="2"/>
        <v>15</v>
      </c>
      <c r="X74" s="387">
        <f t="shared" si="3"/>
        <v>-15</v>
      </c>
      <c r="Y74" s="301">
        <f t="shared" si="4"/>
        <v>2</v>
      </c>
      <c r="Z74" s="301">
        <f t="shared" si="5"/>
        <v>0</v>
      </c>
      <c r="AA74" s="323" t="str">
        <f>CONCATENATE("                x[team1,team2,sport,'",IF(OR(I74="x",I74=""),VLOOKUP('Schedule from TM'!J74,Tables!$P$3:$Q$33,2,FALSE),'Schedule from TM'!I74),",",J74,"','",IF(OR(F74="x",F74=""),VLOOKUP('Schedule from TM'!G74,Tables!$U$3:$V$14,2,FALSE),'Schedule from TM'!F74),",",TEXT(G74,"mm/dd/yyyy"),"','",TEXT(H74,"h:mm:ss AM/PM"),"'].ub=0.0      #",B74)</f>
        <v xml:space="preserve">                x[team1,team2,sport,'32,Sinai - Basketball','11,11/23/2017','10:30:00 AM'].ub=0.0      #Ch A Coed Basketball</v>
      </c>
      <c r="AB74" s="301" t="str">
        <f t="shared" si="6"/>
        <v>,,Ch A Coed Basketball,,1,CHILD A - USA 1</v>
      </c>
      <c r="AC74" s="153" t="str">
        <f t="shared" si="7"/>
        <v>Ch A Coed BasketballCHILD A - USA 1</v>
      </c>
      <c r="AD74" s="301" t="str">
        <f t="shared" si="8"/>
        <v>,,Ch A Coed Basketball,,1,CHILD A - VEN 1</v>
      </c>
      <c r="AE74" s="153" t="str">
        <f t="shared" si="9"/>
        <v>Ch A Coed BasketballCHILD A - VEN 1</v>
      </c>
      <c r="AF74" s="383">
        <f t="shared" si="10"/>
        <v>1</v>
      </c>
      <c r="AG74" s="383">
        <f t="shared" si="11"/>
        <v>0</v>
      </c>
      <c r="AH74" s="383">
        <f t="shared" si="12"/>
        <v>0</v>
      </c>
      <c r="AI74" s="383">
        <f t="shared" si="13"/>
        <v>0</v>
      </c>
      <c r="AJ74" s="383">
        <f t="shared" si="14"/>
        <v>1</v>
      </c>
      <c r="AK74" s="383">
        <f t="shared" si="15"/>
        <v>0</v>
      </c>
      <c r="AM74" s="148" t="str">
        <f t="shared" si="16"/>
        <v>Schedulled</v>
      </c>
      <c r="AN74" s="148" t="str">
        <f t="shared" si="17"/>
        <v/>
      </c>
      <c r="AO74" s="156">
        <f t="shared" si="18"/>
        <v>43062.4375</v>
      </c>
      <c r="AP74" s="148" t="str">
        <f t="shared" si="19"/>
        <v>11/23/2017 10:30-&gt;Sinai - Basketball</v>
      </c>
      <c r="AQ74" s="374">
        <f t="shared" si="20"/>
        <v>1</v>
      </c>
      <c r="AR74" s="148" t="str">
        <f t="shared" si="21"/>
        <v>USA1</v>
      </c>
      <c r="AS74" s="148" t="str">
        <f t="shared" si="22"/>
        <v>VEN1</v>
      </c>
      <c r="AT74" s="157" t="str">
        <f t="shared" si="23"/>
        <v>USA1-VEN1</v>
      </c>
      <c r="AU74" s="157" t="str">
        <f t="shared" si="24"/>
        <v xml:space="preserve">USA1-VEN1 </v>
      </c>
      <c r="AV74" s="157" t="str">
        <f t="shared" si="25"/>
        <v>CHILDREN A COED</v>
      </c>
      <c r="AW74" s="157" t="str">
        <f t="shared" si="26"/>
        <v>Basketball</v>
      </c>
      <c r="AX74" s="376">
        <f t="shared" si="27"/>
        <v>72</v>
      </c>
      <c r="AY74" s="148" t="str">
        <f t="shared" si="28"/>
        <v>CHILD A - USA 1-&gt;CHILD A - VEN 1</v>
      </c>
      <c r="AZ74" s="148" t="str">
        <f t="shared" si="29"/>
        <v>11/23/2017 10:30-&gt;CHILD A - USA 1</v>
      </c>
      <c r="BA74" s="148" t="str">
        <f t="shared" si="30"/>
        <v>11/23/2017 10:30-&gt;CHILD A - VEN 1</v>
      </c>
      <c r="BB74" s="374">
        <f t="shared" si="31"/>
        <v>1</v>
      </c>
      <c r="BC74" s="374">
        <f t="shared" si="32"/>
        <v>1</v>
      </c>
      <c r="BD74" s="148" t="str">
        <f t="shared" si="33"/>
        <v>no conflict</v>
      </c>
      <c r="BF74" s="148" t="str">
        <f t="shared" si="34"/>
        <v>11/23/2017 10:30-&gt;CHILD A - USA 1</v>
      </c>
      <c r="BG74" s="148" t="str">
        <f t="shared" si="35"/>
        <v>11/23/2017 10:30-&gt;CHILD A - VEN 1</v>
      </c>
      <c r="BH74" s="148" t="str">
        <f t="shared" si="36"/>
        <v>11/23/2017 10:30-&gt;Sinai - Basketball</v>
      </c>
      <c r="BI74" s="148" t="str">
        <f t="shared" si="37"/>
        <v>Basketball in Sinai - Basketball (USA1-VEN1)</v>
      </c>
      <c r="BJ74" s="148" t="str">
        <f t="shared" si="38"/>
        <v>Ch A Coed Basketball-- CHILD A - USA 1 vs. CHILD A - VEN 1</v>
      </c>
      <c r="BK74" s="148" t="str">
        <f t="shared" si="39"/>
        <v>Basketball</v>
      </c>
      <c r="BL74" s="148" t="str">
        <f t="shared" si="40"/>
        <v>CHILD A - USA 1</v>
      </c>
      <c r="BM74" s="148" t="str">
        <f t="shared" si="41"/>
        <v>CHILD A - VEN 1</v>
      </c>
      <c r="BN74" s="148" t="str">
        <f t="shared" si="42"/>
        <v>Round - 1</v>
      </c>
      <c r="BP74" s="148" t="str">
        <f t="shared" si="43"/>
        <v>no t, f, or sf</v>
      </c>
      <c r="BQ74" s="148" t="str">
        <f t="shared" si="44"/>
        <v/>
      </c>
    </row>
    <row r="75" spans="1:69" ht="15" customHeight="1" x14ac:dyDescent="0.2">
      <c r="A75" s="376">
        <v>73</v>
      </c>
      <c r="B75" s="433" t="s">
        <v>31</v>
      </c>
      <c r="C75" s="441" t="s">
        <v>518</v>
      </c>
      <c r="D75" s="450">
        <v>1</v>
      </c>
      <c r="E75" s="450">
        <v>1</v>
      </c>
      <c r="F75" s="315">
        <v>11</v>
      </c>
      <c r="G75" s="320">
        <v>43063</v>
      </c>
      <c r="H75" s="454">
        <v>0.57638888888888895</v>
      </c>
      <c r="I75" s="325">
        <v>32</v>
      </c>
      <c r="J75" s="441" t="s">
        <v>684</v>
      </c>
      <c r="K75" s="441">
        <v>14</v>
      </c>
      <c r="L75" s="441" t="s">
        <v>545</v>
      </c>
      <c r="M75" s="441">
        <v>14</v>
      </c>
      <c r="N75" s="441" t="s">
        <v>775</v>
      </c>
      <c r="O75" s="153" t="str">
        <f>IF(L75&lt;&gt;"",IFERROR(VLOOKUP(B75&amp;L75,Pools!$A$2:$D$130,3,FALSE),""),"")</f>
        <v/>
      </c>
      <c r="P75" s="388">
        <v>3</v>
      </c>
      <c r="Q75" s="388">
        <v>8</v>
      </c>
      <c r="R75" s="306" t="str">
        <f t="shared" ref="R75:R138" si="45">P75&amp;"-"&amp;Q75</f>
        <v>3-8</v>
      </c>
      <c r="T75" s="148" t="str">
        <f t="shared" ref="T75:T138" si="46">IF(AND(P75&lt;&gt;"",Q75&lt;&gt;""),"Completed","Pending")</f>
        <v>Completed</v>
      </c>
      <c r="U75" s="153"/>
      <c r="V75" s="153"/>
      <c r="W75" s="387">
        <f t="shared" ref="W75:W138" si="47">IF(AW75="Basketball",(IF(P75-Q75&gt;15,15,IF(P75-Q75&lt;-15,-15,(P75-Q75)))),IF(AW75="Soccer",(IF(P75-Q75&gt;3,3,IF(P75-Q75&lt;-3,-3,(P75-Q75)))),IF(AW75="Kickball",(IF(P75-Q75&gt;5,5,IF(P75-Q75&lt;-5,-5,(P75-Q75)))),IF(AW75="Flag Football",(IF(P75-Q75&gt;21,21,IF(P75-Q75&lt;-21,-21,(P75-Q75)))),P75-Q75))))</f>
        <v>-5</v>
      </c>
      <c r="X75" s="387">
        <f t="shared" ref="X75:X138" si="48">IF(AW75="Basketball",(IF(Q75-P75&gt;15,15,IF(Q75-P75&lt;-15,-15,(Q75-P75)))),IF(AW75="Soccer",(IF(Q75-P75&gt;3,3,IF(Q75-P75&lt;-3,-3,(Q75-P75)))),IF(AW75="Kickball",(IF(Q75-P75&gt;5,5,IF(Q75-P75&lt;-5,-5,(Q75-P75)))),IF(AW75="Flag Football",(IF(Q75-P75&gt;21,21,IF(Q75-P75&lt;-21,-21,(Q75-P75)))),Q75-P75))))</f>
        <v>5</v>
      </c>
      <c r="Y75" s="301">
        <f t="shared" ref="Y75:Y138" si="49">IF(T75="Completed",(IF(P75&gt;Q75,2,IF(P75=Q75,1,IF(P75&lt;Q75,0)))),"X")</f>
        <v>0</v>
      </c>
      <c r="Z75" s="301">
        <f t="shared" ref="Z75:Z138" si="50">IF(T75="Completed",(IF(Q75&gt;P75,2,IF(Q75=P75,1,IF(Q75&lt;P75,0)))),"X")</f>
        <v>2</v>
      </c>
      <c r="AA75" s="323" t="str">
        <f>CONCATENATE("                x[team1,team2,sport,'",IF(OR(I75="x",I75=""),VLOOKUP('Schedule from TM'!J75,Tables!$P$3:$Q$33,2,FALSE),'Schedule from TM'!I75),",",J75,"','",IF(OR(F75="x",F75=""),VLOOKUP('Schedule from TM'!G75,Tables!$U$3:$V$14,2,FALSE),'Schedule from TM'!F75),",",TEXT(G75,"mm/dd/yyyy"),"','",TEXT(H75,"h:mm:ss AM/PM"),"'].ub=0.0      #",B75)</f>
        <v xml:space="preserve">                x[team1,team2,sport,'32,Sinai - Basketball','11,11/24/2017','1:50:00 PM'].ub=0.0      #Ch A Coed Basketball</v>
      </c>
      <c r="AB75" s="301" t="str">
        <f t="shared" ref="AB75:AB138" si="51">",,"&amp;B75&amp;","&amp;O75&amp;",1,"&amp;L75</f>
        <v>,,Ch A Coed Basketball,,1,CHILD A - COL 1</v>
      </c>
      <c r="AC75" s="153" t="str">
        <f t="shared" ref="AC75:AC138" si="52">B75&amp;O75&amp;L75</f>
        <v>Ch A Coed BasketballCHILD A - COL 1</v>
      </c>
      <c r="AD75" s="301" t="str">
        <f t="shared" ref="AD75:AD138" si="53">",,"&amp;B75&amp;","&amp;O75&amp;",1,"&amp;N75</f>
        <v>,,Ch A Coed Basketball,,1,CHILD A - USA 2</v>
      </c>
      <c r="AE75" s="153" t="str">
        <f t="shared" ref="AE75:AE138" si="54">B75&amp;O75&amp;N75</f>
        <v>Ch A Coed BasketballCHILD A - USA 2</v>
      </c>
      <c r="AF75" s="383">
        <f t="shared" ref="AF75:AF138" si="55">IF(Y75=2,1,0)</f>
        <v>0</v>
      </c>
      <c r="AG75" s="383">
        <f t="shared" ref="AG75:AG138" si="56">IF(Y75=0,1,0)</f>
        <v>1</v>
      </c>
      <c r="AH75" s="383">
        <f t="shared" ref="AH75:AH138" si="57">IF(Y75=1,1,0)</f>
        <v>0</v>
      </c>
      <c r="AI75" s="383">
        <f t="shared" ref="AI75:AI138" si="58">IF(Z75=2,1,0)</f>
        <v>1</v>
      </c>
      <c r="AJ75" s="383">
        <f t="shared" ref="AJ75:AJ138" si="59">IF(Z75=0,1,0)</f>
        <v>0</v>
      </c>
      <c r="AK75" s="383">
        <f t="shared" ref="AK75:AK138" si="60">IF(Z75=1,1,0)</f>
        <v>0</v>
      </c>
      <c r="AM75" s="148" t="str">
        <f t="shared" ref="AM75:AM138" si="61">IF(G75&amp;H75&amp;J75&lt;&gt;"","Schedulled","Not Schedulled")</f>
        <v>Schedulled</v>
      </c>
      <c r="AN75" s="148" t="str">
        <f t="shared" ref="AN75:AN138" si="62">IF(AND(AM75="schedulled",L75&amp;N75=""),"Schedulled no team","")</f>
        <v/>
      </c>
      <c r="AO75" s="156">
        <f t="shared" ref="AO75:AO138" si="63">G75+H75</f>
        <v>43063.576388888891</v>
      </c>
      <c r="AP75" s="148" t="str">
        <f t="shared" ref="AP75:AP138" si="64">TEXT(AO75,"MM/DD/YYYY HH:MM")&amp;"-&gt;"&amp;J75</f>
        <v>11/24/2017 13:50-&gt;Sinai - Basketball</v>
      </c>
      <c r="AQ75" s="374">
        <f t="shared" ref="AQ75:AQ138" si="65">IF(AM75="not schedulled", 0,COUNTIF($AP$11:$AP$1051,AP75))</f>
        <v>1</v>
      </c>
      <c r="AR75" s="148" t="str">
        <f t="shared" ref="AR75:AR138" si="66">IFERROR(VLOOKUP(L75,teams_table,3,FALSE),"")</f>
        <v>COL1</v>
      </c>
      <c r="AS75" s="148" t="str">
        <f t="shared" ref="AS75:AS138" si="67">IFERROR(VLOOKUP(N75,teams_table,3,FALSE),"")</f>
        <v>USA2</v>
      </c>
      <c r="AT75" s="157" t="str">
        <f t="shared" ref="AT75:AT138" si="68">IF(AR75&amp;AS75&lt;&gt;"",AR75&amp;"-"&amp;AS75,"")</f>
        <v>COL1-USA2</v>
      </c>
      <c r="AU75" s="157" t="str">
        <f t="shared" ref="AU75:AU138" si="69">IF(AT75="","",AT75&amp;" ")&amp;IF(C75="final",AW75&amp;" Final","")&amp;IF(C75="semi-final",AW75&amp;" Semi-Final","")&amp;IF(C75="Tournament",AW75&amp;" Tournament","")</f>
        <v xml:space="preserve">COL1-USA2 </v>
      </c>
      <c r="AV75" s="157" t="str">
        <f t="shared" ref="AV75:AV138" si="70">IFERROR(VLOOKUP(B75,events_table,2,FALSE),"")</f>
        <v>CHILDREN A COED</v>
      </c>
      <c r="AW75" s="157" t="str">
        <f t="shared" ref="AW75:AW138" si="71">IFERROR(VLOOKUP(B75,events_table,3,0),"")</f>
        <v>Basketball</v>
      </c>
      <c r="AX75" s="376">
        <f t="shared" ref="AX75:AX138" si="72">A75</f>
        <v>73</v>
      </c>
      <c r="AY75" s="148" t="str">
        <f t="shared" ref="AY75:AY138" si="73">L75&amp;"-&gt;"&amp;N75</f>
        <v>CHILD A - COL 1-&gt;CHILD A - USA 2</v>
      </c>
      <c r="AZ75" s="148" t="str">
        <f t="shared" ref="AZ75:AZ138" si="74">TEXT(AO75,"MM/DD/YYYY HH:MM")&amp;"-&gt;"&amp;L75</f>
        <v>11/24/2017 13:50-&gt;CHILD A - COL 1</v>
      </c>
      <c r="BA75" s="148" t="str">
        <f t="shared" ref="BA75:BA138" si="75">TEXT(AO75,"MM/DD/YYYY HH:MM")&amp;"-&gt;"&amp;N75</f>
        <v>11/24/2017 13:50-&gt;CHILD A - USA 2</v>
      </c>
      <c r="BB75" s="374">
        <f t="shared" ref="BB75:BB138" si="76">IF(OR(AM75="not schedulled",AN75="schedulled no team"),0,COUNTIF($AZ$11:$BA$1051,AZ75))</f>
        <v>1</v>
      </c>
      <c r="BC75" s="374">
        <f t="shared" ref="BC75:BC138" si="77">IF(OR(AM75="not schedulled",AN75="schedulled no team"),0,COUNTIF($AZ$11:$BA$1051,BA75))</f>
        <v>1</v>
      </c>
      <c r="BD75" s="148" t="str">
        <f t="shared" ref="BD75:BD138" si="78">IF(OR(BB75&gt;1,BC75&gt;1),"conflict","no conflict")</f>
        <v>no conflict</v>
      </c>
      <c r="BF75" s="148" t="str">
        <f t="shared" ref="BF75:BF138" si="79">TEXT(AO75,"MM/DD/YYYY HH:MM")&amp;"-&gt;"&amp;L75</f>
        <v>11/24/2017 13:50-&gt;CHILD A - COL 1</v>
      </c>
      <c r="BG75" s="148" t="str">
        <f t="shared" ref="BG75:BG138" si="80">TEXT(AO75,"MM/DD/YYYY HH:MM")&amp;"-&gt;"&amp;N75</f>
        <v>11/24/2017 13:50-&gt;CHILD A - USA 2</v>
      </c>
      <c r="BH75" s="148" t="str">
        <f t="shared" ref="BH75:BH138" si="81">TEXT(AO75,"MM/DD/YYYY HH:MM")&amp;"-&gt;"&amp;J75</f>
        <v>11/24/2017 13:50-&gt;Sinai - Basketball</v>
      </c>
      <c r="BI75" s="148" t="str">
        <f t="shared" ref="BI75:BI138" si="82">AW75&amp; " in "&amp;J75 &amp;" ("&amp;AT75&amp;")"</f>
        <v>Basketball in Sinai - Basketball (COL1-USA2)</v>
      </c>
      <c r="BJ75" s="148" t="str">
        <f t="shared" ref="BJ75:BJ138" si="83">B75 &amp;"-- " &amp;L75&amp;" vs. "&amp;N75</f>
        <v>Ch A Coed Basketball-- CHILD A - COL 1 vs. CHILD A - USA 2</v>
      </c>
      <c r="BK75" s="148" t="str">
        <f t="shared" ref="BK75:BK138" si="84">AW75</f>
        <v>Basketball</v>
      </c>
      <c r="BL75" s="148" t="str">
        <f t="shared" ref="BL75:BL138" si="85">L75</f>
        <v>CHILD A - COL 1</v>
      </c>
      <c r="BM75" s="148" t="str">
        <f t="shared" ref="BM75:BM138" si="86">N75</f>
        <v>CHILD A - USA 2</v>
      </c>
      <c r="BN75" s="148" t="str">
        <f t="shared" ref="BN75:BN138" si="87">C75</f>
        <v>Round - 1</v>
      </c>
      <c r="BP75" s="148" t="str">
        <f t="shared" ref="BP75:BP138" si="88">IF(OR(NOT(ISERR(SEARCH("final",C75))),NOT(ISERR(SEARCH("tournament",C75)))),TEXT(AO75,"MM/DD/YYYY HH:MM")&amp;"-&gt;"&amp;AV75,IF(B75="","no game","no t, f, or sf"))</f>
        <v>no t, f, or sf</v>
      </c>
      <c r="BQ75" s="148" t="str">
        <f t="shared" ref="BQ75:BQ138" si="89">IF(BP75&lt;&gt;"no t, f, or sf",AW75&amp;" "&amp;C75&amp;" in "&amp;J75,"")</f>
        <v/>
      </c>
    </row>
    <row r="76" spans="1:69" ht="15" customHeight="1" x14ac:dyDescent="0.2">
      <c r="A76" s="450">
        <v>74</v>
      </c>
      <c r="B76" s="433" t="s">
        <v>31</v>
      </c>
      <c r="C76" s="441" t="s">
        <v>518</v>
      </c>
      <c r="D76" s="450">
        <v>1</v>
      </c>
      <c r="E76" s="450">
        <v>1</v>
      </c>
      <c r="F76" s="444">
        <v>11</v>
      </c>
      <c r="G76" s="320">
        <v>43063</v>
      </c>
      <c r="H76" s="454">
        <v>0.64583333333333337</v>
      </c>
      <c r="I76" s="446">
        <v>32</v>
      </c>
      <c r="J76" s="441" t="s">
        <v>684</v>
      </c>
      <c r="K76" s="441">
        <v>14</v>
      </c>
      <c r="L76" s="441" t="s">
        <v>775</v>
      </c>
      <c r="M76" s="441">
        <v>14</v>
      </c>
      <c r="N76" s="319" t="s">
        <v>549</v>
      </c>
      <c r="O76" s="153" t="str">
        <f>IF(L76&lt;&gt;"",IFERROR(VLOOKUP(B76&amp;L76,Pools!$A$2:$D$130,3,FALSE),""),"")</f>
        <v/>
      </c>
      <c r="P76" s="388">
        <v>7</v>
      </c>
      <c r="Q76" s="388">
        <v>8</v>
      </c>
      <c r="R76" s="306" t="str">
        <f t="shared" si="45"/>
        <v>7-8</v>
      </c>
      <c r="T76" s="148" t="str">
        <f t="shared" si="46"/>
        <v>Completed</v>
      </c>
      <c r="U76" s="153"/>
      <c r="V76" s="153"/>
      <c r="W76" s="387">
        <f t="shared" si="47"/>
        <v>-1</v>
      </c>
      <c r="X76" s="387">
        <f t="shared" si="48"/>
        <v>1</v>
      </c>
      <c r="Y76" s="301">
        <f t="shared" si="49"/>
        <v>0</v>
      </c>
      <c r="Z76" s="301">
        <f t="shared" si="50"/>
        <v>2</v>
      </c>
      <c r="AA76" s="323" t="str">
        <f>CONCATENATE("                x[team1,team2,sport,'",IF(OR(I76="x",I76=""),VLOOKUP('Schedule from TM'!J76,Tables!$P$3:$Q$33,2,FALSE),'Schedule from TM'!I76),",",J76,"','",IF(OR(F76="x",F76=""),VLOOKUP('Schedule from TM'!G76,Tables!$U$3:$V$14,2,FALSE),'Schedule from TM'!F76),",",TEXT(G76,"mm/dd/yyyy"),"','",TEXT(H76,"h:mm:ss AM/PM"),"'].ub=0.0      #",B76)</f>
        <v xml:space="preserve">                x[team1,team2,sport,'32,Sinai - Basketball','11,11/24/2017','3:30:00 PM'].ub=0.0      #Ch A Coed Basketball</v>
      </c>
      <c r="AB76" s="301" t="str">
        <f t="shared" si="51"/>
        <v>,,Ch A Coed Basketball,,1,CHILD A - USA 2</v>
      </c>
      <c r="AC76" s="153" t="str">
        <f t="shared" si="52"/>
        <v>Ch A Coed BasketballCHILD A - USA 2</v>
      </c>
      <c r="AD76" s="301" t="str">
        <f t="shared" si="53"/>
        <v>,,Ch A Coed Basketball,,1,CHILD A - VEN 1</v>
      </c>
      <c r="AE76" s="153" t="str">
        <f t="shared" si="54"/>
        <v>Ch A Coed BasketballCHILD A - VEN 1</v>
      </c>
      <c r="AF76" s="383">
        <f t="shared" si="55"/>
        <v>0</v>
      </c>
      <c r="AG76" s="383">
        <f t="shared" si="56"/>
        <v>1</v>
      </c>
      <c r="AH76" s="383">
        <f t="shared" si="57"/>
        <v>0</v>
      </c>
      <c r="AI76" s="383">
        <f t="shared" si="58"/>
        <v>1</v>
      </c>
      <c r="AJ76" s="383">
        <f t="shared" si="59"/>
        <v>0</v>
      </c>
      <c r="AK76" s="383">
        <f t="shared" si="60"/>
        <v>0</v>
      </c>
      <c r="AM76" s="148" t="str">
        <f t="shared" si="61"/>
        <v>Schedulled</v>
      </c>
      <c r="AN76" s="148" t="str">
        <f t="shared" si="62"/>
        <v/>
      </c>
      <c r="AO76" s="156">
        <f t="shared" si="63"/>
        <v>43063.645833333336</v>
      </c>
      <c r="AP76" s="148" t="str">
        <f t="shared" si="64"/>
        <v>11/24/2017 15:30-&gt;Sinai - Basketball</v>
      </c>
      <c r="AQ76" s="374">
        <f t="shared" si="65"/>
        <v>1</v>
      </c>
      <c r="AR76" s="148" t="str">
        <f t="shared" si="66"/>
        <v>USA2</v>
      </c>
      <c r="AS76" s="148" t="str">
        <f t="shared" si="67"/>
        <v>VEN1</v>
      </c>
      <c r="AT76" s="157" t="str">
        <f t="shared" si="68"/>
        <v>USA2-VEN1</v>
      </c>
      <c r="AU76" s="157" t="str">
        <f t="shared" si="69"/>
        <v xml:space="preserve">USA2-VEN1 </v>
      </c>
      <c r="AV76" s="157" t="str">
        <f t="shared" si="70"/>
        <v>CHILDREN A COED</v>
      </c>
      <c r="AW76" s="157" t="str">
        <f t="shared" si="71"/>
        <v>Basketball</v>
      </c>
      <c r="AX76" s="376">
        <f t="shared" si="72"/>
        <v>74</v>
      </c>
      <c r="AY76" s="148" t="str">
        <f t="shared" si="73"/>
        <v>CHILD A - USA 2-&gt;CHILD A - VEN 1</v>
      </c>
      <c r="AZ76" s="148" t="str">
        <f t="shared" si="74"/>
        <v>11/24/2017 15:30-&gt;CHILD A - USA 2</v>
      </c>
      <c r="BA76" s="148" t="str">
        <f t="shared" si="75"/>
        <v>11/24/2017 15:30-&gt;CHILD A - VEN 1</v>
      </c>
      <c r="BB76" s="374">
        <f t="shared" si="76"/>
        <v>1</v>
      </c>
      <c r="BC76" s="374">
        <f t="shared" si="77"/>
        <v>1</v>
      </c>
      <c r="BD76" s="148" t="str">
        <f t="shared" si="78"/>
        <v>no conflict</v>
      </c>
      <c r="BF76" s="148" t="str">
        <f t="shared" si="79"/>
        <v>11/24/2017 15:30-&gt;CHILD A - USA 2</v>
      </c>
      <c r="BG76" s="148" t="str">
        <f t="shared" si="80"/>
        <v>11/24/2017 15:30-&gt;CHILD A - VEN 1</v>
      </c>
      <c r="BH76" s="148" t="str">
        <f t="shared" si="81"/>
        <v>11/24/2017 15:30-&gt;Sinai - Basketball</v>
      </c>
      <c r="BI76" s="148" t="str">
        <f t="shared" si="82"/>
        <v>Basketball in Sinai - Basketball (USA2-VEN1)</v>
      </c>
      <c r="BJ76" s="148" t="str">
        <f t="shared" si="83"/>
        <v>Ch A Coed Basketball-- CHILD A - USA 2 vs. CHILD A - VEN 1</v>
      </c>
      <c r="BK76" s="148" t="str">
        <f t="shared" si="84"/>
        <v>Basketball</v>
      </c>
      <c r="BL76" s="148" t="str">
        <f t="shared" si="85"/>
        <v>CHILD A - USA 2</v>
      </c>
      <c r="BM76" s="148" t="str">
        <f t="shared" si="86"/>
        <v>CHILD A - VEN 1</v>
      </c>
      <c r="BN76" s="148" t="str">
        <f t="shared" si="87"/>
        <v>Round - 1</v>
      </c>
      <c r="BP76" s="148" t="str">
        <f t="shared" si="88"/>
        <v>no t, f, or sf</v>
      </c>
      <c r="BQ76" s="148" t="str">
        <f t="shared" si="89"/>
        <v/>
      </c>
    </row>
    <row r="77" spans="1:69" ht="15" customHeight="1" x14ac:dyDescent="0.2">
      <c r="A77" s="450">
        <v>75</v>
      </c>
      <c r="B77" s="433" t="s">
        <v>31</v>
      </c>
      <c r="C77" s="441" t="s">
        <v>518</v>
      </c>
      <c r="D77" s="450">
        <v>1</v>
      </c>
      <c r="E77" s="450">
        <v>1</v>
      </c>
      <c r="F77" s="444">
        <v>21</v>
      </c>
      <c r="G77" s="320">
        <v>43065</v>
      </c>
      <c r="H77" s="454">
        <v>0.50694444444444442</v>
      </c>
      <c r="I77" s="446">
        <v>32</v>
      </c>
      <c r="J77" s="441" t="s">
        <v>684</v>
      </c>
      <c r="K77" s="441">
        <v>14</v>
      </c>
      <c r="L77" s="441" t="s">
        <v>545</v>
      </c>
      <c r="M77" s="441">
        <v>14</v>
      </c>
      <c r="N77" s="441" t="s">
        <v>549</v>
      </c>
      <c r="O77" s="153" t="str">
        <f>IF(L77&lt;&gt;"",IFERROR(VLOOKUP(B77&amp;L77,Pools!$A$2:$D$130,3,FALSE),""),"")</f>
        <v/>
      </c>
      <c r="P77" s="388">
        <v>0</v>
      </c>
      <c r="Q77" s="388">
        <v>14</v>
      </c>
      <c r="R77" s="306" t="str">
        <f t="shared" si="45"/>
        <v>0-14</v>
      </c>
      <c r="T77" s="148" t="str">
        <f t="shared" si="46"/>
        <v>Completed</v>
      </c>
      <c r="U77" s="153"/>
      <c r="V77" s="153"/>
      <c r="W77" s="387">
        <f t="shared" si="47"/>
        <v>-14</v>
      </c>
      <c r="X77" s="387">
        <f t="shared" si="48"/>
        <v>14</v>
      </c>
      <c r="Y77" s="301">
        <f t="shared" si="49"/>
        <v>0</v>
      </c>
      <c r="Z77" s="301">
        <f t="shared" si="50"/>
        <v>2</v>
      </c>
      <c r="AA77" s="323" t="str">
        <f>CONCATENATE("                x[team1,team2,sport,'",IF(OR(I77="x",I77=""),VLOOKUP('Schedule from TM'!J77,Tables!$P$3:$Q$33,2,FALSE),'Schedule from TM'!I77),",",J77,"','",IF(OR(F77="x",F77=""),VLOOKUP('Schedule from TM'!G77,Tables!$U$3:$V$14,2,FALSE),'Schedule from TM'!F77),",",TEXT(G77,"mm/dd/yyyy"),"','",TEXT(H77,"h:mm:ss AM/PM"),"'].ub=0.0      #",B77)</f>
        <v xml:space="preserve">                x[team1,team2,sport,'32,Sinai - Basketball','21,11/26/2017','12:10:00 PM'].ub=0.0      #Ch A Coed Basketball</v>
      </c>
      <c r="AB77" s="301" t="str">
        <f t="shared" si="51"/>
        <v>,,Ch A Coed Basketball,,1,CHILD A - COL 1</v>
      </c>
      <c r="AC77" s="153" t="str">
        <f t="shared" si="52"/>
        <v>Ch A Coed BasketballCHILD A - COL 1</v>
      </c>
      <c r="AD77" s="301" t="str">
        <f t="shared" si="53"/>
        <v>,,Ch A Coed Basketball,,1,CHILD A - VEN 1</v>
      </c>
      <c r="AE77" s="153" t="str">
        <f t="shared" si="54"/>
        <v>Ch A Coed BasketballCHILD A - VEN 1</v>
      </c>
      <c r="AF77" s="383">
        <f t="shared" si="55"/>
        <v>0</v>
      </c>
      <c r="AG77" s="383">
        <f t="shared" si="56"/>
        <v>1</v>
      </c>
      <c r="AH77" s="383">
        <f t="shared" si="57"/>
        <v>0</v>
      </c>
      <c r="AI77" s="383">
        <f t="shared" si="58"/>
        <v>1</v>
      </c>
      <c r="AJ77" s="383">
        <f t="shared" si="59"/>
        <v>0</v>
      </c>
      <c r="AK77" s="383">
        <f t="shared" si="60"/>
        <v>0</v>
      </c>
      <c r="AM77" s="148" t="str">
        <f t="shared" si="61"/>
        <v>Schedulled</v>
      </c>
      <c r="AN77" s="148" t="str">
        <f t="shared" si="62"/>
        <v/>
      </c>
      <c r="AO77" s="156">
        <f t="shared" si="63"/>
        <v>43065.506944444445</v>
      </c>
      <c r="AP77" s="148" t="str">
        <f t="shared" si="64"/>
        <v>11/26/2017 12:10-&gt;Sinai - Basketball</v>
      </c>
      <c r="AQ77" s="374">
        <f t="shared" si="65"/>
        <v>1</v>
      </c>
      <c r="AR77" s="148" t="str">
        <f t="shared" si="66"/>
        <v>COL1</v>
      </c>
      <c r="AS77" s="148" t="str">
        <f t="shared" si="67"/>
        <v>VEN1</v>
      </c>
      <c r="AT77" s="157" t="str">
        <f t="shared" si="68"/>
        <v>COL1-VEN1</v>
      </c>
      <c r="AU77" s="157" t="str">
        <f t="shared" si="69"/>
        <v xml:space="preserve">COL1-VEN1 </v>
      </c>
      <c r="AV77" s="157" t="str">
        <f t="shared" si="70"/>
        <v>CHILDREN A COED</v>
      </c>
      <c r="AW77" s="157" t="str">
        <f t="shared" si="71"/>
        <v>Basketball</v>
      </c>
      <c r="AX77" s="376">
        <f t="shared" si="72"/>
        <v>75</v>
      </c>
      <c r="AY77" s="148" t="str">
        <f t="shared" si="73"/>
        <v>CHILD A - COL 1-&gt;CHILD A - VEN 1</v>
      </c>
      <c r="AZ77" s="148" t="str">
        <f t="shared" si="74"/>
        <v>11/26/2017 12:10-&gt;CHILD A - COL 1</v>
      </c>
      <c r="BA77" s="148" t="str">
        <f t="shared" si="75"/>
        <v>11/26/2017 12:10-&gt;CHILD A - VEN 1</v>
      </c>
      <c r="BB77" s="374">
        <f t="shared" si="76"/>
        <v>1</v>
      </c>
      <c r="BC77" s="374">
        <f t="shared" si="77"/>
        <v>1</v>
      </c>
      <c r="BD77" s="148" t="str">
        <f t="shared" si="78"/>
        <v>no conflict</v>
      </c>
      <c r="BF77" s="148" t="str">
        <f t="shared" si="79"/>
        <v>11/26/2017 12:10-&gt;CHILD A - COL 1</v>
      </c>
      <c r="BG77" s="148" t="str">
        <f t="shared" si="80"/>
        <v>11/26/2017 12:10-&gt;CHILD A - VEN 1</v>
      </c>
      <c r="BH77" s="148" t="str">
        <f t="shared" si="81"/>
        <v>11/26/2017 12:10-&gt;Sinai - Basketball</v>
      </c>
      <c r="BI77" s="148" t="str">
        <f t="shared" si="82"/>
        <v>Basketball in Sinai - Basketball (COL1-VEN1)</v>
      </c>
      <c r="BJ77" s="148" t="str">
        <f t="shared" si="83"/>
        <v>Ch A Coed Basketball-- CHILD A - COL 1 vs. CHILD A - VEN 1</v>
      </c>
      <c r="BK77" s="148" t="str">
        <f t="shared" si="84"/>
        <v>Basketball</v>
      </c>
      <c r="BL77" s="148" t="str">
        <f t="shared" si="85"/>
        <v>CHILD A - COL 1</v>
      </c>
      <c r="BM77" s="148" t="str">
        <f t="shared" si="86"/>
        <v>CHILD A - VEN 1</v>
      </c>
      <c r="BN77" s="148" t="str">
        <f t="shared" si="87"/>
        <v>Round - 1</v>
      </c>
      <c r="BP77" s="148" t="str">
        <f t="shared" si="88"/>
        <v>no t, f, or sf</v>
      </c>
      <c r="BQ77" s="148" t="str">
        <f t="shared" si="89"/>
        <v/>
      </c>
    </row>
    <row r="78" spans="1:69" ht="15" customHeight="1" x14ac:dyDescent="0.2">
      <c r="A78" s="376">
        <v>76</v>
      </c>
      <c r="B78" t="s">
        <v>31</v>
      </c>
      <c r="C78" s="319" t="s">
        <v>518</v>
      </c>
      <c r="D78" s="376">
        <v>1</v>
      </c>
      <c r="E78" s="376">
        <v>1</v>
      </c>
      <c r="F78" s="315">
        <v>21</v>
      </c>
      <c r="G78" s="320">
        <v>43065</v>
      </c>
      <c r="H78" s="454">
        <v>0.57638888888888895</v>
      </c>
      <c r="I78" s="325">
        <v>32</v>
      </c>
      <c r="J78" s="319" t="s">
        <v>684</v>
      </c>
      <c r="K78" s="319">
        <v>14</v>
      </c>
      <c r="L78" s="319" t="s">
        <v>545</v>
      </c>
      <c r="M78" s="319">
        <v>14</v>
      </c>
      <c r="N78" s="319" t="s">
        <v>548</v>
      </c>
      <c r="O78" s="153" t="str">
        <f>IF(L78&lt;&gt;"",IFERROR(VLOOKUP(B78&amp;L78,Pools!$A$2:$D$130,3,FALSE),""),"")</f>
        <v/>
      </c>
      <c r="P78" s="388">
        <v>0</v>
      </c>
      <c r="Q78" s="388">
        <v>20</v>
      </c>
      <c r="R78" s="306" t="str">
        <f t="shared" si="45"/>
        <v>0-20</v>
      </c>
      <c r="T78" s="148" t="str">
        <f t="shared" si="46"/>
        <v>Completed</v>
      </c>
      <c r="U78" s="153"/>
      <c r="V78" s="153"/>
      <c r="W78" s="387">
        <f t="shared" si="47"/>
        <v>-15</v>
      </c>
      <c r="X78" s="387">
        <f t="shared" si="48"/>
        <v>15</v>
      </c>
      <c r="Y78" s="301">
        <f t="shared" si="49"/>
        <v>0</v>
      </c>
      <c r="Z78" s="301">
        <f t="shared" si="50"/>
        <v>2</v>
      </c>
      <c r="AA78" s="323" t="str">
        <f>CONCATENATE("                x[team1,team2,sport,'",IF(OR(I78="x",I78=""),VLOOKUP('Schedule from TM'!J78,Tables!$P$3:$Q$33,2,FALSE),'Schedule from TM'!I78),",",J78,"','",IF(OR(F78="x",F78=""),VLOOKUP('Schedule from TM'!G78,Tables!$U$3:$V$14,2,FALSE),'Schedule from TM'!F78),",",TEXT(G78,"mm/dd/yyyy"),"','",TEXT(H78,"h:mm:ss AM/PM"),"'].ub=0.0      #",B78)</f>
        <v xml:space="preserve">                x[team1,team2,sport,'32,Sinai - Basketball','21,11/26/2017','1:50:00 PM'].ub=0.0      #Ch A Coed Basketball</v>
      </c>
      <c r="AB78" s="301" t="str">
        <f t="shared" si="51"/>
        <v>,,Ch A Coed Basketball,,1,CHILD A - COL 1</v>
      </c>
      <c r="AC78" s="153" t="str">
        <f t="shared" si="52"/>
        <v>Ch A Coed BasketballCHILD A - COL 1</v>
      </c>
      <c r="AD78" s="301" t="str">
        <f t="shared" si="53"/>
        <v>,,Ch A Coed Basketball,,1,CHILD A - USA 1</v>
      </c>
      <c r="AE78" s="153" t="str">
        <f t="shared" si="54"/>
        <v>Ch A Coed BasketballCHILD A - USA 1</v>
      </c>
      <c r="AF78" s="383">
        <f t="shared" si="55"/>
        <v>0</v>
      </c>
      <c r="AG78" s="383">
        <f t="shared" si="56"/>
        <v>1</v>
      </c>
      <c r="AH78" s="383">
        <f t="shared" si="57"/>
        <v>0</v>
      </c>
      <c r="AI78" s="383">
        <f t="shared" si="58"/>
        <v>1</v>
      </c>
      <c r="AJ78" s="383">
        <f t="shared" si="59"/>
        <v>0</v>
      </c>
      <c r="AK78" s="383">
        <f t="shared" si="60"/>
        <v>0</v>
      </c>
      <c r="AM78" s="148" t="str">
        <f t="shared" si="61"/>
        <v>Schedulled</v>
      </c>
      <c r="AN78" s="148" t="str">
        <f t="shared" si="62"/>
        <v/>
      </c>
      <c r="AO78" s="156">
        <f t="shared" si="63"/>
        <v>43065.576388888891</v>
      </c>
      <c r="AP78" s="148" t="str">
        <f t="shared" si="64"/>
        <v>11/26/2017 13:50-&gt;Sinai - Basketball</v>
      </c>
      <c r="AQ78" s="374">
        <f t="shared" si="65"/>
        <v>1</v>
      </c>
      <c r="AR78" s="148" t="str">
        <f t="shared" si="66"/>
        <v>COL1</v>
      </c>
      <c r="AS78" s="148" t="str">
        <f t="shared" si="67"/>
        <v>USA1</v>
      </c>
      <c r="AT78" s="157" t="str">
        <f t="shared" si="68"/>
        <v>COL1-USA1</v>
      </c>
      <c r="AU78" s="157" t="str">
        <f t="shared" si="69"/>
        <v xml:space="preserve">COL1-USA1 </v>
      </c>
      <c r="AV78" s="157" t="str">
        <f t="shared" si="70"/>
        <v>CHILDREN A COED</v>
      </c>
      <c r="AW78" s="157" t="str">
        <f t="shared" si="71"/>
        <v>Basketball</v>
      </c>
      <c r="AX78" s="376">
        <f t="shared" si="72"/>
        <v>76</v>
      </c>
      <c r="AY78" s="148" t="str">
        <f t="shared" si="73"/>
        <v>CHILD A - COL 1-&gt;CHILD A - USA 1</v>
      </c>
      <c r="AZ78" s="148" t="str">
        <f t="shared" si="74"/>
        <v>11/26/2017 13:50-&gt;CHILD A - COL 1</v>
      </c>
      <c r="BA78" s="148" t="str">
        <f t="shared" si="75"/>
        <v>11/26/2017 13:50-&gt;CHILD A - USA 1</v>
      </c>
      <c r="BB78" s="374">
        <f t="shared" si="76"/>
        <v>1</v>
      </c>
      <c r="BC78" s="374">
        <f t="shared" si="77"/>
        <v>1</v>
      </c>
      <c r="BD78" s="148" t="str">
        <f t="shared" si="78"/>
        <v>no conflict</v>
      </c>
      <c r="BF78" s="148" t="str">
        <f t="shared" si="79"/>
        <v>11/26/2017 13:50-&gt;CHILD A - COL 1</v>
      </c>
      <c r="BG78" s="148" t="str">
        <f t="shared" si="80"/>
        <v>11/26/2017 13:50-&gt;CHILD A - USA 1</v>
      </c>
      <c r="BH78" s="148" t="str">
        <f t="shared" si="81"/>
        <v>11/26/2017 13:50-&gt;Sinai - Basketball</v>
      </c>
      <c r="BI78" s="148" t="str">
        <f t="shared" si="82"/>
        <v>Basketball in Sinai - Basketball (COL1-USA1)</v>
      </c>
      <c r="BJ78" s="148" t="str">
        <f t="shared" si="83"/>
        <v>Ch A Coed Basketball-- CHILD A - COL 1 vs. CHILD A - USA 1</v>
      </c>
      <c r="BK78" s="148" t="str">
        <f t="shared" si="84"/>
        <v>Basketball</v>
      </c>
      <c r="BL78" s="148" t="str">
        <f t="shared" si="85"/>
        <v>CHILD A - COL 1</v>
      </c>
      <c r="BM78" s="148" t="str">
        <f t="shared" si="86"/>
        <v>CHILD A - USA 1</v>
      </c>
      <c r="BN78" s="148" t="str">
        <f t="shared" si="87"/>
        <v>Round - 1</v>
      </c>
      <c r="BP78" s="148" t="str">
        <f t="shared" si="88"/>
        <v>no t, f, or sf</v>
      </c>
      <c r="BQ78" s="148" t="str">
        <f t="shared" si="89"/>
        <v/>
      </c>
    </row>
    <row r="79" spans="1:69" ht="15" customHeight="1" x14ac:dyDescent="0.2">
      <c r="A79" s="376">
        <v>77</v>
      </c>
      <c r="B79" s="444" t="s">
        <v>33</v>
      </c>
      <c r="C79" s="444" t="s">
        <v>518</v>
      </c>
      <c r="D79" s="451">
        <v>1</v>
      </c>
      <c r="E79" s="451">
        <v>1</v>
      </c>
      <c r="F79" s="315">
        <v>11</v>
      </c>
      <c r="G79" s="445">
        <v>43058</v>
      </c>
      <c r="H79" s="317">
        <v>0.47222222222222227</v>
      </c>
      <c r="I79" s="325">
        <v>32</v>
      </c>
      <c r="J79" s="315" t="s">
        <v>685</v>
      </c>
      <c r="K79" s="444">
        <v>14</v>
      </c>
      <c r="L79" s="444" t="s">
        <v>545</v>
      </c>
      <c r="M79" s="444">
        <v>14</v>
      </c>
      <c r="N79" s="444" t="s">
        <v>548</v>
      </c>
      <c r="O79" s="153" t="str">
        <f>IF(L79&lt;&gt;"",IFERROR(VLOOKUP(B79&amp;L79,Pools!$A$2:$D$130,3,FALSE),""),"")</f>
        <v/>
      </c>
      <c r="P79" s="388">
        <v>0</v>
      </c>
      <c r="Q79" s="388">
        <v>8</v>
      </c>
      <c r="R79" s="306" t="str">
        <f t="shared" si="45"/>
        <v>0-8</v>
      </c>
      <c r="T79" s="148" t="str">
        <f t="shared" si="46"/>
        <v>Completed</v>
      </c>
      <c r="U79" s="153"/>
      <c r="V79" s="153"/>
      <c r="W79" s="387">
        <f t="shared" si="47"/>
        <v>-5</v>
      </c>
      <c r="X79" s="387">
        <f t="shared" si="48"/>
        <v>5</v>
      </c>
      <c r="Y79" s="301">
        <f t="shared" si="49"/>
        <v>0</v>
      </c>
      <c r="Z79" s="301">
        <f t="shared" si="50"/>
        <v>2</v>
      </c>
      <c r="AA79" s="323" t="str">
        <f>CONCATENATE("                x[team1,team2,sport,'",IF(OR(I79="x",I79=""),VLOOKUP('Schedule from TM'!J79,Tables!$P$3:$Q$33,2,FALSE),'Schedule from TM'!I79),",",J79,"','",IF(OR(F79="x",F79=""),VLOOKUP('Schedule from TM'!G79,Tables!$U$3:$V$14,2,FALSE),'Schedule from TM'!F79),",",TEXT(G79,"mm/dd/yyyy"),"','",TEXT(H79,"h:mm:ss AM/PM"),"'].ub=0.0      #",B79)</f>
        <v xml:space="preserve">                x[team1,team2,sport,'32,Sinai - Kickball','11,11/19/2017','11:20:00 AM'].ub=0.0      #Ch A Coed Kickball</v>
      </c>
      <c r="AB79" s="301" t="str">
        <f t="shared" si="51"/>
        <v>,,Ch A Coed Kickball,,1,CHILD A - COL 1</v>
      </c>
      <c r="AC79" s="153" t="str">
        <f t="shared" si="52"/>
        <v>Ch A Coed KickballCHILD A - COL 1</v>
      </c>
      <c r="AD79" s="301" t="str">
        <f t="shared" si="53"/>
        <v>,,Ch A Coed Kickball,,1,CHILD A - USA 1</v>
      </c>
      <c r="AE79" s="153" t="str">
        <f t="shared" si="54"/>
        <v>Ch A Coed KickballCHILD A - USA 1</v>
      </c>
      <c r="AF79" s="383">
        <f t="shared" si="55"/>
        <v>0</v>
      </c>
      <c r="AG79" s="383">
        <f t="shared" si="56"/>
        <v>1</v>
      </c>
      <c r="AH79" s="383">
        <f t="shared" si="57"/>
        <v>0</v>
      </c>
      <c r="AI79" s="383">
        <f t="shared" si="58"/>
        <v>1</v>
      </c>
      <c r="AJ79" s="383">
        <f t="shared" si="59"/>
        <v>0</v>
      </c>
      <c r="AK79" s="383">
        <f t="shared" si="60"/>
        <v>0</v>
      </c>
      <c r="AM79" s="148" t="str">
        <f t="shared" si="61"/>
        <v>Schedulled</v>
      </c>
      <c r="AN79" s="148" t="str">
        <f t="shared" si="62"/>
        <v/>
      </c>
      <c r="AO79" s="156">
        <f t="shared" si="63"/>
        <v>43058.472222222219</v>
      </c>
      <c r="AP79" s="148" t="str">
        <f t="shared" si="64"/>
        <v>11/19/2017 11:20-&gt;Sinai - Kickball</v>
      </c>
      <c r="AQ79" s="374">
        <f t="shared" si="65"/>
        <v>1</v>
      </c>
      <c r="AR79" s="148" t="str">
        <f t="shared" si="66"/>
        <v>COL1</v>
      </c>
      <c r="AS79" s="148" t="str">
        <f t="shared" si="67"/>
        <v>USA1</v>
      </c>
      <c r="AT79" s="157" t="str">
        <f t="shared" si="68"/>
        <v>COL1-USA1</v>
      </c>
      <c r="AU79" s="157" t="str">
        <f t="shared" si="69"/>
        <v xml:space="preserve">COL1-USA1 </v>
      </c>
      <c r="AV79" s="157" t="str">
        <f t="shared" si="70"/>
        <v>CHILDREN A COED</v>
      </c>
      <c r="AW79" s="157" t="str">
        <f t="shared" si="71"/>
        <v>Kickball</v>
      </c>
      <c r="AX79" s="376">
        <f t="shared" si="72"/>
        <v>77</v>
      </c>
      <c r="AY79" s="148" t="str">
        <f t="shared" si="73"/>
        <v>CHILD A - COL 1-&gt;CHILD A - USA 1</v>
      </c>
      <c r="AZ79" s="148" t="str">
        <f t="shared" si="74"/>
        <v>11/19/2017 11:20-&gt;CHILD A - COL 1</v>
      </c>
      <c r="BA79" s="148" t="str">
        <f t="shared" si="75"/>
        <v>11/19/2017 11:20-&gt;CHILD A - USA 1</v>
      </c>
      <c r="BB79" s="374">
        <f t="shared" si="76"/>
        <v>1</v>
      </c>
      <c r="BC79" s="374">
        <f t="shared" si="77"/>
        <v>1</v>
      </c>
      <c r="BD79" s="148" t="str">
        <f t="shared" si="78"/>
        <v>no conflict</v>
      </c>
      <c r="BF79" s="148" t="str">
        <f t="shared" si="79"/>
        <v>11/19/2017 11:20-&gt;CHILD A - COL 1</v>
      </c>
      <c r="BG79" s="148" t="str">
        <f t="shared" si="80"/>
        <v>11/19/2017 11:20-&gt;CHILD A - USA 1</v>
      </c>
      <c r="BH79" s="148" t="str">
        <f t="shared" si="81"/>
        <v>11/19/2017 11:20-&gt;Sinai - Kickball</v>
      </c>
      <c r="BI79" s="148" t="str">
        <f t="shared" si="82"/>
        <v>Kickball in Sinai - Kickball (COL1-USA1)</v>
      </c>
      <c r="BJ79" s="148" t="str">
        <f t="shared" si="83"/>
        <v>Ch A Coed Kickball-- CHILD A - COL 1 vs. CHILD A - USA 1</v>
      </c>
      <c r="BK79" s="148" t="str">
        <f t="shared" si="84"/>
        <v>Kickball</v>
      </c>
      <c r="BL79" s="148" t="str">
        <f t="shared" si="85"/>
        <v>CHILD A - COL 1</v>
      </c>
      <c r="BM79" s="148" t="str">
        <f t="shared" si="86"/>
        <v>CHILD A - USA 1</v>
      </c>
      <c r="BN79" s="148" t="str">
        <f t="shared" si="87"/>
        <v>Round - 1</v>
      </c>
      <c r="BP79" s="148" t="str">
        <f t="shared" si="88"/>
        <v>no t, f, or sf</v>
      </c>
      <c r="BQ79" s="148" t="str">
        <f t="shared" si="89"/>
        <v/>
      </c>
    </row>
    <row r="80" spans="1:69" ht="15" customHeight="1" x14ac:dyDescent="0.2">
      <c r="A80" s="376">
        <v>78</v>
      </c>
      <c r="B80" s="315" t="s">
        <v>33</v>
      </c>
      <c r="C80" s="315" t="s">
        <v>518</v>
      </c>
      <c r="D80" s="378">
        <v>1</v>
      </c>
      <c r="E80" s="378">
        <v>1</v>
      </c>
      <c r="F80" s="315">
        <v>11</v>
      </c>
      <c r="G80" s="316">
        <v>43062</v>
      </c>
      <c r="H80" s="317">
        <v>0.36805555555555558</v>
      </c>
      <c r="I80" s="325">
        <v>32</v>
      </c>
      <c r="J80" s="444" t="s">
        <v>685</v>
      </c>
      <c r="K80" s="315">
        <v>14</v>
      </c>
      <c r="L80" s="315" t="s">
        <v>545</v>
      </c>
      <c r="M80" s="315">
        <v>14</v>
      </c>
      <c r="N80" s="315" t="s">
        <v>549</v>
      </c>
      <c r="O80" s="153" t="str">
        <f>IF(L80&lt;&gt;"",IFERROR(VLOOKUP(B80&amp;L80,Pools!$A$2:$D$130,3,FALSE),""),"")</f>
        <v/>
      </c>
      <c r="P80" s="388">
        <v>12</v>
      </c>
      <c r="Q80" s="388">
        <v>14</v>
      </c>
      <c r="R80" s="306" t="str">
        <f t="shared" si="45"/>
        <v>12-14</v>
      </c>
      <c r="T80" s="148" t="str">
        <f t="shared" si="46"/>
        <v>Completed</v>
      </c>
      <c r="U80" s="153"/>
      <c r="V80" s="153"/>
      <c r="W80" s="387">
        <f t="shared" si="47"/>
        <v>-2</v>
      </c>
      <c r="X80" s="387">
        <f t="shared" si="48"/>
        <v>2</v>
      </c>
      <c r="Y80" s="301">
        <f t="shared" si="49"/>
        <v>0</v>
      </c>
      <c r="Z80" s="301">
        <f t="shared" si="50"/>
        <v>2</v>
      </c>
      <c r="AA80" s="323" t="str">
        <f>CONCATENATE("                x[team1,team2,sport,'",IF(OR(I80="x",I80=""),VLOOKUP('Schedule from TM'!J80,Tables!$P$3:$Q$33,2,FALSE),'Schedule from TM'!I80),",",J80,"','",IF(OR(F80="x",F80=""),VLOOKUP('Schedule from TM'!G80,Tables!$U$3:$V$14,2,FALSE),'Schedule from TM'!F80),",",TEXT(G80,"mm/dd/yyyy"),"','",TEXT(H80,"h:mm:ss AM/PM"),"'].ub=0.0      #",B80)</f>
        <v xml:space="preserve">                x[team1,team2,sport,'32,Sinai - Kickball','11,11/23/2017','8:50:00 AM'].ub=0.0      #Ch A Coed Kickball</v>
      </c>
      <c r="AB80" s="301" t="str">
        <f t="shared" si="51"/>
        <v>,,Ch A Coed Kickball,,1,CHILD A - COL 1</v>
      </c>
      <c r="AC80" s="153" t="str">
        <f t="shared" si="52"/>
        <v>Ch A Coed KickballCHILD A - COL 1</v>
      </c>
      <c r="AD80" s="301" t="str">
        <f t="shared" si="53"/>
        <v>,,Ch A Coed Kickball,,1,CHILD A - VEN 1</v>
      </c>
      <c r="AE80" s="153" t="str">
        <f t="shared" si="54"/>
        <v>Ch A Coed KickballCHILD A - VEN 1</v>
      </c>
      <c r="AF80" s="383">
        <f t="shared" si="55"/>
        <v>0</v>
      </c>
      <c r="AG80" s="383">
        <f t="shared" si="56"/>
        <v>1</v>
      </c>
      <c r="AH80" s="383">
        <f t="shared" si="57"/>
        <v>0</v>
      </c>
      <c r="AI80" s="383">
        <f t="shared" si="58"/>
        <v>1</v>
      </c>
      <c r="AJ80" s="383">
        <f t="shared" si="59"/>
        <v>0</v>
      </c>
      <c r="AK80" s="383">
        <f t="shared" si="60"/>
        <v>0</v>
      </c>
      <c r="AM80" s="148" t="str">
        <f t="shared" si="61"/>
        <v>Schedulled</v>
      </c>
      <c r="AN80" s="148" t="str">
        <f t="shared" si="62"/>
        <v/>
      </c>
      <c r="AO80" s="156">
        <f t="shared" si="63"/>
        <v>43062.368055555555</v>
      </c>
      <c r="AP80" s="148" t="str">
        <f t="shared" si="64"/>
        <v>11/23/2017 08:50-&gt;Sinai - Kickball</v>
      </c>
      <c r="AQ80" s="374">
        <f t="shared" si="65"/>
        <v>1</v>
      </c>
      <c r="AR80" s="148" t="str">
        <f t="shared" si="66"/>
        <v>COL1</v>
      </c>
      <c r="AS80" s="148" t="str">
        <f t="shared" si="67"/>
        <v>VEN1</v>
      </c>
      <c r="AT80" s="157" t="str">
        <f t="shared" si="68"/>
        <v>COL1-VEN1</v>
      </c>
      <c r="AU80" s="157" t="str">
        <f t="shared" si="69"/>
        <v xml:space="preserve">COL1-VEN1 </v>
      </c>
      <c r="AV80" s="157" t="str">
        <f t="shared" si="70"/>
        <v>CHILDREN A COED</v>
      </c>
      <c r="AW80" s="157" t="str">
        <f t="shared" si="71"/>
        <v>Kickball</v>
      </c>
      <c r="AX80" s="376">
        <f t="shared" si="72"/>
        <v>78</v>
      </c>
      <c r="AY80" s="148" t="str">
        <f t="shared" si="73"/>
        <v>CHILD A - COL 1-&gt;CHILD A - VEN 1</v>
      </c>
      <c r="AZ80" s="148" t="str">
        <f t="shared" si="74"/>
        <v>11/23/2017 08:50-&gt;CHILD A - COL 1</v>
      </c>
      <c r="BA80" s="148" t="str">
        <f t="shared" si="75"/>
        <v>11/23/2017 08:50-&gt;CHILD A - VEN 1</v>
      </c>
      <c r="BB80" s="374">
        <f t="shared" si="76"/>
        <v>1</v>
      </c>
      <c r="BC80" s="374">
        <f t="shared" si="77"/>
        <v>1</v>
      </c>
      <c r="BD80" s="148" t="str">
        <f t="shared" si="78"/>
        <v>no conflict</v>
      </c>
      <c r="BF80" s="148" t="str">
        <f t="shared" si="79"/>
        <v>11/23/2017 08:50-&gt;CHILD A - COL 1</v>
      </c>
      <c r="BG80" s="148" t="str">
        <f t="shared" si="80"/>
        <v>11/23/2017 08:50-&gt;CHILD A - VEN 1</v>
      </c>
      <c r="BH80" s="148" t="str">
        <f t="shared" si="81"/>
        <v>11/23/2017 08:50-&gt;Sinai - Kickball</v>
      </c>
      <c r="BI80" s="148" t="str">
        <f t="shared" si="82"/>
        <v>Kickball in Sinai - Kickball (COL1-VEN1)</v>
      </c>
      <c r="BJ80" s="148" t="str">
        <f t="shared" si="83"/>
        <v>Ch A Coed Kickball-- CHILD A - COL 1 vs. CHILD A - VEN 1</v>
      </c>
      <c r="BK80" s="148" t="str">
        <f t="shared" si="84"/>
        <v>Kickball</v>
      </c>
      <c r="BL80" s="148" t="str">
        <f t="shared" si="85"/>
        <v>CHILD A - COL 1</v>
      </c>
      <c r="BM80" s="148" t="str">
        <f t="shared" si="86"/>
        <v>CHILD A - VEN 1</v>
      </c>
      <c r="BN80" s="148" t="str">
        <f t="shared" si="87"/>
        <v>Round - 1</v>
      </c>
      <c r="BP80" s="148" t="str">
        <f t="shared" si="88"/>
        <v>no t, f, or sf</v>
      </c>
      <c r="BQ80" s="148" t="str">
        <f t="shared" si="89"/>
        <v/>
      </c>
    </row>
    <row r="81" spans="1:69" ht="15" customHeight="1" x14ac:dyDescent="0.2">
      <c r="A81" s="376">
        <v>79</v>
      </c>
      <c r="B81" t="s">
        <v>33</v>
      </c>
      <c r="C81" s="319" t="s">
        <v>518</v>
      </c>
      <c r="D81" s="376">
        <v>1</v>
      </c>
      <c r="E81" s="376">
        <v>1</v>
      </c>
      <c r="F81" s="315">
        <v>11</v>
      </c>
      <c r="G81" s="320">
        <v>43062</v>
      </c>
      <c r="H81" s="317">
        <v>0.4375</v>
      </c>
      <c r="I81" s="325">
        <v>32</v>
      </c>
      <c r="J81" s="319" t="s">
        <v>685</v>
      </c>
      <c r="K81" s="319">
        <v>14</v>
      </c>
      <c r="L81" s="319" t="s">
        <v>545</v>
      </c>
      <c r="M81" s="319">
        <v>14</v>
      </c>
      <c r="N81" s="319" t="s">
        <v>775</v>
      </c>
      <c r="O81" s="153" t="str">
        <f>IF(L81&lt;&gt;"",IFERROR(VLOOKUP(B81&amp;L81,Pools!$A$2:$D$130,3,FALSE),""),"")</f>
        <v/>
      </c>
      <c r="P81" s="388">
        <v>7</v>
      </c>
      <c r="Q81" s="388">
        <v>9</v>
      </c>
      <c r="R81" s="306" t="str">
        <f t="shared" si="45"/>
        <v>7-9</v>
      </c>
      <c r="T81" s="148" t="str">
        <f t="shared" si="46"/>
        <v>Completed</v>
      </c>
      <c r="U81" s="153"/>
      <c r="V81" s="153"/>
      <c r="W81" s="387">
        <f t="shared" si="47"/>
        <v>-2</v>
      </c>
      <c r="X81" s="387">
        <f t="shared" si="48"/>
        <v>2</v>
      </c>
      <c r="Y81" s="301">
        <f t="shared" si="49"/>
        <v>0</v>
      </c>
      <c r="Z81" s="301">
        <f t="shared" si="50"/>
        <v>2</v>
      </c>
      <c r="AA81" s="323" t="str">
        <f>CONCATENATE("                x[team1,team2,sport,'",IF(OR(I81="x",I81=""),VLOOKUP('Schedule from TM'!J81,Tables!$P$3:$Q$33,2,FALSE),'Schedule from TM'!I81),",",J81,"','",IF(OR(F81="x",F81=""),VLOOKUP('Schedule from TM'!G81,Tables!$U$3:$V$14,2,FALSE),'Schedule from TM'!F81),",",TEXT(G81,"mm/dd/yyyy"),"','",TEXT(H81,"h:mm:ss AM/PM"),"'].ub=0.0      #",B81)</f>
        <v xml:space="preserve">                x[team1,team2,sport,'32,Sinai - Kickball','11,11/23/2017','10:30:00 AM'].ub=0.0      #Ch A Coed Kickball</v>
      </c>
      <c r="AB81" s="301" t="str">
        <f t="shared" si="51"/>
        <v>,,Ch A Coed Kickball,,1,CHILD A - COL 1</v>
      </c>
      <c r="AC81" s="153" t="str">
        <f t="shared" si="52"/>
        <v>Ch A Coed KickballCHILD A - COL 1</v>
      </c>
      <c r="AD81" s="301" t="str">
        <f t="shared" si="53"/>
        <v>,,Ch A Coed Kickball,,1,CHILD A - USA 2</v>
      </c>
      <c r="AE81" s="153" t="str">
        <f t="shared" si="54"/>
        <v>Ch A Coed KickballCHILD A - USA 2</v>
      </c>
      <c r="AF81" s="383">
        <f t="shared" si="55"/>
        <v>0</v>
      </c>
      <c r="AG81" s="383">
        <f t="shared" si="56"/>
        <v>1</v>
      </c>
      <c r="AH81" s="383">
        <f t="shared" si="57"/>
        <v>0</v>
      </c>
      <c r="AI81" s="383">
        <f t="shared" si="58"/>
        <v>1</v>
      </c>
      <c r="AJ81" s="383">
        <f t="shared" si="59"/>
        <v>0</v>
      </c>
      <c r="AK81" s="383">
        <f t="shared" si="60"/>
        <v>0</v>
      </c>
      <c r="AM81" s="148" t="str">
        <f t="shared" si="61"/>
        <v>Schedulled</v>
      </c>
      <c r="AN81" s="148" t="str">
        <f t="shared" si="62"/>
        <v/>
      </c>
      <c r="AO81" s="156">
        <f t="shared" si="63"/>
        <v>43062.4375</v>
      </c>
      <c r="AP81" s="148" t="str">
        <f t="shared" si="64"/>
        <v>11/23/2017 10:30-&gt;Sinai - Kickball</v>
      </c>
      <c r="AQ81" s="374">
        <f t="shared" si="65"/>
        <v>1</v>
      </c>
      <c r="AR81" s="148" t="str">
        <f t="shared" si="66"/>
        <v>COL1</v>
      </c>
      <c r="AS81" s="148" t="str">
        <f t="shared" si="67"/>
        <v>USA2</v>
      </c>
      <c r="AT81" s="157" t="str">
        <f t="shared" si="68"/>
        <v>COL1-USA2</v>
      </c>
      <c r="AU81" s="157" t="str">
        <f t="shared" si="69"/>
        <v xml:space="preserve">COL1-USA2 </v>
      </c>
      <c r="AV81" s="157" t="str">
        <f t="shared" si="70"/>
        <v>CHILDREN A COED</v>
      </c>
      <c r="AW81" s="157" t="str">
        <f t="shared" si="71"/>
        <v>Kickball</v>
      </c>
      <c r="AX81" s="376">
        <f t="shared" si="72"/>
        <v>79</v>
      </c>
      <c r="AY81" s="148" t="str">
        <f t="shared" si="73"/>
        <v>CHILD A - COL 1-&gt;CHILD A - USA 2</v>
      </c>
      <c r="AZ81" s="148" t="str">
        <f t="shared" si="74"/>
        <v>11/23/2017 10:30-&gt;CHILD A - COL 1</v>
      </c>
      <c r="BA81" s="148" t="str">
        <f t="shared" si="75"/>
        <v>11/23/2017 10:30-&gt;CHILD A - USA 2</v>
      </c>
      <c r="BB81" s="374">
        <f t="shared" si="76"/>
        <v>1</v>
      </c>
      <c r="BC81" s="374">
        <f t="shared" si="77"/>
        <v>1</v>
      </c>
      <c r="BD81" s="148" t="str">
        <f t="shared" si="78"/>
        <v>no conflict</v>
      </c>
      <c r="BF81" s="148" t="str">
        <f t="shared" si="79"/>
        <v>11/23/2017 10:30-&gt;CHILD A - COL 1</v>
      </c>
      <c r="BG81" s="148" t="str">
        <f t="shared" si="80"/>
        <v>11/23/2017 10:30-&gt;CHILD A - USA 2</v>
      </c>
      <c r="BH81" s="148" t="str">
        <f t="shared" si="81"/>
        <v>11/23/2017 10:30-&gt;Sinai - Kickball</v>
      </c>
      <c r="BI81" s="148" t="str">
        <f t="shared" si="82"/>
        <v>Kickball in Sinai - Kickball (COL1-USA2)</v>
      </c>
      <c r="BJ81" s="148" t="str">
        <f t="shared" si="83"/>
        <v>Ch A Coed Kickball-- CHILD A - COL 1 vs. CHILD A - USA 2</v>
      </c>
      <c r="BK81" s="148" t="str">
        <f t="shared" si="84"/>
        <v>Kickball</v>
      </c>
      <c r="BL81" s="148" t="str">
        <f t="shared" si="85"/>
        <v>CHILD A - COL 1</v>
      </c>
      <c r="BM81" s="148" t="str">
        <f t="shared" si="86"/>
        <v>CHILD A - USA 2</v>
      </c>
      <c r="BN81" s="148" t="str">
        <f t="shared" si="87"/>
        <v>Round - 1</v>
      </c>
      <c r="BP81" s="148" t="str">
        <f t="shared" si="88"/>
        <v>no t, f, or sf</v>
      </c>
      <c r="BQ81" s="148" t="str">
        <f t="shared" si="89"/>
        <v/>
      </c>
    </row>
    <row r="82" spans="1:69" ht="15" customHeight="1" x14ac:dyDescent="0.2">
      <c r="A82" s="376">
        <v>80</v>
      </c>
      <c r="B82" t="s">
        <v>33</v>
      </c>
      <c r="C82" s="319" t="s">
        <v>518</v>
      </c>
      <c r="D82" s="376">
        <v>1</v>
      </c>
      <c r="E82" s="376">
        <v>1</v>
      </c>
      <c r="F82" s="315">
        <v>11</v>
      </c>
      <c r="G82" s="320">
        <v>43063</v>
      </c>
      <c r="H82" s="418">
        <v>0.50694444444444442</v>
      </c>
      <c r="I82" s="325">
        <v>32</v>
      </c>
      <c r="J82" s="319" t="s">
        <v>685</v>
      </c>
      <c r="K82" s="319">
        <v>14</v>
      </c>
      <c r="L82" s="319" t="s">
        <v>548</v>
      </c>
      <c r="M82" s="319">
        <v>14</v>
      </c>
      <c r="N82" s="319" t="s">
        <v>549</v>
      </c>
      <c r="O82" s="153" t="str">
        <f>IF(L82&lt;&gt;"",IFERROR(VLOOKUP(B82&amp;L82,Pools!$A$2:$D$130,3,FALSE),""),"")</f>
        <v/>
      </c>
      <c r="P82" s="388">
        <v>19</v>
      </c>
      <c r="Q82" s="388">
        <v>18</v>
      </c>
      <c r="R82" s="306" t="str">
        <f t="shared" si="45"/>
        <v>19-18</v>
      </c>
      <c r="T82" s="148" t="str">
        <f t="shared" si="46"/>
        <v>Completed</v>
      </c>
      <c r="U82" s="153"/>
      <c r="V82" s="153"/>
      <c r="W82" s="387">
        <f t="shared" si="47"/>
        <v>1</v>
      </c>
      <c r="X82" s="387">
        <f t="shared" si="48"/>
        <v>-1</v>
      </c>
      <c r="Y82" s="301">
        <f t="shared" si="49"/>
        <v>2</v>
      </c>
      <c r="Z82" s="301">
        <f t="shared" si="50"/>
        <v>0</v>
      </c>
      <c r="AA82" s="323" t="str">
        <f>CONCATENATE("                x[team1,team2,sport,'",IF(OR(I82="x",I82=""),VLOOKUP('Schedule from TM'!J82,Tables!$P$3:$Q$33,2,FALSE),'Schedule from TM'!I82),",",J82,"','",IF(OR(F82="x",F82=""),VLOOKUP('Schedule from TM'!G82,Tables!$U$3:$V$14,2,FALSE),'Schedule from TM'!F82),",",TEXT(G82,"mm/dd/yyyy"),"','",TEXT(H82,"h:mm:ss AM/PM"),"'].ub=0.0      #",B82)</f>
        <v xml:space="preserve">                x[team1,team2,sport,'32,Sinai - Kickball','11,11/24/2017','12:10:00 PM'].ub=0.0      #Ch A Coed Kickball</v>
      </c>
      <c r="AB82" s="301" t="str">
        <f t="shared" si="51"/>
        <v>,,Ch A Coed Kickball,,1,CHILD A - USA 1</v>
      </c>
      <c r="AC82" s="153" t="str">
        <f t="shared" si="52"/>
        <v>Ch A Coed KickballCHILD A - USA 1</v>
      </c>
      <c r="AD82" s="301" t="str">
        <f t="shared" si="53"/>
        <v>,,Ch A Coed Kickball,,1,CHILD A - VEN 1</v>
      </c>
      <c r="AE82" s="153" t="str">
        <f t="shared" si="54"/>
        <v>Ch A Coed KickballCHILD A - VEN 1</v>
      </c>
      <c r="AF82" s="383">
        <f t="shared" si="55"/>
        <v>1</v>
      </c>
      <c r="AG82" s="383">
        <f t="shared" si="56"/>
        <v>0</v>
      </c>
      <c r="AH82" s="383">
        <f t="shared" si="57"/>
        <v>0</v>
      </c>
      <c r="AI82" s="383">
        <f t="shared" si="58"/>
        <v>0</v>
      </c>
      <c r="AJ82" s="383">
        <f t="shared" si="59"/>
        <v>1</v>
      </c>
      <c r="AK82" s="383">
        <f t="shared" si="60"/>
        <v>0</v>
      </c>
      <c r="AM82" s="148" t="str">
        <f t="shared" si="61"/>
        <v>Schedulled</v>
      </c>
      <c r="AN82" s="148" t="str">
        <f t="shared" si="62"/>
        <v/>
      </c>
      <c r="AO82" s="156">
        <f t="shared" si="63"/>
        <v>43063.506944444445</v>
      </c>
      <c r="AP82" s="148" t="str">
        <f t="shared" si="64"/>
        <v>11/24/2017 12:10-&gt;Sinai - Kickball</v>
      </c>
      <c r="AQ82" s="374">
        <f t="shared" si="65"/>
        <v>1</v>
      </c>
      <c r="AR82" s="148" t="str">
        <f t="shared" si="66"/>
        <v>USA1</v>
      </c>
      <c r="AS82" s="148" t="str">
        <f t="shared" si="67"/>
        <v>VEN1</v>
      </c>
      <c r="AT82" s="157" t="str">
        <f t="shared" si="68"/>
        <v>USA1-VEN1</v>
      </c>
      <c r="AU82" s="157" t="str">
        <f t="shared" si="69"/>
        <v xml:space="preserve">USA1-VEN1 </v>
      </c>
      <c r="AV82" s="157" t="str">
        <f t="shared" si="70"/>
        <v>CHILDREN A COED</v>
      </c>
      <c r="AW82" s="157" t="str">
        <f t="shared" si="71"/>
        <v>Kickball</v>
      </c>
      <c r="AX82" s="376">
        <f t="shared" si="72"/>
        <v>80</v>
      </c>
      <c r="AY82" s="148" t="str">
        <f t="shared" si="73"/>
        <v>CHILD A - USA 1-&gt;CHILD A - VEN 1</v>
      </c>
      <c r="AZ82" s="148" t="str">
        <f t="shared" si="74"/>
        <v>11/24/2017 12:10-&gt;CHILD A - USA 1</v>
      </c>
      <c r="BA82" s="148" t="str">
        <f t="shared" si="75"/>
        <v>11/24/2017 12:10-&gt;CHILD A - VEN 1</v>
      </c>
      <c r="BB82" s="374">
        <f t="shared" si="76"/>
        <v>1</v>
      </c>
      <c r="BC82" s="374">
        <f t="shared" si="77"/>
        <v>1</v>
      </c>
      <c r="BD82" s="148" t="str">
        <f t="shared" si="78"/>
        <v>no conflict</v>
      </c>
      <c r="BF82" s="148" t="str">
        <f t="shared" si="79"/>
        <v>11/24/2017 12:10-&gt;CHILD A - USA 1</v>
      </c>
      <c r="BG82" s="148" t="str">
        <f t="shared" si="80"/>
        <v>11/24/2017 12:10-&gt;CHILD A - VEN 1</v>
      </c>
      <c r="BH82" s="148" t="str">
        <f t="shared" si="81"/>
        <v>11/24/2017 12:10-&gt;Sinai - Kickball</v>
      </c>
      <c r="BI82" s="148" t="str">
        <f t="shared" si="82"/>
        <v>Kickball in Sinai - Kickball (USA1-VEN1)</v>
      </c>
      <c r="BJ82" s="148" t="str">
        <f t="shared" si="83"/>
        <v>Ch A Coed Kickball-- CHILD A - USA 1 vs. CHILD A - VEN 1</v>
      </c>
      <c r="BK82" s="148" t="str">
        <f t="shared" si="84"/>
        <v>Kickball</v>
      </c>
      <c r="BL82" s="148" t="str">
        <f t="shared" si="85"/>
        <v>CHILD A - USA 1</v>
      </c>
      <c r="BM82" s="148" t="str">
        <f t="shared" si="86"/>
        <v>CHILD A - VEN 1</v>
      </c>
      <c r="BN82" s="148" t="str">
        <f t="shared" si="87"/>
        <v>Round - 1</v>
      </c>
      <c r="BP82" s="148" t="str">
        <f t="shared" si="88"/>
        <v>no t, f, or sf</v>
      </c>
      <c r="BQ82" s="148" t="str">
        <f t="shared" si="89"/>
        <v/>
      </c>
    </row>
    <row r="83" spans="1:69" ht="15" customHeight="1" x14ac:dyDescent="0.2">
      <c r="A83" s="376">
        <v>81</v>
      </c>
      <c r="B83" t="s">
        <v>33</v>
      </c>
      <c r="C83" s="319" t="s">
        <v>518</v>
      </c>
      <c r="D83" s="376">
        <v>1</v>
      </c>
      <c r="E83" s="376">
        <v>1</v>
      </c>
      <c r="F83" s="315">
        <v>21</v>
      </c>
      <c r="G83" s="320">
        <v>43065</v>
      </c>
      <c r="H83" s="418">
        <v>0.50694444444444442</v>
      </c>
      <c r="I83" s="325">
        <v>32</v>
      </c>
      <c r="J83" s="319" t="s">
        <v>685</v>
      </c>
      <c r="K83" s="319">
        <v>14</v>
      </c>
      <c r="L83" s="319" t="s">
        <v>548</v>
      </c>
      <c r="M83" s="319">
        <v>14</v>
      </c>
      <c r="N83" s="319" t="s">
        <v>775</v>
      </c>
      <c r="O83" s="153" t="str">
        <f>IF(L83&lt;&gt;"",IFERROR(VLOOKUP(B83&amp;L83,Pools!$A$2:$D$130,3,FALSE),""),"")</f>
        <v/>
      </c>
      <c r="P83" s="388">
        <v>18</v>
      </c>
      <c r="Q83" s="388">
        <v>10</v>
      </c>
      <c r="R83" s="306" t="str">
        <f t="shared" si="45"/>
        <v>18-10</v>
      </c>
      <c r="S83" s="153"/>
      <c r="T83" s="148" t="str">
        <f t="shared" si="46"/>
        <v>Completed</v>
      </c>
      <c r="U83" s="153"/>
      <c r="V83" s="153"/>
      <c r="W83" s="387">
        <f t="shared" si="47"/>
        <v>5</v>
      </c>
      <c r="X83" s="387">
        <f t="shared" si="48"/>
        <v>-5</v>
      </c>
      <c r="Y83" s="301">
        <f t="shared" si="49"/>
        <v>2</v>
      </c>
      <c r="Z83" s="301">
        <f t="shared" si="50"/>
        <v>0</v>
      </c>
      <c r="AA83" s="323" t="str">
        <f>CONCATENATE("                x[team1,team2,sport,'",IF(OR(I83="x",I83=""),VLOOKUP('Schedule from TM'!J83,Tables!$P$3:$Q$33,2,FALSE),'Schedule from TM'!I83),",",J83,"','",IF(OR(F83="x",F83=""),VLOOKUP('Schedule from TM'!G83,Tables!$U$3:$V$14,2,FALSE),'Schedule from TM'!F83),",",TEXT(G83,"mm/dd/yyyy"),"','",TEXT(H83,"h:mm:ss AM/PM"),"'].ub=0.0      #",B83)</f>
        <v xml:space="preserve">                x[team1,team2,sport,'32,Sinai - Kickball','21,11/26/2017','12:10:00 PM'].ub=0.0      #Ch A Coed Kickball</v>
      </c>
      <c r="AB83" s="301" t="str">
        <f t="shared" si="51"/>
        <v>,,Ch A Coed Kickball,,1,CHILD A - USA 1</v>
      </c>
      <c r="AC83" s="153" t="str">
        <f t="shared" si="52"/>
        <v>Ch A Coed KickballCHILD A - USA 1</v>
      </c>
      <c r="AD83" s="301" t="str">
        <f t="shared" si="53"/>
        <v>,,Ch A Coed Kickball,,1,CHILD A - USA 2</v>
      </c>
      <c r="AE83" s="153" t="str">
        <f t="shared" si="54"/>
        <v>Ch A Coed KickballCHILD A - USA 2</v>
      </c>
      <c r="AF83" s="383">
        <f t="shared" si="55"/>
        <v>1</v>
      </c>
      <c r="AG83" s="383">
        <f t="shared" si="56"/>
        <v>0</v>
      </c>
      <c r="AH83" s="383">
        <f t="shared" si="57"/>
        <v>0</v>
      </c>
      <c r="AI83" s="383">
        <f t="shared" si="58"/>
        <v>0</v>
      </c>
      <c r="AJ83" s="383">
        <f t="shared" si="59"/>
        <v>1</v>
      </c>
      <c r="AK83" s="383">
        <f t="shared" si="60"/>
        <v>0</v>
      </c>
      <c r="AM83" s="148" t="str">
        <f t="shared" si="61"/>
        <v>Schedulled</v>
      </c>
      <c r="AN83" s="148" t="str">
        <f t="shared" si="62"/>
        <v/>
      </c>
      <c r="AO83" s="156">
        <f t="shared" si="63"/>
        <v>43065.506944444445</v>
      </c>
      <c r="AP83" s="148" t="str">
        <f t="shared" si="64"/>
        <v>11/26/2017 12:10-&gt;Sinai - Kickball</v>
      </c>
      <c r="AQ83" s="374">
        <f t="shared" si="65"/>
        <v>1</v>
      </c>
      <c r="AR83" s="148" t="str">
        <f t="shared" si="66"/>
        <v>USA1</v>
      </c>
      <c r="AS83" s="148" t="str">
        <f t="shared" si="67"/>
        <v>USA2</v>
      </c>
      <c r="AT83" s="157" t="str">
        <f t="shared" si="68"/>
        <v>USA1-USA2</v>
      </c>
      <c r="AU83" s="157" t="str">
        <f t="shared" si="69"/>
        <v xml:space="preserve">USA1-USA2 </v>
      </c>
      <c r="AV83" s="157" t="str">
        <f t="shared" si="70"/>
        <v>CHILDREN A COED</v>
      </c>
      <c r="AW83" s="157" t="str">
        <f t="shared" si="71"/>
        <v>Kickball</v>
      </c>
      <c r="AX83" s="376">
        <f t="shared" si="72"/>
        <v>81</v>
      </c>
      <c r="AY83" s="148" t="str">
        <f t="shared" si="73"/>
        <v>CHILD A - USA 1-&gt;CHILD A - USA 2</v>
      </c>
      <c r="AZ83" s="148" t="str">
        <f t="shared" si="74"/>
        <v>11/26/2017 12:10-&gt;CHILD A - USA 1</v>
      </c>
      <c r="BA83" s="148" t="str">
        <f t="shared" si="75"/>
        <v>11/26/2017 12:10-&gt;CHILD A - USA 2</v>
      </c>
      <c r="BB83" s="374">
        <f t="shared" si="76"/>
        <v>1</v>
      </c>
      <c r="BC83" s="374">
        <f t="shared" si="77"/>
        <v>1</v>
      </c>
      <c r="BD83" s="148" t="str">
        <f t="shared" si="78"/>
        <v>no conflict</v>
      </c>
      <c r="BF83" s="148" t="str">
        <f t="shared" si="79"/>
        <v>11/26/2017 12:10-&gt;CHILD A - USA 1</v>
      </c>
      <c r="BG83" s="148" t="str">
        <f t="shared" si="80"/>
        <v>11/26/2017 12:10-&gt;CHILD A - USA 2</v>
      </c>
      <c r="BH83" s="148" t="str">
        <f t="shared" si="81"/>
        <v>11/26/2017 12:10-&gt;Sinai - Kickball</v>
      </c>
      <c r="BI83" s="148" t="str">
        <f t="shared" si="82"/>
        <v>Kickball in Sinai - Kickball (USA1-USA2)</v>
      </c>
      <c r="BJ83" s="148" t="str">
        <f t="shared" si="83"/>
        <v>Ch A Coed Kickball-- CHILD A - USA 1 vs. CHILD A - USA 2</v>
      </c>
      <c r="BK83" s="148" t="str">
        <f t="shared" si="84"/>
        <v>Kickball</v>
      </c>
      <c r="BL83" s="148" t="str">
        <f t="shared" si="85"/>
        <v>CHILD A - USA 1</v>
      </c>
      <c r="BM83" s="148" t="str">
        <f t="shared" si="86"/>
        <v>CHILD A - USA 2</v>
      </c>
      <c r="BN83" s="148" t="str">
        <f t="shared" si="87"/>
        <v>Round - 1</v>
      </c>
      <c r="BP83" s="148" t="str">
        <f t="shared" si="88"/>
        <v>no t, f, or sf</v>
      </c>
      <c r="BQ83" s="148" t="str">
        <f t="shared" si="89"/>
        <v/>
      </c>
    </row>
    <row r="84" spans="1:69" ht="15" customHeight="1" x14ac:dyDescent="0.2">
      <c r="A84" s="376">
        <v>82</v>
      </c>
      <c r="B84" t="s">
        <v>33</v>
      </c>
      <c r="C84" s="319" t="s">
        <v>518</v>
      </c>
      <c r="D84" s="376">
        <v>1</v>
      </c>
      <c r="E84" s="376">
        <v>1</v>
      </c>
      <c r="F84" s="315">
        <v>21</v>
      </c>
      <c r="G84" s="320">
        <v>43065</v>
      </c>
      <c r="H84" s="417">
        <v>0.57638888888888895</v>
      </c>
      <c r="I84" s="325">
        <v>32</v>
      </c>
      <c r="J84" s="441" t="s">
        <v>685</v>
      </c>
      <c r="K84" s="319">
        <v>14</v>
      </c>
      <c r="L84" s="319" t="s">
        <v>775</v>
      </c>
      <c r="M84" s="319">
        <v>14</v>
      </c>
      <c r="N84" s="319" t="s">
        <v>549</v>
      </c>
      <c r="O84" s="153" t="str">
        <f>IF(L84&lt;&gt;"",IFERROR(VLOOKUP(B84&amp;L84,Pools!$A$2:$D$130,3,FALSE),""),"")</f>
        <v/>
      </c>
      <c r="P84" s="388">
        <v>13</v>
      </c>
      <c r="Q84" s="388">
        <v>12</v>
      </c>
      <c r="R84" s="306" t="str">
        <f t="shared" si="45"/>
        <v>13-12</v>
      </c>
      <c r="S84" s="153"/>
      <c r="T84" s="148" t="str">
        <f t="shared" si="46"/>
        <v>Completed</v>
      </c>
      <c r="U84" s="153"/>
      <c r="V84" s="153"/>
      <c r="W84" s="387">
        <f t="shared" si="47"/>
        <v>1</v>
      </c>
      <c r="X84" s="387">
        <f t="shared" si="48"/>
        <v>-1</v>
      </c>
      <c r="Y84" s="301">
        <f t="shared" si="49"/>
        <v>2</v>
      </c>
      <c r="Z84" s="301">
        <f t="shared" si="50"/>
        <v>0</v>
      </c>
      <c r="AA84" s="323" t="str">
        <f>CONCATENATE("                x[team1,team2,sport,'",IF(OR(I84="x",I84=""),VLOOKUP('Schedule from TM'!J84,Tables!$P$3:$Q$33,2,FALSE),'Schedule from TM'!I84),",",J84,"','",IF(OR(F84="x",F84=""),VLOOKUP('Schedule from TM'!G84,Tables!$U$3:$V$14,2,FALSE),'Schedule from TM'!F84),",",TEXT(G84,"mm/dd/yyyy"),"','",TEXT(H84,"h:mm:ss AM/PM"),"'].ub=0.0      #",B84)</f>
        <v xml:space="preserve">                x[team1,team2,sport,'32,Sinai - Kickball','21,11/26/2017','1:50:00 PM'].ub=0.0      #Ch A Coed Kickball</v>
      </c>
      <c r="AB84" s="301" t="str">
        <f t="shared" si="51"/>
        <v>,,Ch A Coed Kickball,,1,CHILD A - USA 2</v>
      </c>
      <c r="AC84" s="153" t="str">
        <f t="shared" si="52"/>
        <v>Ch A Coed KickballCHILD A - USA 2</v>
      </c>
      <c r="AD84" s="301" t="str">
        <f t="shared" si="53"/>
        <v>,,Ch A Coed Kickball,,1,CHILD A - VEN 1</v>
      </c>
      <c r="AE84" s="153" t="str">
        <f t="shared" si="54"/>
        <v>Ch A Coed KickballCHILD A - VEN 1</v>
      </c>
      <c r="AF84" s="383">
        <f t="shared" si="55"/>
        <v>1</v>
      </c>
      <c r="AG84" s="383">
        <f t="shared" si="56"/>
        <v>0</v>
      </c>
      <c r="AH84" s="383">
        <f t="shared" si="57"/>
        <v>0</v>
      </c>
      <c r="AI84" s="383">
        <f t="shared" si="58"/>
        <v>0</v>
      </c>
      <c r="AJ84" s="383">
        <f t="shared" si="59"/>
        <v>1</v>
      </c>
      <c r="AK84" s="383">
        <f t="shared" si="60"/>
        <v>0</v>
      </c>
      <c r="AM84" s="148" t="str">
        <f t="shared" si="61"/>
        <v>Schedulled</v>
      </c>
      <c r="AN84" s="148" t="str">
        <f t="shared" si="62"/>
        <v/>
      </c>
      <c r="AO84" s="156">
        <f t="shared" si="63"/>
        <v>43065.576388888891</v>
      </c>
      <c r="AP84" s="148" t="str">
        <f t="shared" si="64"/>
        <v>11/26/2017 13:50-&gt;Sinai - Kickball</v>
      </c>
      <c r="AQ84" s="374">
        <f t="shared" si="65"/>
        <v>1</v>
      </c>
      <c r="AR84" s="148" t="str">
        <f t="shared" si="66"/>
        <v>USA2</v>
      </c>
      <c r="AS84" s="148" t="str">
        <f t="shared" si="67"/>
        <v>VEN1</v>
      </c>
      <c r="AT84" s="157" t="str">
        <f t="shared" si="68"/>
        <v>USA2-VEN1</v>
      </c>
      <c r="AU84" s="157" t="str">
        <f t="shared" si="69"/>
        <v xml:space="preserve">USA2-VEN1 </v>
      </c>
      <c r="AV84" s="157" t="str">
        <f t="shared" si="70"/>
        <v>CHILDREN A COED</v>
      </c>
      <c r="AW84" s="157" t="str">
        <f t="shared" si="71"/>
        <v>Kickball</v>
      </c>
      <c r="AX84" s="376">
        <f t="shared" si="72"/>
        <v>82</v>
      </c>
      <c r="AY84" s="148" t="str">
        <f t="shared" si="73"/>
        <v>CHILD A - USA 2-&gt;CHILD A - VEN 1</v>
      </c>
      <c r="AZ84" s="148" t="str">
        <f t="shared" si="74"/>
        <v>11/26/2017 13:50-&gt;CHILD A - USA 2</v>
      </c>
      <c r="BA84" s="148" t="str">
        <f t="shared" si="75"/>
        <v>11/26/2017 13:50-&gt;CHILD A - VEN 1</v>
      </c>
      <c r="BB84" s="374">
        <f t="shared" si="76"/>
        <v>1</v>
      </c>
      <c r="BC84" s="374">
        <f t="shared" si="77"/>
        <v>1</v>
      </c>
      <c r="BD84" s="148" t="str">
        <f t="shared" si="78"/>
        <v>no conflict</v>
      </c>
      <c r="BF84" s="148" t="str">
        <f t="shared" si="79"/>
        <v>11/26/2017 13:50-&gt;CHILD A - USA 2</v>
      </c>
      <c r="BG84" s="148" t="str">
        <f t="shared" si="80"/>
        <v>11/26/2017 13:50-&gt;CHILD A - VEN 1</v>
      </c>
      <c r="BH84" s="148" t="str">
        <f t="shared" si="81"/>
        <v>11/26/2017 13:50-&gt;Sinai - Kickball</v>
      </c>
      <c r="BI84" s="148" t="str">
        <f t="shared" si="82"/>
        <v>Kickball in Sinai - Kickball (USA2-VEN1)</v>
      </c>
      <c r="BJ84" s="148" t="str">
        <f t="shared" si="83"/>
        <v>Ch A Coed Kickball-- CHILD A - USA 2 vs. CHILD A - VEN 1</v>
      </c>
      <c r="BK84" s="148" t="str">
        <f t="shared" si="84"/>
        <v>Kickball</v>
      </c>
      <c r="BL84" s="148" t="str">
        <f t="shared" si="85"/>
        <v>CHILD A - USA 2</v>
      </c>
      <c r="BM84" s="148" t="str">
        <f t="shared" si="86"/>
        <v>CHILD A - VEN 1</v>
      </c>
      <c r="BN84" s="148" t="str">
        <f t="shared" si="87"/>
        <v>Round - 1</v>
      </c>
      <c r="BP84" s="148" t="str">
        <f t="shared" si="88"/>
        <v>no t, f, or sf</v>
      </c>
      <c r="BQ84" s="148" t="str">
        <f t="shared" si="89"/>
        <v/>
      </c>
    </row>
    <row r="85" spans="1:69" ht="15" customHeight="1" x14ac:dyDescent="0.2">
      <c r="A85" s="376">
        <v>83</v>
      </c>
      <c r="B85" t="s">
        <v>30</v>
      </c>
      <c r="C85" s="319" t="s">
        <v>518</v>
      </c>
      <c r="D85" s="376">
        <v>1</v>
      </c>
      <c r="E85" s="376">
        <v>1</v>
      </c>
      <c r="F85" s="315">
        <v>11</v>
      </c>
      <c r="G85" s="320">
        <v>43058</v>
      </c>
      <c r="H85" s="318">
        <v>0.54166666666666663</v>
      </c>
      <c r="I85" s="325">
        <v>32</v>
      </c>
      <c r="J85" s="319" t="s">
        <v>683</v>
      </c>
      <c r="K85" s="319">
        <v>14</v>
      </c>
      <c r="L85" s="319" t="s">
        <v>775</v>
      </c>
      <c r="M85" s="319">
        <v>14</v>
      </c>
      <c r="N85" s="319" t="s">
        <v>549</v>
      </c>
      <c r="O85" s="153" t="str">
        <f>IF(L85&lt;&gt;"",IFERROR(VLOOKUP(B85&amp;L85,Pools!$A$2:$D$130,3,FALSE),""),"")</f>
        <v/>
      </c>
      <c r="P85" s="388">
        <v>1</v>
      </c>
      <c r="Q85" s="388">
        <v>0</v>
      </c>
      <c r="R85" s="306" t="str">
        <f t="shared" si="45"/>
        <v>1-0</v>
      </c>
      <c r="S85" s="153"/>
      <c r="T85" s="148" t="str">
        <f t="shared" si="46"/>
        <v>Completed</v>
      </c>
      <c r="U85" s="153"/>
      <c r="V85" s="153"/>
      <c r="W85" s="387">
        <f t="shared" si="47"/>
        <v>1</v>
      </c>
      <c r="X85" s="387">
        <f t="shared" si="48"/>
        <v>-1</v>
      </c>
      <c r="Y85" s="301">
        <f t="shared" si="49"/>
        <v>2</v>
      </c>
      <c r="Z85" s="301">
        <f t="shared" si="50"/>
        <v>0</v>
      </c>
      <c r="AA85" s="323" t="str">
        <f>CONCATENATE("                x[team1,team2,sport,'",IF(OR(I85="x",I85=""),VLOOKUP('Schedule from TM'!J85,Tables!$P$3:$Q$33,2,FALSE),'Schedule from TM'!I85),",",J85,"','",IF(OR(F85="x",F85=""),VLOOKUP('Schedule from TM'!G85,Tables!$U$3:$V$14,2,FALSE),'Schedule from TM'!F85),",",TEXT(G85,"mm/dd/yyyy"),"','",TEXT(H85,"h:mm:ss AM/PM"),"'].ub=0.0      #",B85)</f>
        <v xml:space="preserve">                x[team1,team2,sport,'32,Sinai - Soccer','11,11/19/2017','1:00:00 PM'].ub=0.0      #Ch A Coed Mini Soccer</v>
      </c>
      <c r="AB85" s="301" t="str">
        <f t="shared" si="51"/>
        <v>,,Ch A Coed Mini Soccer,,1,CHILD A - USA 2</v>
      </c>
      <c r="AC85" s="153" t="str">
        <f t="shared" si="52"/>
        <v>Ch A Coed Mini SoccerCHILD A - USA 2</v>
      </c>
      <c r="AD85" s="301" t="str">
        <f t="shared" si="53"/>
        <v>,,Ch A Coed Mini Soccer,,1,CHILD A - VEN 1</v>
      </c>
      <c r="AE85" s="153" t="str">
        <f t="shared" si="54"/>
        <v>Ch A Coed Mini SoccerCHILD A - VEN 1</v>
      </c>
      <c r="AF85" s="383">
        <f t="shared" si="55"/>
        <v>1</v>
      </c>
      <c r="AG85" s="383">
        <f t="shared" si="56"/>
        <v>0</v>
      </c>
      <c r="AH85" s="383">
        <f t="shared" si="57"/>
        <v>0</v>
      </c>
      <c r="AI85" s="383">
        <f t="shared" si="58"/>
        <v>0</v>
      </c>
      <c r="AJ85" s="383">
        <f t="shared" si="59"/>
        <v>1</v>
      </c>
      <c r="AK85" s="383">
        <f t="shared" si="60"/>
        <v>0</v>
      </c>
      <c r="AM85" s="148" t="str">
        <f t="shared" si="61"/>
        <v>Schedulled</v>
      </c>
      <c r="AN85" s="148" t="str">
        <f t="shared" si="62"/>
        <v/>
      </c>
      <c r="AO85" s="156">
        <f t="shared" si="63"/>
        <v>43058.541666666664</v>
      </c>
      <c r="AP85" s="148" t="str">
        <f t="shared" si="64"/>
        <v>11/19/2017 13:00-&gt;Sinai - Soccer</v>
      </c>
      <c r="AQ85" s="374">
        <f t="shared" si="65"/>
        <v>1</v>
      </c>
      <c r="AR85" s="148" t="str">
        <f t="shared" si="66"/>
        <v>USA2</v>
      </c>
      <c r="AS85" s="148" t="str">
        <f t="shared" si="67"/>
        <v>VEN1</v>
      </c>
      <c r="AT85" s="157" t="str">
        <f t="shared" si="68"/>
        <v>USA2-VEN1</v>
      </c>
      <c r="AU85" s="157" t="str">
        <f t="shared" si="69"/>
        <v xml:space="preserve">USA2-VEN1 </v>
      </c>
      <c r="AV85" s="157" t="str">
        <f t="shared" si="70"/>
        <v>CHILDREN A COED</v>
      </c>
      <c r="AW85" s="157" t="str">
        <f t="shared" si="71"/>
        <v>Soccer</v>
      </c>
      <c r="AX85" s="376">
        <f t="shared" si="72"/>
        <v>83</v>
      </c>
      <c r="AY85" s="148" t="str">
        <f t="shared" si="73"/>
        <v>CHILD A - USA 2-&gt;CHILD A - VEN 1</v>
      </c>
      <c r="AZ85" s="148" t="str">
        <f t="shared" si="74"/>
        <v>11/19/2017 13:00-&gt;CHILD A - USA 2</v>
      </c>
      <c r="BA85" s="148" t="str">
        <f t="shared" si="75"/>
        <v>11/19/2017 13:00-&gt;CHILD A - VEN 1</v>
      </c>
      <c r="BB85" s="374">
        <f t="shared" si="76"/>
        <v>1</v>
      </c>
      <c r="BC85" s="374">
        <f t="shared" si="77"/>
        <v>1</v>
      </c>
      <c r="BD85" s="148" t="str">
        <f t="shared" si="78"/>
        <v>no conflict</v>
      </c>
      <c r="BF85" s="148" t="str">
        <f t="shared" si="79"/>
        <v>11/19/2017 13:00-&gt;CHILD A - USA 2</v>
      </c>
      <c r="BG85" s="148" t="str">
        <f t="shared" si="80"/>
        <v>11/19/2017 13:00-&gt;CHILD A - VEN 1</v>
      </c>
      <c r="BH85" s="148" t="str">
        <f t="shared" si="81"/>
        <v>11/19/2017 13:00-&gt;Sinai - Soccer</v>
      </c>
      <c r="BI85" s="148" t="str">
        <f t="shared" si="82"/>
        <v>Soccer in Sinai - Soccer (USA2-VEN1)</v>
      </c>
      <c r="BJ85" s="148" t="str">
        <f t="shared" si="83"/>
        <v>Ch A Coed Mini Soccer-- CHILD A - USA 2 vs. CHILD A - VEN 1</v>
      </c>
      <c r="BK85" s="148" t="str">
        <f t="shared" si="84"/>
        <v>Soccer</v>
      </c>
      <c r="BL85" s="148" t="str">
        <f t="shared" si="85"/>
        <v>CHILD A - USA 2</v>
      </c>
      <c r="BM85" s="148" t="str">
        <f t="shared" si="86"/>
        <v>CHILD A - VEN 1</v>
      </c>
      <c r="BN85" s="148" t="str">
        <f t="shared" si="87"/>
        <v>Round - 1</v>
      </c>
      <c r="BP85" s="148" t="str">
        <f t="shared" si="88"/>
        <v>no t, f, or sf</v>
      </c>
      <c r="BQ85" s="148" t="str">
        <f t="shared" si="89"/>
        <v/>
      </c>
    </row>
    <row r="86" spans="1:69" ht="15" customHeight="1" x14ac:dyDescent="0.2">
      <c r="A86" s="376">
        <v>84</v>
      </c>
      <c r="B86" s="433" t="s">
        <v>30</v>
      </c>
      <c r="C86" s="441" t="s">
        <v>518</v>
      </c>
      <c r="D86" s="450">
        <v>1</v>
      </c>
      <c r="E86" s="450">
        <v>1</v>
      </c>
      <c r="F86" s="315">
        <v>11</v>
      </c>
      <c r="G86" s="320">
        <v>43062</v>
      </c>
      <c r="H86" s="317">
        <v>0.50694444444444442</v>
      </c>
      <c r="I86" s="325">
        <v>32</v>
      </c>
      <c r="J86" s="441" t="s">
        <v>683</v>
      </c>
      <c r="K86" s="441">
        <v>14</v>
      </c>
      <c r="L86" s="441" t="s">
        <v>545</v>
      </c>
      <c r="M86" s="441">
        <v>14</v>
      </c>
      <c r="N86" s="441" t="s">
        <v>549</v>
      </c>
      <c r="O86" s="153" t="str">
        <f>IF(L86&lt;&gt;"",IFERROR(VLOOKUP(B86&amp;L86,Pools!$A$2:$D$130,3,FALSE),""),"")</f>
        <v/>
      </c>
      <c r="P86" s="388">
        <v>0</v>
      </c>
      <c r="Q86" s="388">
        <v>2</v>
      </c>
      <c r="R86" s="306" t="str">
        <f t="shared" si="45"/>
        <v>0-2</v>
      </c>
      <c r="S86" s="153"/>
      <c r="T86" s="148" t="str">
        <f t="shared" si="46"/>
        <v>Completed</v>
      </c>
      <c r="U86" s="153"/>
      <c r="V86" s="153"/>
      <c r="W86" s="387">
        <f t="shared" si="47"/>
        <v>-2</v>
      </c>
      <c r="X86" s="387">
        <f t="shared" si="48"/>
        <v>2</v>
      </c>
      <c r="Y86" s="301">
        <f t="shared" si="49"/>
        <v>0</v>
      </c>
      <c r="Z86" s="301">
        <f t="shared" si="50"/>
        <v>2</v>
      </c>
      <c r="AA86" s="323" t="str">
        <f>CONCATENATE("                x[team1,team2,sport,'",IF(OR(I86="x",I86=""),VLOOKUP('Schedule from TM'!J86,Tables!$P$3:$Q$33,2,FALSE),'Schedule from TM'!I86),",",J86,"','",IF(OR(F86="x",F86=""),VLOOKUP('Schedule from TM'!G86,Tables!$U$3:$V$14,2,FALSE),'Schedule from TM'!F86),",",TEXT(G86,"mm/dd/yyyy"),"','",TEXT(H86,"h:mm:ss AM/PM"),"'].ub=0.0      #",B86)</f>
        <v xml:space="preserve">                x[team1,team2,sport,'32,Sinai - Soccer','11,11/23/2017','12:10:00 PM'].ub=0.0      #Ch A Coed Mini Soccer</v>
      </c>
      <c r="AB86" s="301" t="str">
        <f t="shared" si="51"/>
        <v>,,Ch A Coed Mini Soccer,,1,CHILD A - COL 1</v>
      </c>
      <c r="AC86" s="153" t="str">
        <f t="shared" si="52"/>
        <v>Ch A Coed Mini SoccerCHILD A - COL 1</v>
      </c>
      <c r="AD86" s="301" t="str">
        <f t="shared" si="53"/>
        <v>,,Ch A Coed Mini Soccer,,1,CHILD A - VEN 1</v>
      </c>
      <c r="AE86" s="153" t="str">
        <f t="shared" si="54"/>
        <v>Ch A Coed Mini SoccerCHILD A - VEN 1</v>
      </c>
      <c r="AF86" s="383">
        <f t="shared" si="55"/>
        <v>0</v>
      </c>
      <c r="AG86" s="383">
        <f t="shared" si="56"/>
        <v>1</v>
      </c>
      <c r="AH86" s="383">
        <f t="shared" si="57"/>
        <v>0</v>
      </c>
      <c r="AI86" s="383">
        <f t="shared" si="58"/>
        <v>1</v>
      </c>
      <c r="AJ86" s="383">
        <f t="shared" si="59"/>
        <v>0</v>
      </c>
      <c r="AK86" s="383">
        <f t="shared" si="60"/>
        <v>0</v>
      </c>
      <c r="AM86" s="148" t="str">
        <f t="shared" si="61"/>
        <v>Schedulled</v>
      </c>
      <c r="AN86" s="148" t="str">
        <f t="shared" si="62"/>
        <v/>
      </c>
      <c r="AO86" s="156">
        <f t="shared" si="63"/>
        <v>43062.506944444445</v>
      </c>
      <c r="AP86" s="148" t="str">
        <f t="shared" si="64"/>
        <v>11/23/2017 12:10-&gt;Sinai - Soccer</v>
      </c>
      <c r="AQ86" s="374">
        <f t="shared" si="65"/>
        <v>1</v>
      </c>
      <c r="AR86" s="148" t="str">
        <f t="shared" si="66"/>
        <v>COL1</v>
      </c>
      <c r="AS86" s="148" t="str">
        <f t="shared" si="67"/>
        <v>VEN1</v>
      </c>
      <c r="AT86" s="157" t="str">
        <f t="shared" si="68"/>
        <v>COL1-VEN1</v>
      </c>
      <c r="AU86" s="157" t="str">
        <f t="shared" si="69"/>
        <v xml:space="preserve">COL1-VEN1 </v>
      </c>
      <c r="AV86" s="157" t="str">
        <f t="shared" si="70"/>
        <v>CHILDREN A COED</v>
      </c>
      <c r="AW86" s="157" t="str">
        <f t="shared" si="71"/>
        <v>Soccer</v>
      </c>
      <c r="AX86" s="376">
        <f t="shared" si="72"/>
        <v>84</v>
      </c>
      <c r="AY86" s="148" t="str">
        <f t="shared" si="73"/>
        <v>CHILD A - COL 1-&gt;CHILD A - VEN 1</v>
      </c>
      <c r="AZ86" s="148" t="str">
        <f t="shared" si="74"/>
        <v>11/23/2017 12:10-&gt;CHILD A - COL 1</v>
      </c>
      <c r="BA86" s="148" t="str">
        <f t="shared" si="75"/>
        <v>11/23/2017 12:10-&gt;CHILD A - VEN 1</v>
      </c>
      <c r="BB86" s="374">
        <f t="shared" si="76"/>
        <v>1</v>
      </c>
      <c r="BC86" s="374">
        <f t="shared" si="77"/>
        <v>1</v>
      </c>
      <c r="BD86" s="148" t="str">
        <f t="shared" si="78"/>
        <v>no conflict</v>
      </c>
      <c r="BF86" s="148" t="str">
        <f t="shared" si="79"/>
        <v>11/23/2017 12:10-&gt;CHILD A - COL 1</v>
      </c>
      <c r="BG86" s="148" t="str">
        <f t="shared" si="80"/>
        <v>11/23/2017 12:10-&gt;CHILD A - VEN 1</v>
      </c>
      <c r="BH86" s="148" t="str">
        <f t="shared" si="81"/>
        <v>11/23/2017 12:10-&gt;Sinai - Soccer</v>
      </c>
      <c r="BI86" s="148" t="str">
        <f t="shared" si="82"/>
        <v>Soccer in Sinai - Soccer (COL1-VEN1)</v>
      </c>
      <c r="BJ86" s="148" t="str">
        <f t="shared" si="83"/>
        <v>Ch A Coed Mini Soccer-- CHILD A - COL 1 vs. CHILD A - VEN 1</v>
      </c>
      <c r="BK86" s="148" t="str">
        <f t="shared" si="84"/>
        <v>Soccer</v>
      </c>
      <c r="BL86" s="148" t="str">
        <f t="shared" si="85"/>
        <v>CHILD A - COL 1</v>
      </c>
      <c r="BM86" s="148" t="str">
        <f t="shared" si="86"/>
        <v>CHILD A - VEN 1</v>
      </c>
      <c r="BN86" s="148" t="str">
        <f t="shared" si="87"/>
        <v>Round - 1</v>
      </c>
      <c r="BP86" s="148" t="str">
        <f t="shared" si="88"/>
        <v>no t, f, or sf</v>
      </c>
      <c r="BQ86" s="148" t="str">
        <f t="shared" si="89"/>
        <v/>
      </c>
    </row>
    <row r="87" spans="1:69" ht="15" customHeight="1" x14ac:dyDescent="0.2">
      <c r="A87" s="450">
        <v>85</v>
      </c>
      <c r="B87" s="433" t="s">
        <v>30</v>
      </c>
      <c r="C87" s="441" t="s">
        <v>518</v>
      </c>
      <c r="D87" s="450">
        <v>1</v>
      </c>
      <c r="E87" s="450">
        <v>1</v>
      </c>
      <c r="F87" s="444">
        <v>11</v>
      </c>
      <c r="G87" s="320">
        <v>43062</v>
      </c>
      <c r="H87" s="317">
        <v>0.54166666666666663</v>
      </c>
      <c r="I87" s="446">
        <v>32</v>
      </c>
      <c r="J87" s="441" t="s">
        <v>683</v>
      </c>
      <c r="K87" s="441">
        <v>14</v>
      </c>
      <c r="L87" s="441" t="s">
        <v>548</v>
      </c>
      <c r="M87" s="441">
        <v>14</v>
      </c>
      <c r="N87" s="441" t="s">
        <v>775</v>
      </c>
      <c r="O87" s="153" t="str">
        <f>IF(L87&lt;&gt;"",IFERROR(VLOOKUP(B87&amp;L87,Pools!$A$2:$D$130,3,FALSE),""),"")</f>
        <v/>
      </c>
      <c r="P87" s="388">
        <v>1</v>
      </c>
      <c r="Q87" s="388">
        <v>0</v>
      </c>
      <c r="R87" s="306" t="str">
        <f t="shared" si="45"/>
        <v>1-0</v>
      </c>
      <c r="S87" s="153"/>
      <c r="T87" s="148" t="str">
        <f t="shared" si="46"/>
        <v>Completed</v>
      </c>
      <c r="U87" s="153"/>
      <c r="V87" s="153"/>
      <c r="W87" s="387">
        <f t="shared" si="47"/>
        <v>1</v>
      </c>
      <c r="X87" s="387">
        <f t="shared" si="48"/>
        <v>-1</v>
      </c>
      <c r="Y87" s="301">
        <f t="shared" si="49"/>
        <v>2</v>
      </c>
      <c r="Z87" s="301">
        <f t="shared" si="50"/>
        <v>0</v>
      </c>
      <c r="AA87" s="323" t="str">
        <f>CONCATENATE("                x[team1,team2,sport,'",IF(OR(I87="x",I87=""),VLOOKUP('Schedule from TM'!J87,Tables!$P$3:$Q$33,2,FALSE),'Schedule from TM'!I87),",",J87,"','",IF(OR(F87="x",F87=""),VLOOKUP('Schedule from TM'!G87,Tables!$U$3:$V$14,2,FALSE),'Schedule from TM'!F87),",",TEXT(G87,"mm/dd/yyyy"),"','",TEXT(H87,"h:mm:ss AM/PM"),"'].ub=0.0      #",B87)</f>
        <v xml:space="preserve">                x[team1,team2,sport,'32,Sinai - Soccer','11,11/23/2017','1:00:00 PM'].ub=0.0      #Ch A Coed Mini Soccer</v>
      </c>
      <c r="AB87" s="301" t="str">
        <f t="shared" si="51"/>
        <v>,,Ch A Coed Mini Soccer,,1,CHILD A - USA 1</v>
      </c>
      <c r="AC87" s="153" t="str">
        <f t="shared" si="52"/>
        <v>Ch A Coed Mini SoccerCHILD A - USA 1</v>
      </c>
      <c r="AD87" s="301" t="str">
        <f t="shared" si="53"/>
        <v>,,Ch A Coed Mini Soccer,,1,CHILD A - USA 2</v>
      </c>
      <c r="AE87" s="153" t="str">
        <f t="shared" si="54"/>
        <v>Ch A Coed Mini SoccerCHILD A - USA 2</v>
      </c>
      <c r="AF87" s="383">
        <f t="shared" si="55"/>
        <v>1</v>
      </c>
      <c r="AG87" s="383">
        <f t="shared" si="56"/>
        <v>0</v>
      </c>
      <c r="AH87" s="383">
        <f t="shared" si="57"/>
        <v>0</v>
      </c>
      <c r="AI87" s="383">
        <f t="shared" si="58"/>
        <v>0</v>
      </c>
      <c r="AJ87" s="383">
        <f t="shared" si="59"/>
        <v>1</v>
      </c>
      <c r="AK87" s="383">
        <f t="shared" si="60"/>
        <v>0</v>
      </c>
      <c r="AM87" s="148" t="str">
        <f t="shared" si="61"/>
        <v>Schedulled</v>
      </c>
      <c r="AN87" s="148" t="str">
        <f t="shared" si="62"/>
        <v/>
      </c>
      <c r="AO87" s="156">
        <f t="shared" si="63"/>
        <v>43062.541666666664</v>
      </c>
      <c r="AP87" s="148" t="str">
        <f t="shared" si="64"/>
        <v>11/23/2017 13:00-&gt;Sinai - Soccer</v>
      </c>
      <c r="AQ87" s="374">
        <f t="shared" si="65"/>
        <v>1</v>
      </c>
      <c r="AR87" s="148" t="str">
        <f t="shared" si="66"/>
        <v>USA1</v>
      </c>
      <c r="AS87" s="148" t="str">
        <f t="shared" si="67"/>
        <v>USA2</v>
      </c>
      <c r="AT87" s="157" t="str">
        <f t="shared" si="68"/>
        <v>USA1-USA2</v>
      </c>
      <c r="AU87" s="157" t="str">
        <f t="shared" si="69"/>
        <v xml:space="preserve">USA1-USA2 </v>
      </c>
      <c r="AV87" s="157" t="str">
        <f t="shared" si="70"/>
        <v>CHILDREN A COED</v>
      </c>
      <c r="AW87" s="157" t="str">
        <f t="shared" si="71"/>
        <v>Soccer</v>
      </c>
      <c r="AX87" s="376">
        <f t="shared" si="72"/>
        <v>85</v>
      </c>
      <c r="AY87" s="148" t="str">
        <f t="shared" si="73"/>
        <v>CHILD A - USA 1-&gt;CHILD A - USA 2</v>
      </c>
      <c r="AZ87" s="148" t="str">
        <f t="shared" si="74"/>
        <v>11/23/2017 13:00-&gt;CHILD A - USA 1</v>
      </c>
      <c r="BA87" s="148" t="str">
        <f t="shared" si="75"/>
        <v>11/23/2017 13:00-&gt;CHILD A - USA 2</v>
      </c>
      <c r="BB87" s="374">
        <f t="shared" si="76"/>
        <v>1</v>
      </c>
      <c r="BC87" s="374">
        <f t="shared" si="77"/>
        <v>1</v>
      </c>
      <c r="BD87" s="148" t="str">
        <f t="shared" si="78"/>
        <v>no conflict</v>
      </c>
      <c r="BF87" s="148" t="str">
        <f t="shared" si="79"/>
        <v>11/23/2017 13:00-&gt;CHILD A - USA 1</v>
      </c>
      <c r="BG87" s="148" t="str">
        <f t="shared" si="80"/>
        <v>11/23/2017 13:00-&gt;CHILD A - USA 2</v>
      </c>
      <c r="BH87" s="148" t="str">
        <f t="shared" si="81"/>
        <v>11/23/2017 13:00-&gt;Sinai - Soccer</v>
      </c>
      <c r="BI87" s="148" t="str">
        <f t="shared" si="82"/>
        <v>Soccer in Sinai - Soccer (USA1-USA2)</v>
      </c>
      <c r="BJ87" s="148" t="str">
        <f t="shared" si="83"/>
        <v>Ch A Coed Mini Soccer-- CHILD A - USA 1 vs. CHILD A - USA 2</v>
      </c>
      <c r="BK87" s="148" t="str">
        <f t="shared" si="84"/>
        <v>Soccer</v>
      </c>
      <c r="BL87" s="148" t="str">
        <f t="shared" si="85"/>
        <v>CHILD A - USA 1</v>
      </c>
      <c r="BM87" s="148" t="str">
        <f t="shared" si="86"/>
        <v>CHILD A - USA 2</v>
      </c>
      <c r="BN87" s="148" t="str">
        <f t="shared" si="87"/>
        <v>Round - 1</v>
      </c>
      <c r="BP87" s="148" t="str">
        <f t="shared" si="88"/>
        <v>no t, f, or sf</v>
      </c>
      <c r="BQ87" s="148" t="str">
        <f t="shared" si="89"/>
        <v/>
      </c>
    </row>
    <row r="88" spans="1:69" ht="15" customHeight="1" x14ac:dyDescent="0.2">
      <c r="A88" s="450">
        <v>86</v>
      </c>
      <c r="B88" s="433" t="s">
        <v>30</v>
      </c>
      <c r="C88" s="441" t="s">
        <v>518</v>
      </c>
      <c r="D88" s="450">
        <v>1</v>
      </c>
      <c r="E88" s="450">
        <v>1</v>
      </c>
      <c r="F88" s="444">
        <v>11</v>
      </c>
      <c r="G88" s="320">
        <v>43063</v>
      </c>
      <c r="H88" s="418">
        <v>0.36805555555555558</v>
      </c>
      <c r="I88" s="446">
        <v>32</v>
      </c>
      <c r="J88" s="441" t="s">
        <v>683</v>
      </c>
      <c r="K88" s="441">
        <v>14</v>
      </c>
      <c r="L88" s="441" t="s">
        <v>548</v>
      </c>
      <c r="M88" s="441">
        <v>14</v>
      </c>
      <c r="N88" s="319" t="s">
        <v>549</v>
      </c>
      <c r="O88" s="153" t="str">
        <f>IF(L88&lt;&gt;"",IFERROR(VLOOKUP(B88&amp;L88,Pools!$A$2:$D$130,3,FALSE),""),"")</f>
        <v/>
      </c>
      <c r="P88" s="388">
        <v>4</v>
      </c>
      <c r="Q88" s="388">
        <v>1</v>
      </c>
      <c r="R88" s="306" t="str">
        <f t="shared" si="45"/>
        <v>4-1</v>
      </c>
      <c r="S88" s="153"/>
      <c r="T88" s="148" t="str">
        <f t="shared" si="46"/>
        <v>Completed</v>
      </c>
      <c r="U88" s="153"/>
      <c r="V88" s="153"/>
      <c r="W88" s="387">
        <f t="shared" si="47"/>
        <v>3</v>
      </c>
      <c r="X88" s="387">
        <f t="shared" si="48"/>
        <v>-3</v>
      </c>
      <c r="Y88" s="301">
        <f t="shared" si="49"/>
        <v>2</v>
      </c>
      <c r="Z88" s="301">
        <f t="shared" si="50"/>
        <v>0</v>
      </c>
      <c r="AA88" s="323" t="str">
        <f>CONCATENATE("                x[team1,team2,sport,'",IF(OR(I88="x",I88=""),VLOOKUP('Schedule from TM'!J88,Tables!$P$3:$Q$33,2,FALSE),'Schedule from TM'!I88),",",J88,"','",IF(OR(F88="x",F88=""),VLOOKUP('Schedule from TM'!G88,Tables!$U$3:$V$14,2,FALSE),'Schedule from TM'!F88),",",TEXT(G88,"mm/dd/yyyy"),"','",TEXT(H88,"h:mm:ss AM/PM"),"'].ub=0.0      #",B88)</f>
        <v xml:space="preserve">                x[team1,team2,sport,'32,Sinai - Soccer','11,11/24/2017','8:50:00 AM'].ub=0.0      #Ch A Coed Mini Soccer</v>
      </c>
      <c r="AB88" s="301" t="str">
        <f t="shared" si="51"/>
        <v>,,Ch A Coed Mini Soccer,,1,CHILD A - USA 1</v>
      </c>
      <c r="AC88" s="153" t="str">
        <f t="shared" si="52"/>
        <v>Ch A Coed Mini SoccerCHILD A - USA 1</v>
      </c>
      <c r="AD88" s="301" t="str">
        <f t="shared" si="53"/>
        <v>,,Ch A Coed Mini Soccer,,1,CHILD A - VEN 1</v>
      </c>
      <c r="AE88" s="153" t="str">
        <f t="shared" si="54"/>
        <v>Ch A Coed Mini SoccerCHILD A - VEN 1</v>
      </c>
      <c r="AF88" s="383">
        <f t="shared" si="55"/>
        <v>1</v>
      </c>
      <c r="AG88" s="383">
        <f t="shared" si="56"/>
        <v>0</v>
      </c>
      <c r="AH88" s="383">
        <f t="shared" si="57"/>
        <v>0</v>
      </c>
      <c r="AI88" s="383">
        <f t="shared" si="58"/>
        <v>0</v>
      </c>
      <c r="AJ88" s="383">
        <f t="shared" si="59"/>
        <v>1</v>
      </c>
      <c r="AK88" s="383">
        <f t="shared" si="60"/>
        <v>0</v>
      </c>
      <c r="AM88" s="148" t="str">
        <f t="shared" si="61"/>
        <v>Schedulled</v>
      </c>
      <c r="AN88" s="148" t="str">
        <f t="shared" si="62"/>
        <v/>
      </c>
      <c r="AO88" s="156">
        <f t="shared" si="63"/>
        <v>43063.368055555555</v>
      </c>
      <c r="AP88" s="148" t="str">
        <f t="shared" si="64"/>
        <v>11/24/2017 08:50-&gt;Sinai - Soccer</v>
      </c>
      <c r="AQ88" s="374">
        <f t="shared" si="65"/>
        <v>1</v>
      </c>
      <c r="AR88" s="148" t="str">
        <f t="shared" si="66"/>
        <v>USA1</v>
      </c>
      <c r="AS88" s="148" t="str">
        <f t="shared" si="67"/>
        <v>VEN1</v>
      </c>
      <c r="AT88" s="157" t="str">
        <f t="shared" si="68"/>
        <v>USA1-VEN1</v>
      </c>
      <c r="AU88" s="157" t="str">
        <f t="shared" si="69"/>
        <v xml:space="preserve">USA1-VEN1 </v>
      </c>
      <c r="AV88" s="157" t="str">
        <f t="shared" si="70"/>
        <v>CHILDREN A COED</v>
      </c>
      <c r="AW88" s="157" t="str">
        <f t="shared" si="71"/>
        <v>Soccer</v>
      </c>
      <c r="AX88" s="376">
        <f t="shared" si="72"/>
        <v>86</v>
      </c>
      <c r="AY88" s="148" t="str">
        <f t="shared" si="73"/>
        <v>CHILD A - USA 1-&gt;CHILD A - VEN 1</v>
      </c>
      <c r="AZ88" s="148" t="str">
        <f t="shared" si="74"/>
        <v>11/24/2017 08:50-&gt;CHILD A - USA 1</v>
      </c>
      <c r="BA88" s="148" t="str">
        <f t="shared" si="75"/>
        <v>11/24/2017 08:50-&gt;CHILD A - VEN 1</v>
      </c>
      <c r="BB88" s="374">
        <f t="shared" si="76"/>
        <v>1</v>
      </c>
      <c r="BC88" s="374">
        <f t="shared" si="77"/>
        <v>1</v>
      </c>
      <c r="BD88" s="148" t="str">
        <f t="shared" si="78"/>
        <v>no conflict</v>
      </c>
      <c r="BF88" s="148" t="str">
        <f t="shared" si="79"/>
        <v>11/24/2017 08:50-&gt;CHILD A - USA 1</v>
      </c>
      <c r="BG88" s="148" t="str">
        <f t="shared" si="80"/>
        <v>11/24/2017 08:50-&gt;CHILD A - VEN 1</v>
      </c>
      <c r="BH88" s="148" t="str">
        <f t="shared" si="81"/>
        <v>11/24/2017 08:50-&gt;Sinai - Soccer</v>
      </c>
      <c r="BI88" s="148" t="str">
        <f t="shared" si="82"/>
        <v>Soccer in Sinai - Soccer (USA1-VEN1)</v>
      </c>
      <c r="BJ88" s="148" t="str">
        <f t="shared" si="83"/>
        <v>Ch A Coed Mini Soccer-- CHILD A - USA 1 vs. CHILD A - VEN 1</v>
      </c>
      <c r="BK88" s="148" t="str">
        <f t="shared" si="84"/>
        <v>Soccer</v>
      </c>
      <c r="BL88" s="148" t="str">
        <f t="shared" si="85"/>
        <v>CHILD A - USA 1</v>
      </c>
      <c r="BM88" s="148" t="str">
        <f t="shared" si="86"/>
        <v>CHILD A - VEN 1</v>
      </c>
      <c r="BN88" s="148" t="str">
        <f t="shared" si="87"/>
        <v>Round - 1</v>
      </c>
      <c r="BP88" s="148" t="str">
        <f t="shared" si="88"/>
        <v>no t, f, or sf</v>
      </c>
      <c r="BQ88" s="148" t="str">
        <f t="shared" si="89"/>
        <v/>
      </c>
    </row>
    <row r="89" spans="1:69" ht="15" customHeight="1" x14ac:dyDescent="0.2">
      <c r="A89" s="376">
        <v>87</v>
      </c>
      <c r="B89" s="444" t="s">
        <v>30</v>
      </c>
      <c r="C89" s="444" t="s">
        <v>518</v>
      </c>
      <c r="D89" s="451">
        <v>1</v>
      </c>
      <c r="E89" s="451">
        <v>1</v>
      </c>
      <c r="F89" s="315">
        <v>11</v>
      </c>
      <c r="G89" s="445">
        <v>43063</v>
      </c>
      <c r="H89" s="454">
        <v>0.64583333333333337</v>
      </c>
      <c r="I89" s="325">
        <v>32</v>
      </c>
      <c r="J89" s="444" t="s">
        <v>683</v>
      </c>
      <c r="K89" s="444">
        <v>14</v>
      </c>
      <c r="L89" s="444" t="s">
        <v>545</v>
      </c>
      <c r="M89" s="444">
        <v>14</v>
      </c>
      <c r="N89" s="444" t="s">
        <v>548</v>
      </c>
      <c r="O89" s="153" t="str">
        <f>IF(L89&lt;&gt;"",IFERROR(VLOOKUP(B89&amp;L89,Pools!$A$2:$D$130,3,FALSE),""),"")</f>
        <v/>
      </c>
      <c r="P89" s="388">
        <v>0</v>
      </c>
      <c r="Q89" s="388">
        <v>3</v>
      </c>
      <c r="R89" s="306" t="str">
        <f t="shared" si="45"/>
        <v>0-3</v>
      </c>
      <c r="S89" s="153"/>
      <c r="T89" s="148" t="str">
        <f t="shared" si="46"/>
        <v>Completed</v>
      </c>
      <c r="U89" s="153"/>
      <c r="V89" s="153"/>
      <c r="W89" s="387">
        <f t="shared" si="47"/>
        <v>-3</v>
      </c>
      <c r="X89" s="387">
        <f t="shared" si="48"/>
        <v>3</v>
      </c>
      <c r="Y89" s="301">
        <f t="shared" si="49"/>
        <v>0</v>
      </c>
      <c r="Z89" s="301">
        <f t="shared" si="50"/>
        <v>2</v>
      </c>
      <c r="AA89" s="323" t="str">
        <f>CONCATENATE("                x[team1,team2,sport,'",IF(OR(I89="x",I89=""),VLOOKUP('Schedule from TM'!J89,Tables!$P$3:$Q$33,2,FALSE),'Schedule from TM'!I89),",",J89,"','",IF(OR(F89="x",F89=""),VLOOKUP('Schedule from TM'!G89,Tables!$U$3:$V$14,2,FALSE),'Schedule from TM'!F89),",",TEXT(G89,"mm/dd/yyyy"),"','",TEXT(H89,"h:mm:ss AM/PM"),"'].ub=0.0      #",B89)</f>
        <v xml:space="preserve">                x[team1,team2,sport,'32,Sinai - Soccer','11,11/24/2017','3:30:00 PM'].ub=0.0      #Ch A Coed Mini Soccer</v>
      </c>
      <c r="AB89" s="301" t="str">
        <f t="shared" si="51"/>
        <v>,,Ch A Coed Mini Soccer,,1,CHILD A - COL 1</v>
      </c>
      <c r="AC89" s="153" t="str">
        <f t="shared" si="52"/>
        <v>Ch A Coed Mini SoccerCHILD A - COL 1</v>
      </c>
      <c r="AD89" s="301" t="str">
        <f t="shared" si="53"/>
        <v>,,Ch A Coed Mini Soccer,,1,CHILD A - USA 1</v>
      </c>
      <c r="AE89" s="153" t="str">
        <f t="shared" si="54"/>
        <v>Ch A Coed Mini SoccerCHILD A - USA 1</v>
      </c>
      <c r="AF89" s="383">
        <f t="shared" si="55"/>
        <v>0</v>
      </c>
      <c r="AG89" s="383">
        <f t="shared" si="56"/>
        <v>1</v>
      </c>
      <c r="AH89" s="383">
        <f t="shared" si="57"/>
        <v>0</v>
      </c>
      <c r="AI89" s="383">
        <f t="shared" si="58"/>
        <v>1</v>
      </c>
      <c r="AJ89" s="383">
        <f t="shared" si="59"/>
        <v>0</v>
      </c>
      <c r="AK89" s="383">
        <f t="shared" si="60"/>
        <v>0</v>
      </c>
      <c r="AM89" s="148" t="str">
        <f t="shared" si="61"/>
        <v>Schedulled</v>
      </c>
      <c r="AN89" s="148" t="str">
        <f t="shared" si="62"/>
        <v/>
      </c>
      <c r="AO89" s="156">
        <f t="shared" si="63"/>
        <v>43063.645833333336</v>
      </c>
      <c r="AP89" s="148" t="str">
        <f t="shared" si="64"/>
        <v>11/24/2017 15:30-&gt;Sinai - Soccer</v>
      </c>
      <c r="AQ89" s="374">
        <f t="shared" si="65"/>
        <v>1</v>
      </c>
      <c r="AR89" s="148" t="str">
        <f t="shared" si="66"/>
        <v>COL1</v>
      </c>
      <c r="AS89" s="148" t="str">
        <f t="shared" si="67"/>
        <v>USA1</v>
      </c>
      <c r="AT89" s="157" t="str">
        <f t="shared" si="68"/>
        <v>COL1-USA1</v>
      </c>
      <c r="AU89" s="157" t="str">
        <f t="shared" si="69"/>
        <v xml:space="preserve">COL1-USA1 </v>
      </c>
      <c r="AV89" s="157" t="str">
        <f t="shared" si="70"/>
        <v>CHILDREN A COED</v>
      </c>
      <c r="AW89" s="157" t="str">
        <f t="shared" si="71"/>
        <v>Soccer</v>
      </c>
      <c r="AX89" s="376">
        <f t="shared" si="72"/>
        <v>87</v>
      </c>
      <c r="AY89" s="148" t="str">
        <f t="shared" si="73"/>
        <v>CHILD A - COL 1-&gt;CHILD A - USA 1</v>
      </c>
      <c r="AZ89" s="148" t="str">
        <f t="shared" si="74"/>
        <v>11/24/2017 15:30-&gt;CHILD A - COL 1</v>
      </c>
      <c r="BA89" s="148" t="str">
        <f t="shared" si="75"/>
        <v>11/24/2017 15:30-&gt;CHILD A - USA 1</v>
      </c>
      <c r="BB89" s="374">
        <f t="shared" si="76"/>
        <v>1</v>
      </c>
      <c r="BC89" s="374">
        <f t="shared" si="77"/>
        <v>1</v>
      </c>
      <c r="BD89" s="148" t="str">
        <f t="shared" si="78"/>
        <v>no conflict</v>
      </c>
      <c r="BF89" s="148" t="str">
        <f t="shared" si="79"/>
        <v>11/24/2017 15:30-&gt;CHILD A - COL 1</v>
      </c>
      <c r="BG89" s="148" t="str">
        <f t="shared" si="80"/>
        <v>11/24/2017 15:30-&gt;CHILD A - USA 1</v>
      </c>
      <c r="BH89" s="148" t="str">
        <f t="shared" si="81"/>
        <v>11/24/2017 15:30-&gt;Sinai - Soccer</v>
      </c>
      <c r="BI89" s="148" t="str">
        <f t="shared" si="82"/>
        <v>Soccer in Sinai - Soccer (COL1-USA1)</v>
      </c>
      <c r="BJ89" s="148" t="str">
        <f t="shared" si="83"/>
        <v>Ch A Coed Mini Soccer-- CHILD A - COL 1 vs. CHILD A - USA 1</v>
      </c>
      <c r="BK89" s="148" t="str">
        <f t="shared" si="84"/>
        <v>Soccer</v>
      </c>
      <c r="BL89" s="148" t="str">
        <f t="shared" si="85"/>
        <v>CHILD A - COL 1</v>
      </c>
      <c r="BM89" s="148" t="str">
        <f t="shared" si="86"/>
        <v>CHILD A - USA 1</v>
      </c>
      <c r="BN89" s="148" t="str">
        <f t="shared" si="87"/>
        <v>Round - 1</v>
      </c>
      <c r="BP89" s="148" t="str">
        <f t="shared" si="88"/>
        <v>no t, f, or sf</v>
      </c>
      <c r="BQ89" s="148" t="str">
        <f t="shared" si="89"/>
        <v/>
      </c>
    </row>
    <row r="90" spans="1:69" ht="15" customHeight="1" x14ac:dyDescent="0.2">
      <c r="A90" s="376">
        <v>88</v>
      </c>
      <c r="B90" t="s">
        <v>30</v>
      </c>
      <c r="C90" s="319" t="s">
        <v>518</v>
      </c>
      <c r="D90" s="376">
        <v>1</v>
      </c>
      <c r="E90" s="376">
        <v>1</v>
      </c>
      <c r="F90" s="315">
        <v>21</v>
      </c>
      <c r="G90" s="320">
        <v>43065</v>
      </c>
      <c r="H90" s="454">
        <v>0.40277777777777773</v>
      </c>
      <c r="I90" s="325">
        <v>32</v>
      </c>
      <c r="J90" s="319" t="s">
        <v>683</v>
      </c>
      <c r="K90" s="319">
        <v>14</v>
      </c>
      <c r="L90" s="319" t="s">
        <v>545</v>
      </c>
      <c r="M90" s="319">
        <v>14</v>
      </c>
      <c r="N90" s="319" t="s">
        <v>775</v>
      </c>
      <c r="O90" s="153" t="str">
        <f>IF(L90&lt;&gt;"",IFERROR(VLOOKUP(B90&amp;L90,Pools!$A$2:$D$130,3,FALSE),""),"")</f>
        <v/>
      </c>
      <c r="P90" s="388">
        <v>2</v>
      </c>
      <c r="Q90" s="388">
        <v>4</v>
      </c>
      <c r="R90" s="306" t="str">
        <f t="shared" si="45"/>
        <v>2-4</v>
      </c>
      <c r="S90" s="153"/>
      <c r="T90" s="148" t="str">
        <f t="shared" si="46"/>
        <v>Completed</v>
      </c>
      <c r="U90" s="153"/>
      <c r="V90" s="153"/>
      <c r="W90" s="387">
        <f t="shared" si="47"/>
        <v>-2</v>
      </c>
      <c r="X90" s="387">
        <f t="shared" si="48"/>
        <v>2</v>
      </c>
      <c r="Y90" s="301">
        <f t="shared" si="49"/>
        <v>0</v>
      </c>
      <c r="Z90" s="301">
        <f t="shared" si="50"/>
        <v>2</v>
      </c>
      <c r="AA90" s="323" t="str">
        <f>CONCATENATE("                x[team1,team2,sport,'",IF(OR(I90="x",I90=""),VLOOKUP('Schedule from TM'!J90,Tables!$P$3:$Q$33,2,FALSE),'Schedule from TM'!I90),",",J90,"','",IF(OR(F90="x",F90=""),VLOOKUP('Schedule from TM'!G90,Tables!$U$3:$V$14,2,FALSE),'Schedule from TM'!F90),",",TEXT(G90,"mm/dd/yyyy"),"','",TEXT(H90,"h:mm:ss AM/PM"),"'].ub=0.0      #",B90)</f>
        <v xml:space="preserve">                x[team1,team2,sport,'32,Sinai - Soccer','21,11/26/2017','9:40:00 AM'].ub=0.0      #Ch A Coed Mini Soccer</v>
      </c>
      <c r="AB90" s="301" t="str">
        <f t="shared" si="51"/>
        <v>,,Ch A Coed Mini Soccer,,1,CHILD A - COL 1</v>
      </c>
      <c r="AC90" s="153" t="str">
        <f t="shared" si="52"/>
        <v>Ch A Coed Mini SoccerCHILD A - COL 1</v>
      </c>
      <c r="AD90" s="301" t="str">
        <f t="shared" si="53"/>
        <v>,,Ch A Coed Mini Soccer,,1,CHILD A - USA 2</v>
      </c>
      <c r="AE90" s="153" t="str">
        <f t="shared" si="54"/>
        <v>Ch A Coed Mini SoccerCHILD A - USA 2</v>
      </c>
      <c r="AF90" s="383">
        <f t="shared" si="55"/>
        <v>0</v>
      </c>
      <c r="AG90" s="383">
        <f t="shared" si="56"/>
        <v>1</v>
      </c>
      <c r="AH90" s="383">
        <f t="shared" si="57"/>
        <v>0</v>
      </c>
      <c r="AI90" s="383">
        <f t="shared" si="58"/>
        <v>1</v>
      </c>
      <c r="AJ90" s="383">
        <f t="shared" si="59"/>
        <v>0</v>
      </c>
      <c r="AK90" s="383">
        <f t="shared" si="60"/>
        <v>0</v>
      </c>
      <c r="AM90" s="148" t="str">
        <f t="shared" si="61"/>
        <v>Schedulled</v>
      </c>
      <c r="AN90" s="148" t="str">
        <f t="shared" si="62"/>
        <v/>
      </c>
      <c r="AO90" s="156">
        <f t="shared" si="63"/>
        <v>43065.402777777781</v>
      </c>
      <c r="AP90" s="148" t="str">
        <f t="shared" si="64"/>
        <v>11/26/2017 09:40-&gt;Sinai - Soccer</v>
      </c>
      <c r="AQ90" s="374">
        <f t="shared" si="65"/>
        <v>1</v>
      </c>
      <c r="AR90" s="148" t="str">
        <f t="shared" si="66"/>
        <v>COL1</v>
      </c>
      <c r="AS90" s="148" t="str">
        <f t="shared" si="67"/>
        <v>USA2</v>
      </c>
      <c r="AT90" s="157" t="str">
        <f t="shared" si="68"/>
        <v>COL1-USA2</v>
      </c>
      <c r="AU90" s="157" t="str">
        <f t="shared" si="69"/>
        <v xml:space="preserve">COL1-USA2 </v>
      </c>
      <c r="AV90" s="157" t="str">
        <f t="shared" si="70"/>
        <v>CHILDREN A COED</v>
      </c>
      <c r="AW90" s="157" t="str">
        <f t="shared" si="71"/>
        <v>Soccer</v>
      </c>
      <c r="AX90" s="376">
        <f t="shared" si="72"/>
        <v>88</v>
      </c>
      <c r="AY90" s="148" t="str">
        <f t="shared" si="73"/>
        <v>CHILD A - COL 1-&gt;CHILD A - USA 2</v>
      </c>
      <c r="AZ90" s="148" t="str">
        <f t="shared" si="74"/>
        <v>11/26/2017 09:40-&gt;CHILD A - COL 1</v>
      </c>
      <c r="BA90" s="148" t="str">
        <f t="shared" si="75"/>
        <v>11/26/2017 09:40-&gt;CHILD A - USA 2</v>
      </c>
      <c r="BB90" s="374">
        <f t="shared" si="76"/>
        <v>1</v>
      </c>
      <c r="BC90" s="374">
        <f t="shared" si="77"/>
        <v>1</v>
      </c>
      <c r="BD90" s="148" t="str">
        <f t="shared" si="78"/>
        <v>no conflict</v>
      </c>
      <c r="BF90" s="148" t="str">
        <f t="shared" si="79"/>
        <v>11/26/2017 09:40-&gt;CHILD A - COL 1</v>
      </c>
      <c r="BG90" s="148" t="str">
        <f t="shared" si="80"/>
        <v>11/26/2017 09:40-&gt;CHILD A - USA 2</v>
      </c>
      <c r="BH90" s="148" t="str">
        <f t="shared" si="81"/>
        <v>11/26/2017 09:40-&gt;Sinai - Soccer</v>
      </c>
      <c r="BI90" s="148" t="str">
        <f t="shared" si="82"/>
        <v>Soccer in Sinai - Soccer (COL1-USA2)</v>
      </c>
      <c r="BJ90" s="148" t="str">
        <f t="shared" si="83"/>
        <v>Ch A Coed Mini Soccer-- CHILD A - COL 1 vs. CHILD A - USA 2</v>
      </c>
      <c r="BK90" s="148" t="str">
        <f t="shared" si="84"/>
        <v>Soccer</v>
      </c>
      <c r="BL90" s="148" t="str">
        <f t="shared" si="85"/>
        <v>CHILD A - COL 1</v>
      </c>
      <c r="BM90" s="148" t="str">
        <f t="shared" si="86"/>
        <v>CHILD A - USA 2</v>
      </c>
      <c r="BN90" s="148" t="str">
        <f t="shared" si="87"/>
        <v>Round - 1</v>
      </c>
      <c r="BP90" s="148" t="str">
        <f t="shared" si="88"/>
        <v>no t, f, or sf</v>
      </c>
      <c r="BQ90" s="148" t="str">
        <f t="shared" si="89"/>
        <v/>
      </c>
    </row>
    <row r="91" spans="1:69" ht="15" customHeight="1" x14ac:dyDescent="0.2">
      <c r="A91" s="376">
        <v>89</v>
      </c>
      <c r="B91" t="s">
        <v>32</v>
      </c>
      <c r="C91" s="319" t="s">
        <v>518</v>
      </c>
      <c r="D91" s="376">
        <v>1</v>
      </c>
      <c r="E91" s="376">
        <v>1</v>
      </c>
      <c r="F91" s="315">
        <v>11</v>
      </c>
      <c r="G91" s="320">
        <v>43058</v>
      </c>
      <c r="H91" s="318">
        <v>0.36805555555555558</v>
      </c>
      <c r="I91" s="325">
        <v>32</v>
      </c>
      <c r="J91" s="319" t="s">
        <v>686</v>
      </c>
      <c r="K91" s="319">
        <v>14</v>
      </c>
      <c r="L91" s="319" t="s">
        <v>545</v>
      </c>
      <c r="M91" s="319">
        <v>14</v>
      </c>
      <c r="N91" s="319" t="s">
        <v>549</v>
      </c>
      <c r="O91" s="153" t="str">
        <f>IF(L91&lt;&gt;"",IFERROR(VLOOKUP(B91&amp;L91,Pools!$A$2:$D$130,3,FALSE),""),"")</f>
        <v/>
      </c>
      <c r="P91" s="388">
        <v>0</v>
      </c>
      <c r="Q91" s="388">
        <v>2</v>
      </c>
      <c r="R91" s="306" t="str">
        <f t="shared" si="45"/>
        <v>0-2</v>
      </c>
      <c r="S91" s="153"/>
      <c r="T91" s="148" t="str">
        <f t="shared" si="46"/>
        <v>Completed</v>
      </c>
      <c r="U91" s="153"/>
      <c r="V91" s="153"/>
      <c r="W91" s="387">
        <f t="shared" si="47"/>
        <v>-2</v>
      </c>
      <c r="X91" s="387">
        <f t="shared" si="48"/>
        <v>2</v>
      </c>
      <c r="Y91" s="301">
        <f t="shared" si="49"/>
        <v>0</v>
      </c>
      <c r="Z91" s="301">
        <f t="shared" si="50"/>
        <v>2</v>
      </c>
      <c r="AA91" s="323" t="str">
        <f>CONCATENATE("                x[team1,team2,sport,'",IF(OR(I91="x",I91=""),VLOOKUP('Schedule from TM'!J91,Tables!$P$3:$Q$33,2,FALSE),'Schedule from TM'!I91),",",J91,"','",IF(OR(F91="x",F91=""),VLOOKUP('Schedule from TM'!G91,Tables!$U$3:$V$14,2,FALSE),'Schedule from TM'!F91),",",TEXT(G91,"mm/dd/yyyy"),"','",TEXT(H91,"h:mm:ss AM/PM"),"'].ub=0.0      #",B91)</f>
        <v xml:space="preserve">                x[team1,team2,sport,'32,Sinai - Newcomb','11,11/19/2017','8:50:00 AM'].ub=0.0      #Ch A Coed Newcomb</v>
      </c>
      <c r="AB91" s="301" t="str">
        <f t="shared" si="51"/>
        <v>,,Ch A Coed Newcomb,,1,CHILD A - COL 1</v>
      </c>
      <c r="AC91" s="153" t="str">
        <f t="shared" si="52"/>
        <v>Ch A Coed NewcombCHILD A - COL 1</v>
      </c>
      <c r="AD91" s="301" t="str">
        <f t="shared" si="53"/>
        <v>,,Ch A Coed Newcomb,,1,CHILD A - VEN 1</v>
      </c>
      <c r="AE91" s="153" t="str">
        <f t="shared" si="54"/>
        <v>Ch A Coed NewcombCHILD A - VEN 1</v>
      </c>
      <c r="AF91" s="383">
        <f t="shared" si="55"/>
        <v>0</v>
      </c>
      <c r="AG91" s="383">
        <f t="shared" si="56"/>
        <v>1</v>
      </c>
      <c r="AH91" s="383">
        <f t="shared" si="57"/>
        <v>0</v>
      </c>
      <c r="AI91" s="383">
        <f t="shared" si="58"/>
        <v>1</v>
      </c>
      <c r="AJ91" s="383">
        <f t="shared" si="59"/>
        <v>0</v>
      </c>
      <c r="AK91" s="383">
        <f t="shared" si="60"/>
        <v>0</v>
      </c>
      <c r="AM91" s="148" t="str">
        <f t="shared" si="61"/>
        <v>Schedulled</v>
      </c>
      <c r="AN91" s="148" t="str">
        <f t="shared" si="62"/>
        <v/>
      </c>
      <c r="AO91" s="156">
        <f t="shared" si="63"/>
        <v>43058.368055555555</v>
      </c>
      <c r="AP91" s="148" t="str">
        <f t="shared" si="64"/>
        <v>11/19/2017 08:50-&gt;Sinai - Newcomb</v>
      </c>
      <c r="AQ91" s="374">
        <f t="shared" si="65"/>
        <v>1</v>
      </c>
      <c r="AR91" s="148" t="str">
        <f t="shared" si="66"/>
        <v>COL1</v>
      </c>
      <c r="AS91" s="148" t="str">
        <f t="shared" si="67"/>
        <v>VEN1</v>
      </c>
      <c r="AT91" s="157" t="str">
        <f t="shared" si="68"/>
        <v>COL1-VEN1</v>
      </c>
      <c r="AU91" s="157" t="str">
        <f t="shared" si="69"/>
        <v xml:space="preserve">COL1-VEN1 </v>
      </c>
      <c r="AV91" s="157" t="str">
        <f t="shared" si="70"/>
        <v>CHILDREN A COED</v>
      </c>
      <c r="AW91" s="157" t="str">
        <f t="shared" si="71"/>
        <v>Newcomb</v>
      </c>
      <c r="AX91" s="376">
        <f t="shared" si="72"/>
        <v>89</v>
      </c>
      <c r="AY91" s="148" t="str">
        <f t="shared" si="73"/>
        <v>CHILD A - COL 1-&gt;CHILD A - VEN 1</v>
      </c>
      <c r="AZ91" s="148" t="str">
        <f t="shared" si="74"/>
        <v>11/19/2017 08:50-&gt;CHILD A - COL 1</v>
      </c>
      <c r="BA91" s="148" t="str">
        <f t="shared" si="75"/>
        <v>11/19/2017 08:50-&gt;CHILD A - VEN 1</v>
      </c>
      <c r="BB91" s="374">
        <f t="shared" si="76"/>
        <v>1</v>
      </c>
      <c r="BC91" s="374">
        <f t="shared" si="77"/>
        <v>1</v>
      </c>
      <c r="BD91" s="148" t="str">
        <f t="shared" si="78"/>
        <v>no conflict</v>
      </c>
      <c r="BF91" s="148" t="str">
        <f t="shared" si="79"/>
        <v>11/19/2017 08:50-&gt;CHILD A - COL 1</v>
      </c>
      <c r="BG91" s="148" t="str">
        <f t="shared" si="80"/>
        <v>11/19/2017 08:50-&gt;CHILD A - VEN 1</v>
      </c>
      <c r="BH91" s="148" t="str">
        <f t="shared" si="81"/>
        <v>11/19/2017 08:50-&gt;Sinai - Newcomb</v>
      </c>
      <c r="BI91" s="148" t="str">
        <f t="shared" si="82"/>
        <v>Newcomb in Sinai - Newcomb (COL1-VEN1)</v>
      </c>
      <c r="BJ91" s="148" t="str">
        <f t="shared" si="83"/>
        <v>Ch A Coed Newcomb-- CHILD A - COL 1 vs. CHILD A - VEN 1</v>
      </c>
      <c r="BK91" s="148" t="str">
        <f t="shared" si="84"/>
        <v>Newcomb</v>
      </c>
      <c r="BL91" s="148" t="str">
        <f t="shared" si="85"/>
        <v>CHILD A - COL 1</v>
      </c>
      <c r="BM91" s="148" t="str">
        <f t="shared" si="86"/>
        <v>CHILD A - VEN 1</v>
      </c>
      <c r="BN91" s="148" t="str">
        <f t="shared" si="87"/>
        <v>Round - 1</v>
      </c>
      <c r="BP91" s="148" t="str">
        <f t="shared" si="88"/>
        <v>no t, f, or sf</v>
      </c>
      <c r="BQ91" s="148" t="str">
        <f t="shared" si="89"/>
        <v/>
      </c>
    </row>
    <row r="92" spans="1:69" ht="15" customHeight="1" x14ac:dyDescent="0.2">
      <c r="A92" s="376">
        <v>90</v>
      </c>
      <c r="B92" t="s">
        <v>32</v>
      </c>
      <c r="C92" s="319" t="s">
        <v>518</v>
      </c>
      <c r="D92" s="376">
        <v>1</v>
      </c>
      <c r="E92" s="376">
        <v>1</v>
      </c>
      <c r="F92" s="315">
        <v>11</v>
      </c>
      <c r="G92" s="320">
        <v>43058</v>
      </c>
      <c r="H92" s="317">
        <v>0.47222222222222227</v>
      </c>
      <c r="I92" s="325">
        <v>32</v>
      </c>
      <c r="J92" s="319" t="s">
        <v>686</v>
      </c>
      <c r="K92" s="319">
        <v>14</v>
      </c>
      <c r="L92" s="319" t="s">
        <v>775</v>
      </c>
      <c r="M92" s="319">
        <v>14</v>
      </c>
      <c r="N92" s="319" t="s">
        <v>549</v>
      </c>
      <c r="O92" s="153" t="str">
        <f>IF(L92&lt;&gt;"",IFERROR(VLOOKUP(B92&amp;L92,Pools!$A$2:$D$130,3,FALSE),""),"")</f>
        <v/>
      </c>
      <c r="P92" s="388">
        <v>2</v>
      </c>
      <c r="Q92" s="388">
        <v>0</v>
      </c>
      <c r="R92" s="306" t="str">
        <f t="shared" si="45"/>
        <v>2-0</v>
      </c>
      <c r="S92" s="153"/>
      <c r="T92" s="148" t="str">
        <f t="shared" si="46"/>
        <v>Completed</v>
      </c>
      <c r="U92" s="153"/>
      <c r="V92" s="153"/>
      <c r="W92" s="387">
        <f t="shared" si="47"/>
        <v>2</v>
      </c>
      <c r="X92" s="387">
        <f t="shared" si="48"/>
        <v>-2</v>
      </c>
      <c r="Y92" s="301">
        <f t="shared" si="49"/>
        <v>2</v>
      </c>
      <c r="Z92" s="301">
        <f t="shared" si="50"/>
        <v>0</v>
      </c>
      <c r="AA92" s="323" t="str">
        <f>CONCATENATE("                x[team1,team2,sport,'",IF(OR(I92="x",I92=""),VLOOKUP('Schedule from TM'!J92,Tables!$P$3:$Q$33,2,FALSE),'Schedule from TM'!I92),",",J92,"','",IF(OR(F92="x",F92=""),VLOOKUP('Schedule from TM'!G92,Tables!$U$3:$V$14,2,FALSE),'Schedule from TM'!F92),",",TEXT(G92,"mm/dd/yyyy"),"','",TEXT(H92,"h:mm:ss AM/PM"),"'].ub=0.0      #",B92)</f>
        <v xml:space="preserve">                x[team1,team2,sport,'32,Sinai - Newcomb','11,11/19/2017','11:20:00 AM'].ub=0.0      #Ch A Coed Newcomb</v>
      </c>
      <c r="AB92" s="301" t="str">
        <f t="shared" si="51"/>
        <v>,,Ch A Coed Newcomb,,1,CHILD A - USA 2</v>
      </c>
      <c r="AC92" s="153" t="str">
        <f t="shared" si="52"/>
        <v>Ch A Coed NewcombCHILD A - USA 2</v>
      </c>
      <c r="AD92" s="301" t="str">
        <f t="shared" si="53"/>
        <v>,,Ch A Coed Newcomb,,1,CHILD A - VEN 1</v>
      </c>
      <c r="AE92" s="153" t="str">
        <f t="shared" si="54"/>
        <v>Ch A Coed NewcombCHILD A - VEN 1</v>
      </c>
      <c r="AF92" s="383">
        <f t="shared" si="55"/>
        <v>1</v>
      </c>
      <c r="AG92" s="383">
        <f t="shared" si="56"/>
        <v>0</v>
      </c>
      <c r="AH92" s="383">
        <f t="shared" si="57"/>
        <v>0</v>
      </c>
      <c r="AI92" s="383">
        <f t="shared" si="58"/>
        <v>0</v>
      </c>
      <c r="AJ92" s="383">
        <f t="shared" si="59"/>
        <v>1</v>
      </c>
      <c r="AK92" s="383">
        <f t="shared" si="60"/>
        <v>0</v>
      </c>
      <c r="AM92" s="148" t="str">
        <f t="shared" si="61"/>
        <v>Schedulled</v>
      </c>
      <c r="AN92" s="148" t="str">
        <f t="shared" si="62"/>
        <v/>
      </c>
      <c r="AO92" s="156">
        <f t="shared" si="63"/>
        <v>43058.472222222219</v>
      </c>
      <c r="AP92" s="148" t="str">
        <f t="shared" si="64"/>
        <v>11/19/2017 11:20-&gt;Sinai - Newcomb</v>
      </c>
      <c r="AQ92" s="374">
        <f t="shared" si="65"/>
        <v>1</v>
      </c>
      <c r="AR92" s="148" t="str">
        <f t="shared" si="66"/>
        <v>USA2</v>
      </c>
      <c r="AS92" s="148" t="str">
        <f t="shared" si="67"/>
        <v>VEN1</v>
      </c>
      <c r="AT92" s="157" t="str">
        <f t="shared" si="68"/>
        <v>USA2-VEN1</v>
      </c>
      <c r="AU92" s="157" t="str">
        <f t="shared" si="69"/>
        <v xml:space="preserve">USA2-VEN1 </v>
      </c>
      <c r="AV92" s="157" t="str">
        <f t="shared" si="70"/>
        <v>CHILDREN A COED</v>
      </c>
      <c r="AW92" s="157" t="str">
        <f t="shared" si="71"/>
        <v>Newcomb</v>
      </c>
      <c r="AX92" s="376">
        <f t="shared" si="72"/>
        <v>90</v>
      </c>
      <c r="AY92" s="148" t="str">
        <f t="shared" si="73"/>
        <v>CHILD A - USA 2-&gt;CHILD A - VEN 1</v>
      </c>
      <c r="AZ92" s="148" t="str">
        <f t="shared" si="74"/>
        <v>11/19/2017 11:20-&gt;CHILD A - USA 2</v>
      </c>
      <c r="BA92" s="148" t="str">
        <f t="shared" si="75"/>
        <v>11/19/2017 11:20-&gt;CHILD A - VEN 1</v>
      </c>
      <c r="BB92" s="374">
        <f t="shared" si="76"/>
        <v>1</v>
      </c>
      <c r="BC92" s="374">
        <f t="shared" si="77"/>
        <v>1</v>
      </c>
      <c r="BD92" s="148" t="str">
        <f t="shared" si="78"/>
        <v>no conflict</v>
      </c>
      <c r="BF92" s="148" t="str">
        <f t="shared" si="79"/>
        <v>11/19/2017 11:20-&gt;CHILD A - USA 2</v>
      </c>
      <c r="BG92" s="148" t="str">
        <f t="shared" si="80"/>
        <v>11/19/2017 11:20-&gt;CHILD A - VEN 1</v>
      </c>
      <c r="BH92" s="148" t="str">
        <f t="shared" si="81"/>
        <v>11/19/2017 11:20-&gt;Sinai - Newcomb</v>
      </c>
      <c r="BI92" s="148" t="str">
        <f t="shared" si="82"/>
        <v>Newcomb in Sinai - Newcomb (USA2-VEN1)</v>
      </c>
      <c r="BJ92" s="148" t="str">
        <f t="shared" si="83"/>
        <v>Ch A Coed Newcomb-- CHILD A - USA 2 vs. CHILD A - VEN 1</v>
      </c>
      <c r="BK92" s="148" t="str">
        <f t="shared" si="84"/>
        <v>Newcomb</v>
      </c>
      <c r="BL92" s="148" t="str">
        <f t="shared" si="85"/>
        <v>CHILD A - USA 2</v>
      </c>
      <c r="BM92" s="148" t="str">
        <f t="shared" si="86"/>
        <v>CHILD A - VEN 1</v>
      </c>
      <c r="BN92" s="148" t="str">
        <f t="shared" si="87"/>
        <v>Round - 1</v>
      </c>
      <c r="BP92" s="148" t="str">
        <f t="shared" si="88"/>
        <v>no t, f, or sf</v>
      </c>
      <c r="BQ92" s="148" t="str">
        <f t="shared" si="89"/>
        <v/>
      </c>
    </row>
    <row r="93" spans="1:69" ht="15" customHeight="1" x14ac:dyDescent="0.2">
      <c r="A93" s="376">
        <v>91</v>
      </c>
      <c r="B93" s="433" t="s">
        <v>32</v>
      </c>
      <c r="C93" s="441" t="s">
        <v>518</v>
      </c>
      <c r="D93" s="450">
        <v>1</v>
      </c>
      <c r="E93" s="450">
        <v>1</v>
      </c>
      <c r="F93" s="315">
        <v>11</v>
      </c>
      <c r="G93" s="320">
        <v>43058</v>
      </c>
      <c r="H93" s="318">
        <v>0.61111111111111105</v>
      </c>
      <c r="I93" s="325">
        <v>32</v>
      </c>
      <c r="J93" s="441" t="s">
        <v>686</v>
      </c>
      <c r="K93" s="441">
        <v>14</v>
      </c>
      <c r="L93" s="441" t="s">
        <v>545</v>
      </c>
      <c r="M93" s="441">
        <v>14</v>
      </c>
      <c r="N93" s="441" t="s">
        <v>548</v>
      </c>
      <c r="O93" s="153" t="str">
        <f>IF(L93&lt;&gt;"",IFERROR(VLOOKUP(B93&amp;L93,Pools!$A$2:$D$130,3,FALSE),""),"")</f>
        <v/>
      </c>
      <c r="P93" s="388">
        <v>0</v>
      </c>
      <c r="Q93" s="388">
        <v>2</v>
      </c>
      <c r="R93" s="306" t="str">
        <f t="shared" si="45"/>
        <v>0-2</v>
      </c>
      <c r="S93" s="153"/>
      <c r="T93" s="148" t="str">
        <f t="shared" si="46"/>
        <v>Completed</v>
      </c>
      <c r="U93" s="153"/>
      <c r="V93" s="153"/>
      <c r="W93" s="387">
        <f t="shared" si="47"/>
        <v>-2</v>
      </c>
      <c r="X93" s="387">
        <f t="shared" si="48"/>
        <v>2</v>
      </c>
      <c r="Y93" s="301">
        <f t="shared" si="49"/>
        <v>0</v>
      </c>
      <c r="Z93" s="301">
        <f t="shared" si="50"/>
        <v>2</v>
      </c>
      <c r="AA93" s="323" t="str">
        <f>CONCATENATE("                x[team1,team2,sport,'",IF(OR(I93="x",I93=""),VLOOKUP('Schedule from TM'!J93,Tables!$P$3:$Q$33,2,FALSE),'Schedule from TM'!I93),",",J93,"','",IF(OR(F93="x",F93=""),VLOOKUP('Schedule from TM'!G93,Tables!$U$3:$V$14,2,FALSE),'Schedule from TM'!F93),",",TEXT(G93,"mm/dd/yyyy"),"','",TEXT(H93,"h:mm:ss AM/PM"),"'].ub=0.0      #",B93)</f>
        <v xml:space="preserve">                x[team1,team2,sport,'32,Sinai - Newcomb','11,11/19/2017','2:40:00 PM'].ub=0.0      #Ch A Coed Newcomb</v>
      </c>
      <c r="AB93" s="301" t="str">
        <f t="shared" si="51"/>
        <v>,,Ch A Coed Newcomb,,1,CHILD A - COL 1</v>
      </c>
      <c r="AC93" s="153" t="str">
        <f t="shared" si="52"/>
        <v>Ch A Coed NewcombCHILD A - COL 1</v>
      </c>
      <c r="AD93" s="301" t="str">
        <f t="shared" si="53"/>
        <v>,,Ch A Coed Newcomb,,1,CHILD A - USA 1</v>
      </c>
      <c r="AE93" s="153" t="str">
        <f t="shared" si="54"/>
        <v>Ch A Coed NewcombCHILD A - USA 1</v>
      </c>
      <c r="AF93" s="383">
        <f t="shared" si="55"/>
        <v>0</v>
      </c>
      <c r="AG93" s="383">
        <f t="shared" si="56"/>
        <v>1</v>
      </c>
      <c r="AH93" s="383">
        <f t="shared" si="57"/>
        <v>0</v>
      </c>
      <c r="AI93" s="383">
        <f t="shared" si="58"/>
        <v>1</v>
      </c>
      <c r="AJ93" s="383">
        <f t="shared" si="59"/>
        <v>0</v>
      </c>
      <c r="AK93" s="383">
        <f t="shared" si="60"/>
        <v>0</v>
      </c>
      <c r="AM93" s="148" t="str">
        <f t="shared" si="61"/>
        <v>Schedulled</v>
      </c>
      <c r="AN93" s="148" t="str">
        <f t="shared" si="62"/>
        <v/>
      </c>
      <c r="AO93" s="156">
        <f t="shared" si="63"/>
        <v>43058.611111111109</v>
      </c>
      <c r="AP93" s="148" t="str">
        <f t="shared" si="64"/>
        <v>11/19/2017 14:40-&gt;Sinai - Newcomb</v>
      </c>
      <c r="AQ93" s="374">
        <f t="shared" si="65"/>
        <v>1</v>
      </c>
      <c r="AR93" s="148" t="str">
        <f t="shared" si="66"/>
        <v>COL1</v>
      </c>
      <c r="AS93" s="148" t="str">
        <f t="shared" si="67"/>
        <v>USA1</v>
      </c>
      <c r="AT93" s="157" t="str">
        <f t="shared" si="68"/>
        <v>COL1-USA1</v>
      </c>
      <c r="AU93" s="157" t="str">
        <f t="shared" si="69"/>
        <v xml:space="preserve">COL1-USA1 </v>
      </c>
      <c r="AV93" s="157" t="str">
        <f t="shared" si="70"/>
        <v>CHILDREN A COED</v>
      </c>
      <c r="AW93" s="157" t="str">
        <f t="shared" si="71"/>
        <v>Newcomb</v>
      </c>
      <c r="AX93" s="376">
        <f t="shared" si="72"/>
        <v>91</v>
      </c>
      <c r="AY93" s="148" t="str">
        <f t="shared" si="73"/>
        <v>CHILD A - COL 1-&gt;CHILD A - USA 1</v>
      </c>
      <c r="AZ93" s="148" t="str">
        <f t="shared" si="74"/>
        <v>11/19/2017 14:40-&gt;CHILD A - COL 1</v>
      </c>
      <c r="BA93" s="148" t="str">
        <f t="shared" si="75"/>
        <v>11/19/2017 14:40-&gt;CHILD A - USA 1</v>
      </c>
      <c r="BB93" s="374">
        <f t="shared" si="76"/>
        <v>1</v>
      </c>
      <c r="BC93" s="374">
        <f t="shared" si="77"/>
        <v>1</v>
      </c>
      <c r="BD93" s="148" t="str">
        <f t="shared" si="78"/>
        <v>no conflict</v>
      </c>
      <c r="BF93" s="148" t="str">
        <f t="shared" si="79"/>
        <v>11/19/2017 14:40-&gt;CHILD A - COL 1</v>
      </c>
      <c r="BG93" s="148" t="str">
        <f t="shared" si="80"/>
        <v>11/19/2017 14:40-&gt;CHILD A - USA 1</v>
      </c>
      <c r="BH93" s="148" t="str">
        <f t="shared" si="81"/>
        <v>11/19/2017 14:40-&gt;Sinai - Newcomb</v>
      </c>
      <c r="BI93" s="148" t="str">
        <f t="shared" si="82"/>
        <v>Newcomb in Sinai - Newcomb (COL1-USA1)</v>
      </c>
      <c r="BJ93" s="148" t="str">
        <f t="shared" si="83"/>
        <v>Ch A Coed Newcomb-- CHILD A - COL 1 vs. CHILD A - USA 1</v>
      </c>
      <c r="BK93" s="148" t="str">
        <f t="shared" si="84"/>
        <v>Newcomb</v>
      </c>
      <c r="BL93" s="148" t="str">
        <f t="shared" si="85"/>
        <v>CHILD A - COL 1</v>
      </c>
      <c r="BM93" s="148" t="str">
        <f t="shared" si="86"/>
        <v>CHILD A - USA 1</v>
      </c>
      <c r="BN93" s="148" t="str">
        <f t="shared" si="87"/>
        <v>Round - 1</v>
      </c>
      <c r="BP93" s="148" t="str">
        <f t="shared" si="88"/>
        <v>no t, f, or sf</v>
      </c>
      <c r="BQ93" s="148" t="str">
        <f t="shared" si="89"/>
        <v/>
      </c>
    </row>
    <row r="94" spans="1:69" ht="15" customHeight="1" x14ac:dyDescent="0.2">
      <c r="A94" s="376">
        <v>92</v>
      </c>
      <c r="B94" s="444" t="s">
        <v>32</v>
      </c>
      <c r="C94" s="444" t="s">
        <v>518</v>
      </c>
      <c r="D94" s="451">
        <v>1</v>
      </c>
      <c r="E94" s="451">
        <v>1</v>
      </c>
      <c r="F94" s="315">
        <v>11</v>
      </c>
      <c r="G94" s="445">
        <v>43062</v>
      </c>
      <c r="H94" s="317">
        <v>0.61111111111111105</v>
      </c>
      <c r="I94" s="325">
        <v>32</v>
      </c>
      <c r="J94" s="443" t="s">
        <v>686</v>
      </c>
      <c r="K94" s="444">
        <v>14</v>
      </c>
      <c r="L94" s="444" t="s">
        <v>548</v>
      </c>
      <c r="M94" s="444">
        <v>14</v>
      </c>
      <c r="N94" s="444" t="s">
        <v>775</v>
      </c>
      <c r="O94" s="153" t="str">
        <f>IF(L94&lt;&gt;"",IFERROR(VLOOKUP(B94&amp;L94,Pools!$A$2:$D$130,3,FALSE),""),"")</f>
        <v/>
      </c>
      <c r="P94" s="388">
        <v>2</v>
      </c>
      <c r="Q94" s="388">
        <v>0</v>
      </c>
      <c r="R94" s="306" t="str">
        <f t="shared" si="45"/>
        <v>2-0</v>
      </c>
      <c r="S94" s="153"/>
      <c r="T94" s="148" t="str">
        <f t="shared" si="46"/>
        <v>Completed</v>
      </c>
      <c r="U94" s="153"/>
      <c r="V94" s="153"/>
      <c r="W94" s="387">
        <f t="shared" si="47"/>
        <v>2</v>
      </c>
      <c r="X94" s="387">
        <f t="shared" si="48"/>
        <v>-2</v>
      </c>
      <c r="Y94" s="301">
        <f t="shared" si="49"/>
        <v>2</v>
      </c>
      <c r="Z94" s="301">
        <f t="shared" si="50"/>
        <v>0</v>
      </c>
      <c r="AA94" s="323" t="str">
        <f>CONCATENATE("                x[team1,team2,sport,'",IF(OR(I94="x",I94=""),VLOOKUP('Schedule from TM'!J94,Tables!$P$3:$Q$33,2,FALSE),'Schedule from TM'!I94),",",J94,"','",IF(OR(F94="x",F94=""),VLOOKUP('Schedule from TM'!G94,Tables!$U$3:$V$14,2,FALSE),'Schedule from TM'!F94),",",TEXT(G94,"mm/dd/yyyy"),"','",TEXT(H94,"h:mm:ss AM/PM"),"'].ub=0.0      #",B94)</f>
        <v xml:space="preserve">                x[team1,team2,sport,'32,Sinai - Newcomb','11,11/23/2017','2:40:00 PM'].ub=0.0      #Ch A Coed Newcomb</v>
      </c>
      <c r="AB94" s="301" t="str">
        <f t="shared" si="51"/>
        <v>,,Ch A Coed Newcomb,,1,CHILD A - USA 1</v>
      </c>
      <c r="AC94" s="153" t="str">
        <f t="shared" si="52"/>
        <v>Ch A Coed NewcombCHILD A - USA 1</v>
      </c>
      <c r="AD94" s="301" t="str">
        <f t="shared" si="53"/>
        <v>,,Ch A Coed Newcomb,,1,CHILD A - USA 2</v>
      </c>
      <c r="AE94" s="153" t="str">
        <f t="shared" si="54"/>
        <v>Ch A Coed NewcombCHILD A - USA 2</v>
      </c>
      <c r="AF94" s="383">
        <f t="shared" si="55"/>
        <v>1</v>
      </c>
      <c r="AG94" s="383">
        <f t="shared" si="56"/>
        <v>0</v>
      </c>
      <c r="AH94" s="383">
        <f t="shared" si="57"/>
        <v>0</v>
      </c>
      <c r="AI94" s="383">
        <f t="shared" si="58"/>
        <v>0</v>
      </c>
      <c r="AJ94" s="383">
        <f t="shared" si="59"/>
        <v>1</v>
      </c>
      <c r="AK94" s="383">
        <f t="shared" si="60"/>
        <v>0</v>
      </c>
      <c r="AM94" s="148" t="str">
        <f t="shared" si="61"/>
        <v>Schedulled</v>
      </c>
      <c r="AN94" s="148" t="str">
        <f t="shared" si="62"/>
        <v/>
      </c>
      <c r="AO94" s="156">
        <f t="shared" si="63"/>
        <v>43062.611111111109</v>
      </c>
      <c r="AP94" s="148" t="str">
        <f t="shared" si="64"/>
        <v>11/23/2017 14:40-&gt;Sinai - Newcomb</v>
      </c>
      <c r="AQ94" s="374">
        <f t="shared" si="65"/>
        <v>1</v>
      </c>
      <c r="AR94" s="148" t="str">
        <f t="shared" si="66"/>
        <v>USA1</v>
      </c>
      <c r="AS94" s="148" t="str">
        <f t="shared" si="67"/>
        <v>USA2</v>
      </c>
      <c r="AT94" s="157" t="str">
        <f t="shared" si="68"/>
        <v>USA1-USA2</v>
      </c>
      <c r="AU94" s="157" t="str">
        <f t="shared" si="69"/>
        <v xml:space="preserve">USA1-USA2 </v>
      </c>
      <c r="AV94" s="157" t="str">
        <f t="shared" si="70"/>
        <v>CHILDREN A COED</v>
      </c>
      <c r="AW94" s="157" t="str">
        <f t="shared" si="71"/>
        <v>Newcomb</v>
      </c>
      <c r="AX94" s="376">
        <f t="shared" si="72"/>
        <v>92</v>
      </c>
      <c r="AY94" s="148" t="str">
        <f t="shared" si="73"/>
        <v>CHILD A - USA 1-&gt;CHILD A - USA 2</v>
      </c>
      <c r="AZ94" s="148" t="str">
        <f t="shared" si="74"/>
        <v>11/23/2017 14:40-&gt;CHILD A - USA 1</v>
      </c>
      <c r="BA94" s="148" t="str">
        <f t="shared" si="75"/>
        <v>11/23/2017 14:40-&gt;CHILD A - USA 2</v>
      </c>
      <c r="BB94" s="374">
        <f t="shared" si="76"/>
        <v>1</v>
      </c>
      <c r="BC94" s="374">
        <f t="shared" si="77"/>
        <v>1</v>
      </c>
      <c r="BD94" s="148" t="str">
        <f t="shared" si="78"/>
        <v>no conflict</v>
      </c>
      <c r="BF94" s="148" t="str">
        <f t="shared" si="79"/>
        <v>11/23/2017 14:40-&gt;CHILD A - USA 1</v>
      </c>
      <c r="BG94" s="148" t="str">
        <f t="shared" si="80"/>
        <v>11/23/2017 14:40-&gt;CHILD A - USA 2</v>
      </c>
      <c r="BH94" s="148" t="str">
        <f t="shared" si="81"/>
        <v>11/23/2017 14:40-&gt;Sinai - Newcomb</v>
      </c>
      <c r="BI94" s="148" t="str">
        <f t="shared" si="82"/>
        <v>Newcomb in Sinai - Newcomb (USA1-USA2)</v>
      </c>
      <c r="BJ94" s="148" t="str">
        <f t="shared" si="83"/>
        <v>Ch A Coed Newcomb-- CHILD A - USA 1 vs. CHILD A - USA 2</v>
      </c>
      <c r="BK94" s="148" t="str">
        <f t="shared" si="84"/>
        <v>Newcomb</v>
      </c>
      <c r="BL94" s="148" t="str">
        <f t="shared" si="85"/>
        <v>CHILD A - USA 1</v>
      </c>
      <c r="BM94" s="148" t="str">
        <f t="shared" si="86"/>
        <v>CHILD A - USA 2</v>
      </c>
      <c r="BN94" s="148" t="str">
        <f t="shared" si="87"/>
        <v>Round - 1</v>
      </c>
      <c r="BP94" s="148" t="str">
        <f t="shared" si="88"/>
        <v>no t, f, or sf</v>
      </c>
      <c r="BQ94" s="148" t="str">
        <f t="shared" si="89"/>
        <v/>
      </c>
    </row>
    <row r="95" spans="1:69" ht="15" customHeight="1" x14ac:dyDescent="0.2">
      <c r="A95" s="376">
        <v>93</v>
      </c>
      <c r="B95" s="433" t="s">
        <v>32</v>
      </c>
      <c r="C95" s="441" t="s">
        <v>518</v>
      </c>
      <c r="D95" s="450">
        <v>1</v>
      </c>
      <c r="E95" s="450">
        <v>1</v>
      </c>
      <c r="F95" s="315">
        <v>11</v>
      </c>
      <c r="G95" s="320">
        <v>43063</v>
      </c>
      <c r="H95" s="454">
        <v>0.50694444444444442</v>
      </c>
      <c r="I95" s="325">
        <v>32</v>
      </c>
      <c r="J95" s="441" t="s">
        <v>686</v>
      </c>
      <c r="K95" s="441">
        <v>14</v>
      </c>
      <c r="L95" s="441" t="s">
        <v>545</v>
      </c>
      <c r="M95" s="441">
        <v>14</v>
      </c>
      <c r="N95" s="441" t="s">
        <v>775</v>
      </c>
      <c r="O95" s="153" t="str">
        <f>IF(L95&lt;&gt;"",IFERROR(VLOOKUP(B95&amp;L95,Pools!$A$2:$D$130,3,FALSE),""),"")</f>
        <v/>
      </c>
      <c r="P95" s="388">
        <v>2</v>
      </c>
      <c r="Q95" s="388">
        <v>1</v>
      </c>
      <c r="R95" s="306" t="str">
        <f t="shared" si="45"/>
        <v>2-1</v>
      </c>
      <c r="S95" s="153"/>
      <c r="T95" s="148" t="str">
        <f t="shared" si="46"/>
        <v>Completed</v>
      </c>
      <c r="U95" s="153"/>
      <c r="V95" s="153"/>
      <c r="W95" s="387">
        <f t="shared" si="47"/>
        <v>1</v>
      </c>
      <c r="X95" s="387">
        <f t="shared" si="48"/>
        <v>-1</v>
      </c>
      <c r="Y95" s="301">
        <f t="shared" si="49"/>
        <v>2</v>
      </c>
      <c r="Z95" s="301">
        <f t="shared" si="50"/>
        <v>0</v>
      </c>
      <c r="AA95" s="323" t="str">
        <f>CONCATENATE("                x[team1,team2,sport,'",IF(OR(I95="x",I95=""),VLOOKUP('Schedule from TM'!J95,Tables!$P$3:$Q$33,2,FALSE),'Schedule from TM'!I95),",",J95,"','",IF(OR(F95="x",F95=""),VLOOKUP('Schedule from TM'!G95,Tables!$U$3:$V$14,2,FALSE),'Schedule from TM'!F95),",",TEXT(G95,"mm/dd/yyyy"),"','",TEXT(H95,"h:mm:ss AM/PM"),"'].ub=0.0      #",B95)</f>
        <v xml:space="preserve">                x[team1,team2,sport,'32,Sinai - Newcomb','11,11/24/2017','12:10:00 PM'].ub=0.0      #Ch A Coed Newcomb</v>
      </c>
      <c r="AB95" s="301" t="str">
        <f t="shared" si="51"/>
        <v>,,Ch A Coed Newcomb,,1,CHILD A - COL 1</v>
      </c>
      <c r="AC95" s="153" t="str">
        <f t="shared" si="52"/>
        <v>Ch A Coed NewcombCHILD A - COL 1</v>
      </c>
      <c r="AD95" s="301" t="str">
        <f t="shared" si="53"/>
        <v>,,Ch A Coed Newcomb,,1,CHILD A - USA 2</v>
      </c>
      <c r="AE95" s="153" t="str">
        <f t="shared" si="54"/>
        <v>Ch A Coed NewcombCHILD A - USA 2</v>
      </c>
      <c r="AF95" s="383">
        <f t="shared" si="55"/>
        <v>1</v>
      </c>
      <c r="AG95" s="383">
        <f t="shared" si="56"/>
        <v>0</v>
      </c>
      <c r="AH95" s="383">
        <f t="shared" si="57"/>
        <v>0</v>
      </c>
      <c r="AI95" s="383">
        <f t="shared" si="58"/>
        <v>0</v>
      </c>
      <c r="AJ95" s="383">
        <f t="shared" si="59"/>
        <v>1</v>
      </c>
      <c r="AK95" s="383">
        <f t="shared" si="60"/>
        <v>0</v>
      </c>
      <c r="AM95" s="148" t="str">
        <f t="shared" si="61"/>
        <v>Schedulled</v>
      </c>
      <c r="AN95" s="148" t="str">
        <f t="shared" si="62"/>
        <v/>
      </c>
      <c r="AO95" s="156">
        <f t="shared" si="63"/>
        <v>43063.506944444445</v>
      </c>
      <c r="AP95" s="148" t="str">
        <f t="shared" si="64"/>
        <v>11/24/2017 12:10-&gt;Sinai - Newcomb</v>
      </c>
      <c r="AQ95" s="374">
        <f t="shared" si="65"/>
        <v>1</v>
      </c>
      <c r="AR95" s="148" t="str">
        <f t="shared" si="66"/>
        <v>COL1</v>
      </c>
      <c r="AS95" s="148" t="str">
        <f t="shared" si="67"/>
        <v>USA2</v>
      </c>
      <c r="AT95" s="157" t="str">
        <f t="shared" si="68"/>
        <v>COL1-USA2</v>
      </c>
      <c r="AU95" s="157" t="str">
        <f t="shared" si="69"/>
        <v xml:space="preserve">COL1-USA2 </v>
      </c>
      <c r="AV95" s="157" t="str">
        <f t="shared" si="70"/>
        <v>CHILDREN A COED</v>
      </c>
      <c r="AW95" s="157" t="str">
        <f t="shared" si="71"/>
        <v>Newcomb</v>
      </c>
      <c r="AX95" s="376">
        <f t="shared" si="72"/>
        <v>93</v>
      </c>
      <c r="AY95" s="148" t="str">
        <f t="shared" si="73"/>
        <v>CHILD A - COL 1-&gt;CHILD A - USA 2</v>
      </c>
      <c r="AZ95" s="148" t="str">
        <f t="shared" si="74"/>
        <v>11/24/2017 12:10-&gt;CHILD A - COL 1</v>
      </c>
      <c r="BA95" s="148" t="str">
        <f t="shared" si="75"/>
        <v>11/24/2017 12:10-&gt;CHILD A - USA 2</v>
      </c>
      <c r="BB95" s="374">
        <f t="shared" si="76"/>
        <v>1</v>
      </c>
      <c r="BC95" s="374">
        <f t="shared" si="77"/>
        <v>1</v>
      </c>
      <c r="BD95" s="148" t="str">
        <f t="shared" si="78"/>
        <v>no conflict</v>
      </c>
      <c r="BF95" s="148" t="str">
        <f t="shared" si="79"/>
        <v>11/24/2017 12:10-&gt;CHILD A - COL 1</v>
      </c>
      <c r="BG95" s="148" t="str">
        <f t="shared" si="80"/>
        <v>11/24/2017 12:10-&gt;CHILD A - USA 2</v>
      </c>
      <c r="BH95" s="148" t="str">
        <f t="shared" si="81"/>
        <v>11/24/2017 12:10-&gt;Sinai - Newcomb</v>
      </c>
      <c r="BI95" s="148" t="str">
        <f t="shared" si="82"/>
        <v>Newcomb in Sinai - Newcomb (COL1-USA2)</v>
      </c>
      <c r="BJ95" s="148" t="str">
        <f t="shared" si="83"/>
        <v>Ch A Coed Newcomb-- CHILD A - COL 1 vs. CHILD A - USA 2</v>
      </c>
      <c r="BK95" s="148" t="str">
        <f t="shared" si="84"/>
        <v>Newcomb</v>
      </c>
      <c r="BL95" s="148" t="str">
        <f t="shared" si="85"/>
        <v>CHILD A - COL 1</v>
      </c>
      <c r="BM95" s="148" t="str">
        <f t="shared" si="86"/>
        <v>CHILD A - USA 2</v>
      </c>
      <c r="BN95" s="148" t="str">
        <f t="shared" si="87"/>
        <v>Round - 1</v>
      </c>
      <c r="BP95" s="148" t="str">
        <f t="shared" si="88"/>
        <v>no t, f, or sf</v>
      </c>
      <c r="BQ95" s="148" t="str">
        <f t="shared" si="89"/>
        <v/>
      </c>
    </row>
    <row r="96" spans="1:69" ht="15" customHeight="1" x14ac:dyDescent="0.2">
      <c r="A96" s="376">
        <v>94</v>
      </c>
      <c r="B96" s="433" t="s">
        <v>32</v>
      </c>
      <c r="C96" s="441" t="s">
        <v>518</v>
      </c>
      <c r="D96" s="450">
        <v>1</v>
      </c>
      <c r="E96" s="450">
        <v>1</v>
      </c>
      <c r="F96" s="315">
        <v>21</v>
      </c>
      <c r="G96" s="320">
        <v>43065</v>
      </c>
      <c r="H96" s="418">
        <v>0.40277777777777773</v>
      </c>
      <c r="I96" s="325">
        <v>32</v>
      </c>
      <c r="J96" s="441" t="s">
        <v>686</v>
      </c>
      <c r="K96" s="441">
        <v>14</v>
      </c>
      <c r="L96" s="441" t="s">
        <v>548</v>
      </c>
      <c r="M96" s="441">
        <v>14</v>
      </c>
      <c r="N96" s="441" t="s">
        <v>549</v>
      </c>
      <c r="O96" s="153" t="str">
        <f>IF(L96&lt;&gt;"",IFERROR(VLOOKUP(B96&amp;L96,Pools!$A$2:$D$130,3,FALSE),""),"")</f>
        <v/>
      </c>
      <c r="P96" s="388">
        <v>2</v>
      </c>
      <c r="Q96" s="388">
        <v>0</v>
      </c>
      <c r="R96" s="306" t="str">
        <f t="shared" si="45"/>
        <v>2-0</v>
      </c>
      <c r="S96" s="153"/>
      <c r="T96" s="148" t="str">
        <f t="shared" si="46"/>
        <v>Completed</v>
      </c>
      <c r="U96" s="153"/>
      <c r="V96" s="153"/>
      <c r="W96" s="387">
        <f t="shared" si="47"/>
        <v>2</v>
      </c>
      <c r="X96" s="387">
        <f t="shared" si="48"/>
        <v>-2</v>
      </c>
      <c r="Y96" s="301">
        <f t="shared" si="49"/>
        <v>2</v>
      </c>
      <c r="Z96" s="301">
        <f t="shared" si="50"/>
        <v>0</v>
      </c>
      <c r="AA96" s="323" t="str">
        <f>CONCATENATE("                x[team1,team2,sport,'",IF(OR(I96="x",I96=""),VLOOKUP('Schedule from TM'!J96,Tables!$P$3:$Q$33,2,FALSE),'Schedule from TM'!I96),",",J96,"','",IF(OR(F96="x",F96=""),VLOOKUP('Schedule from TM'!G96,Tables!$U$3:$V$14,2,FALSE),'Schedule from TM'!F96),",",TEXT(G96,"mm/dd/yyyy"),"','",TEXT(H96,"h:mm:ss AM/PM"),"'].ub=0.0      #",B96)</f>
        <v xml:space="preserve">                x[team1,team2,sport,'32,Sinai - Newcomb','21,11/26/2017','9:40:00 AM'].ub=0.0      #Ch A Coed Newcomb</v>
      </c>
      <c r="AB96" s="301" t="str">
        <f t="shared" si="51"/>
        <v>,,Ch A Coed Newcomb,,1,CHILD A - USA 1</v>
      </c>
      <c r="AC96" s="153" t="str">
        <f t="shared" si="52"/>
        <v>Ch A Coed NewcombCHILD A - USA 1</v>
      </c>
      <c r="AD96" s="301" t="str">
        <f t="shared" si="53"/>
        <v>,,Ch A Coed Newcomb,,1,CHILD A - VEN 1</v>
      </c>
      <c r="AE96" s="153" t="str">
        <f t="shared" si="54"/>
        <v>Ch A Coed NewcombCHILD A - VEN 1</v>
      </c>
      <c r="AF96" s="383">
        <f t="shared" si="55"/>
        <v>1</v>
      </c>
      <c r="AG96" s="383">
        <f t="shared" si="56"/>
        <v>0</v>
      </c>
      <c r="AH96" s="383">
        <f t="shared" si="57"/>
        <v>0</v>
      </c>
      <c r="AI96" s="383">
        <f t="shared" si="58"/>
        <v>0</v>
      </c>
      <c r="AJ96" s="383">
        <f t="shared" si="59"/>
        <v>1</v>
      </c>
      <c r="AK96" s="383">
        <f t="shared" si="60"/>
        <v>0</v>
      </c>
      <c r="AM96" s="148" t="str">
        <f t="shared" si="61"/>
        <v>Schedulled</v>
      </c>
      <c r="AN96" s="148" t="str">
        <f t="shared" si="62"/>
        <v/>
      </c>
      <c r="AO96" s="156">
        <f t="shared" si="63"/>
        <v>43065.402777777781</v>
      </c>
      <c r="AP96" s="148" t="str">
        <f t="shared" si="64"/>
        <v>11/26/2017 09:40-&gt;Sinai - Newcomb</v>
      </c>
      <c r="AQ96" s="374">
        <f t="shared" si="65"/>
        <v>1</v>
      </c>
      <c r="AR96" s="148" t="str">
        <f t="shared" si="66"/>
        <v>USA1</v>
      </c>
      <c r="AS96" s="148" t="str">
        <f t="shared" si="67"/>
        <v>VEN1</v>
      </c>
      <c r="AT96" s="157" t="str">
        <f t="shared" si="68"/>
        <v>USA1-VEN1</v>
      </c>
      <c r="AU96" s="157" t="str">
        <f t="shared" si="69"/>
        <v xml:space="preserve">USA1-VEN1 </v>
      </c>
      <c r="AV96" s="157" t="str">
        <f t="shared" si="70"/>
        <v>CHILDREN A COED</v>
      </c>
      <c r="AW96" s="157" t="str">
        <f t="shared" si="71"/>
        <v>Newcomb</v>
      </c>
      <c r="AX96" s="376">
        <f t="shared" si="72"/>
        <v>94</v>
      </c>
      <c r="AY96" s="148" t="str">
        <f t="shared" si="73"/>
        <v>CHILD A - USA 1-&gt;CHILD A - VEN 1</v>
      </c>
      <c r="AZ96" s="148" t="str">
        <f t="shared" si="74"/>
        <v>11/26/2017 09:40-&gt;CHILD A - USA 1</v>
      </c>
      <c r="BA96" s="148" t="str">
        <f t="shared" si="75"/>
        <v>11/26/2017 09:40-&gt;CHILD A - VEN 1</v>
      </c>
      <c r="BB96" s="374">
        <f t="shared" si="76"/>
        <v>1</v>
      </c>
      <c r="BC96" s="374">
        <f t="shared" si="77"/>
        <v>1</v>
      </c>
      <c r="BD96" s="148" t="str">
        <f t="shared" si="78"/>
        <v>no conflict</v>
      </c>
      <c r="BF96" s="148" t="str">
        <f t="shared" si="79"/>
        <v>11/26/2017 09:40-&gt;CHILD A - USA 1</v>
      </c>
      <c r="BG96" s="148" t="str">
        <f t="shared" si="80"/>
        <v>11/26/2017 09:40-&gt;CHILD A - VEN 1</v>
      </c>
      <c r="BH96" s="148" t="str">
        <f t="shared" si="81"/>
        <v>11/26/2017 09:40-&gt;Sinai - Newcomb</v>
      </c>
      <c r="BI96" s="148" t="str">
        <f t="shared" si="82"/>
        <v>Newcomb in Sinai - Newcomb (USA1-VEN1)</v>
      </c>
      <c r="BJ96" s="148" t="str">
        <f t="shared" si="83"/>
        <v>Ch A Coed Newcomb-- CHILD A - USA 1 vs. CHILD A - VEN 1</v>
      </c>
      <c r="BK96" s="148" t="str">
        <f t="shared" si="84"/>
        <v>Newcomb</v>
      </c>
      <c r="BL96" s="148" t="str">
        <f t="shared" si="85"/>
        <v>CHILD A - USA 1</v>
      </c>
      <c r="BM96" s="148" t="str">
        <f t="shared" si="86"/>
        <v>CHILD A - VEN 1</v>
      </c>
      <c r="BN96" s="148" t="str">
        <f t="shared" si="87"/>
        <v>Round - 1</v>
      </c>
      <c r="BP96" s="148" t="str">
        <f t="shared" si="88"/>
        <v>no t, f, or sf</v>
      </c>
      <c r="BQ96" s="148" t="str">
        <f t="shared" si="89"/>
        <v/>
      </c>
    </row>
    <row r="97" spans="1:69" ht="15" customHeight="1" x14ac:dyDescent="0.2">
      <c r="A97" s="376">
        <v>95</v>
      </c>
      <c r="B97" s="444" t="s">
        <v>35</v>
      </c>
      <c r="C97" s="444" t="s">
        <v>518</v>
      </c>
      <c r="D97" s="451">
        <v>1</v>
      </c>
      <c r="E97" s="451">
        <v>1</v>
      </c>
      <c r="F97" s="315" t="s">
        <v>770</v>
      </c>
      <c r="G97" s="445">
        <v>43058</v>
      </c>
      <c r="H97" s="317">
        <v>0.36805555555555558</v>
      </c>
      <c r="I97" s="325" t="s">
        <v>770</v>
      </c>
      <c r="J97" s="444" t="s">
        <v>688</v>
      </c>
      <c r="K97" s="444">
        <v>24</v>
      </c>
      <c r="L97" s="433" t="s">
        <v>552</v>
      </c>
      <c r="M97" s="433">
        <v>24</v>
      </c>
      <c r="N97" s="433" t="s">
        <v>560</v>
      </c>
      <c r="O97" s="153" t="str">
        <f>IF(L97&lt;&gt;"",IFERROR(VLOOKUP(B97&amp;L97,Pools!$A$2:$D$130,3,FALSE),""),"")</f>
        <v>Pool B</v>
      </c>
      <c r="P97" s="388">
        <v>10</v>
      </c>
      <c r="Q97" s="388">
        <v>6</v>
      </c>
      <c r="R97" s="306" t="str">
        <f t="shared" si="45"/>
        <v>10-6</v>
      </c>
      <c r="S97" s="153"/>
      <c r="T97" s="148" t="str">
        <f t="shared" si="46"/>
        <v>Completed</v>
      </c>
      <c r="U97" s="153"/>
      <c r="V97" s="153"/>
      <c r="W97" s="387">
        <f t="shared" si="47"/>
        <v>4</v>
      </c>
      <c r="X97" s="387">
        <f t="shared" si="48"/>
        <v>-4</v>
      </c>
      <c r="Y97" s="301">
        <f t="shared" si="49"/>
        <v>2</v>
      </c>
      <c r="Z97" s="301">
        <f t="shared" si="50"/>
        <v>0</v>
      </c>
      <c r="AA97" s="323" t="str">
        <f>CONCATENATE("                x[team1,team2,sport,'",IF(OR(I97="x",I97=""),VLOOKUP('Schedule from TM'!J97,Tables!$P$3:$Q$33,2,FALSE),'Schedule from TM'!I97),",",J97,"','",IF(OR(F97="x",F97=""),VLOOKUP('Schedule from TM'!G97,Tables!$U$3:$V$14,2,FALSE),'Schedule from TM'!F97),",",TEXT(G97,"mm/dd/yyyy"),"','",TEXT(H97,"h:mm:ss AM/PM"),"'].ub=0.0      #",B97)</f>
        <v xml:space="preserve">                x[team1,team2,sport,'11,JCC Basketball Out 1','11,11/19/2017','8:50:00 AM'].ub=0.0      #Ch B Coed Basketball</v>
      </c>
      <c r="AB97" s="301" t="str">
        <f t="shared" si="51"/>
        <v>,,Ch B Coed Basketball,Pool B,1,CHILD B - ARG 1</v>
      </c>
      <c r="AC97" s="153" t="str">
        <f t="shared" si="52"/>
        <v>Ch B Coed BasketballPool BCHILD B - ARG 1</v>
      </c>
      <c r="AD97" s="301" t="str">
        <f t="shared" si="53"/>
        <v>,,Ch B Coed Basketball,Pool B,1,CHILD B - VEN 1</v>
      </c>
      <c r="AE97" s="153" t="str">
        <f t="shared" si="54"/>
        <v>Ch B Coed BasketballPool BCHILD B - VEN 1</v>
      </c>
      <c r="AF97" s="383">
        <f t="shared" si="55"/>
        <v>1</v>
      </c>
      <c r="AG97" s="383">
        <f t="shared" si="56"/>
        <v>0</v>
      </c>
      <c r="AH97" s="383">
        <f t="shared" si="57"/>
        <v>0</v>
      </c>
      <c r="AI97" s="383">
        <f t="shared" si="58"/>
        <v>0</v>
      </c>
      <c r="AJ97" s="383">
        <f t="shared" si="59"/>
        <v>1</v>
      </c>
      <c r="AK97" s="383">
        <f t="shared" si="60"/>
        <v>0</v>
      </c>
      <c r="AM97" s="148" t="str">
        <f t="shared" si="61"/>
        <v>Schedulled</v>
      </c>
      <c r="AN97" s="148" t="str">
        <f t="shared" si="62"/>
        <v/>
      </c>
      <c r="AO97" s="156">
        <f t="shared" si="63"/>
        <v>43058.368055555555</v>
      </c>
      <c r="AP97" s="148" t="str">
        <f t="shared" si="64"/>
        <v>11/19/2017 08:50-&gt;JCC Basketball Out 1</v>
      </c>
      <c r="AQ97" s="374">
        <f t="shared" si="65"/>
        <v>1</v>
      </c>
      <c r="AR97" s="148" t="str">
        <f t="shared" si="66"/>
        <v>ARG1</v>
      </c>
      <c r="AS97" s="148" t="str">
        <f t="shared" si="67"/>
        <v>VEN1</v>
      </c>
      <c r="AT97" s="157" t="str">
        <f t="shared" si="68"/>
        <v>ARG1-VEN1</v>
      </c>
      <c r="AU97" s="157" t="str">
        <f t="shared" si="69"/>
        <v xml:space="preserve">ARG1-VEN1 </v>
      </c>
      <c r="AV97" s="157" t="str">
        <f t="shared" si="70"/>
        <v>CHILDREN B COED</v>
      </c>
      <c r="AW97" s="157" t="str">
        <f t="shared" si="71"/>
        <v>Basketball</v>
      </c>
      <c r="AX97" s="376">
        <f t="shared" si="72"/>
        <v>95</v>
      </c>
      <c r="AY97" s="148" t="str">
        <f t="shared" si="73"/>
        <v>CHILD B - ARG 1-&gt;CHILD B - VEN 1</v>
      </c>
      <c r="AZ97" s="148" t="str">
        <f t="shared" si="74"/>
        <v>11/19/2017 08:50-&gt;CHILD B - ARG 1</v>
      </c>
      <c r="BA97" s="148" t="str">
        <f t="shared" si="75"/>
        <v>11/19/2017 08:50-&gt;CHILD B - VEN 1</v>
      </c>
      <c r="BB97" s="374">
        <f t="shared" si="76"/>
        <v>1</v>
      </c>
      <c r="BC97" s="374">
        <f t="shared" si="77"/>
        <v>1</v>
      </c>
      <c r="BD97" s="148" t="str">
        <f t="shared" si="78"/>
        <v>no conflict</v>
      </c>
      <c r="BF97" s="148" t="str">
        <f t="shared" si="79"/>
        <v>11/19/2017 08:50-&gt;CHILD B - ARG 1</v>
      </c>
      <c r="BG97" s="148" t="str">
        <f t="shared" si="80"/>
        <v>11/19/2017 08:50-&gt;CHILD B - VEN 1</v>
      </c>
      <c r="BH97" s="148" t="str">
        <f t="shared" si="81"/>
        <v>11/19/2017 08:50-&gt;JCC Basketball Out 1</v>
      </c>
      <c r="BI97" s="148" t="str">
        <f t="shared" si="82"/>
        <v>Basketball in JCC Basketball Out 1 (ARG1-VEN1)</v>
      </c>
      <c r="BJ97" s="148" t="str">
        <f t="shared" si="83"/>
        <v>Ch B Coed Basketball-- CHILD B - ARG 1 vs. CHILD B - VEN 1</v>
      </c>
      <c r="BK97" s="148" t="str">
        <f t="shared" si="84"/>
        <v>Basketball</v>
      </c>
      <c r="BL97" s="148" t="str">
        <f t="shared" si="85"/>
        <v>CHILD B - ARG 1</v>
      </c>
      <c r="BM97" s="148" t="str">
        <f t="shared" si="86"/>
        <v>CHILD B - VEN 1</v>
      </c>
      <c r="BN97" s="148" t="str">
        <f t="shared" si="87"/>
        <v>Round - 1</v>
      </c>
      <c r="BP97" s="148" t="str">
        <f t="shared" si="88"/>
        <v>no t, f, or sf</v>
      </c>
      <c r="BQ97" s="148" t="str">
        <f t="shared" si="89"/>
        <v/>
      </c>
    </row>
    <row r="98" spans="1:69" ht="15" customHeight="1" x14ac:dyDescent="0.2">
      <c r="A98" s="376">
        <v>96</v>
      </c>
      <c r="B98" s="441" t="s">
        <v>35</v>
      </c>
      <c r="C98" s="319" t="s">
        <v>518</v>
      </c>
      <c r="D98" s="376">
        <v>1</v>
      </c>
      <c r="E98" s="376">
        <v>1</v>
      </c>
      <c r="F98" s="315" t="s">
        <v>770</v>
      </c>
      <c r="G98" s="320">
        <v>43058</v>
      </c>
      <c r="H98" s="318">
        <v>0.47222222222222227</v>
      </c>
      <c r="I98" s="325" t="s">
        <v>770</v>
      </c>
      <c r="J98" s="319" t="s">
        <v>688</v>
      </c>
      <c r="K98" s="319">
        <v>24</v>
      </c>
      <c r="L98" s="433" t="s">
        <v>554</v>
      </c>
      <c r="M98" s="433">
        <v>24</v>
      </c>
      <c r="N98" s="433" t="s">
        <v>561</v>
      </c>
      <c r="O98" s="153" t="str">
        <f>IF(L98&lt;&gt;"",IFERROR(VLOOKUP(B98&amp;L98,Pools!$A$2:$D$130,3,FALSE),""),"")</f>
        <v>Pool A</v>
      </c>
      <c r="P98" s="388">
        <v>8</v>
      </c>
      <c r="Q98" s="388">
        <v>6</v>
      </c>
      <c r="R98" s="306" t="str">
        <f t="shared" si="45"/>
        <v>8-6</v>
      </c>
      <c r="S98" s="153"/>
      <c r="T98" s="148" t="str">
        <f t="shared" si="46"/>
        <v>Completed</v>
      </c>
      <c r="U98" s="153"/>
      <c r="V98" s="153"/>
      <c r="W98" s="387">
        <f t="shared" si="47"/>
        <v>2</v>
      </c>
      <c r="X98" s="387">
        <f t="shared" si="48"/>
        <v>-2</v>
      </c>
      <c r="Y98" s="301">
        <f t="shared" si="49"/>
        <v>2</v>
      </c>
      <c r="Z98" s="301">
        <f t="shared" si="50"/>
        <v>0</v>
      </c>
      <c r="AA98" s="323" t="str">
        <f>CONCATENATE("                x[team1,team2,sport,'",IF(OR(I98="x",I98=""),VLOOKUP('Schedule from TM'!J98,Tables!$P$3:$Q$33,2,FALSE),'Schedule from TM'!I98),",",J98,"','",IF(OR(F98="x",F98=""),VLOOKUP('Schedule from TM'!G98,Tables!$U$3:$V$14,2,FALSE),'Schedule from TM'!F98),",",TEXT(G98,"mm/dd/yyyy"),"','",TEXT(H98,"h:mm:ss AM/PM"),"'].ub=0.0      #",B98)</f>
        <v xml:space="preserve">                x[team1,team2,sport,'11,JCC Basketball Out 1','11,11/19/2017','11:20:00 AM'].ub=0.0      #Ch B Coed Basketball</v>
      </c>
      <c r="AB98" s="301" t="str">
        <f t="shared" si="51"/>
        <v>,,Ch B Coed Basketball,Pool A,1,CHILD B - COL 1</v>
      </c>
      <c r="AC98" s="153" t="str">
        <f t="shared" si="52"/>
        <v>Ch B Coed BasketballPool ACHILD B - COL 1</v>
      </c>
      <c r="AD98" s="301" t="str">
        <f t="shared" si="53"/>
        <v>,,Ch B Coed Basketball,Pool A,1,CHILD B - VEN 2</v>
      </c>
      <c r="AE98" s="153" t="str">
        <f t="shared" si="54"/>
        <v>Ch B Coed BasketballPool ACHILD B - VEN 2</v>
      </c>
      <c r="AF98" s="383">
        <f t="shared" si="55"/>
        <v>1</v>
      </c>
      <c r="AG98" s="383">
        <f t="shared" si="56"/>
        <v>0</v>
      </c>
      <c r="AH98" s="383">
        <f t="shared" si="57"/>
        <v>0</v>
      </c>
      <c r="AI98" s="383">
        <f t="shared" si="58"/>
        <v>0</v>
      </c>
      <c r="AJ98" s="383">
        <f t="shared" si="59"/>
        <v>1</v>
      </c>
      <c r="AK98" s="383">
        <f t="shared" si="60"/>
        <v>0</v>
      </c>
      <c r="AM98" s="148" t="str">
        <f t="shared" si="61"/>
        <v>Schedulled</v>
      </c>
      <c r="AN98" s="148" t="str">
        <f t="shared" si="62"/>
        <v/>
      </c>
      <c r="AO98" s="156">
        <f t="shared" si="63"/>
        <v>43058.472222222219</v>
      </c>
      <c r="AP98" s="148" t="str">
        <f t="shared" si="64"/>
        <v>11/19/2017 11:20-&gt;JCC Basketball Out 1</v>
      </c>
      <c r="AQ98" s="374">
        <f t="shared" si="65"/>
        <v>1</v>
      </c>
      <c r="AR98" s="148" t="str">
        <f t="shared" si="66"/>
        <v>COL1</v>
      </c>
      <c r="AS98" s="148" t="str">
        <f t="shared" si="67"/>
        <v>VEN2</v>
      </c>
      <c r="AT98" s="157" t="str">
        <f t="shared" si="68"/>
        <v>COL1-VEN2</v>
      </c>
      <c r="AU98" s="157" t="str">
        <f t="shared" si="69"/>
        <v xml:space="preserve">COL1-VEN2 </v>
      </c>
      <c r="AV98" s="157" t="str">
        <f t="shared" si="70"/>
        <v>CHILDREN B COED</v>
      </c>
      <c r="AW98" s="157" t="str">
        <f t="shared" si="71"/>
        <v>Basketball</v>
      </c>
      <c r="AX98" s="376">
        <f t="shared" si="72"/>
        <v>96</v>
      </c>
      <c r="AY98" s="148" t="str">
        <f t="shared" si="73"/>
        <v>CHILD B - COL 1-&gt;CHILD B - VEN 2</v>
      </c>
      <c r="AZ98" s="148" t="str">
        <f t="shared" si="74"/>
        <v>11/19/2017 11:20-&gt;CHILD B - COL 1</v>
      </c>
      <c r="BA98" s="148" t="str">
        <f t="shared" si="75"/>
        <v>11/19/2017 11:20-&gt;CHILD B - VEN 2</v>
      </c>
      <c r="BB98" s="374">
        <f t="shared" si="76"/>
        <v>1</v>
      </c>
      <c r="BC98" s="374">
        <f t="shared" si="77"/>
        <v>1</v>
      </c>
      <c r="BD98" s="148" t="str">
        <f t="shared" si="78"/>
        <v>no conflict</v>
      </c>
      <c r="BF98" s="148" t="str">
        <f t="shared" si="79"/>
        <v>11/19/2017 11:20-&gt;CHILD B - COL 1</v>
      </c>
      <c r="BG98" s="148" t="str">
        <f t="shared" si="80"/>
        <v>11/19/2017 11:20-&gt;CHILD B - VEN 2</v>
      </c>
      <c r="BH98" s="148" t="str">
        <f t="shared" si="81"/>
        <v>11/19/2017 11:20-&gt;JCC Basketball Out 1</v>
      </c>
      <c r="BI98" s="148" t="str">
        <f t="shared" si="82"/>
        <v>Basketball in JCC Basketball Out 1 (COL1-VEN2)</v>
      </c>
      <c r="BJ98" s="148" t="str">
        <f t="shared" si="83"/>
        <v>Ch B Coed Basketball-- CHILD B - COL 1 vs. CHILD B - VEN 2</v>
      </c>
      <c r="BK98" s="148" t="str">
        <f t="shared" si="84"/>
        <v>Basketball</v>
      </c>
      <c r="BL98" s="148" t="str">
        <f t="shared" si="85"/>
        <v>CHILD B - COL 1</v>
      </c>
      <c r="BM98" s="148" t="str">
        <f t="shared" si="86"/>
        <v>CHILD B - VEN 2</v>
      </c>
      <c r="BN98" s="148" t="str">
        <f t="shared" si="87"/>
        <v>Round - 1</v>
      </c>
      <c r="BP98" s="148" t="str">
        <f t="shared" si="88"/>
        <v>no t, f, or sf</v>
      </c>
      <c r="BQ98" s="148" t="str">
        <f t="shared" si="89"/>
        <v/>
      </c>
    </row>
    <row r="99" spans="1:69" ht="15" customHeight="1" x14ac:dyDescent="0.2">
      <c r="A99" s="376">
        <v>97</v>
      </c>
      <c r="B99" s="444" t="s">
        <v>35</v>
      </c>
      <c r="C99" s="444" t="s">
        <v>518</v>
      </c>
      <c r="D99" s="451">
        <v>1</v>
      </c>
      <c r="E99" s="451">
        <v>1</v>
      </c>
      <c r="F99" s="315" t="s">
        <v>770</v>
      </c>
      <c r="G99" s="445">
        <v>43058</v>
      </c>
      <c r="H99" s="317">
        <v>0.57638888888888895</v>
      </c>
      <c r="I99" s="325" t="s">
        <v>770</v>
      </c>
      <c r="J99" s="444" t="s">
        <v>688</v>
      </c>
      <c r="K99" s="444">
        <v>24</v>
      </c>
      <c r="L99" s="433" t="s">
        <v>555</v>
      </c>
      <c r="M99" s="433">
        <v>24</v>
      </c>
      <c r="N99" s="433" t="s">
        <v>558</v>
      </c>
      <c r="O99" s="153" t="str">
        <f>IF(L99&lt;&gt;"",IFERROR(VLOOKUP(B99&amp;L99,Pools!$A$2:$D$130,3,FALSE),""),"")</f>
        <v>Pool B</v>
      </c>
      <c r="P99" s="388">
        <v>8</v>
      </c>
      <c r="Q99" s="388">
        <v>7</v>
      </c>
      <c r="R99" s="306" t="str">
        <f t="shared" si="45"/>
        <v>8-7</v>
      </c>
      <c r="S99" s="153"/>
      <c r="T99" s="148" t="str">
        <f t="shared" si="46"/>
        <v>Completed</v>
      </c>
      <c r="U99" s="153"/>
      <c r="V99" s="153"/>
      <c r="W99" s="387">
        <f t="shared" si="47"/>
        <v>1</v>
      </c>
      <c r="X99" s="387">
        <f t="shared" si="48"/>
        <v>-1</v>
      </c>
      <c r="Y99" s="301">
        <f t="shared" si="49"/>
        <v>2</v>
      </c>
      <c r="Z99" s="301">
        <f t="shared" si="50"/>
        <v>0</v>
      </c>
      <c r="AA99" s="323" t="str">
        <f>CONCATENATE("                x[team1,team2,sport,'",IF(OR(I99="x",I99=""),VLOOKUP('Schedule from TM'!J99,Tables!$P$3:$Q$33,2,FALSE),'Schedule from TM'!I99),",",J99,"','",IF(OR(F99="x",F99=""),VLOOKUP('Schedule from TM'!G99,Tables!$U$3:$V$14,2,FALSE),'Schedule from TM'!F99),",",TEXT(G99,"mm/dd/yyyy"),"','",TEXT(H99,"h:mm:ss AM/PM"),"'].ub=0.0      #",B99)</f>
        <v xml:space="preserve">                x[team1,team2,sport,'11,JCC Basketball Out 1','11,11/19/2017','1:50:00 PM'].ub=0.0      #Ch B Coed Basketball</v>
      </c>
      <c r="AB99" s="301" t="str">
        <f t="shared" si="51"/>
        <v>,,Ch B Coed Basketball,Pool B,1,CHILD B - COL 2</v>
      </c>
      <c r="AC99" s="153" t="str">
        <f t="shared" si="52"/>
        <v>Ch B Coed BasketballPool BCHILD B - COL 2</v>
      </c>
      <c r="AD99" s="301" t="str">
        <f t="shared" si="53"/>
        <v>,,Ch B Coed Basketball,Pool B,1,CHILD B - USA 1</v>
      </c>
      <c r="AE99" s="153" t="str">
        <f t="shared" si="54"/>
        <v>Ch B Coed BasketballPool BCHILD B - USA 1</v>
      </c>
      <c r="AF99" s="383">
        <f t="shared" si="55"/>
        <v>1</v>
      </c>
      <c r="AG99" s="383">
        <f t="shared" si="56"/>
        <v>0</v>
      </c>
      <c r="AH99" s="383">
        <f t="shared" si="57"/>
        <v>0</v>
      </c>
      <c r="AI99" s="383">
        <f t="shared" si="58"/>
        <v>0</v>
      </c>
      <c r="AJ99" s="383">
        <f t="shared" si="59"/>
        <v>1</v>
      </c>
      <c r="AK99" s="383">
        <f t="shared" si="60"/>
        <v>0</v>
      </c>
      <c r="AM99" s="148" t="str">
        <f t="shared" si="61"/>
        <v>Schedulled</v>
      </c>
      <c r="AN99" s="148" t="str">
        <f t="shared" si="62"/>
        <v/>
      </c>
      <c r="AO99" s="156">
        <f t="shared" si="63"/>
        <v>43058.576388888891</v>
      </c>
      <c r="AP99" s="148" t="str">
        <f t="shared" si="64"/>
        <v>11/19/2017 13:50-&gt;JCC Basketball Out 1</v>
      </c>
      <c r="AQ99" s="374">
        <f t="shared" si="65"/>
        <v>1</v>
      </c>
      <c r="AR99" s="148" t="str">
        <f t="shared" si="66"/>
        <v>COL2</v>
      </c>
      <c r="AS99" s="148" t="str">
        <f t="shared" si="67"/>
        <v>USA1</v>
      </c>
      <c r="AT99" s="157" t="str">
        <f t="shared" si="68"/>
        <v>COL2-USA1</v>
      </c>
      <c r="AU99" s="157" t="str">
        <f t="shared" si="69"/>
        <v xml:space="preserve">COL2-USA1 </v>
      </c>
      <c r="AV99" s="157" t="str">
        <f t="shared" si="70"/>
        <v>CHILDREN B COED</v>
      </c>
      <c r="AW99" s="157" t="str">
        <f t="shared" si="71"/>
        <v>Basketball</v>
      </c>
      <c r="AX99" s="376">
        <f t="shared" si="72"/>
        <v>97</v>
      </c>
      <c r="AY99" s="148" t="str">
        <f t="shared" si="73"/>
        <v>CHILD B - COL 2-&gt;CHILD B - USA 1</v>
      </c>
      <c r="AZ99" s="148" t="str">
        <f t="shared" si="74"/>
        <v>11/19/2017 13:50-&gt;CHILD B - COL 2</v>
      </c>
      <c r="BA99" s="148" t="str">
        <f t="shared" si="75"/>
        <v>11/19/2017 13:50-&gt;CHILD B - USA 1</v>
      </c>
      <c r="BB99" s="374">
        <f t="shared" si="76"/>
        <v>1</v>
      </c>
      <c r="BC99" s="374">
        <f t="shared" si="77"/>
        <v>1</v>
      </c>
      <c r="BD99" s="148" t="str">
        <f t="shared" si="78"/>
        <v>no conflict</v>
      </c>
      <c r="BF99" s="148" t="str">
        <f t="shared" si="79"/>
        <v>11/19/2017 13:50-&gt;CHILD B - COL 2</v>
      </c>
      <c r="BG99" s="148" t="str">
        <f t="shared" si="80"/>
        <v>11/19/2017 13:50-&gt;CHILD B - USA 1</v>
      </c>
      <c r="BH99" s="148" t="str">
        <f t="shared" si="81"/>
        <v>11/19/2017 13:50-&gt;JCC Basketball Out 1</v>
      </c>
      <c r="BI99" s="148" t="str">
        <f t="shared" si="82"/>
        <v>Basketball in JCC Basketball Out 1 (COL2-USA1)</v>
      </c>
      <c r="BJ99" s="148" t="str">
        <f t="shared" si="83"/>
        <v>Ch B Coed Basketball-- CHILD B - COL 2 vs. CHILD B - USA 1</v>
      </c>
      <c r="BK99" s="148" t="str">
        <f t="shared" si="84"/>
        <v>Basketball</v>
      </c>
      <c r="BL99" s="148" t="str">
        <f t="shared" si="85"/>
        <v>CHILD B - COL 2</v>
      </c>
      <c r="BM99" s="148" t="str">
        <f t="shared" si="86"/>
        <v>CHILD B - USA 1</v>
      </c>
      <c r="BN99" s="148" t="str">
        <f t="shared" si="87"/>
        <v>Round - 1</v>
      </c>
      <c r="BP99" s="148" t="str">
        <f t="shared" si="88"/>
        <v>no t, f, or sf</v>
      </c>
      <c r="BQ99" s="148" t="str">
        <f t="shared" si="89"/>
        <v/>
      </c>
    </row>
    <row r="100" spans="1:69" ht="15" customHeight="1" x14ac:dyDescent="0.2">
      <c r="A100" s="376">
        <v>98</v>
      </c>
      <c r="B100" s="441" t="s">
        <v>35</v>
      </c>
      <c r="C100" s="441" t="s">
        <v>518</v>
      </c>
      <c r="D100" s="450">
        <v>1</v>
      </c>
      <c r="E100" s="450">
        <v>1</v>
      </c>
      <c r="F100" s="315" t="s">
        <v>770</v>
      </c>
      <c r="G100" s="320">
        <v>43058</v>
      </c>
      <c r="H100" s="317">
        <v>0.64583333333333337</v>
      </c>
      <c r="I100" s="325" t="s">
        <v>770</v>
      </c>
      <c r="J100" s="441" t="s">
        <v>688</v>
      </c>
      <c r="K100" s="441">
        <v>24</v>
      </c>
      <c r="L100" s="433" t="s">
        <v>552</v>
      </c>
      <c r="M100" s="433">
        <v>24</v>
      </c>
      <c r="N100" s="433" t="s">
        <v>558</v>
      </c>
      <c r="O100" s="153" t="str">
        <f>IF(L100&lt;&gt;"",IFERROR(VLOOKUP(B100&amp;L100,Pools!$A$2:$D$130,3,FALSE),""),"")</f>
        <v>Pool B</v>
      </c>
      <c r="P100" s="388">
        <v>2</v>
      </c>
      <c r="Q100" s="388">
        <v>6</v>
      </c>
      <c r="R100" s="306" t="str">
        <f t="shared" si="45"/>
        <v>2-6</v>
      </c>
      <c r="S100" s="153"/>
      <c r="T100" s="148" t="str">
        <f t="shared" si="46"/>
        <v>Completed</v>
      </c>
      <c r="U100" s="153"/>
      <c r="V100" s="153"/>
      <c r="W100" s="387">
        <f t="shared" si="47"/>
        <v>-4</v>
      </c>
      <c r="X100" s="387">
        <f t="shared" si="48"/>
        <v>4</v>
      </c>
      <c r="Y100" s="301">
        <f t="shared" si="49"/>
        <v>0</v>
      </c>
      <c r="Z100" s="301">
        <f t="shared" si="50"/>
        <v>2</v>
      </c>
      <c r="AA100" s="323" t="str">
        <f>CONCATENATE("                x[team1,team2,sport,'",IF(OR(I100="x",I100=""),VLOOKUP('Schedule from TM'!J100,Tables!$P$3:$Q$33,2,FALSE),'Schedule from TM'!I100),",",J100,"','",IF(OR(F100="x",F100=""),VLOOKUP('Schedule from TM'!G100,Tables!$U$3:$V$14,2,FALSE),'Schedule from TM'!F100),",",TEXT(G100,"mm/dd/yyyy"),"','",TEXT(H100,"h:mm:ss AM/PM"),"'].ub=0.0      #",B100)</f>
        <v xml:space="preserve">                x[team1,team2,sport,'11,JCC Basketball Out 1','11,11/19/2017','3:30:00 PM'].ub=0.0      #Ch B Coed Basketball</v>
      </c>
      <c r="AB100" s="301" t="str">
        <f t="shared" si="51"/>
        <v>,,Ch B Coed Basketball,Pool B,1,CHILD B - ARG 1</v>
      </c>
      <c r="AC100" s="153" t="str">
        <f t="shared" si="52"/>
        <v>Ch B Coed BasketballPool BCHILD B - ARG 1</v>
      </c>
      <c r="AD100" s="301" t="str">
        <f t="shared" si="53"/>
        <v>,,Ch B Coed Basketball,Pool B,1,CHILD B - USA 1</v>
      </c>
      <c r="AE100" s="153" t="str">
        <f t="shared" si="54"/>
        <v>Ch B Coed BasketballPool BCHILD B - USA 1</v>
      </c>
      <c r="AF100" s="383">
        <f t="shared" si="55"/>
        <v>0</v>
      </c>
      <c r="AG100" s="383">
        <f t="shared" si="56"/>
        <v>1</v>
      </c>
      <c r="AH100" s="383">
        <f t="shared" si="57"/>
        <v>0</v>
      </c>
      <c r="AI100" s="383">
        <f t="shared" si="58"/>
        <v>1</v>
      </c>
      <c r="AJ100" s="383">
        <f t="shared" si="59"/>
        <v>0</v>
      </c>
      <c r="AK100" s="383">
        <f t="shared" si="60"/>
        <v>0</v>
      </c>
      <c r="AM100" s="148" t="str">
        <f t="shared" si="61"/>
        <v>Schedulled</v>
      </c>
      <c r="AN100" s="148" t="str">
        <f t="shared" si="62"/>
        <v/>
      </c>
      <c r="AO100" s="156">
        <f t="shared" si="63"/>
        <v>43058.645833333336</v>
      </c>
      <c r="AP100" s="148" t="str">
        <f t="shared" si="64"/>
        <v>11/19/2017 15:30-&gt;JCC Basketball Out 1</v>
      </c>
      <c r="AQ100" s="374">
        <f t="shared" si="65"/>
        <v>1</v>
      </c>
      <c r="AR100" s="148" t="str">
        <f t="shared" si="66"/>
        <v>ARG1</v>
      </c>
      <c r="AS100" s="148" t="str">
        <f t="shared" si="67"/>
        <v>USA1</v>
      </c>
      <c r="AT100" s="157" t="str">
        <f t="shared" si="68"/>
        <v>ARG1-USA1</v>
      </c>
      <c r="AU100" s="157" t="str">
        <f t="shared" si="69"/>
        <v xml:space="preserve">ARG1-USA1 </v>
      </c>
      <c r="AV100" s="157" t="str">
        <f t="shared" si="70"/>
        <v>CHILDREN B COED</v>
      </c>
      <c r="AW100" s="157" t="str">
        <f t="shared" si="71"/>
        <v>Basketball</v>
      </c>
      <c r="AX100" s="376">
        <f t="shared" si="72"/>
        <v>98</v>
      </c>
      <c r="AY100" s="148" t="str">
        <f t="shared" si="73"/>
        <v>CHILD B - ARG 1-&gt;CHILD B - USA 1</v>
      </c>
      <c r="AZ100" s="148" t="str">
        <f t="shared" si="74"/>
        <v>11/19/2017 15:30-&gt;CHILD B - ARG 1</v>
      </c>
      <c r="BA100" s="148" t="str">
        <f t="shared" si="75"/>
        <v>11/19/2017 15:30-&gt;CHILD B - USA 1</v>
      </c>
      <c r="BB100" s="374">
        <f t="shared" si="76"/>
        <v>1</v>
      </c>
      <c r="BC100" s="374">
        <f t="shared" si="77"/>
        <v>1</v>
      </c>
      <c r="BD100" s="148" t="str">
        <f t="shared" si="78"/>
        <v>no conflict</v>
      </c>
      <c r="BF100" s="148" t="str">
        <f t="shared" si="79"/>
        <v>11/19/2017 15:30-&gt;CHILD B - ARG 1</v>
      </c>
      <c r="BG100" s="148" t="str">
        <f t="shared" si="80"/>
        <v>11/19/2017 15:30-&gt;CHILD B - USA 1</v>
      </c>
      <c r="BH100" s="148" t="str">
        <f t="shared" si="81"/>
        <v>11/19/2017 15:30-&gt;JCC Basketball Out 1</v>
      </c>
      <c r="BI100" s="148" t="str">
        <f t="shared" si="82"/>
        <v>Basketball in JCC Basketball Out 1 (ARG1-USA1)</v>
      </c>
      <c r="BJ100" s="148" t="str">
        <f t="shared" si="83"/>
        <v>Ch B Coed Basketball-- CHILD B - ARG 1 vs. CHILD B - USA 1</v>
      </c>
      <c r="BK100" s="148" t="str">
        <f t="shared" si="84"/>
        <v>Basketball</v>
      </c>
      <c r="BL100" s="148" t="str">
        <f t="shared" si="85"/>
        <v>CHILD B - ARG 1</v>
      </c>
      <c r="BM100" s="148" t="str">
        <f t="shared" si="86"/>
        <v>CHILD B - USA 1</v>
      </c>
      <c r="BN100" s="148" t="str">
        <f t="shared" si="87"/>
        <v>Round - 1</v>
      </c>
      <c r="BP100" s="148" t="str">
        <f t="shared" si="88"/>
        <v>no t, f, or sf</v>
      </c>
      <c r="BQ100" s="148" t="str">
        <f t="shared" si="89"/>
        <v/>
      </c>
    </row>
    <row r="101" spans="1:69" ht="15" customHeight="1" x14ac:dyDescent="0.2">
      <c r="A101" s="376">
        <v>99</v>
      </c>
      <c r="B101" s="441" t="s">
        <v>35</v>
      </c>
      <c r="C101" s="319" t="s">
        <v>518</v>
      </c>
      <c r="D101" s="376">
        <v>1</v>
      </c>
      <c r="E101" s="376">
        <v>1</v>
      </c>
      <c r="F101" s="315" t="s">
        <v>770</v>
      </c>
      <c r="G101" s="320">
        <v>43062</v>
      </c>
      <c r="H101" s="318">
        <v>0.47222222222222227</v>
      </c>
      <c r="I101" s="325" t="s">
        <v>770</v>
      </c>
      <c r="J101" s="319" t="s">
        <v>688</v>
      </c>
      <c r="K101" s="319">
        <v>24</v>
      </c>
      <c r="L101" s="433" t="s">
        <v>559</v>
      </c>
      <c r="M101" s="433">
        <v>24</v>
      </c>
      <c r="N101" s="433" t="s">
        <v>561</v>
      </c>
      <c r="O101" s="153" t="str">
        <f>IF(L101&lt;&gt;"",IFERROR(VLOOKUP(B101&amp;L101,Pools!$A$2:$D$130,3,FALSE),""),"")</f>
        <v>Pool A</v>
      </c>
      <c r="P101" s="388">
        <v>7</v>
      </c>
      <c r="Q101" s="388">
        <v>0</v>
      </c>
      <c r="R101" s="306" t="str">
        <f t="shared" si="45"/>
        <v>7-0</v>
      </c>
      <c r="S101" s="153"/>
      <c r="T101" s="148" t="str">
        <f t="shared" si="46"/>
        <v>Completed</v>
      </c>
      <c r="U101" s="153"/>
      <c r="V101" s="153"/>
      <c r="W101" s="387">
        <f t="shared" si="47"/>
        <v>7</v>
      </c>
      <c r="X101" s="387">
        <f t="shared" si="48"/>
        <v>-7</v>
      </c>
      <c r="Y101" s="301">
        <f t="shared" si="49"/>
        <v>2</v>
      </c>
      <c r="Z101" s="301">
        <f t="shared" si="50"/>
        <v>0</v>
      </c>
      <c r="AA101" s="323" t="str">
        <f>CONCATENATE("                x[team1,team2,sport,'",IF(OR(I101="x",I101=""),VLOOKUP('Schedule from TM'!J101,Tables!$P$3:$Q$33,2,FALSE),'Schedule from TM'!I101),",",J101,"','",IF(OR(F101="x",F101=""),VLOOKUP('Schedule from TM'!G101,Tables!$U$3:$V$14,2,FALSE),'Schedule from TM'!F101),",",TEXT(G101,"mm/dd/yyyy"),"','",TEXT(H101,"h:mm:ss AM/PM"),"'].ub=0.0      #",B101)</f>
        <v xml:space="preserve">                x[team1,team2,sport,'11,JCC Basketball Out 1','11,11/23/2017','11:20:00 AM'].ub=0.0      #Ch B Coed Basketball</v>
      </c>
      <c r="AB101" s="301" t="str">
        <f t="shared" si="51"/>
        <v>,,Ch B Coed Basketball,Pool A,1,CHILD B - USA 2</v>
      </c>
      <c r="AC101" s="153" t="str">
        <f t="shared" si="52"/>
        <v>Ch B Coed BasketballPool ACHILD B - USA 2</v>
      </c>
      <c r="AD101" s="301" t="str">
        <f t="shared" si="53"/>
        <v>,,Ch B Coed Basketball,Pool A,1,CHILD B - VEN 2</v>
      </c>
      <c r="AE101" s="153" t="str">
        <f t="shared" si="54"/>
        <v>Ch B Coed BasketballPool ACHILD B - VEN 2</v>
      </c>
      <c r="AF101" s="383">
        <f t="shared" si="55"/>
        <v>1</v>
      </c>
      <c r="AG101" s="383">
        <f t="shared" si="56"/>
        <v>0</v>
      </c>
      <c r="AH101" s="383">
        <f t="shared" si="57"/>
        <v>0</v>
      </c>
      <c r="AI101" s="383">
        <f t="shared" si="58"/>
        <v>0</v>
      </c>
      <c r="AJ101" s="383">
        <f t="shared" si="59"/>
        <v>1</v>
      </c>
      <c r="AK101" s="383">
        <f t="shared" si="60"/>
        <v>0</v>
      </c>
      <c r="AM101" s="148" t="str">
        <f t="shared" si="61"/>
        <v>Schedulled</v>
      </c>
      <c r="AN101" s="148" t="str">
        <f t="shared" si="62"/>
        <v/>
      </c>
      <c r="AO101" s="156">
        <f t="shared" si="63"/>
        <v>43062.472222222219</v>
      </c>
      <c r="AP101" s="148" t="str">
        <f t="shared" si="64"/>
        <v>11/23/2017 11:20-&gt;JCC Basketball Out 1</v>
      </c>
      <c r="AQ101" s="374">
        <f t="shared" si="65"/>
        <v>1</v>
      </c>
      <c r="AR101" s="148" t="str">
        <f t="shared" si="66"/>
        <v>USA2</v>
      </c>
      <c r="AS101" s="148" t="str">
        <f t="shared" si="67"/>
        <v>VEN2</v>
      </c>
      <c r="AT101" s="157" t="str">
        <f t="shared" si="68"/>
        <v>USA2-VEN2</v>
      </c>
      <c r="AU101" s="157" t="str">
        <f t="shared" si="69"/>
        <v xml:space="preserve">USA2-VEN2 </v>
      </c>
      <c r="AV101" s="157" t="str">
        <f t="shared" si="70"/>
        <v>CHILDREN B COED</v>
      </c>
      <c r="AW101" s="157" t="str">
        <f t="shared" si="71"/>
        <v>Basketball</v>
      </c>
      <c r="AX101" s="376">
        <f t="shared" si="72"/>
        <v>99</v>
      </c>
      <c r="AY101" s="148" t="str">
        <f t="shared" si="73"/>
        <v>CHILD B - USA 2-&gt;CHILD B - VEN 2</v>
      </c>
      <c r="AZ101" s="148" t="str">
        <f t="shared" si="74"/>
        <v>11/23/2017 11:20-&gt;CHILD B - USA 2</v>
      </c>
      <c r="BA101" s="148" t="str">
        <f t="shared" si="75"/>
        <v>11/23/2017 11:20-&gt;CHILD B - VEN 2</v>
      </c>
      <c r="BB101" s="374">
        <f t="shared" si="76"/>
        <v>1</v>
      </c>
      <c r="BC101" s="374">
        <f t="shared" si="77"/>
        <v>1</v>
      </c>
      <c r="BD101" s="148" t="str">
        <f t="shared" si="78"/>
        <v>no conflict</v>
      </c>
      <c r="BF101" s="148" t="str">
        <f t="shared" si="79"/>
        <v>11/23/2017 11:20-&gt;CHILD B - USA 2</v>
      </c>
      <c r="BG101" s="148" t="str">
        <f t="shared" si="80"/>
        <v>11/23/2017 11:20-&gt;CHILD B - VEN 2</v>
      </c>
      <c r="BH101" s="148" t="str">
        <f t="shared" si="81"/>
        <v>11/23/2017 11:20-&gt;JCC Basketball Out 1</v>
      </c>
      <c r="BI101" s="148" t="str">
        <f t="shared" si="82"/>
        <v>Basketball in JCC Basketball Out 1 (USA2-VEN2)</v>
      </c>
      <c r="BJ101" s="148" t="str">
        <f t="shared" si="83"/>
        <v>Ch B Coed Basketball-- CHILD B - USA 2 vs. CHILD B - VEN 2</v>
      </c>
      <c r="BK101" s="148" t="str">
        <f t="shared" si="84"/>
        <v>Basketball</v>
      </c>
      <c r="BL101" s="148" t="str">
        <f t="shared" si="85"/>
        <v>CHILD B - USA 2</v>
      </c>
      <c r="BM101" s="148" t="str">
        <f t="shared" si="86"/>
        <v>CHILD B - VEN 2</v>
      </c>
      <c r="BN101" s="148" t="str">
        <f t="shared" si="87"/>
        <v>Round - 1</v>
      </c>
      <c r="BP101" s="148" t="str">
        <f t="shared" si="88"/>
        <v>no t, f, or sf</v>
      </c>
      <c r="BQ101" s="148" t="str">
        <f t="shared" si="89"/>
        <v/>
      </c>
    </row>
    <row r="102" spans="1:69" ht="15" customHeight="1" x14ac:dyDescent="0.2">
      <c r="A102" s="376">
        <v>100</v>
      </c>
      <c r="B102" s="441" t="s">
        <v>35</v>
      </c>
      <c r="C102" s="319" t="s">
        <v>518</v>
      </c>
      <c r="D102" s="376">
        <v>1</v>
      </c>
      <c r="E102" s="376">
        <v>1</v>
      </c>
      <c r="F102" s="315" t="s">
        <v>770</v>
      </c>
      <c r="G102" s="320">
        <v>43063</v>
      </c>
      <c r="H102" s="454">
        <v>0.40277777777777773</v>
      </c>
      <c r="I102" s="325" t="s">
        <v>770</v>
      </c>
      <c r="J102" s="319" t="s">
        <v>688</v>
      </c>
      <c r="K102" s="319">
        <v>24</v>
      </c>
      <c r="L102" s="433" t="s">
        <v>557</v>
      </c>
      <c r="M102" s="433">
        <v>24</v>
      </c>
      <c r="N102" s="433" t="s">
        <v>561</v>
      </c>
      <c r="O102" s="153" t="str">
        <f>IF(L102&lt;&gt;"",IFERROR(VLOOKUP(B102&amp;L102,Pools!$A$2:$D$130,3,FALSE),""),"")</f>
        <v>Pool A</v>
      </c>
      <c r="P102" s="388">
        <v>9</v>
      </c>
      <c r="Q102" s="388">
        <v>8</v>
      </c>
      <c r="R102" s="306" t="str">
        <f t="shared" si="45"/>
        <v>9-8</v>
      </c>
      <c r="S102" s="153"/>
      <c r="T102" s="148" t="str">
        <f t="shared" si="46"/>
        <v>Completed</v>
      </c>
      <c r="U102" s="153"/>
      <c r="V102" s="153"/>
      <c r="W102" s="387">
        <f t="shared" si="47"/>
        <v>1</v>
      </c>
      <c r="X102" s="387">
        <f t="shared" si="48"/>
        <v>-1</v>
      </c>
      <c r="Y102" s="301">
        <f t="shared" si="49"/>
        <v>2</v>
      </c>
      <c r="Z102" s="301">
        <f t="shared" si="50"/>
        <v>0</v>
      </c>
      <c r="AA102" s="323" t="str">
        <f>CONCATENATE("                x[team1,team2,sport,'",IF(OR(I102="x",I102=""),VLOOKUP('Schedule from TM'!J102,Tables!$P$3:$Q$33,2,FALSE),'Schedule from TM'!I102),",",J102,"','",IF(OR(F102="x",F102=""),VLOOKUP('Schedule from TM'!G102,Tables!$U$3:$V$14,2,FALSE),'Schedule from TM'!F102),",",TEXT(G102,"mm/dd/yyyy"),"','",TEXT(H102,"h:mm:ss AM/PM"),"'].ub=0.0      #",B102)</f>
        <v xml:space="preserve">                x[team1,team2,sport,'11,JCC Basketball Out 1','11,11/24/2017','9:40:00 AM'].ub=0.0      #Ch B Coed Basketball</v>
      </c>
      <c r="AB102" s="301" t="str">
        <f t="shared" si="51"/>
        <v>,,Ch B Coed Basketball,Pool A,1,CHILD B - MEX</v>
      </c>
      <c r="AC102" s="153" t="str">
        <f t="shared" si="52"/>
        <v>Ch B Coed BasketballPool ACHILD B - MEX</v>
      </c>
      <c r="AD102" s="301" t="str">
        <f t="shared" si="53"/>
        <v>,,Ch B Coed Basketball,Pool A,1,CHILD B - VEN 2</v>
      </c>
      <c r="AE102" s="153" t="str">
        <f t="shared" si="54"/>
        <v>Ch B Coed BasketballPool ACHILD B - VEN 2</v>
      </c>
      <c r="AF102" s="383">
        <f t="shared" si="55"/>
        <v>1</v>
      </c>
      <c r="AG102" s="383">
        <f t="shared" si="56"/>
        <v>0</v>
      </c>
      <c r="AH102" s="383">
        <f t="shared" si="57"/>
        <v>0</v>
      </c>
      <c r="AI102" s="383">
        <f t="shared" si="58"/>
        <v>0</v>
      </c>
      <c r="AJ102" s="383">
        <f t="shared" si="59"/>
        <v>1</v>
      </c>
      <c r="AK102" s="383">
        <f t="shared" si="60"/>
        <v>0</v>
      </c>
      <c r="AM102" s="148" t="str">
        <f t="shared" si="61"/>
        <v>Schedulled</v>
      </c>
      <c r="AN102" s="148" t="str">
        <f t="shared" si="62"/>
        <v/>
      </c>
      <c r="AO102" s="156">
        <f t="shared" si="63"/>
        <v>43063.402777777781</v>
      </c>
      <c r="AP102" s="148" t="str">
        <f t="shared" si="64"/>
        <v>11/24/2017 09:40-&gt;JCC Basketball Out 1</v>
      </c>
      <c r="AQ102" s="374">
        <f t="shared" si="65"/>
        <v>1</v>
      </c>
      <c r="AR102" s="148" t="str">
        <f t="shared" si="66"/>
        <v>MEX</v>
      </c>
      <c r="AS102" s="148" t="str">
        <f t="shared" si="67"/>
        <v>VEN2</v>
      </c>
      <c r="AT102" s="157" t="str">
        <f t="shared" si="68"/>
        <v>MEX-VEN2</v>
      </c>
      <c r="AU102" s="157" t="str">
        <f t="shared" si="69"/>
        <v xml:space="preserve">MEX-VEN2 </v>
      </c>
      <c r="AV102" s="157" t="str">
        <f t="shared" si="70"/>
        <v>CHILDREN B COED</v>
      </c>
      <c r="AW102" s="157" t="str">
        <f t="shared" si="71"/>
        <v>Basketball</v>
      </c>
      <c r="AX102" s="376">
        <f t="shared" si="72"/>
        <v>100</v>
      </c>
      <c r="AY102" s="148" t="str">
        <f t="shared" si="73"/>
        <v>CHILD B - MEX-&gt;CHILD B - VEN 2</v>
      </c>
      <c r="AZ102" s="148" t="str">
        <f t="shared" si="74"/>
        <v>11/24/2017 09:40-&gt;CHILD B - MEX</v>
      </c>
      <c r="BA102" s="148" t="str">
        <f t="shared" si="75"/>
        <v>11/24/2017 09:40-&gt;CHILD B - VEN 2</v>
      </c>
      <c r="BB102" s="374">
        <f t="shared" si="76"/>
        <v>1</v>
      </c>
      <c r="BC102" s="374">
        <f t="shared" si="77"/>
        <v>1</v>
      </c>
      <c r="BD102" s="148" t="str">
        <f t="shared" si="78"/>
        <v>no conflict</v>
      </c>
      <c r="BF102" s="148" t="str">
        <f t="shared" si="79"/>
        <v>11/24/2017 09:40-&gt;CHILD B - MEX</v>
      </c>
      <c r="BG102" s="148" t="str">
        <f t="shared" si="80"/>
        <v>11/24/2017 09:40-&gt;CHILD B - VEN 2</v>
      </c>
      <c r="BH102" s="148" t="str">
        <f t="shared" si="81"/>
        <v>11/24/2017 09:40-&gt;JCC Basketball Out 1</v>
      </c>
      <c r="BI102" s="148" t="str">
        <f t="shared" si="82"/>
        <v>Basketball in JCC Basketball Out 1 (MEX-VEN2)</v>
      </c>
      <c r="BJ102" s="148" t="str">
        <f t="shared" si="83"/>
        <v>Ch B Coed Basketball-- CHILD B - MEX vs. CHILD B - VEN 2</v>
      </c>
      <c r="BK102" s="148" t="str">
        <f t="shared" si="84"/>
        <v>Basketball</v>
      </c>
      <c r="BL102" s="148" t="str">
        <f t="shared" si="85"/>
        <v>CHILD B - MEX</v>
      </c>
      <c r="BM102" s="148" t="str">
        <f t="shared" si="86"/>
        <v>CHILD B - VEN 2</v>
      </c>
      <c r="BN102" s="148" t="str">
        <f t="shared" si="87"/>
        <v>Round - 1</v>
      </c>
      <c r="BP102" s="148" t="str">
        <f t="shared" si="88"/>
        <v>no t, f, or sf</v>
      </c>
      <c r="BQ102" s="148" t="str">
        <f t="shared" si="89"/>
        <v/>
      </c>
    </row>
    <row r="103" spans="1:69" ht="15" customHeight="1" x14ac:dyDescent="0.2">
      <c r="A103" s="376">
        <v>101</v>
      </c>
      <c r="B103" s="444" t="s">
        <v>35</v>
      </c>
      <c r="C103" s="444" t="s">
        <v>518</v>
      </c>
      <c r="D103" s="451">
        <v>1</v>
      </c>
      <c r="E103" s="451">
        <v>1</v>
      </c>
      <c r="F103" s="315" t="s">
        <v>770</v>
      </c>
      <c r="G103" s="445">
        <v>43063</v>
      </c>
      <c r="H103" s="454">
        <v>0.50694444444444442</v>
      </c>
      <c r="I103" s="325" t="s">
        <v>770</v>
      </c>
      <c r="J103" s="444" t="s">
        <v>688</v>
      </c>
      <c r="K103" s="444">
        <v>24</v>
      </c>
      <c r="L103" s="433" t="s">
        <v>554</v>
      </c>
      <c r="M103" s="433">
        <v>24</v>
      </c>
      <c r="N103" s="433" t="s">
        <v>559</v>
      </c>
      <c r="O103" s="153" t="str">
        <f>IF(L103&lt;&gt;"",IFERROR(VLOOKUP(B103&amp;L103,Pools!$A$2:$D$130,3,FALSE),""),"")</f>
        <v>Pool A</v>
      </c>
      <c r="P103" s="388">
        <v>11</v>
      </c>
      <c r="Q103" s="388">
        <v>12</v>
      </c>
      <c r="R103" s="306" t="str">
        <f t="shared" si="45"/>
        <v>11-12</v>
      </c>
      <c r="S103" s="153"/>
      <c r="T103" s="148" t="str">
        <f t="shared" si="46"/>
        <v>Completed</v>
      </c>
      <c r="U103" s="153"/>
      <c r="V103" s="153"/>
      <c r="W103" s="387">
        <f t="shared" si="47"/>
        <v>-1</v>
      </c>
      <c r="X103" s="387">
        <f t="shared" si="48"/>
        <v>1</v>
      </c>
      <c r="Y103" s="301">
        <f t="shared" si="49"/>
        <v>0</v>
      </c>
      <c r="Z103" s="301">
        <f t="shared" si="50"/>
        <v>2</v>
      </c>
      <c r="AA103" s="323" t="str">
        <f>CONCATENATE("                x[team1,team2,sport,'",IF(OR(I103="x",I103=""),VLOOKUP('Schedule from TM'!J103,Tables!$P$3:$Q$33,2,FALSE),'Schedule from TM'!I103),",",J103,"','",IF(OR(F103="x",F103=""),VLOOKUP('Schedule from TM'!G103,Tables!$U$3:$V$14,2,FALSE),'Schedule from TM'!F103),",",TEXT(G103,"mm/dd/yyyy"),"','",TEXT(H103,"h:mm:ss AM/PM"),"'].ub=0.0      #",B103)</f>
        <v xml:space="preserve">                x[team1,team2,sport,'11,JCC Basketball Out 1','11,11/24/2017','12:10:00 PM'].ub=0.0      #Ch B Coed Basketball</v>
      </c>
      <c r="AB103" s="301" t="str">
        <f t="shared" si="51"/>
        <v>,,Ch B Coed Basketball,Pool A,1,CHILD B - COL 1</v>
      </c>
      <c r="AC103" s="153" t="str">
        <f t="shared" si="52"/>
        <v>Ch B Coed BasketballPool ACHILD B - COL 1</v>
      </c>
      <c r="AD103" s="301" t="str">
        <f t="shared" si="53"/>
        <v>,,Ch B Coed Basketball,Pool A,1,CHILD B - USA 2</v>
      </c>
      <c r="AE103" s="153" t="str">
        <f t="shared" si="54"/>
        <v>Ch B Coed BasketballPool ACHILD B - USA 2</v>
      </c>
      <c r="AF103" s="383">
        <f t="shared" si="55"/>
        <v>0</v>
      </c>
      <c r="AG103" s="383">
        <f t="shared" si="56"/>
        <v>1</v>
      </c>
      <c r="AH103" s="383">
        <f t="shared" si="57"/>
        <v>0</v>
      </c>
      <c r="AI103" s="383">
        <f t="shared" si="58"/>
        <v>1</v>
      </c>
      <c r="AJ103" s="383">
        <f t="shared" si="59"/>
        <v>0</v>
      </c>
      <c r="AK103" s="383">
        <f t="shared" si="60"/>
        <v>0</v>
      </c>
      <c r="AM103" s="148" t="str">
        <f t="shared" si="61"/>
        <v>Schedulled</v>
      </c>
      <c r="AN103" s="148" t="str">
        <f t="shared" si="62"/>
        <v/>
      </c>
      <c r="AO103" s="156">
        <f t="shared" si="63"/>
        <v>43063.506944444445</v>
      </c>
      <c r="AP103" s="148" t="str">
        <f t="shared" si="64"/>
        <v>11/24/2017 12:10-&gt;JCC Basketball Out 1</v>
      </c>
      <c r="AQ103" s="374">
        <f t="shared" si="65"/>
        <v>1</v>
      </c>
      <c r="AR103" s="148" t="str">
        <f t="shared" si="66"/>
        <v>COL1</v>
      </c>
      <c r="AS103" s="148" t="str">
        <f t="shared" si="67"/>
        <v>USA2</v>
      </c>
      <c r="AT103" s="157" t="str">
        <f t="shared" si="68"/>
        <v>COL1-USA2</v>
      </c>
      <c r="AU103" s="157" t="str">
        <f t="shared" si="69"/>
        <v xml:space="preserve">COL1-USA2 </v>
      </c>
      <c r="AV103" s="157" t="str">
        <f t="shared" si="70"/>
        <v>CHILDREN B COED</v>
      </c>
      <c r="AW103" s="157" t="str">
        <f t="shared" si="71"/>
        <v>Basketball</v>
      </c>
      <c r="AX103" s="376">
        <f t="shared" si="72"/>
        <v>101</v>
      </c>
      <c r="AY103" s="148" t="str">
        <f t="shared" si="73"/>
        <v>CHILD B - COL 1-&gt;CHILD B - USA 2</v>
      </c>
      <c r="AZ103" s="148" t="str">
        <f t="shared" si="74"/>
        <v>11/24/2017 12:10-&gt;CHILD B - COL 1</v>
      </c>
      <c r="BA103" s="148" t="str">
        <f t="shared" si="75"/>
        <v>11/24/2017 12:10-&gt;CHILD B - USA 2</v>
      </c>
      <c r="BB103" s="374">
        <f t="shared" si="76"/>
        <v>1</v>
      </c>
      <c r="BC103" s="374">
        <f t="shared" si="77"/>
        <v>1</v>
      </c>
      <c r="BD103" s="148" t="str">
        <f t="shared" si="78"/>
        <v>no conflict</v>
      </c>
      <c r="BF103" s="148" t="str">
        <f t="shared" si="79"/>
        <v>11/24/2017 12:10-&gt;CHILD B - COL 1</v>
      </c>
      <c r="BG103" s="148" t="str">
        <f t="shared" si="80"/>
        <v>11/24/2017 12:10-&gt;CHILD B - USA 2</v>
      </c>
      <c r="BH103" s="148" t="str">
        <f t="shared" si="81"/>
        <v>11/24/2017 12:10-&gt;JCC Basketball Out 1</v>
      </c>
      <c r="BI103" s="148" t="str">
        <f t="shared" si="82"/>
        <v>Basketball in JCC Basketball Out 1 (COL1-USA2)</v>
      </c>
      <c r="BJ103" s="148" t="str">
        <f t="shared" si="83"/>
        <v>Ch B Coed Basketball-- CHILD B - COL 1 vs. CHILD B - USA 2</v>
      </c>
      <c r="BK103" s="148" t="str">
        <f t="shared" si="84"/>
        <v>Basketball</v>
      </c>
      <c r="BL103" s="148" t="str">
        <f t="shared" si="85"/>
        <v>CHILD B - COL 1</v>
      </c>
      <c r="BM103" s="148" t="str">
        <f t="shared" si="86"/>
        <v>CHILD B - USA 2</v>
      </c>
      <c r="BN103" s="148" t="str">
        <f t="shared" si="87"/>
        <v>Round - 1</v>
      </c>
      <c r="BP103" s="148" t="str">
        <f t="shared" si="88"/>
        <v>no t, f, or sf</v>
      </c>
      <c r="BQ103" s="148" t="str">
        <f t="shared" si="89"/>
        <v/>
      </c>
    </row>
    <row r="104" spans="1:69" ht="15" customHeight="1" x14ac:dyDescent="0.2">
      <c r="A104" s="376">
        <v>102</v>
      </c>
      <c r="B104" s="441" t="s">
        <v>35</v>
      </c>
      <c r="C104" s="319" t="s">
        <v>518</v>
      </c>
      <c r="D104" s="376">
        <v>1</v>
      </c>
      <c r="E104" s="376">
        <v>1</v>
      </c>
      <c r="F104" s="315" t="s">
        <v>770</v>
      </c>
      <c r="G104" s="320">
        <v>43063</v>
      </c>
      <c r="H104" s="454">
        <v>0.54166666666666663</v>
      </c>
      <c r="I104" s="325" t="s">
        <v>770</v>
      </c>
      <c r="J104" s="319" t="s">
        <v>688</v>
      </c>
      <c r="K104" s="319">
        <v>24</v>
      </c>
      <c r="L104" s="433" t="s">
        <v>555</v>
      </c>
      <c r="M104" s="433">
        <v>24</v>
      </c>
      <c r="N104" s="433" t="s">
        <v>560</v>
      </c>
      <c r="O104" s="153" t="str">
        <f>IF(L104&lt;&gt;"",IFERROR(VLOOKUP(B104&amp;L104,Pools!$A$2:$D$130,3,FALSE),""),"")</f>
        <v>Pool B</v>
      </c>
      <c r="P104" s="388">
        <v>12</v>
      </c>
      <c r="Q104" s="388">
        <v>0</v>
      </c>
      <c r="R104" s="306" t="str">
        <f t="shared" si="45"/>
        <v>12-0</v>
      </c>
      <c r="S104" s="153"/>
      <c r="T104" s="148" t="str">
        <f t="shared" si="46"/>
        <v>Completed</v>
      </c>
      <c r="U104" s="153"/>
      <c r="V104" s="153"/>
      <c r="W104" s="387">
        <f t="shared" si="47"/>
        <v>12</v>
      </c>
      <c r="X104" s="387">
        <f t="shared" si="48"/>
        <v>-12</v>
      </c>
      <c r="Y104" s="301">
        <f t="shared" si="49"/>
        <v>2</v>
      </c>
      <c r="Z104" s="301">
        <f t="shared" si="50"/>
        <v>0</v>
      </c>
      <c r="AA104" s="323" t="str">
        <f>CONCATENATE("                x[team1,team2,sport,'",IF(OR(I104="x",I104=""),VLOOKUP('Schedule from TM'!J104,Tables!$P$3:$Q$33,2,FALSE),'Schedule from TM'!I104),",",J104,"','",IF(OR(F104="x",F104=""),VLOOKUP('Schedule from TM'!G104,Tables!$U$3:$V$14,2,FALSE),'Schedule from TM'!F104),",",TEXT(G104,"mm/dd/yyyy"),"','",TEXT(H104,"h:mm:ss AM/PM"),"'].ub=0.0      #",B104)</f>
        <v xml:space="preserve">                x[team1,team2,sport,'11,JCC Basketball Out 1','11,11/24/2017','1:00:00 PM'].ub=0.0      #Ch B Coed Basketball</v>
      </c>
      <c r="AB104" s="301" t="str">
        <f t="shared" si="51"/>
        <v>,,Ch B Coed Basketball,Pool B,1,CHILD B - COL 2</v>
      </c>
      <c r="AC104" s="153" t="str">
        <f t="shared" si="52"/>
        <v>Ch B Coed BasketballPool BCHILD B - COL 2</v>
      </c>
      <c r="AD104" s="301" t="str">
        <f t="shared" si="53"/>
        <v>,,Ch B Coed Basketball,Pool B,1,CHILD B - VEN 1</v>
      </c>
      <c r="AE104" s="153" t="str">
        <f t="shared" si="54"/>
        <v>Ch B Coed BasketballPool BCHILD B - VEN 1</v>
      </c>
      <c r="AF104" s="383">
        <f t="shared" si="55"/>
        <v>1</v>
      </c>
      <c r="AG104" s="383">
        <f t="shared" si="56"/>
        <v>0</v>
      </c>
      <c r="AH104" s="383">
        <f t="shared" si="57"/>
        <v>0</v>
      </c>
      <c r="AI104" s="383">
        <f t="shared" si="58"/>
        <v>0</v>
      </c>
      <c r="AJ104" s="383">
        <f t="shared" si="59"/>
        <v>1</v>
      </c>
      <c r="AK104" s="383">
        <f t="shared" si="60"/>
        <v>0</v>
      </c>
      <c r="AM104" s="148" t="str">
        <f t="shared" si="61"/>
        <v>Schedulled</v>
      </c>
      <c r="AN104" s="148" t="str">
        <f t="shared" si="62"/>
        <v/>
      </c>
      <c r="AO104" s="156">
        <f t="shared" si="63"/>
        <v>43063.541666666664</v>
      </c>
      <c r="AP104" s="148" t="str">
        <f t="shared" si="64"/>
        <v>11/24/2017 13:00-&gt;JCC Basketball Out 1</v>
      </c>
      <c r="AQ104" s="374">
        <f t="shared" si="65"/>
        <v>1</v>
      </c>
      <c r="AR104" s="148" t="str">
        <f t="shared" si="66"/>
        <v>COL2</v>
      </c>
      <c r="AS104" s="148" t="str">
        <f t="shared" si="67"/>
        <v>VEN1</v>
      </c>
      <c r="AT104" s="157" t="str">
        <f t="shared" si="68"/>
        <v>COL2-VEN1</v>
      </c>
      <c r="AU104" s="157" t="str">
        <f t="shared" si="69"/>
        <v xml:space="preserve">COL2-VEN1 </v>
      </c>
      <c r="AV104" s="157" t="str">
        <f t="shared" si="70"/>
        <v>CHILDREN B COED</v>
      </c>
      <c r="AW104" s="157" t="str">
        <f t="shared" si="71"/>
        <v>Basketball</v>
      </c>
      <c r="AX104" s="376">
        <f t="shared" si="72"/>
        <v>102</v>
      </c>
      <c r="AY104" s="148" t="str">
        <f t="shared" si="73"/>
        <v>CHILD B - COL 2-&gt;CHILD B - VEN 1</v>
      </c>
      <c r="AZ104" s="148" t="str">
        <f t="shared" si="74"/>
        <v>11/24/2017 13:00-&gt;CHILD B - COL 2</v>
      </c>
      <c r="BA104" s="148" t="str">
        <f t="shared" si="75"/>
        <v>11/24/2017 13:00-&gt;CHILD B - VEN 1</v>
      </c>
      <c r="BB104" s="374">
        <f t="shared" si="76"/>
        <v>1</v>
      </c>
      <c r="BC104" s="374">
        <f t="shared" si="77"/>
        <v>1</v>
      </c>
      <c r="BD104" s="148" t="str">
        <f t="shared" si="78"/>
        <v>no conflict</v>
      </c>
      <c r="BF104" s="148" t="str">
        <f t="shared" si="79"/>
        <v>11/24/2017 13:00-&gt;CHILD B - COL 2</v>
      </c>
      <c r="BG104" s="148" t="str">
        <f t="shared" si="80"/>
        <v>11/24/2017 13:00-&gt;CHILD B - VEN 1</v>
      </c>
      <c r="BH104" s="148" t="str">
        <f t="shared" si="81"/>
        <v>11/24/2017 13:00-&gt;JCC Basketball Out 1</v>
      </c>
      <c r="BI104" s="148" t="str">
        <f t="shared" si="82"/>
        <v>Basketball in JCC Basketball Out 1 (COL2-VEN1)</v>
      </c>
      <c r="BJ104" s="148" t="str">
        <f t="shared" si="83"/>
        <v>Ch B Coed Basketball-- CHILD B - COL 2 vs. CHILD B - VEN 1</v>
      </c>
      <c r="BK104" s="148" t="str">
        <f t="shared" si="84"/>
        <v>Basketball</v>
      </c>
      <c r="BL104" s="148" t="str">
        <f t="shared" si="85"/>
        <v>CHILD B - COL 2</v>
      </c>
      <c r="BM104" s="148" t="str">
        <f t="shared" si="86"/>
        <v>CHILD B - VEN 1</v>
      </c>
      <c r="BN104" s="148" t="str">
        <f t="shared" si="87"/>
        <v>Round - 1</v>
      </c>
      <c r="BP104" s="148" t="str">
        <f t="shared" si="88"/>
        <v>no t, f, or sf</v>
      </c>
      <c r="BQ104" s="148" t="str">
        <f t="shared" si="89"/>
        <v/>
      </c>
    </row>
    <row r="105" spans="1:69" ht="15" customHeight="1" x14ac:dyDescent="0.2">
      <c r="A105" s="376">
        <v>103</v>
      </c>
      <c r="B105" s="315" t="s">
        <v>35</v>
      </c>
      <c r="C105" s="315" t="s">
        <v>518</v>
      </c>
      <c r="D105" s="378">
        <v>1</v>
      </c>
      <c r="E105" s="378">
        <v>1</v>
      </c>
      <c r="F105" s="315" t="s">
        <v>770</v>
      </c>
      <c r="G105" s="316">
        <v>43063</v>
      </c>
      <c r="H105" s="417">
        <v>0.57638888888888895</v>
      </c>
      <c r="I105" s="325" t="s">
        <v>770</v>
      </c>
      <c r="J105" s="315" t="s">
        <v>688</v>
      </c>
      <c r="K105" s="315">
        <v>24</v>
      </c>
      <c r="L105" s="433" t="s">
        <v>554</v>
      </c>
      <c r="M105" s="433">
        <v>24</v>
      </c>
      <c r="N105" s="433" t="s">
        <v>557</v>
      </c>
      <c r="O105" s="153" t="str">
        <f>IF(L105&lt;&gt;"",IFERROR(VLOOKUP(B105&amp;L105,Pools!$A$2:$D$130,3,FALSE),""),"")</f>
        <v>Pool A</v>
      </c>
      <c r="P105" s="388">
        <v>21</v>
      </c>
      <c r="Q105" s="388">
        <v>16</v>
      </c>
      <c r="R105" s="306" t="str">
        <f t="shared" si="45"/>
        <v>21-16</v>
      </c>
      <c r="S105" s="153"/>
      <c r="T105" s="148" t="str">
        <f t="shared" si="46"/>
        <v>Completed</v>
      </c>
      <c r="U105" s="153"/>
      <c r="V105" s="153"/>
      <c r="W105" s="387">
        <f t="shared" si="47"/>
        <v>5</v>
      </c>
      <c r="X105" s="387">
        <f t="shared" si="48"/>
        <v>-5</v>
      </c>
      <c r="Y105" s="301">
        <f t="shared" si="49"/>
        <v>2</v>
      </c>
      <c r="Z105" s="301">
        <f t="shared" si="50"/>
        <v>0</v>
      </c>
      <c r="AA105" s="323" t="str">
        <f>CONCATENATE("                x[team1,team2,sport,'",IF(OR(I105="x",I105=""),VLOOKUP('Schedule from TM'!J105,Tables!$P$3:$Q$33,2,FALSE),'Schedule from TM'!I105),",",J105,"','",IF(OR(F105="x",F105=""),VLOOKUP('Schedule from TM'!G105,Tables!$U$3:$V$14,2,FALSE),'Schedule from TM'!F105),",",TEXT(G105,"mm/dd/yyyy"),"','",TEXT(H105,"h:mm:ss AM/PM"),"'].ub=0.0      #",B105)</f>
        <v xml:space="preserve">                x[team1,team2,sport,'11,JCC Basketball Out 1','11,11/24/2017','1:50:00 PM'].ub=0.0      #Ch B Coed Basketball</v>
      </c>
      <c r="AB105" s="301" t="str">
        <f t="shared" si="51"/>
        <v>,,Ch B Coed Basketball,Pool A,1,CHILD B - COL 1</v>
      </c>
      <c r="AC105" s="153" t="str">
        <f t="shared" si="52"/>
        <v>Ch B Coed BasketballPool ACHILD B - COL 1</v>
      </c>
      <c r="AD105" s="301" t="str">
        <f t="shared" si="53"/>
        <v>,,Ch B Coed Basketball,Pool A,1,CHILD B - MEX</v>
      </c>
      <c r="AE105" s="153" t="str">
        <f t="shared" si="54"/>
        <v>Ch B Coed BasketballPool ACHILD B - MEX</v>
      </c>
      <c r="AF105" s="383">
        <f t="shared" si="55"/>
        <v>1</v>
      </c>
      <c r="AG105" s="383">
        <f t="shared" si="56"/>
        <v>0</v>
      </c>
      <c r="AH105" s="383">
        <f t="shared" si="57"/>
        <v>0</v>
      </c>
      <c r="AI105" s="383">
        <f t="shared" si="58"/>
        <v>0</v>
      </c>
      <c r="AJ105" s="383">
        <f t="shared" si="59"/>
        <v>1</v>
      </c>
      <c r="AK105" s="383">
        <f t="shared" si="60"/>
        <v>0</v>
      </c>
      <c r="AM105" s="148" t="str">
        <f t="shared" si="61"/>
        <v>Schedulled</v>
      </c>
      <c r="AN105" s="148" t="str">
        <f t="shared" si="62"/>
        <v/>
      </c>
      <c r="AO105" s="156">
        <f t="shared" si="63"/>
        <v>43063.576388888891</v>
      </c>
      <c r="AP105" s="148" t="str">
        <f t="shared" si="64"/>
        <v>11/24/2017 13:50-&gt;JCC Basketball Out 1</v>
      </c>
      <c r="AQ105" s="374">
        <f t="shared" si="65"/>
        <v>1</v>
      </c>
      <c r="AR105" s="148" t="str">
        <f t="shared" si="66"/>
        <v>COL1</v>
      </c>
      <c r="AS105" s="148" t="str">
        <f t="shared" si="67"/>
        <v>MEX</v>
      </c>
      <c r="AT105" s="157" t="str">
        <f t="shared" si="68"/>
        <v>COL1-MEX</v>
      </c>
      <c r="AU105" s="157" t="str">
        <f t="shared" si="69"/>
        <v xml:space="preserve">COL1-MEX </v>
      </c>
      <c r="AV105" s="157" t="str">
        <f t="shared" si="70"/>
        <v>CHILDREN B COED</v>
      </c>
      <c r="AW105" s="157" t="str">
        <f t="shared" si="71"/>
        <v>Basketball</v>
      </c>
      <c r="AX105" s="376">
        <f t="shared" si="72"/>
        <v>103</v>
      </c>
      <c r="AY105" s="148" t="str">
        <f t="shared" si="73"/>
        <v>CHILD B - COL 1-&gt;CHILD B - MEX</v>
      </c>
      <c r="AZ105" s="148" t="str">
        <f t="shared" si="74"/>
        <v>11/24/2017 13:50-&gt;CHILD B - COL 1</v>
      </c>
      <c r="BA105" s="148" t="str">
        <f t="shared" si="75"/>
        <v>11/24/2017 13:50-&gt;CHILD B - MEX</v>
      </c>
      <c r="BB105" s="374">
        <f t="shared" si="76"/>
        <v>1</v>
      </c>
      <c r="BC105" s="374">
        <f t="shared" si="77"/>
        <v>1</v>
      </c>
      <c r="BD105" s="148" t="str">
        <f t="shared" si="78"/>
        <v>no conflict</v>
      </c>
      <c r="BF105" s="148" t="str">
        <f t="shared" si="79"/>
        <v>11/24/2017 13:50-&gt;CHILD B - COL 1</v>
      </c>
      <c r="BG105" s="148" t="str">
        <f t="shared" si="80"/>
        <v>11/24/2017 13:50-&gt;CHILD B - MEX</v>
      </c>
      <c r="BH105" s="148" t="str">
        <f t="shared" si="81"/>
        <v>11/24/2017 13:50-&gt;JCC Basketball Out 1</v>
      </c>
      <c r="BI105" s="148" t="str">
        <f t="shared" si="82"/>
        <v>Basketball in JCC Basketball Out 1 (COL1-MEX)</v>
      </c>
      <c r="BJ105" s="148" t="str">
        <f t="shared" si="83"/>
        <v>Ch B Coed Basketball-- CHILD B - COL 1 vs. CHILD B - MEX</v>
      </c>
      <c r="BK105" s="148" t="str">
        <f t="shared" si="84"/>
        <v>Basketball</v>
      </c>
      <c r="BL105" s="148" t="str">
        <f t="shared" si="85"/>
        <v>CHILD B - COL 1</v>
      </c>
      <c r="BM105" s="148" t="str">
        <f t="shared" si="86"/>
        <v>CHILD B - MEX</v>
      </c>
      <c r="BN105" s="148" t="str">
        <f t="shared" si="87"/>
        <v>Round - 1</v>
      </c>
      <c r="BP105" s="148" t="str">
        <f t="shared" si="88"/>
        <v>no t, f, or sf</v>
      </c>
      <c r="BQ105" s="148" t="str">
        <f t="shared" si="89"/>
        <v/>
      </c>
    </row>
    <row r="106" spans="1:69" ht="15" customHeight="1" x14ac:dyDescent="0.2">
      <c r="A106" s="450">
        <v>104</v>
      </c>
      <c r="B106" s="441" t="s">
        <v>35</v>
      </c>
      <c r="C106" s="441" t="s">
        <v>518</v>
      </c>
      <c r="D106" s="450">
        <v>1</v>
      </c>
      <c r="E106" s="450">
        <v>1</v>
      </c>
      <c r="F106" s="444" t="s">
        <v>770</v>
      </c>
      <c r="G106" s="320">
        <v>43063</v>
      </c>
      <c r="H106" s="454">
        <v>0.64583333333333337</v>
      </c>
      <c r="I106" s="446" t="s">
        <v>770</v>
      </c>
      <c r="J106" s="441" t="s">
        <v>688</v>
      </c>
      <c r="K106" s="441">
        <v>24</v>
      </c>
      <c r="L106" s="433" t="s">
        <v>558</v>
      </c>
      <c r="M106" s="433">
        <v>24</v>
      </c>
      <c r="N106" s="433" t="s">
        <v>560</v>
      </c>
      <c r="O106" s="153" t="str">
        <f>IF(L106&lt;&gt;"",IFERROR(VLOOKUP(B106&amp;L106,Pools!$A$2:$D$130,3,FALSE),""),"")</f>
        <v>Pool B</v>
      </c>
      <c r="P106" s="388">
        <v>9</v>
      </c>
      <c r="Q106" s="388">
        <v>0</v>
      </c>
      <c r="R106" s="306" t="str">
        <f t="shared" si="45"/>
        <v>9-0</v>
      </c>
      <c r="S106" s="153"/>
      <c r="T106" s="148" t="str">
        <f t="shared" si="46"/>
        <v>Completed</v>
      </c>
      <c r="U106" s="153"/>
      <c r="V106" s="153"/>
      <c r="W106" s="387">
        <f t="shared" si="47"/>
        <v>9</v>
      </c>
      <c r="X106" s="387">
        <f t="shared" si="48"/>
        <v>-9</v>
      </c>
      <c r="Y106" s="301">
        <f t="shared" si="49"/>
        <v>2</v>
      </c>
      <c r="Z106" s="301">
        <f t="shared" si="50"/>
        <v>0</v>
      </c>
      <c r="AA106" s="323" t="str">
        <f>CONCATENATE("                x[team1,team2,sport,'",IF(OR(I106="x",I106=""),VLOOKUP('Schedule from TM'!J106,Tables!$P$3:$Q$33,2,FALSE),'Schedule from TM'!I106),",",J106,"','",IF(OR(F106="x",F106=""),VLOOKUP('Schedule from TM'!G106,Tables!$U$3:$V$14,2,FALSE),'Schedule from TM'!F106),",",TEXT(G106,"mm/dd/yyyy"),"','",TEXT(H106,"h:mm:ss AM/PM"),"'].ub=0.0      #",B106)</f>
        <v xml:space="preserve">                x[team1,team2,sport,'11,JCC Basketball Out 1','11,11/24/2017','3:30:00 PM'].ub=0.0      #Ch B Coed Basketball</v>
      </c>
      <c r="AB106" s="301" t="str">
        <f t="shared" si="51"/>
        <v>,,Ch B Coed Basketball,Pool B,1,CHILD B - USA 1</v>
      </c>
      <c r="AC106" s="153" t="str">
        <f t="shared" si="52"/>
        <v>Ch B Coed BasketballPool BCHILD B - USA 1</v>
      </c>
      <c r="AD106" s="301" t="str">
        <f t="shared" si="53"/>
        <v>,,Ch B Coed Basketball,Pool B,1,CHILD B - VEN 1</v>
      </c>
      <c r="AE106" s="153" t="str">
        <f t="shared" si="54"/>
        <v>Ch B Coed BasketballPool BCHILD B - VEN 1</v>
      </c>
      <c r="AF106" s="383">
        <f t="shared" si="55"/>
        <v>1</v>
      </c>
      <c r="AG106" s="383">
        <f t="shared" si="56"/>
        <v>0</v>
      </c>
      <c r="AH106" s="383">
        <f t="shared" si="57"/>
        <v>0</v>
      </c>
      <c r="AI106" s="383">
        <f t="shared" si="58"/>
        <v>0</v>
      </c>
      <c r="AJ106" s="383">
        <f t="shared" si="59"/>
        <v>1</v>
      </c>
      <c r="AK106" s="383">
        <f t="shared" si="60"/>
        <v>0</v>
      </c>
      <c r="AM106" s="148" t="str">
        <f t="shared" si="61"/>
        <v>Schedulled</v>
      </c>
      <c r="AN106" s="148" t="str">
        <f t="shared" si="62"/>
        <v/>
      </c>
      <c r="AO106" s="156">
        <f t="shared" si="63"/>
        <v>43063.645833333336</v>
      </c>
      <c r="AP106" s="148" t="str">
        <f t="shared" si="64"/>
        <v>11/24/2017 15:30-&gt;JCC Basketball Out 1</v>
      </c>
      <c r="AQ106" s="374">
        <f t="shared" si="65"/>
        <v>1</v>
      </c>
      <c r="AR106" s="148" t="str">
        <f t="shared" si="66"/>
        <v>USA1</v>
      </c>
      <c r="AS106" s="148" t="str">
        <f t="shared" si="67"/>
        <v>VEN1</v>
      </c>
      <c r="AT106" s="157" t="str">
        <f t="shared" si="68"/>
        <v>USA1-VEN1</v>
      </c>
      <c r="AU106" s="157" t="str">
        <f t="shared" si="69"/>
        <v xml:space="preserve">USA1-VEN1 </v>
      </c>
      <c r="AV106" s="157" t="str">
        <f t="shared" si="70"/>
        <v>CHILDREN B COED</v>
      </c>
      <c r="AW106" s="157" t="str">
        <f t="shared" si="71"/>
        <v>Basketball</v>
      </c>
      <c r="AX106" s="450">
        <f t="shared" si="72"/>
        <v>104</v>
      </c>
      <c r="AY106" s="148" t="str">
        <f t="shared" si="73"/>
        <v>CHILD B - USA 1-&gt;CHILD B - VEN 1</v>
      </c>
      <c r="AZ106" s="148" t="str">
        <f t="shared" si="74"/>
        <v>11/24/2017 15:30-&gt;CHILD B - USA 1</v>
      </c>
      <c r="BA106" s="148" t="str">
        <f t="shared" si="75"/>
        <v>11/24/2017 15:30-&gt;CHILD B - VEN 1</v>
      </c>
      <c r="BB106" s="374">
        <f t="shared" si="76"/>
        <v>1</v>
      </c>
      <c r="BC106" s="374">
        <f t="shared" si="77"/>
        <v>1</v>
      </c>
      <c r="BD106" s="148" t="str">
        <f t="shared" si="78"/>
        <v>no conflict</v>
      </c>
      <c r="BF106" s="148" t="str">
        <f t="shared" si="79"/>
        <v>11/24/2017 15:30-&gt;CHILD B - USA 1</v>
      </c>
      <c r="BG106" s="148" t="str">
        <f t="shared" si="80"/>
        <v>11/24/2017 15:30-&gt;CHILD B - VEN 1</v>
      </c>
      <c r="BH106" s="148" t="str">
        <f t="shared" si="81"/>
        <v>11/24/2017 15:30-&gt;JCC Basketball Out 1</v>
      </c>
      <c r="BI106" s="148" t="str">
        <f t="shared" si="82"/>
        <v>Basketball in JCC Basketball Out 1 (USA1-VEN1)</v>
      </c>
      <c r="BJ106" s="148" t="str">
        <f t="shared" si="83"/>
        <v>Ch B Coed Basketball-- CHILD B - USA 1 vs. CHILD B - VEN 1</v>
      </c>
      <c r="BK106" s="148" t="str">
        <f t="shared" si="84"/>
        <v>Basketball</v>
      </c>
      <c r="BL106" s="148" t="str">
        <f t="shared" si="85"/>
        <v>CHILD B - USA 1</v>
      </c>
      <c r="BM106" s="148" t="str">
        <f t="shared" si="86"/>
        <v>CHILD B - VEN 1</v>
      </c>
      <c r="BN106" s="148" t="str">
        <f t="shared" si="87"/>
        <v>Round - 1</v>
      </c>
      <c r="BP106" s="148" t="str">
        <f t="shared" si="88"/>
        <v>no t, f, or sf</v>
      </c>
      <c r="BQ106" s="148" t="str">
        <f t="shared" si="89"/>
        <v/>
      </c>
    </row>
    <row r="107" spans="1:69" ht="15" customHeight="1" x14ac:dyDescent="0.2">
      <c r="A107" s="376">
        <v>105</v>
      </c>
      <c r="B107" s="444" t="s">
        <v>35</v>
      </c>
      <c r="C107" s="444" t="s">
        <v>518</v>
      </c>
      <c r="D107" s="451">
        <v>1</v>
      </c>
      <c r="E107" s="451">
        <v>1</v>
      </c>
      <c r="F107" s="315" t="s">
        <v>770</v>
      </c>
      <c r="G107" s="445">
        <v>43065</v>
      </c>
      <c r="H107" s="454">
        <v>0.40277777777777773</v>
      </c>
      <c r="I107" s="325" t="s">
        <v>770</v>
      </c>
      <c r="J107" s="444" t="s">
        <v>688</v>
      </c>
      <c r="K107" s="444">
        <v>24</v>
      </c>
      <c r="L107" s="433" t="s">
        <v>557</v>
      </c>
      <c r="M107" s="433">
        <v>24</v>
      </c>
      <c r="N107" s="433" t="s">
        <v>559</v>
      </c>
      <c r="O107" s="153" t="str">
        <f>IF(L107&lt;&gt;"",IFERROR(VLOOKUP(B107&amp;L107,Pools!$A$2:$D$130,3,FALSE),""),"")</f>
        <v>Pool A</v>
      </c>
      <c r="P107" s="388">
        <v>12</v>
      </c>
      <c r="Q107" s="388">
        <v>18</v>
      </c>
      <c r="R107" s="306" t="str">
        <f t="shared" si="45"/>
        <v>12-18</v>
      </c>
      <c r="S107" s="153"/>
      <c r="T107" s="148" t="str">
        <f t="shared" si="46"/>
        <v>Completed</v>
      </c>
      <c r="U107" s="153"/>
      <c r="V107" s="153"/>
      <c r="W107" s="387">
        <f t="shared" si="47"/>
        <v>-6</v>
      </c>
      <c r="X107" s="387">
        <f t="shared" si="48"/>
        <v>6</v>
      </c>
      <c r="Y107" s="301">
        <f t="shared" si="49"/>
        <v>0</v>
      </c>
      <c r="Z107" s="301">
        <f t="shared" si="50"/>
        <v>2</v>
      </c>
      <c r="AA107" s="323" t="str">
        <f>CONCATENATE("                x[team1,team2,sport,'",IF(OR(I107="x",I107=""),VLOOKUP('Schedule from TM'!J107,Tables!$P$3:$Q$33,2,FALSE),'Schedule from TM'!I107),",",J107,"','",IF(OR(F107="x",F107=""),VLOOKUP('Schedule from TM'!G107,Tables!$U$3:$V$14,2,FALSE),'Schedule from TM'!F107),",",TEXT(G107,"mm/dd/yyyy"),"','",TEXT(H107,"h:mm:ss AM/PM"),"'].ub=0.0      #",B107)</f>
        <v xml:space="preserve">                x[team1,team2,sport,'11,JCC Basketball Out 1','21,11/26/2017','9:40:00 AM'].ub=0.0      #Ch B Coed Basketball</v>
      </c>
      <c r="AB107" s="301" t="str">
        <f t="shared" si="51"/>
        <v>,,Ch B Coed Basketball,Pool A,1,CHILD B - MEX</v>
      </c>
      <c r="AC107" s="153" t="str">
        <f t="shared" si="52"/>
        <v>Ch B Coed BasketballPool ACHILD B - MEX</v>
      </c>
      <c r="AD107" s="301" t="str">
        <f t="shared" si="53"/>
        <v>,,Ch B Coed Basketball,Pool A,1,CHILD B - USA 2</v>
      </c>
      <c r="AE107" s="153" t="str">
        <f t="shared" si="54"/>
        <v>Ch B Coed BasketballPool ACHILD B - USA 2</v>
      </c>
      <c r="AF107" s="383">
        <f t="shared" si="55"/>
        <v>0</v>
      </c>
      <c r="AG107" s="383">
        <f t="shared" si="56"/>
        <v>1</v>
      </c>
      <c r="AH107" s="383">
        <f t="shared" si="57"/>
        <v>0</v>
      </c>
      <c r="AI107" s="383">
        <f t="shared" si="58"/>
        <v>1</v>
      </c>
      <c r="AJ107" s="383">
        <f t="shared" si="59"/>
        <v>0</v>
      </c>
      <c r="AK107" s="383">
        <f t="shared" si="60"/>
        <v>0</v>
      </c>
      <c r="AM107" s="148" t="str">
        <f t="shared" si="61"/>
        <v>Schedulled</v>
      </c>
      <c r="AN107" s="148" t="str">
        <f t="shared" si="62"/>
        <v/>
      </c>
      <c r="AO107" s="156">
        <f t="shared" si="63"/>
        <v>43065.402777777781</v>
      </c>
      <c r="AP107" s="148" t="str">
        <f t="shared" si="64"/>
        <v>11/26/2017 09:40-&gt;JCC Basketball Out 1</v>
      </c>
      <c r="AQ107" s="374">
        <f t="shared" si="65"/>
        <v>1</v>
      </c>
      <c r="AR107" s="148" t="str">
        <f t="shared" si="66"/>
        <v>MEX</v>
      </c>
      <c r="AS107" s="148" t="str">
        <f t="shared" si="67"/>
        <v>USA2</v>
      </c>
      <c r="AT107" s="157" t="str">
        <f t="shared" si="68"/>
        <v>MEX-USA2</v>
      </c>
      <c r="AU107" s="157" t="str">
        <f t="shared" si="69"/>
        <v xml:space="preserve">MEX-USA2 </v>
      </c>
      <c r="AV107" s="157" t="str">
        <f t="shared" si="70"/>
        <v>CHILDREN B COED</v>
      </c>
      <c r="AW107" s="157" t="str">
        <f t="shared" si="71"/>
        <v>Basketball</v>
      </c>
      <c r="AX107" s="376">
        <f t="shared" si="72"/>
        <v>105</v>
      </c>
      <c r="AY107" s="148" t="str">
        <f t="shared" si="73"/>
        <v>CHILD B - MEX-&gt;CHILD B - USA 2</v>
      </c>
      <c r="AZ107" s="148" t="str">
        <f t="shared" si="74"/>
        <v>11/26/2017 09:40-&gt;CHILD B - MEX</v>
      </c>
      <c r="BA107" s="148" t="str">
        <f t="shared" si="75"/>
        <v>11/26/2017 09:40-&gt;CHILD B - USA 2</v>
      </c>
      <c r="BB107" s="374">
        <f t="shared" si="76"/>
        <v>1</v>
      </c>
      <c r="BC107" s="374">
        <f t="shared" si="77"/>
        <v>1</v>
      </c>
      <c r="BD107" s="148" t="str">
        <f t="shared" si="78"/>
        <v>no conflict</v>
      </c>
      <c r="BF107" s="148" t="str">
        <f t="shared" si="79"/>
        <v>11/26/2017 09:40-&gt;CHILD B - MEX</v>
      </c>
      <c r="BG107" s="148" t="str">
        <f t="shared" si="80"/>
        <v>11/26/2017 09:40-&gt;CHILD B - USA 2</v>
      </c>
      <c r="BH107" s="148" t="str">
        <f t="shared" si="81"/>
        <v>11/26/2017 09:40-&gt;JCC Basketball Out 1</v>
      </c>
      <c r="BI107" s="148" t="str">
        <f t="shared" si="82"/>
        <v>Basketball in JCC Basketball Out 1 (MEX-USA2)</v>
      </c>
      <c r="BJ107" s="148" t="str">
        <f t="shared" si="83"/>
        <v>Ch B Coed Basketball-- CHILD B - MEX vs. CHILD B - USA 2</v>
      </c>
      <c r="BK107" s="148" t="str">
        <f t="shared" si="84"/>
        <v>Basketball</v>
      </c>
      <c r="BL107" s="148" t="str">
        <f t="shared" si="85"/>
        <v>CHILD B - MEX</v>
      </c>
      <c r="BM107" s="148" t="str">
        <f t="shared" si="86"/>
        <v>CHILD B - USA 2</v>
      </c>
      <c r="BN107" s="148" t="str">
        <f t="shared" si="87"/>
        <v>Round - 1</v>
      </c>
      <c r="BP107" s="148" t="str">
        <f t="shared" si="88"/>
        <v>no t, f, or sf</v>
      </c>
      <c r="BQ107" s="148" t="str">
        <f t="shared" si="89"/>
        <v/>
      </c>
    </row>
    <row r="108" spans="1:69" ht="15" customHeight="1" x14ac:dyDescent="0.2">
      <c r="A108" s="376">
        <v>106</v>
      </c>
      <c r="B108" s="441" t="s">
        <v>35</v>
      </c>
      <c r="C108" s="319" t="s">
        <v>518</v>
      </c>
      <c r="D108" s="376">
        <v>1</v>
      </c>
      <c r="E108" s="376">
        <v>1</v>
      </c>
      <c r="F108" s="315" t="s">
        <v>770</v>
      </c>
      <c r="G108" s="320">
        <v>43065</v>
      </c>
      <c r="H108" s="418">
        <v>0.4375</v>
      </c>
      <c r="I108" s="325" t="s">
        <v>770</v>
      </c>
      <c r="J108" s="319" t="s">
        <v>688</v>
      </c>
      <c r="K108" s="319">
        <v>24</v>
      </c>
      <c r="L108" s="433" t="s">
        <v>552</v>
      </c>
      <c r="M108" s="433">
        <v>24</v>
      </c>
      <c r="N108" s="433" t="s">
        <v>555</v>
      </c>
      <c r="O108" s="153" t="str">
        <f>IF(L108&lt;&gt;"",IFERROR(VLOOKUP(B108&amp;L108,Pools!$A$2:$D$130,3,FALSE),""),"")</f>
        <v>Pool B</v>
      </c>
      <c r="P108" s="388">
        <v>4</v>
      </c>
      <c r="Q108" s="388">
        <v>14</v>
      </c>
      <c r="R108" s="306" t="str">
        <f t="shared" si="45"/>
        <v>4-14</v>
      </c>
      <c r="S108" s="153"/>
      <c r="T108" s="148" t="str">
        <f t="shared" si="46"/>
        <v>Completed</v>
      </c>
      <c r="U108" s="153"/>
      <c r="V108" s="153"/>
      <c r="W108" s="387">
        <f t="shared" si="47"/>
        <v>-10</v>
      </c>
      <c r="X108" s="387">
        <f t="shared" si="48"/>
        <v>10</v>
      </c>
      <c r="Y108" s="301">
        <f t="shared" si="49"/>
        <v>0</v>
      </c>
      <c r="Z108" s="301">
        <f t="shared" si="50"/>
        <v>2</v>
      </c>
      <c r="AA108" s="323" t="str">
        <f>CONCATENATE("                x[team1,team2,sport,'",IF(OR(I108="x",I108=""),VLOOKUP('Schedule from TM'!J108,Tables!$P$3:$Q$33,2,FALSE),'Schedule from TM'!I108),",",J108,"','",IF(OR(F108="x",F108=""),VLOOKUP('Schedule from TM'!G108,Tables!$U$3:$V$14,2,FALSE),'Schedule from TM'!F108),",",TEXT(G108,"mm/dd/yyyy"),"','",TEXT(H108,"h:mm:ss AM/PM"),"'].ub=0.0      #",B108)</f>
        <v xml:space="preserve">                x[team1,team2,sport,'11,JCC Basketball Out 1','21,11/26/2017','10:30:00 AM'].ub=0.0      #Ch B Coed Basketball</v>
      </c>
      <c r="AB108" s="301" t="str">
        <f t="shared" si="51"/>
        <v>,,Ch B Coed Basketball,Pool B,1,CHILD B - ARG 1</v>
      </c>
      <c r="AC108" s="153" t="str">
        <f t="shared" si="52"/>
        <v>Ch B Coed BasketballPool BCHILD B - ARG 1</v>
      </c>
      <c r="AD108" s="301" t="str">
        <f t="shared" si="53"/>
        <v>,,Ch B Coed Basketball,Pool B,1,CHILD B - COL 2</v>
      </c>
      <c r="AE108" s="153" t="str">
        <f t="shared" si="54"/>
        <v>Ch B Coed BasketballPool BCHILD B - COL 2</v>
      </c>
      <c r="AF108" s="383">
        <f t="shared" si="55"/>
        <v>0</v>
      </c>
      <c r="AG108" s="383">
        <f t="shared" si="56"/>
        <v>1</v>
      </c>
      <c r="AH108" s="383">
        <f t="shared" si="57"/>
        <v>0</v>
      </c>
      <c r="AI108" s="383">
        <f t="shared" si="58"/>
        <v>1</v>
      </c>
      <c r="AJ108" s="383">
        <f t="shared" si="59"/>
        <v>0</v>
      </c>
      <c r="AK108" s="383">
        <f t="shared" si="60"/>
        <v>0</v>
      </c>
      <c r="AM108" s="148" t="str">
        <f t="shared" si="61"/>
        <v>Schedulled</v>
      </c>
      <c r="AN108" s="148" t="str">
        <f t="shared" si="62"/>
        <v/>
      </c>
      <c r="AO108" s="156">
        <f t="shared" si="63"/>
        <v>43065.4375</v>
      </c>
      <c r="AP108" s="148" t="str">
        <f t="shared" si="64"/>
        <v>11/26/2017 10:30-&gt;JCC Basketball Out 1</v>
      </c>
      <c r="AQ108" s="374">
        <f t="shared" si="65"/>
        <v>1</v>
      </c>
      <c r="AR108" s="148" t="str">
        <f t="shared" si="66"/>
        <v>ARG1</v>
      </c>
      <c r="AS108" s="148" t="str">
        <f t="shared" si="67"/>
        <v>COL2</v>
      </c>
      <c r="AT108" s="157" t="str">
        <f t="shared" si="68"/>
        <v>ARG1-COL2</v>
      </c>
      <c r="AU108" s="157" t="str">
        <f t="shared" si="69"/>
        <v xml:space="preserve">ARG1-COL2 </v>
      </c>
      <c r="AV108" s="157" t="str">
        <f t="shared" si="70"/>
        <v>CHILDREN B COED</v>
      </c>
      <c r="AW108" s="157" t="str">
        <f t="shared" si="71"/>
        <v>Basketball</v>
      </c>
      <c r="AX108" s="376">
        <f t="shared" si="72"/>
        <v>106</v>
      </c>
      <c r="AY108" s="148" t="str">
        <f t="shared" si="73"/>
        <v>CHILD B - ARG 1-&gt;CHILD B - COL 2</v>
      </c>
      <c r="AZ108" s="148" t="str">
        <f t="shared" si="74"/>
        <v>11/26/2017 10:30-&gt;CHILD B - ARG 1</v>
      </c>
      <c r="BA108" s="148" t="str">
        <f t="shared" si="75"/>
        <v>11/26/2017 10:30-&gt;CHILD B - COL 2</v>
      </c>
      <c r="BB108" s="374">
        <f t="shared" si="76"/>
        <v>1</v>
      </c>
      <c r="BC108" s="374">
        <f t="shared" si="77"/>
        <v>1</v>
      </c>
      <c r="BD108" s="148" t="str">
        <f t="shared" si="78"/>
        <v>no conflict</v>
      </c>
      <c r="BF108" s="148" t="str">
        <f t="shared" si="79"/>
        <v>11/26/2017 10:30-&gt;CHILD B - ARG 1</v>
      </c>
      <c r="BG108" s="148" t="str">
        <f t="shared" si="80"/>
        <v>11/26/2017 10:30-&gt;CHILD B - COL 2</v>
      </c>
      <c r="BH108" s="148" t="str">
        <f t="shared" si="81"/>
        <v>11/26/2017 10:30-&gt;JCC Basketball Out 1</v>
      </c>
      <c r="BI108" s="148" t="str">
        <f t="shared" si="82"/>
        <v>Basketball in JCC Basketball Out 1 (ARG1-COL2)</v>
      </c>
      <c r="BJ108" s="148" t="str">
        <f t="shared" si="83"/>
        <v>Ch B Coed Basketball-- CHILD B - ARG 1 vs. CHILD B - COL 2</v>
      </c>
      <c r="BK108" s="148" t="str">
        <f t="shared" si="84"/>
        <v>Basketball</v>
      </c>
      <c r="BL108" s="148" t="str">
        <f t="shared" si="85"/>
        <v>CHILD B - ARG 1</v>
      </c>
      <c r="BM108" s="148" t="str">
        <f t="shared" si="86"/>
        <v>CHILD B - COL 2</v>
      </c>
      <c r="BN108" s="148" t="str">
        <f t="shared" si="87"/>
        <v>Round - 1</v>
      </c>
      <c r="BP108" s="148" t="str">
        <f t="shared" si="88"/>
        <v>no t, f, or sf</v>
      </c>
      <c r="BQ108" s="148" t="str">
        <f t="shared" si="89"/>
        <v/>
      </c>
    </row>
    <row r="109" spans="1:69" ht="15" customHeight="1" x14ac:dyDescent="0.2">
      <c r="A109" s="376">
        <v>107</v>
      </c>
      <c r="B109" s="441" t="s">
        <v>37</v>
      </c>
      <c r="C109" s="319" t="s">
        <v>518</v>
      </c>
      <c r="D109" s="376">
        <v>1</v>
      </c>
      <c r="E109" s="376">
        <v>1</v>
      </c>
      <c r="F109" s="315" t="s">
        <v>770</v>
      </c>
      <c r="G109" s="320">
        <v>43058</v>
      </c>
      <c r="H109" s="318">
        <v>0.4375</v>
      </c>
      <c r="I109" s="325" t="s">
        <v>770</v>
      </c>
      <c r="J109" s="319" t="s">
        <v>706</v>
      </c>
      <c r="K109" s="319">
        <v>24</v>
      </c>
      <c r="L109" s="433" t="s">
        <v>552</v>
      </c>
      <c r="M109" s="433">
        <v>24</v>
      </c>
      <c r="N109" s="433" t="s">
        <v>558</v>
      </c>
      <c r="O109" s="153" t="str">
        <f>IF(L109&lt;&gt;"",IFERROR(VLOOKUP(B109&amp;L109,Pools!$A$2:$D$130,3,FALSE),""),"")</f>
        <v>Pool B</v>
      </c>
      <c r="P109" s="388">
        <v>3</v>
      </c>
      <c r="Q109" s="388">
        <v>6</v>
      </c>
      <c r="R109" s="306" t="str">
        <f t="shared" si="45"/>
        <v>3-6</v>
      </c>
      <c r="S109" s="153"/>
      <c r="T109" s="148" t="str">
        <f t="shared" si="46"/>
        <v>Completed</v>
      </c>
      <c r="U109" s="153"/>
      <c r="V109" s="153"/>
      <c r="W109" s="387">
        <f t="shared" si="47"/>
        <v>-3</v>
      </c>
      <c r="X109" s="387">
        <f t="shared" si="48"/>
        <v>3</v>
      </c>
      <c r="Y109" s="301">
        <f t="shared" si="49"/>
        <v>0</v>
      </c>
      <c r="Z109" s="301">
        <f t="shared" si="50"/>
        <v>2</v>
      </c>
      <c r="AA109" s="323" t="str">
        <f>CONCATENATE("                x[team1,team2,sport,'",IF(OR(I109="x",I109=""),VLOOKUP('Schedule from TM'!J109,Tables!$P$3:$Q$33,2,FALSE),'Schedule from TM'!I109),",",J109,"','",IF(OR(F109="x",F109=""),VLOOKUP('Schedule from TM'!G109,Tables!$U$3:$V$14,2,FALSE),'Schedule from TM'!F109),",",TEXT(G109,"mm/dd/yyyy"),"','",TEXT(H109,"h:mm:ss AM/PM"),"'].ub=0.0      #",B109)</f>
        <v xml:space="preserve">                x[team1,team2,sport,'21,Hillel - Field 4','11,11/19/2017','10:30:00 AM'].ub=0.0      #Ch B Coed Kickball</v>
      </c>
      <c r="AB109" s="301" t="str">
        <f t="shared" si="51"/>
        <v>,,Ch B Coed Kickball,Pool B,1,CHILD B - ARG 1</v>
      </c>
      <c r="AC109" s="153" t="str">
        <f t="shared" si="52"/>
        <v>Ch B Coed KickballPool BCHILD B - ARG 1</v>
      </c>
      <c r="AD109" s="301" t="str">
        <f t="shared" si="53"/>
        <v>,,Ch B Coed Kickball,Pool B,1,CHILD B - USA 1</v>
      </c>
      <c r="AE109" s="153" t="str">
        <f t="shared" si="54"/>
        <v>Ch B Coed KickballPool BCHILD B - USA 1</v>
      </c>
      <c r="AF109" s="383">
        <f t="shared" si="55"/>
        <v>0</v>
      </c>
      <c r="AG109" s="383">
        <f t="shared" si="56"/>
        <v>1</v>
      </c>
      <c r="AH109" s="383">
        <f t="shared" si="57"/>
        <v>0</v>
      </c>
      <c r="AI109" s="383">
        <f t="shared" si="58"/>
        <v>1</v>
      </c>
      <c r="AJ109" s="383">
        <f t="shared" si="59"/>
        <v>0</v>
      </c>
      <c r="AK109" s="383">
        <f t="shared" si="60"/>
        <v>0</v>
      </c>
      <c r="AM109" s="148" t="str">
        <f t="shared" si="61"/>
        <v>Schedulled</v>
      </c>
      <c r="AN109" s="148" t="str">
        <f t="shared" si="62"/>
        <v/>
      </c>
      <c r="AO109" s="156">
        <f t="shared" si="63"/>
        <v>43058.4375</v>
      </c>
      <c r="AP109" s="148" t="str">
        <f t="shared" si="64"/>
        <v>11/19/2017 10:30-&gt;Hillel - Field 4</v>
      </c>
      <c r="AQ109" s="374">
        <f t="shared" si="65"/>
        <v>1</v>
      </c>
      <c r="AR109" s="148" t="str">
        <f t="shared" si="66"/>
        <v>ARG1</v>
      </c>
      <c r="AS109" s="148" t="str">
        <f t="shared" si="67"/>
        <v>USA1</v>
      </c>
      <c r="AT109" s="157" t="str">
        <f t="shared" si="68"/>
        <v>ARG1-USA1</v>
      </c>
      <c r="AU109" s="157" t="str">
        <f t="shared" si="69"/>
        <v xml:space="preserve">ARG1-USA1 </v>
      </c>
      <c r="AV109" s="157" t="str">
        <f t="shared" si="70"/>
        <v>CHILDREN B COED</v>
      </c>
      <c r="AW109" s="157" t="str">
        <f t="shared" si="71"/>
        <v>Kickball</v>
      </c>
      <c r="AX109" s="376">
        <f t="shared" si="72"/>
        <v>107</v>
      </c>
      <c r="AY109" s="148" t="str">
        <f t="shared" si="73"/>
        <v>CHILD B - ARG 1-&gt;CHILD B - USA 1</v>
      </c>
      <c r="AZ109" s="148" t="str">
        <f t="shared" si="74"/>
        <v>11/19/2017 10:30-&gt;CHILD B - ARG 1</v>
      </c>
      <c r="BA109" s="148" t="str">
        <f t="shared" si="75"/>
        <v>11/19/2017 10:30-&gt;CHILD B - USA 1</v>
      </c>
      <c r="BB109" s="374">
        <f t="shared" si="76"/>
        <v>1</v>
      </c>
      <c r="BC109" s="374">
        <f t="shared" si="77"/>
        <v>1</v>
      </c>
      <c r="BD109" s="148" t="str">
        <f t="shared" si="78"/>
        <v>no conflict</v>
      </c>
      <c r="BF109" s="148" t="str">
        <f t="shared" si="79"/>
        <v>11/19/2017 10:30-&gt;CHILD B - ARG 1</v>
      </c>
      <c r="BG109" s="148" t="str">
        <f t="shared" si="80"/>
        <v>11/19/2017 10:30-&gt;CHILD B - USA 1</v>
      </c>
      <c r="BH109" s="148" t="str">
        <f t="shared" si="81"/>
        <v>11/19/2017 10:30-&gt;Hillel - Field 4</v>
      </c>
      <c r="BI109" s="148" t="str">
        <f t="shared" si="82"/>
        <v>Kickball in Hillel - Field 4 (ARG1-USA1)</v>
      </c>
      <c r="BJ109" s="148" t="str">
        <f t="shared" si="83"/>
        <v>Ch B Coed Kickball-- CHILD B - ARG 1 vs. CHILD B - USA 1</v>
      </c>
      <c r="BK109" s="148" t="str">
        <f t="shared" si="84"/>
        <v>Kickball</v>
      </c>
      <c r="BL109" s="148" t="str">
        <f t="shared" si="85"/>
        <v>CHILD B - ARG 1</v>
      </c>
      <c r="BM109" s="148" t="str">
        <f t="shared" si="86"/>
        <v>CHILD B - USA 1</v>
      </c>
      <c r="BN109" s="148" t="str">
        <f t="shared" si="87"/>
        <v>Round - 1</v>
      </c>
      <c r="BP109" s="148" t="str">
        <f t="shared" si="88"/>
        <v>no t, f, or sf</v>
      </c>
      <c r="BQ109" s="148" t="str">
        <f t="shared" si="89"/>
        <v/>
      </c>
    </row>
    <row r="110" spans="1:69" ht="15" customHeight="1" x14ac:dyDescent="0.2">
      <c r="A110" s="376">
        <v>108</v>
      </c>
      <c r="B110" s="441" t="s">
        <v>37</v>
      </c>
      <c r="C110" s="441" t="s">
        <v>518</v>
      </c>
      <c r="D110" s="450">
        <v>1</v>
      </c>
      <c r="E110" s="450">
        <v>1</v>
      </c>
      <c r="F110" s="315" t="s">
        <v>770</v>
      </c>
      <c r="G110" s="320">
        <v>43058</v>
      </c>
      <c r="H110" s="317">
        <v>0.50694444444444442</v>
      </c>
      <c r="I110" s="325" t="s">
        <v>770</v>
      </c>
      <c r="J110" s="441" t="s">
        <v>706</v>
      </c>
      <c r="K110" s="441">
        <v>24</v>
      </c>
      <c r="L110" s="433" t="s">
        <v>555</v>
      </c>
      <c r="M110" s="433">
        <v>24</v>
      </c>
      <c r="N110" s="433" t="s">
        <v>558</v>
      </c>
      <c r="O110" s="153" t="str">
        <f>IF(L110&lt;&gt;"",IFERROR(VLOOKUP(B110&amp;L110,Pools!$A$2:$D$130,3,FALSE),""),"")</f>
        <v>Pool B</v>
      </c>
      <c r="P110" s="388">
        <v>5</v>
      </c>
      <c r="Q110" s="388">
        <v>4</v>
      </c>
      <c r="R110" s="306" t="str">
        <f t="shared" si="45"/>
        <v>5-4</v>
      </c>
      <c r="S110" s="153"/>
      <c r="T110" s="148" t="str">
        <f t="shared" si="46"/>
        <v>Completed</v>
      </c>
      <c r="U110" s="153"/>
      <c r="V110" s="153"/>
      <c r="W110" s="387">
        <f t="shared" si="47"/>
        <v>1</v>
      </c>
      <c r="X110" s="387">
        <f t="shared" si="48"/>
        <v>-1</v>
      </c>
      <c r="Y110" s="301">
        <f t="shared" si="49"/>
        <v>2</v>
      </c>
      <c r="Z110" s="301">
        <f t="shared" si="50"/>
        <v>0</v>
      </c>
      <c r="AA110" s="323" t="str">
        <f>CONCATENATE("                x[team1,team2,sport,'",IF(OR(I110="x",I110=""),VLOOKUP('Schedule from TM'!J110,Tables!$P$3:$Q$33,2,FALSE),'Schedule from TM'!I110),",",J110,"','",IF(OR(F110="x",F110=""),VLOOKUP('Schedule from TM'!G110,Tables!$U$3:$V$14,2,FALSE),'Schedule from TM'!F110),",",TEXT(G110,"mm/dd/yyyy"),"','",TEXT(H110,"h:mm:ss AM/PM"),"'].ub=0.0      #",B110)</f>
        <v xml:space="preserve">                x[team1,team2,sport,'21,Hillel - Field 4','11,11/19/2017','12:10:00 PM'].ub=0.0      #Ch B Coed Kickball</v>
      </c>
      <c r="AB110" s="301" t="str">
        <f t="shared" si="51"/>
        <v>,,Ch B Coed Kickball,Pool B,1,CHILD B - COL 2</v>
      </c>
      <c r="AC110" s="153" t="str">
        <f t="shared" si="52"/>
        <v>Ch B Coed KickballPool BCHILD B - COL 2</v>
      </c>
      <c r="AD110" s="301" t="str">
        <f t="shared" si="53"/>
        <v>,,Ch B Coed Kickball,Pool B,1,CHILD B - USA 1</v>
      </c>
      <c r="AE110" s="153" t="str">
        <f t="shared" si="54"/>
        <v>Ch B Coed KickballPool BCHILD B - USA 1</v>
      </c>
      <c r="AF110" s="383">
        <f t="shared" si="55"/>
        <v>1</v>
      </c>
      <c r="AG110" s="383">
        <f t="shared" si="56"/>
        <v>0</v>
      </c>
      <c r="AH110" s="383">
        <f t="shared" si="57"/>
        <v>0</v>
      </c>
      <c r="AI110" s="383">
        <f t="shared" si="58"/>
        <v>0</v>
      </c>
      <c r="AJ110" s="383">
        <f t="shared" si="59"/>
        <v>1</v>
      </c>
      <c r="AK110" s="383">
        <f t="shared" si="60"/>
        <v>0</v>
      </c>
      <c r="AM110" s="148" t="str">
        <f t="shared" si="61"/>
        <v>Schedulled</v>
      </c>
      <c r="AN110" s="148" t="str">
        <f t="shared" si="62"/>
        <v/>
      </c>
      <c r="AO110" s="156">
        <f t="shared" si="63"/>
        <v>43058.506944444445</v>
      </c>
      <c r="AP110" s="148" t="str">
        <f t="shared" si="64"/>
        <v>11/19/2017 12:10-&gt;Hillel - Field 4</v>
      </c>
      <c r="AQ110" s="374">
        <f t="shared" si="65"/>
        <v>1</v>
      </c>
      <c r="AR110" s="148" t="str">
        <f t="shared" si="66"/>
        <v>COL2</v>
      </c>
      <c r="AS110" s="148" t="str">
        <f t="shared" si="67"/>
        <v>USA1</v>
      </c>
      <c r="AT110" s="157" t="str">
        <f t="shared" si="68"/>
        <v>COL2-USA1</v>
      </c>
      <c r="AU110" s="157" t="str">
        <f t="shared" si="69"/>
        <v xml:space="preserve">COL2-USA1 </v>
      </c>
      <c r="AV110" s="157" t="str">
        <f t="shared" si="70"/>
        <v>CHILDREN B COED</v>
      </c>
      <c r="AW110" s="157" t="str">
        <f t="shared" si="71"/>
        <v>Kickball</v>
      </c>
      <c r="AX110" s="376">
        <f t="shared" si="72"/>
        <v>108</v>
      </c>
      <c r="AY110" s="148" t="str">
        <f t="shared" si="73"/>
        <v>CHILD B - COL 2-&gt;CHILD B - USA 1</v>
      </c>
      <c r="AZ110" s="148" t="str">
        <f t="shared" si="74"/>
        <v>11/19/2017 12:10-&gt;CHILD B - COL 2</v>
      </c>
      <c r="BA110" s="148" t="str">
        <f t="shared" si="75"/>
        <v>11/19/2017 12:10-&gt;CHILD B - USA 1</v>
      </c>
      <c r="BB110" s="374">
        <f t="shared" si="76"/>
        <v>1</v>
      </c>
      <c r="BC110" s="374">
        <f t="shared" si="77"/>
        <v>1</v>
      </c>
      <c r="BD110" s="148" t="str">
        <f t="shared" si="78"/>
        <v>no conflict</v>
      </c>
      <c r="BF110" s="148" t="str">
        <f t="shared" si="79"/>
        <v>11/19/2017 12:10-&gt;CHILD B - COL 2</v>
      </c>
      <c r="BG110" s="148" t="str">
        <f t="shared" si="80"/>
        <v>11/19/2017 12:10-&gt;CHILD B - USA 1</v>
      </c>
      <c r="BH110" s="148" t="str">
        <f t="shared" si="81"/>
        <v>11/19/2017 12:10-&gt;Hillel - Field 4</v>
      </c>
      <c r="BI110" s="148" t="str">
        <f t="shared" si="82"/>
        <v>Kickball in Hillel - Field 4 (COL2-USA1)</v>
      </c>
      <c r="BJ110" s="148" t="str">
        <f t="shared" si="83"/>
        <v>Ch B Coed Kickball-- CHILD B - COL 2 vs. CHILD B - USA 1</v>
      </c>
      <c r="BK110" s="148" t="str">
        <f t="shared" si="84"/>
        <v>Kickball</v>
      </c>
      <c r="BL110" s="148" t="str">
        <f t="shared" si="85"/>
        <v>CHILD B - COL 2</v>
      </c>
      <c r="BM110" s="148" t="str">
        <f t="shared" si="86"/>
        <v>CHILD B - USA 1</v>
      </c>
      <c r="BN110" s="148" t="str">
        <f t="shared" si="87"/>
        <v>Round - 1</v>
      </c>
      <c r="BP110" s="148" t="str">
        <f t="shared" si="88"/>
        <v>no t, f, or sf</v>
      </c>
      <c r="BQ110" s="148" t="str">
        <f t="shared" si="89"/>
        <v/>
      </c>
    </row>
    <row r="111" spans="1:69" ht="15" customHeight="1" x14ac:dyDescent="0.2">
      <c r="A111" s="376">
        <v>109</v>
      </c>
      <c r="B111" s="444" t="s">
        <v>37</v>
      </c>
      <c r="C111" s="444" t="s">
        <v>518</v>
      </c>
      <c r="D111" s="451">
        <v>1</v>
      </c>
      <c r="E111" s="451">
        <v>1</v>
      </c>
      <c r="F111" s="315" t="s">
        <v>770</v>
      </c>
      <c r="G111" s="445">
        <v>43058</v>
      </c>
      <c r="H111" s="317">
        <v>0.50694444444444442</v>
      </c>
      <c r="I111" s="325" t="s">
        <v>770</v>
      </c>
      <c r="J111" s="444" t="s">
        <v>705</v>
      </c>
      <c r="K111" s="444">
        <v>24</v>
      </c>
      <c r="L111" s="433" t="s">
        <v>559</v>
      </c>
      <c r="M111" s="433">
        <v>24</v>
      </c>
      <c r="N111" s="433" t="s">
        <v>560</v>
      </c>
      <c r="O111" s="153" t="str">
        <f>IF(L111&lt;&gt;"",IFERROR(VLOOKUP(B111&amp;L111,Pools!$A$2:$D$130,3,FALSE),""),"")</f>
        <v>Pool A</v>
      </c>
      <c r="P111" s="388">
        <v>7</v>
      </c>
      <c r="Q111" s="388">
        <v>5</v>
      </c>
      <c r="R111" s="306" t="str">
        <f t="shared" si="45"/>
        <v>7-5</v>
      </c>
      <c r="S111" s="153"/>
      <c r="T111" s="148" t="str">
        <f t="shared" si="46"/>
        <v>Completed</v>
      </c>
      <c r="U111" s="153"/>
      <c r="V111" s="153"/>
      <c r="W111" s="387">
        <f t="shared" si="47"/>
        <v>2</v>
      </c>
      <c r="X111" s="387">
        <f t="shared" si="48"/>
        <v>-2</v>
      </c>
      <c r="Y111" s="301">
        <f t="shared" si="49"/>
        <v>2</v>
      </c>
      <c r="Z111" s="301">
        <f t="shared" si="50"/>
        <v>0</v>
      </c>
      <c r="AA111" s="323" t="str">
        <f>CONCATENATE("                x[team1,team2,sport,'",IF(OR(I111="x",I111=""),VLOOKUP('Schedule from TM'!J111,Tables!$P$3:$Q$33,2,FALSE),'Schedule from TM'!I111),",",J111,"','",IF(OR(F111="x",F111=""),VLOOKUP('Schedule from TM'!G111,Tables!$U$3:$V$14,2,FALSE),'Schedule from TM'!F111),",",TEXT(G111,"mm/dd/yyyy"),"','",TEXT(H111,"h:mm:ss AM/PM"),"'].ub=0.0      #",B111)</f>
        <v xml:space="preserve">                x[team1,team2,sport,'21,Hillel - Field 3','11,11/19/2017','12:10:00 PM'].ub=0.0      #Ch B Coed Kickball</v>
      </c>
      <c r="AB111" s="301" t="str">
        <f t="shared" si="51"/>
        <v>,,Ch B Coed Kickball,Pool A,1,CHILD B - USA 2</v>
      </c>
      <c r="AC111" s="153" t="str">
        <f t="shared" si="52"/>
        <v>Ch B Coed KickballPool ACHILD B - USA 2</v>
      </c>
      <c r="AD111" s="301" t="str">
        <f t="shared" si="53"/>
        <v>,,Ch B Coed Kickball,Pool A,1,CHILD B - VEN 1</v>
      </c>
      <c r="AE111" s="153" t="str">
        <f t="shared" si="54"/>
        <v>Ch B Coed KickballPool ACHILD B - VEN 1</v>
      </c>
      <c r="AF111" s="383">
        <f t="shared" si="55"/>
        <v>1</v>
      </c>
      <c r="AG111" s="383">
        <f t="shared" si="56"/>
        <v>0</v>
      </c>
      <c r="AH111" s="383">
        <f t="shared" si="57"/>
        <v>0</v>
      </c>
      <c r="AI111" s="383">
        <f t="shared" si="58"/>
        <v>0</v>
      </c>
      <c r="AJ111" s="383">
        <f t="shared" si="59"/>
        <v>1</v>
      </c>
      <c r="AK111" s="383">
        <f t="shared" si="60"/>
        <v>0</v>
      </c>
      <c r="AM111" s="148" t="str">
        <f t="shared" si="61"/>
        <v>Schedulled</v>
      </c>
      <c r="AN111" s="148" t="str">
        <f t="shared" si="62"/>
        <v/>
      </c>
      <c r="AO111" s="156">
        <f t="shared" si="63"/>
        <v>43058.506944444445</v>
      </c>
      <c r="AP111" s="148" t="str">
        <f t="shared" si="64"/>
        <v>11/19/2017 12:10-&gt;Hillel - Field 3</v>
      </c>
      <c r="AQ111" s="374">
        <f t="shared" si="65"/>
        <v>1</v>
      </c>
      <c r="AR111" s="148" t="str">
        <f t="shared" si="66"/>
        <v>USA2</v>
      </c>
      <c r="AS111" s="148" t="str">
        <f t="shared" si="67"/>
        <v>VEN1</v>
      </c>
      <c r="AT111" s="157" t="str">
        <f t="shared" si="68"/>
        <v>USA2-VEN1</v>
      </c>
      <c r="AU111" s="157" t="str">
        <f t="shared" si="69"/>
        <v xml:space="preserve">USA2-VEN1 </v>
      </c>
      <c r="AV111" s="157" t="str">
        <f t="shared" si="70"/>
        <v>CHILDREN B COED</v>
      </c>
      <c r="AW111" s="157" t="str">
        <f t="shared" si="71"/>
        <v>Kickball</v>
      </c>
      <c r="AX111" s="376">
        <f t="shared" si="72"/>
        <v>109</v>
      </c>
      <c r="AY111" s="148" t="str">
        <f t="shared" si="73"/>
        <v>CHILD B - USA 2-&gt;CHILD B - VEN 1</v>
      </c>
      <c r="AZ111" s="148" t="str">
        <f t="shared" si="74"/>
        <v>11/19/2017 12:10-&gt;CHILD B - USA 2</v>
      </c>
      <c r="BA111" s="148" t="str">
        <f t="shared" si="75"/>
        <v>11/19/2017 12:10-&gt;CHILD B - VEN 1</v>
      </c>
      <c r="BB111" s="374">
        <f t="shared" si="76"/>
        <v>1</v>
      </c>
      <c r="BC111" s="374">
        <f t="shared" si="77"/>
        <v>1</v>
      </c>
      <c r="BD111" s="148" t="str">
        <f t="shared" si="78"/>
        <v>no conflict</v>
      </c>
      <c r="BF111" s="148" t="str">
        <f t="shared" si="79"/>
        <v>11/19/2017 12:10-&gt;CHILD B - USA 2</v>
      </c>
      <c r="BG111" s="148" t="str">
        <f t="shared" si="80"/>
        <v>11/19/2017 12:10-&gt;CHILD B - VEN 1</v>
      </c>
      <c r="BH111" s="148" t="str">
        <f t="shared" si="81"/>
        <v>11/19/2017 12:10-&gt;Hillel - Field 3</v>
      </c>
      <c r="BI111" s="148" t="str">
        <f t="shared" si="82"/>
        <v>Kickball in Hillel - Field 3 (USA2-VEN1)</v>
      </c>
      <c r="BJ111" s="148" t="str">
        <f t="shared" si="83"/>
        <v>Ch B Coed Kickball-- CHILD B - USA 2 vs. CHILD B - VEN 1</v>
      </c>
      <c r="BK111" s="148" t="str">
        <f t="shared" si="84"/>
        <v>Kickball</v>
      </c>
      <c r="BL111" s="148" t="str">
        <f t="shared" si="85"/>
        <v>CHILD B - USA 2</v>
      </c>
      <c r="BM111" s="148" t="str">
        <f t="shared" si="86"/>
        <v>CHILD B - VEN 1</v>
      </c>
      <c r="BN111" s="148" t="str">
        <f t="shared" si="87"/>
        <v>Round - 1</v>
      </c>
      <c r="BP111" s="148" t="str">
        <f t="shared" si="88"/>
        <v>no t, f, or sf</v>
      </c>
      <c r="BQ111" s="148" t="str">
        <f t="shared" si="89"/>
        <v/>
      </c>
    </row>
    <row r="112" spans="1:69" ht="15" customHeight="1" x14ac:dyDescent="0.2">
      <c r="A112" s="376">
        <v>110</v>
      </c>
      <c r="B112" s="441" t="s">
        <v>37</v>
      </c>
      <c r="C112" s="441" t="s">
        <v>518</v>
      </c>
      <c r="D112" s="450">
        <v>1</v>
      </c>
      <c r="E112" s="450">
        <v>1</v>
      </c>
      <c r="F112" s="315" t="s">
        <v>770</v>
      </c>
      <c r="G112" s="320">
        <v>43062</v>
      </c>
      <c r="H112" s="318">
        <v>0.33333333333333331</v>
      </c>
      <c r="I112" s="325" t="s">
        <v>770</v>
      </c>
      <c r="J112" s="441" t="s">
        <v>705</v>
      </c>
      <c r="K112" s="441">
        <v>24</v>
      </c>
      <c r="L112" s="433" t="s">
        <v>557</v>
      </c>
      <c r="M112" s="433">
        <v>24</v>
      </c>
      <c r="N112" s="433" t="s">
        <v>560</v>
      </c>
      <c r="O112" s="153" t="str">
        <f>IF(L112&lt;&gt;"",IFERROR(VLOOKUP(B112&amp;L112,Pools!$A$2:$D$130,3,FALSE),""),"")</f>
        <v>Pool A</v>
      </c>
      <c r="P112" s="388">
        <v>8</v>
      </c>
      <c r="Q112" s="388">
        <v>6</v>
      </c>
      <c r="R112" s="306" t="str">
        <f t="shared" si="45"/>
        <v>8-6</v>
      </c>
      <c r="S112" s="153"/>
      <c r="T112" s="148" t="str">
        <f t="shared" si="46"/>
        <v>Completed</v>
      </c>
      <c r="U112" s="153"/>
      <c r="V112" s="153"/>
      <c r="W112" s="387">
        <f t="shared" si="47"/>
        <v>2</v>
      </c>
      <c r="X112" s="387">
        <f t="shared" si="48"/>
        <v>-2</v>
      </c>
      <c r="Y112" s="301">
        <f t="shared" si="49"/>
        <v>2</v>
      </c>
      <c r="Z112" s="301">
        <f t="shared" si="50"/>
        <v>0</v>
      </c>
      <c r="AA112" s="323" t="str">
        <f>CONCATENATE("                x[team1,team2,sport,'",IF(OR(I112="x",I112=""),VLOOKUP('Schedule from TM'!J112,Tables!$P$3:$Q$33,2,FALSE),'Schedule from TM'!I112),",",J112,"','",IF(OR(F112="x",F112=""),VLOOKUP('Schedule from TM'!G112,Tables!$U$3:$V$14,2,FALSE),'Schedule from TM'!F112),",",TEXT(G112,"mm/dd/yyyy"),"','",TEXT(H112,"h:mm:ss AM/PM"),"'].ub=0.0      #",B112)</f>
        <v xml:space="preserve">                x[team1,team2,sport,'21,Hillel - Field 3','11,11/23/2017','8:00:00 AM'].ub=0.0      #Ch B Coed Kickball</v>
      </c>
      <c r="AB112" s="301" t="str">
        <f t="shared" si="51"/>
        <v>,,Ch B Coed Kickball,Pool A,1,CHILD B - MEX</v>
      </c>
      <c r="AC112" s="153" t="str">
        <f t="shared" si="52"/>
        <v>Ch B Coed KickballPool ACHILD B - MEX</v>
      </c>
      <c r="AD112" s="301" t="str">
        <f t="shared" si="53"/>
        <v>,,Ch B Coed Kickball,Pool A,1,CHILD B - VEN 1</v>
      </c>
      <c r="AE112" s="153" t="str">
        <f t="shared" si="54"/>
        <v>Ch B Coed KickballPool ACHILD B - VEN 1</v>
      </c>
      <c r="AF112" s="383">
        <f t="shared" si="55"/>
        <v>1</v>
      </c>
      <c r="AG112" s="383">
        <f t="shared" si="56"/>
        <v>0</v>
      </c>
      <c r="AH112" s="383">
        <f t="shared" si="57"/>
        <v>0</v>
      </c>
      <c r="AI112" s="383">
        <f t="shared" si="58"/>
        <v>0</v>
      </c>
      <c r="AJ112" s="383">
        <f t="shared" si="59"/>
        <v>1</v>
      </c>
      <c r="AK112" s="383">
        <f t="shared" si="60"/>
        <v>0</v>
      </c>
      <c r="AM112" s="148" t="str">
        <f t="shared" si="61"/>
        <v>Schedulled</v>
      </c>
      <c r="AN112" s="148" t="str">
        <f t="shared" si="62"/>
        <v/>
      </c>
      <c r="AO112" s="156">
        <f t="shared" si="63"/>
        <v>43062.333333333336</v>
      </c>
      <c r="AP112" s="148" t="str">
        <f t="shared" si="64"/>
        <v>11/23/2017 08:00-&gt;Hillel - Field 3</v>
      </c>
      <c r="AQ112" s="374">
        <f t="shared" si="65"/>
        <v>1</v>
      </c>
      <c r="AR112" s="148" t="str">
        <f t="shared" si="66"/>
        <v>MEX</v>
      </c>
      <c r="AS112" s="148" t="str">
        <f t="shared" si="67"/>
        <v>VEN1</v>
      </c>
      <c r="AT112" s="157" t="str">
        <f t="shared" si="68"/>
        <v>MEX-VEN1</v>
      </c>
      <c r="AU112" s="157" t="str">
        <f t="shared" si="69"/>
        <v xml:space="preserve">MEX-VEN1 </v>
      </c>
      <c r="AV112" s="157" t="str">
        <f t="shared" si="70"/>
        <v>CHILDREN B COED</v>
      </c>
      <c r="AW112" s="157" t="str">
        <f t="shared" si="71"/>
        <v>Kickball</v>
      </c>
      <c r="AX112" s="376">
        <f t="shared" si="72"/>
        <v>110</v>
      </c>
      <c r="AY112" s="148" t="str">
        <f t="shared" si="73"/>
        <v>CHILD B - MEX-&gt;CHILD B - VEN 1</v>
      </c>
      <c r="AZ112" s="148" t="str">
        <f t="shared" si="74"/>
        <v>11/23/2017 08:00-&gt;CHILD B - MEX</v>
      </c>
      <c r="BA112" s="148" t="str">
        <f t="shared" si="75"/>
        <v>11/23/2017 08:00-&gt;CHILD B - VEN 1</v>
      </c>
      <c r="BB112" s="374">
        <f t="shared" si="76"/>
        <v>1</v>
      </c>
      <c r="BC112" s="374">
        <f t="shared" si="77"/>
        <v>1</v>
      </c>
      <c r="BD112" s="148" t="str">
        <f t="shared" si="78"/>
        <v>no conflict</v>
      </c>
      <c r="BF112" s="148" t="str">
        <f t="shared" si="79"/>
        <v>11/23/2017 08:00-&gt;CHILD B - MEX</v>
      </c>
      <c r="BG112" s="148" t="str">
        <f t="shared" si="80"/>
        <v>11/23/2017 08:00-&gt;CHILD B - VEN 1</v>
      </c>
      <c r="BH112" s="148" t="str">
        <f t="shared" si="81"/>
        <v>11/23/2017 08:00-&gt;Hillel - Field 3</v>
      </c>
      <c r="BI112" s="148" t="str">
        <f t="shared" si="82"/>
        <v>Kickball in Hillel - Field 3 (MEX-VEN1)</v>
      </c>
      <c r="BJ112" s="148" t="str">
        <f t="shared" si="83"/>
        <v>Ch B Coed Kickball-- CHILD B - MEX vs. CHILD B - VEN 1</v>
      </c>
      <c r="BK112" s="148" t="str">
        <f t="shared" si="84"/>
        <v>Kickball</v>
      </c>
      <c r="BL112" s="148" t="str">
        <f t="shared" si="85"/>
        <v>CHILD B - MEX</v>
      </c>
      <c r="BM112" s="148" t="str">
        <f t="shared" si="86"/>
        <v>CHILD B - VEN 1</v>
      </c>
      <c r="BN112" s="148" t="str">
        <f t="shared" si="87"/>
        <v>Round - 1</v>
      </c>
      <c r="BP112" s="148" t="str">
        <f t="shared" si="88"/>
        <v>no t, f, or sf</v>
      </c>
      <c r="BQ112" s="148" t="str">
        <f t="shared" si="89"/>
        <v/>
      </c>
    </row>
    <row r="113" spans="1:69" ht="15" customHeight="1" x14ac:dyDescent="0.2">
      <c r="A113" s="376">
        <v>111</v>
      </c>
      <c r="B113" s="315" t="s">
        <v>37</v>
      </c>
      <c r="C113" s="315" t="s">
        <v>518</v>
      </c>
      <c r="D113" s="378">
        <v>1</v>
      </c>
      <c r="E113" s="378">
        <v>1</v>
      </c>
      <c r="F113" s="315" t="s">
        <v>770</v>
      </c>
      <c r="G113" s="316">
        <v>43062</v>
      </c>
      <c r="H113" s="317">
        <v>0.36805555555555558</v>
      </c>
      <c r="I113" s="325" t="s">
        <v>770</v>
      </c>
      <c r="J113" s="315" t="s">
        <v>706</v>
      </c>
      <c r="K113" s="315">
        <v>24</v>
      </c>
      <c r="L113" t="s">
        <v>554</v>
      </c>
      <c r="M113">
        <v>24</v>
      </c>
      <c r="N113" t="s">
        <v>555</v>
      </c>
      <c r="O113" s="153" t="str">
        <f>IF(L113&lt;&gt;"",IFERROR(VLOOKUP(B113&amp;L113,Pools!$A$2:$D$130,3,FALSE),""),"")</f>
        <v>Pool B</v>
      </c>
      <c r="P113" s="388">
        <v>6</v>
      </c>
      <c r="Q113" s="388">
        <v>11</v>
      </c>
      <c r="R113" s="306" t="str">
        <f t="shared" si="45"/>
        <v>6-11</v>
      </c>
      <c r="S113" s="153"/>
      <c r="T113" s="148" t="str">
        <f t="shared" si="46"/>
        <v>Completed</v>
      </c>
      <c r="U113" s="153"/>
      <c r="V113" s="153"/>
      <c r="W113" s="387">
        <f t="shared" si="47"/>
        <v>-5</v>
      </c>
      <c r="X113" s="387">
        <f t="shared" si="48"/>
        <v>5</v>
      </c>
      <c r="Y113" s="301">
        <f t="shared" si="49"/>
        <v>0</v>
      </c>
      <c r="Z113" s="301">
        <f t="shared" si="50"/>
        <v>2</v>
      </c>
      <c r="AA113" s="323" t="str">
        <f>CONCATENATE("                x[team1,team2,sport,'",IF(OR(I113="x",I113=""),VLOOKUP('Schedule from TM'!J113,Tables!$P$3:$Q$33,2,FALSE),'Schedule from TM'!I113),",",J113,"','",IF(OR(F113="x",F113=""),VLOOKUP('Schedule from TM'!G113,Tables!$U$3:$V$14,2,FALSE),'Schedule from TM'!F113),",",TEXT(G113,"mm/dd/yyyy"),"','",TEXT(H113,"h:mm:ss AM/PM"),"'].ub=0.0      #",B113)</f>
        <v xml:space="preserve">                x[team1,team2,sport,'21,Hillel - Field 4','11,11/23/2017','8:50:00 AM'].ub=0.0      #Ch B Coed Kickball</v>
      </c>
      <c r="AB113" s="301" t="str">
        <f t="shared" si="51"/>
        <v>,,Ch B Coed Kickball,Pool B,1,CHILD B - COL 1</v>
      </c>
      <c r="AC113" s="153" t="str">
        <f t="shared" si="52"/>
        <v>Ch B Coed KickballPool BCHILD B - COL 1</v>
      </c>
      <c r="AD113" s="301" t="str">
        <f t="shared" si="53"/>
        <v>,,Ch B Coed Kickball,Pool B,1,CHILD B - COL 2</v>
      </c>
      <c r="AE113" s="153" t="str">
        <f t="shared" si="54"/>
        <v>Ch B Coed KickballPool BCHILD B - COL 2</v>
      </c>
      <c r="AF113" s="383">
        <f t="shared" si="55"/>
        <v>0</v>
      </c>
      <c r="AG113" s="383">
        <f t="shared" si="56"/>
        <v>1</v>
      </c>
      <c r="AH113" s="383">
        <f t="shared" si="57"/>
        <v>0</v>
      </c>
      <c r="AI113" s="383">
        <f t="shared" si="58"/>
        <v>1</v>
      </c>
      <c r="AJ113" s="383">
        <f t="shared" si="59"/>
        <v>0</v>
      </c>
      <c r="AK113" s="383">
        <f t="shared" si="60"/>
        <v>0</v>
      </c>
      <c r="AM113" s="148" t="str">
        <f t="shared" si="61"/>
        <v>Schedulled</v>
      </c>
      <c r="AN113" s="148" t="str">
        <f t="shared" si="62"/>
        <v/>
      </c>
      <c r="AO113" s="156">
        <f t="shared" si="63"/>
        <v>43062.368055555555</v>
      </c>
      <c r="AP113" s="148" t="str">
        <f t="shared" si="64"/>
        <v>11/23/2017 08:50-&gt;Hillel - Field 4</v>
      </c>
      <c r="AQ113" s="374">
        <f t="shared" si="65"/>
        <v>1</v>
      </c>
      <c r="AR113" s="148" t="str">
        <f t="shared" si="66"/>
        <v>COL1</v>
      </c>
      <c r="AS113" s="148" t="str">
        <f t="shared" si="67"/>
        <v>COL2</v>
      </c>
      <c r="AT113" s="157" t="str">
        <f t="shared" si="68"/>
        <v>COL1-COL2</v>
      </c>
      <c r="AU113" s="157" t="str">
        <f t="shared" si="69"/>
        <v xml:space="preserve">COL1-COL2 </v>
      </c>
      <c r="AV113" s="157" t="str">
        <f t="shared" si="70"/>
        <v>CHILDREN B COED</v>
      </c>
      <c r="AW113" s="157" t="str">
        <f t="shared" si="71"/>
        <v>Kickball</v>
      </c>
      <c r="AX113" s="376">
        <f t="shared" si="72"/>
        <v>111</v>
      </c>
      <c r="AY113" s="148" t="str">
        <f t="shared" si="73"/>
        <v>CHILD B - COL 1-&gt;CHILD B - COL 2</v>
      </c>
      <c r="AZ113" s="148" t="str">
        <f t="shared" si="74"/>
        <v>11/23/2017 08:50-&gt;CHILD B - COL 1</v>
      </c>
      <c r="BA113" s="148" t="str">
        <f t="shared" si="75"/>
        <v>11/23/2017 08:50-&gt;CHILD B - COL 2</v>
      </c>
      <c r="BB113" s="374">
        <f t="shared" si="76"/>
        <v>1</v>
      </c>
      <c r="BC113" s="374">
        <f t="shared" si="77"/>
        <v>1</v>
      </c>
      <c r="BD113" s="148" t="str">
        <f t="shared" si="78"/>
        <v>no conflict</v>
      </c>
      <c r="BF113" s="148" t="str">
        <f t="shared" si="79"/>
        <v>11/23/2017 08:50-&gt;CHILD B - COL 1</v>
      </c>
      <c r="BG113" s="148" t="str">
        <f t="shared" si="80"/>
        <v>11/23/2017 08:50-&gt;CHILD B - COL 2</v>
      </c>
      <c r="BH113" s="148" t="str">
        <f t="shared" si="81"/>
        <v>11/23/2017 08:50-&gt;Hillel - Field 4</v>
      </c>
      <c r="BI113" s="148" t="str">
        <f t="shared" si="82"/>
        <v>Kickball in Hillel - Field 4 (COL1-COL2)</v>
      </c>
      <c r="BJ113" s="148" t="str">
        <f t="shared" si="83"/>
        <v>Ch B Coed Kickball-- CHILD B - COL 1 vs. CHILD B - COL 2</v>
      </c>
      <c r="BK113" s="148" t="str">
        <f t="shared" si="84"/>
        <v>Kickball</v>
      </c>
      <c r="BL113" s="148" t="str">
        <f t="shared" si="85"/>
        <v>CHILD B - COL 1</v>
      </c>
      <c r="BM113" s="148" t="str">
        <f t="shared" si="86"/>
        <v>CHILD B - COL 2</v>
      </c>
      <c r="BN113" s="148" t="str">
        <f t="shared" si="87"/>
        <v>Round - 1</v>
      </c>
      <c r="BP113" s="148" t="str">
        <f t="shared" si="88"/>
        <v>no t, f, or sf</v>
      </c>
      <c r="BQ113" s="148" t="str">
        <f t="shared" si="89"/>
        <v/>
      </c>
    </row>
    <row r="114" spans="1:69" ht="15" customHeight="1" x14ac:dyDescent="0.2">
      <c r="A114" s="376">
        <v>112</v>
      </c>
      <c r="B114" s="444" t="s">
        <v>37</v>
      </c>
      <c r="C114" s="444" t="s">
        <v>518</v>
      </c>
      <c r="D114" s="451">
        <v>1</v>
      </c>
      <c r="E114" s="451">
        <v>1</v>
      </c>
      <c r="F114" s="315" t="s">
        <v>770</v>
      </c>
      <c r="G114" s="445">
        <v>43062</v>
      </c>
      <c r="H114" s="317">
        <v>0.47222222222222227</v>
      </c>
      <c r="I114" s="325" t="s">
        <v>770</v>
      </c>
      <c r="J114" s="444" t="s">
        <v>704</v>
      </c>
      <c r="K114" s="444">
        <v>24</v>
      </c>
      <c r="L114" t="s">
        <v>554</v>
      </c>
      <c r="M114">
        <v>24</v>
      </c>
      <c r="N114" t="s">
        <v>558</v>
      </c>
      <c r="O114" s="153" t="str">
        <f>IF(L114&lt;&gt;"",IFERROR(VLOOKUP(B114&amp;L114,Pools!$A$2:$D$130,3,FALSE),""),"")</f>
        <v>Pool B</v>
      </c>
      <c r="P114" s="388">
        <v>10</v>
      </c>
      <c r="Q114" s="388">
        <v>12</v>
      </c>
      <c r="R114" s="306" t="str">
        <f t="shared" si="45"/>
        <v>10-12</v>
      </c>
      <c r="S114" s="153"/>
      <c r="T114" s="148" t="str">
        <f t="shared" si="46"/>
        <v>Completed</v>
      </c>
      <c r="U114" s="153"/>
      <c r="V114" s="153"/>
      <c r="W114" s="387">
        <f t="shared" si="47"/>
        <v>-2</v>
      </c>
      <c r="X114" s="387">
        <f t="shared" si="48"/>
        <v>2</v>
      </c>
      <c r="Y114" s="301">
        <f t="shared" si="49"/>
        <v>0</v>
      </c>
      <c r="Z114" s="301">
        <f t="shared" si="50"/>
        <v>2</v>
      </c>
      <c r="AA114" s="323" t="str">
        <f>CONCATENATE("                x[team1,team2,sport,'",IF(OR(I114="x",I114=""),VLOOKUP('Schedule from TM'!J114,Tables!$P$3:$Q$33,2,FALSE),'Schedule from TM'!I114),",",J114,"','",IF(OR(F114="x",F114=""),VLOOKUP('Schedule from TM'!G114,Tables!$U$3:$V$14,2,FALSE),'Schedule from TM'!F114),",",TEXT(G114,"mm/dd/yyyy"),"','",TEXT(H114,"h:mm:ss AM/PM"),"'].ub=0.0      #",B114)</f>
        <v xml:space="preserve">                x[team1,team2,sport,'21,Hillel - Field 2','11,11/23/2017','11:20:00 AM'].ub=0.0      #Ch B Coed Kickball</v>
      </c>
      <c r="AB114" s="301" t="str">
        <f t="shared" si="51"/>
        <v>,,Ch B Coed Kickball,Pool B,1,CHILD B - COL 1</v>
      </c>
      <c r="AC114" s="153" t="str">
        <f t="shared" si="52"/>
        <v>Ch B Coed KickballPool BCHILD B - COL 1</v>
      </c>
      <c r="AD114" s="301" t="str">
        <f t="shared" si="53"/>
        <v>,,Ch B Coed Kickball,Pool B,1,CHILD B - USA 1</v>
      </c>
      <c r="AE114" s="153" t="str">
        <f t="shared" si="54"/>
        <v>Ch B Coed KickballPool BCHILD B - USA 1</v>
      </c>
      <c r="AF114" s="383">
        <f t="shared" si="55"/>
        <v>0</v>
      </c>
      <c r="AG114" s="383">
        <f t="shared" si="56"/>
        <v>1</v>
      </c>
      <c r="AH114" s="383">
        <f t="shared" si="57"/>
        <v>0</v>
      </c>
      <c r="AI114" s="383">
        <f t="shared" si="58"/>
        <v>1</v>
      </c>
      <c r="AJ114" s="383">
        <f t="shared" si="59"/>
        <v>0</v>
      </c>
      <c r="AK114" s="383">
        <f t="shared" si="60"/>
        <v>0</v>
      </c>
      <c r="AM114" s="148" t="str">
        <f t="shared" si="61"/>
        <v>Schedulled</v>
      </c>
      <c r="AN114" s="148" t="str">
        <f t="shared" si="62"/>
        <v/>
      </c>
      <c r="AO114" s="156">
        <f t="shared" si="63"/>
        <v>43062.472222222219</v>
      </c>
      <c r="AP114" s="148" t="str">
        <f t="shared" si="64"/>
        <v>11/23/2017 11:20-&gt;Hillel - Field 2</v>
      </c>
      <c r="AQ114" s="374">
        <f t="shared" si="65"/>
        <v>1</v>
      </c>
      <c r="AR114" s="148" t="str">
        <f t="shared" si="66"/>
        <v>COL1</v>
      </c>
      <c r="AS114" s="148" t="str">
        <f t="shared" si="67"/>
        <v>USA1</v>
      </c>
      <c r="AT114" s="157" t="str">
        <f t="shared" si="68"/>
        <v>COL1-USA1</v>
      </c>
      <c r="AU114" s="157" t="str">
        <f t="shared" si="69"/>
        <v xml:space="preserve">COL1-USA1 </v>
      </c>
      <c r="AV114" s="157" t="str">
        <f t="shared" si="70"/>
        <v>CHILDREN B COED</v>
      </c>
      <c r="AW114" s="157" t="str">
        <f t="shared" si="71"/>
        <v>Kickball</v>
      </c>
      <c r="AX114" s="376">
        <f t="shared" si="72"/>
        <v>112</v>
      </c>
      <c r="AY114" s="148" t="str">
        <f t="shared" si="73"/>
        <v>CHILD B - COL 1-&gt;CHILD B - USA 1</v>
      </c>
      <c r="AZ114" s="148" t="str">
        <f t="shared" si="74"/>
        <v>11/23/2017 11:20-&gt;CHILD B - COL 1</v>
      </c>
      <c r="BA114" s="148" t="str">
        <f t="shared" si="75"/>
        <v>11/23/2017 11:20-&gt;CHILD B - USA 1</v>
      </c>
      <c r="BB114" s="374">
        <f t="shared" si="76"/>
        <v>1</v>
      </c>
      <c r="BC114" s="374">
        <f t="shared" si="77"/>
        <v>1</v>
      </c>
      <c r="BD114" s="148" t="str">
        <f t="shared" si="78"/>
        <v>no conflict</v>
      </c>
      <c r="BF114" s="148" t="str">
        <f t="shared" si="79"/>
        <v>11/23/2017 11:20-&gt;CHILD B - COL 1</v>
      </c>
      <c r="BG114" s="148" t="str">
        <f t="shared" si="80"/>
        <v>11/23/2017 11:20-&gt;CHILD B - USA 1</v>
      </c>
      <c r="BH114" s="148" t="str">
        <f t="shared" si="81"/>
        <v>11/23/2017 11:20-&gt;Hillel - Field 2</v>
      </c>
      <c r="BI114" s="148" t="str">
        <f t="shared" si="82"/>
        <v>Kickball in Hillel - Field 2 (COL1-USA1)</v>
      </c>
      <c r="BJ114" s="148" t="str">
        <f t="shared" si="83"/>
        <v>Ch B Coed Kickball-- CHILD B - COL 1 vs. CHILD B - USA 1</v>
      </c>
      <c r="BK114" s="148" t="str">
        <f t="shared" si="84"/>
        <v>Kickball</v>
      </c>
      <c r="BL114" s="148" t="str">
        <f t="shared" si="85"/>
        <v>CHILD B - COL 1</v>
      </c>
      <c r="BM114" s="148" t="str">
        <f t="shared" si="86"/>
        <v>CHILD B - USA 1</v>
      </c>
      <c r="BN114" s="148" t="str">
        <f t="shared" si="87"/>
        <v>Round - 1</v>
      </c>
      <c r="BP114" s="148" t="str">
        <f t="shared" si="88"/>
        <v>no t, f, or sf</v>
      </c>
      <c r="BQ114" s="148" t="str">
        <f t="shared" si="89"/>
        <v/>
      </c>
    </row>
    <row r="115" spans="1:69" ht="15" customHeight="1" x14ac:dyDescent="0.2">
      <c r="A115" s="376">
        <v>113</v>
      </c>
      <c r="B115" s="315" t="s">
        <v>37</v>
      </c>
      <c r="C115" s="315" t="s">
        <v>518</v>
      </c>
      <c r="D115" s="378">
        <v>1</v>
      </c>
      <c r="E115" s="378">
        <v>1</v>
      </c>
      <c r="F115" s="315" t="s">
        <v>770</v>
      </c>
      <c r="G115" s="316">
        <v>43062</v>
      </c>
      <c r="H115" s="317">
        <v>0.50694444444444442</v>
      </c>
      <c r="I115" s="325" t="s">
        <v>770</v>
      </c>
      <c r="J115" s="315" t="s">
        <v>705</v>
      </c>
      <c r="K115" s="315">
        <v>24</v>
      </c>
      <c r="L115" t="s">
        <v>552</v>
      </c>
      <c r="M115">
        <v>24</v>
      </c>
      <c r="N115" t="s">
        <v>555</v>
      </c>
      <c r="O115" s="153" t="str">
        <f>IF(L115&lt;&gt;"",IFERROR(VLOOKUP(B115&amp;L115,Pools!$A$2:$D$130,3,FALSE),""),"")</f>
        <v>Pool B</v>
      </c>
      <c r="P115" s="388">
        <v>4</v>
      </c>
      <c r="Q115" s="388">
        <v>13</v>
      </c>
      <c r="R115" s="306" t="str">
        <f t="shared" si="45"/>
        <v>4-13</v>
      </c>
      <c r="S115" s="153"/>
      <c r="T115" s="148" t="str">
        <f t="shared" si="46"/>
        <v>Completed</v>
      </c>
      <c r="U115" s="153"/>
      <c r="V115" s="153"/>
      <c r="W115" s="387">
        <f t="shared" si="47"/>
        <v>-5</v>
      </c>
      <c r="X115" s="387">
        <f t="shared" si="48"/>
        <v>5</v>
      </c>
      <c r="Y115" s="301">
        <f t="shared" si="49"/>
        <v>0</v>
      </c>
      <c r="Z115" s="301">
        <f t="shared" si="50"/>
        <v>2</v>
      </c>
      <c r="AA115" s="323" t="str">
        <f>CONCATENATE("                x[team1,team2,sport,'",IF(OR(I115="x",I115=""),VLOOKUP('Schedule from TM'!J115,Tables!$P$3:$Q$33,2,FALSE),'Schedule from TM'!I115),",",J115,"','",IF(OR(F115="x",F115=""),VLOOKUP('Schedule from TM'!G115,Tables!$U$3:$V$14,2,FALSE),'Schedule from TM'!F115),",",TEXT(G115,"mm/dd/yyyy"),"','",TEXT(H115,"h:mm:ss AM/PM"),"'].ub=0.0      #",B115)</f>
        <v xml:space="preserve">                x[team1,team2,sport,'21,Hillel - Field 3','11,11/23/2017','12:10:00 PM'].ub=0.0      #Ch B Coed Kickball</v>
      </c>
      <c r="AB115" s="301" t="str">
        <f t="shared" si="51"/>
        <v>,,Ch B Coed Kickball,Pool B,1,CHILD B - ARG 1</v>
      </c>
      <c r="AC115" s="153" t="str">
        <f t="shared" si="52"/>
        <v>Ch B Coed KickballPool BCHILD B - ARG 1</v>
      </c>
      <c r="AD115" s="301" t="str">
        <f t="shared" si="53"/>
        <v>,,Ch B Coed Kickball,Pool B,1,CHILD B - COL 2</v>
      </c>
      <c r="AE115" s="153" t="str">
        <f t="shared" si="54"/>
        <v>Ch B Coed KickballPool BCHILD B - COL 2</v>
      </c>
      <c r="AF115" s="383">
        <f t="shared" si="55"/>
        <v>0</v>
      </c>
      <c r="AG115" s="383">
        <f t="shared" si="56"/>
        <v>1</v>
      </c>
      <c r="AH115" s="383">
        <f t="shared" si="57"/>
        <v>0</v>
      </c>
      <c r="AI115" s="383">
        <f t="shared" si="58"/>
        <v>1</v>
      </c>
      <c r="AJ115" s="383">
        <f t="shared" si="59"/>
        <v>0</v>
      </c>
      <c r="AK115" s="383">
        <f t="shared" si="60"/>
        <v>0</v>
      </c>
      <c r="AM115" s="148" t="str">
        <f t="shared" si="61"/>
        <v>Schedulled</v>
      </c>
      <c r="AN115" s="148" t="str">
        <f t="shared" si="62"/>
        <v/>
      </c>
      <c r="AO115" s="156">
        <f t="shared" si="63"/>
        <v>43062.506944444445</v>
      </c>
      <c r="AP115" s="148" t="str">
        <f t="shared" si="64"/>
        <v>11/23/2017 12:10-&gt;Hillel - Field 3</v>
      </c>
      <c r="AQ115" s="374">
        <f t="shared" si="65"/>
        <v>1</v>
      </c>
      <c r="AR115" s="148" t="str">
        <f t="shared" si="66"/>
        <v>ARG1</v>
      </c>
      <c r="AS115" s="148" t="str">
        <f t="shared" si="67"/>
        <v>COL2</v>
      </c>
      <c r="AT115" s="157" t="str">
        <f t="shared" si="68"/>
        <v>ARG1-COL2</v>
      </c>
      <c r="AU115" s="157" t="str">
        <f t="shared" si="69"/>
        <v xml:space="preserve">ARG1-COL2 </v>
      </c>
      <c r="AV115" s="157" t="str">
        <f t="shared" si="70"/>
        <v>CHILDREN B COED</v>
      </c>
      <c r="AW115" s="157" t="str">
        <f t="shared" si="71"/>
        <v>Kickball</v>
      </c>
      <c r="AX115" s="376">
        <f t="shared" si="72"/>
        <v>113</v>
      </c>
      <c r="AY115" s="148" t="str">
        <f t="shared" si="73"/>
        <v>CHILD B - ARG 1-&gt;CHILD B - COL 2</v>
      </c>
      <c r="AZ115" s="148" t="str">
        <f t="shared" si="74"/>
        <v>11/23/2017 12:10-&gt;CHILD B - ARG 1</v>
      </c>
      <c r="BA115" s="148" t="str">
        <f t="shared" si="75"/>
        <v>11/23/2017 12:10-&gt;CHILD B - COL 2</v>
      </c>
      <c r="BB115" s="374">
        <f t="shared" si="76"/>
        <v>1</v>
      </c>
      <c r="BC115" s="374">
        <f t="shared" si="77"/>
        <v>1</v>
      </c>
      <c r="BD115" s="148" t="str">
        <f t="shared" si="78"/>
        <v>no conflict</v>
      </c>
      <c r="BF115" s="148" t="str">
        <f t="shared" si="79"/>
        <v>11/23/2017 12:10-&gt;CHILD B - ARG 1</v>
      </c>
      <c r="BG115" s="148" t="str">
        <f t="shared" si="80"/>
        <v>11/23/2017 12:10-&gt;CHILD B - COL 2</v>
      </c>
      <c r="BH115" s="148" t="str">
        <f t="shared" si="81"/>
        <v>11/23/2017 12:10-&gt;Hillel - Field 3</v>
      </c>
      <c r="BI115" s="148" t="str">
        <f t="shared" si="82"/>
        <v>Kickball in Hillel - Field 3 (ARG1-COL2)</v>
      </c>
      <c r="BJ115" s="148" t="str">
        <f t="shared" si="83"/>
        <v>Ch B Coed Kickball-- CHILD B - ARG 1 vs. CHILD B - COL 2</v>
      </c>
      <c r="BK115" s="148" t="str">
        <f t="shared" si="84"/>
        <v>Kickball</v>
      </c>
      <c r="BL115" s="148" t="str">
        <f t="shared" si="85"/>
        <v>CHILD B - ARG 1</v>
      </c>
      <c r="BM115" s="148" t="str">
        <f t="shared" si="86"/>
        <v>CHILD B - COL 2</v>
      </c>
      <c r="BN115" s="148" t="str">
        <f t="shared" si="87"/>
        <v>Round - 1</v>
      </c>
      <c r="BP115" s="148" t="str">
        <f t="shared" si="88"/>
        <v>no t, f, or sf</v>
      </c>
      <c r="BQ115" s="148" t="str">
        <f t="shared" si="89"/>
        <v/>
      </c>
    </row>
    <row r="116" spans="1:69" ht="15" customHeight="1" x14ac:dyDescent="0.2">
      <c r="A116" s="376">
        <v>114</v>
      </c>
      <c r="B116" s="319" t="s">
        <v>37</v>
      </c>
      <c r="C116" s="319" t="s">
        <v>518</v>
      </c>
      <c r="D116" s="376">
        <v>1</v>
      </c>
      <c r="E116" s="376">
        <v>1</v>
      </c>
      <c r="F116" s="315" t="s">
        <v>770</v>
      </c>
      <c r="G116" s="320">
        <v>43063</v>
      </c>
      <c r="H116" s="418">
        <v>0.33333333333333331</v>
      </c>
      <c r="I116" s="325" t="s">
        <v>770</v>
      </c>
      <c r="J116" s="296" t="s">
        <v>704</v>
      </c>
      <c r="K116" s="319">
        <v>24</v>
      </c>
      <c r="L116" t="s">
        <v>559</v>
      </c>
      <c r="M116">
        <v>24</v>
      </c>
      <c r="N116" t="s">
        <v>561</v>
      </c>
      <c r="O116" s="153" t="str">
        <f>IF(L116&lt;&gt;"",IFERROR(VLOOKUP(B116&amp;L116,Pools!$A$2:$D$130,3,FALSE),""),"")</f>
        <v>Pool A</v>
      </c>
      <c r="P116" s="388">
        <v>2</v>
      </c>
      <c r="Q116" s="388">
        <v>15</v>
      </c>
      <c r="R116" s="306" t="str">
        <f t="shared" si="45"/>
        <v>2-15</v>
      </c>
      <c r="S116" s="153"/>
      <c r="T116" s="148" t="str">
        <f t="shared" si="46"/>
        <v>Completed</v>
      </c>
      <c r="U116" s="153"/>
      <c r="V116" s="153"/>
      <c r="W116" s="387">
        <f t="shared" si="47"/>
        <v>-5</v>
      </c>
      <c r="X116" s="387">
        <f t="shared" si="48"/>
        <v>5</v>
      </c>
      <c r="Y116" s="301">
        <f t="shared" si="49"/>
        <v>0</v>
      </c>
      <c r="Z116" s="301">
        <f t="shared" si="50"/>
        <v>2</v>
      </c>
      <c r="AA116" s="323" t="str">
        <f>CONCATENATE("                x[team1,team2,sport,'",IF(OR(I116="x",I116=""),VLOOKUP('Schedule from TM'!J116,Tables!$P$3:$Q$33,2,FALSE),'Schedule from TM'!I116),",",J116,"','",IF(OR(F116="x",F116=""),VLOOKUP('Schedule from TM'!G116,Tables!$U$3:$V$14,2,FALSE),'Schedule from TM'!F116),",",TEXT(G116,"mm/dd/yyyy"),"','",TEXT(H116,"h:mm:ss AM/PM"),"'].ub=0.0      #",B116)</f>
        <v xml:space="preserve">                x[team1,team2,sport,'21,Hillel - Field 2','11,11/24/2017','8:00:00 AM'].ub=0.0      #Ch B Coed Kickball</v>
      </c>
      <c r="AB116" s="301" t="str">
        <f t="shared" si="51"/>
        <v>,,Ch B Coed Kickball,Pool A,1,CHILD B - USA 2</v>
      </c>
      <c r="AC116" s="153" t="str">
        <f t="shared" si="52"/>
        <v>Ch B Coed KickballPool ACHILD B - USA 2</v>
      </c>
      <c r="AD116" s="301" t="str">
        <f t="shared" si="53"/>
        <v>,,Ch B Coed Kickball,Pool A,1,CHILD B - VEN 2</v>
      </c>
      <c r="AE116" s="153" t="str">
        <f t="shared" si="54"/>
        <v>Ch B Coed KickballPool ACHILD B - VEN 2</v>
      </c>
      <c r="AF116" s="383">
        <f t="shared" si="55"/>
        <v>0</v>
      </c>
      <c r="AG116" s="383">
        <f t="shared" si="56"/>
        <v>1</v>
      </c>
      <c r="AH116" s="383">
        <f t="shared" si="57"/>
        <v>0</v>
      </c>
      <c r="AI116" s="383">
        <f t="shared" si="58"/>
        <v>1</v>
      </c>
      <c r="AJ116" s="383">
        <f t="shared" si="59"/>
        <v>0</v>
      </c>
      <c r="AK116" s="383">
        <f t="shared" si="60"/>
        <v>0</v>
      </c>
      <c r="AM116" s="148" t="str">
        <f t="shared" si="61"/>
        <v>Schedulled</v>
      </c>
      <c r="AN116" s="148" t="str">
        <f t="shared" si="62"/>
        <v/>
      </c>
      <c r="AO116" s="156">
        <f t="shared" si="63"/>
        <v>43063.333333333336</v>
      </c>
      <c r="AP116" s="148" t="str">
        <f t="shared" si="64"/>
        <v>11/24/2017 08:00-&gt;Hillel - Field 2</v>
      </c>
      <c r="AQ116" s="374">
        <f t="shared" si="65"/>
        <v>1</v>
      </c>
      <c r="AR116" s="148" t="str">
        <f t="shared" si="66"/>
        <v>USA2</v>
      </c>
      <c r="AS116" s="148" t="str">
        <f t="shared" si="67"/>
        <v>VEN2</v>
      </c>
      <c r="AT116" s="157" t="str">
        <f t="shared" si="68"/>
        <v>USA2-VEN2</v>
      </c>
      <c r="AU116" s="157" t="str">
        <f t="shared" si="69"/>
        <v xml:space="preserve">USA2-VEN2 </v>
      </c>
      <c r="AV116" s="157" t="str">
        <f t="shared" si="70"/>
        <v>CHILDREN B COED</v>
      </c>
      <c r="AW116" s="157" t="str">
        <f t="shared" si="71"/>
        <v>Kickball</v>
      </c>
      <c r="AX116" s="376">
        <f t="shared" si="72"/>
        <v>114</v>
      </c>
      <c r="AY116" s="148" t="str">
        <f t="shared" si="73"/>
        <v>CHILD B - USA 2-&gt;CHILD B - VEN 2</v>
      </c>
      <c r="AZ116" s="148" t="str">
        <f t="shared" si="74"/>
        <v>11/24/2017 08:00-&gt;CHILD B - USA 2</v>
      </c>
      <c r="BA116" s="148" t="str">
        <f t="shared" si="75"/>
        <v>11/24/2017 08:00-&gt;CHILD B - VEN 2</v>
      </c>
      <c r="BB116" s="374">
        <f t="shared" si="76"/>
        <v>1</v>
      </c>
      <c r="BC116" s="374">
        <f t="shared" si="77"/>
        <v>1</v>
      </c>
      <c r="BD116" s="148" t="str">
        <f t="shared" si="78"/>
        <v>no conflict</v>
      </c>
      <c r="BF116" s="148" t="str">
        <f t="shared" si="79"/>
        <v>11/24/2017 08:00-&gt;CHILD B - USA 2</v>
      </c>
      <c r="BG116" s="148" t="str">
        <f t="shared" si="80"/>
        <v>11/24/2017 08:00-&gt;CHILD B - VEN 2</v>
      </c>
      <c r="BH116" s="148" t="str">
        <f t="shared" si="81"/>
        <v>11/24/2017 08:00-&gt;Hillel - Field 2</v>
      </c>
      <c r="BI116" s="148" t="str">
        <f t="shared" si="82"/>
        <v>Kickball in Hillel - Field 2 (USA2-VEN2)</v>
      </c>
      <c r="BJ116" s="148" t="str">
        <f t="shared" si="83"/>
        <v>Ch B Coed Kickball-- CHILD B - USA 2 vs. CHILD B - VEN 2</v>
      </c>
      <c r="BK116" s="148" t="str">
        <f t="shared" si="84"/>
        <v>Kickball</v>
      </c>
      <c r="BL116" s="148" t="str">
        <f t="shared" si="85"/>
        <v>CHILD B - USA 2</v>
      </c>
      <c r="BM116" s="148" t="str">
        <f t="shared" si="86"/>
        <v>CHILD B - VEN 2</v>
      </c>
      <c r="BN116" s="148" t="str">
        <f t="shared" si="87"/>
        <v>Round - 1</v>
      </c>
      <c r="BP116" s="148" t="str">
        <f t="shared" si="88"/>
        <v>no t, f, or sf</v>
      </c>
      <c r="BQ116" s="148" t="str">
        <f t="shared" si="89"/>
        <v/>
      </c>
    </row>
    <row r="117" spans="1:69" ht="15" customHeight="1" x14ac:dyDescent="0.2">
      <c r="A117" s="376">
        <v>115</v>
      </c>
      <c r="B117" s="444" t="s">
        <v>37</v>
      </c>
      <c r="C117" s="444" t="s">
        <v>518</v>
      </c>
      <c r="D117" s="451">
        <v>1</v>
      </c>
      <c r="E117" s="451">
        <v>1</v>
      </c>
      <c r="F117" s="315" t="s">
        <v>770</v>
      </c>
      <c r="G117" s="445">
        <v>43063</v>
      </c>
      <c r="H117" s="418">
        <v>0.47222222222222227</v>
      </c>
      <c r="I117" s="325" t="s">
        <v>770</v>
      </c>
      <c r="J117" s="443" t="s">
        <v>703</v>
      </c>
      <c r="K117" s="444">
        <v>24</v>
      </c>
      <c r="L117" t="s">
        <v>557</v>
      </c>
      <c r="M117">
        <v>24</v>
      </c>
      <c r="N117" t="s">
        <v>561</v>
      </c>
      <c r="O117" s="153" t="str">
        <f>IF(L117&lt;&gt;"",IFERROR(VLOOKUP(B117&amp;L117,Pools!$A$2:$D$130,3,FALSE),""),"")</f>
        <v>Pool A</v>
      </c>
      <c r="P117" s="388">
        <v>11</v>
      </c>
      <c r="Q117" s="388">
        <v>5</v>
      </c>
      <c r="R117" s="306" t="str">
        <f t="shared" si="45"/>
        <v>11-5</v>
      </c>
      <c r="S117" s="153"/>
      <c r="T117" s="148" t="str">
        <f t="shared" si="46"/>
        <v>Completed</v>
      </c>
      <c r="U117" s="153"/>
      <c r="V117" s="153"/>
      <c r="W117" s="387">
        <f t="shared" si="47"/>
        <v>5</v>
      </c>
      <c r="X117" s="387">
        <f t="shared" si="48"/>
        <v>-5</v>
      </c>
      <c r="Y117" s="301">
        <f t="shared" si="49"/>
        <v>2</v>
      </c>
      <c r="Z117" s="301">
        <f t="shared" si="50"/>
        <v>0</v>
      </c>
      <c r="AA117" s="323" t="str">
        <f>CONCATENATE("                x[team1,team2,sport,'",IF(OR(I117="x",I117=""),VLOOKUP('Schedule from TM'!J117,Tables!$P$3:$Q$33,2,FALSE),'Schedule from TM'!I117),",",J117,"','",IF(OR(F117="x",F117=""),VLOOKUP('Schedule from TM'!G117,Tables!$U$3:$V$14,2,FALSE),'Schedule from TM'!F117),",",TEXT(G117,"mm/dd/yyyy"),"','",TEXT(H117,"h:mm:ss AM/PM"),"'].ub=0.0      #",B117)</f>
        <v xml:space="preserve">                x[team1,team2,sport,'21,Hillel - Field 1','11,11/24/2017','11:20:00 AM'].ub=0.0      #Ch B Coed Kickball</v>
      </c>
      <c r="AB117" s="301" t="str">
        <f t="shared" si="51"/>
        <v>,,Ch B Coed Kickball,Pool A,1,CHILD B - MEX</v>
      </c>
      <c r="AC117" s="153" t="str">
        <f t="shared" si="52"/>
        <v>Ch B Coed KickballPool ACHILD B - MEX</v>
      </c>
      <c r="AD117" s="301" t="str">
        <f t="shared" si="53"/>
        <v>,,Ch B Coed Kickball,Pool A,1,CHILD B - VEN 2</v>
      </c>
      <c r="AE117" s="153" t="str">
        <f t="shared" si="54"/>
        <v>Ch B Coed KickballPool ACHILD B - VEN 2</v>
      </c>
      <c r="AF117" s="383">
        <f t="shared" si="55"/>
        <v>1</v>
      </c>
      <c r="AG117" s="383">
        <f t="shared" si="56"/>
        <v>0</v>
      </c>
      <c r="AH117" s="383">
        <f t="shared" si="57"/>
        <v>0</v>
      </c>
      <c r="AI117" s="383">
        <f t="shared" si="58"/>
        <v>0</v>
      </c>
      <c r="AJ117" s="383">
        <f t="shared" si="59"/>
        <v>1</v>
      </c>
      <c r="AK117" s="383">
        <f t="shared" si="60"/>
        <v>0</v>
      </c>
      <c r="AM117" s="148" t="str">
        <f t="shared" si="61"/>
        <v>Schedulled</v>
      </c>
      <c r="AN117" s="148" t="str">
        <f t="shared" si="62"/>
        <v/>
      </c>
      <c r="AO117" s="156">
        <f t="shared" si="63"/>
        <v>43063.472222222219</v>
      </c>
      <c r="AP117" s="148" t="str">
        <f t="shared" si="64"/>
        <v>11/24/2017 11:20-&gt;Hillel - Field 1</v>
      </c>
      <c r="AQ117" s="374">
        <f t="shared" si="65"/>
        <v>1</v>
      </c>
      <c r="AR117" s="148" t="str">
        <f t="shared" si="66"/>
        <v>MEX</v>
      </c>
      <c r="AS117" s="148" t="str">
        <f t="shared" si="67"/>
        <v>VEN2</v>
      </c>
      <c r="AT117" s="157" t="str">
        <f t="shared" si="68"/>
        <v>MEX-VEN2</v>
      </c>
      <c r="AU117" s="157" t="str">
        <f t="shared" si="69"/>
        <v xml:space="preserve">MEX-VEN2 </v>
      </c>
      <c r="AV117" s="157" t="str">
        <f t="shared" si="70"/>
        <v>CHILDREN B COED</v>
      </c>
      <c r="AW117" s="157" t="str">
        <f t="shared" si="71"/>
        <v>Kickball</v>
      </c>
      <c r="AX117" s="376">
        <f t="shared" si="72"/>
        <v>115</v>
      </c>
      <c r="AY117" s="148" t="str">
        <f t="shared" si="73"/>
        <v>CHILD B - MEX-&gt;CHILD B - VEN 2</v>
      </c>
      <c r="AZ117" s="148" t="str">
        <f t="shared" si="74"/>
        <v>11/24/2017 11:20-&gt;CHILD B - MEX</v>
      </c>
      <c r="BA117" s="148" t="str">
        <f t="shared" si="75"/>
        <v>11/24/2017 11:20-&gt;CHILD B - VEN 2</v>
      </c>
      <c r="BB117" s="374">
        <f t="shared" si="76"/>
        <v>1</v>
      </c>
      <c r="BC117" s="374">
        <f t="shared" si="77"/>
        <v>1</v>
      </c>
      <c r="BD117" s="148" t="str">
        <f t="shared" si="78"/>
        <v>no conflict</v>
      </c>
      <c r="BF117" s="148" t="str">
        <f t="shared" si="79"/>
        <v>11/24/2017 11:20-&gt;CHILD B - MEX</v>
      </c>
      <c r="BG117" s="148" t="str">
        <f t="shared" si="80"/>
        <v>11/24/2017 11:20-&gt;CHILD B - VEN 2</v>
      </c>
      <c r="BH117" s="148" t="str">
        <f t="shared" si="81"/>
        <v>11/24/2017 11:20-&gt;Hillel - Field 1</v>
      </c>
      <c r="BI117" s="148" t="str">
        <f t="shared" si="82"/>
        <v>Kickball in Hillel - Field 1 (MEX-VEN2)</v>
      </c>
      <c r="BJ117" s="148" t="str">
        <f t="shared" si="83"/>
        <v>Ch B Coed Kickball-- CHILD B - MEX vs. CHILD B - VEN 2</v>
      </c>
      <c r="BK117" s="148" t="str">
        <f t="shared" si="84"/>
        <v>Kickball</v>
      </c>
      <c r="BL117" s="148" t="str">
        <f t="shared" si="85"/>
        <v>CHILD B - MEX</v>
      </c>
      <c r="BM117" s="148" t="str">
        <f t="shared" si="86"/>
        <v>CHILD B - VEN 2</v>
      </c>
      <c r="BN117" s="148" t="str">
        <f t="shared" si="87"/>
        <v>Round - 1</v>
      </c>
      <c r="BP117" s="148" t="str">
        <f t="shared" si="88"/>
        <v>no t, f, or sf</v>
      </c>
      <c r="BQ117" s="148" t="str">
        <f t="shared" si="89"/>
        <v/>
      </c>
    </row>
    <row r="118" spans="1:69" ht="15" customHeight="1" x14ac:dyDescent="0.2">
      <c r="A118" s="376">
        <v>116</v>
      </c>
      <c r="B118" s="319" t="s">
        <v>37</v>
      </c>
      <c r="C118" s="319" t="s">
        <v>518</v>
      </c>
      <c r="D118" s="376">
        <v>1</v>
      </c>
      <c r="E118" s="376">
        <v>1</v>
      </c>
      <c r="F118" s="315" t="s">
        <v>770</v>
      </c>
      <c r="G118" s="320">
        <v>43065</v>
      </c>
      <c r="H118" s="418">
        <v>0.36805555555555558</v>
      </c>
      <c r="I118" s="325" t="s">
        <v>770</v>
      </c>
      <c r="J118" s="319" t="s">
        <v>704</v>
      </c>
      <c r="K118" s="319">
        <v>24</v>
      </c>
      <c r="L118" t="s">
        <v>552</v>
      </c>
      <c r="M118">
        <v>24</v>
      </c>
      <c r="N118" t="s">
        <v>554</v>
      </c>
      <c r="O118" s="153" t="str">
        <f>IF(L118&lt;&gt;"",IFERROR(VLOOKUP(B118&amp;L118,Pools!$A$2:$D$130,3,FALSE),""),"")</f>
        <v>Pool B</v>
      </c>
      <c r="P118" s="388">
        <v>9</v>
      </c>
      <c r="Q118" s="388">
        <v>19</v>
      </c>
      <c r="R118" s="306" t="str">
        <f t="shared" si="45"/>
        <v>9-19</v>
      </c>
      <c r="S118" s="153"/>
      <c r="T118" s="148" t="str">
        <f t="shared" si="46"/>
        <v>Completed</v>
      </c>
      <c r="U118" s="153"/>
      <c r="V118" s="153"/>
      <c r="W118" s="387">
        <f t="shared" si="47"/>
        <v>-5</v>
      </c>
      <c r="X118" s="387">
        <f t="shared" si="48"/>
        <v>5</v>
      </c>
      <c r="Y118" s="301">
        <f t="shared" si="49"/>
        <v>0</v>
      </c>
      <c r="Z118" s="301">
        <f t="shared" si="50"/>
        <v>2</v>
      </c>
      <c r="AA118" s="323" t="str">
        <f>CONCATENATE("                x[team1,team2,sport,'",IF(OR(I118="x",I118=""),VLOOKUP('Schedule from TM'!J118,Tables!$P$3:$Q$33,2,FALSE),'Schedule from TM'!I118),",",J118,"','",IF(OR(F118="x",F118=""),VLOOKUP('Schedule from TM'!G118,Tables!$U$3:$V$14,2,FALSE),'Schedule from TM'!F118),",",TEXT(G118,"mm/dd/yyyy"),"','",TEXT(H118,"h:mm:ss AM/PM"),"'].ub=0.0      #",B118)</f>
        <v xml:space="preserve">                x[team1,team2,sport,'21,Hillel - Field 2','21,11/26/2017','8:50:00 AM'].ub=0.0      #Ch B Coed Kickball</v>
      </c>
      <c r="AB118" s="301" t="str">
        <f t="shared" si="51"/>
        <v>,,Ch B Coed Kickball,Pool B,1,CHILD B - ARG 1</v>
      </c>
      <c r="AC118" s="153" t="str">
        <f t="shared" si="52"/>
        <v>Ch B Coed KickballPool BCHILD B - ARG 1</v>
      </c>
      <c r="AD118" s="301" t="str">
        <f t="shared" si="53"/>
        <v>,,Ch B Coed Kickball,Pool B,1,CHILD B - COL 1</v>
      </c>
      <c r="AE118" s="153" t="str">
        <f t="shared" si="54"/>
        <v>Ch B Coed KickballPool BCHILD B - COL 1</v>
      </c>
      <c r="AF118" s="383">
        <f t="shared" si="55"/>
        <v>0</v>
      </c>
      <c r="AG118" s="383">
        <f t="shared" si="56"/>
        <v>1</v>
      </c>
      <c r="AH118" s="383">
        <f t="shared" si="57"/>
        <v>0</v>
      </c>
      <c r="AI118" s="383">
        <f t="shared" si="58"/>
        <v>1</v>
      </c>
      <c r="AJ118" s="383">
        <f t="shared" si="59"/>
        <v>0</v>
      </c>
      <c r="AK118" s="383">
        <f t="shared" si="60"/>
        <v>0</v>
      </c>
      <c r="AM118" s="148" t="str">
        <f t="shared" si="61"/>
        <v>Schedulled</v>
      </c>
      <c r="AN118" s="148" t="str">
        <f t="shared" si="62"/>
        <v/>
      </c>
      <c r="AO118" s="156">
        <f t="shared" si="63"/>
        <v>43065.368055555555</v>
      </c>
      <c r="AP118" s="148" t="str">
        <f t="shared" si="64"/>
        <v>11/26/2017 08:50-&gt;Hillel - Field 2</v>
      </c>
      <c r="AQ118" s="374">
        <f t="shared" si="65"/>
        <v>1</v>
      </c>
      <c r="AR118" s="148" t="str">
        <f t="shared" si="66"/>
        <v>ARG1</v>
      </c>
      <c r="AS118" s="148" t="str">
        <f t="shared" si="67"/>
        <v>COL1</v>
      </c>
      <c r="AT118" s="157" t="str">
        <f t="shared" si="68"/>
        <v>ARG1-COL1</v>
      </c>
      <c r="AU118" s="157" t="str">
        <f t="shared" si="69"/>
        <v xml:space="preserve">ARG1-COL1 </v>
      </c>
      <c r="AV118" s="157" t="str">
        <f t="shared" si="70"/>
        <v>CHILDREN B COED</v>
      </c>
      <c r="AW118" s="157" t="str">
        <f t="shared" si="71"/>
        <v>Kickball</v>
      </c>
      <c r="AX118" s="376">
        <f t="shared" si="72"/>
        <v>116</v>
      </c>
      <c r="AY118" s="148" t="str">
        <f t="shared" si="73"/>
        <v>CHILD B - ARG 1-&gt;CHILD B - COL 1</v>
      </c>
      <c r="AZ118" s="148" t="str">
        <f t="shared" si="74"/>
        <v>11/26/2017 08:50-&gt;CHILD B - ARG 1</v>
      </c>
      <c r="BA118" s="148" t="str">
        <f t="shared" si="75"/>
        <v>11/26/2017 08:50-&gt;CHILD B - COL 1</v>
      </c>
      <c r="BB118" s="374">
        <f t="shared" si="76"/>
        <v>1</v>
      </c>
      <c r="BC118" s="374">
        <f t="shared" si="77"/>
        <v>1</v>
      </c>
      <c r="BD118" s="148" t="str">
        <f t="shared" si="78"/>
        <v>no conflict</v>
      </c>
      <c r="BF118" s="148" t="str">
        <f t="shared" si="79"/>
        <v>11/26/2017 08:50-&gt;CHILD B - ARG 1</v>
      </c>
      <c r="BG118" s="148" t="str">
        <f t="shared" si="80"/>
        <v>11/26/2017 08:50-&gt;CHILD B - COL 1</v>
      </c>
      <c r="BH118" s="148" t="str">
        <f t="shared" si="81"/>
        <v>11/26/2017 08:50-&gt;Hillel - Field 2</v>
      </c>
      <c r="BI118" s="148" t="str">
        <f t="shared" si="82"/>
        <v>Kickball in Hillel - Field 2 (ARG1-COL1)</v>
      </c>
      <c r="BJ118" s="148" t="str">
        <f t="shared" si="83"/>
        <v>Ch B Coed Kickball-- CHILD B - ARG 1 vs. CHILD B - COL 1</v>
      </c>
      <c r="BK118" s="148" t="str">
        <f t="shared" si="84"/>
        <v>Kickball</v>
      </c>
      <c r="BL118" s="148" t="str">
        <f t="shared" si="85"/>
        <v>CHILD B - ARG 1</v>
      </c>
      <c r="BM118" s="148" t="str">
        <f t="shared" si="86"/>
        <v>CHILD B - COL 1</v>
      </c>
      <c r="BN118" s="148" t="str">
        <f t="shared" si="87"/>
        <v>Round - 1</v>
      </c>
      <c r="BP118" s="148" t="str">
        <f t="shared" si="88"/>
        <v>no t, f, or sf</v>
      </c>
      <c r="BQ118" s="148" t="str">
        <f t="shared" si="89"/>
        <v/>
      </c>
    </row>
    <row r="119" spans="1:69" ht="15" customHeight="1" x14ac:dyDescent="0.2">
      <c r="A119" s="376">
        <v>117</v>
      </c>
      <c r="B119" s="315" t="s">
        <v>37</v>
      </c>
      <c r="C119" s="315" t="s">
        <v>518</v>
      </c>
      <c r="D119" s="378">
        <v>1</v>
      </c>
      <c r="E119" s="378">
        <v>1</v>
      </c>
      <c r="F119" s="315" t="s">
        <v>770</v>
      </c>
      <c r="G119" s="316">
        <v>43065</v>
      </c>
      <c r="H119" s="417">
        <v>0.36805555555555558</v>
      </c>
      <c r="I119" s="325" t="s">
        <v>770</v>
      </c>
      <c r="J119" s="315" t="s">
        <v>706</v>
      </c>
      <c r="K119" s="315">
        <v>24</v>
      </c>
      <c r="L119" t="s">
        <v>560</v>
      </c>
      <c r="M119">
        <v>24</v>
      </c>
      <c r="N119" t="s">
        <v>561</v>
      </c>
      <c r="O119" s="153" t="str">
        <f>IF(L119&lt;&gt;"",IFERROR(VLOOKUP(B119&amp;L119,Pools!$A$2:$D$130,3,FALSE),""),"")</f>
        <v>Pool A</v>
      </c>
      <c r="P119" s="388">
        <v>10</v>
      </c>
      <c r="Q119" s="388">
        <v>4</v>
      </c>
      <c r="R119" s="306" t="str">
        <f t="shared" si="45"/>
        <v>10-4</v>
      </c>
      <c r="S119" s="153"/>
      <c r="T119" s="148" t="str">
        <f t="shared" si="46"/>
        <v>Completed</v>
      </c>
      <c r="U119" s="153"/>
      <c r="V119" s="153"/>
      <c r="W119" s="387">
        <f t="shared" si="47"/>
        <v>5</v>
      </c>
      <c r="X119" s="387">
        <f t="shared" si="48"/>
        <v>-5</v>
      </c>
      <c r="Y119" s="301">
        <f t="shared" si="49"/>
        <v>2</v>
      </c>
      <c r="Z119" s="301">
        <f t="shared" si="50"/>
        <v>0</v>
      </c>
      <c r="AA119" s="323" t="str">
        <f>CONCATENATE("                x[team1,team2,sport,'",IF(OR(I119="x",I119=""),VLOOKUP('Schedule from TM'!J119,Tables!$P$3:$Q$33,2,FALSE),'Schedule from TM'!I119),",",J119,"','",IF(OR(F119="x",F119=""),VLOOKUP('Schedule from TM'!G119,Tables!$U$3:$V$14,2,FALSE),'Schedule from TM'!F119),",",TEXT(G119,"mm/dd/yyyy"),"','",TEXT(H119,"h:mm:ss AM/PM"),"'].ub=0.0      #",B119)</f>
        <v xml:space="preserve">                x[team1,team2,sport,'21,Hillel - Field 4','21,11/26/2017','8:50:00 AM'].ub=0.0      #Ch B Coed Kickball</v>
      </c>
      <c r="AB119" s="301" t="str">
        <f t="shared" si="51"/>
        <v>,,Ch B Coed Kickball,Pool A,1,CHILD B - VEN 1</v>
      </c>
      <c r="AC119" s="153" t="str">
        <f t="shared" si="52"/>
        <v>Ch B Coed KickballPool ACHILD B - VEN 1</v>
      </c>
      <c r="AD119" s="301" t="str">
        <f t="shared" si="53"/>
        <v>,,Ch B Coed Kickball,Pool A,1,CHILD B - VEN 2</v>
      </c>
      <c r="AE119" s="153" t="str">
        <f t="shared" si="54"/>
        <v>Ch B Coed KickballPool ACHILD B - VEN 2</v>
      </c>
      <c r="AF119" s="383">
        <f t="shared" si="55"/>
        <v>1</v>
      </c>
      <c r="AG119" s="383">
        <f t="shared" si="56"/>
        <v>0</v>
      </c>
      <c r="AH119" s="383">
        <f t="shared" si="57"/>
        <v>0</v>
      </c>
      <c r="AI119" s="383">
        <f t="shared" si="58"/>
        <v>0</v>
      </c>
      <c r="AJ119" s="383">
        <f t="shared" si="59"/>
        <v>1</v>
      </c>
      <c r="AK119" s="383">
        <f t="shared" si="60"/>
        <v>0</v>
      </c>
      <c r="AM119" s="148" t="str">
        <f t="shared" si="61"/>
        <v>Schedulled</v>
      </c>
      <c r="AN119" s="148" t="str">
        <f t="shared" si="62"/>
        <v/>
      </c>
      <c r="AO119" s="156">
        <f t="shared" si="63"/>
        <v>43065.368055555555</v>
      </c>
      <c r="AP119" s="148" t="str">
        <f t="shared" si="64"/>
        <v>11/26/2017 08:50-&gt;Hillel - Field 4</v>
      </c>
      <c r="AQ119" s="374">
        <f t="shared" si="65"/>
        <v>1</v>
      </c>
      <c r="AR119" s="148" t="str">
        <f t="shared" si="66"/>
        <v>VEN1</v>
      </c>
      <c r="AS119" s="148" t="str">
        <f t="shared" si="67"/>
        <v>VEN2</v>
      </c>
      <c r="AT119" s="157" t="str">
        <f t="shared" si="68"/>
        <v>VEN1-VEN2</v>
      </c>
      <c r="AU119" s="157" t="str">
        <f t="shared" si="69"/>
        <v xml:space="preserve">VEN1-VEN2 </v>
      </c>
      <c r="AV119" s="157" t="str">
        <f t="shared" si="70"/>
        <v>CHILDREN B COED</v>
      </c>
      <c r="AW119" s="157" t="str">
        <f t="shared" si="71"/>
        <v>Kickball</v>
      </c>
      <c r="AX119" s="376">
        <f t="shared" si="72"/>
        <v>117</v>
      </c>
      <c r="AY119" s="148" t="str">
        <f t="shared" si="73"/>
        <v>CHILD B - VEN 1-&gt;CHILD B - VEN 2</v>
      </c>
      <c r="AZ119" s="148" t="str">
        <f t="shared" si="74"/>
        <v>11/26/2017 08:50-&gt;CHILD B - VEN 1</v>
      </c>
      <c r="BA119" s="148" t="str">
        <f t="shared" si="75"/>
        <v>11/26/2017 08:50-&gt;CHILD B - VEN 2</v>
      </c>
      <c r="BB119" s="374">
        <f t="shared" si="76"/>
        <v>1</v>
      </c>
      <c r="BC119" s="374">
        <f t="shared" si="77"/>
        <v>1</v>
      </c>
      <c r="BD119" s="148" t="str">
        <f t="shared" si="78"/>
        <v>no conflict</v>
      </c>
      <c r="BF119" s="148" t="str">
        <f t="shared" si="79"/>
        <v>11/26/2017 08:50-&gt;CHILD B - VEN 1</v>
      </c>
      <c r="BG119" s="148" t="str">
        <f t="shared" si="80"/>
        <v>11/26/2017 08:50-&gt;CHILD B - VEN 2</v>
      </c>
      <c r="BH119" s="148" t="str">
        <f t="shared" si="81"/>
        <v>11/26/2017 08:50-&gt;Hillel - Field 4</v>
      </c>
      <c r="BI119" s="148" t="str">
        <f t="shared" si="82"/>
        <v>Kickball in Hillel - Field 4 (VEN1-VEN2)</v>
      </c>
      <c r="BJ119" s="148" t="str">
        <f t="shared" si="83"/>
        <v>Ch B Coed Kickball-- CHILD B - VEN 1 vs. CHILD B - VEN 2</v>
      </c>
      <c r="BK119" s="148" t="str">
        <f t="shared" si="84"/>
        <v>Kickball</v>
      </c>
      <c r="BL119" s="148" t="str">
        <f t="shared" si="85"/>
        <v>CHILD B - VEN 1</v>
      </c>
      <c r="BM119" s="148" t="str">
        <f t="shared" si="86"/>
        <v>CHILD B - VEN 2</v>
      </c>
      <c r="BN119" s="148" t="str">
        <f t="shared" si="87"/>
        <v>Round - 1</v>
      </c>
      <c r="BP119" s="148" t="str">
        <f t="shared" si="88"/>
        <v>no t, f, or sf</v>
      </c>
      <c r="BQ119" s="148" t="str">
        <f t="shared" si="89"/>
        <v/>
      </c>
    </row>
    <row r="120" spans="1:69" ht="15" customHeight="1" x14ac:dyDescent="0.2">
      <c r="A120" s="376">
        <v>118</v>
      </c>
      <c r="B120" s="444" t="s">
        <v>37</v>
      </c>
      <c r="C120" s="444" t="s">
        <v>518</v>
      </c>
      <c r="D120" s="451">
        <v>1</v>
      </c>
      <c r="E120" s="451">
        <v>1</v>
      </c>
      <c r="F120" s="315" t="s">
        <v>770</v>
      </c>
      <c r="G120" s="445">
        <v>43065</v>
      </c>
      <c r="H120" s="417">
        <v>0.47222222222222227</v>
      </c>
      <c r="I120" s="325" t="s">
        <v>770</v>
      </c>
      <c r="J120" s="444" t="s">
        <v>706</v>
      </c>
      <c r="K120" s="444">
        <v>24</v>
      </c>
      <c r="L120" t="s">
        <v>557</v>
      </c>
      <c r="M120">
        <v>24</v>
      </c>
      <c r="N120" t="s">
        <v>559</v>
      </c>
      <c r="O120" s="153" t="str">
        <f>IF(L120&lt;&gt;"",IFERROR(VLOOKUP(B120&amp;L120,Pools!$A$2:$D$130,3,FALSE),""),"")</f>
        <v>Pool A</v>
      </c>
      <c r="P120" s="388">
        <v>12</v>
      </c>
      <c r="Q120" s="388">
        <v>11</v>
      </c>
      <c r="R120" s="306" t="str">
        <f t="shared" si="45"/>
        <v>12-11</v>
      </c>
      <c r="S120" s="153"/>
      <c r="T120" s="148" t="str">
        <f t="shared" si="46"/>
        <v>Completed</v>
      </c>
      <c r="U120" s="153"/>
      <c r="V120" s="153"/>
      <c r="W120" s="387">
        <f t="shared" si="47"/>
        <v>1</v>
      </c>
      <c r="X120" s="387">
        <f t="shared" si="48"/>
        <v>-1</v>
      </c>
      <c r="Y120" s="301">
        <f t="shared" si="49"/>
        <v>2</v>
      </c>
      <c r="Z120" s="301">
        <f t="shared" si="50"/>
        <v>0</v>
      </c>
      <c r="AA120" s="323" t="str">
        <f>CONCATENATE("                x[team1,team2,sport,'",IF(OR(I120="x",I120=""),VLOOKUP('Schedule from TM'!J120,Tables!$P$3:$Q$33,2,FALSE),'Schedule from TM'!I120),",",J120,"','",IF(OR(F120="x",F120=""),VLOOKUP('Schedule from TM'!G120,Tables!$U$3:$V$14,2,FALSE),'Schedule from TM'!F120),",",TEXT(G120,"mm/dd/yyyy"),"','",TEXT(H120,"h:mm:ss AM/PM"),"'].ub=0.0      #",B120)</f>
        <v xml:space="preserve">                x[team1,team2,sport,'21,Hillel - Field 4','21,11/26/2017','11:20:00 AM'].ub=0.0      #Ch B Coed Kickball</v>
      </c>
      <c r="AB120" s="301" t="str">
        <f t="shared" si="51"/>
        <v>,,Ch B Coed Kickball,Pool A,1,CHILD B - MEX</v>
      </c>
      <c r="AC120" s="153" t="str">
        <f t="shared" si="52"/>
        <v>Ch B Coed KickballPool ACHILD B - MEX</v>
      </c>
      <c r="AD120" s="301" t="str">
        <f t="shared" si="53"/>
        <v>,,Ch B Coed Kickball,Pool A,1,CHILD B - USA 2</v>
      </c>
      <c r="AE120" s="153" t="str">
        <f t="shared" si="54"/>
        <v>Ch B Coed KickballPool ACHILD B - USA 2</v>
      </c>
      <c r="AF120" s="383">
        <f t="shared" si="55"/>
        <v>1</v>
      </c>
      <c r="AG120" s="383">
        <f t="shared" si="56"/>
        <v>0</v>
      </c>
      <c r="AH120" s="383">
        <f t="shared" si="57"/>
        <v>0</v>
      </c>
      <c r="AI120" s="383">
        <f t="shared" si="58"/>
        <v>0</v>
      </c>
      <c r="AJ120" s="383">
        <f t="shared" si="59"/>
        <v>1</v>
      </c>
      <c r="AK120" s="383">
        <f t="shared" si="60"/>
        <v>0</v>
      </c>
      <c r="AM120" s="148" t="str">
        <f t="shared" si="61"/>
        <v>Schedulled</v>
      </c>
      <c r="AN120" s="148" t="str">
        <f t="shared" si="62"/>
        <v/>
      </c>
      <c r="AO120" s="156">
        <f t="shared" si="63"/>
        <v>43065.472222222219</v>
      </c>
      <c r="AP120" s="148" t="str">
        <f t="shared" si="64"/>
        <v>11/26/2017 11:20-&gt;Hillel - Field 4</v>
      </c>
      <c r="AQ120" s="374">
        <f t="shared" si="65"/>
        <v>1</v>
      </c>
      <c r="AR120" s="148" t="str">
        <f t="shared" si="66"/>
        <v>MEX</v>
      </c>
      <c r="AS120" s="148" t="str">
        <f t="shared" si="67"/>
        <v>USA2</v>
      </c>
      <c r="AT120" s="157" t="str">
        <f t="shared" si="68"/>
        <v>MEX-USA2</v>
      </c>
      <c r="AU120" s="157" t="str">
        <f t="shared" si="69"/>
        <v xml:space="preserve">MEX-USA2 </v>
      </c>
      <c r="AV120" s="157" t="str">
        <f t="shared" si="70"/>
        <v>CHILDREN B COED</v>
      </c>
      <c r="AW120" s="157" t="str">
        <f t="shared" si="71"/>
        <v>Kickball</v>
      </c>
      <c r="AX120" s="376">
        <f t="shared" si="72"/>
        <v>118</v>
      </c>
      <c r="AY120" s="148" t="str">
        <f t="shared" si="73"/>
        <v>CHILD B - MEX-&gt;CHILD B - USA 2</v>
      </c>
      <c r="AZ120" s="148" t="str">
        <f t="shared" si="74"/>
        <v>11/26/2017 11:20-&gt;CHILD B - MEX</v>
      </c>
      <c r="BA120" s="148" t="str">
        <f t="shared" si="75"/>
        <v>11/26/2017 11:20-&gt;CHILD B - USA 2</v>
      </c>
      <c r="BB120" s="374">
        <f t="shared" si="76"/>
        <v>1</v>
      </c>
      <c r="BC120" s="374">
        <f t="shared" si="77"/>
        <v>1</v>
      </c>
      <c r="BD120" s="148" t="str">
        <f t="shared" si="78"/>
        <v>no conflict</v>
      </c>
      <c r="BF120" s="148" t="str">
        <f t="shared" si="79"/>
        <v>11/26/2017 11:20-&gt;CHILD B - MEX</v>
      </c>
      <c r="BG120" s="148" t="str">
        <f t="shared" si="80"/>
        <v>11/26/2017 11:20-&gt;CHILD B - USA 2</v>
      </c>
      <c r="BH120" s="148" t="str">
        <f t="shared" si="81"/>
        <v>11/26/2017 11:20-&gt;Hillel - Field 4</v>
      </c>
      <c r="BI120" s="148" t="str">
        <f t="shared" si="82"/>
        <v>Kickball in Hillel - Field 4 (MEX-USA2)</v>
      </c>
      <c r="BJ120" s="148" t="str">
        <f t="shared" si="83"/>
        <v>Ch B Coed Kickball-- CHILD B - MEX vs. CHILD B - USA 2</v>
      </c>
      <c r="BK120" s="148" t="str">
        <f t="shared" si="84"/>
        <v>Kickball</v>
      </c>
      <c r="BL120" s="148" t="str">
        <f t="shared" si="85"/>
        <v>CHILD B - MEX</v>
      </c>
      <c r="BM120" s="148" t="str">
        <f t="shared" si="86"/>
        <v>CHILD B - USA 2</v>
      </c>
      <c r="BN120" s="148" t="str">
        <f t="shared" si="87"/>
        <v>Round - 1</v>
      </c>
      <c r="BP120" s="148" t="str">
        <f t="shared" si="88"/>
        <v>no t, f, or sf</v>
      </c>
      <c r="BQ120" s="148" t="str">
        <f t="shared" si="89"/>
        <v/>
      </c>
    </row>
    <row r="121" spans="1:69" ht="15" customHeight="1" x14ac:dyDescent="0.2">
      <c r="A121" s="376">
        <v>119</v>
      </c>
      <c r="B121" s="315" t="s">
        <v>34</v>
      </c>
      <c r="C121" s="315" t="s">
        <v>518</v>
      </c>
      <c r="D121" s="378">
        <v>1</v>
      </c>
      <c r="E121" s="378">
        <v>1</v>
      </c>
      <c r="F121" s="315" t="s">
        <v>770</v>
      </c>
      <c r="G121" s="316">
        <v>43058</v>
      </c>
      <c r="H121" s="317">
        <v>0.36805555555555558</v>
      </c>
      <c r="I121" s="325" t="s">
        <v>770</v>
      </c>
      <c r="J121" s="443" t="s">
        <v>693</v>
      </c>
      <c r="K121" s="315">
        <v>24</v>
      </c>
      <c r="L121" t="s">
        <v>554</v>
      </c>
      <c r="M121">
        <v>24</v>
      </c>
      <c r="N121" t="s">
        <v>557</v>
      </c>
      <c r="O121" s="153" t="str">
        <f>IF(L121&lt;&gt;"",IFERROR(VLOOKUP(B121&amp;L121,Pools!$A$2:$D$130,3,FALSE),""),"")</f>
        <v>Pool B</v>
      </c>
      <c r="P121" s="388">
        <v>3</v>
      </c>
      <c r="Q121" s="388">
        <v>3</v>
      </c>
      <c r="R121" s="306" t="str">
        <f t="shared" si="45"/>
        <v>3-3</v>
      </c>
      <c r="S121" s="153"/>
      <c r="T121" s="148" t="str">
        <f t="shared" si="46"/>
        <v>Completed</v>
      </c>
      <c r="U121" s="153"/>
      <c r="V121" s="153"/>
      <c r="W121" s="387">
        <f t="shared" si="47"/>
        <v>0</v>
      </c>
      <c r="X121" s="387">
        <f t="shared" si="48"/>
        <v>0</v>
      </c>
      <c r="Y121" s="301">
        <f t="shared" si="49"/>
        <v>1</v>
      </c>
      <c r="Z121" s="301">
        <f t="shared" si="50"/>
        <v>1</v>
      </c>
      <c r="AA121" s="323" t="str">
        <f>CONCATENATE("                x[team1,team2,sport,'",IF(OR(I121="x",I121=""),VLOOKUP('Schedule from TM'!J121,Tables!$P$3:$Q$33,2,FALSE),'Schedule from TM'!I121),",",J121,"','",IF(OR(F121="x",F121=""),VLOOKUP('Schedule from TM'!G121,Tables!$U$3:$V$14,2,FALSE),'Schedule from TM'!F121),",",TEXT(G121,"mm/dd/yyyy"),"','",TEXT(H121,"h:mm:ss AM/PM"),"'].ub=0.0      #",B121)</f>
        <v xml:space="preserve">                x[team1,team2,sport,'11,JCC Back Field 2','11,11/19/2017','8:50:00 AM'].ub=0.0      #Ch B Coed Mini Soccer</v>
      </c>
      <c r="AB121" s="301" t="str">
        <f t="shared" si="51"/>
        <v>,,Ch B Coed Mini Soccer,Pool B,1,CHILD B - COL 1</v>
      </c>
      <c r="AC121" s="153" t="str">
        <f t="shared" si="52"/>
        <v>Ch B Coed Mini SoccerPool BCHILD B - COL 1</v>
      </c>
      <c r="AD121" s="301" t="str">
        <f t="shared" si="53"/>
        <v>,,Ch B Coed Mini Soccer,Pool B,1,CHILD B - MEX</v>
      </c>
      <c r="AE121" s="153" t="str">
        <f t="shared" si="54"/>
        <v>Ch B Coed Mini SoccerPool BCHILD B - MEX</v>
      </c>
      <c r="AF121" s="383">
        <f t="shared" si="55"/>
        <v>0</v>
      </c>
      <c r="AG121" s="383">
        <f t="shared" si="56"/>
        <v>0</v>
      </c>
      <c r="AH121" s="383">
        <f t="shared" si="57"/>
        <v>1</v>
      </c>
      <c r="AI121" s="383">
        <f t="shared" si="58"/>
        <v>0</v>
      </c>
      <c r="AJ121" s="383">
        <f t="shared" si="59"/>
        <v>0</v>
      </c>
      <c r="AK121" s="383">
        <f t="shared" si="60"/>
        <v>1</v>
      </c>
      <c r="AM121" s="148" t="str">
        <f t="shared" si="61"/>
        <v>Schedulled</v>
      </c>
      <c r="AN121" s="148" t="str">
        <f t="shared" si="62"/>
        <v/>
      </c>
      <c r="AO121" s="156">
        <f t="shared" si="63"/>
        <v>43058.368055555555</v>
      </c>
      <c r="AP121" s="148" t="str">
        <f t="shared" si="64"/>
        <v>11/19/2017 08:50-&gt;JCC Back Field 2</v>
      </c>
      <c r="AQ121" s="374">
        <f t="shared" si="65"/>
        <v>1</v>
      </c>
      <c r="AR121" s="148" t="str">
        <f t="shared" si="66"/>
        <v>COL1</v>
      </c>
      <c r="AS121" s="148" t="str">
        <f t="shared" si="67"/>
        <v>MEX</v>
      </c>
      <c r="AT121" s="157" t="str">
        <f t="shared" si="68"/>
        <v>COL1-MEX</v>
      </c>
      <c r="AU121" s="157" t="str">
        <f t="shared" si="69"/>
        <v xml:space="preserve">COL1-MEX </v>
      </c>
      <c r="AV121" s="157" t="str">
        <f t="shared" si="70"/>
        <v>CHILDREN B COED</v>
      </c>
      <c r="AW121" s="157" t="str">
        <f t="shared" si="71"/>
        <v>Soccer</v>
      </c>
      <c r="AX121" s="376">
        <f t="shared" si="72"/>
        <v>119</v>
      </c>
      <c r="AY121" s="148" t="str">
        <f t="shared" si="73"/>
        <v>CHILD B - COL 1-&gt;CHILD B - MEX</v>
      </c>
      <c r="AZ121" s="148" t="str">
        <f t="shared" si="74"/>
        <v>11/19/2017 08:50-&gt;CHILD B - COL 1</v>
      </c>
      <c r="BA121" s="148" t="str">
        <f t="shared" si="75"/>
        <v>11/19/2017 08:50-&gt;CHILD B - MEX</v>
      </c>
      <c r="BB121" s="374">
        <f t="shared" si="76"/>
        <v>1</v>
      </c>
      <c r="BC121" s="374">
        <f t="shared" si="77"/>
        <v>1</v>
      </c>
      <c r="BD121" s="148" t="str">
        <f t="shared" si="78"/>
        <v>no conflict</v>
      </c>
      <c r="BF121" s="148" t="str">
        <f t="shared" si="79"/>
        <v>11/19/2017 08:50-&gt;CHILD B - COL 1</v>
      </c>
      <c r="BG121" s="148" t="str">
        <f t="shared" si="80"/>
        <v>11/19/2017 08:50-&gt;CHILD B - MEX</v>
      </c>
      <c r="BH121" s="148" t="str">
        <f t="shared" si="81"/>
        <v>11/19/2017 08:50-&gt;JCC Back Field 2</v>
      </c>
      <c r="BI121" s="148" t="str">
        <f t="shared" si="82"/>
        <v>Soccer in JCC Back Field 2 (COL1-MEX)</v>
      </c>
      <c r="BJ121" s="148" t="str">
        <f t="shared" si="83"/>
        <v>Ch B Coed Mini Soccer-- CHILD B - COL 1 vs. CHILD B - MEX</v>
      </c>
      <c r="BK121" s="148" t="str">
        <f t="shared" si="84"/>
        <v>Soccer</v>
      </c>
      <c r="BL121" s="148" t="str">
        <f t="shared" si="85"/>
        <v>CHILD B - COL 1</v>
      </c>
      <c r="BM121" s="148" t="str">
        <f t="shared" si="86"/>
        <v>CHILD B - MEX</v>
      </c>
      <c r="BN121" s="148" t="str">
        <f t="shared" si="87"/>
        <v>Round - 1</v>
      </c>
      <c r="BP121" s="148" t="str">
        <f t="shared" si="88"/>
        <v>no t, f, or sf</v>
      </c>
      <c r="BQ121" s="148" t="str">
        <f t="shared" si="89"/>
        <v/>
      </c>
    </row>
    <row r="122" spans="1:69" ht="15" customHeight="1" x14ac:dyDescent="0.2">
      <c r="A122" s="376">
        <v>120</v>
      </c>
      <c r="B122" s="444" t="s">
        <v>34</v>
      </c>
      <c r="C122" s="444" t="s">
        <v>518</v>
      </c>
      <c r="D122" s="451">
        <v>1</v>
      </c>
      <c r="E122" s="451">
        <v>1</v>
      </c>
      <c r="F122" s="315" t="s">
        <v>770</v>
      </c>
      <c r="G122" s="445">
        <v>43058</v>
      </c>
      <c r="H122" s="317">
        <v>0.54166666666666663</v>
      </c>
      <c r="I122" s="325" t="s">
        <v>770</v>
      </c>
      <c r="J122" s="444" t="s">
        <v>693</v>
      </c>
      <c r="K122" s="444">
        <v>24</v>
      </c>
      <c r="L122" t="s">
        <v>552</v>
      </c>
      <c r="M122">
        <v>24</v>
      </c>
      <c r="N122" t="s">
        <v>561</v>
      </c>
      <c r="O122" s="153" t="str">
        <f>IF(L122&lt;&gt;"",IFERROR(VLOOKUP(B122&amp;L122,Pools!$A$2:$D$130,3,FALSE),""),"")</f>
        <v>Pool A</v>
      </c>
      <c r="P122" s="388">
        <v>0</v>
      </c>
      <c r="Q122" s="388">
        <v>7</v>
      </c>
      <c r="R122" s="306" t="str">
        <f t="shared" si="45"/>
        <v>0-7</v>
      </c>
      <c r="S122" s="153"/>
      <c r="T122" s="148" t="str">
        <f t="shared" si="46"/>
        <v>Completed</v>
      </c>
      <c r="U122" s="153"/>
      <c r="V122" s="153"/>
      <c r="W122" s="387">
        <f t="shared" si="47"/>
        <v>-3</v>
      </c>
      <c r="X122" s="387">
        <f t="shared" si="48"/>
        <v>3</v>
      </c>
      <c r="Y122" s="301">
        <f t="shared" si="49"/>
        <v>0</v>
      </c>
      <c r="Z122" s="301">
        <f t="shared" si="50"/>
        <v>2</v>
      </c>
      <c r="AA122" s="323" t="str">
        <f>CONCATENATE("                x[team1,team2,sport,'",IF(OR(I122="x",I122=""),VLOOKUP('Schedule from TM'!J122,Tables!$P$3:$Q$33,2,FALSE),'Schedule from TM'!I122),",",J122,"','",IF(OR(F122="x",F122=""),VLOOKUP('Schedule from TM'!G122,Tables!$U$3:$V$14,2,FALSE),'Schedule from TM'!F122),",",TEXT(G122,"mm/dd/yyyy"),"','",TEXT(H122,"h:mm:ss AM/PM"),"'].ub=0.0      #",B122)</f>
        <v xml:space="preserve">                x[team1,team2,sport,'11,JCC Back Field 2','11,11/19/2017','1:00:00 PM'].ub=0.0      #Ch B Coed Mini Soccer</v>
      </c>
      <c r="AB122" s="301" t="str">
        <f t="shared" si="51"/>
        <v>,,Ch B Coed Mini Soccer,Pool A,1,CHILD B - ARG 1</v>
      </c>
      <c r="AC122" s="153" t="str">
        <f t="shared" si="52"/>
        <v>Ch B Coed Mini SoccerPool ACHILD B - ARG 1</v>
      </c>
      <c r="AD122" s="301" t="str">
        <f t="shared" si="53"/>
        <v>,,Ch B Coed Mini Soccer,Pool A,1,CHILD B - VEN 2</v>
      </c>
      <c r="AE122" s="153" t="str">
        <f t="shared" si="54"/>
        <v>Ch B Coed Mini SoccerPool ACHILD B - VEN 2</v>
      </c>
      <c r="AF122" s="383">
        <f t="shared" si="55"/>
        <v>0</v>
      </c>
      <c r="AG122" s="383">
        <f t="shared" si="56"/>
        <v>1</v>
      </c>
      <c r="AH122" s="383">
        <f t="shared" si="57"/>
        <v>0</v>
      </c>
      <c r="AI122" s="383">
        <f t="shared" si="58"/>
        <v>1</v>
      </c>
      <c r="AJ122" s="383">
        <f t="shared" si="59"/>
        <v>0</v>
      </c>
      <c r="AK122" s="383">
        <f t="shared" si="60"/>
        <v>0</v>
      </c>
      <c r="AM122" s="148" t="str">
        <f t="shared" si="61"/>
        <v>Schedulled</v>
      </c>
      <c r="AN122" s="148" t="str">
        <f t="shared" si="62"/>
        <v/>
      </c>
      <c r="AO122" s="156">
        <f t="shared" si="63"/>
        <v>43058.541666666664</v>
      </c>
      <c r="AP122" s="148" t="str">
        <f t="shared" si="64"/>
        <v>11/19/2017 13:00-&gt;JCC Back Field 2</v>
      </c>
      <c r="AQ122" s="374">
        <f t="shared" si="65"/>
        <v>1</v>
      </c>
      <c r="AR122" s="148" t="str">
        <f t="shared" si="66"/>
        <v>ARG1</v>
      </c>
      <c r="AS122" s="148" t="str">
        <f t="shared" si="67"/>
        <v>VEN2</v>
      </c>
      <c r="AT122" s="157" t="str">
        <f t="shared" si="68"/>
        <v>ARG1-VEN2</v>
      </c>
      <c r="AU122" s="157" t="str">
        <f t="shared" si="69"/>
        <v xml:space="preserve">ARG1-VEN2 </v>
      </c>
      <c r="AV122" s="157" t="str">
        <f t="shared" si="70"/>
        <v>CHILDREN B COED</v>
      </c>
      <c r="AW122" s="157" t="str">
        <f t="shared" si="71"/>
        <v>Soccer</v>
      </c>
      <c r="AX122" s="376">
        <f t="shared" si="72"/>
        <v>120</v>
      </c>
      <c r="AY122" s="148" t="str">
        <f t="shared" si="73"/>
        <v>CHILD B - ARG 1-&gt;CHILD B - VEN 2</v>
      </c>
      <c r="AZ122" s="148" t="str">
        <f t="shared" si="74"/>
        <v>11/19/2017 13:00-&gt;CHILD B - ARG 1</v>
      </c>
      <c r="BA122" s="148" t="str">
        <f t="shared" si="75"/>
        <v>11/19/2017 13:00-&gt;CHILD B - VEN 2</v>
      </c>
      <c r="BB122" s="374">
        <f t="shared" si="76"/>
        <v>1</v>
      </c>
      <c r="BC122" s="374">
        <f t="shared" si="77"/>
        <v>1</v>
      </c>
      <c r="BD122" s="148" t="str">
        <f t="shared" si="78"/>
        <v>no conflict</v>
      </c>
      <c r="BF122" s="148" t="str">
        <f t="shared" si="79"/>
        <v>11/19/2017 13:00-&gt;CHILD B - ARG 1</v>
      </c>
      <c r="BG122" s="148" t="str">
        <f t="shared" si="80"/>
        <v>11/19/2017 13:00-&gt;CHILD B - VEN 2</v>
      </c>
      <c r="BH122" s="148" t="str">
        <f t="shared" si="81"/>
        <v>11/19/2017 13:00-&gt;JCC Back Field 2</v>
      </c>
      <c r="BI122" s="148" t="str">
        <f t="shared" si="82"/>
        <v>Soccer in JCC Back Field 2 (ARG1-VEN2)</v>
      </c>
      <c r="BJ122" s="148" t="str">
        <f t="shared" si="83"/>
        <v>Ch B Coed Mini Soccer-- CHILD B - ARG 1 vs. CHILD B - VEN 2</v>
      </c>
      <c r="BK122" s="148" t="str">
        <f t="shared" si="84"/>
        <v>Soccer</v>
      </c>
      <c r="BL122" s="148" t="str">
        <f t="shared" si="85"/>
        <v>CHILD B - ARG 1</v>
      </c>
      <c r="BM122" s="148" t="str">
        <f t="shared" si="86"/>
        <v>CHILD B - VEN 2</v>
      </c>
      <c r="BN122" s="148" t="str">
        <f t="shared" si="87"/>
        <v>Round - 1</v>
      </c>
      <c r="BP122" s="148" t="str">
        <f t="shared" si="88"/>
        <v>no t, f, or sf</v>
      </c>
      <c r="BQ122" s="148" t="str">
        <f t="shared" si="89"/>
        <v/>
      </c>
    </row>
    <row r="123" spans="1:69" ht="15" customHeight="1" x14ac:dyDescent="0.2">
      <c r="A123" s="450">
        <v>121</v>
      </c>
      <c r="B123" s="441" t="s">
        <v>34</v>
      </c>
      <c r="C123" s="441" t="s">
        <v>518</v>
      </c>
      <c r="D123" s="450">
        <v>1</v>
      </c>
      <c r="E123" s="450">
        <v>1</v>
      </c>
      <c r="F123" s="444" t="s">
        <v>770</v>
      </c>
      <c r="G123" s="320">
        <v>43058</v>
      </c>
      <c r="H123" s="317">
        <v>0.64583333333333337</v>
      </c>
      <c r="I123" s="446" t="s">
        <v>770</v>
      </c>
      <c r="J123" s="441" t="s">
        <v>692</v>
      </c>
      <c r="K123" s="441">
        <v>24</v>
      </c>
      <c r="L123" s="433" t="s">
        <v>554</v>
      </c>
      <c r="M123" s="433">
        <v>24</v>
      </c>
      <c r="N123" s="433" t="s">
        <v>559</v>
      </c>
      <c r="O123" s="153" t="str">
        <f>IF(L123&lt;&gt;"",IFERROR(VLOOKUP(B123&amp;L123,Pools!$A$2:$D$130,3,FALSE),""),"")</f>
        <v>Pool B</v>
      </c>
      <c r="P123" s="388">
        <v>0</v>
      </c>
      <c r="Q123" s="388">
        <v>0</v>
      </c>
      <c r="R123" s="306" t="str">
        <f t="shared" si="45"/>
        <v>0-0</v>
      </c>
      <c r="S123" s="153"/>
      <c r="T123" s="148" t="str">
        <f t="shared" si="46"/>
        <v>Completed</v>
      </c>
      <c r="U123" s="153"/>
      <c r="V123" s="153"/>
      <c r="W123" s="387">
        <f t="shared" si="47"/>
        <v>0</v>
      </c>
      <c r="X123" s="387">
        <f t="shared" si="48"/>
        <v>0</v>
      </c>
      <c r="Y123" s="301">
        <f t="shared" si="49"/>
        <v>1</v>
      </c>
      <c r="Z123" s="301">
        <f t="shared" si="50"/>
        <v>1</v>
      </c>
      <c r="AA123" s="323" t="str">
        <f>CONCATENATE("                x[team1,team2,sport,'",IF(OR(I123="x",I123=""),VLOOKUP('Schedule from TM'!J123,Tables!$P$3:$Q$33,2,FALSE),'Schedule from TM'!I123),",",J123,"','",IF(OR(F123="x",F123=""),VLOOKUP('Schedule from TM'!G123,Tables!$U$3:$V$14,2,FALSE),'Schedule from TM'!F123),",",TEXT(G123,"mm/dd/yyyy"),"','",TEXT(H123,"h:mm:ss AM/PM"),"'].ub=0.0      #",B123)</f>
        <v xml:space="preserve">                x[team1,team2,sport,'11,JCC Back Field 3','11,11/19/2017','3:30:00 PM'].ub=0.0      #Ch B Coed Mini Soccer</v>
      </c>
      <c r="AB123" s="301" t="str">
        <f t="shared" si="51"/>
        <v>,,Ch B Coed Mini Soccer,Pool B,1,CHILD B - COL 1</v>
      </c>
      <c r="AC123" s="153" t="str">
        <f t="shared" si="52"/>
        <v>Ch B Coed Mini SoccerPool BCHILD B - COL 1</v>
      </c>
      <c r="AD123" s="301" t="str">
        <f t="shared" si="53"/>
        <v>,,Ch B Coed Mini Soccer,Pool B,1,CHILD B - USA 2</v>
      </c>
      <c r="AE123" s="153" t="str">
        <f t="shared" si="54"/>
        <v>Ch B Coed Mini SoccerPool BCHILD B - USA 2</v>
      </c>
      <c r="AF123" s="383">
        <f t="shared" si="55"/>
        <v>0</v>
      </c>
      <c r="AG123" s="383">
        <f t="shared" si="56"/>
        <v>0</v>
      </c>
      <c r="AH123" s="383">
        <f t="shared" si="57"/>
        <v>1</v>
      </c>
      <c r="AI123" s="383">
        <f t="shared" si="58"/>
        <v>0</v>
      </c>
      <c r="AJ123" s="383">
        <f t="shared" si="59"/>
        <v>0</v>
      </c>
      <c r="AK123" s="383">
        <f t="shared" si="60"/>
        <v>1</v>
      </c>
      <c r="AM123" s="148" t="str">
        <f t="shared" si="61"/>
        <v>Schedulled</v>
      </c>
      <c r="AN123" s="148" t="str">
        <f t="shared" si="62"/>
        <v/>
      </c>
      <c r="AO123" s="156">
        <f t="shared" si="63"/>
        <v>43058.645833333336</v>
      </c>
      <c r="AP123" s="148" t="str">
        <f t="shared" si="64"/>
        <v>11/19/2017 15:30-&gt;JCC Back Field 3</v>
      </c>
      <c r="AQ123" s="374">
        <f t="shared" si="65"/>
        <v>1</v>
      </c>
      <c r="AR123" s="148" t="str">
        <f t="shared" si="66"/>
        <v>COL1</v>
      </c>
      <c r="AS123" s="148" t="str">
        <f t="shared" si="67"/>
        <v>USA2</v>
      </c>
      <c r="AT123" s="157" t="str">
        <f t="shared" si="68"/>
        <v>COL1-USA2</v>
      </c>
      <c r="AU123" s="157" t="str">
        <f t="shared" si="69"/>
        <v xml:space="preserve">COL1-USA2 </v>
      </c>
      <c r="AV123" s="157" t="str">
        <f t="shared" si="70"/>
        <v>CHILDREN B COED</v>
      </c>
      <c r="AW123" s="157" t="str">
        <f t="shared" si="71"/>
        <v>Soccer</v>
      </c>
      <c r="AX123" s="450">
        <f t="shared" si="72"/>
        <v>121</v>
      </c>
      <c r="AY123" s="148" t="str">
        <f t="shared" si="73"/>
        <v>CHILD B - COL 1-&gt;CHILD B - USA 2</v>
      </c>
      <c r="AZ123" s="148" t="str">
        <f t="shared" si="74"/>
        <v>11/19/2017 15:30-&gt;CHILD B - COL 1</v>
      </c>
      <c r="BA123" s="148" t="str">
        <f t="shared" si="75"/>
        <v>11/19/2017 15:30-&gt;CHILD B - USA 2</v>
      </c>
      <c r="BB123" s="374">
        <f t="shared" si="76"/>
        <v>1</v>
      </c>
      <c r="BC123" s="374">
        <f t="shared" si="77"/>
        <v>1</v>
      </c>
      <c r="BD123" s="148" t="str">
        <f t="shared" si="78"/>
        <v>no conflict</v>
      </c>
      <c r="BF123" s="148" t="str">
        <f t="shared" si="79"/>
        <v>11/19/2017 15:30-&gt;CHILD B - COL 1</v>
      </c>
      <c r="BG123" s="148" t="str">
        <f t="shared" si="80"/>
        <v>11/19/2017 15:30-&gt;CHILD B - USA 2</v>
      </c>
      <c r="BH123" s="148" t="str">
        <f t="shared" si="81"/>
        <v>11/19/2017 15:30-&gt;JCC Back Field 3</v>
      </c>
      <c r="BI123" s="148" t="str">
        <f t="shared" si="82"/>
        <v>Soccer in JCC Back Field 3 (COL1-USA2)</v>
      </c>
      <c r="BJ123" s="148" t="str">
        <f t="shared" si="83"/>
        <v>Ch B Coed Mini Soccer-- CHILD B - COL 1 vs. CHILD B - USA 2</v>
      </c>
      <c r="BK123" s="148" t="str">
        <f t="shared" si="84"/>
        <v>Soccer</v>
      </c>
      <c r="BL123" s="148" t="str">
        <f t="shared" si="85"/>
        <v>CHILD B - COL 1</v>
      </c>
      <c r="BM123" s="148" t="str">
        <f t="shared" si="86"/>
        <v>CHILD B - USA 2</v>
      </c>
      <c r="BN123" s="148" t="str">
        <f t="shared" si="87"/>
        <v>Round - 1</v>
      </c>
      <c r="BP123" s="148" t="str">
        <f t="shared" si="88"/>
        <v>no t, f, or sf</v>
      </c>
      <c r="BQ123" s="148" t="str">
        <f t="shared" si="89"/>
        <v/>
      </c>
    </row>
    <row r="124" spans="1:69" ht="15" customHeight="1" x14ac:dyDescent="0.2">
      <c r="A124" s="450">
        <v>122</v>
      </c>
      <c r="B124" s="441" t="s">
        <v>34</v>
      </c>
      <c r="C124" s="441" t="s">
        <v>518</v>
      </c>
      <c r="D124" s="450">
        <v>1</v>
      </c>
      <c r="E124" s="450">
        <v>1</v>
      </c>
      <c r="F124" s="444" t="s">
        <v>770</v>
      </c>
      <c r="G124" s="320">
        <v>43058</v>
      </c>
      <c r="H124" s="317">
        <v>0.64583333333333337</v>
      </c>
      <c r="I124" s="446" t="s">
        <v>770</v>
      </c>
      <c r="J124" s="441" t="s">
        <v>693</v>
      </c>
      <c r="K124" s="441">
        <v>24</v>
      </c>
      <c r="L124" s="433" t="s">
        <v>557</v>
      </c>
      <c r="M124" s="433">
        <v>24</v>
      </c>
      <c r="N124" s="433" t="s">
        <v>560</v>
      </c>
      <c r="O124" s="153" t="str">
        <f>IF(L124&lt;&gt;"",IFERROR(VLOOKUP(B124&amp;L124,Pools!$A$2:$D$130,3,FALSE),""),"")</f>
        <v>Pool B</v>
      </c>
      <c r="P124" s="388">
        <v>2</v>
      </c>
      <c r="Q124" s="388">
        <v>5</v>
      </c>
      <c r="R124" s="306" t="str">
        <f t="shared" si="45"/>
        <v>2-5</v>
      </c>
      <c r="S124" s="153"/>
      <c r="T124" s="148" t="str">
        <f t="shared" si="46"/>
        <v>Completed</v>
      </c>
      <c r="U124" s="153"/>
      <c r="V124" s="153"/>
      <c r="W124" s="387">
        <f t="shared" si="47"/>
        <v>-3</v>
      </c>
      <c r="X124" s="387">
        <f t="shared" si="48"/>
        <v>3</v>
      </c>
      <c r="Y124" s="301">
        <f t="shared" si="49"/>
        <v>0</v>
      </c>
      <c r="Z124" s="301">
        <f t="shared" si="50"/>
        <v>2</v>
      </c>
      <c r="AA124" s="323" t="str">
        <f>CONCATENATE("                x[team1,team2,sport,'",IF(OR(I124="x",I124=""),VLOOKUP('Schedule from TM'!J124,Tables!$P$3:$Q$33,2,FALSE),'Schedule from TM'!I124),",",J124,"','",IF(OR(F124="x",F124=""),VLOOKUP('Schedule from TM'!G124,Tables!$U$3:$V$14,2,FALSE),'Schedule from TM'!F124),",",TEXT(G124,"mm/dd/yyyy"),"','",TEXT(H124,"h:mm:ss AM/PM"),"'].ub=0.0      #",B124)</f>
        <v xml:space="preserve">                x[team1,team2,sport,'11,JCC Back Field 2','11,11/19/2017','3:30:00 PM'].ub=0.0      #Ch B Coed Mini Soccer</v>
      </c>
      <c r="AB124" s="301" t="str">
        <f t="shared" si="51"/>
        <v>,,Ch B Coed Mini Soccer,Pool B,1,CHILD B - MEX</v>
      </c>
      <c r="AC124" s="153" t="str">
        <f t="shared" si="52"/>
        <v>Ch B Coed Mini SoccerPool BCHILD B - MEX</v>
      </c>
      <c r="AD124" s="301" t="str">
        <f t="shared" si="53"/>
        <v>,,Ch B Coed Mini Soccer,Pool B,1,CHILD B - VEN 1</v>
      </c>
      <c r="AE124" s="153" t="str">
        <f t="shared" si="54"/>
        <v>Ch B Coed Mini SoccerPool BCHILD B - VEN 1</v>
      </c>
      <c r="AF124" s="383">
        <f t="shared" si="55"/>
        <v>0</v>
      </c>
      <c r="AG124" s="383">
        <f t="shared" si="56"/>
        <v>1</v>
      </c>
      <c r="AH124" s="383">
        <f t="shared" si="57"/>
        <v>0</v>
      </c>
      <c r="AI124" s="383">
        <f t="shared" si="58"/>
        <v>1</v>
      </c>
      <c r="AJ124" s="383">
        <f t="shared" si="59"/>
        <v>0</v>
      </c>
      <c r="AK124" s="383">
        <f t="shared" si="60"/>
        <v>0</v>
      </c>
      <c r="AM124" s="148" t="str">
        <f t="shared" si="61"/>
        <v>Schedulled</v>
      </c>
      <c r="AN124" s="148" t="str">
        <f t="shared" si="62"/>
        <v/>
      </c>
      <c r="AO124" s="156">
        <f t="shared" si="63"/>
        <v>43058.645833333336</v>
      </c>
      <c r="AP124" s="148" t="str">
        <f t="shared" si="64"/>
        <v>11/19/2017 15:30-&gt;JCC Back Field 2</v>
      </c>
      <c r="AQ124" s="374">
        <f t="shared" si="65"/>
        <v>1</v>
      </c>
      <c r="AR124" s="148" t="str">
        <f t="shared" si="66"/>
        <v>MEX</v>
      </c>
      <c r="AS124" s="148" t="str">
        <f t="shared" si="67"/>
        <v>VEN1</v>
      </c>
      <c r="AT124" s="157" t="str">
        <f t="shared" si="68"/>
        <v>MEX-VEN1</v>
      </c>
      <c r="AU124" s="157" t="str">
        <f t="shared" si="69"/>
        <v xml:space="preserve">MEX-VEN1 </v>
      </c>
      <c r="AV124" s="157" t="str">
        <f t="shared" si="70"/>
        <v>CHILDREN B COED</v>
      </c>
      <c r="AW124" s="157" t="str">
        <f t="shared" si="71"/>
        <v>Soccer</v>
      </c>
      <c r="AX124" s="450">
        <f t="shared" si="72"/>
        <v>122</v>
      </c>
      <c r="AY124" s="148" t="str">
        <f t="shared" si="73"/>
        <v>CHILD B - MEX-&gt;CHILD B - VEN 1</v>
      </c>
      <c r="AZ124" s="148" t="str">
        <f t="shared" si="74"/>
        <v>11/19/2017 15:30-&gt;CHILD B - MEX</v>
      </c>
      <c r="BA124" s="148" t="str">
        <f t="shared" si="75"/>
        <v>11/19/2017 15:30-&gt;CHILD B - VEN 1</v>
      </c>
      <c r="BB124" s="374">
        <f t="shared" si="76"/>
        <v>1</v>
      </c>
      <c r="BC124" s="374">
        <f t="shared" si="77"/>
        <v>1</v>
      </c>
      <c r="BD124" s="148" t="str">
        <f t="shared" si="78"/>
        <v>no conflict</v>
      </c>
      <c r="BF124" s="148" t="str">
        <f t="shared" si="79"/>
        <v>11/19/2017 15:30-&gt;CHILD B - MEX</v>
      </c>
      <c r="BG124" s="148" t="str">
        <f t="shared" si="80"/>
        <v>11/19/2017 15:30-&gt;CHILD B - VEN 1</v>
      </c>
      <c r="BH124" s="148" t="str">
        <f t="shared" si="81"/>
        <v>11/19/2017 15:30-&gt;JCC Back Field 2</v>
      </c>
      <c r="BI124" s="148" t="str">
        <f t="shared" si="82"/>
        <v>Soccer in JCC Back Field 2 (MEX-VEN1)</v>
      </c>
      <c r="BJ124" s="148" t="str">
        <f t="shared" si="83"/>
        <v>Ch B Coed Mini Soccer-- CHILD B - MEX vs. CHILD B - VEN 1</v>
      </c>
      <c r="BK124" s="148" t="str">
        <f t="shared" si="84"/>
        <v>Soccer</v>
      </c>
      <c r="BL124" s="148" t="str">
        <f t="shared" si="85"/>
        <v>CHILD B - MEX</v>
      </c>
      <c r="BM124" s="148" t="str">
        <f t="shared" si="86"/>
        <v>CHILD B - VEN 1</v>
      </c>
      <c r="BN124" s="148" t="str">
        <f t="shared" si="87"/>
        <v>Round - 1</v>
      </c>
      <c r="BP124" s="148" t="str">
        <f t="shared" si="88"/>
        <v>no t, f, or sf</v>
      </c>
      <c r="BQ124" s="148" t="str">
        <f t="shared" si="89"/>
        <v/>
      </c>
    </row>
    <row r="125" spans="1:69" ht="15" customHeight="1" x14ac:dyDescent="0.2">
      <c r="A125" s="450">
        <v>123</v>
      </c>
      <c r="B125" s="441" t="s">
        <v>34</v>
      </c>
      <c r="C125" s="441" t="s">
        <v>518</v>
      </c>
      <c r="D125" s="450">
        <v>1</v>
      </c>
      <c r="E125" s="450">
        <v>1</v>
      </c>
      <c r="F125" s="444" t="s">
        <v>770</v>
      </c>
      <c r="G125" s="320">
        <v>43058</v>
      </c>
      <c r="H125" s="317">
        <v>0.68055555555555547</v>
      </c>
      <c r="I125" s="446" t="s">
        <v>770</v>
      </c>
      <c r="J125" s="441" t="s">
        <v>693</v>
      </c>
      <c r="K125" s="441">
        <v>24</v>
      </c>
      <c r="L125" s="433" t="s">
        <v>555</v>
      </c>
      <c r="M125" s="433">
        <v>24</v>
      </c>
      <c r="N125" s="433" t="s">
        <v>561</v>
      </c>
      <c r="O125" s="153" t="str">
        <f>IF(L125&lt;&gt;"",IFERROR(VLOOKUP(B125&amp;L125,Pools!$A$2:$D$130,3,FALSE),""),"")</f>
        <v>Pool A</v>
      </c>
      <c r="P125" s="388">
        <v>4</v>
      </c>
      <c r="Q125" s="388">
        <v>1</v>
      </c>
      <c r="R125" s="306" t="str">
        <f t="shared" si="45"/>
        <v>4-1</v>
      </c>
      <c r="S125" s="153"/>
      <c r="T125" s="148" t="str">
        <f t="shared" si="46"/>
        <v>Completed</v>
      </c>
      <c r="U125" s="153"/>
      <c r="V125" s="153"/>
      <c r="W125" s="387">
        <f t="shared" si="47"/>
        <v>3</v>
      </c>
      <c r="X125" s="387">
        <f t="shared" si="48"/>
        <v>-3</v>
      </c>
      <c r="Y125" s="301">
        <f t="shared" si="49"/>
        <v>2</v>
      </c>
      <c r="Z125" s="301">
        <f t="shared" si="50"/>
        <v>0</v>
      </c>
      <c r="AA125" s="323" t="str">
        <f>CONCATENATE("                x[team1,team2,sport,'",IF(OR(I125="x",I125=""),VLOOKUP('Schedule from TM'!J125,Tables!$P$3:$Q$33,2,FALSE),'Schedule from TM'!I125),",",J125,"','",IF(OR(F125="x",F125=""),VLOOKUP('Schedule from TM'!G125,Tables!$U$3:$V$14,2,FALSE),'Schedule from TM'!F125),",",TEXT(G125,"mm/dd/yyyy"),"','",TEXT(H125,"h:mm:ss AM/PM"),"'].ub=0.0      #",B125)</f>
        <v xml:space="preserve">                x[team1,team2,sport,'11,JCC Back Field 2','11,11/19/2017','4:20:00 PM'].ub=0.0      #Ch B Coed Mini Soccer</v>
      </c>
      <c r="AB125" s="301" t="str">
        <f t="shared" si="51"/>
        <v>,,Ch B Coed Mini Soccer,Pool A,1,CHILD B - COL 2</v>
      </c>
      <c r="AC125" s="153" t="str">
        <f t="shared" si="52"/>
        <v>Ch B Coed Mini SoccerPool ACHILD B - COL 2</v>
      </c>
      <c r="AD125" s="301" t="str">
        <f t="shared" si="53"/>
        <v>,,Ch B Coed Mini Soccer,Pool A,1,CHILD B - VEN 2</v>
      </c>
      <c r="AE125" s="153" t="str">
        <f t="shared" si="54"/>
        <v>Ch B Coed Mini SoccerPool ACHILD B - VEN 2</v>
      </c>
      <c r="AF125" s="383">
        <f t="shared" si="55"/>
        <v>1</v>
      </c>
      <c r="AG125" s="383">
        <f t="shared" si="56"/>
        <v>0</v>
      </c>
      <c r="AH125" s="383">
        <f t="shared" si="57"/>
        <v>0</v>
      </c>
      <c r="AI125" s="383">
        <f t="shared" si="58"/>
        <v>0</v>
      </c>
      <c r="AJ125" s="383">
        <f t="shared" si="59"/>
        <v>1</v>
      </c>
      <c r="AK125" s="383">
        <f t="shared" si="60"/>
        <v>0</v>
      </c>
      <c r="AM125" s="148" t="str">
        <f t="shared" si="61"/>
        <v>Schedulled</v>
      </c>
      <c r="AN125" s="148" t="str">
        <f t="shared" si="62"/>
        <v/>
      </c>
      <c r="AO125" s="156">
        <f t="shared" si="63"/>
        <v>43058.680555555555</v>
      </c>
      <c r="AP125" s="148" t="str">
        <f t="shared" si="64"/>
        <v>11/19/2017 16:20-&gt;JCC Back Field 2</v>
      </c>
      <c r="AQ125" s="374">
        <f t="shared" si="65"/>
        <v>1</v>
      </c>
      <c r="AR125" s="148" t="str">
        <f t="shared" si="66"/>
        <v>COL2</v>
      </c>
      <c r="AS125" s="148" t="str">
        <f t="shared" si="67"/>
        <v>VEN2</v>
      </c>
      <c r="AT125" s="157" t="str">
        <f t="shared" si="68"/>
        <v>COL2-VEN2</v>
      </c>
      <c r="AU125" s="157" t="str">
        <f t="shared" si="69"/>
        <v xml:space="preserve">COL2-VEN2 </v>
      </c>
      <c r="AV125" s="157" t="str">
        <f t="shared" si="70"/>
        <v>CHILDREN B COED</v>
      </c>
      <c r="AW125" s="157" t="str">
        <f t="shared" si="71"/>
        <v>Soccer</v>
      </c>
      <c r="AX125" s="450">
        <f t="shared" si="72"/>
        <v>123</v>
      </c>
      <c r="AY125" s="148" t="str">
        <f t="shared" si="73"/>
        <v>CHILD B - COL 2-&gt;CHILD B - VEN 2</v>
      </c>
      <c r="AZ125" s="148" t="str">
        <f t="shared" si="74"/>
        <v>11/19/2017 16:20-&gt;CHILD B - COL 2</v>
      </c>
      <c r="BA125" s="148" t="str">
        <f t="shared" si="75"/>
        <v>11/19/2017 16:20-&gt;CHILD B - VEN 2</v>
      </c>
      <c r="BB125" s="374">
        <f t="shared" si="76"/>
        <v>1</v>
      </c>
      <c r="BC125" s="374">
        <f t="shared" si="77"/>
        <v>1</v>
      </c>
      <c r="BD125" s="148" t="str">
        <f t="shared" si="78"/>
        <v>no conflict</v>
      </c>
      <c r="BF125" s="148" t="str">
        <f t="shared" si="79"/>
        <v>11/19/2017 16:20-&gt;CHILD B - COL 2</v>
      </c>
      <c r="BG125" s="148" t="str">
        <f t="shared" si="80"/>
        <v>11/19/2017 16:20-&gt;CHILD B - VEN 2</v>
      </c>
      <c r="BH125" s="148" t="str">
        <f t="shared" si="81"/>
        <v>11/19/2017 16:20-&gt;JCC Back Field 2</v>
      </c>
      <c r="BI125" s="148" t="str">
        <f t="shared" si="82"/>
        <v>Soccer in JCC Back Field 2 (COL2-VEN2)</v>
      </c>
      <c r="BJ125" s="148" t="str">
        <f t="shared" si="83"/>
        <v>Ch B Coed Mini Soccer-- CHILD B - COL 2 vs. CHILD B - VEN 2</v>
      </c>
      <c r="BK125" s="148" t="str">
        <f t="shared" si="84"/>
        <v>Soccer</v>
      </c>
      <c r="BL125" s="148" t="str">
        <f t="shared" si="85"/>
        <v>CHILD B - COL 2</v>
      </c>
      <c r="BM125" s="148" t="str">
        <f t="shared" si="86"/>
        <v>CHILD B - VEN 2</v>
      </c>
      <c r="BN125" s="148" t="str">
        <f t="shared" si="87"/>
        <v>Round - 1</v>
      </c>
      <c r="BP125" s="148" t="str">
        <f t="shared" si="88"/>
        <v>no t, f, or sf</v>
      </c>
      <c r="BQ125" s="148" t="str">
        <f t="shared" si="89"/>
        <v/>
      </c>
    </row>
    <row r="126" spans="1:69" ht="15" customHeight="1" x14ac:dyDescent="0.2">
      <c r="A126" s="376">
        <v>124</v>
      </c>
      <c r="B126" s="444" t="s">
        <v>34</v>
      </c>
      <c r="C126" s="444" t="s">
        <v>518</v>
      </c>
      <c r="D126" s="451">
        <v>1</v>
      </c>
      <c r="E126" s="451">
        <v>1</v>
      </c>
      <c r="F126" s="315" t="s">
        <v>770</v>
      </c>
      <c r="G126" s="445">
        <v>43062</v>
      </c>
      <c r="H126" s="317">
        <v>0.61111111111111105</v>
      </c>
      <c r="I126" s="325" t="s">
        <v>770</v>
      </c>
      <c r="J126" s="444" t="s">
        <v>694</v>
      </c>
      <c r="K126" s="444">
        <v>24</v>
      </c>
      <c r="L126" t="s">
        <v>559</v>
      </c>
      <c r="M126">
        <v>24</v>
      </c>
      <c r="N126" t="s">
        <v>560</v>
      </c>
      <c r="O126" s="153" t="str">
        <f>IF(L126&lt;&gt;"",IFERROR(VLOOKUP(B126&amp;L126,Pools!$A$2:$D$130,3,FALSE),""),"")</f>
        <v>Pool B</v>
      </c>
      <c r="P126" s="388">
        <v>0</v>
      </c>
      <c r="Q126" s="388">
        <v>3</v>
      </c>
      <c r="R126" s="306" t="str">
        <f t="shared" si="45"/>
        <v>0-3</v>
      </c>
      <c r="S126" s="153"/>
      <c r="T126" s="148" t="str">
        <f t="shared" si="46"/>
        <v>Completed</v>
      </c>
      <c r="U126" s="153"/>
      <c r="V126" s="153"/>
      <c r="W126" s="387">
        <f t="shared" si="47"/>
        <v>-3</v>
      </c>
      <c r="X126" s="387">
        <f t="shared" si="48"/>
        <v>3</v>
      </c>
      <c r="Y126" s="301">
        <f t="shared" si="49"/>
        <v>0</v>
      </c>
      <c r="Z126" s="301">
        <f t="shared" si="50"/>
        <v>2</v>
      </c>
      <c r="AA126" s="323" t="str">
        <f>CONCATENATE("                x[team1,team2,sport,'",IF(OR(I126="x",I126=""),VLOOKUP('Schedule from TM'!J126,Tables!$P$3:$Q$33,2,FALSE),'Schedule from TM'!I126),",",J126,"','",IF(OR(F126="x",F126=""),VLOOKUP('Schedule from TM'!G126,Tables!$U$3:$V$14,2,FALSE),'Schedule from TM'!F126),",",TEXT(G126,"mm/dd/yyyy"),"','",TEXT(H126,"h:mm:ss AM/PM"),"'].ub=0.0      #",B126)</f>
        <v xml:space="preserve">                x[team1,team2,sport,'11,JCC Back Field 4','11,11/23/2017','2:40:00 PM'].ub=0.0      #Ch B Coed Mini Soccer</v>
      </c>
      <c r="AB126" s="301" t="str">
        <f t="shared" si="51"/>
        <v>,,Ch B Coed Mini Soccer,Pool B,1,CHILD B - USA 2</v>
      </c>
      <c r="AC126" s="153" t="str">
        <f t="shared" si="52"/>
        <v>Ch B Coed Mini SoccerPool BCHILD B - USA 2</v>
      </c>
      <c r="AD126" s="301" t="str">
        <f t="shared" si="53"/>
        <v>,,Ch B Coed Mini Soccer,Pool B,1,CHILD B - VEN 1</v>
      </c>
      <c r="AE126" s="153" t="str">
        <f t="shared" si="54"/>
        <v>Ch B Coed Mini SoccerPool BCHILD B - VEN 1</v>
      </c>
      <c r="AF126" s="383">
        <f t="shared" si="55"/>
        <v>0</v>
      </c>
      <c r="AG126" s="383">
        <f t="shared" si="56"/>
        <v>1</v>
      </c>
      <c r="AH126" s="383">
        <f t="shared" si="57"/>
        <v>0</v>
      </c>
      <c r="AI126" s="383">
        <f t="shared" si="58"/>
        <v>1</v>
      </c>
      <c r="AJ126" s="383">
        <f t="shared" si="59"/>
        <v>0</v>
      </c>
      <c r="AK126" s="383">
        <f t="shared" si="60"/>
        <v>0</v>
      </c>
      <c r="AM126" s="148" t="str">
        <f t="shared" si="61"/>
        <v>Schedulled</v>
      </c>
      <c r="AN126" s="148" t="str">
        <f t="shared" si="62"/>
        <v/>
      </c>
      <c r="AO126" s="156">
        <f t="shared" si="63"/>
        <v>43062.611111111109</v>
      </c>
      <c r="AP126" s="148" t="str">
        <f t="shared" si="64"/>
        <v>11/23/2017 14:40-&gt;JCC Back Field 4</v>
      </c>
      <c r="AQ126" s="374">
        <f t="shared" si="65"/>
        <v>1</v>
      </c>
      <c r="AR126" s="148" t="str">
        <f t="shared" si="66"/>
        <v>USA2</v>
      </c>
      <c r="AS126" s="148" t="str">
        <f t="shared" si="67"/>
        <v>VEN1</v>
      </c>
      <c r="AT126" s="157" t="str">
        <f t="shared" si="68"/>
        <v>USA2-VEN1</v>
      </c>
      <c r="AU126" s="157" t="str">
        <f t="shared" si="69"/>
        <v xml:space="preserve">USA2-VEN1 </v>
      </c>
      <c r="AV126" s="157" t="str">
        <f t="shared" si="70"/>
        <v>CHILDREN B COED</v>
      </c>
      <c r="AW126" s="157" t="str">
        <f t="shared" si="71"/>
        <v>Soccer</v>
      </c>
      <c r="AX126" s="376">
        <f t="shared" si="72"/>
        <v>124</v>
      </c>
      <c r="AY126" s="148" t="str">
        <f t="shared" si="73"/>
        <v>CHILD B - USA 2-&gt;CHILD B - VEN 1</v>
      </c>
      <c r="AZ126" s="148" t="str">
        <f t="shared" si="74"/>
        <v>11/23/2017 14:40-&gt;CHILD B - USA 2</v>
      </c>
      <c r="BA126" s="148" t="str">
        <f t="shared" si="75"/>
        <v>11/23/2017 14:40-&gt;CHILD B - VEN 1</v>
      </c>
      <c r="BB126" s="374">
        <f t="shared" si="76"/>
        <v>1</v>
      </c>
      <c r="BC126" s="374">
        <f t="shared" si="77"/>
        <v>1</v>
      </c>
      <c r="BD126" s="148" t="str">
        <f t="shared" si="78"/>
        <v>no conflict</v>
      </c>
      <c r="BF126" s="148" t="str">
        <f t="shared" si="79"/>
        <v>11/23/2017 14:40-&gt;CHILD B - USA 2</v>
      </c>
      <c r="BG126" s="148" t="str">
        <f t="shared" si="80"/>
        <v>11/23/2017 14:40-&gt;CHILD B - VEN 1</v>
      </c>
      <c r="BH126" s="148" t="str">
        <f t="shared" si="81"/>
        <v>11/23/2017 14:40-&gt;JCC Back Field 4</v>
      </c>
      <c r="BI126" s="148" t="str">
        <f t="shared" si="82"/>
        <v>Soccer in JCC Back Field 4 (USA2-VEN1)</v>
      </c>
      <c r="BJ126" s="148" t="str">
        <f t="shared" si="83"/>
        <v>Ch B Coed Mini Soccer-- CHILD B - USA 2 vs. CHILD B - VEN 1</v>
      </c>
      <c r="BK126" s="148" t="str">
        <f t="shared" si="84"/>
        <v>Soccer</v>
      </c>
      <c r="BL126" s="148" t="str">
        <f t="shared" si="85"/>
        <v>CHILD B - USA 2</v>
      </c>
      <c r="BM126" s="148" t="str">
        <f t="shared" si="86"/>
        <v>CHILD B - VEN 1</v>
      </c>
      <c r="BN126" s="148" t="str">
        <f t="shared" si="87"/>
        <v>Round - 1</v>
      </c>
      <c r="BP126" s="148" t="str">
        <f t="shared" si="88"/>
        <v>no t, f, or sf</v>
      </c>
      <c r="BQ126" s="148" t="str">
        <f t="shared" si="89"/>
        <v/>
      </c>
    </row>
    <row r="127" spans="1:69" ht="15" customHeight="1" x14ac:dyDescent="0.2">
      <c r="A127" s="376">
        <v>125</v>
      </c>
      <c r="B127" s="444" t="s">
        <v>34</v>
      </c>
      <c r="C127" s="444" t="s">
        <v>518</v>
      </c>
      <c r="D127" s="451">
        <v>1</v>
      </c>
      <c r="E127" s="451">
        <v>1</v>
      </c>
      <c r="F127" s="315" t="s">
        <v>770</v>
      </c>
      <c r="G127" s="445">
        <v>43062</v>
      </c>
      <c r="H127" s="317">
        <v>0.64583333333333337</v>
      </c>
      <c r="I127" s="325" t="s">
        <v>770</v>
      </c>
      <c r="J127" s="444" t="s">
        <v>693</v>
      </c>
      <c r="K127" s="444">
        <v>24</v>
      </c>
      <c r="L127" t="s">
        <v>558</v>
      </c>
      <c r="M127">
        <v>24</v>
      </c>
      <c r="N127" t="s">
        <v>561</v>
      </c>
      <c r="O127" s="153" t="str">
        <f>IF(L127&lt;&gt;"",IFERROR(VLOOKUP(B127&amp;L127,Pools!$A$2:$D$130,3,FALSE),""),"")</f>
        <v>Pool A</v>
      </c>
      <c r="P127" s="388">
        <v>0</v>
      </c>
      <c r="Q127" s="388">
        <v>1</v>
      </c>
      <c r="R127" s="306" t="str">
        <f t="shared" si="45"/>
        <v>0-1</v>
      </c>
      <c r="S127" s="153"/>
      <c r="T127" s="148" t="str">
        <f t="shared" si="46"/>
        <v>Completed</v>
      </c>
      <c r="U127" s="153"/>
      <c r="V127" s="153"/>
      <c r="W127" s="387">
        <f t="shared" si="47"/>
        <v>-1</v>
      </c>
      <c r="X127" s="387">
        <f t="shared" si="48"/>
        <v>1</v>
      </c>
      <c r="Y127" s="301">
        <f t="shared" si="49"/>
        <v>0</v>
      </c>
      <c r="Z127" s="301">
        <f t="shared" si="50"/>
        <v>2</v>
      </c>
      <c r="AA127" s="323" t="str">
        <f>CONCATENATE("                x[team1,team2,sport,'",IF(OR(I127="x",I127=""),VLOOKUP('Schedule from TM'!J127,Tables!$P$3:$Q$33,2,FALSE),'Schedule from TM'!I127),",",J127,"','",IF(OR(F127="x",F127=""),VLOOKUP('Schedule from TM'!G127,Tables!$U$3:$V$14,2,FALSE),'Schedule from TM'!F127),",",TEXT(G127,"mm/dd/yyyy"),"','",TEXT(H127,"h:mm:ss AM/PM"),"'].ub=0.0      #",B127)</f>
        <v xml:space="preserve">                x[team1,team2,sport,'11,JCC Back Field 2','11,11/23/2017','3:30:00 PM'].ub=0.0      #Ch B Coed Mini Soccer</v>
      </c>
      <c r="AB127" s="301" t="str">
        <f t="shared" si="51"/>
        <v>,,Ch B Coed Mini Soccer,Pool A,1,CHILD B - USA 1</v>
      </c>
      <c r="AC127" s="153" t="str">
        <f t="shared" si="52"/>
        <v>Ch B Coed Mini SoccerPool ACHILD B - USA 1</v>
      </c>
      <c r="AD127" s="301" t="str">
        <f t="shared" si="53"/>
        <v>,,Ch B Coed Mini Soccer,Pool A,1,CHILD B - VEN 2</v>
      </c>
      <c r="AE127" s="153" t="str">
        <f t="shared" si="54"/>
        <v>Ch B Coed Mini SoccerPool ACHILD B - VEN 2</v>
      </c>
      <c r="AF127" s="383">
        <f t="shared" si="55"/>
        <v>0</v>
      </c>
      <c r="AG127" s="383">
        <f t="shared" si="56"/>
        <v>1</v>
      </c>
      <c r="AH127" s="383">
        <f t="shared" si="57"/>
        <v>0</v>
      </c>
      <c r="AI127" s="383">
        <f t="shared" si="58"/>
        <v>1</v>
      </c>
      <c r="AJ127" s="383">
        <f t="shared" si="59"/>
        <v>0</v>
      </c>
      <c r="AK127" s="383">
        <f t="shared" si="60"/>
        <v>0</v>
      </c>
      <c r="AM127" s="148" t="str">
        <f t="shared" si="61"/>
        <v>Schedulled</v>
      </c>
      <c r="AN127" s="148" t="str">
        <f t="shared" si="62"/>
        <v/>
      </c>
      <c r="AO127" s="156">
        <f t="shared" si="63"/>
        <v>43062.645833333336</v>
      </c>
      <c r="AP127" s="148" t="str">
        <f t="shared" si="64"/>
        <v>11/23/2017 15:30-&gt;JCC Back Field 2</v>
      </c>
      <c r="AQ127" s="374">
        <f t="shared" si="65"/>
        <v>1</v>
      </c>
      <c r="AR127" s="148" t="str">
        <f t="shared" si="66"/>
        <v>USA1</v>
      </c>
      <c r="AS127" s="148" t="str">
        <f t="shared" si="67"/>
        <v>VEN2</v>
      </c>
      <c r="AT127" s="157" t="str">
        <f t="shared" si="68"/>
        <v>USA1-VEN2</v>
      </c>
      <c r="AU127" s="157" t="str">
        <f t="shared" si="69"/>
        <v xml:space="preserve">USA1-VEN2 </v>
      </c>
      <c r="AV127" s="157" t="str">
        <f t="shared" si="70"/>
        <v>CHILDREN B COED</v>
      </c>
      <c r="AW127" s="157" t="str">
        <f t="shared" si="71"/>
        <v>Soccer</v>
      </c>
      <c r="AX127" s="376">
        <f t="shared" si="72"/>
        <v>125</v>
      </c>
      <c r="AY127" s="148" t="str">
        <f t="shared" si="73"/>
        <v>CHILD B - USA 1-&gt;CHILD B - VEN 2</v>
      </c>
      <c r="AZ127" s="148" t="str">
        <f t="shared" si="74"/>
        <v>11/23/2017 15:30-&gt;CHILD B - USA 1</v>
      </c>
      <c r="BA127" s="148" t="str">
        <f t="shared" si="75"/>
        <v>11/23/2017 15:30-&gt;CHILD B - VEN 2</v>
      </c>
      <c r="BB127" s="374">
        <f t="shared" si="76"/>
        <v>1</v>
      </c>
      <c r="BC127" s="374">
        <f t="shared" si="77"/>
        <v>1</v>
      </c>
      <c r="BD127" s="148" t="str">
        <f t="shared" si="78"/>
        <v>no conflict</v>
      </c>
      <c r="BF127" s="148" t="str">
        <f t="shared" si="79"/>
        <v>11/23/2017 15:30-&gt;CHILD B - USA 1</v>
      </c>
      <c r="BG127" s="148" t="str">
        <f t="shared" si="80"/>
        <v>11/23/2017 15:30-&gt;CHILD B - VEN 2</v>
      </c>
      <c r="BH127" s="148" t="str">
        <f t="shared" si="81"/>
        <v>11/23/2017 15:30-&gt;JCC Back Field 2</v>
      </c>
      <c r="BI127" s="148" t="str">
        <f t="shared" si="82"/>
        <v>Soccer in JCC Back Field 2 (USA1-VEN2)</v>
      </c>
      <c r="BJ127" s="148" t="str">
        <f t="shared" si="83"/>
        <v>Ch B Coed Mini Soccer-- CHILD B - USA 1 vs. CHILD B - VEN 2</v>
      </c>
      <c r="BK127" s="148" t="str">
        <f t="shared" si="84"/>
        <v>Soccer</v>
      </c>
      <c r="BL127" s="148" t="str">
        <f t="shared" si="85"/>
        <v>CHILD B - USA 1</v>
      </c>
      <c r="BM127" s="148" t="str">
        <f t="shared" si="86"/>
        <v>CHILD B - VEN 2</v>
      </c>
      <c r="BN127" s="148" t="str">
        <f t="shared" si="87"/>
        <v>Round - 1</v>
      </c>
      <c r="BP127" s="148" t="str">
        <f t="shared" si="88"/>
        <v>no t, f, or sf</v>
      </c>
      <c r="BQ127" s="148" t="str">
        <f t="shared" si="89"/>
        <v/>
      </c>
    </row>
    <row r="128" spans="1:69" ht="15" customHeight="1" x14ac:dyDescent="0.2">
      <c r="A128" s="376">
        <v>126</v>
      </c>
      <c r="B128" s="315" t="s">
        <v>34</v>
      </c>
      <c r="C128" s="315" t="s">
        <v>518</v>
      </c>
      <c r="D128" s="378">
        <v>1</v>
      </c>
      <c r="E128" s="378">
        <v>1</v>
      </c>
      <c r="F128" s="315" t="s">
        <v>770</v>
      </c>
      <c r="G128" s="316">
        <v>43063</v>
      </c>
      <c r="H128" s="454">
        <v>0.36805555555555558</v>
      </c>
      <c r="I128" s="325" t="s">
        <v>770</v>
      </c>
      <c r="J128" s="443" t="s">
        <v>695</v>
      </c>
      <c r="K128" s="315">
        <v>24</v>
      </c>
      <c r="L128" t="s">
        <v>552</v>
      </c>
      <c r="M128">
        <v>24</v>
      </c>
      <c r="N128" t="s">
        <v>555</v>
      </c>
      <c r="O128" s="153" t="str">
        <f>IF(L128&lt;&gt;"",IFERROR(VLOOKUP(B128&amp;L128,Pools!$A$2:$D$130,3,FALSE),""),"")</f>
        <v>Pool A</v>
      </c>
      <c r="P128" s="388">
        <v>0</v>
      </c>
      <c r="Q128" s="388">
        <v>6</v>
      </c>
      <c r="R128" s="306" t="str">
        <f t="shared" si="45"/>
        <v>0-6</v>
      </c>
      <c r="S128" s="153"/>
      <c r="T128" s="148" t="str">
        <f t="shared" si="46"/>
        <v>Completed</v>
      </c>
      <c r="U128" s="153"/>
      <c r="V128" s="153"/>
      <c r="W128" s="387">
        <f t="shared" si="47"/>
        <v>-3</v>
      </c>
      <c r="X128" s="387">
        <f t="shared" si="48"/>
        <v>3</v>
      </c>
      <c r="Y128" s="301">
        <f t="shared" si="49"/>
        <v>0</v>
      </c>
      <c r="Z128" s="301">
        <f t="shared" si="50"/>
        <v>2</v>
      </c>
      <c r="AA128" s="323" t="str">
        <f>CONCATENATE("                x[team1,team2,sport,'",IF(OR(I128="x",I128=""),VLOOKUP('Schedule from TM'!J128,Tables!$P$3:$Q$33,2,FALSE),'Schedule from TM'!I128),",",J128,"','",IF(OR(F128="x",F128=""),VLOOKUP('Schedule from TM'!G128,Tables!$U$3:$V$14,2,FALSE),'Schedule from TM'!F128),",",TEXT(G128,"mm/dd/yyyy"),"','",TEXT(H128,"h:mm:ss AM/PM"),"'].ub=0.0      #",B128)</f>
        <v xml:space="preserve">                x[team1,team2,sport,'11,JCC Back Field 1','11,11/24/2017','8:50:00 AM'].ub=0.0      #Ch B Coed Mini Soccer</v>
      </c>
      <c r="AB128" s="301" t="str">
        <f t="shared" si="51"/>
        <v>,,Ch B Coed Mini Soccer,Pool A,1,CHILD B - ARG 1</v>
      </c>
      <c r="AC128" s="153" t="str">
        <f t="shared" si="52"/>
        <v>Ch B Coed Mini SoccerPool ACHILD B - ARG 1</v>
      </c>
      <c r="AD128" s="301" t="str">
        <f t="shared" si="53"/>
        <v>,,Ch B Coed Mini Soccer,Pool A,1,CHILD B - COL 2</v>
      </c>
      <c r="AE128" s="153" t="str">
        <f t="shared" si="54"/>
        <v>Ch B Coed Mini SoccerPool ACHILD B - COL 2</v>
      </c>
      <c r="AF128" s="383">
        <f t="shared" si="55"/>
        <v>0</v>
      </c>
      <c r="AG128" s="383">
        <f t="shared" si="56"/>
        <v>1</v>
      </c>
      <c r="AH128" s="383">
        <f t="shared" si="57"/>
        <v>0</v>
      </c>
      <c r="AI128" s="383">
        <f t="shared" si="58"/>
        <v>1</v>
      </c>
      <c r="AJ128" s="383">
        <f t="shared" si="59"/>
        <v>0</v>
      </c>
      <c r="AK128" s="383">
        <f t="shared" si="60"/>
        <v>0</v>
      </c>
      <c r="AM128" s="148" t="str">
        <f t="shared" si="61"/>
        <v>Schedulled</v>
      </c>
      <c r="AN128" s="148" t="str">
        <f t="shared" si="62"/>
        <v/>
      </c>
      <c r="AO128" s="156">
        <f t="shared" si="63"/>
        <v>43063.368055555555</v>
      </c>
      <c r="AP128" s="148" t="str">
        <f t="shared" si="64"/>
        <v>11/24/2017 08:50-&gt;JCC Back Field 1</v>
      </c>
      <c r="AQ128" s="374">
        <f t="shared" si="65"/>
        <v>1</v>
      </c>
      <c r="AR128" s="148" t="str">
        <f t="shared" si="66"/>
        <v>ARG1</v>
      </c>
      <c r="AS128" s="148" t="str">
        <f t="shared" si="67"/>
        <v>COL2</v>
      </c>
      <c r="AT128" s="157" t="str">
        <f t="shared" si="68"/>
        <v>ARG1-COL2</v>
      </c>
      <c r="AU128" s="157" t="str">
        <f t="shared" si="69"/>
        <v xml:space="preserve">ARG1-COL2 </v>
      </c>
      <c r="AV128" s="157" t="str">
        <f t="shared" si="70"/>
        <v>CHILDREN B COED</v>
      </c>
      <c r="AW128" s="157" t="str">
        <f t="shared" si="71"/>
        <v>Soccer</v>
      </c>
      <c r="AX128" s="376">
        <f t="shared" si="72"/>
        <v>126</v>
      </c>
      <c r="AY128" s="148" t="str">
        <f t="shared" si="73"/>
        <v>CHILD B - ARG 1-&gt;CHILD B - COL 2</v>
      </c>
      <c r="AZ128" s="148" t="str">
        <f t="shared" si="74"/>
        <v>11/24/2017 08:50-&gt;CHILD B - ARG 1</v>
      </c>
      <c r="BA128" s="148" t="str">
        <f t="shared" si="75"/>
        <v>11/24/2017 08:50-&gt;CHILD B - COL 2</v>
      </c>
      <c r="BB128" s="374">
        <f t="shared" si="76"/>
        <v>1</v>
      </c>
      <c r="BC128" s="374">
        <f t="shared" si="77"/>
        <v>1</v>
      </c>
      <c r="BD128" s="148" t="str">
        <f t="shared" si="78"/>
        <v>no conflict</v>
      </c>
      <c r="BF128" s="148" t="str">
        <f t="shared" si="79"/>
        <v>11/24/2017 08:50-&gt;CHILD B - ARG 1</v>
      </c>
      <c r="BG128" s="148" t="str">
        <f t="shared" si="80"/>
        <v>11/24/2017 08:50-&gt;CHILD B - COL 2</v>
      </c>
      <c r="BH128" s="148" t="str">
        <f t="shared" si="81"/>
        <v>11/24/2017 08:50-&gt;JCC Back Field 1</v>
      </c>
      <c r="BI128" s="148" t="str">
        <f t="shared" si="82"/>
        <v>Soccer in JCC Back Field 1 (ARG1-COL2)</v>
      </c>
      <c r="BJ128" s="148" t="str">
        <f t="shared" si="83"/>
        <v>Ch B Coed Mini Soccer-- CHILD B - ARG 1 vs. CHILD B - COL 2</v>
      </c>
      <c r="BK128" s="148" t="str">
        <f t="shared" si="84"/>
        <v>Soccer</v>
      </c>
      <c r="BL128" s="148" t="str">
        <f t="shared" si="85"/>
        <v>CHILD B - ARG 1</v>
      </c>
      <c r="BM128" s="148" t="str">
        <f t="shared" si="86"/>
        <v>CHILD B - COL 2</v>
      </c>
      <c r="BN128" s="148" t="str">
        <f t="shared" si="87"/>
        <v>Round - 1</v>
      </c>
      <c r="BP128" s="148" t="str">
        <f t="shared" si="88"/>
        <v>no t, f, or sf</v>
      </c>
      <c r="BQ128" s="148" t="str">
        <f t="shared" si="89"/>
        <v/>
      </c>
    </row>
    <row r="129" spans="1:69" ht="15" customHeight="1" x14ac:dyDescent="0.2">
      <c r="A129" s="376">
        <v>127</v>
      </c>
      <c r="B129" s="319" t="s">
        <v>34</v>
      </c>
      <c r="C129" s="319" t="s">
        <v>518</v>
      </c>
      <c r="D129" s="376">
        <v>1</v>
      </c>
      <c r="E129" s="376">
        <v>1</v>
      </c>
      <c r="F129" s="315" t="s">
        <v>770</v>
      </c>
      <c r="G129" s="320">
        <v>43063</v>
      </c>
      <c r="H129" s="418">
        <v>0.4375</v>
      </c>
      <c r="I129" s="325" t="s">
        <v>770</v>
      </c>
      <c r="J129" s="319" t="s">
        <v>692</v>
      </c>
      <c r="K129" s="319">
        <v>24</v>
      </c>
      <c r="L129" t="s">
        <v>555</v>
      </c>
      <c r="M129">
        <v>24</v>
      </c>
      <c r="N129" t="s">
        <v>558</v>
      </c>
      <c r="O129" s="153" t="str">
        <f>IF(L129&lt;&gt;"",IFERROR(VLOOKUP(B129&amp;L129,Pools!$A$2:$D$130,3,FALSE),""),"")</f>
        <v>Pool A</v>
      </c>
      <c r="P129" s="388">
        <v>9</v>
      </c>
      <c r="Q129" s="388">
        <v>1</v>
      </c>
      <c r="R129" s="306" t="str">
        <f t="shared" si="45"/>
        <v>9-1</v>
      </c>
      <c r="S129" s="153"/>
      <c r="T129" s="148" t="str">
        <f t="shared" si="46"/>
        <v>Completed</v>
      </c>
      <c r="U129" s="153"/>
      <c r="V129" s="153"/>
      <c r="W129" s="387">
        <f t="shared" si="47"/>
        <v>3</v>
      </c>
      <c r="X129" s="387">
        <f t="shared" si="48"/>
        <v>-3</v>
      </c>
      <c r="Y129" s="301">
        <f t="shared" si="49"/>
        <v>2</v>
      </c>
      <c r="Z129" s="301">
        <f t="shared" si="50"/>
        <v>0</v>
      </c>
      <c r="AA129" s="323" t="str">
        <f>CONCATENATE("                x[team1,team2,sport,'",IF(OR(I129="x",I129=""),VLOOKUP('Schedule from TM'!J129,Tables!$P$3:$Q$33,2,FALSE),'Schedule from TM'!I129),",",J129,"','",IF(OR(F129="x",F129=""),VLOOKUP('Schedule from TM'!G129,Tables!$U$3:$V$14,2,FALSE),'Schedule from TM'!F129),",",TEXT(G129,"mm/dd/yyyy"),"','",TEXT(H129,"h:mm:ss AM/PM"),"'].ub=0.0      #",B129)</f>
        <v xml:space="preserve">                x[team1,team2,sport,'11,JCC Back Field 3','11,11/24/2017','10:30:00 AM'].ub=0.0      #Ch B Coed Mini Soccer</v>
      </c>
      <c r="AB129" s="301" t="str">
        <f t="shared" si="51"/>
        <v>,,Ch B Coed Mini Soccer,Pool A,1,CHILD B - COL 2</v>
      </c>
      <c r="AC129" s="153" t="str">
        <f t="shared" si="52"/>
        <v>Ch B Coed Mini SoccerPool ACHILD B - COL 2</v>
      </c>
      <c r="AD129" s="301" t="str">
        <f t="shared" si="53"/>
        <v>,,Ch B Coed Mini Soccer,Pool A,1,CHILD B - USA 1</v>
      </c>
      <c r="AE129" s="153" t="str">
        <f t="shared" si="54"/>
        <v>Ch B Coed Mini SoccerPool ACHILD B - USA 1</v>
      </c>
      <c r="AF129" s="383">
        <f t="shared" si="55"/>
        <v>1</v>
      </c>
      <c r="AG129" s="383">
        <f t="shared" si="56"/>
        <v>0</v>
      </c>
      <c r="AH129" s="383">
        <f t="shared" si="57"/>
        <v>0</v>
      </c>
      <c r="AI129" s="383">
        <f t="shared" si="58"/>
        <v>0</v>
      </c>
      <c r="AJ129" s="383">
        <f t="shared" si="59"/>
        <v>1</v>
      </c>
      <c r="AK129" s="383">
        <f t="shared" si="60"/>
        <v>0</v>
      </c>
      <c r="AM129" s="148" t="str">
        <f t="shared" si="61"/>
        <v>Schedulled</v>
      </c>
      <c r="AN129" s="148" t="str">
        <f t="shared" si="62"/>
        <v/>
      </c>
      <c r="AO129" s="156">
        <f t="shared" si="63"/>
        <v>43063.4375</v>
      </c>
      <c r="AP129" s="148" t="str">
        <f t="shared" si="64"/>
        <v>11/24/2017 10:30-&gt;JCC Back Field 3</v>
      </c>
      <c r="AQ129" s="374">
        <f t="shared" si="65"/>
        <v>1</v>
      </c>
      <c r="AR129" s="148" t="str">
        <f t="shared" si="66"/>
        <v>COL2</v>
      </c>
      <c r="AS129" s="148" t="str">
        <f t="shared" si="67"/>
        <v>USA1</v>
      </c>
      <c r="AT129" s="157" t="str">
        <f t="shared" si="68"/>
        <v>COL2-USA1</v>
      </c>
      <c r="AU129" s="157" t="str">
        <f t="shared" si="69"/>
        <v xml:space="preserve">COL2-USA1 </v>
      </c>
      <c r="AV129" s="157" t="str">
        <f t="shared" si="70"/>
        <v>CHILDREN B COED</v>
      </c>
      <c r="AW129" s="157" t="str">
        <f t="shared" si="71"/>
        <v>Soccer</v>
      </c>
      <c r="AX129" s="376">
        <f t="shared" si="72"/>
        <v>127</v>
      </c>
      <c r="AY129" s="148" t="str">
        <f t="shared" si="73"/>
        <v>CHILD B - COL 2-&gt;CHILD B - USA 1</v>
      </c>
      <c r="AZ129" s="148" t="str">
        <f t="shared" si="74"/>
        <v>11/24/2017 10:30-&gt;CHILD B - COL 2</v>
      </c>
      <c r="BA129" s="148" t="str">
        <f t="shared" si="75"/>
        <v>11/24/2017 10:30-&gt;CHILD B - USA 1</v>
      </c>
      <c r="BB129" s="374">
        <f t="shared" si="76"/>
        <v>1</v>
      </c>
      <c r="BC129" s="374">
        <f t="shared" si="77"/>
        <v>1</v>
      </c>
      <c r="BD129" s="148" t="str">
        <f t="shared" si="78"/>
        <v>no conflict</v>
      </c>
      <c r="BF129" s="148" t="str">
        <f t="shared" si="79"/>
        <v>11/24/2017 10:30-&gt;CHILD B - COL 2</v>
      </c>
      <c r="BG129" s="148" t="str">
        <f t="shared" si="80"/>
        <v>11/24/2017 10:30-&gt;CHILD B - USA 1</v>
      </c>
      <c r="BH129" s="148" t="str">
        <f t="shared" si="81"/>
        <v>11/24/2017 10:30-&gt;JCC Back Field 3</v>
      </c>
      <c r="BI129" s="148" t="str">
        <f t="shared" si="82"/>
        <v>Soccer in JCC Back Field 3 (COL2-USA1)</v>
      </c>
      <c r="BJ129" s="148" t="str">
        <f t="shared" si="83"/>
        <v>Ch B Coed Mini Soccer-- CHILD B - COL 2 vs. CHILD B - USA 1</v>
      </c>
      <c r="BK129" s="148" t="str">
        <f t="shared" si="84"/>
        <v>Soccer</v>
      </c>
      <c r="BL129" s="148" t="str">
        <f t="shared" si="85"/>
        <v>CHILD B - COL 2</v>
      </c>
      <c r="BM129" s="148" t="str">
        <f t="shared" si="86"/>
        <v>CHILD B - USA 1</v>
      </c>
      <c r="BN129" s="148" t="str">
        <f t="shared" si="87"/>
        <v>Round - 1</v>
      </c>
      <c r="BP129" s="148" t="str">
        <f t="shared" si="88"/>
        <v>no t, f, or sf</v>
      </c>
      <c r="BQ129" s="148" t="str">
        <f t="shared" si="89"/>
        <v/>
      </c>
    </row>
    <row r="130" spans="1:69" ht="15" customHeight="1" x14ac:dyDescent="0.2">
      <c r="A130" s="376">
        <v>128</v>
      </c>
      <c r="B130" s="315" t="s">
        <v>34</v>
      </c>
      <c r="C130" s="315" t="s">
        <v>518</v>
      </c>
      <c r="D130" s="378">
        <v>1</v>
      </c>
      <c r="E130" s="378">
        <v>1</v>
      </c>
      <c r="F130" s="315" t="s">
        <v>770</v>
      </c>
      <c r="G130" s="316">
        <v>43063</v>
      </c>
      <c r="H130" s="454">
        <v>0.54166666666666663</v>
      </c>
      <c r="I130" s="325" t="s">
        <v>770</v>
      </c>
      <c r="J130" s="443" t="s">
        <v>692</v>
      </c>
      <c r="K130" s="315">
        <v>24</v>
      </c>
      <c r="L130" t="s">
        <v>552</v>
      </c>
      <c r="M130">
        <v>24</v>
      </c>
      <c r="N130" t="s">
        <v>558</v>
      </c>
      <c r="O130" s="153" t="str">
        <f>IF(L130&lt;&gt;"",IFERROR(VLOOKUP(B130&amp;L130,Pools!$A$2:$D$130,3,FALSE),""),"")</f>
        <v>Pool A</v>
      </c>
      <c r="P130" s="388">
        <v>1</v>
      </c>
      <c r="Q130" s="388">
        <v>5</v>
      </c>
      <c r="R130" s="306" t="str">
        <f t="shared" si="45"/>
        <v>1-5</v>
      </c>
      <c r="S130" s="153"/>
      <c r="T130" s="148" t="str">
        <f t="shared" si="46"/>
        <v>Completed</v>
      </c>
      <c r="U130" s="153"/>
      <c r="V130" s="153"/>
      <c r="W130" s="387">
        <f t="shared" si="47"/>
        <v>-3</v>
      </c>
      <c r="X130" s="387">
        <f t="shared" si="48"/>
        <v>3</v>
      </c>
      <c r="Y130" s="301">
        <f t="shared" si="49"/>
        <v>0</v>
      </c>
      <c r="Z130" s="301">
        <f t="shared" si="50"/>
        <v>2</v>
      </c>
      <c r="AA130" s="323" t="str">
        <f>CONCATENATE("                x[team1,team2,sport,'",IF(OR(I130="x",I130=""),VLOOKUP('Schedule from TM'!J130,Tables!$P$3:$Q$33,2,FALSE),'Schedule from TM'!I130),",",J130,"','",IF(OR(F130="x",F130=""),VLOOKUP('Schedule from TM'!G130,Tables!$U$3:$V$14,2,FALSE),'Schedule from TM'!F130),",",TEXT(G130,"mm/dd/yyyy"),"','",TEXT(H130,"h:mm:ss AM/PM"),"'].ub=0.0      #",B130)</f>
        <v xml:space="preserve">                x[team1,team2,sport,'11,JCC Back Field 3','11,11/24/2017','1:00:00 PM'].ub=0.0      #Ch B Coed Mini Soccer</v>
      </c>
      <c r="AB130" s="301" t="str">
        <f t="shared" si="51"/>
        <v>,,Ch B Coed Mini Soccer,Pool A,1,CHILD B - ARG 1</v>
      </c>
      <c r="AC130" s="153" t="str">
        <f t="shared" si="52"/>
        <v>Ch B Coed Mini SoccerPool ACHILD B - ARG 1</v>
      </c>
      <c r="AD130" s="301" t="str">
        <f t="shared" si="53"/>
        <v>,,Ch B Coed Mini Soccer,Pool A,1,CHILD B - USA 1</v>
      </c>
      <c r="AE130" s="153" t="str">
        <f t="shared" si="54"/>
        <v>Ch B Coed Mini SoccerPool ACHILD B - USA 1</v>
      </c>
      <c r="AF130" s="383">
        <f t="shared" si="55"/>
        <v>0</v>
      </c>
      <c r="AG130" s="383">
        <f t="shared" si="56"/>
        <v>1</v>
      </c>
      <c r="AH130" s="383">
        <f t="shared" si="57"/>
        <v>0</v>
      </c>
      <c r="AI130" s="383">
        <f t="shared" si="58"/>
        <v>1</v>
      </c>
      <c r="AJ130" s="383">
        <f t="shared" si="59"/>
        <v>0</v>
      </c>
      <c r="AK130" s="383">
        <f t="shared" si="60"/>
        <v>0</v>
      </c>
      <c r="AM130" s="148" t="str">
        <f t="shared" si="61"/>
        <v>Schedulled</v>
      </c>
      <c r="AN130" s="148" t="str">
        <f t="shared" si="62"/>
        <v/>
      </c>
      <c r="AO130" s="156">
        <f t="shared" si="63"/>
        <v>43063.541666666664</v>
      </c>
      <c r="AP130" s="148" t="str">
        <f t="shared" si="64"/>
        <v>11/24/2017 13:00-&gt;JCC Back Field 3</v>
      </c>
      <c r="AQ130" s="374">
        <f t="shared" si="65"/>
        <v>1</v>
      </c>
      <c r="AR130" s="148" t="str">
        <f t="shared" si="66"/>
        <v>ARG1</v>
      </c>
      <c r="AS130" s="148" t="str">
        <f t="shared" si="67"/>
        <v>USA1</v>
      </c>
      <c r="AT130" s="157" t="str">
        <f t="shared" si="68"/>
        <v>ARG1-USA1</v>
      </c>
      <c r="AU130" s="157" t="str">
        <f t="shared" si="69"/>
        <v xml:space="preserve">ARG1-USA1 </v>
      </c>
      <c r="AV130" s="157" t="str">
        <f t="shared" si="70"/>
        <v>CHILDREN B COED</v>
      </c>
      <c r="AW130" s="157" t="str">
        <f t="shared" si="71"/>
        <v>Soccer</v>
      </c>
      <c r="AX130" s="376">
        <f t="shared" si="72"/>
        <v>128</v>
      </c>
      <c r="AY130" s="148" t="str">
        <f t="shared" si="73"/>
        <v>CHILD B - ARG 1-&gt;CHILD B - USA 1</v>
      </c>
      <c r="AZ130" s="148" t="str">
        <f t="shared" si="74"/>
        <v>11/24/2017 13:00-&gt;CHILD B - ARG 1</v>
      </c>
      <c r="BA130" s="148" t="str">
        <f t="shared" si="75"/>
        <v>11/24/2017 13:00-&gt;CHILD B - USA 1</v>
      </c>
      <c r="BB130" s="374">
        <f t="shared" si="76"/>
        <v>1</v>
      </c>
      <c r="BC130" s="374">
        <f t="shared" si="77"/>
        <v>1</v>
      </c>
      <c r="BD130" s="148" t="str">
        <f t="shared" si="78"/>
        <v>no conflict</v>
      </c>
      <c r="BF130" s="148" t="str">
        <f t="shared" si="79"/>
        <v>11/24/2017 13:00-&gt;CHILD B - ARG 1</v>
      </c>
      <c r="BG130" s="148" t="str">
        <f t="shared" si="80"/>
        <v>11/24/2017 13:00-&gt;CHILD B - USA 1</v>
      </c>
      <c r="BH130" s="148" t="str">
        <f t="shared" si="81"/>
        <v>11/24/2017 13:00-&gt;JCC Back Field 3</v>
      </c>
      <c r="BI130" s="148" t="str">
        <f t="shared" si="82"/>
        <v>Soccer in JCC Back Field 3 (ARG1-USA1)</v>
      </c>
      <c r="BJ130" s="148" t="str">
        <f t="shared" si="83"/>
        <v>Ch B Coed Mini Soccer-- CHILD B - ARG 1 vs. CHILD B - USA 1</v>
      </c>
      <c r="BK130" s="148" t="str">
        <f t="shared" si="84"/>
        <v>Soccer</v>
      </c>
      <c r="BL130" s="148" t="str">
        <f t="shared" si="85"/>
        <v>CHILD B - ARG 1</v>
      </c>
      <c r="BM130" s="148" t="str">
        <f t="shared" si="86"/>
        <v>CHILD B - USA 1</v>
      </c>
      <c r="BN130" s="148" t="str">
        <f t="shared" si="87"/>
        <v>Round - 1</v>
      </c>
      <c r="BP130" s="148" t="str">
        <f t="shared" si="88"/>
        <v>no t, f, or sf</v>
      </c>
      <c r="BQ130" s="148" t="str">
        <f t="shared" si="89"/>
        <v/>
      </c>
    </row>
    <row r="131" spans="1:69" ht="15" customHeight="1" x14ac:dyDescent="0.2">
      <c r="A131" s="376">
        <v>129</v>
      </c>
      <c r="B131" s="315" t="s">
        <v>34</v>
      </c>
      <c r="C131" s="315" t="s">
        <v>518</v>
      </c>
      <c r="D131" s="378">
        <v>1</v>
      </c>
      <c r="E131" s="378">
        <v>1</v>
      </c>
      <c r="F131" s="315" t="s">
        <v>770</v>
      </c>
      <c r="G131" s="316">
        <v>43063</v>
      </c>
      <c r="H131" s="454">
        <v>0.64583333333333337</v>
      </c>
      <c r="I131" s="325" t="s">
        <v>770</v>
      </c>
      <c r="J131" s="443" t="s">
        <v>694</v>
      </c>
      <c r="K131" s="315">
        <v>24</v>
      </c>
      <c r="L131" t="s">
        <v>557</v>
      </c>
      <c r="M131">
        <v>24</v>
      </c>
      <c r="N131" t="s">
        <v>559</v>
      </c>
      <c r="O131" s="153" t="str">
        <f>IF(L131&lt;&gt;"",IFERROR(VLOOKUP(B131&amp;L131,Pools!$A$2:$D$130,3,FALSE),""),"")</f>
        <v>Pool B</v>
      </c>
      <c r="P131" s="388">
        <v>3</v>
      </c>
      <c r="Q131" s="388">
        <v>0</v>
      </c>
      <c r="R131" s="306" t="str">
        <f t="shared" si="45"/>
        <v>3-0</v>
      </c>
      <c r="S131" s="153"/>
      <c r="T131" s="148" t="str">
        <f t="shared" si="46"/>
        <v>Completed</v>
      </c>
      <c r="U131" s="153"/>
      <c r="V131" s="153"/>
      <c r="W131" s="387">
        <f t="shared" si="47"/>
        <v>3</v>
      </c>
      <c r="X131" s="387">
        <f t="shared" si="48"/>
        <v>-3</v>
      </c>
      <c r="Y131" s="301">
        <f t="shared" si="49"/>
        <v>2</v>
      </c>
      <c r="Z131" s="301">
        <f t="shared" si="50"/>
        <v>0</v>
      </c>
      <c r="AA131" s="323" t="str">
        <f>CONCATENATE("                x[team1,team2,sport,'",IF(OR(I131="x",I131=""),VLOOKUP('Schedule from TM'!J131,Tables!$P$3:$Q$33,2,FALSE),'Schedule from TM'!I131),",",J131,"','",IF(OR(F131="x",F131=""),VLOOKUP('Schedule from TM'!G131,Tables!$U$3:$V$14,2,FALSE),'Schedule from TM'!F131),",",TEXT(G131,"mm/dd/yyyy"),"','",TEXT(H131,"h:mm:ss AM/PM"),"'].ub=0.0      #",B131)</f>
        <v xml:space="preserve">                x[team1,team2,sport,'11,JCC Back Field 4','11,11/24/2017','3:30:00 PM'].ub=0.0      #Ch B Coed Mini Soccer</v>
      </c>
      <c r="AB131" s="301" t="str">
        <f t="shared" si="51"/>
        <v>,,Ch B Coed Mini Soccer,Pool B,1,CHILD B - MEX</v>
      </c>
      <c r="AC131" s="153" t="str">
        <f t="shared" si="52"/>
        <v>Ch B Coed Mini SoccerPool BCHILD B - MEX</v>
      </c>
      <c r="AD131" s="301" t="str">
        <f t="shared" si="53"/>
        <v>,,Ch B Coed Mini Soccer,Pool B,1,CHILD B - USA 2</v>
      </c>
      <c r="AE131" s="153" t="str">
        <f t="shared" si="54"/>
        <v>Ch B Coed Mini SoccerPool BCHILD B - USA 2</v>
      </c>
      <c r="AF131" s="383">
        <f t="shared" si="55"/>
        <v>1</v>
      </c>
      <c r="AG131" s="383">
        <f t="shared" si="56"/>
        <v>0</v>
      </c>
      <c r="AH131" s="383">
        <f t="shared" si="57"/>
        <v>0</v>
      </c>
      <c r="AI131" s="383">
        <f t="shared" si="58"/>
        <v>0</v>
      </c>
      <c r="AJ131" s="383">
        <f t="shared" si="59"/>
        <v>1</v>
      </c>
      <c r="AK131" s="383">
        <f t="shared" si="60"/>
        <v>0</v>
      </c>
      <c r="AM131" s="148" t="str">
        <f t="shared" si="61"/>
        <v>Schedulled</v>
      </c>
      <c r="AN131" s="148" t="str">
        <f t="shared" si="62"/>
        <v/>
      </c>
      <c r="AO131" s="156">
        <f t="shared" si="63"/>
        <v>43063.645833333336</v>
      </c>
      <c r="AP131" s="148" t="str">
        <f t="shared" si="64"/>
        <v>11/24/2017 15:30-&gt;JCC Back Field 4</v>
      </c>
      <c r="AQ131" s="374">
        <f t="shared" si="65"/>
        <v>1</v>
      </c>
      <c r="AR131" s="148" t="str">
        <f t="shared" si="66"/>
        <v>MEX</v>
      </c>
      <c r="AS131" s="148" t="str">
        <f t="shared" si="67"/>
        <v>USA2</v>
      </c>
      <c r="AT131" s="157" t="str">
        <f t="shared" si="68"/>
        <v>MEX-USA2</v>
      </c>
      <c r="AU131" s="157" t="str">
        <f t="shared" si="69"/>
        <v xml:space="preserve">MEX-USA2 </v>
      </c>
      <c r="AV131" s="157" t="str">
        <f t="shared" si="70"/>
        <v>CHILDREN B COED</v>
      </c>
      <c r="AW131" s="157" t="str">
        <f t="shared" si="71"/>
        <v>Soccer</v>
      </c>
      <c r="AX131" s="376">
        <f t="shared" si="72"/>
        <v>129</v>
      </c>
      <c r="AY131" s="148" t="str">
        <f t="shared" si="73"/>
        <v>CHILD B - MEX-&gt;CHILD B - USA 2</v>
      </c>
      <c r="AZ131" s="148" t="str">
        <f t="shared" si="74"/>
        <v>11/24/2017 15:30-&gt;CHILD B - MEX</v>
      </c>
      <c r="BA131" s="148" t="str">
        <f t="shared" si="75"/>
        <v>11/24/2017 15:30-&gt;CHILD B - USA 2</v>
      </c>
      <c r="BB131" s="374">
        <f t="shared" si="76"/>
        <v>1</v>
      </c>
      <c r="BC131" s="374">
        <f t="shared" si="77"/>
        <v>1</v>
      </c>
      <c r="BD131" s="148" t="str">
        <f t="shared" si="78"/>
        <v>no conflict</v>
      </c>
      <c r="BF131" s="148" t="str">
        <f t="shared" si="79"/>
        <v>11/24/2017 15:30-&gt;CHILD B - MEX</v>
      </c>
      <c r="BG131" s="148" t="str">
        <f t="shared" si="80"/>
        <v>11/24/2017 15:30-&gt;CHILD B - USA 2</v>
      </c>
      <c r="BH131" s="148" t="str">
        <f t="shared" si="81"/>
        <v>11/24/2017 15:30-&gt;JCC Back Field 4</v>
      </c>
      <c r="BI131" s="148" t="str">
        <f t="shared" si="82"/>
        <v>Soccer in JCC Back Field 4 (MEX-USA2)</v>
      </c>
      <c r="BJ131" s="148" t="str">
        <f t="shared" si="83"/>
        <v>Ch B Coed Mini Soccer-- CHILD B - MEX vs. CHILD B - USA 2</v>
      </c>
      <c r="BK131" s="148" t="str">
        <f t="shared" si="84"/>
        <v>Soccer</v>
      </c>
      <c r="BL131" s="148" t="str">
        <f t="shared" si="85"/>
        <v>CHILD B - MEX</v>
      </c>
      <c r="BM131" s="148" t="str">
        <f t="shared" si="86"/>
        <v>CHILD B - USA 2</v>
      </c>
      <c r="BN131" s="148" t="str">
        <f t="shared" si="87"/>
        <v>Round - 1</v>
      </c>
      <c r="BP131" s="148" t="str">
        <f t="shared" si="88"/>
        <v>no t, f, or sf</v>
      </c>
      <c r="BQ131" s="148" t="str">
        <f t="shared" si="89"/>
        <v/>
      </c>
    </row>
    <row r="132" spans="1:69" ht="15" customHeight="1" x14ac:dyDescent="0.2">
      <c r="A132" s="376">
        <v>130</v>
      </c>
      <c r="B132" s="315" t="s">
        <v>34</v>
      </c>
      <c r="C132" s="315" t="s">
        <v>518</v>
      </c>
      <c r="D132" s="378">
        <v>1</v>
      </c>
      <c r="E132" s="378">
        <v>1</v>
      </c>
      <c r="F132" s="315" t="s">
        <v>770</v>
      </c>
      <c r="G132" s="316">
        <v>43065</v>
      </c>
      <c r="H132" s="454">
        <v>0.47222222222222227</v>
      </c>
      <c r="I132" s="325" t="s">
        <v>770</v>
      </c>
      <c r="J132" s="315" t="s">
        <v>693</v>
      </c>
      <c r="K132" s="315">
        <v>24</v>
      </c>
      <c r="L132" t="s">
        <v>554</v>
      </c>
      <c r="M132">
        <v>24</v>
      </c>
      <c r="N132" t="s">
        <v>560</v>
      </c>
      <c r="O132" s="153" t="str">
        <f>IF(L132&lt;&gt;"",IFERROR(VLOOKUP(B132&amp;L132,Pools!$A$2:$D$130,3,FALSE),""),"")</f>
        <v>Pool B</v>
      </c>
      <c r="P132" s="388">
        <v>1</v>
      </c>
      <c r="Q132" s="388">
        <v>3</v>
      </c>
      <c r="R132" s="306" t="str">
        <f t="shared" si="45"/>
        <v>1-3</v>
      </c>
      <c r="S132" s="153"/>
      <c r="T132" s="148" t="str">
        <f t="shared" si="46"/>
        <v>Completed</v>
      </c>
      <c r="U132" s="153"/>
      <c r="V132" s="153"/>
      <c r="W132" s="387">
        <f t="shared" si="47"/>
        <v>-2</v>
      </c>
      <c r="X132" s="387">
        <f t="shared" si="48"/>
        <v>2</v>
      </c>
      <c r="Y132" s="301">
        <f t="shared" si="49"/>
        <v>0</v>
      </c>
      <c r="Z132" s="301">
        <f t="shared" si="50"/>
        <v>2</v>
      </c>
      <c r="AA132" s="323" t="str">
        <f>CONCATENATE("                x[team1,team2,sport,'",IF(OR(I132="x",I132=""),VLOOKUP('Schedule from TM'!J132,Tables!$P$3:$Q$33,2,FALSE),'Schedule from TM'!I132),",",J132,"','",IF(OR(F132="x",F132=""),VLOOKUP('Schedule from TM'!G132,Tables!$U$3:$V$14,2,FALSE),'Schedule from TM'!F132),",",TEXT(G132,"mm/dd/yyyy"),"','",TEXT(H132,"h:mm:ss AM/PM"),"'].ub=0.0      #",B132)</f>
        <v xml:space="preserve">                x[team1,team2,sport,'11,JCC Back Field 2','21,11/26/2017','11:20:00 AM'].ub=0.0      #Ch B Coed Mini Soccer</v>
      </c>
      <c r="AB132" s="301" t="str">
        <f t="shared" si="51"/>
        <v>,,Ch B Coed Mini Soccer,Pool B,1,CHILD B - COL 1</v>
      </c>
      <c r="AC132" s="153" t="str">
        <f t="shared" si="52"/>
        <v>Ch B Coed Mini SoccerPool BCHILD B - COL 1</v>
      </c>
      <c r="AD132" s="301" t="str">
        <f t="shared" si="53"/>
        <v>,,Ch B Coed Mini Soccer,Pool B,1,CHILD B - VEN 1</v>
      </c>
      <c r="AE132" s="153" t="str">
        <f t="shared" si="54"/>
        <v>Ch B Coed Mini SoccerPool BCHILD B - VEN 1</v>
      </c>
      <c r="AF132" s="383">
        <f t="shared" si="55"/>
        <v>0</v>
      </c>
      <c r="AG132" s="383">
        <f t="shared" si="56"/>
        <v>1</v>
      </c>
      <c r="AH132" s="383">
        <f t="shared" si="57"/>
        <v>0</v>
      </c>
      <c r="AI132" s="383">
        <f t="shared" si="58"/>
        <v>1</v>
      </c>
      <c r="AJ132" s="383">
        <f t="shared" si="59"/>
        <v>0</v>
      </c>
      <c r="AK132" s="383">
        <f t="shared" si="60"/>
        <v>0</v>
      </c>
      <c r="AM132" s="148" t="str">
        <f t="shared" si="61"/>
        <v>Schedulled</v>
      </c>
      <c r="AN132" s="148" t="str">
        <f t="shared" si="62"/>
        <v/>
      </c>
      <c r="AO132" s="156">
        <f t="shared" si="63"/>
        <v>43065.472222222219</v>
      </c>
      <c r="AP132" s="148" t="str">
        <f t="shared" si="64"/>
        <v>11/26/2017 11:20-&gt;JCC Back Field 2</v>
      </c>
      <c r="AQ132" s="374">
        <f t="shared" si="65"/>
        <v>1</v>
      </c>
      <c r="AR132" s="148" t="str">
        <f t="shared" si="66"/>
        <v>COL1</v>
      </c>
      <c r="AS132" s="148" t="str">
        <f t="shared" si="67"/>
        <v>VEN1</v>
      </c>
      <c r="AT132" s="157" t="str">
        <f t="shared" si="68"/>
        <v>COL1-VEN1</v>
      </c>
      <c r="AU132" s="157" t="str">
        <f t="shared" si="69"/>
        <v xml:space="preserve">COL1-VEN1 </v>
      </c>
      <c r="AV132" s="157" t="str">
        <f t="shared" si="70"/>
        <v>CHILDREN B COED</v>
      </c>
      <c r="AW132" s="157" t="str">
        <f t="shared" si="71"/>
        <v>Soccer</v>
      </c>
      <c r="AX132" s="376">
        <f t="shared" si="72"/>
        <v>130</v>
      </c>
      <c r="AY132" s="148" t="str">
        <f t="shared" si="73"/>
        <v>CHILD B - COL 1-&gt;CHILD B - VEN 1</v>
      </c>
      <c r="AZ132" s="148" t="str">
        <f t="shared" si="74"/>
        <v>11/26/2017 11:20-&gt;CHILD B - COL 1</v>
      </c>
      <c r="BA132" s="148" t="str">
        <f t="shared" si="75"/>
        <v>11/26/2017 11:20-&gt;CHILD B - VEN 1</v>
      </c>
      <c r="BB132" s="374">
        <f t="shared" si="76"/>
        <v>1</v>
      </c>
      <c r="BC132" s="374">
        <f t="shared" si="77"/>
        <v>1</v>
      </c>
      <c r="BD132" s="148" t="str">
        <f t="shared" si="78"/>
        <v>no conflict</v>
      </c>
      <c r="BF132" s="148" t="str">
        <f t="shared" si="79"/>
        <v>11/26/2017 11:20-&gt;CHILD B - COL 1</v>
      </c>
      <c r="BG132" s="148" t="str">
        <f t="shared" si="80"/>
        <v>11/26/2017 11:20-&gt;CHILD B - VEN 1</v>
      </c>
      <c r="BH132" s="148" t="str">
        <f t="shared" si="81"/>
        <v>11/26/2017 11:20-&gt;JCC Back Field 2</v>
      </c>
      <c r="BI132" s="148" t="str">
        <f t="shared" si="82"/>
        <v>Soccer in JCC Back Field 2 (COL1-VEN1)</v>
      </c>
      <c r="BJ132" s="148" t="str">
        <f t="shared" si="83"/>
        <v>Ch B Coed Mini Soccer-- CHILD B - COL 1 vs. CHILD B - VEN 1</v>
      </c>
      <c r="BK132" s="148" t="str">
        <f t="shared" si="84"/>
        <v>Soccer</v>
      </c>
      <c r="BL132" s="148" t="str">
        <f t="shared" si="85"/>
        <v>CHILD B - COL 1</v>
      </c>
      <c r="BM132" s="148" t="str">
        <f t="shared" si="86"/>
        <v>CHILD B - VEN 1</v>
      </c>
      <c r="BN132" s="148" t="str">
        <f t="shared" si="87"/>
        <v>Round - 1</v>
      </c>
      <c r="BP132" s="148" t="str">
        <f t="shared" si="88"/>
        <v>no t, f, or sf</v>
      </c>
      <c r="BQ132" s="148" t="str">
        <f t="shared" si="89"/>
        <v/>
      </c>
    </row>
    <row r="133" spans="1:69" ht="15" customHeight="1" x14ac:dyDescent="0.2">
      <c r="A133" s="376">
        <v>131</v>
      </c>
      <c r="B133" s="444" t="s">
        <v>36</v>
      </c>
      <c r="C133" s="444" t="s">
        <v>518</v>
      </c>
      <c r="D133" s="451">
        <v>1</v>
      </c>
      <c r="E133" s="451">
        <v>1</v>
      </c>
      <c r="F133" s="315" t="s">
        <v>770</v>
      </c>
      <c r="G133" s="445">
        <v>43058</v>
      </c>
      <c r="H133" s="317">
        <v>0.40277777777777773</v>
      </c>
      <c r="I133" s="325" t="s">
        <v>770</v>
      </c>
      <c r="J133" s="444" t="s">
        <v>686</v>
      </c>
      <c r="K133" s="444">
        <v>24</v>
      </c>
      <c r="L133" t="s">
        <v>555</v>
      </c>
      <c r="M133">
        <v>24</v>
      </c>
      <c r="N133" t="s">
        <v>561</v>
      </c>
      <c r="O133" s="153" t="str">
        <f>IF(L133&lt;&gt;"",IFERROR(VLOOKUP(B133&amp;L133,Pools!$A$2:$D$130,3,FALSE),""),"")</f>
        <v>Pool B</v>
      </c>
      <c r="P133" s="388">
        <v>0</v>
      </c>
      <c r="Q133" s="388">
        <v>2</v>
      </c>
      <c r="R133" s="306" t="str">
        <f t="shared" si="45"/>
        <v>0-2</v>
      </c>
      <c r="S133" s="153"/>
      <c r="T133" s="148" t="str">
        <f t="shared" si="46"/>
        <v>Completed</v>
      </c>
      <c r="U133" s="153"/>
      <c r="V133" s="153"/>
      <c r="W133" s="387">
        <f t="shared" si="47"/>
        <v>-2</v>
      </c>
      <c r="X133" s="387">
        <f t="shared" si="48"/>
        <v>2</v>
      </c>
      <c r="Y133" s="301">
        <f t="shared" si="49"/>
        <v>0</v>
      </c>
      <c r="Z133" s="301">
        <f t="shared" si="50"/>
        <v>2</v>
      </c>
      <c r="AA133" s="323" t="str">
        <f>CONCATENATE("                x[team1,team2,sport,'",IF(OR(I133="x",I133=""),VLOOKUP('Schedule from TM'!J133,Tables!$P$3:$Q$33,2,FALSE),'Schedule from TM'!I133),",",J133,"','",IF(OR(F133="x",F133=""),VLOOKUP('Schedule from TM'!G133,Tables!$U$3:$V$14,2,FALSE),'Schedule from TM'!F133),",",TEXT(G133,"mm/dd/yyyy"),"','",TEXT(H133,"h:mm:ss AM/PM"),"'].ub=0.0      #",B133)</f>
        <v xml:space="preserve">                x[team1,team2,sport,'32,Sinai - Newcomb','11,11/19/2017','9:40:00 AM'].ub=0.0      #Ch B Coed Newcomb</v>
      </c>
      <c r="AB133" s="301" t="str">
        <f t="shared" si="51"/>
        <v>,,Ch B Coed Newcomb,Pool B,1,CHILD B - COL 2</v>
      </c>
      <c r="AC133" s="153" t="str">
        <f t="shared" si="52"/>
        <v>Ch B Coed NewcombPool BCHILD B - COL 2</v>
      </c>
      <c r="AD133" s="301" t="str">
        <f t="shared" si="53"/>
        <v>,,Ch B Coed Newcomb,Pool B,1,CHILD B - VEN 2</v>
      </c>
      <c r="AE133" s="153" t="str">
        <f t="shared" si="54"/>
        <v>Ch B Coed NewcombPool BCHILD B - VEN 2</v>
      </c>
      <c r="AF133" s="383">
        <f t="shared" si="55"/>
        <v>0</v>
      </c>
      <c r="AG133" s="383">
        <f t="shared" si="56"/>
        <v>1</v>
      </c>
      <c r="AH133" s="383">
        <f t="shared" si="57"/>
        <v>0</v>
      </c>
      <c r="AI133" s="383">
        <f t="shared" si="58"/>
        <v>1</v>
      </c>
      <c r="AJ133" s="383">
        <f t="shared" si="59"/>
        <v>0</v>
      </c>
      <c r="AK133" s="383">
        <f t="shared" si="60"/>
        <v>0</v>
      </c>
      <c r="AM133" s="148" t="str">
        <f t="shared" si="61"/>
        <v>Schedulled</v>
      </c>
      <c r="AN133" s="148" t="str">
        <f t="shared" si="62"/>
        <v/>
      </c>
      <c r="AO133" s="156">
        <f t="shared" si="63"/>
        <v>43058.402777777781</v>
      </c>
      <c r="AP133" s="148" t="str">
        <f t="shared" si="64"/>
        <v>11/19/2017 09:40-&gt;Sinai - Newcomb</v>
      </c>
      <c r="AQ133" s="374">
        <f t="shared" si="65"/>
        <v>1</v>
      </c>
      <c r="AR133" s="148" t="str">
        <f t="shared" si="66"/>
        <v>COL2</v>
      </c>
      <c r="AS133" s="148" t="str">
        <f t="shared" si="67"/>
        <v>VEN2</v>
      </c>
      <c r="AT133" s="157" t="str">
        <f t="shared" si="68"/>
        <v>COL2-VEN2</v>
      </c>
      <c r="AU133" s="157" t="str">
        <f t="shared" si="69"/>
        <v xml:space="preserve">COL2-VEN2 </v>
      </c>
      <c r="AV133" s="157" t="str">
        <f t="shared" si="70"/>
        <v>CHILDREN B COED</v>
      </c>
      <c r="AW133" s="157" t="str">
        <f t="shared" si="71"/>
        <v>Newcomb</v>
      </c>
      <c r="AX133" s="376">
        <f t="shared" si="72"/>
        <v>131</v>
      </c>
      <c r="AY133" s="148" t="str">
        <f t="shared" si="73"/>
        <v>CHILD B - COL 2-&gt;CHILD B - VEN 2</v>
      </c>
      <c r="AZ133" s="148" t="str">
        <f t="shared" si="74"/>
        <v>11/19/2017 09:40-&gt;CHILD B - COL 2</v>
      </c>
      <c r="BA133" s="148" t="str">
        <f t="shared" si="75"/>
        <v>11/19/2017 09:40-&gt;CHILD B - VEN 2</v>
      </c>
      <c r="BB133" s="374">
        <f t="shared" si="76"/>
        <v>1</v>
      </c>
      <c r="BC133" s="374">
        <f t="shared" si="77"/>
        <v>1</v>
      </c>
      <c r="BD133" s="148" t="str">
        <f t="shared" si="78"/>
        <v>no conflict</v>
      </c>
      <c r="BF133" s="148" t="str">
        <f t="shared" si="79"/>
        <v>11/19/2017 09:40-&gt;CHILD B - COL 2</v>
      </c>
      <c r="BG133" s="148" t="str">
        <f t="shared" si="80"/>
        <v>11/19/2017 09:40-&gt;CHILD B - VEN 2</v>
      </c>
      <c r="BH133" s="148" t="str">
        <f t="shared" si="81"/>
        <v>11/19/2017 09:40-&gt;Sinai - Newcomb</v>
      </c>
      <c r="BI133" s="148" t="str">
        <f t="shared" si="82"/>
        <v>Newcomb in Sinai - Newcomb (COL2-VEN2)</v>
      </c>
      <c r="BJ133" s="148" t="str">
        <f t="shared" si="83"/>
        <v>Ch B Coed Newcomb-- CHILD B - COL 2 vs. CHILD B - VEN 2</v>
      </c>
      <c r="BK133" s="148" t="str">
        <f t="shared" si="84"/>
        <v>Newcomb</v>
      </c>
      <c r="BL133" s="148" t="str">
        <f t="shared" si="85"/>
        <v>CHILD B - COL 2</v>
      </c>
      <c r="BM133" s="148" t="str">
        <f t="shared" si="86"/>
        <v>CHILD B - VEN 2</v>
      </c>
      <c r="BN133" s="148" t="str">
        <f t="shared" si="87"/>
        <v>Round - 1</v>
      </c>
      <c r="BP133" s="148" t="str">
        <f t="shared" si="88"/>
        <v>no t, f, or sf</v>
      </c>
      <c r="BQ133" s="148" t="str">
        <f t="shared" si="89"/>
        <v/>
      </c>
    </row>
    <row r="134" spans="1:69" ht="15" customHeight="1" x14ac:dyDescent="0.2">
      <c r="A134" s="376">
        <v>132</v>
      </c>
      <c r="B134" s="441" t="s">
        <v>36</v>
      </c>
      <c r="C134" s="441" t="s">
        <v>518</v>
      </c>
      <c r="D134" s="450">
        <v>1</v>
      </c>
      <c r="E134" s="450">
        <v>1</v>
      </c>
      <c r="F134" s="315" t="s">
        <v>770</v>
      </c>
      <c r="G134" s="320">
        <v>43058</v>
      </c>
      <c r="H134" s="318">
        <v>0.4375</v>
      </c>
      <c r="I134" s="325" t="s">
        <v>770</v>
      </c>
      <c r="J134" s="441" t="s">
        <v>686</v>
      </c>
      <c r="K134" s="441">
        <v>24</v>
      </c>
      <c r="L134" t="s">
        <v>557</v>
      </c>
      <c r="M134">
        <v>24</v>
      </c>
      <c r="N134" t="s">
        <v>559</v>
      </c>
      <c r="O134" s="153" t="str">
        <f>IF(L134&lt;&gt;"",IFERROR(VLOOKUP(B134&amp;L134,Pools!$A$2:$D$130,3,FALSE),""),"")</f>
        <v>Pool A</v>
      </c>
      <c r="P134" s="388">
        <v>0</v>
      </c>
      <c r="Q134" s="388">
        <v>2</v>
      </c>
      <c r="R134" s="306" t="str">
        <f t="shared" si="45"/>
        <v>0-2</v>
      </c>
      <c r="S134" s="153"/>
      <c r="T134" s="148" t="str">
        <f t="shared" si="46"/>
        <v>Completed</v>
      </c>
      <c r="U134" s="153"/>
      <c r="V134" s="153"/>
      <c r="W134" s="387">
        <f t="shared" si="47"/>
        <v>-2</v>
      </c>
      <c r="X134" s="387">
        <f t="shared" si="48"/>
        <v>2</v>
      </c>
      <c r="Y134" s="301">
        <f t="shared" si="49"/>
        <v>0</v>
      </c>
      <c r="Z134" s="301">
        <f t="shared" si="50"/>
        <v>2</v>
      </c>
      <c r="AA134" s="323" t="str">
        <f>CONCATENATE("                x[team1,team2,sport,'",IF(OR(I134="x",I134=""),VLOOKUP('Schedule from TM'!J134,Tables!$P$3:$Q$33,2,FALSE),'Schedule from TM'!I134),",",J134,"','",IF(OR(F134="x",F134=""),VLOOKUP('Schedule from TM'!G134,Tables!$U$3:$V$14,2,FALSE),'Schedule from TM'!F134),",",TEXT(G134,"mm/dd/yyyy"),"','",TEXT(H134,"h:mm:ss AM/PM"),"'].ub=0.0      #",B134)</f>
        <v xml:space="preserve">                x[team1,team2,sport,'32,Sinai - Newcomb','11,11/19/2017','10:30:00 AM'].ub=0.0      #Ch B Coed Newcomb</v>
      </c>
      <c r="AB134" s="301" t="str">
        <f t="shared" si="51"/>
        <v>,,Ch B Coed Newcomb,Pool A,1,CHILD B - MEX</v>
      </c>
      <c r="AC134" s="153" t="str">
        <f t="shared" si="52"/>
        <v>Ch B Coed NewcombPool ACHILD B - MEX</v>
      </c>
      <c r="AD134" s="301" t="str">
        <f t="shared" si="53"/>
        <v>,,Ch B Coed Newcomb,Pool A,1,CHILD B - USA 2</v>
      </c>
      <c r="AE134" s="153" t="str">
        <f t="shared" si="54"/>
        <v>Ch B Coed NewcombPool ACHILD B - USA 2</v>
      </c>
      <c r="AF134" s="383">
        <f t="shared" si="55"/>
        <v>0</v>
      </c>
      <c r="AG134" s="383">
        <f t="shared" si="56"/>
        <v>1</v>
      </c>
      <c r="AH134" s="383">
        <f t="shared" si="57"/>
        <v>0</v>
      </c>
      <c r="AI134" s="383">
        <f t="shared" si="58"/>
        <v>1</v>
      </c>
      <c r="AJ134" s="383">
        <f t="shared" si="59"/>
        <v>0</v>
      </c>
      <c r="AK134" s="383">
        <f t="shared" si="60"/>
        <v>0</v>
      </c>
      <c r="AM134" s="148" t="str">
        <f t="shared" si="61"/>
        <v>Schedulled</v>
      </c>
      <c r="AN134" s="148" t="str">
        <f t="shared" si="62"/>
        <v/>
      </c>
      <c r="AO134" s="156">
        <f t="shared" si="63"/>
        <v>43058.4375</v>
      </c>
      <c r="AP134" s="148" t="str">
        <f t="shared" si="64"/>
        <v>11/19/2017 10:30-&gt;Sinai - Newcomb</v>
      </c>
      <c r="AQ134" s="374">
        <f t="shared" si="65"/>
        <v>1</v>
      </c>
      <c r="AR134" s="148" t="str">
        <f t="shared" si="66"/>
        <v>MEX</v>
      </c>
      <c r="AS134" s="148" t="str">
        <f t="shared" si="67"/>
        <v>USA2</v>
      </c>
      <c r="AT134" s="157" t="str">
        <f t="shared" si="68"/>
        <v>MEX-USA2</v>
      </c>
      <c r="AU134" s="157" t="str">
        <f t="shared" si="69"/>
        <v xml:space="preserve">MEX-USA2 </v>
      </c>
      <c r="AV134" s="157" t="str">
        <f t="shared" si="70"/>
        <v>CHILDREN B COED</v>
      </c>
      <c r="AW134" s="157" t="str">
        <f t="shared" si="71"/>
        <v>Newcomb</v>
      </c>
      <c r="AX134" s="376">
        <f t="shared" si="72"/>
        <v>132</v>
      </c>
      <c r="AY134" s="148" t="str">
        <f t="shared" si="73"/>
        <v>CHILD B - MEX-&gt;CHILD B - USA 2</v>
      </c>
      <c r="AZ134" s="148" t="str">
        <f t="shared" si="74"/>
        <v>11/19/2017 10:30-&gt;CHILD B - MEX</v>
      </c>
      <c r="BA134" s="148" t="str">
        <f t="shared" si="75"/>
        <v>11/19/2017 10:30-&gt;CHILD B - USA 2</v>
      </c>
      <c r="BB134" s="374">
        <f t="shared" si="76"/>
        <v>1</v>
      </c>
      <c r="BC134" s="374">
        <f t="shared" si="77"/>
        <v>1</v>
      </c>
      <c r="BD134" s="148" t="str">
        <f t="shared" si="78"/>
        <v>no conflict</v>
      </c>
      <c r="BF134" s="148" t="str">
        <f t="shared" si="79"/>
        <v>11/19/2017 10:30-&gt;CHILD B - MEX</v>
      </c>
      <c r="BG134" s="148" t="str">
        <f t="shared" si="80"/>
        <v>11/19/2017 10:30-&gt;CHILD B - USA 2</v>
      </c>
      <c r="BH134" s="148" t="str">
        <f t="shared" si="81"/>
        <v>11/19/2017 10:30-&gt;Sinai - Newcomb</v>
      </c>
      <c r="BI134" s="148" t="str">
        <f t="shared" si="82"/>
        <v>Newcomb in Sinai - Newcomb (MEX-USA2)</v>
      </c>
      <c r="BJ134" s="148" t="str">
        <f t="shared" si="83"/>
        <v>Ch B Coed Newcomb-- CHILD B - MEX vs. CHILD B - USA 2</v>
      </c>
      <c r="BK134" s="148" t="str">
        <f t="shared" si="84"/>
        <v>Newcomb</v>
      </c>
      <c r="BL134" s="148" t="str">
        <f t="shared" si="85"/>
        <v>CHILD B - MEX</v>
      </c>
      <c r="BM134" s="148" t="str">
        <f t="shared" si="86"/>
        <v>CHILD B - USA 2</v>
      </c>
      <c r="BN134" s="148" t="str">
        <f t="shared" si="87"/>
        <v>Round - 1</v>
      </c>
      <c r="BP134" s="148" t="str">
        <f t="shared" si="88"/>
        <v>no t, f, or sf</v>
      </c>
      <c r="BQ134" s="148" t="str">
        <f t="shared" si="89"/>
        <v/>
      </c>
    </row>
    <row r="135" spans="1:69" ht="15" customHeight="1" x14ac:dyDescent="0.2">
      <c r="A135" s="450">
        <v>133</v>
      </c>
      <c r="B135" s="444" t="s">
        <v>36</v>
      </c>
      <c r="C135" s="444" t="s">
        <v>518</v>
      </c>
      <c r="D135" s="451">
        <v>1</v>
      </c>
      <c r="E135" s="451">
        <v>1</v>
      </c>
      <c r="F135" s="444" t="s">
        <v>770</v>
      </c>
      <c r="G135" s="445">
        <v>43058</v>
      </c>
      <c r="H135" s="317">
        <v>0.54166666666666663</v>
      </c>
      <c r="I135" s="446" t="s">
        <v>770</v>
      </c>
      <c r="J135" s="444" t="s">
        <v>686</v>
      </c>
      <c r="K135" s="444">
        <v>24</v>
      </c>
      <c r="L135" s="433" t="s">
        <v>554</v>
      </c>
      <c r="M135" s="433">
        <v>24</v>
      </c>
      <c r="N135" s="433" t="s">
        <v>557</v>
      </c>
      <c r="O135" s="153" t="str">
        <f>IF(L135&lt;&gt;"",IFERROR(VLOOKUP(B135&amp;L135,Pools!$A$2:$D$130,3,FALSE),""),"")</f>
        <v>Pool A</v>
      </c>
      <c r="P135" s="388">
        <v>1</v>
      </c>
      <c r="Q135" s="388">
        <v>2</v>
      </c>
      <c r="R135" s="306" t="str">
        <f t="shared" si="45"/>
        <v>1-2</v>
      </c>
      <c r="S135" s="153"/>
      <c r="T135" s="148" t="str">
        <f t="shared" si="46"/>
        <v>Completed</v>
      </c>
      <c r="U135" s="153"/>
      <c r="V135" s="153"/>
      <c r="W135" s="387">
        <f t="shared" si="47"/>
        <v>-1</v>
      </c>
      <c r="X135" s="387">
        <f t="shared" si="48"/>
        <v>1</v>
      </c>
      <c r="Y135" s="301">
        <f t="shared" si="49"/>
        <v>0</v>
      </c>
      <c r="Z135" s="301">
        <f t="shared" si="50"/>
        <v>2</v>
      </c>
      <c r="AA135" s="323" t="str">
        <f>CONCATENATE("                x[team1,team2,sport,'",IF(OR(I135="x",I135=""),VLOOKUP('Schedule from TM'!J135,Tables!$P$3:$Q$33,2,FALSE),'Schedule from TM'!I135),",",J135,"','",IF(OR(F135="x",F135=""),VLOOKUP('Schedule from TM'!G135,Tables!$U$3:$V$14,2,FALSE),'Schedule from TM'!F135),",",TEXT(G135,"mm/dd/yyyy"),"','",TEXT(H135,"h:mm:ss AM/PM"),"'].ub=0.0      #",B135)</f>
        <v xml:space="preserve">                x[team1,team2,sport,'32,Sinai - Newcomb','11,11/19/2017','1:00:00 PM'].ub=0.0      #Ch B Coed Newcomb</v>
      </c>
      <c r="AB135" s="301" t="str">
        <f t="shared" si="51"/>
        <v>,,Ch B Coed Newcomb,Pool A,1,CHILD B - COL 1</v>
      </c>
      <c r="AC135" s="153" t="str">
        <f t="shared" si="52"/>
        <v>Ch B Coed NewcombPool ACHILD B - COL 1</v>
      </c>
      <c r="AD135" s="301" t="str">
        <f t="shared" si="53"/>
        <v>,,Ch B Coed Newcomb,Pool A,1,CHILD B - MEX</v>
      </c>
      <c r="AE135" s="153" t="str">
        <f t="shared" si="54"/>
        <v>Ch B Coed NewcombPool ACHILD B - MEX</v>
      </c>
      <c r="AF135" s="383">
        <f t="shared" si="55"/>
        <v>0</v>
      </c>
      <c r="AG135" s="383">
        <f t="shared" si="56"/>
        <v>1</v>
      </c>
      <c r="AH135" s="383">
        <f t="shared" si="57"/>
        <v>0</v>
      </c>
      <c r="AI135" s="383">
        <f t="shared" si="58"/>
        <v>1</v>
      </c>
      <c r="AJ135" s="383">
        <f t="shared" si="59"/>
        <v>0</v>
      </c>
      <c r="AK135" s="383">
        <f t="shared" si="60"/>
        <v>0</v>
      </c>
      <c r="AM135" s="148" t="str">
        <f t="shared" si="61"/>
        <v>Schedulled</v>
      </c>
      <c r="AN135" s="148" t="str">
        <f t="shared" si="62"/>
        <v/>
      </c>
      <c r="AO135" s="156">
        <f t="shared" si="63"/>
        <v>43058.541666666664</v>
      </c>
      <c r="AP135" s="148" t="str">
        <f t="shared" si="64"/>
        <v>11/19/2017 13:00-&gt;Sinai - Newcomb</v>
      </c>
      <c r="AQ135" s="374">
        <f t="shared" si="65"/>
        <v>1</v>
      </c>
      <c r="AR135" s="148" t="str">
        <f t="shared" si="66"/>
        <v>COL1</v>
      </c>
      <c r="AS135" s="148" t="str">
        <f t="shared" si="67"/>
        <v>MEX</v>
      </c>
      <c r="AT135" s="157" t="str">
        <f t="shared" si="68"/>
        <v>COL1-MEX</v>
      </c>
      <c r="AU135" s="157" t="str">
        <f t="shared" si="69"/>
        <v xml:space="preserve">COL1-MEX </v>
      </c>
      <c r="AV135" s="157" t="str">
        <f t="shared" si="70"/>
        <v>CHILDREN B COED</v>
      </c>
      <c r="AW135" s="157" t="str">
        <f t="shared" si="71"/>
        <v>Newcomb</v>
      </c>
      <c r="AX135" s="450">
        <f t="shared" si="72"/>
        <v>133</v>
      </c>
      <c r="AY135" s="148" t="str">
        <f t="shared" si="73"/>
        <v>CHILD B - COL 1-&gt;CHILD B - MEX</v>
      </c>
      <c r="AZ135" s="148" t="str">
        <f t="shared" si="74"/>
        <v>11/19/2017 13:00-&gt;CHILD B - COL 1</v>
      </c>
      <c r="BA135" s="148" t="str">
        <f t="shared" si="75"/>
        <v>11/19/2017 13:00-&gt;CHILD B - MEX</v>
      </c>
      <c r="BB135" s="374">
        <f t="shared" si="76"/>
        <v>1</v>
      </c>
      <c r="BC135" s="374">
        <f t="shared" si="77"/>
        <v>1</v>
      </c>
      <c r="BD135" s="148" t="str">
        <f t="shared" si="78"/>
        <v>no conflict</v>
      </c>
      <c r="BF135" s="148" t="str">
        <f t="shared" si="79"/>
        <v>11/19/2017 13:00-&gt;CHILD B - COL 1</v>
      </c>
      <c r="BG135" s="148" t="str">
        <f t="shared" si="80"/>
        <v>11/19/2017 13:00-&gt;CHILD B - MEX</v>
      </c>
      <c r="BH135" s="148" t="str">
        <f t="shared" si="81"/>
        <v>11/19/2017 13:00-&gt;Sinai - Newcomb</v>
      </c>
      <c r="BI135" s="148" t="str">
        <f t="shared" si="82"/>
        <v>Newcomb in Sinai - Newcomb (COL1-MEX)</v>
      </c>
      <c r="BJ135" s="148" t="str">
        <f t="shared" si="83"/>
        <v>Ch B Coed Newcomb-- CHILD B - COL 1 vs. CHILD B - MEX</v>
      </c>
      <c r="BK135" s="148" t="str">
        <f t="shared" si="84"/>
        <v>Newcomb</v>
      </c>
      <c r="BL135" s="148" t="str">
        <f t="shared" si="85"/>
        <v>CHILD B - COL 1</v>
      </c>
      <c r="BM135" s="148" t="str">
        <f t="shared" si="86"/>
        <v>CHILD B - MEX</v>
      </c>
      <c r="BN135" s="148" t="str">
        <f t="shared" si="87"/>
        <v>Round - 1</v>
      </c>
      <c r="BP135" s="148" t="str">
        <f t="shared" si="88"/>
        <v>no t, f, or sf</v>
      </c>
      <c r="BQ135" s="148" t="str">
        <f t="shared" si="89"/>
        <v/>
      </c>
    </row>
    <row r="136" spans="1:69" ht="15" customHeight="1" x14ac:dyDescent="0.2">
      <c r="A136" s="376">
        <v>134</v>
      </c>
      <c r="B136" s="444" t="s">
        <v>36</v>
      </c>
      <c r="C136" s="315" t="s">
        <v>518</v>
      </c>
      <c r="D136" s="378">
        <v>1</v>
      </c>
      <c r="E136" s="378">
        <v>1</v>
      </c>
      <c r="F136" s="315" t="s">
        <v>770</v>
      </c>
      <c r="G136" s="445">
        <v>43058</v>
      </c>
      <c r="H136" s="317">
        <v>0.57638888888888895</v>
      </c>
      <c r="I136" s="325" t="s">
        <v>770</v>
      </c>
      <c r="J136" s="444" t="s">
        <v>686</v>
      </c>
      <c r="K136" s="444">
        <v>24</v>
      </c>
      <c r="L136" s="433" t="s">
        <v>559</v>
      </c>
      <c r="M136" s="433">
        <v>24</v>
      </c>
      <c r="N136" s="433" t="s">
        <v>560</v>
      </c>
      <c r="O136" s="153" t="str">
        <f>IF(L136&lt;&gt;"",IFERROR(VLOOKUP(B136&amp;L136,Pools!$A$2:$D$130,3,FALSE),""),"")</f>
        <v>Pool A</v>
      </c>
      <c r="P136" s="388">
        <v>1</v>
      </c>
      <c r="Q136" s="388">
        <v>2</v>
      </c>
      <c r="R136" s="306" t="str">
        <f t="shared" si="45"/>
        <v>1-2</v>
      </c>
      <c r="S136" s="153"/>
      <c r="T136" s="148" t="str">
        <f t="shared" si="46"/>
        <v>Completed</v>
      </c>
      <c r="U136" s="153"/>
      <c r="V136" s="153"/>
      <c r="W136" s="387">
        <f t="shared" si="47"/>
        <v>-1</v>
      </c>
      <c r="X136" s="387">
        <f t="shared" si="48"/>
        <v>1</v>
      </c>
      <c r="Y136" s="301">
        <f t="shared" si="49"/>
        <v>0</v>
      </c>
      <c r="Z136" s="301">
        <f t="shared" si="50"/>
        <v>2</v>
      </c>
      <c r="AA136" s="323" t="str">
        <f>CONCATENATE("                x[team1,team2,sport,'",IF(OR(I136="x",I136=""),VLOOKUP('Schedule from TM'!J136,Tables!$P$3:$Q$33,2,FALSE),'Schedule from TM'!I136),",",J136,"','",IF(OR(F136="x",F136=""),VLOOKUP('Schedule from TM'!G136,Tables!$U$3:$V$14,2,FALSE),'Schedule from TM'!F136),",",TEXT(G136,"mm/dd/yyyy"),"','",TEXT(H136,"h:mm:ss AM/PM"),"'].ub=0.0      #",B136)</f>
        <v xml:space="preserve">                x[team1,team2,sport,'32,Sinai - Newcomb','11,11/19/2017','1:50:00 PM'].ub=0.0      #Ch B Coed Newcomb</v>
      </c>
      <c r="AB136" s="301" t="str">
        <f t="shared" si="51"/>
        <v>,,Ch B Coed Newcomb,Pool A,1,CHILD B - USA 2</v>
      </c>
      <c r="AC136" s="153" t="str">
        <f t="shared" si="52"/>
        <v>Ch B Coed NewcombPool ACHILD B - USA 2</v>
      </c>
      <c r="AD136" s="301" t="str">
        <f t="shared" si="53"/>
        <v>,,Ch B Coed Newcomb,Pool A,1,CHILD B - VEN 1</v>
      </c>
      <c r="AE136" s="153" t="str">
        <f t="shared" si="54"/>
        <v>Ch B Coed NewcombPool ACHILD B - VEN 1</v>
      </c>
      <c r="AF136" s="383">
        <f t="shared" si="55"/>
        <v>0</v>
      </c>
      <c r="AG136" s="383">
        <f t="shared" si="56"/>
        <v>1</v>
      </c>
      <c r="AH136" s="383">
        <f t="shared" si="57"/>
        <v>0</v>
      </c>
      <c r="AI136" s="383">
        <f t="shared" si="58"/>
        <v>1</v>
      </c>
      <c r="AJ136" s="383">
        <f t="shared" si="59"/>
        <v>0</v>
      </c>
      <c r="AK136" s="383">
        <f t="shared" si="60"/>
        <v>0</v>
      </c>
      <c r="AM136" s="148" t="str">
        <f t="shared" si="61"/>
        <v>Schedulled</v>
      </c>
      <c r="AN136" s="148" t="str">
        <f t="shared" si="62"/>
        <v/>
      </c>
      <c r="AO136" s="156">
        <f t="shared" si="63"/>
        <v>43058.576388888891</v>
      </c>
      <c r="AP136" s="148" t="str">
        <f t="shared" si="64"/>
        <v>11/19/2017 13:50-&gt;Sinai - Newcomb</v>
      </c>
      <c r="AQ136" s="374">
        <f t="shared" si="65"/>
        <v>1</v>
      </c>
      <c r="AR136" s="148" t="str">
        <f t="shared" si="66"/>
        <v>USA2</v>
      </c>
      <c r="AS136" s="148" t="str">
        <f t="shared" si="67"/>
        <v>VEN1</v>
      </c>
      <c r="AT136" s="157" t="str">
        <f t="shared" si="68"/>
        <v>USA2-VEN1</v>
      </c>
      <c r="AU136" s="157" t="str">
        <f t="shared" si="69"/>
        <v xml:space="preserve">USA2-VEN1 </v>
      </c>
      <c r="AV136" s="157" t="str">
        <f t="shared" si="70"/>
        <v>CHILDREN B COED</v>
      </c>
      <c r="AW136" s="157" t="str">
        <f t="shared" si="71"/>
        <v>Newcomb</v>
      </c>
      <c r="AX136" s="376">
        <f t="shared" si="72"/>
        <v>134</v>
      </c>
      <c r="AY136" s="148" t="str">
        <f t="shared" si="73"/>
        <v>CHILD B - USA 2-&gt;CHILD B - VEN 1</v>
      </c>
      <c r="AZ136" s="148" t="str">
        <f t="shared" si="74"/>
        <v>11/19/2017 13:50-&gt;CHILD B - USA 2</v>
      </c>
      <c r="BA136" s="148" t="str">
        <f t="shared" si="75"/>
        <v>11/19/2017 13:50-&gt;CHILD B - VEN 1</v>
      </c>
      <c r="BB136" s="374">
        <f t="shared" si="76"/>
        <v>1</v>
      </c>
      <c r="BC136" s="374">
        <f t="shared" si="77"/>
        <v>1</v>
      </c>
      <c r="BD136" s="148" t="str">
        <f t="shared" si="78"/>
        <v>no conflict</v>
      </c>
      <c r="BF136" s="148" t="str">
        <f t="shared" si="79"/>
        <v>11/19/2017 13:50-&gt;CHILD B - USA 2</v>
      </c>
      <c r="BG136" s="148" t="str">
        <f t="shared" si="80"/>
        <v>11/19/2017 13:50-&gt;CHILD B - VEN 1</v>
      </c>
      <c r="BH136" s="148" t="str">
        <f t="shared" si="81"/>
        <v>11/19/2017 13:50-&gt;Sinai - Newcomb</v>
      </c>
      <c r="BI136" s="148" t="str">
        <f t="shared" si="82"/>
        <v>Newcomb in Sinai - Newcomb (USA2-VEN1)</v>
      </c>
      <c r="BJ136" s="148" t="str">
        <f t="shared" si="83"/>
        <v>Ch B Coed Newcomb-- CHILD B - USA 2 vs. CHILD B - VEN 1</v>
      </c>
      <c r="BK136" s="148" t="str">
        <f t="shared" si="84"/>
        <v>Newcomb</v>
      </c>
      <c r="BL136" s="148" t="str">
        <f t="shared" si="85"/>
        <v>CHILD B - USA 2</v>
      </c>
      <c r="BM136" s="148" t="str">
        <f t="shared" si="86"/>
        <v>CHILD B - VEN 1</v>
      </c>
      <c r="BN136" s="148" t="str">
        <f t="shared" si="87"/>
        <v>Round - 1</v>
      </c>
      <c r="BP136" s="148" t="str">
        <f t="shared" si="88"/>
        <v>no t, f, or sf</v>
      </c>
      <c r="BQ136" s="148" t="str">
        <f t="shared" si="89"/>
        <v/>
      </c>
    </row>
    <row r="137" spans="1:69" ht="15" customHeight="1" x14ac:dyDescent="0.2">
      <c r="A137" s="376">
        <v>135</v>
      </c>
      <c r="B137" s="444" t="s">
        <v>36</v>
      </c>
      <c r="C137" s="315" t="s">
        <v>518</v>
      </c>
      <c r="D137" s="378">
        <v>1</v>
      </c>
      <c r="E137" s="378">
        <v>1</v>
      </c>
      <c r="F137" s="315" t="s">
        <v>770</v>
      </c>
      <c r="G137" s="316">
        <v>43062</v>
      </c>
      <c r="H137" s="317">
        <v>0.47222222222222227</v>
      </c>
      <c r="I137" s="325" t="s">
        <v>770</v>
      </c>
      <c r="J137" s="443" t="s">
        <v>686</v>
      </c>
      <c r="K137" s="444">
        <v>24</v>
      </c>
      <c r="L137" s="433" t="s">
        <v>557</v>
      </c>
      <c r="M137" s="433">
        <v>24</v>
      </c>
      <c r="N137" s="433" t="s">
        <v>560</v>
      </c>
      <c r="O137" s="153" t="str">
        <f>IF(L137&lt;&gt;"",IFERROR(VLOOKUP(B137&amp;L137,Pools!$A$2:$D$130,3,FALSE),""),"")</f>
        <v>Pool A</v>
      </c>
      <c r="P137" s="388">
        <v>2</v>
      </c>
      <c r="Q137" s="388">
        <v>1</v>
      </c>
      <c r="R137" s="306" t="str">
        <f t="shared" si="45"/>
        <v>2-1</v>
      </c>
      <c r="S137" s="153"/>
      <c r="T137" s="148" t="str">
        <f t="shared" si="46"/>
        <v>Completed</v>
      </c>
      <c r="U137" s="153"/>
      <c r="V137" s="153"/>
      <c r="W137" s="387">
        <f t="shared" si="47"/>
        <v>1</v>
      </c>
      <c r="X137" s="387">
        <f t="shared" si="48"/>
        <v>-1</v>
      </c>
      <c r="Y137" s="301">
        <f t="shared" si="49"/>
        <v>2</v>
      </c>
      <c r="Z137" s="301">
        <f t="shared" si="50"/>
        <v>0</v>
      </c>
      <c r="AA137" s="323" t="str">
        <f>CONCATENATE("                x[team1,team2,sport,'",IF(OR(I137="x",I137=""),VLOOKUP('Schedule from TM'!J137,Tables!$P$3:$Q$33,2,FALSE),'Schedule from TM'!I137),",",J137,"','",IF(OR(F137="x",F137=""),VLOOKUP('Schedule from TM'!G137,Tables!$U$3:$V$14,2,FALSE),'Schedule from TM'!F137),",",TEXT(G137,"mm/dd/yyyy"),"','",TEXT(H137,"h:mm:ss AM/PM"),"'].ub=0.0      #",B137)</f>
        <v xml:space="preserve">                x[team1,team2,sport,'32,Sinai - Newcomb','11,11/23/2017','11:20:00 AM'].ub=0.0      #Ch B Coed Newcomb</v>
      </c>
      <c r="AB137" s="301" t="str">
        <f t="shared" si="51"/>
        <v>,,Ch B Coed Newcomb,Pool A,1,CHILD B - MEX</v>
      </c>
      <c r="AC137" s="153" t="str">
        <f t="shared" si="52"/>
        <v>Ch B Coed NewcombPool ACHILD B - MEX</v>
      </c>
      <c r="AD137" s="301" t="str">
        <f t="shared" si="53"/>
        <v>,,Ch B Coed Newcomb,Pool A,1,CHILD B - VEN 1</v>
      </c>
      <c r="AE137" s="153" t="str">
        <f t="shared" si="54"/>
        <v>Ch B Coed NewcombPool ACHILD B - VEN 1</v>
      </c>
      <c r="AF137" s="383">
        <f t="shared" si="55"/>
        <v>1</v>
      </c>
      <c r="AG137" s="383">
        <f t="shared" si="56"/>
        <v>0</v>
      </c>
      <c r="AH137" s="383">
        <f t="shared" si="57"/>
        <v>0</v>
      </c>
      <c r="AI137" s="383">
        <f t="shared" si="58"/>
        <v>0</v>
      </c>
      <c r="AJ137" s="383">
        <f t="shared" si="59"/>
        <v>1</v>
      </c>
      <c r="AK137" s="383">
        <f t="shared" si="60"/>
        <v>0</v>
      </c>
      <c r="AM137" s="148" t="str">
        <f t="shared" si="61"/>
        <v>Schedulled</v>
      </c>
      <c r="AN137" s="148" t="str">
        <f t="shared" si="62"/>
        <v/>
      </c>
      <c r="AO137" s="156">
        <f t="shared" si="63"/>
        <v>43062.472222222219</v>
      </c>
      <c r="AP137" s="148" t="str">
        <f t="shared" si="64"/>
        <v>11/23/2017 11:20-&gt;Sinai - Newcomb</v>
      </c>
      <c r="AQ137" s="374">
        <f t="shared" si="65"/>
        <v>1</v>
      </c>
      <c r="AR137" s="148" t="str">
        <f t="shared" si="66"/>
        <v>MEX</v>
      </c>
      <c r="AS137" s="148" t="str">
        <f t="shared" si="67"/>
        <v>VEN1</v>
      </c>
      <c r="AT137" s="157" t="str">
        <f t="shared" si="68"/>
        <v>MEX-VEN1</v>
      </c>
      <c r="AU137" s="157" t="str">
        <f t="shared" si="69"/>
        <v xml:space="preserve">MEX-VEN1 </v>
      </c>
      <c r="AV137" s="157" t="str">
        <f t="shared" si="70"/>
        <v>CHILDREN B COED</v>
      </c>
      <c r="AW137" s="157" t="str">
        <f t="shared" si="71"/>
        <v>Newcomb</v>
      </c>
      <c r="AX137" s="376">
        <f t="shared" si="72"/>
        <v>135</v>
      </c>
      <c r="AY137" s="148" t="str">
        <f t="shared" si="73"/>
        <v>CHILD B - MEX-&gt;CHILD B - VEN 1</v>
      </c>
      <c r="AZ137" s="148" t="str">
        <f t="shared" si="74"/>
        <v>11/23/2017 11:20-&gt;CHILD B - MEX</v>
      </c>
      <c r="BA137" s="148" t="str">
        <f t="shared" si="75"/>
        <v>11/23/2017 11:20-&gt;CHILD B - VEN 1</v>
      </c>
      <c r="BB137" s="374">
        <f t="shared" si="76"/>
        <v>1</v>
      </c>
      <c r="BC137" s="374">
        <f t="shared" si="77"/>
        <v>1</v>
      </c>
      <c r="BD137" s="148" t="str">
        <f t="shared" si="78"/>
        <v>no conflict</v>
      </c>
      <c r="BF137" s="148" t="str">
        <f t="shared" si="79"/>
        <v>11/23/2017 11:20-&gt;CHILD B - MEX</v>
      </c>
      <c r="BG137" s="148" t="str">
        <f t="shared" si="80"/>
        <v>11/23/2017 11:20-&gt;CHILD B - VEN 1</v>
      </c>
      <c r="BH137" s="148" t="str">
        <f t="shared" si="81"/>
        <v>11/23/2017 11:20-&gt;Sinai - Newcomb</v>
      </c>
      <c r="BI137" s="148" t="str">
        <f t="shared" si="82"/>
        <v>Newcomb in Sinai - Newcomb (MEX-VEN1)</v>
      </c>
      <c r="BJ137" s="148" t="str">
        <f t="shared" si="83"/>
        <v>Ch B Coed Newcomb-- CHILD B - MEX vs. CHILD B - VEN 1</v>
      </c>
      <c r="BK137" s="148" t="str">
        <f t="shared" si="84"/>
        <v>Newcomb</v>
      </c>
      <c r="BL137" s="148" t="str">
        <f t="shared" si="85"/>
        <v>CHILD B - MEX</v>
      </c>
      <c r="BM137" s="148" t="str">
        <f t="shared" si="86"/>
        <v>CHILD B - VEN 1</v>
      </c>
      <c r="BN137" s="148" t="str">
        <f t="shared" si="87"/>
        <v>Round - 1</v>
      </c>
      <c r="BP137" s="148" t="str">
        <f t="shared" si="88"/>
        <v>no t, f, or sf</v>
      </c>
      <c r="BQ137" s="148" t="str">
        <f t="shared" si="89"/>
        <v/>
      </c>
    </row>
    <row r="138" spans="1:69" ht="15" customHeight="1" x14ac:dyDescent="0.2">
      <c r="A138" s="376">
        <v>136</v>
      </c>
      <c r="B138" s="441" t="s">
        <v>36</v>
      </c>
      <c r="C138" s="441" t="s">
        <v>518</v>
      </c>
      <c r="D138" s="450">
        <v>1</v>
      </c>
      <c r="E138" s="450">
        <v>1</v>
      </c>
      <c r="F138" s="315" t="s">
        <v>770</v>
      </c>
      <c r="G138" s="320">
        <v>43062</v>
      </c>
      <c r="H138" s="317">
        <v>0.54166666666666663</v>
      </c>
      <c r="I138" s="325" t="s">
        <v>770</v>
      </c>
      <c r="J138" s="441" t="s">
        <v>686</v>
      </c>
      <c r="K138" s="319">
        <v>24</v>
      </c>
      <c r="L138" s="433" t="s">
        <v>554</v>
      </c>
      <c r="M138" s="433">
        <v>24</v>
      </c>
      <c r="N138" s="433" t="s">
        <v>559</v>
      </c>
      <c r="O138" s="153" t="str">
        <f>IF(L138&lt;&gt;"",IFERROR(VLOOKUP(B138&amp;L138,Pools!$A$2:$D$130,3,FALSE),""),"")</f>
        <v>Pool A</v>
      </c>
      <c r="P138" s="388">
        <v>0</v>
      </c>
      <c r="Q138" s="388">
        <v>2</v>
      </c>
      <c r="R138" s="306" t="str">
        <f t="shared" si="45"/>
        <v>0-2</v>
      </c>
      <c r="S138" s="153"/>
      <c r="T138" s="148" t="str">
        <f t="shared" si="46"/>
        <v>Completed</v>
      </c>
      <c r="U138" s="153"/>
      <c r="V138" s="153"/>
      <c r="W138" s="387">
        <f t="shared" si="47"/>
        <v>-2</v>
      </c>
      <c r="X138" s="387">
        <f t="shared" si="48"/>
        <v>2</v>
      </c>
      <c r="Y138" s="301">
        <f t="shared" si="49"/>
        <v>0</v>
      </c>
      <c r="Z138" s="301">
        <f t="shared" si="50"/>
        <v>2</v>
      </c>
      <c r="AA138" s="323" t="str">
        <f>CONCATENATE("                x[team1,team2,sport,'",IF(OR(I138="x",I138=""),VLOOKUP('Schedule from TM'!J138,Tables!$P$3:$Q$33,2,FALSE),'Schedule from TM'!I138),",",J138,"','",IF(OR(F138="x",F138=""),VLOOKUP('Schedule from TM'!G138,Tables!$U$3:$V$14,2,FALSE),'Schedule from TM'!F138),",",TEXT(G138,"mm/dd/yyyy"),"','",TEXT(H138,"h:mm:ss AM/PM"),"'].ub=0.0      #",B138)</f>
        <v xml:space="preserve">                x[team1,team2,sport,'32,Sinai - Newcomb','11,11/23/2017','1:00:00 PM'].ub=0.0      #Ch B Coed Newcomb</v>
      </c>
      <c r="AB138" s="301" t="str">
        <f t="shared" si="51"/>
        <v>,,Ch B Coed Newcomb,Pool A,1,CHILD B - COL 1</v>
      </c>
      <c r="AC138" s="153" t="str">
        <f t="shared" si="52"/>
        <v>Ch B Coed NewcombPool ACHILD B - COL 1</v>
      </c>
      <c r="AD138" s="301" t="str">
        <f t="shared" si="53"/>
        <v>,,Ch B Coed Newcomb,Pool A,1,CHILD B - USA 2</v>
      </c>
      <c r="AE138" s="153" t="str">
        <f t="shared" si="54"/>
        <v>Ch B Coed NewcombPool ACHILD B - USA 2</v>
      </c>
      <c r="AF138" s="383">
        <f t="shared" si="55"/>
        <v>0</v>
      </c>
      <c r="AG138" s="383">
        <f t="shared" si="56"/>
        <v>1</v>
      </c>
      <c r="AH138" s="383">
        <f t="shared" si="57"/>
        <v>0</v>
      </c>
      <c r="AI138" s="383">
        <f t="shared" si="58"/>
        <v>1</v>
      </c>
      <c r="AJ138" s="383">
        <f t="shared" si="59"/>
        <v>0</v>
      </c>
      <c r="AK138" s="383">
        <f t="shared" si="60"/>
        <v>0</v>
      </c>
      <c r="AM138" s="148" t="str">
        <f t="shared" si="61"/>
        <v>Schedulled</v>
      </c>
      <c r="AN138" s="148" t="str">
        <f t="shared" si="62"/>
        <v/>
      </c>
      <c r="AO138" s="156">
        <f t="shared" si="63"/>
        <v>43062.541666666664</v>
      </c>
      <c r="AP138" s="148" t="str">
        <f t="shared" si="64"/>
        <v>11/23/2017 13:00-&gt;Sinai - Newcomb</v>
      </c>
      <c r="AQ138" s="374">
        <f t="shared" si="65"/>
        <v>1</v>
      </c>
      <c r="AR138" s="148" t="str">
        <f t="shared" si="66"/>
        <v>COL1</v>
      </c>
      <c r="AS138" s="148" t="str">
        <f t="shared" si="67"/>
        <v>USA2</v>
      </c>
      <c r="AT138" s="157" t="str">
        <f t="shared" si="68"/>
        <v>COL1-USA2</v>
      </c>
      <c r="AU138" s="157" t="str">
        <f t="shared" si="69"/>
        <v xml:space="preserve">COL1-USA2 </v>
      </c>
      <c r="AV138" s="157" t="str">
        <f t="shared" si="70"/>
        <v>CHILDREN B COED</v>
      </c>
      <c r="AW138" s="157" t="str">
        <f t="shared" si="71"/>
        <v>Newcomb</v>
      </c>
      <c r="AX138" s="376">
        <f t="shared" si="72"/>
        <v>136</v>
      </c>
      <c r="AY138" s="148" t="str">
        <f t="shared" si="73"/>
        <v>CHILD B - COL 1-&gt;CHILD B - USA 2</v>
      </c>
      <c r="AZ138" s="148" t="str">
        <f t="shared" si="74"/>
        <v>11/23/2017 13:00-&gt;CHILD B - COL 1</v>
      </c>
      <c r="BA138" s="148" t="str">
        <f t="shared" si="75"/>
        <v>11/23/2017 13:00-&gt;CHILD B - USA 2</v>
      </c>
      <c r="BB138" s="374">
        <f t="shared" si="76"/>
        <v>1</v>
      </c>
      <c r="BC138" s="374">
        <f t="shared" si="77"/>
        <v>1</v>
      </c>
      <c r="BD138" s="148" t="str">
        <f t="shared" si="78"/>
        <v>no conflict</v>
      </c>
      <c r="BF138" s="148" t="str">
        <f t="shared" si="79"/>
        <v>11/23/2017 13:00-&gt;CHILD B - COL 1</v>
      </c>
      <c r="BG138" s="148" t="str">
        <f t="shared" si="80"/>
        <v>11/23/2017 13:00-&gt;CHILD B - USA 2</v>
      </c>
      <c r="BH138" s="148" t="str">
        <f t="shared" si="81"/>
        <v>11/23/2017 13:00-&gt;Sinai - Newcomb</v>
      </c>
      <c r="BI138" s="148" t="str">
        <f t="shared" si="82"/>
        <v>Newcomb in Sinai - Newcomb (COL1-USA2)</v>
      </c>
      <c r="BJ138" s="148" t="str">
        <f t="shared" si="83"/>
        <v>Ch B Coed Newcomb-- CHILD B - COL 1 vs. CHILD B - USA 2</v>
      </c>
      <c r="BK138" s="148" t="str">
        <f t="shared" si="84"/>
        <v>Newcomb</v>
      </c>
      <c r="BL138" s="148" t="str">
        <f t="shared" si="85"/>
        <v>CHILD B - COL 1</v>
      </c>
      <c r="BM138" s="148" t="str">
        <f t="shared" si="86"/>
        <v>CHILD B - USA 2</v>
      </c>
      <c r="BN138" s="148" t="str">
        <f t="shared" si="87"/>
        <v>Round - 1</v>
      </c>
      <c r="BP138" s="148" t="str">
        <f t="shared" si="88"/>
        <v>no t, f, or sf</v>
      </c>
      <c r="BQ138" s="148" t="str">
        <f t="shared" si="89"/>
        <v/>
      </c>
    </row>
    <row r="139" spans="1:69" ht="15" customHeight="1" x14ac:dyDescent="0.2">
      <c r="A139" s="376">
        <v>137</v>
      </c>
      <c r="B139" s="441" t="s">
        <v>36</v>
      </c>
      <c r="C139" s="441" t="s">
        <v>518</v>
      </c>
      <c r="D139" s="450">
        <v>1</v>
      </c>
      <c r="E139" s="450">
        <v>1</v>
      </c>
      <c r="F139" s="315" t="s">
        <v>770</v>
      </c>
      <c r="G139" s="320">
        <v>43062</v>
      </c>
      <c r="H139" s="317">
        <v>0.57638888888888895</v>
      </c>
      <c r="I139" s="325" t="s">
        <v>770</v>
      </c>
      <c r="J139" s="441" t="s">
        <v>686</v>
      </c>
      <c r="K139" s="441">
        <v>24</v>
      </c>
      <c r="L139" t="s">
        <v>552</v>
      </c>
      <c r="M139">
        <v>24</v>
      </c>
      <c r="N139" t="s">
        <v>558</v>
      </c>
      <c r="O139" s="153" t="str">
        <f>IF(L139&lt;&gt;"",IFERROR(VLOOKUP(B139&amp;L139,Pools!$A$2:$D$130,3,FALSE),""),"")</f>
        <v>Pool B</v>
      </c>
      <c r="P139" s="388">
        <v>2</v>
      </c>
      <c r="Q139" s="388">
        <v>1</v>
      </c>
      <c r="R139" s="306" t="str">
        <f t="shared" ref="R139:R202" si="90">P139&amp;"-"&amp;Q139</f>
        <v>2-1</v>
      </c>
      <c r="S139" s="153"/>
      <c r="T139" s="148" t="str">
        <f t="shared" ref="T139:T202" si="91">IF(AND(P139&lt;&gt;"",Q139&lt;&gt;""),"Completed","Pending")</f>
        <v>Completed</v>
      </c>
      <c r="U139" s="153"/>
      <c r="V139" s="153"/>
      <c r="W139" s="387">
        <f t="shared" ref="W139:W202" si="92">IF(AW139="Basketball",(IF(P139-Q139&gt;15,15,IF(P139-Q139&lt;-15,-15,(P139-Q139)))),IF(AW139="Soccer",(IF(P139-Q139&gt;3,3,IF(P139-Q139&lt;-3,-3,(P139-Q139)))),IF(AW139="Kickball",(IF(P139-Q139&gt;5,5,IF(P139-Q139&lt;-5,-5,(P139-Q139)))),IF(AW139="Flag Football",(IF(P139-Q139&gt;21,21,IF(P139-Q139&lt;-21,-21,(P139-Q139)))),P139-Q139))))</f>
        <v>1</v>
      </c>
      <c r="X139" s="387">
        <f t="shared" ref="X139:X202" si="93">IF(AW139="Basketball",(IF(Q139-P139&gt;15,15,IF(Q139-P139&lt;-15,-15,(Q139-P139)))),IF(AW139="Soccer",(IF(Q139-P139&gt;3,3,IF(Q139-P139&lt;-3,-3,(Q139-P139)))),IF(AW139="Kickball",(IF(Q139-P139&gt;5,5,IF(Q139-P139&lt;-5,-5,(Q139-P139)))),IF(AW139="Flag Football",(IF(Q139-P139&gt;21,21,IF(Q139-P139&lt;-21,-21,(Q139-P139)))),Q139-P139))))</f>
        <v>-1</v>
      </c>
      <c r="Y139" s="301">
        <f t="shared" ref="Y139:Y202" si="94">IF(T139="Completed",(IF(P139&gt;Q139,2,IF(P139=Q139,1,IF(P139&lt;Q139,0)))),"X")</f>
        <v>2</v>
      </c>
      <c r="Z139" s="301">
        <f t="shared" ref="Z139:Z202" si="95">IF(T139="Completed",(IF(Q139&gt;P139,2,IF(Q139=P139,1,IF(Q139&lt;P139,0)))),"X")</f>
        <v>0</v>
      </c>
      <c r="AA139" s="323" t="str">
        <f>CONCATENATE("                x[team1,team2,sport,'",IF(OR(I139="x",I139=""),VLOOKUP('Schedule from TM'!J139,Tables!$P$3:$Q$33,2,FALSE),'Schedule from TM'!I139),",",J139,"','",IF(OR(F139="x",F139=""),VLOOKUP('Schedule from TM'!G139,Tables!$U$3:$V$14,2,FALSE),'Schedule from TM'!F139),",",TEXT(G139,"mm/dd/yyyy"),"','",TEXT(H139,"h:mm:ss AM/PM"),"'].ub=0.0      #",B139)</f>
        <v xml:space="preserve">                x[team1,team2,sport,'32,Sinai - Newcomb','11,11/23/2017','1:50:00 PM'].ub=0.0      #Ch B Coed Newcomb</v>
      </c>
      <c r="AB139" s="301" t="str">
        <f t="shared" ref="AB139:AB202" si="96">",,"&amp;B139&amp;","&amp;O139&amp;",1,"&amp;L139</f>
        <v>,,Ch B Coed Newcomb,Pool B,1,CHILD B - ARG 1</v>
      </c>
      <c r="AC139" s="153" t="str">
        <f t="shared" ref="AC139:AC202" si="97">B139&amp;O139&amp;L139</f>
        <v>Ch B Coed NewcombPool BCHILD B - ARG 1</v>
      </c>
      <c r="AD139" s="301" t="str">
        <f t="shared" ref="AD139:AD202" si="98">",,"&amp;B139&amp;","&amp;O139&amp;",1,"&amp;N139</f>
        <v>,,Ch B Coed Newcomb,Pool B,1,CHILD B - USA 1</v>
      </c>
      <c r="AE139" s="153" t="str">
        <f t="shared" ref="AE139:AE202" si="99">B139&amp;O139&amp;N139</f>
        <v>Ch B Coed NewcombPool BCHILD B - USA 1</v>
      </c>
      <c r="AF139" s="383">
        <f t="shared" ref="AF139:AF202" si="100">IF(Y139=2,1,0)</f>
        <v>1</v>
      </c>
      <c r="AG139" s="383">
        <f t="shared" ref="AG139:AG202" si="101">IF(Y139=0,1,0)</f>
        <v>0</v>
      </c>
      <c r="AH139" s="383">
        <f t="shared" ref="AH139:AH202" si="102">IF(Y139=1,1,0)</f>
        <v>0</v>
      </c>
      <c r="AI139" s="383">
        <f t="shared" ref="AI139:AI202" si="103">IF(Z139=2,1,0)</f>
        <v>0</v>
      </c>
      <c r="AJ139" s="383">
        <f t="shared" ref="AJ139:AJ202" si="104">IF(Z139=0,1,0)</f>
        <v>1</v>
      </c>
      <c r="AK139" s="383">
        <f t="shared" ref="AK139:AK202" si="105">IF(Z139=1,1,0)</f>
        <v>0</v>
      </c>
      <c r="AM139" s="148" t="str">
        <f t="shared" ref="AM139:AM202" si="106">IF(G139&amp;H139&amp;J139&lt;&gt;"","Schedulled","Not Schedulled")</f>
        <v>Schedulled</v>
      </c>
      <c r="AN139" s="148" t="str">
        <f t="shared" ref="AN139:AN202" si="107">IF(AND(AM139="schedulled",L139&amp;N139=""),"Schedulled no team","")</f>
        <v/>
      </c>
      <c r="AO139" s="156">
        <f t="shared" ref="AO139:AO202" si="108">G139+H139</f>
        <v>43062.576388888891</v>
      </c>
      <c r="AP139" s="148" t="str">
        <f t="shared" ref="AP139:AP202" si="109">TEXT(AO139,"MM/DD/YYYY HH:MM")&amp;"-&gt;"&amp;J139</f>
        <v>11/23/2017 13:50-&gt;Sinai - Newcomb</v>
      </c>
      <c r="AQ139" s="374">
        <f t="shared" ref="AQ139:AQ202" si="110">IF(AM139="not schedulled", 0,COUNTIF($AP$11:$AP$1051,AP139))</f>
        <v>1</v>
      </c>
      <c r="AR139" s="148" t="str">
        <f t="shared" ref="AR139:AR202" si="111">IFERROR(VLOOKUP(L139,teams_table,3,FALSE),"")</f>
        <v>ARG1</v>
      </c>
      <c r="AS139" s="148" t="str">
        <f t="shared" ref="AS139:AS202" si="112">IFERROR(VLOOKUP(N139,teams_table,3,FALSE),"")</f>
        <v>USA1</v>
      </c>
      <c r="AT139" s="157" t="str">
        <f t="shared" ref="AT139:AT202" si="113">IF(AR139&amp;AS139&lt;&gt;"",AR139&amp;"-"&amp;AS139,"")</f>
        <v>ARG1-USA1</v>
      </c>
      <c r="AU139" s="157" t="str">
        <f t="shared" ref="AU139:AU202" si="114">IF(AT139="","",AT139&amp;" ")&amp;IF(C139="final",AW139&amp;" Final","")&amp;IF(C139="semi-final",AW139&amp;" Semi-Final","")&amp;IF(C139="Tournament",AW139&amp;" Tournament","")</f>
        <v xml:space="preserve">ARG1-USA1 </v>
      </c>
      <c r="AV139" s="157" t="str">
        <f t="shared" ref="AV139:AV202" si="115">IFERROR(VLOOKUP(B139,events_table,2,FALSE),"")</f>
        <v>CHILDREN B COED</v>
      </c>
      <c r="AW139" s="157" t="str">
        <f t="shared" ref="AW139:AW202" si="116">IFERROR(VLOOKUP(B139,events_table,3,0),"")</f>
        <v>Newcomb</v>
      </c>
      <c r="AX139" s="376">
        <f t="shared" ref="AX139:AX202" si="117">A139</f>
        <v>137</v>
      </c>
      <c r="AY139" s="148" t="str">
        <f t="shared" ref="AY139:AY202" si="118">L139&amp;"-&gt;"&amp;N139</f>
        <v>CHILD B - ARG 1-&gt;CHILD B - USA 1</v>
      </c>
      <c r="AZ139" s="148" t="str">
        <f t="shared" ref="AZ139:AZ202" si="119">TEXT(AO139,"MM/DD/YYYY HH:MM")&amp;"-&gt;"&amp;L139</f>
        <v>11/23/2017 13:50-&gt;CHILD B - ARG 1</v>
      </c>
      <c r="BA139" s="148" t="str">
        <f t="shared" ref="BA139:BA202" si="120">TEXT(AO139,"MM/DD/YYYY HH:MM")&amp;"-&gt;"&amp;N139</f>
        <v>11/23/2017 13:50-&gt;CHILD B - USA 1</v>
      </c>
      <c r="BB139" s="374">
        <f t="shared" ref="BB139:BB202" si="121">IF(OR(AM139="not schedulled",AN139="schedulled no team"),0,COUNTIF($AZ$11:$BA$1051,AZ139))</f>
        <v>1</v>
      </c>
      <c r="BC139" s="374">
        <f t="shared" ref="BC139:BC202" si="122">IF(OR(AM139="not schedulled",AN139="schedulled no team"),0,COUNTIF($AZ$11:$BA$1051,BA139))</f>
        <v>1</v>
      </c>
      <c r="BD139" s="148" t="str">
        <f t="shared" ref="BD139:BD202" si="123">IF(OR(BB139&gt;1,BC139&gt;1),"conflict","no conflict")</f>
        <v>no conflict</v>
      </c>
      <c r="BF139" s="148" t="str">
        <f t="shared" ref="BF139:BF202" si="124">TEXT(AO139,"MM/DD/YYYY HH:MM")&amp;"-&gt;"&amp;L139</f>
        <v>11/23/2017 13:50-&gt;CHILD B - ARG 1</v>
      </c>
      <c r="BG139" s="148" t="str">
        <f t="shared" ref="BG139:BG202" si="125">TEXT(AO139,"MM/DD/YYYY HH:MM")&amp;"-&gt;"&amp;N139</f>
        <v>11/23/2017 13:50-&gt;CHILD B - USA 1</v>
      </c>
      <c r="BH139" s="148" t="str">
        <f t="shared" ref="BH139:BH202" si="126">TEXT(AO139,"MM/DD/YYYY HH:MM")&amp;"-&gt;"&amp;J139</f>
        <v>11/23/2017 13:50-&gt;Sinai - Newcomb</v>
      </c>
      <c r="BI139" s="148" t="str">
        <f t="shared" ref="BI139:BI202" si="127">AW139&amp; " in "&amp;J139 &amp;" ("&amp;AT139&amp;")"</f>
        <v>Newcomb in Sinai - Newcomb (ARG1-USA1)</v>
      </c>
      <c r="BJ139" s="148" t="str">
        <f t="shared" ref="BJ139:BJ202" si="128">B139 &amp;"-- " &amp;L139&amp;" vs. "&amp;N139</f>
        <v>Ch B Coed Newcomb-- CHILD B - ARG 1 vs. CHILD B - USA 1</v>
      </c>
      <c r="BK139" s="148" t="str">
        <f t="shared" ref="BK139:BK202" si="129">AW139</f>
        <v>Newcomb</v>
      </c>
      <c r="BL139" s="148" t="str">
        <f t="shared" ref="BL139:BL202" si="130">L139</f>
        <v>CHILD B - ARG 1</v>
      </c>
      <c r="BM139" s="148" t="str">
        <f t="shared" ref="BM139:BM202" si="131">N139</f>
        <v>CHILD B - USA 1</v>
      </c>
      <c r="BN139" s="148" t="str">
        <f t="shared" ref="BN139:BN202" si="132">C139</f>
        <v>Round - 1</v>
      </c>
      <c r="BP139" s="148" t="str">
        <f t="shared" ref="BP139:BP202" si="133">IF(OR(NOT(ISERR(SEARCH("final",C139))),NOT(ISERR(SEARCH("tournament",C139)))),TEXT(AO139,"MM/DD/YYYY HH:MM")&amp;"-&gt;"&amp;AV139,IF(B139="","no game","no t, f, or sf"))</f>
        <v>no t, f, or sf</v>
      </c>
      <c r="BQ139" s="148" t="str">
        <f t="shared" ref="BQ139:BQ202" si="134">IF(BP139&lt;&gt;"no t, f, or sf",AW139&amp;" "&amp;C139&amp;" in "&amp;J139,"")</f>
        <v/>
      </c>
    </row>
    <row r="140" spans="1:69" ht="15" customHeight="1" x14ac:dyDescent="0.2">
      <c r="A140" s="376">
        <v>138</v>
      </c>
      <c r="B140" s="441" t="s">
        <v>36</v>
      </c>
      <c r="C140" s="441" t="s">
        <v>518</v>
      </c>
      <c r="D140" s="450">
        <v>1</v>
      </c>
      <c r="E140" s="450">
        <v>1</v>
      </c>
      <c r="F140" s="315" t="s">
        <v>770</v>
      </c>
      <c r="G140" s="320">
        <v>43062</v>
      </c>
      <c r="H140" s="317">
        <v>0.64583333333333337</v>
      </c>
      <c r="I140" s="325" t="s">
        <v>770</v>
      </c>
      <c r="J140" s="441" t="s">
        <v>686</v>
      </c>
      <c r="K140" s="441">
        <v>24</v>
      </c>
      <c r="L140" t="s">
        <v>552</v>
      </c>
      <c r="M140">
        <v>24</v>
      </c>
      <c r="N140" t="s">
        <v>555</v>
      </c>
      <c r="O140" s="153" t="str">
        <f>IF(L140&lt;&gt;"",IFERROR(VLOOKUP(B140&amp;L140,Pools!$A$2:$D$130,3,FALSE),""),"")</f>
        <v>Pool B</v>
      </c>
      <c r="P140" s="388">
        <v>0</v>
      </c>
      <c r="Q140" s="388">
        <v>2</v>
      </c>
      <c r="R140" s="306" t="str">
        <f t="shared" si="90"/>
        <v>0-2</v>
      </c>
      <c r="S140" s="153"/>
      <c r="T140" s="148" t="str">
        <f t="shared" si="91"/>
        <v>Completed</v>
      </c>
      <c r="U140" s="153"/>
      <c r="V140" s="153"/>
      <c r="W140" s="387">
        <f t="shared" si="92"/>
        <v>-2</v>
      </c>
      <c r="X140" s="387">
        <f t="shared" si="93"/>
        <v>2</v>
      </c>
      <c r="Y140" s="301">
        <f t="shared" si="94"/>
        <v>0</v>
      </c>
      <c r="Z140" s="301">
        <f t="shared" si="95"/>
        <v>2</v>
      </c>
      <c r="AA140" s="323" t="str">
        <f>CONCATENATE("                x[team1,team2,sport,'",IF(OR(I140="x",I140=""),VLOOKUP('Schedule from TM'!J140,Tables!$P$3:$Q$33,2,FALSE),'Schedule from TM'!I140),",",J140,"','",IF(OR(F140="x",F140=""),VLOOKUP('Schedule from TM'!G140,Tables!$U$3:$V$14,2,FALSE),'Schedule from TM'!F140),",",TEXT(G140,"mm/dd/yyyy"),"','",TEXT(H140,"h:mm:ss AM/PM"),"'].ub=0.0      #",B140)</f>
        <v xml:space="preserve">                x[team1,team2,sport,'32,Sinai - Newcomb','11,11/23/2017','3:30:00 PM'].ub=0.0      #Ch B Coed Newcomb</v>
      </c>
      <c r="AB140" s="301" t="str">
        <f t="shared" si="96"/>
        <v>,,Ch B Coed Newcomb,Pool B,1,CHILD B - ARG 1</v>
      </c>
      <c r="AC140" s="153" t="str">
        <f t="shared" si="97"/>
        <v>Ch B Coed NewcombPool BCHILD B - ARG 1</v>
      </c>
      <c r="AD140" s="301" t="str">
        <f t="shared" si="98"/>
        <v>,,Ch B Coed Newcomb,Pool B,1,CHILD B - COL 2</v>
      </c>
      <c r="AE140" s="153" t="str">
        <f t="shared" si="99"/>
        <v>Ch B Coed NewcombPool BCHILD B - COL 2</v>
      </c>
      <c r="AF140" s="383">
        <f t="shared" si="100"/>
        <v>0</v>
      </c>
      <c r="AG140" s="383">
        <f t="shared" si="101"/>
        <v>1</v>
      </c>
      <c r="AH140" s="383">
        <f t="shared" si="102"/>
        <v>0</v>
      </c>
      <c r="AI140" s="383">
        <f t="shared" si="103"/>
        <v>1</v>
      </c>
      <c r="AJ140" s="383">
        <f t="shared" si="104"/>
        <v>0</v>
      </c>
      <c r="AK140" s="383">
        <f t="shared" si="105"/>
        <v>0</v>
      </c>
      <c r="AM140" s="148" t="str">
        <f t="shared" si="106"/>
        <v>Schedulled</v>
      </c>
      <c r="AN140" s="148" t="str">
        <f t="shared" si="107"/>
        <v/>
      </c>
      <c r="AO140" s="156">
        <f t="shared" si="108"/>
        <v>43062.645833333336</v>
      </c>
      <c r="AP140" s="148" t="str">
        <f t="shared" si="109"/>
        <v>11/23/2017 15:30-&gt;Sinai - Newcomb</v>
      </c>
      <c r="AQ140" s="374">
        <f t="shared" si="110"/>
        <v>1</v>
      </c>
      <c r="AR140" s="148" t="str">
        <f t="shared" si="111"/>
        <v>ARG1</v>
      </c>
      <c r="AS140" s="148" t="str">
        <f t="shared" si="112"/>
        <v>COL2</v>
      </c>
      <c r="AT140" s="157" t="str">
        <f t="shared" si="113"/>
        <v>ARG1-COL2</v>
      </c>
      <c r="AU140" s="157" t="str">
        <f t="shared" si="114"/>
        <v xml:space="preserve">ARG1-COL2 </v>
      </c>
      <c r="AV140" s="157" t="str">
        <f t="shared" si="115"/>
        <v>CHILDREN B COED</v>
      </c>
      <c r="AW140" s="157" t="str">
        <f t="shared" si="116"/>
        <v>Newcomb</v>
      </c>
      <c r="AX140" s="376">
        <f t="shared" si="117"/>
        <v>138</v>
      </c>
      <c r="AY140" s="148" t="str">
        <f t="shared" si="118"/>
        <v>CHILD B - ARG 1-&gt;CHILD B - COL 2</v>
      </c>
      <c r="AZ140" s="148" t="str">
        <f t="shared" si="119"/>
        <v>11/23/2017 15:30-&gt;CHILD B - ARG 1</v>
      </c>
      <c r="BA140" s="148" t="str">
        <f t="shared" si="120"/>
        <v>11/23/2017 15:30-&gt;CHILD B - COL 2</v>
      </c>
      <c r="BB140" s="374">
        <f t="shared" si="121"/>
        <v>1</v>
      </c>
      <c r="BC140" s="374">
        <f t="shared" si="122"/>
        <v>1</v>
      </c>
      <c r="BD140" s="148" t="str">
        <f t="shared" si="123"/>
        <v>no conflict</v>
      </c>
      <c r="BF140" s="148" t="str">
        <f t="shared" si="124"/>
        <v>11/23/2017 15:30-&gt;CHILD B - ARG 1</v>
      </c>
      <c r="BG140" s="148" t="str">
        <f t="shared" si="125"/>
        <v>11/23/2017 15:30-&gt;CHILD B - COL 2</v>
      </c>
      <c r="BH140" s="148" t="str">
        <f t="shared" si="126"/>
        <v>11/23/2017 15:30-&gt;Sinai - Newcomb</v>
      </c>
      <c r="BI140" s="148" t="str">
        <f t="shared" si="127"/>
        <v>Newcomb in Sinai - Newcomb (ARG1-COL2)</v>
      </c>
      <c r="BJ140" s="148" t="str">
        <f t="shared" si="128"/>
        <v>Ch B Coed Newcomb-- CHILD B - ARG 1 vs. CHILD B - COL 2</v>
      </c>
      <c r="BK140" s="148" t="str">
        <f t="shared" si="129"/>
        <v>Newcomb</v>
      </c>
      <c r="BL140" s="148" t="str">
        <f t="shared" si="130"/>
        <v>CHILD B - ARG 1</v>
      </c>
      <c r="BM140" s="148" t="str">
        <f t="shared" si="131"/>
        <v>CHILD B - COL 2</v>
      </c>
      <c r="BN140" s="148" t="str">
        <f t="shared" si="132"/>
        <v>Round - 1</v>
      </c>
      <c r="BP140" s="148" t="str">
        <f t="shared" si="133"/>
        <v>no t, f, or sf</v>
      </c>
      <c r="BQ140" s="148" t="str">
        <f t="shared" si="134"/>
        <v/>
      </c>
    </row>
    <row r="141" spans="1:69" ht="15" customHeight="1" x14ac:dyDescent="0.2">
      <c r="A141" s="376">
        <v>139</v>
      </c>
      <c r="B141" s="444" t="s">
        <v>36</v>
      </c>
      <c r="C141" s="444" t="s">
        <v>518</v>
      </c>
      <c r="D141" s="451">
        <v>1</v>
      </c>
      <c r="E141" s="451">
        <v>1</v>
      </c>
      <c r="F141" s="315" t="s">
        <v>770</v>
      </c>
      <c r="G141" s="445">
        <v>43063</v>
      </c>
      <c r="H141" s="454">
        <v>0.36805555555555558</v>
      </c>
      <c r="I141" s="325" t="s">
        <v>770</v>
      </c>
      <c r="J141" s="444" t="s">
        <v>686</v>
      </c>
      <c r="K141" s="444">
        <v>24</v>
      </c>
      <c r="L141" t="s">
        <v>554</v>
      </c>
      <c r="M141">
        <v>24</v>
      </c>
      <c r="N141" t="s">
        <v>560</v>
      </c>
      <c r="O141" s="153" t="str">
        <f>IF(L141&lt;&gt;"",IFERROR(VLOOKUP(B141&amp;L141,Pools!$A$2:$D$130,3,FALSE),""),"")</f>
        <v>Pool A</v>
      </c>
      <c r="P141" s="388">
        <v>2</v>
      </c>
      <c r="Q141" s="388">
        <v>1</v>
      </c>
      <c r="R141" s="306" t="str">
        <f t="shared" si="90"/>
        <v>2-1</v>
      </c>
      <c r="S141" s="153"/>
      <c r="T141" s="148" t="str">
        <f t="shared" si="91"/>
        <v>Completed</v>
      </c>
      <c r="U141" s="153"/>
      <c r="V141" s="153"/>
      <c r="W141" s="387">
        <f t="shared" si="92"/>
        <v>1</v>
      </c>
      <c r="X141" s="387">
        <f t="shared" si="93"/>
        <v>-1</v>
      </c>
      <c r="Y141" s="301">
        <f t="shared" si="94"/>
        <v>2</v>
      </c>
      <c r="Z141" s="301">
        <f t="shared" si="95"/>
        <v>0</v>
      </c>
      <c r="AA141" s="323" t="str">
        <f>CONCATENATE("                x[team1,team2,sport,'",IF(OR(I141="x",I141=""),VLOOKUP('Schedule from TM'!J141,Tables!$P$3:$Q$33,2,FALSE),'Schedule from TM'!I141),",",J141,"','",IF(OR(F141="x",F141=""),VLOOKUP('Schedule from TM'!G141,Tables!$U$3:$V$14,2,FALSE),'Schedule from TM'!F141),",",TEXT(G141,"mm/dd/yyyy"),"','",TEXT(H141,"h:mm:ss AM/PM"),"'].ub=0.0      #",B141)</f>
        <v xml:space="preserve">                x[team1,team2,sport,'32,Sinai - Newcomb','11,11/24/2017','8:50:00 AM'].ub=0.0      #Ch B Coed Newcomb</v>
      </c>
      <c r="AB141" s="301" t="str">
        <f t="shared" si="96"/>
        <v>,,Ch B Coed Newcomb,Pool A,1,CHILD B - COL 1</v>
      </c>
      <c r="AC141" s="153" t="str">
        <f t="shared" si="97"/>
        <v>Ch B Coed NewcombPool ACHILD B - COL 1</v>
      </c>
      <c r="AD141" s="301" t="str">
        <f t="shared" si="98"/>
        <v>,,Ch B Coed Newcomb,Pool A,1,CHILD B - VEN 1</v>
      </c>
      <c r="AE141" s="153" t="str">
        <f t="shared" si="99"/>
        <v>Ch B Coed NewcombPool ACHILD B - VEN 1</v>
      </c>
      <c r="AF141" s="383">
        <f t="shared" si="100"/>
        <v>1</v>
      </c>
      <c r="AG141" s="383">
        <f t="shared" si="101"/>
        <v>0</v>
      </c>
      <c r="AH141" s="383">
        <f t="shared" si="102"/>
        <v>0</v>
      </c>
      <c r="AI141" s="383">
        <f t="shared" si="103"/>
        <v>0</v>
      </c>
      <c r="AJ141" s="383">
        <f t="shared" si="104"/>
        <v>1</v>
      </c>
      <c r="AK141" s="383">
        <f t="shared" si="105"/>
        <v>0</v>
      </c>
      <c r="AM141" s="148" t="str">
        <f t="shared" si="106"/>
        <v>Schedulled</v>
      </c>
      <c r="AN141" s="148" t="str">
        <f t="shared" si="107"/>
        <v/>
      </c>
      <c r="AO141" s="156">
        <f t="shared" si="108"/>
        <v>43063.368055555555</v>
      </c>
      <c r="AP141" s="148" t="str">
        <f t="shared" si="109"/>
        <v>11/24/2017 08:50-&gt;Sinai - Newcomb</v>
      </c>
      <c r="AQ141" s="374">
        <f t="shared" si="110"/>
        <v>1</v>
      </c>
      <c r="AR141" s="148" t="str">
        <f t="shared" si="111"/>
        <v>COL1</v>
      </c>
      <c r="AS141" s="148" t="str">
        <f t="shared" si="112"/>
        <v>VEN1</v>
      </c>
      <c r="AT141" s="157" t="str">
        <f t="shared" si="113"/>
        <v>COL1-VEN1</v>
      </c>
      <c r="AU141" s="157" t="str">
        <f t="shared" si="114"/>
        <v xml:space="preserve">COL1-VEN1 </v>
      </c>
      <c r="AV141" s="157" t="str">
        <f t="shared" si="115"/>
        <v>CHILDREN B COED</v>
      </c>
      <c r="AW141" s="157" t="str">
        <f t="shared" si="116"/>
        <v>Newcomb</v>
      </c>
      <c r="AX141" s="376">
        <f t="shared" si="117"/>
        <v>139</v>
      </c>
      <c r="AY141" s="148" t="str">
        <f t="shared" si="118"/>
        <v>CHILD B - COL 1-&gt;CHILD B - VEN 1</v>
      </c>
      <c r="AZ141" s="148" t="str">
        <f t="shared" si="119"/>
        <v>11/24/2017 08:50-&gt;CHILD B - COL 1</v>
      </c>
      <c r="BA141" s="148" t="str">
        <f t="shared" si="120"/>
        <v>11/24/2017 08:50-&gt;CHILD B - VEN 1</v>
      </c>
      <c r="BB141" s="374">
        <f t="shared" si="121"/>
        <v>1</v>
      </c>
      <c r="BC141" s="374">
        <f t="shared" si="122"/>
        <v>1</v>
      </c>
      <c r="BD141" s="148" t="str">
        <f t="shared" si="123"/>
        <v>no conflict</v>
      </c>
      <c r="BF141" s="148" t="str">
        <f t="shared" si="124"/>
        <v>11/24/2017 08:50-&gt;CHILD B - COL 1</v>
      </c>
      <c r="BG141" s="148" t="str">
        <f t="shared" si="125"/>
        <v>11/24/2017 08:50-&gt;CHILD B - VEN 1</v>
      </c>
      <c r="BH141" s="148" t="str">
        <f t="shared" si="126"/>
        <v>11/24/2017 08:50-&gt;Sinai - Newcomb</v>
      </c>
      <c r="BI141" s="148" t="str">
        <f t="shared" si="127"/>
        <v>Newcomb in Sinai - Newcomb (COL1-VEN1)</v>
      </c>
      <c r="BJ141" s="148" t="str">
        <f t="shared" si="128"/>
        <v>Ch B Coed Newcomb-- CHILD B - COL 1 vs. CHILD B - VEN 1</v>
      </c>
      <c r="BK141" s="148" t="str">
        <f t="shared" si="129"/>
        <v>Newcomb</v>
      </c>
      <c r="BL141" s="148" t="str">
        <f t="shared" si="130"/>
        <v>CHILD B - COL 1</v>
      </c>
      <c r="BM141" s="148" t="str">
        <f t="shared" si="131"/>
        <v>CHILD B - VEN 1</v>
      </c>
      <c r="BN141" s="148" t="str">
        <f t="shared" si="132"/>
        <v>Round - 1</v>
      </c>
      <c r="BP141" s="148" t="str">
        <f t="shared" si="133"/>
        <v>no t, f, or sf</v>
      </c>
      <c r="BQ141" s="148" t="str">
        <f t="shared" si="134"/>
        <v/>
      </c>
    </row>
    <row r="142" spans="1:69" ht="15" customHeight="1" x14ac:dyDescent="0.2">
      <c r="A142" s="376">
        <v>140</v>
      </c>
      <c r="B142" s="444" t="s">
        <v>36</v>
      </c>
      <c r="C142" s="444" t="s">
        <v>518</v>
      </c>
      <c r="D142" s="451">
        <v>1</v>
      </c>
      <c r="E142" s="451">
        <v>1</v>
      </c>
      <c r="F142" s="315" t="s">
        <v>770</v>
      </c>
      <c r="G142" s="445">
        <v>43063</v>
      </c>
      <c r="H142" s="454">
        <v>0.4375</v>
      </c>
      <c r="I142" s="325" t="s">
        <v>770</v>
      </c>
      <c r="J142" s="444" t="s">
        <v>686</v>
      </c>
      <c r="K142" s="444">
        <v>24</v>
      </c>
      <c r="L142" t="s">
        <v>552</v>
      </c>
      <c r="M142">
        <v>24</v>
      </c>
      <c r="N142" t="s">
        <v>561</v>
      </c>
      <c r="O142" s="153" t="str">
        <f>IF(L142&lt;&gt;"",IFERROR(VLOOKUP(B142&amp;L142,Pools!$A$2:$D$130,3,FALSE),""),"")</f>
        <v>Pool B</v>
      </c>
      <c r="P142" s="388">
        <v>1</v>
      </c>
      <c r="Q142" s="388">
        <v>2</v>
      </c>
      <c r="R142" s="306" t="str">
        <f t="shared" si="90"/>
        <v>1-2</v>
      </c>
      <c r="S142" s="153"/>
      <c r="T142" s="148" t="str">
        <f t="shared" si="91"/>
        <v>Completed</v>
      </c>
      <c r="U142" s="153"/>
      <c r="V142" s="153"/>
      <c r="W142" s="387">
        <f t="shared" si="92"/>
        <v>-1</v>
      </c>
      <c r="X142" s="387">
        <f t="shared" si="93"/>
        <v>1</v>
      </c>
      <c r="Y142" s="301">
        <f t="shared" si="94"/>
        <v>0</v>
      </c>
      <c r="Z142" s="301">
        <f t="shared" si="95"/>
        <v>2</v>
      </c>
      <c r="AA142" s="323" t="str">
        <f>CONCATENATE("                x[team1,team2,sport,'",IF(OR(I142="x",I142=""),VLOOKUP('Schedule from TM'!J142,Tables!$P$3:$Q$33,2,FALSE),'Schedule from TM'!I142),",",J142,"','",IF(OR(F142="x",F142=""),VLOOKUP('Schedule from TM'!G142,Tables!$U$3:$V$14,2,FALSE),'Schedule from TM'!F142),",",TEXT(G142,"mm/dd/yyyy"),"','",TEXT(H142,"h:mm:ss AM/PM"),"'].ub=0.0      #",B142)</f>
        <v xml:space="preserve">                x[team1,team2,sport,'32,Sinai - Newcomb','11,11/24/2017','10:30:00 AM'].ub=0.0      #Ch B Coed Newcomb</v>
      </c>
      <c r="AB142" s="301" t="str">
        <f t="shared" si="96"/>
        <v>,,Ch B Coed Newcomb,Pool B,1,CHILD B - ARG 1</v>
      </c>
      <c r="AC142" s="153" t="str">
        <f t="shared" si="97"/>
        <v>Ch B Coed NewcombPool BCHILD B - ARG 1</v>
      </c>
      <c r="AD142" s="301" t="str">
        <f t="shared" si="98"/>
        <v>,,Ch B Coed Newcomb,Pool B,1,CHILD B - VEN 2</v>
      </c>
      <c r="AE142" s="153" t="str">
        <f t="shared" si="99"/>
        <v>Ch B Coed NewcombPool BCHILD B - VEN 2</v>
      </c>
      <c r="AF142" s="383">
        <f t="shared" si="100"/>
        <v>0</v>
      </c>
      <c r="AG142" s="383">
        <f t="shared" si="101"/>
        <v>1</v>
      </c>
      <c r="AH142" s="383">
        <f t="shared" si="102"/>
        <v>0</v>
      </c>
      <c r="AI142" s="383">
        <f t="shared" si="103"/>
        <v>1</v>
      </c>
      <c r="AJ142" s="383">
        <f t="shared" si="104"/>
        <v>0</v>
      </c>
      <c r="AK142" s="383">
        <f t="shared" si="105"/>
        <v>0</v>
      </c>
      <c r="AM142" s="148" t="str">
        <f t="shared" si="106"/>
        <v>Schedulled</v>
      </c>
      <c r="AN142" s="148" t="str">
        <f t="shared" si="107"/>
        <v/>
      </c>
      <c r="AO142" s="156">
        <f t="shared" si="108"/>
        <v>43063.4375</v>
      </c>
      <c r="AP142" s="148" t="str">
        <f t="shared" si="109"/>
        <v>11/24/2017 10:30-&gt;Sinai - Newcomb</v>
      </c>
      <c r="AQ142" s="374">
        <f t="shared" si="110"/>
        <v>1</v>
      </c>
      <c r="AR142" s="148" t="str">
        <f t="shared" si="111"/>
        <v>ARG1</v>
      </c>
      <c r="AS142" s="148" t="str">
        <f t="shared" si="112"/>
        <v>VEN2</v>
      </c>
      <c r="AT142" s="157" t="str">
        <f t="shared" si="113"/>
        <v>ARG1-VEN2</v>
      </c>
      <c r="AU142" s="157" t="str">
        <f t="shared" si="114"/>
        <v xml:space="preserve">ARG1-VEN2 </v>
      </c>
      <c r="AV142" s="157" t="str">
        <f t="shared" si="115"/>
        <v>CHILDREN B COED</v>
      </c>
      <c r="AW142" s="157" t="str">
        <f t="shared" si="116"/>
        <v>Newcomb</v>
      </c>
      <c r="AX142" s="376">
        <f t="shared" si="117"/>
        <v>140</v>
      </c>
      <c r="AY142" s="148" t="str">
        <f t="shared" si="118"/>
        <v>CHILD B - ARG 1-&gt;CHILD B - VEN 2</v>
      </c>
      <c r="AZ142" s="148" t="str">
        <f t="shared" si="119"/>
        <v>11/24/2017 10:30-&gt;CHILD B - ARG 1</v>
      </c>
      <c r="BA142" s="148" t="str">
        <f t="shared" si="120"/>
        <v>11/24/2017 10:30-&gt;CHILD B - VEN 2</v>
      </c>
      <c r="BB142" s="374">
        <f t="shared" si="121"/>
        <v>1</v>
      </c>
      <c r="BC142" s="374">
        <f t="shared" si="122"/>
        <v>1</v>
      </c>
      <c r="BD142" s="148" t="str">
        <f t="shared" si="123"/>
        <v>no conflict</v>
      </c>
      <c r="BF142" s="148" t="str">
        <f t="shared" si="124"/>
        <v>11/24/2017 10:30-&gt;CHILD B - ARG 1</v>
      </c>
      <c r="BG142" s="148" t="str">
        <f t="shared" si="125"/>
        <v>11/24/2017 10:30-&gt;CHILD B - VEN 2</v>
      </c>
      <c r="BH142" s="148" t="str">
        <f t="shared" si="126"/>
        <v>11/24/2017 10:30-&gt;Sinai - Newcomb</v>
      </c>
      <c r="BI142" s="148" t="str">
        <f t="shared" si="127"/>
        <v>Newcomb in Sinai - Newcomb (ARG1-VEN2)</v>
      </c>
      <c r="BJ142" s="148" t="str">
        <f t="shared" si="128"/>
        <v>Ch B Coed Newcomb-- CHILD B - ARG 1 vs. CHILD B - VEN 2</v>
      </c>
      <c r="BK142" s="148" t="str">
        <f t="shared" si="129"/>
        <v>Newcomb</v>
      </c>
      <c r="BL142" s="148" t="str">
        <f t="shared" si="130"/>
        <v>CHILD B - ARG 1</v>
      </c>
      <c r="BM142" s="148" t="str">
        <f t="shared" si="131"/>
        <v>CHILD B - VEN 2</v>
      </c>
      <c r="BN142" s="148" t="str">
        <f t="shared" si="132"/>
        <v>Round - 1</v>
      </c>
      <c r="BP142" s="148" t="str">
        <f t="shared" si="133"/>
        <v>no t, f, or sf</v>
      </c>
      <c r="BQ142" s="148" t="str">
        <f t="shared" si="134"/>
        <v/>
      </c>
    </row>
    <row r="143" spans="1:69" ht="15" customHeight="1" x14ac:dyDescent="0.2">
      <c r="A143" s="376">
        <v>141</v>
      </c>
      <c r="B143" s="319" t="s">
        <v>36</v>
      </c>
      <c r="C143" s="319" t="s">
        <v>518</v>
      </c>
      <c r="D143" s="376">
        <v>1</v>
      </c>
      <c r="E143" s="376">
        <v>1</v>
      </c>
      <c r="F143" s="315" t="s">
        <v>770</v>
      </c>
      <c r="G143" s="320">
        <v>43065</v>
      </c>
      <c r="H143" s="418">
        <v>0.36805555555555558</v>
      </c>
      <c r="I143" s="325" t="s">
        <v>770</v>
      </c>
      <c r="J143" s="319" t="s">
        <v>686</v>
      </c>
      <c r="K143" s="319">
        <v>24</v>
      </c>
      <c r="L143" t="s">
        <v>555</v>
      </c>
      <c r="M143">
        <v>24</v>
      </c>
      <c r="N143" t="s">
        <v>558</v>
      </c>
      <c r="O143" s="153" t="str">
        <f>IF(L143&lt;&gt;"",IFERROR(VLOOKUP(B143&amp;L143,Pools!$A$2:$D$130,3,FALSE),""),"")</f>
        <v>Pool B</v>
      </c>
      <c r="P143" s="388">
        <v>2</v>
      </c>
      <c r="Q143" s="388">
        <v>0</v>
      </c>
      <c r="R143" s="306" t="str">
        <f t="shared" si="90"/>
        <v>2-0</v>
      </c>
      <c r="S143" s="153"/>
      <c r="T143" s="148" t="str">
        <f t="shared" si="91"/>
        <v>Completed</v>
      </c>
      <c r="U143" s="153"/>
      <c r="V143" s="153"/>
      <c r="W143" s="387">
        <f t="shared" si="92"/>
        <v>2</v>
      </c>
      <c r="X143" s="387">
        <f t="shared" si="93"/>
        <v>-2</v>
      </c>
      <c r="Y143" s="301">
        <f t="shared" si="94"/>
        <v>2</v>
      </c>
      <c r="Z143" s="301">
        <f t="shared" si="95"/>
        <v>0</v>
      </c>
      <c r="AA143" s="323" t="str">
        <f>CONCATENATE("                x[team1,team2,sport,'",IF(OR(I143="x",I143=""),VLOOKUP('Schedule from TM'!J143,Tables!$P$3:$Q$33,2,FALSE),'Schedule from TM'!I143),",",J143,"','",IF(OR(F143="x",F143=""),VLOOKUP('Schedule from TM'!G143,Tables!$U$3:$V$14,2,FALSE),'Schedule from TM'!F143),",",TEXT(G143,"mm/dd/yyyy"),"','",TEXT(H143,"h:mm:ss AM/PM"),"'].ub=0.0      #",B143)</f>
        <v xml:space="preserve">                x[team1,team2,sport,'32,Sinai - Newcomb','21,11/26/2017','8:50:00 AM'].ub=0.0      #Ch B Coed Newcomb</v>
      </c>
      <c r="AB143" s="301" t="str">
        <f t="shared" si="96"/>
        <v>,,Ch B Coed Newcomb,Pool B,1,CHILD B - COL 2</v>
      </c>
      <c r="AC143" s="153" t="str">
        <f t="shared" si="97"/>
        <v>Ch B Coed NewcombPool BCHILD B - COL 2</v>
      </c>
      <c r="AD143" s="301" t="str">
        <f t="shared" si="98"/>
        <v>,,Ch B Coed Newcomb,Pool B,1,CHILD B - USA 1</v>
      </c>
      <c r="AE143" s="153" t="str">
        <f t="shared" si="99"/>
        <v>Ch B Coed NewcombPool BCHILD B - USA 1</v>
      </c>
      <c r="AF143" s="383">
        <f t="shared" si="100"/>
        <v>1</v>
      </c>
      <c r="AG143" s="383">
        <f t="shared" si="101"/>
        <v>0</v>
      </c>
      <c r="AH143" s="383">
        <f t="shared" si="102"/>
        <v>0</v>
      </c>
      <c r="AI143" s="383">
        <f t="shared" si="103"/>
        <v>0</v>
      </c>
      <c r="AJ143" s="383">
        <f t="shared" si="104"/>
        <v>1</v>
      </c>
      <c r="AK143" s="383">
        <f t="shared" si="105"/>
        <v>0</v>
      </c>
      <c r="AM143" s="148" t="str">
        <f t="shared" si="106"/>
        <v>Schedulled</v>
      </c>
      <c r="AN143" s="148" t="str">
        <f t="shared" si="107"/>
        <v/>
      </c>
      <c r="AO143" s="156">
        <f t="shared" si="108"/>
        <v>43065.368055555555</v>
      </c>
      <c r="AP143" s="148" t="str">
        <f t="shared" si="109"/>
        <v>11/26/2017 08:50-&gt;Sinai - Newcomb</v>
      </c>
      <c r="AQ143" s="374">
        <f t="shared" si="110"/>
        <v>1</v>
      </c>
      <c r="AR143" s="148" t="str">
        <f t="shared" si="111"/>
        <v>COL2</v>
      </c>
      <c r="AS143" s="148" t="str">
        <f t="shared" si="112"/>
        <v>USA1</v>
      </c>
      <c r="AT143" s="157" t="str">
        <f t="shared" si="113"/>
        <v>COL2-USA1</v>
      </c>
      <c r="AU143" s="157" t="str">
        <f t="shared" si="114"/>
        <v xml:space="preserve">COL2-USA1 </v>
      </c>
      <c r="AV143" s="157" t="str">
        <f t="shared" si="115"/>
        <v>CHILDREN B COED</v>
      </c>
      <c r="AW143" s="157" t="str">
        <f t="shared" si="116"/>
        <v>Newcomb</v>
      </c>
      <c r="AX143" s="376">
        <f t="shared" si="117"/>
        <v>141</v>
      </c>
      <c r="AY143" s="148" t="str">
        <f t="shared" si="118"/>
        <v>CHILD B - COL 2-&gt;CHILD B - USA 1</v>
      </c>
      <c r="AZ143" s="148" t="str">
        <f t="shared" si="119"/>
        <v>11/26/2017 08:50-&gt;CHILD B - COL 2</v>
      </c>
      <c r="BA143" s="148" t="str">
        <f t="shared" si="120"/>
        <v>11/26/2017 08:50-&gt;CHILD B - USA 1</v>
      </c>
      <c r="BB143" s="374">
        <f t="shared" si="121"/>
        <v>1</v>
      </c>
      <c r="BC143" s="374">
        <f t="shared" si="122"/>
        <v>1</v>
      </c>
      <c r="BD143" s="148" t="str">
        <f t="shared" si="123"/>
        <v>no conflict</v>
      </c>
      <c r="BF143" s="148" t="str">
        <f t="shared" si="124"/>
        <v>11/26/2017 08:50-&gt;CHILD B - COL 2</v>
      </c>
      <c r="BG143" s="148" t="str">
        <f t="shared" si="125"/>
        <v>11/26/2017 08:50-&gt;CHILD B - USA 1</v>
      </c>
      <c r="BH143" s="148" t="str">
        <f t="shared" si="126"/>
        <v>11/26/2017 08:50-&gt;Sinai - Newcomb</v>
      </c>
      <c r="BI143" s="148" t="str">
        <f t="shared" si="127"/>
        <v>Newcomb in Sinai - Newcomb (COL2-USA1)</v>
      </c>
      <c r="BJ143" s="148" t="str">
        <f t="shared" si="128"/>
        <v>Ch B Coed Newcomb-- CHILD B - COL 2 vs. CHILD B - USA 1</v>
      </c>
      <c r="BK143" s="148" t="str">
        <f t="shared" si="129"/>
        <v>Newcomb</v>
      </c>
      <c r="BL143" s="148" t="str">
        <f t="shared" si="130"/>
        <v>CHILD B - COL 2</v>
      </c>
      <c r="BM143" s="148" t="str">
        <f t="shared" si="131"/>
        <v>CHILD B - USA 1</v>
      </c>
      <c r="BN143" s="148" t="str">
        <f t="shared" si="132"/>
        <v>Round - 1</v>
      </c>
      <c r="BP143" s="148" t="str">
        <f t="shared" si="133"/>
        <v>no t, f, or sf</v>
      </c>
      <c r="BQ143" s="148" t="str">
        <f t="shared" si="134"/>
        <v/>
      </c>
    </row>
    <row r="144" spans="1:69" ht="15" customHeight="1" x14ac:dyDescent="0.2">
      <c r="A144" s="376">
        <v>142</v>
      </c>
      <c r="B144" s="315" t="s">
        <v>36</v>
      </c>
      <c r="C144" s="315" t="s">
        <v>518</v>
      </c>
      <c r="D144" s="378">
        <v>1</v>
      </c>
      <c r="E144" s="378">
        <v>1</v>
      </c>
      <c r="F144" s="315" t="s">
        <v>770</v>
      </c>
      <c r="G144" s="316">
        <v>43065</v>
      </c>
      <c r="H144" s="454">
        <v>0.4375</v>
      </c>
      <c r="I144" s="325" t="s">
        <v>770</v>
      </c>
      <c r="J144" s="315" t="s">
        <v>686</v>
      </c>
      <c r="K144" s="315">
        <v>24</v>
      </c>
      <c r="L144" t="s">
        <v>558</v>
      </c>
      <c r="M144">
        <v>24</v>
      </c>
      <c r="N144" t="s">
        <v>561</v>
      </c>
      <c r="O144" s="153" t="str">
        <f>IF(L144&lt;&gt;"",IFERROR(VLOOKUP(B144&amp;L144,Pools!$A$2:$D$130,3,FALSE),""),"")</f>
        <v>Pool B</v>
      </c>
      <c r="P144" s="388">
        <v>1</v>
      </c>
      <c r="Q144" s="388">
        <v>2</v>
      </c>
      <c r="R144" s="306" t="str">
        <f t="shared" si="90"/>
        <v>1-2</v>
      </c>
      <c r="S144" s="153"/>
      <c r="T144" s="148" t="str">
        <f t="shared" si="91"/>
        <v>Completed</v>
      </c>
      <c r="U144" s="153"/>
      <c r="V144" s="153"/>
      <c r="W144" s="387">
        <f t="shared" si="92"/>
        <v>-1</v>
      </c>
      <c r="X144" s="387">
        <f t="shared" si="93"/>
        <v>1</v>
      </c>
      <c r="Y144" s="301">
        <f t="shared" si="94"/>
        <v>0</v>
      </c>
      <c r="Z144" s="301">
        <f t="shared" si="95"/>
        <v>2</v>
      </c>
      <c r="AA144" s="323" t="str">
        <f>CONCATENATE("                x[team1,team2,sport,'",IF(OR(I144="x",I144=""),VLOOKUP('Schedule from TM'!J144,Tables!$P$3:$Q$33,2,FALSE),'Schedule from TM'!I144),",",J144,"','",IF(OR(F144="x",F144=""),VLOOKUP('Schedule from TM'!G144,Tables!$U$3:$V$14,2,FALSE),'Schedule from TM'!F144),",",TEXT(G144,"mm/dd/yyyy"),"','",TEXT(H144,"h:mm:ss AM/PM"),"'].ub=0.0      #",B144)</f>
        <v xml:space="preserve">                x[team1,team2,sport,'32,Sinai - Newcomb','21,11/26/2017','10:30:00 AM'].ub=0.0      #Ch B Coed Newcomb</v>
      </c>
      <c r="AB144" s="301" t="str">
        <f t="shared" si="96"/>
        <v>,,Ch B Coed Newcomb,Pool B,1,CHILD B - USA 1</v>
      </c>
      <c r="AC144" s="153" t="str">
        <f t="shared" si="97"/>
        <v>Ch B Coed NewcombPool BCHILD B - USA 1</v>
      </c>
      <c r="AD144" s="301" t="str">
        <f t="shared" si="98"/>
        <v>,,Ch B Coed Newcomb,Pool B,1,CHILD B - VEN 2</v>
      </c>
      <c r="AE144" s="153" t="str">
        <f t="shared" si="99"/>
        <v>Ch B Coed NewcombPool BCHILD B - VEN 2</v>
      </c>
      <c r="AF144" s="383">
        <f t="shared" si="100"/>
        <v>0</v>
      </c>
      <c r="AG144" s="383">
        <f t="shared" si="101"/>
        <v>1</v>
      </c>
      <c r="AH144" s="383">
        <f t="shared" si="102"/>
        <v>0</v>
      </c>
      <c r="AI144" s="383">
        <f t="shared" si="103"/>
        <v>1</v>
      </c>
      <c r="AJ144" s="383">
        <f t="shared" si="104"/>
        <v>0</v>
      </c>
      <c r="AK144" s="383">
        <f t="shared" si="105"/>
        <v>0</v>
      </c>
      <c r="AM144" s="148" t="str">
        <f t="shared" si="106"/>
        <v>Schedulled</v>
      </c>
      <c r="AN144" s="148" t="str">
        <f t="shared" si="107"/>
        <v/>
      </c>
      <c r="AO144" s="156">
        <f t="shared" si="108"/>
        <v>43065.4375</v>
      </c>
      <c r="AP144" s="148" t="str">
        <f t="shared" si="109"/>
        <v>11/26/2017 10:30-&gt;Sinai - Newcomb</v>
      </c>
      <c r="AQ144" s="374">
        <f t="shared" si="110"/>
        <v>1</v>
      </c>
      <c r="AR144" s="148" t="str">
        <f t="shared" si="111"/>
        <v>USA1</v>
      </c>
      <c r="AS144" s="148" t="str">
        <f t="shared" si="112"/>
        <v>VEN2</v>
      </c>
      <c r="AT144" s="157" t="str">
        <f t="shared" si="113"/>
        <v>USA1-VEN2</v>
      </c>
      <c r="AU144" s="157" t="str">
        <f t="shared" si="114"/>
        <v xml:space="preserve">USA1-VEN2 </v>
      </c>
      <c r="AV144" s="157" t="str">
        <f t="shared" si="115"/>
        <v>CHILDREN B COED</v>
      </c>
      <c r="AW144" s="157" t="str">
        <f t="shared" si="116"/>
        <v>Newcomb</v>
      </c>
      <c r="AX144" s="376">
        <f t="shared" si="117"/>
        <v>142</v>
      </c>
      <c r="AY144" s="148" t="str">
        <f t="shared" si="118"/>
        <v>CHILD B - USA 1-&gt;CHILD B - VEN 2</v>
      </c>
      <c r="AZ144" s="148" t="str">
        <f t="shared" si="119"/>
        <v>11/26/2017 10:30-&gt;CHILD B - USA 1</v>
      </c>
      <c r="BA144" s="148" t="str">
        <f t="shared" si="120"/>
        <v>11/26/2017 10:30-&gt;CHILD B - VEN 2</v>
      </c>
      <c r="BB144" s="374">
        <f t="shared" si="121"/>
        <v>1</v>
      </c>
      <c r="BC144" s="374">
        <f t="shared" si="122"/>
        <v>1</v>
      </c>
      <c r="BD144" s="148" t="str">
        <f t="shared" si="123"/>
        <v>no conflict</v>
      </c>
      <c r="BF144" s="148" t="str">
        <f t="shared" si="124"/>
        <v>11/26/2017 10:30-&gt;CHILD B - USA 1</v>
      </c>
      <c r="BG144" s="148" t="str">
        <f t="shared" si="125"/>
        <v>11/26/2017 10:30-&gt;CHILD B - VEN 2</v>
      </c>
      <c r="BH144" s="148" t="str">
        <f t="shared" si="126"/>
        <v>11/26/2017 10:30-&gt;Sinai - Newcomb</v>
      </c>
      <c r="BI144" s="148" t="str">
        <f t="shared" si="127"/>
        <v>Newcomb in Sinai - Newcomb (USA1-VEN2)</v>
      </c>
      <c r="BJ144" s="148" t="str">
        <f t="shared" si="128"/>
        <v>Ch B Coed Newcomb-- CHILD B - USA 1 vs. CHILD B - VEN 2</v>
      </c>
      <c r="BK144" s="148" t="str">
        <f t="shared" si="129"/>
        <v>Newcomb</v>
      </c>
      <c r="BL144" s="148" t="str">
        <f t="shared" si="130"/>
        <v>CHILD B - USA 1</v>
      </c>
      <c r="BM144" s="148" t="str">
        <f t="shared" si="131"/>
        <v>CHILD B - VEN 2</v>
      </c>
      <c r="BN144" s="148" t="str">
        <f t="shared" si="132"/>
        <v>Round - 1</v>
      </c>
      <c r="BP144" s="148" t="str">
        <f t="shared" si="133"/>
        <v>no t, f, or sf</v>
      </c>
      <c r="BQ144" s="148" t="str">
        <f t="shared" si="134"/>
        <v/>
      </c>
    </row>
    <row r="145" spans="1:69" ht="15" customHeight="1" x14ac:dyDescent="0.2">
      <c r="A145" s="376">
        <v>143</v>
      </c>
      <c r="B145" s="441" t="s">
        <v>39</v>
      </c>
      <c r="C145" s="441" t="s">
        <v>518</v>
      </c>
      <c r="D145" s="450">
        <v>1</v>
      </c>
      <c r="E145" s="450">
        <v>1</v>
      </c>
      <c r="F145" s="315" t="s">
        <v>770</v>
      </c>
      <c r="G145" s="320">
        <v>43058</v>
      </c>
      <c r="H145" s="317">
        <v>0.68055555555555547</v>
      </c>
      <c r="I145" s="325" t="s">
        <v>770</v>
      </c>
      <c r="J145" s="441" t="s">
        <v>688</v>
      </c>
      <c r="K145" s="441">
        <v>33</v>
      </c>
      <c r="L145" t="s">
        <v>570</v>
      </c>
      <c r="M145">
        <v>33</v>
      </c>
      <c r="N145" t="s">
        <v>567</v>
      </c>
      <c r="O145" s="153" t="str">
        <f>IF(L145&lt;&gt;"",IFERROR(VLOOKUP(B145&amp;L145,Pools!$A$2:$D$130,3,FALSE),""),"")</f>
        <v/>
      </c>
      <c r="P145" s="388">
        <v>2</v>
      </c>
      <c r="Q145" s="388">
        <v>6</v>
      </c>
      <c r="R145" s="306" t="str">
        <f t="shared" si="90"/>
        <v>2-6</v>
      </c>
      <c r="S145" s="153"/>
      <c r="T145" s="148" t="str">
        <f t="shared" si="91"/>
        <v>Completed</v>
      </c>
      <c r="U145" s="153"/>
      <c r="V145" s="153"/>
      <c r="W145" s="387">
        <f t="shared" si="92"/>
        <v>-4</v>
      </c>
      <c r="X145" s="387">
        <f t="shared" si="93"/>
        <v>4</v>
      </c>
      <c r="Y145" s="301">
        <f t="shared" si="94"/>
        <v>0</v>
      </c>
      <c r="Z145" s="301">
        <f t="shared" si="95"/>
        <v>2</v>
      </c>
      <c r="AA145" s="323" t="str">
        <f>CONCATENATE("                x[team1,team2,sport,'",IF(OR(I145="x",I145=""),VLOOKUP('Schedule from TM'!J145,Tables!$P$3:$Q$33,2,FALSE),'Schedule from TM'!I145),",",J145,"','",IF(OR(F145="x",F145=""),VLOOKUP('Schedule from TM'!G145,Tables!$U$3:$V$14,2,FALSE),'Schedule from TM'!F145),",",TEXT(G145,"mm/dd/yyyy"),"','",TEXT(H145,"h:mm:ss AM/PM"),"'].ub=0.0      #",B145)</f>
        <v xml:space="preserve">                x[team1,team2,sport,'11,JCC Basketball Out 1','11,11/19/2017','4:20:00 PM'].ub=0.0      #Ch C Female Basketball</v>
      </c>
      <c r="AB145" s="301" t="str">
        <f t="shared" si="96"/>
        <v>,,Ch C Female Basketball,,1,CHILD CF - VEN 2</v>
      </c>
      <c r="AC145" s="153" t="str">
        <f t="shared" si="97"/>
        <v>Ch C Female BasketballCHILD CF - VEN 2</v>
      </c>
      <c r="AD145" s="301" t="str">
        <f t="shared" si="98"/>
        <v>,,Ch C Female Basketball,,1,CHILD CF - USA 1</v>
      </c>
      <c r="AE145" s="153" t="str">
        <f t="shared" si="99"/>
        <v>Ch C Female BasketballCHILD CF - USA 1</v>
      </c>
      <c r="AF145" s="383">
        <f t="shared" si="100"/>
        <v>0</v>
      </c>
      <c r="AG145" s="383">
        <f t="shared" si="101"/>
        <v>1</v>
      </c>
      <c r="AH145" s="383">
        <f t="shared" si="102"/>
        <v>0</v>
      </c>
      <c r="AI145" s="383">
        <f t="shared" si="103"/>
        <v>1</v>
      </c>
      <c r="AJ145" s="383">
        <f t="shared" si="104"/>
        <v>0</v>
      </c>
      <c r="AK145" s="383">
        <f t="shared" si="105"/>
        <v>0</v>
      </c>
      <c r="AM145" s="148" t="str">
        <f t="shared" si="106"/>
        <v>Schedulled</v>
      </c>
      <c r="AN145" s="148" t="str">
        <f t="shared" si="107"/>
        <v/>
      </c>
      <c r="AO145" s="156">
        <f t="shared" si="108"/>
        <v>43058.680555555555</v>
      </c>
      <c r="AP145" s="148" t="str">
        <f t="shared" si="109"/>
        <v>11/19/2017 16:20-&gt;JCC Basketball Out 1</v>
      </c>
      <c r="AQ145" s="374">
        <f t="shared" si="110"/>
        <v>1</v>
      </c>
      <c r="AR145" s="148" t="str">
        <f t="shared" si="111"/>
        <v>VEN2</v>
      </c>
      <c r="AS145" s="148" t="str">
        <f t="shared" si="112"/>
        <v>USA1</v>
      </c>
      <c r="AT145" s="157" t="str">
        <f t="shared" si="113"/>
        <v>VEN2-USA1</v>
      </c>
      <c r="AU145" s="157" t="str">
        <f t="shared" si="114"/>
        <v xml:space="preserve">VEN2-USA1 </v>
      </c>
      <c r="AV145" s="157" t="str">
        <f t="shared" si="115"/>
        <v>CHILDREN C FEMALE</v>
      </c>
      <c r="AW145" s="157" t="str">
        <f t="shared" si="116"/>
        <v>Basketball</v>
      </c>
      <c r="AX145" s="376">
        <f t="shared" si="117"/>
        <v>143</v>
      </c>
      <c r="AY145" s="148" t="str">
        <f t="shared" si="118"/>
        <v>CHILD CF - VEN 2-&gt;CHILD CF - USA 1</v>
      </c>
      <c r="AZ145" s="148" t="str">
        <f t="shared" si="119"/>
        <v>11/19/2017 16:20-&gt;CHILD CF - VEN 2</v>
      </c>
      <c r="BA145" s="148" t="str">
        <f t="shared" si="120"/>
        <v>11/19/2017 16:20-&gt;CHILD CF - USA 1</v>
      </c>
      <c r="BB145" s="374">
        <f t="shared" si="121"/>
        <v>1</v>
      </c>
      <c r="BC145" s="374">
        <f t="shared" si="122"/>
        <v>1</v>
      </c>
      <c r="BD145" s="148" t="str">
        <f t="shared" si="123"/>
        <v>no conflict</v>
      </c>
      <c r="BF145" s="148" t="str">
        <f t="shared" si="124"/>
        <v>11/19/2017 16:20-&gt;CHILD CF - VEN 2</v>
      </c>
      <c r="BG145" s="148" t="str">
        <f t="shared" si="125"/>
        <v>11/19/2017 16:20-&gt;CHILD CF - USA 1</v>
      </c>
      <c r="BH145" s="148" t="str">
        <f t="shared" si="126"/>
        <v>11/19/2017 16:20-&gt;JCC Basketball Out 1</v>
      </c>
      <c r="BI145" s="148" t="str">
        <f t="shared" si="127"/>
        <v>Basketball in JCC Basketball Out 1 (VEN2-USA1)</v>
      </c>
      <c r="BJ145" s="148" t="str">
        <f t="shared" si="128"/>
        <v>Ch C Female Basketball-- CHILD CF - VEN 2 vs. CHILD CF - USA 1</v>
      </c>
      <c r="BK145" s="148" t="str">
        <f t="shared" si="129"/>
        <v>Basketball</v>
      </c>
      <c r="BL145" s="148" t="str">
        <f t="shared" si="130"/>
        <v>CHILD CF - VEN 2</v>
      </c>
      <c r="BM145" s="148" t="str">
        <f t="shared" si="131"/>
        <v>CHILD CF - USA 1</v>
      </c>
      <c r="BN145" s="148" t="str">
        <f t="shared" si="132"/>
        <v>Round - 1</v>
      </c>
      <c r="BP145" s="148" t="str">
        <f t="shared" si="133"/>
        <v>no t, f, or sf</v>
      </c>
      <c r="BQ145" s="148" t="str">
        <f t="shared" si="134"/>
        <v/>
      </c>
    </row>
    <row r="146" spans="1:69" ht="15" customHeight="1" x14ac:dyDescent="0.2">
      <c r="A146" s="376">
        <v>144</v>
      </c>
      <c r="B146" s="441" t="s">
        <v>39</v>
      </c>
      <c r="C146" s="441" t="s">
        <v>518</v>
      </c>
      <c r="D146" s="450">
        <v>1</v>
      </c>
      <c r="E146" s="450">
        <v>1</v>
      </c>
      <c r="F146" s="315" t="s">
        <v>770</v>
      </c>
      <c r="G146" s="320">
        <v>43058</v>
      </c>
      <c r="H146" s="317">
        <v>0.71527777777777779</v>
      </c>
      <c r="I146" s="325" t="s">
        <v>770</v>
      </c>
      <c r="J146" s="441" t="s">
        <v>688</v>
      </c>
      <c r="K146" s="441">
        <v>33</v>
      </c>
      <c r="L146" t="s">
        <v>564</v>
      </c>
      <c r="M146">
        <v>33</v>
      </c>
      <c r="N146" t="s">
        <v>565</v>
      </c>
      <c r="O146" s="153" t="str">
        <f>IF(L146&lt;&gt;"",IFERROR(VLOOKUP(B146&amp;L146,Pools!$A$2:$D$130,3,FALSE),""),"")</f>
        <v/>
      </c>
      <c r="P146" s="388">
        <v>10</v>
      </c>
      <c r="Q146" s="388">
        <v>12</v>
      </c>
      <c r="R146" s="306" t="str">
        <f t="shared" si="90"/>
        <v>10-12</v>
      </c>
      <c r="S146" s="153"/>
      <c r="T146" s="148" t="str">
        <f t="shared" si="91"/>
        <v>Completed</v>
      </c>
      <c r="U146" s="153"/>
      <c r="V146" s="153"/>
      <c r="W146" s="387">
        <f t="shared" si="92"/>
        <v>-2</v>
      </c>
      <c r="X146" s="387">
        <f t="shared" si="93"/>
        <v>2</v>
      </c>
      <c r="Y146" s="301">
        <f t="shared" si="94"/>
        <v>0</v>
      </c>
      <c r="Z146" s="301">
        <f t="shared" si="95"/>
        <v>2</v>
      </c>
      <c r="AA146" s="323" t="str">
        <f>CONCATENATE("                x[team1,team2,sport,'",IF(OR(I146="x",I146=""),VLOOKUP('Schedule from TM'!J146,Tables!$P$3:$Q$33,2,FALSE),'Schedule from TM'!I146),",",J146,"','",IF(OR(F146="x",F146=""),VLOOKUP('Schedule from TM'!G146,Tables!$U$3:$V$14,2,FALSE),'Schedule from TM'!F146),",",TEXT(G146,"mm/dd/yyyy"),"','",TEXT(H146,"h:mm:ss AM/PM"),"'].ub=0.0      #",B146)</f>
        <v xml:space="preserve">                x[team1,team2,sport,'11,JCC Basketball Out 1','11,11/19/2017','5:10:00 PM'].ub=0.0      #Ch C Female Basketball</v>
      </c>
      <c r="AB146" s="301" t="str">
        <f t="shared" si="96"/>
        <v>,,Ch C Female Basketball,,1,CHILD CF - ARG 1</v>
      </c>
      <c r="AC146" s="153" t="str">
        <f t="shared" si="97"/>
        <v>Ch C Female BasketballCHILD CF - ARG 1</v>
      </c>
      <c r="AD146" s="301" t="str">
        <f t="shared" si="98"/>
        <v>,,Ch C Female Basketball,,1,CHILD CF - COL 1</v>
      </c>
      <c r="AE146" s="153" t="str">
        <f t="shared" si="99"/>
        <v>Ch C Female BasketballCHILD CF - COL 1</v>
      </c>
      <c r="AF146" s="383">
        <f t="shared" si="100"/>
        <v>0</v>
      </c>
      <c r="AG146" s="383">
        <f t="shared" si="101"/>
        <v>1</v>
      </c>
      <c r="AH146" s="383">
        <f t="shared" si="102"/>
        <v>0</v>
      </c>
      <c r="AI146" s="383">
        <f t="shared" si="103"/>
        <v>1</v>
      </c>
      <c r="AJ146" s="383">
        <f t="shared" si="104"/>
        <v>0</v>
      </c>
      <c r="AK146" s="383">
        <f t="shared" si="105"/>
        <v>0</v>
      </c>
      <c r="AM146" s="148" t="str">
        <f t="shared" si="106"/>
        <v>Schedulled</v>
      </c>
      <c r="AN146" s="148" t="str">
        <f t="shared" si="107"/>
        <v/>
      </c>
      <c r="AO146" s="156">
        <f t="shared" si="108"/>
        <v>43058.715277777781</v>
      </c>
      <c r="AP146" s="148" t="str">
        <f t="shared" si="109"/>
        <v>11/19/2017 17:10-&gt;JCC Basketball Out 1</v>
      </c>
      <c r="AQ146" s="374">
        <f t="shared" si="110"/>
        <v>1</v>
      </c>
      <c r="AR146" s="148" t="str">
        <f t="shared" si="111"/>
        <v>ARG1</v>
      </c>
      <c r="AS146" s="148" t="str">
        <f t="shared" si="112"/>
        <v>COL1</v>
      </c>
      <c r="AT146" s="157" t="str">
        <f t="shared" si="113"/>
        <v>ARG1-COL1</v>
      </c>
      <c r="AU146" s="157" t="str">
        <f t="shared" si="114"/>
        <v xml:space="preserve">ARG1-COL1 </v>
      </c>
      <c r="AV146" s="157" t="str">
        <f t="shared" si="115"/>
        <v>CHILDREN C FEMALE</v>
      </c>
      <c r="AW146" s="157" t="str">
        <f t="shared" si="116"/>
        <v>Basketball</v>
      </c>
      <c r="AX146" s="376">
        <f t="shared" si="117"/>
        <v>144</v>
      </c>
      <c r="AY146" s="148" t="str">
        <f t="shared" si="118"/>
        <v>CHILD CF - ARG 1-&gt;CHILD CF - COL 1</v>
      </c>
      <c r="AZ146" s="148" t="str">
        <f t="shared" si="119"/>
        <v>11/19/2017 17:10-&gt;CHILD CF - ARG 1</v>
      </c>
      <c r="BA146" s="148" t="str">
        <f t="shared" si="120"/>
        <v>11/19/2017 17:10-&gt;CHILD CF - COL 1</v>
      </c>
      <c r="BB146" s="374">
        <f t="shared" si="121"/>
        <v>1</v>
      </c>
      <c r="BC146" s="374">
        <f t="shared" si="122"/>
        <v>1</v>
      </c>
      <c r="BD146" s="148" t="str">
        <f t="shared" si="123"/>
        <v>no conflict</v>
      </c>
      <c r="BF146" s="148" t="str">
        <f t="shared" si="124"/>
        <v>11/19/2017 17:10-&gt;CHILD CF - ARG 1</v>
      </c>
      <c r="BG146" s="148" t="str">
        <f t="shared" si="125"/>
        <v>11/19/2017 17:10-&gt;CHILD CF - COL 1</v>
      </c>
      <c r="BH146" s="148" t="str">
        <f t="shared" si="126"/>
        <v>11/19/2017 17:10-&gt;JCC Basketball Out 1</v>
      </c>
      <c r="BI146" s="148" t="str">
        <f t="shared" si="127"/>
        <v>Basketball in JCC Basketball Out 1 (ARG1-COL1)</v>
      </c>
      <c r="BJ146" s="148" t="str">
        <f t="shared" si="128"/>
        <v>Ch C Female Basketball-- CHILD CF - ARG 1 vs. CHILD CF - COL 1</v>
      </c>
      <c r="BK146" s="148" t="str">
        <f t="shared" si="129"/>
        <v>Basketball</v>
      </c>
      <c r="BL146" s="148" t="str">
        <f t="shared" si="130"/>
        <v>CHILD CF - ARG 1</v>
      </c>
      <c r="BM146" s="148" t="str">
        <f t="shared" si="131"/>
        <v>CHILD CF - COL 1</v>
      </c>
      <c r="BN146" s="148" t="str">
        <f t="shared" si="132"/>
        <v>Round - 1</v>
      </c>
      <c r="BP146" s="148" t="str">
        <f t="shared" si="133"/>
        <v>no t, f, or sf</v>
      </c>
      <c r="BQ146" s="148" t="str">
        <f t="shared" si="134"/>
        <v/>
      </c>
    </row>
    <row r="147" spans="1:69" ht="15" customHeight="1" x14ac:dyDescent="0.2">
      <c r="A147" s="376">
        <v>145</v>
      </c>
      <c r="B147" s="121" t="s">
        <v>39</v>
      </c>
      <c r="C147" s="121" t="s">
        <v>518</v>
      </c>
      <c r="D147" s="382">
        <v>1</v>
      </c>
      <c r="E147" s="382">
        <v>1</v>
      </c>
      <c r="F147" s="315" t="s">
        <v>770</v>
      </c>
      <c r="G147" s="206">
        <v>43062</v>
      </c>
      <c r="H147" s="317">
        <v>0.36805555555555558</v>
      </c>
      <c r="I147" s="325" t="s">
        <v>770</v>
      </c>
      <c r="J147" s="121" t="s">
        <v>688</v>
      </c>
      <c r="K147" s="444">
        <v>33</v>
      </c>
      <c r="L147" s="121" t="s">
        <v>569</v>
      </c>
      <c r="M147">
        <v>33</v>
      </c>
      <c r="N147" s="121" t="s">
        <v>567</v>
      </c>
      <c r="O147" s="153" t="str">
        <f>IF(L147&lt;&gt;"",IFERROR(VLOOKUP(B147&amp;L147,Pools!$A$2:$D$130,3,FALSE),""),"")</f>
        <v/>
      </c>
      <c r="P147" s="388">
        <v>4</v>
      </c>
      <c r="Q147" s="388">
        <v>2</v>
      </c>
      <c r="R147" s="306" t="str">
        <f t="shared" si="90"/>
        <v>4-2</v>
      </c>
      <c r="S147" s="153"/>
      <c r="T147" s="148" t="str">
        <f t="shared" si="91"/>
        <v>Completed</v>
      </c>
      <c r="U147" s="153"/>
      <c r="V147" s="153"/>
      <c r="W147" s="387">
        <f t="shared" si="92"/>
        <v>2</v>
      </c>
      <c r="X147" s="387">
        <f t="shared" si="93"/>
        <v>-2</v>
      </c>
      <c r="Y147" s="301">
        <f t="shared" si="94"/>
        <v>2</v>
      </c>
      <c r="Z147" s="301">
        <f t="shared" si="95"/>
        <v>0</v>
      </c>
      <c r="AA147" s="323" t="str">
        <f>CONCATENATE("                x[team1,team2,sport,'",IF(OR(I147="x",I147=""),VLOOKUP('Schedule from TM'!J147,Tables!$P$3:$Q$33,2,FALSE),'Schedule from TM'!I147),",",J147,"','",IF(OR(F147="x",F147=""),VLOOKUP('Schedule from TM'!G147,Tables!$U$3:$V$14,2,FALSE),'Schedule from TM'!F147),",",TEXT(G147,"mm/dd/yyyy"),"','",TEXT(H147,"h:mm:ss AM/PM"),"'].ub=0.0      #",B147)</f>
        <v xml:space="preserve">                x[team1,team2,sport,'11,JCC Basketball Out 1','11,11/23/2017','8:50:00 AM'].ub=0.0      #Ch C Female Basketball</v>
      </c>
      <c r="AB147" s="301" t="str">
        <f t="shared" si="96"/>
        <v>,,Ch C Female Basketball,,1,CHILD CF - VEN 1</v>
      </c>
      <c r="AC147" s="153" t="str">
        <f t="shared" si="97"/>
        <v>Ch C Female BasketballCHILD CF - VEN 1</v>
      </c>
      <c r="AD147" s="301" t="str">
        <f t="shared" si="98"/>
        <v>,,Ch C Female Basketball,,1,CHILD CF - USA 1</v>
      </c>
      <c r="AE147" s="153" t="str">
        <f t="shared" si="99"/>
        <v>Ch C Female BasketballCHILD CF - USA 1</v>
      </c>
      <c r="AF147" s="383">
        <f t="shared" si="100"/>
        <v>1</v>
      </c>
      <c r="AG147" s="383">
        <f t="shared" si="101"/>
        <v>0</v>
      </c>
      <c r="AH147" s="383">
        <f t="shared" si="102"/>
        <v>0</v>
      </c>
      <c r="AI147" s="383">
        <f t="shared" si="103"/>
        <v>0</v>
      </c>
      <c r="AJ147" s="383">
        <f t="shared" si="104"/>
        <v>1</v>
      </c>
      <c r="AK147" s="383">
        <f t="shared" si="105"/>
        <v>0</v>
      </c>
      <c r="AM147" s="148" t="str">
        <f t="shared" si="106"/>
        <v>Schedulled</v>
      </c>
      <c r="AN147" s="148" t="str">
        <f t="shared" si="107"/>
        <v/>
      </c>
      <c r="AO147" s="156">
        <f t="shared" si="108"/>
        <v>43062.368055555555</v>
      </c>
      <c r="AP147" s="148" t="str">
        <f t="shared" si="109"/>
        <v>11/23/2017 08:50-&gt;JCC Basketball Out 1</v>
      </c>
      <c r="AQ147" s="374">
        <f t="shared" si="110"/>
        <v>1</v>
      </c>
      <c r="AR147" s="148" t="str">
        <f t="shared" si="111"/>
        <v>VEN1</v>
      </c>
      <c r="AS147" s="148" t="str">
        <f t="shared" si="112"/>
        <v>USA1</v>
      </c>
      <c r="AT147" s="157" t="str">
        <f t="shared" si="113"/>
        <v>VEN1-USA1</v>
      </c>
      <c r="AU147" s="157" t="str">
        <f t="shared" si="114"/>
        <v xml:space="preserve">VEN1-USA1 </v>
      </c>
      <c r="AV147" s="157" t="str">
        <f t="shared" si="115"/>
        <v>CHILDREN C FEMALE</v>
      </c>
      <c r="AW147" s="157" t="str">
        <f t="shared" si="116"/>
        <v>Basketball</v>
      </c>
      <c r="AX147" s="376">
        <f t="shared" si="117"/>
        <v>145</v>
      </c>
      <c r="AY147" s="148" t="str">
        <f t="shared" si="118"/>
        <v>CHILD CF - VEN 1-&gt;CHILD CF - USA 1</v>
      </c>
      <c r="AZ147" s="148" t="str">
        <f t="shared" si="119"/>
        <v>11/23/2017 08:50-&gt;CHILD CF - VEN 1</v>
      </c>
      <c r="BA147" s="148" t="str">
        <f t="shared" si="120"/>
        <v>11/23/2017 08:50-&gt;CHILD CF - USA 1</v>
      </c>
      <c r="BB147" s="374">
        <f t="shared" si="121"/>
        <v>1</v>
      </c>
      <c r="BC147" s="374">
        <f t="shared" si="122"/>
        <v>1</v>
      </c>
      <c r="BD147" s="148" t="str">
        <f t="shared" si="123"/>
        <v>no conflict</v>
      </c>
      <c r="BF147" s="148" t="str">
        <f t="shared" si="124"/>
        <v>11/23/2017 08:50-&gt;CHILD CF - VEN 1</v>
      </c>
      <c r="BG147" s="148" t="str">
        <f t="shared" si="125"/>
        <v>11/23/2017 08:50-&gt;CHILD CF - USA 1</v>
      </c>
      <c r="BH147" s="148" t="str">
        <f t="shared" si="126"/>
        <v>11/23/2017 08:50-&gt;JCC Basketball Out 1</v>
      </c>
      <c r="BI147" s="148" t="str">
        <f t="shared" si="127"/>
        <v>Basketball in JCC Basketball Out 1 (VEN1-USA1)</v>
      </c>
      <c r="BJ147" s="148" t="str">
        <f t="shared" si="128"/>
        <v>Ch C Female Basketball-- CHILD CF - VEN 1 vs. CHILD CF - USA 1</v>
      </c>
      <c r="BK147" s="148" t="str">
        <f t="shared" si="129"/>
        <v>Basketball</v>
      </c>
      <c r="BL147" s="148" t="str">
        <f t="shared" si="130"/>
        <v>CHILD CF - VEN 1</v>
      </c>
      <c r="BM147" s="148" t="str">
        <f t="shared" si="131"/>
        <v>CHILD CF - USA 1</v>
      </c>
      <c r="BN147" s="148" t="str">
        <f t="shared" si="132"/>
        <v>Round - 1</v>
      </c>
      <c r="BP147" s="148" t="str">
        <f t="shared" si="133"/>
        <v>no t, f, or sf</v>
      </c>
      <c r="BQ147" s="148" t="str">
        <f t="shared" si="134"/>
        <v/>
      </c>
    </row>
    <row r="148" spans="1:69" ht="15" customHeight="1" x14ac:dyDescent="0.2">
      <c r="A148" s="376">
        <v>146</v>
      </c>
      <c r="B148" s="315" t="s">
        <v>39</v>
      </c>
      <c r="C148" s="315" t="s">
        <v>518</v>
      </c>
      <c r="D148" s="378">
        <v>1</v>
      </c>
      <c r="E148" s="378">
        <v>1</v>
      </c>
      <c r="F148" s="315" t="s">
        <v>770</v>
      </c>
      <c r="G148" s="316">
        <v>43062</v>
      </c>
      <c r="H148" s="317">
        <v>0.4375</v>
      </c>
      <c r="I148" s="325" t="s">
        <v>770</v>
      </c>
      <c r="J148" s="444" t="s">
        <v>688</v>
      </c>
      <c r="K148" s="315">
        <v>33</v>
      </c>
      <c r="L148" t="s">
        <v>567</v>
      </c>
      <c r="M148">
        <v>33</v>
      </c>
      <c r="N148" t="s">
        <v>565</v>
      </c>
      <c r="O148" s="153" t="str">
        <f>IF(L148&lt;&gt;"",IFERROR(VLOOKUP(B148&amp;L148,Pools!$A$2:$D$130,3,FALSE),""),"")</f>
        <v/>
      </c>
      <c r="P148" s="388">
        <v>7</v>
      </c>
      <c r="Q148" s="388">
        <v>6</v>
      </c>
      <c r="R148" s="306" t="str">
        <f t="shared" si="90"/>
        <v>7-6</v>
      </c>
      <c r="S148" s="153"/>
      <c r="T148" s="148" t="str">
        <f t="shared" si="91"/>
        <v>Completed</v>
      </c>
      <c r="U148" s="153"/>
      <c r="V148" s="153"/>
      <c r="W148" s="387">
        <f t="shared" si="92"/>
        <v>1</v>
      </c>
      <c r="X148" s="387">
        <f t="shared" si="93"/>
        <v>-1</v>
      </c>
      <c r="Y148" s="301">
        <f t="shared" si="94"/>
        <v>2</v>
      </c>
      <c r="Z148" s="301">
        <f t="shared" si="95"/>
        <v>0</v>
      </c>
      <c r="AA148" s="323" t="str">
        <f>CONCATENATE("                x[team1,team2,sport,'",IF(OR(I148="x",I148=""),VLOOKUP('Schedule from TM'!J148,Tables!$P$3:$Q$33,2,FALSE),'Schedule from TM'!I148),",",J148,"','",IF(OR(F148="x",F148=""),VLOOKUP('Schedule from TM'!G148,Tables!$U$3:$V$14,2,FALSE),'Schedule from TM'!F148),",",TEXT(G148,"mm/dd/yyyy"),"','",TEXT(H148,"h:mm:ss AM/PM"),"'].ub=0.0      #",B148)</f>
        <v xml:space="preserve">                x[team1,team2,sport,'11,JCC Basketball Out 1','11,11/23/2017','10:30:00 AM'].ub=0.0      #Ch C Female Basketball</v>
      </c>
      <c r="AB148" s="301" t="str">
        <f t="shared" si="96"/>
        <v>,,Ch C Female Basketball,,1,CHILD CF - USA 1</v>
      </c>
      <c r="AC148" s="153" t="str">
        <f t="shared" si="97"/>
        <v>Ch C Female BasketballCHILD CF - USA 1</v>
      </c>
      <c r="AD148" s="301" t="str">
        <f t="shared" si="98"/>
        <v>,,Ch C Female Basketball,,1,CHILD CF - COL 1</v>
      </c>
      <c r="AE148" s="153" t="str">
        <f t="shared" si="99"/>
        <v>Ch C Female BasketballCHILD CF - COL 1</v>
      </c>
      <c r="AF148" s="383">
        <f t="shared" si="100"/>
        <v>1</v>
      </c>
      <c r="AG148" s="383">
        <f t="shared" si="101"/>
        <v>0</v>
      </c>
      <c r="AH148" s="383">
        <f t="shared" si="102"/>
        <v>0</v>
      </c>
      <c r="AI148" s="383">
        <f t="shared" si="103"/>
        <v>0</v>
      </c>
      <c r="AJ148" s="383">
        <f t="shared" si="104"/>
        <v>1</v>
      </c>
      <c r="AK148" s="383">
        <f t="shared" si="105"/>
        <v>0</v>
      </c>
      <c r="AM148" s="148" t="str">
        <f t="shared" si="106"/>
        <v>Schedulled</v>
      </c>
      <c r="AN148" s="148" t="str">
        <f t="shared" si="107"/>
        <v/>
      </c>
      <c r="AO148" s="156">
        <f t="shared" si="108"/>
        <v>43062.4375</v>
      </c>
      <c r="AP148" s="148" t="str">
        <f t="shared" si="109"/>
        <v>11/23/2017 10:30-&gt;JCC Basketball Out 1</v>
      </c>
      <c r="AQ148" s="374">
        <f t="shared" si="110"/>
        <v>1</v>
      </c>
      <c r="AR148" s="148" t="str">
        <f t="shared" si="111"/>
        <v>USA1</v>
      </c>
      <c r="AS148" s="148" t="str">
        <f t="shared" si="112"/>
        <v>COL1</v>
      </c>
      <c r="AT148" s="157" t="str">
        <f t="shared" si="113"/>
        <v>USA1-COL1</v>
      </c>
      <c r="AU148" s="157" t="str">
        <f t="shared" si="114"/>
        <v xml:space="preserve">USA1-COL1 </v>
      </c>
      <c r="AV148" s="157" t="str">
        <f t="shared" si="115"/>
        <v>CHILDREN C FEMALE</v>
      </c>
      <c r="AW148" s="157" t="str">
        <f t="shared" si="116"/>
        <v>Basketball</v>
      </c>
      <c r="AX148" s="376">
        <f t="shared" si="117"/>
        <v>146</v>
      </c>
      <c r="AY148" s="148" t="str">
        <f t="shared" si="118"/>
        <v>CHILD CF - USA 1-&gt;CHILD CF - COL 1</v>
      </c>
      <c r="AZ148" s="148" t="str">
        <f t="shared" si="119"/>
        <v>11/23/2017 10:30-&gt;CHILD CF - USA 1</v>
      </c>
      <c r="BA148" s="148" t="str">
        <f t="shared" si="120"/>
        <v>11/23/2017 10:30-&gt;CHILD CF - COL 1</v>
      </c>
      <c r="BB148" s="374">
        <f t="shared" si="121"/>
        <v>1</v>
      </c>
      <c r="BC148" s="374">
        <f t="shared" si="122"/>
        <v>1</v>
      </c>
      <c r="BD148" s="148" t="str">
        <f t="shared" si="123"/>
        <v>no conflict</v>
      </c>
      <c r="BF148" s="148" t="str">
        <f t="shared" si="124"/>
        <v>11/23/2017 10:30-&gt;CHILD CF - USA 1</v>
      </c>
      <c r="BG148" s="148" t="str">
        <f t="shared" si="125"/>
        <v>11/23/2017 10:30-&gt;CHILD CF - COL 1</v>
      </c>
      <c r="BH148" s="148" t="str">
        <f t="shared" si="126"/>
        <v>11/23/2017 10:30-&gt;JCC Basketball Out 1</v>
      </c>
      <c r="BI148" s="148" t="str">
        <f t="shared" si="127"/>
        <v>Basketball in JCC Basketball Out 1 (USA1-COL1)</v>
      </c>
      <c r="BJ148" s="148" t="str">
        <f t="shared" si="128"/>
        <v>Ch C Female Basketball-- CHILD CF - USA 1 vs. CHILD CF - COL 1</v>
      </c>
      <c r="BK148" s="148" t="str">
        <f t="shared" si="129"/>
        <v>Basketball</v>
      </c>
      <c r="BL148" s="148" t="str">
        <f t="shared" si="130"/>
        <v>CHILD CF - USA 1</v>
      </c>
      <c r="BM148" s="148" t="str">
        <f t="shared" si="131"/>
        <v>CHILD CF - COL 1</v>
      </c>
      <c r="BN148" s="148" t="str">
        <f t="shared" si="132"/>
        <v>Round - 1</v>
      </c>
      <c r="BP148" s="148" t="str">
        <f t="shared" si="133"/>
        <v>no t, f, or sf</v>
      </c>
      <c r="BQ148" s="148" t="str">
        <f t="shared" si="134"/>
        <v/>
      </c>
    </row>
    <row r="149" spans="1:69" ht="15" customHeight="1" x14ac:dyDescent="0.2">
      <c r="A149" s="376">
        <v>147</v>
      </c>
      <c r="B149" s="315" t="s">
        <v>39</v>
      </c>
      <c r="C149" s="315" t="s">
        <v>518</v>
      </c>
      <c r="D149" s="378">
        <v>1</v>
      </c>
      <c r="E149" s="378">
        <v>1</v>
      </c>
      <c r="F149" s="315" t="s">
        <v>770</v>
      </c>
      <c r="G149" s="316">
        <v>43062</v>
      </c>
      <c r="H149" s="317">
        <v>0.50694444444444442</v>
      </c>
      <c r="I149" s="325" t="s">
        <v>770</v>
      </c>
      <c r="J149" s="444" t="s">
        <v>688</v>
      </c>
      <c r="K149" s="315">
        <v>33</v>
      </c>
      <c r="L149" t="s">
        <v>570</v>
      </c>
      <c r="M149">
        <v>33</v>
      </c>
      <c r="N149" t="s">
        <v>568</v>
      </c>
      <c r="O149" s="153" t="str">
        <f>IF(L149&lt;&gt;"",IFERROR(VLOOKUP(B149&amp;L149,Pools!$A$2:$D$130,3,FALSE),""),"")</f>
        <v/>
      </c>
      <c r="P149" s="388">
        <v>6</v>
      </c>
      <c r="Q149" s="388">
        <v>4</v>
      </c>
      <c r="R149" s="306" t="str">
        <f t="shared" si="90"/>
        <v>6-4</v>
      </c>
      <c r="S149" s="153"/>
      <c r="T149" s="148" t="str">
        <f t="shared" si="91"/>
        <v>Completed</v>
      </c>
      <c r="U149" s="153"/>
      <c r="V149" s="153"/>
      <c r="W149" s="387">
        <f t="shared" si="92"/>
        <v>2</v>
      </c>
      <c r="X149" s="387">
        <f t="shared" si="93"/>
        <v>-2</v>
      </c>
      <c r="Y149" s="301">
        <f t="shared" si="94"/>
        <v>2</v>
      </c>
      <c r="Z149" s="301">
        <f t="shared" si="95"/>
        <v>0</v>
      </c>
      <c r="AA149" s="323" t="str">
        <f>CONCATENATE("                x[team1,team2,sport,'",IF(OR(I149="x",I149=""),VLOOKUP('Schedule from TM'!J149,Tables!$P$3:$Q$33,2,FALSE),'Schedule from TM'!I149),",",J149,"','",IF(OR(F149="x",F149=""),VLOOKUP('Schedule from TM'!G149,Tables!$U$3:$V$14,2,FALSE),'Schedule from TM'!F149),",",TEXT(G149,"mm/dd/yyyy"),"','",TEXT(H149,"h:mm:ss AM/PM"),"'].ub=0.0      #",B149)</f>
        <v xml:space="preserve">                x[team1,team2,sport,'11,JCC Basketball Out 1','11,11/23/2017','12:10:00 PM'].ub=0.0      #Ch C Female Basketball</v>
      </c>
      <c r="AB149" s="301" t="str">
        <f t="shared" si="96"/>
        <v>,,Ch C Female Basketball,,1,CHILD CF - VEN 2</v>
      </c>
      <c r="AC149" s="153" t="str">
        <f t="shared" si="97"/>
        <v>Ch C Female BasketballCHILD CF - VEN 2</v>
      </c>
      <c r="AD149" s="301" t="str">
        <f t="shared" si="98"/>
        <v>,,Ch C Female Basketball,,1,CHILD CF - USA 2</v>
      </c>
      <c r="AE149" s="153" t="str">
        <f t="shared" si="99"/>
        <v>Ch C Female BasketballCHILD CF - USA 2</v>
      </c>
      <c r="AF149" s="383">
        <f t="shared" si="100"/>
        <v>1</v>
      </c>
      <c r="AG149" s="383">
        <f t="shared" si="101"/>
        <v>0</v>
      </c>
      <c r="AH149" s="383">
        <f t="shared" si="102"/>
        <v>0</v>
      </c>
      <c r="AI149" s="383">
        <f t="shared" si="103"/>
        <v>0</v>
      </c>
      <c r="AJ149" s="383">
        <f t="shared" si="104"/>
        <v>1</v>
      </c>
      <c r="AK149" s="383">
        <f t="shared" si="105"/>
        <v>0</v>
      </c>
      <c r="AM149" s="148" t="str">
        <f t="shared" si="106"/>
        <v>Schedulled</v>
      </c>
      <c r="AN149" s="148" t="str">
        <f t="shared" si="107"/>
        <v/>
      </c>
      <c r="AO149" s="156">
        <f t="shared" si="108"/>
        <v>43062.506944444445</v>
      </c>
      <c r="AP149" s="148" t="str">
        <f t="shared" si="109"/>
        <v>11/23/2017 12:10-&gt;JCC Basketball Out 1</v>
      </c>
      <c r="AQ149" s="374">
        <f t="shared" si="110"/>
        <v>1</v>
      </c>
      <c r="AR149" s="148" t="str">
        <f t="shared" si="111"/>
        <v>VEN2</v>
      </c>
      <c r="AS149" s="148" t="str">
        <f t="shared" si="112"/>
        <v>USA2</v>
      </c>
      <c r="AT149" s="157" t="str">
        <f t="shared" si="113"/>
        <v>VEN2-USA2</v>
      </c>
      <c r="AU149" s="157" t="str">
        <f t="shared" si="114"/>
        <v xml:space="preserve">VEN2-USA2 </v>
      </c>
      <c r="AV149" s="157" t="str">
        <f t="shared" si="115"/>
        <v>CHILDREN C FEMALE</v>
      </c>
      <c r="AW149" s="157" t="str">
        <f t="shared" si="116"/>
        <v>Basketball</v>
      </c>
      <c r="AX149" s="376">
        <f t="shared" si="117"/>
        <v>147</v>
      </c>
      <c r="AY149" s="148" t="str">
        <f t="shared" si="118"/>
        <v>CHILD CF - VEN 2-&gt;CHILD CF - USA 2</v>
      </c>
      <c r="AZ149" s="148" t="str">
        <f t="shared" si="119"/>
        <v>11/23/2017 12:10-&gt;CHILD CF - VEN 2</v>
      </c>
      <c r="BA149" s="148" t="str">
        <f t="shared" si="120"/>
        <v>11/23/2017 12:10-&gt;CHILD CF - USA 2</v>
      </c>
      <c r="BB149" s="374">
        <f t="shared" si="121"/>
        <v>1</v>
      </c>
      <c r="BC149" s="374">
        <f t="shared" si="122"/>
        <v>1</v>
      </c>
      <c r="BD149" s="148" t="str">
        <f t="shared" si="123"/>
        <v>no conflict</v>
      </c>
      <c r="BF149" s="148" t="str">
        <f t="shared" si="124"/>
        <v>11/23/2017 12:10-&gt;CHILD CF - VEN 2</v>
      </c>
      <c r="BG149" s="148" t="str">
        <f t="shared" si="125"/>
        <v>11/23/2017 12:10-&gt;CHILD CF - USA 2</v>
      </c>
      <c r="BH149" s="148" t="str">
        <f t="shared" si="126"/>
        <v>11/23/2017 12:10-&gt;JCC Basketball Out 1</v>
      </c>
      <c r="BI149" s="148" t="str">
        <f t="shared" si="127"/>
        <v>Basketball in JCC Basketball Out 1 (VEN2-USA2)</v>
      </c>
      <c r="BJ149" s="148" t="str">
        <f t="shared" si="128"/>
        <v>Ch C Female Basketball-- CHILD CF - VEN 2 vs. CHILD CF - USA 2</v>
      </c>
      <c r="BK149" s="148" t="str">
        <f t="shared" si="129"/>
        <v>Basketball</v>
      </c>
      <c r="BL149" s="148" t="str">
        <f t="shared" si="130"/>
        <v>CHILD CF - VEN 2</v>
      </c>
      <c r="BM149" s="148" t="str">
        <f t="shared" si="131"/>
        <v>CHILD CF - USA 2</v>
      </c>
      <c r="BN149" s="148" t="str">
        <f t="shared" si="132"/>
        <v>Round - 1</v>
      </c>
      <c r="BP149" s="148" t="str">
        <f t="shared" si="133"/>
        <v>no t, f, or sf</v>
      </c>
      <c r="BQ149" s="148" t="str">
        <f t="shared" si="134"/>
        <v/>
      </c>
    </row>
    <row r="150" spans="1:69" ht="15" customHeight="1" x14ac:dyDescent="0.2">
      <c r="A150" s="376">
        <v>148</v>
      </c>
      <c r="B150" s="444" t="s">
        <v>39</v>
      </c>
      <c r="C150" s="444" t="s">
        <v>518</v>
      </c>
      <c r="D150" s="451">
        <v>1</v>
      </c>
      <c r="E150" s="451">
        <v>1</v>
      </c>
      <c r="F150" s="315" t="s">
        <v>770</v>
      </c>
      <c r="G150" s="445">
        <v>43063</v>
      </c>
      <c r="H150" s="454">
        <v>0.33333333333333331</v>
      </c>
      <c r="I150" s="325" t="s">
        <v>770</v>
      </c>
      <c r="J150" s="444" t="s">
        <v>688</v>
      </c>
      <c r="K150" s="444">
        <v>33</v>
      </c>
      <c r="L150" s="433" t="s">
        <v>564</v>
      </c>
      <c r="M150" s="433">
        <v>33</v>
      </c>
      <c r="N150" s="433" t="s">
        <v>568</v>
      </c>
      <c r="O150" s="153" t="str">
        <f>IF(L150&lt;&gt;"",IFERROR(VLOOKUP(B150&amp;L150,Pools!$A$2:$D$130,3,FALSE),""),"")</f>
        <v/>
      </c>
      <c r="P150" s="388">
        <v>15</v>
      </c>
      <c r="Q150" s="388">
        <v>0</v>
      </c>
      <c r="R150" s="306" t="str">
        <f t="shared" si="90"/>
        <v>15-0</v>
      </c>
      <c r="S150" s="153"/>
      <c r="T150" s="148" t="str">
        <f t="shared" si="91"/>
        <v>Completed</v>
      </c>
      <c r="U150" s="153"/>
      <c r="V150" s="153"/>
      <c r="W150" s="387">
        <f t="shared" si="92"/>
        <v>15</v>
      </c>
      <c r="X150" s="387">
        <f t="shared" si="93"/>
        <v>-15</v>
      </c>
      <c r="Y150" s="301">
        <f t="shared" si="94"/>
        <v>2</v>
      </c>
      <c r="Z150" s="301">
        <f t="shared" si="95"/>
        <v>0</v>
      </c>
      <c r="AA150" s="323" t="str">
        <f>CONCATENATE("                x[team1,team2,sport,'",IF(OR(I150="x",I150=""),VLOOKUP('Schedule from TM'!J150,Tables!$P$3:$Q$33,2,FALSE),'Schedule from TM'!I150),",",J150,"','",IF(OR(F150="x",F150=""),VLOOKUP('Schedule from TM'!G150,Tables!$U$3:$V$14,2,FALSE),'Schedule from TM'!F150),",",TEXT(G150,"mm/dd/yyyy"),"','",TEXT(H150,"h:mm:ss AM/PM"),"'].ub=0.0      #",B150)</f>
        <v xml:space="preserve">                x[team1,team2,sport,'11,JCC Basketball Out 1','11,11/24/2017','8:00:00 AM'].ub=0.0      #Ch C Female Basketball</v>
      </c>
      <c r="AB150" s="301" t="str">
        <f t="shared" si="96"/>
        <v>,,Ch C Female Basketball,,1,CHILD CF - ARG 1</v>
      </c>
      <c r="AC150" s="153" t="str">
        <f t="shared" si="97"/>
        <v>Ch C Female BasketballCHILD CF - ARG 1</v>
      </c>
      <c r="AD150" s="301" t="str">
        <f t="shared" si="98"/>
        <v>,,Ch C Female Basketball,,1,CHILD CF - USA 2</v>
      </c>
      <c r="AE150" s="153" t="str">
        <f t="shared" si="99"/>
        <v>Ch C Female BasketballCHILD CF - USA 2</v>
      </c>
      <c r="AF150" s="383">
        <f t="shared" si="100"/>
        <v>1</v>
      </c>
      <c r="AG150" s="383">
        <f t="shared" si="101"/>
        <v>0</v>
      </c>
      <c r="AH150" s="383">
        <f t="shared" si="102"/>
        <v>0</v>
      </c>
      <c r="AI150" s="383">
        <f t="shared" si="103"/>
        <v>0</v>
      </c>
      <c r="AJ150" s="383">
        <f t="shared" si="104"/>
        <v>1</v>
      </c>
      <c r="AK150" s="383">
        <f t="shared" si="105"/>
        <v>0</v>
      </c>
      <c r="AM150" s="148" t="str">
        <f t="shared" si="106"/>
        <v>Schedulled</v>
      </c>
      <c r="AN150" s="148" t="str">
        <f t="shared" si="107"/>
        <v/>
      </c>
      <c r="AO150" s="156">
        <f t="shared" si="108"/>
        <v>43063.333333333336</v>
      </c>
      <c r="AP150" s="148" t="str">
        <f t="shared" si="109"/>
        <v>11/24/2017 08:00-&gt;JCC Basketball Out 1</v>
      </c>
      <c r="AQ150" s="374">
        <f t="shared" si="110"/>
        <v>1</v>
      </c>
      <c r="AR150" s="148" t="str">
        <f t="shared" si="111"/>
        <v>ARG1</v>
      </c>
      <c r="AS150" s="148" t="str">
        <f t="shared" si="112"/>
        <v>USA2</v>
      </c>
      <c r="AT150" s="157" t="str">
        <f t="shared" si="113"/>
        <v>ARG1-USA2</v>
      </c>
      <c r="AU150" s="157" t="str">
        <f t="shared" si="114"/>
        <v xml:space="preserve">ARG1-USA2 </v>
      </c>
      <c r="AV150" s="157" t="str">
        <f t="shared" si="115"/>
        <v>CHILDREN C FEMALE</v>
      </c>
      <c r="AW150" s="157" t="str">
        <f t="shared" si="116"/>
        <v>Basketball</v>
      </c>
      <c r="AX150" s="376">
        <f t="shared" si="117"/>
        <v>148</v>
      </c>
      <c r="AY150" s="148" t="str">
        <f t="shared" si="118"/>
        <v>CHILD CF - ARG 1-&gt;CHILD CF - USA 2</v>
      </c>
      <c r="AZ150" s="148" t="str">
        <f t="shared" si="119"/>
        <v>11/24/2017 08:00-&gt;CHILD CF - ARG 1</v>
      </c>
      <c r="BA150" s="148" t="str">
        <f t="shared" si="120"/>
        <v>11/24/2017 08:00-&gt;CHILD CF - USA 2</v>
      </c>
      <c r="BB150" s="374">
        <f t="shared" si="121"/>
        <v>1</v>
      </c>
      <c r="BC150" s="374">
        <f t="shared" si="122"/>
        <v>1</v>
      </c>
      <c r="BD150" s="148" t="str">
        <f t="shared" si="123"/>
        <v>no conflict</v>
      </c>
      <c r="BF150" s="148" t="str">
        <f t="shared" si="124"/>
        <v>11/24/2017 08:00-&gt;CHILD CF - ARG 1</v>
      </c>
      <c r="BG150" s="148" t="str">
        <f t="shared" si="125"/>
        <v>11/24/2017 08:00-&gt;CHILD CF - USA 2</v>
      </c>
      <c r="BH150" s="148" t="str">
        <f t="shared" si="126"/>
        <v>11/24/2017 08:00-&gt;JCC Basketball Out 1</v>
      </c>
      <c r="BI150" s="148" t="str">
        <f t="shared" si="127"/>
        <v>Basketball in JCC Basketball Out 1 (ARG1-USA2)</v>
      </c>
      <c r="BJ150" s="148" t="str">
        <f t="shared" si="128"/>
        <v>Ch C Female Basketball-- CHILD CF - ARG 1 vs. CHILD CF - USA 2</v>
      </c>
      <c r="BK150" s="148" t="str">
        <f t="shared" si="129"/>
        <v>Basketball</v>
      </c>
      <c r="BL150" s="148" t="str">
        <f t="shared" si="130"/>
        <v>CHILD CF - ARG 1</v>
      </c>
      <c r="BM150" s="148" t="str">
        <f t="shared" si="131"/>
        <v>CHILD CF - USA 2</v>
      </c>
      <c r="BN150" s="148" t="str">
        <f t="shared" si="132"/>
        <v>Round - 1</v>
      </c>
      <c r="BP150" s="148" t="str">
        <f t="shared" si="133"/>
        <v>no t, f, or sf</v>
      </c>
      <c r="BQ150" s="148" t="str">
        <f t="shared" si="134"/>
        <v/>
      </c>
    </row>
    <row r="151" spans="1:69" ht="15" customHeight="1" x14ac:dyDescent="0.2">
      <c r="A151" s="376">
        <v>149</v>
      </c>
      <c r="B151" s="444" t="s">
        <v>39</v>
      </c>
      <c r="C151" s="444" t="s">
        <v>518</v>
      </c>
      <c r="D151" s="451">
        <v>1</v>
      </c>
      <c r="E151" s="451">
        <v>1</v>
      </c>
      <c r="F151" s="315" t="s">
        <v>770</v>
      </c>
      <c r="G151" s="445">
        <v>43063</v>
      </c>
      <c r="H151" s="454">
        <v>0.47222222222222227</v>
      </c>
      <c r="I151" s="325" t="s">
        <v>770</v>
      </c>
      <c r="J151" s="444" t="s">
        <v>688</v>
      </c>
      <c r="K151" s="444">
        <v>33</v>
      </c>
      <c r="L151" s="433" t="s">
        <v>570</v>
      </c>
      <c r="M151" s="433">
        <v>33</v>
      </c>
      <c r="N151" s="433" t="s">
        <v>565</v>
      </c>
      <c r="O151" s="153" t="str">
        <f>IF(L151&lt;&gt;"",IFERROR(VLOOKUP(B151&amp;L151,Pools!$A$2:$D$130,3,FALSE),""),"")</f>
        <v/>
      </c>
      <c r="P151" s="388">
        <v>14</v>
      </c>
      <c r="Q151" s="388">
        <v>17</v>
      </c>
      <c r="R151" s="306" t="str">
        <f t="shared" si="90"/>
        <v>14-17</v>
      </c>
      <c r="S151" s="153"/>
      <c r="T151" s="148" t="str">
        <f t="shared" si="91"/>
        <v>Completed</v>
      </c>
      <c r="U151" s="153"/>
      <c r="V151" s="153"/>
      <c r="W151" s="387">
        <f t="shared" si="92"/>
        <v>-3</v>
      </c>
      <c r="X151" s="387">
        <f t="shared" si="93"/>
        <v>3</v>
      </c>
      <c r="Y151" s="301">
        <f t="shared" si="94"/>
        <v>0</v>
      </c>
      <c r="Z151" s="301">
        <f t="shared" si="95"/>
        <v>2</v>
      </c>
      <c r="AA151" s="323" t="str">
        <f>CONCATENATE("                x[team1,team2,sport,'",IF(OR(I151="x",I151=""),VLOOKUP('Schedule from TM'!J151,Tables!$P$3:$Q$33,2,FALSE),'Schedule from TM'!I151),",",J151,"','",IF(OR(F151="x",F151=""),VLOOKUP('Schedule from TM'!G151,Tables!$U$3:$V$14,2,FALSE),'Schedule from TM'!F151),",",TEXT(G151,"mm/dd/yyyy"),"','",TEXT(H151,"h:mm:ss AM/PM"),"'].ub=0.0      #",B151)</f>
        <v xml:space="preserve">                x[team1,team2,sport,'11,JCC Basketball Out 1','11,11/24/2017','11:20:00 AM'].ub=0.0      #Ch C Female Basketball</v>
      </c>
      <c r="AB151" s="301" t="str">
        <f t="shared" si="96"/>
        <v>,,Ch C Female Basketball,,1,CHILD CF - VEN 2</v>
      </c>
      <c r="AC151" s="153" t="str">
        <f t="shared" si="97"/>
        <v>Ch C Female BasketballCHILD CF - VEN 2</v>
      </c>
      <c r="AD151" s="301" t="str">
        <f t="shared" si="98"/>
        <v>,,Ch C Female Basketball,,1,CHILD CF - COL 1</v>
      </c>
      <c r="AE151" s="153" t="str">
        <f t="shared" si="99"/>
        <v>Ch C Female BasketballCHILD CF - COL 1</v>
      </c>
      <c r="AF151" s="383">
        <f t="shared" si="100"/>
        <v>0</v>
      </c>
      <c r="AG151" s="383">
        <f t="shared" si="101"/>
        <v>1</v>
      </c>
      <c r="AH151" s="383">
        <f t="shared" si="102"/>
        <v>0</v>
      </c>
      <c r="AI151" s="383">
        <f t="shared" si="103"/>
        <v>1</v>
      </c>
      <c r="AJ151" s="383">
        <f t="shared" si="104"/>
        <v>0</v>
      </c>
      <c r="AK151" s="383">
        <f t="shared" si="105"/>
        <v>0</v>
      </c>
      <c r="AM151" s="148" t="str">
        <f t="shared" si="106"/>
        <v>Schedulled</v>
      </c>
      <c r="AN151" s="148" t="str">
        <f t="shared" si="107"/>
        <v/>
      </c>
      <c r="AO151" s="156">
        <f t="shared" si="108"/>
        <v>43063.472222222219</v>
      </c>
      <c r="AP151" s="148" t="str">
        <f t="shared" si="109"/>
        <v>11/24/2017 11:20-&gt;JCC Basketball Out 1</v>
      </c>
      <c r="AQ151" s="374">
        <f t="shared" si="110"/>
        <v>1</v>
      </c>
      <c r="AR151" s="148" t="str">
        <f t="shared" si="111"/>
        <v>VEN2</v>
      </c>
      <c r="AS151" s="148" t="str">
        <f t="shared" si="112"/>
        <v>COL1</v>
      </c>
      <c r="AT151" s="157" t="str">
        <f t="shared" si="113"/>
        <v>VEN2-COL1</v>
      </c>
      <c r="AU151" s="157" t="str">
        <f t="shared" si="114"/>
        <v xml:space="preserve">VEN2-COL1 </v>
      </c>
      <c r="AV151" s="157" t="str">
        <f t="shared" si="115"/>
        <v>CHILDREN C FEMALE</v>
      </c>
      <c r="AW151" s="157" t="str">
        <f t="shared" si="116"/>
        <v>Basketball</v>
      </c>
      <c r="AX151" s="376">
        <f t="shared" si="117"/>
        <v>149</v>
      </c>
      <c r="AY151" s="148" t="str">
        <f t="shared" si="118"/>
        <v>CHILD CF - VEN 2-&gt;CHILD CF - COL 1</v>
      </c>
      <c r="AZ151" s="148" t="str">
        <f t="shared" si="119"/>
        <v>11/24/2017 11:20-&gt;CHILD CF - VEN 2</v>
      </c>
      <c r="BA151" s="148" t="str">
        <f t="shared" si="120"/>
        <v>11/24/2017 11:20-&gt;CHILD CF - COL 1</v>
      </c>
      <c r="BB151" s="374">
        <f t="shared" si="121"/>
        <v>1</v>
      </c>
      <c r="BC151" s="374">
        <f t="shared" si="122"/>
        <v>1</v>
      </c>
      <c r="BD151" s="148" t="str">
        <f t="shared" si="123"/>
        <v>no conflict</v>
      </c>
      <c r="BF151" s="148" t="str">
        <f t="shared" si="124"/>
        <v>11/24/2017 11:20-&gt;CHILD CF - VEN 2</v>
      </c>
      <c r="BG151" s="148" t="str">
        <f t="shared" si="125"/>
        <v>11/24/2017 11:20-&gt;CHILD CF - COL 1</v>
      </c>
      <c r="BH151" s="148" t="str">
        <f t="shared" si="126"/>
        <v>11/24/2017 11:20-&gt;JCC Basketball Out 1</v>
      </c>
      <c r="BI151" s="148" t="str">
        <f t="shared" si="127"/>
        <v>Basketball in JCC Basketball Out 1 (VEN2-COL1)</v>
      </c>
      <c r="BJ151" s="148" t="str">
        <f t="shared" si="128"/>
        <v>Ch C Female Basketball-- CHILD CF - VEN 2 vs. CHILD CF - COL 1</v>
      </c>
      <c r="BK151" s="148" t="str">
        <f t="shared" si="129"/>
        <v>Basketball</v>
      </c>
      <c r="BL151" s="148" t="str">
        <f t="shared" si="130"/>
        <v>CHILD CF - VEN 2</v>
      </c>
      <c r="BM151" s="148" t="str">
        <f t="shared" si="131"/>
        <v>CHILD CF - COL 1</v>
      </c>
      <c r="BN151" s="148" t="str">
        <f t="shared" si="132"/>
        <v>Round - 1</v>
      </c>
      <c r="BP151" s="148" t="str">
        <f t="shared" si="133"/>
        <v>no t, f, or sf</v>
      </c>
      <c r="BQ151" s="148" t="str">
        <f t="shared" si="134"/>
        <v/>
      </c>
    </row>
    <row r="152" spans="1:69" ht="15" customHeight="1" x14ac:dyDescent="0.2">
      <c r="A152" s="376">
        <v>150</v>
      </c>
      <c r="B152" s="315" t="s">
        <v>39</v>
      </c>
      <c r="C152" s="315" t="s">
        <v>518</v>
      </c>
      <c r="D152" s="378">
        <v>1</v>
      </c>
      <c r="E152" s="378">
        <v>1</v>
      </c>
      <c r="F152" s="315" t="s">
        <v>770</v>
      </c>
      <c r="G152" s="316">
        <v>43063</v>
      </c>
      <c r="H152" s="454">
        <v>0.61111111111111105</v>
      </c>
      <c r="I152" s="325" t="s">
        <v>770</v>
      </c>
      <c r="J152" s="315" t="s">
        <v>688</v>
      </c>
      <c r="K152" s="315">
        <v>33</v>
      </c>
      <c r="L152" t="s">
        <v>569</v>
      </c>
      <c r="M152">
        <v>33</v>
      </c>
      <c r="N152" t="s">
        <v>568</v>
      </c>
      <c r="O152" s="153" t="str">
        <f>IF(L152&lt;&gt;"",IFERROR(VLOOKUP(B152&amp;L152,Pools!$A$2:$D$130,3,FALSE),""),"")</f>
        <v/>
      </c>
      <c r="P152" s="388">
        <v>12</v>
      </c>
      <c r="Q152" s="388">
        <v>10</v>
      </c>
      <c r="R152" s="306" t="str">
        <f t="shared" si="90"/>
        <v>12-10</v>
      </c>
      <c r="S152" s="153"/>
      <c r="T152" s="148" t="str">
        <f t="shared" si="91"/>
        <v>Completed</v>
      </c>
      <c r="U152" s="153"/>
      <c r="V152" s="153"/>
      <c r="W152" s="387">
        <f t="shared" si="92"/>
        <v>2</v>
      </c>
      <c r="X152" s="387">
        <f t="shared" si="93"/>
        <v>-2</v>
      </c>
      <c r="Y152" s="301">
        <f t="shared" si="94"/>
        <v>2</v>
      </c>
      <c r="Z152" s="301">
        <f t="shared" si="95"/>
        <v>0</v>
      </c>
      <c r="AA152" s="323" t="str">
        <f>CONCATENATE("                x[team1,team2,sport,'",IF(OR(I152="x",I152=""),VLOOKUP('Schedule from TM'!J152,Tables!$P$3:$Q$33,2,FALSE),'Schedule from TM'!I152),",",J152,"','",IF(OR(F152="x",F152=""),VLOOKUP('Schedule from TM'!G152,Tables!$U$3:$V$14,2,FALSE),'Schedule from TM'!F152),",",TEXT(G152,"mm/dd/yyyy"),"','",TEXT(H152,"h:mm:ss AM/PM"),"'].ub=0.0      #",B152)</f>
        <v xml:space="preserve">                x[team1,team2,sport,'11,JCC Basketball Out 1','11,11/24/2017','2:40:00 PM'].ub=0.0      #Ch C Female Basketball</v>
      </c>
      <c r="AB152" s="301" t="str">
        <f t="shared" si="96"/>
        <v>,,Ch C Female Basketball,,1,CHILD CF - VEN 1</v>
      </c>
      <c r="AC152" s="153" t="str">
        <f t="shared" si="97"/>
        <v>Ch C Female BasketballCHILD CF - VEN 1</v>
      </c>
      <c r="AD152" s="301" t="str">
        <f t="shared" si="98"/>
        <v>,,Ch C Female Basketball,,1,CHILD CF - USA 2</v>
      </c>
      <c r="AE152" s="153" t="str">
        <f t="shared" si="99"/>
        <v>Ch C Female BasketballCHILD CF - USA 2</v>
      </c>
      <c r="AF152" s="383">
        <f t="shared" si="100"/>
        <v>1</v>
      </c>
      <c r="AG152" s="383">
        <f t="shared" si="101"/>
        <v>0</v>
      </c>
      <c r="AH152" s="383">
        <f t="shared" si="102"/>
        <v>0</v>
      </c>
      <c r="AI152" s="383">
        <f t="shared" si="103"/>
        <v>0</v>
      </c>
      <c r="AJ152" s="383">
        <f t="shared" si="104"/>
        <v>1</v>
      </c>
      <c r="AK152" s="383">
        <f t="shared" si="105"/>
        <v>0</v>
      </c>
      <c r="AM152" s="148" t="str">
        <f t="shared" si="106"/>
        <v>Schedulled</v>
      </c>
      <c r="AN152" s="148" t="str">
        <f t="shared" si="107"/>
        <v/>
      </c>
      <c r="AO152" s="156">
        <f t="shared" si="108"/>
        <v>43063.611111111109</v>
      </c>
      <c r="AP152" s="148" t="str">
        <f t="shared" si="109"/>
        <v>11/24/2017 14:40-&gt;JCC Basketball Out 1</v>
      </c>
      <c r="AQ152" s="374">
        <f t="shared" si="110"/>
        <v>1</v>
      </c>
      <c r="AR152" s="148" t="str">
        <f t="shared" si="111"/>
        <v>VEN1</v>
      </c>
      <c r="AS152" s="148" t="str">
        <f t="shared" si="112"/>
        <v>USA2</v>
      </c>
      <c r="AT152" s="157" t="str">
        <f t="shared" si="113"/>
        <v>VEN1-USA2</v>
      </c>
      <c r="AU152" s="157" t="str">
        <f t="shared" si="114"/>
        <v xml:space="preserve">VEN1-USA2 </v>
      </c>
      <c r="AV152" s="157" t="str">
        <f t="shared" si="115"/>
        <v>CHILDREN C FEMALE</v>
      </c>
      <c r="AW152" s="157" t="str">
        <f t="shared" si="116"/>
        <v>Basketball</v>
      </c>
      <c r="AX152" s="376">
        <f t="shared" si="117"/>
        <v>150</v>
      </c>
      <c r="AY152" s="148" t="str">
        <f t="shared" si="118"/>
        <v>CHILD CF - VEN 1-&gt;CHILD CF - USA 2</v>
      </c>
      <c r="AZ152" s="148" t="str">
        <f t="shared" si="119"/>
        <v>11/24/2017 14:40-&gt;CHILD CF - VEN 1</v>
      </c>
      <c r="BA152" s="148" t="str">
        <f t="shared" si="120"/>
        <v>11/24/2017 14:40-&gt;CHILD CF - USA 2</v>
      </c>
      <c r="BB152" s="374">
        <f t="shared" si="121"/>
        <v>1</v>
      </c>
      <c r="BC152" s="374">
        <f t="shared" si="122"/>
        <v>1</v>
      </c>
      <c r="BD152" s="148" t="str">
        <f t="shared" si="123"/>
        <v>no conflict</v>
      </c>
      <c r="BF152" s="148" t="str">
        <f t="shared" si="124"/>
        <v>11/24/2017 14:40-&gt;CHILD CF - VEN 1</v>
      </c>
      <c r="BG152" s="148" t="str">
        <f t="shared" si="125"/>
        <v>11/24/2017 14:40-&gt;CHILD CF - USA 2</v>
      </c>
      <c r="BH152" s="148" t="str">
        <f t="shared" si="126"/>
        <v>11/24/2017 14:40-&gt;JCC Basketball Out 1</v>
      </c>
      <c r="BI152" s="148" t="str">
        <f t="shared" si="127"/>
        <v>Basketball in JCC Basketball Out 1 (VEN1-USA2)</v>
      </c>
      <c r="BJ152" s="148" t="str">
        <f t="shared" si="128"/>
        <v>Ch C Female Basketball-- CHILD CF - VEN 1 vs. CHILD CF - USA 2</v>
      </c>
      <c r="BK152" s="148" t="str">
        <f t="shared" si="129"/>
        <v>Basketball</v>
      </c>
      <c r="BL152" s="148" t="str">
        <f t="shared" si="130"/>
        <v>CHILD CF - VEN 1</v>
      </c>
      <c r="BM152" s="148" t="str">
        <f t="shared" si="131"/>
        <v>CHILD CF - USA 2</v>
      </c>
      <c r="BN152" s="148" t="str">
        <f t="shared" si="132"/>
        <v>Round - 1</v>
      </c>
      <c r="BP152" s="148" t="str">
        <f t="shared" si="133"/>
        <v>no t, f, or sf</v>
      </c>
      <c r="BQ152" s="148" t="str">
        <f t="shared" si="134"/>
        <v/>
      </c>
    </row>
    <row r="153" spans="1:69" ht="15" customHeight="1" x14ac:dyDescent="0.2">
      <c r="A153" s="376">
        <v>151</v>
      </c>
      <c r="B153" s="121" t="s">
        <v>39</v>
      </c>
      <c r="C153" s="121" t="s">
        <v>518</v>
      </c>
      <c r="D153" s="382">
        <v>1</v>
      </c>
      <c r="E153" s="382">
        <v>1</v>
      </c>
      <c r="F153" s="315" t="s">
        <v>770</v>
      </c>
      <c r="G153" s="206">
        <v>43065</v>
      </c>
      <c r="H153" s="454">
        <v>0.47222222222222227</v>
      </c>
      <c r="I153" s="325" t="s">
        <v>770</v>
      </c>
      <c r="J153" s="121" t="s">
        <v>688</v>
      </c>
      <c r="K153" s="444">
        <v>33</v>
      </c>
      <c r="L153" s="121" t="s">
        <v>569</v>
      </c>
      <c r="M153">
        <v>33</v>
      </c>
      <c r="N153" s="121" t="s">
        <v>564</v>
      </c>
      <c r="O153" s="153" t="str">
        <f>IF(L153&lt;&gt;"",IFERROR(VLOOKUP(B153&amp;L153,Pools!$A$2:$D$130,3,FALSE),""),"")</f>
        <v/>
      </c>
      <c r="P153" s="388">
        <v>11</v>
      </c>
      <c r="Q153" s="388">
        <v>12</v>
      </c>
      <c r="R153" s="306" t="str">
        <f t="shared" si="90"/>
        <v>11-12</v>
      </c>
      <c r="S153" s="153"/>
      <c r="T153" s="148" t="str">
        <f t="shared" si="91"/>
        <v>Completed</v>
      </c>
      <c r="U153" s="153"/>
      <c r="V153" s="153"/>
      <c r="W153" s="387">
        <f t="shared" si="92"/>
        <v>-1</v>
      </c>
      <c r="X153" s="387">
        <f t="shared" si="93"/>
        <v>1</v>
      </c>
      <c r="Y153" s="301">
        <f t="shared" si="94"/>
        <v>0</v>
      </c>
      <c r="Z153" s="301">
        <f t="shared" si="95"/>
        <v>2</v>
      </c>
      <c r="AA153" s="323" t="str">
        <f>CONCATENATE("                x[team1,team2,sport,'",IF(OR(I153="x",I153=""),VLOOKUP('Schedule from TM'!J153,Tables!$P$3:$Q$33,2,FALSE),'Schedule from TM'!I153),",",J153,"','",IF(OR(F153="x",F153=""),VLOOKUP('Schedule from TM'!G153,Tables!$U$3:$V$14,2,FALSE),'Schedule from TM'!F153),",",TEXT(G153,"mm/dd/yyyy"),"','",TEXT(H153,"h:mm:ss AM/PM"),"'].ub=0.0      #",B153)</f>
        <v xml:space="preserve">                x[team1,team2,sport,'11,JCC Basketball Out 1','21,11/26/2017','11:20:00 AM'].ub=0.0      #Ch C Female Basketball</v>
      </c>
      <c r="AB153" s="301" t="str">
        <f t="shared" si="96"/>
        <v>,,Ch C Female Basketball,,1,CHILD CF - VEN 1</v>
      </c>
      <c r="AC153" s="153" t="str">
        <f t="shared" si="97"/>
        <v>Ch C Female BasketballCHILD CF - VEN 1</v>
      </c>
      <c r="AD153" s="301" t="str">
        <f t="shared" si="98"/>
        <v>,,Ch C Female Basketball,,1,CHILD CF - ARG 1</v>
      </c>
      <c r="AE153" s="153" t="str">
        <f t="shared" si="99"/>
        <v>Ch C Female BasketballCHILD CF - ARG 1</v>
      </c>
      <c r="AF153" s="383">
        <f t="shared" si="100"/>
        <v>0</v>
      </c>
      <c r="AG153" s="383">
        <f t="shared" si="101"/>
        <v>1</v>
      </c>
      <c r="AH153" s="383">
        <f t="shared" si="102"/>
        <v>0</v>
      </c>
      <c r="AI153" s="383">
        <f t="shared" si="103"/>
        <v>1</v>
      </c>
      <c r="AJ153" s="383">
        <f t="shared" si="104"/>
        <v>0</v>
      </c>
      <c r="AK153" s="383">
        <f t="shared" si="105"/>
        <v>0</v>
      </c>
      <c r="AM153" s="148" t="str">
        <f t="shared" si="106"/>
        <v>Schedulled</v>
      </c>
      <c r="AN153" s="148" t="str">
        <f t="shared" si="107"/>
        <v/>
      </c>
      <c r="AO153" s="156">
        <f t="shared" si="108"/>
        <v>43065.472222222219</v>
      </c>
      <c r="AP153" s="148" t="str">
        <f t="shared" si="109"/>
        <v>11/26/2017 11:20-&gt;JCC Basketball Out 1</v>
      </c>
      <c r="AQ153" s="374">
        <f t="shared" si="110"/>
        <v>1</v>
      </c>
      <c r="AR153" s="148" t="str">
        <f t="shared" si="111"/>
        <v>VEN1</v>
      </c>
      <c r="AS153" s="148" t="str">
        <f t="shared" si="112"/>
        <v>ARG1</v>
      </c>
      <c r="AT153" s="157" t="str">
        <f t="shared" si="113"/>
        <v>VEN1-ARG1</v>
      </c>
      <c r="AU153" s="157" t="str">
        <f t="shared" si="114"/>
        <v xml:space="preserve">VEN1-ARG1 </v>
      </c>
      <c r="AV153" s="157" t="str">
        <f t="shared" si="115"/>
        <v>CHILDREN C FEMALE</v>
      </c>
      <c r="AW153" s="157" t="str">
        <f t="shared" si="116"/>
        <v>Basketball</v>
      </c>
      <c r="AX153" s="376">
        <f t="shared" si="117"/>
        <v>151</v>
      </c>
      <c r="AY153" s="148" t="str">
        <f t="shared" si="118"/>
        <v>CHILD CF - VEN 1-&gt;CHILD CF - ARG 1</v>
      </c>
      <c r="AZ153" s="148" t="str">
        <f t="shared" si="119"/>
        <v>11/26/2017 11:20-&gt;CHILD CF - VEN 1</v>
      </c>
      <c r="BA153" s="148" t="str">
        <f t="shared" si="120"/>
        <v>11/26/2017 11:20-&gt;CHILD CF - ARG 1</v>
      </c>
      <c r="BB153" s="374">
        <f t="shared" si="121"/>
        <v>1</v>
      </c>
      <c r="BC153" s="374">
        <f t="shared" si="122"/>
        <v>1</v>
      </c>
      <c r="BD153" s="148" t="str">
        <f t="shared" si="123"/>
        <v>no conflict</v>
      </c>
      <c r="BF153" s="148" t="str">
        <f t="shared" si="124"/>
        <v>11/26/2017 11:20-&gt;CHILD CF - VEN 1</v>
      </c>
      <c r="BG153" s="148" t="str">
        <f t="shared" si="125"/>
        <v>11/26/2017 11:20-&gt;CHILD CF - ARG 1</v>
      </c>
      <c r="BH153" s="148" t="str">
        <f t="shared" si="126"/>
        <v>11/26/2017 11:20-&gt;JCC Basketball Out 1</v>
      </c>
      <c r="BI153" s="148" t="str">
        <f t="shared" si="127"/>
        <v>Basketball in JCC Basketball Out 1 (VEN1-ARG1)</v>
      </c>
      <c r="BJ153" s="148" t="str">
        <f t="shared" si="128"/>
        <v>Ch C Female Basketball-- CHILD CF - VEN 1 vs. CHILD CF - ARG 1</v>
      </c>
      <c r="BK153" s="148" t="str">
        <f t="shared" si="129"/>
        <v>Basketball</v>
      </c>
      <c r="BL153" s="148" t="str">
        <f t="shared" si="130"/>
        <v>CHILD CF - VEN 1</v>
      </c>
      <c r="BM153" s="148" t="str">
        <f t="shared" si="131"/>
        <v>CHILD CF - ARG 1</v>
      </c>
      <c r="BN153" s="148" t="str">
        <f t="shared" si="132"/>
        <v>Round - 1</v>
      </c>
      <c r="BP153" s="148" t="str">
        <f t="shared" si="133"/>
        <v>no t, f, or sf</v>
      </c>
      <c r="BQ153" s="148" t="str">
        <f t="shared" si="134"/>
        <v/>
      </c>
    </row>
    <row r="154" spans="1:69" ht="15" customHeight="1" x14ac:dyDescent="0.2">
      <c r="A154" s="376">
        <v>152</v>
      </c>
      <c r="B154" s="121" t="s">
        <v>42</v>
      </c>
      <c r="C154" s="121" t="s">
        <v>518</v>
      </c>
      <c r="D154" s="382">
        <v>1</v>
      </c>
      <c r="E154" s="382">
        <v>1</v>
      </c>
      <c r="F154" s="315" t="s">
        <v>770</v>
      </c>
      <c r="G154" s="206">
        <v>43058</v>
      </c>
      <c r="H154" s="317">
        <v>0.40277777777777773</v>
      </c>
      <c r="I154" s="325" t="s">
        <v>770</v>
      </c>
      <c r="J154" s="121" t="s">
        <v>703</v>
      </c>
      <c r="K154" s="315">
        <v>33</v>
      </c>
      <c r="L154" s="121" t="s">
        <v>569</v>
      </c>
      <c r="M154">
        <v>33</v>
      </c>
      <c r="N154" t="s">
        <v>564</v>
      </c>
      <c r="O154" s="153" t="str">
        <f>IF(L154&lt;&gt;"",IFERROR(VLOOKUP(B154&amp;L154,Pools!$A$2:$D$130,3,FALSE),""),"")</f>
        <v/>
      </c>
      <c r="P154" s="388">
        <v>15</v>
      </c>
      <c r="Q154" s="388">
        <v>9</v>
      </c>
      <c r="R154" s="306" t="str">
        <f t="shared" si="90"/>
        <v>15-9</v>
      </c>
      <c r="S154" s="153"/>
      <c r="T154" s="148" t="str">
        <f t="shared" si="91"/>
        <v>Completed</v>
      </c>
      <c r="U154" s="153"/>
      <c r="V154" s="153"/>
      <c r="W154" s="387">
        <f t="shared" si="92"/>
        <v>5</v>
      </c>
      <c r="X154" s="387">
        <f t="shared" si="93"/>
        <v>-5</v>
      </c>
      <c r="Y154" s="301">
        <f t="shared" si="94"/>
        <v>2</v>
      </c>
      <c r="Z154" s="301">
        <f t="shared" si="95"/>
        <v>0</v>
      </c>
      <c r="AA154" s="323" t="str">
        <f>CONCATENATE("                x[team1,team2,sport,'",IF(OR(I154="x",I154=""),VLOOKUP('Schedule from TM'!J154,Tables!$P$3:$Q$33,2,FALSE),'Schedule from TM'!I154),",",J154,"','",IF(OR(F154="x",F154=""),VLOOKUP('Schedule from TM'!G154,Tables!$U$3:$V$14,2,FALSE),'Schedule from TM'!F154),",",TEXT(G154,"mm/dd/yyyy"),"','",TEXT(H154,"h:mm:ss AM/PM"),"'].ub=0.0      #",B154)</f>
        <v xml:space="preserve">                x[team1,team2,sport,'21,Hillel - Field 1','11,11/19/2017','9:40:00 AM'].ub=0.0      #Ch C Female Kickball</v>
      </c>
      <c r="AB154" s="301" t="str">
        <f t="shared" si="96"/>
        <v>,,Ch C Female Kickball,,1,CHILD CF - VEN 1</v>
      </c>
      <c r="AC154" s="153" t="str">
        <f t="shared" si="97"/>
        <v>Ch C Female KickballCHILD CF - VEN 1</v>
      </c>
      <c r="AD154" s="301" t="str">
        <f t="shared" si="98"/>
        <v>,,Ch C Female Kickball,,1,CHILD CF - ARG 1</v>
      </c>
      <c r="AE154" s="153" t="str">
        <f t="shared" si="99"/>
        <v>Ch C Female KickballCHILD CF - ARG 1</v>
      </c>
      <c r="AF154" s="383">
        <f t="shared" si="100"/>
        <v>1</v>
      </c>
      <c r="AG154" s="383">
        <f t="shared" si="101"/>
        <v>0</v>
      </c>
      <c r="AH154" s="383">
        <f t="shared" si="102"/>
        <v>0</v>
      </c>
      <c r="AI154" s="383">
        <f t="shared" si="103"/>
        <v>0</v>
      </c>
      <c r="AJ154" s="383">
        <f t="shared" si="104"/>
        <v>1</v>
      </c>
      <c r="AK154" s="383">
        <f t="shared" si="105"/>
        <v>0</v>
      </c>
      <c r="AM154" s="148" t="str">
        <f t="shared" si="106"/>
        <v>Schedulled</v>
      </c>
      <c r="AN154" s="148" t="str">
        <f t="shared" si="107"/>
        <v/>
      </c>
      <c r="AO154" s="156">
        <f t="shared" si="108"/>
        <v>43058.402777777781</v>
      </c>
      <c r="AP154" s="148" t="str">
        <f t="shared" si="109"/>
        <v>11/19/2017 09:40-&gt;Hillel - Field 1</v>
      </c>
      <c r="AQ154" s="374">
        <f t="shared" si="110"/>
        <v>1</v>
      </c>
      <c r="AR154" s="148" t="str">
        <f t="shared" si="111"/>
        <v>VEN1</v>
      </c>
      <c r="AS154" s="148" t="str">
        <f t="shared" si="112"/>
        <v>ARG1</v>
      </c>
      <c r="AT154" s="157" t="str">
        <f t="shared" si="113"/>
        <v>VEN1-ARG1</v>
      </c>
      <c r="AU154" s="157" t="str">
        <f t="shared" si="114"/>
        <v xml:space="preserve">VEN1-ARG1 </v>
      </c>
      <c r="AV154" s="157" t="str">
        <f t="shared" si="115"/>
        <v>CHILDREN C FEMALE</v>
      </c>
      <c r="AW154" s="157" t="str">
        <f t="shared" si="116"/>
        <v>Kickball</v>
      </c>
      <c r="AX154" s="376">
        <f t="shared" si="117"/>
        <v>152</v>
      </c>
      <c r="AY154" s="148" t="str">
        <f t="shared" si="118"/>
        <v>CHILD CF - VEN 1-&gt;CHILD CF - ARG 1</v>
      </c>
      <c r="AZ154" s="148" t="str">
        <f t="shared" si="119"/>
        <v>11/19/2017 09:40-&gt;CHILD CF - VEN 1</v>
      </c>
      <c r="BA154" s="148" t="str">
        <f t="shared" si="120"/>
        <v>11/19/2017 09:40-&gt;CHILD CF - ARG 1</v>
      </c>
      <c r="BB154" s="374">
        <f t="shared" si="121"/>
        <v>1</v>
      </c>
      <c r="BC154" s="374">
        <f t="shared" si="122"/>
        <v>1</v>
      </c>
      <c r="BD154" s="148" t="str">
        <f t="shared" si="123"/>
        <v>no conflict</v>
      </c>
      <c r="BF154" s="148" t="str">
        <f t="shared" si="124"/>
        <v>11/19/2017 09:40-&gt;CHILD CF - VEN 1</v>
      </c>
      <c r="BG154" s="148" t="str">
        <f t="shared" si="125"/>
        <v>11/19/2017 09:40-&gt;CHILD CF - ARG 1</v>
      </c>
      <c r="BH154" s="148" t="str">
        <f t="shared" si="126"/>
        <v>11/19/2017 09:40-&gt;Hillel - Field 1</v>
      </c>
      <c r="BI154" s="148" t="str">
        <f t="shared" si="127"/>
        <v>Kickball in Hillel - Field 1 (VEN1-ARG1)</v>
      </c>
      <c r="BJ154" s="148" t="str">
        <f t="shared" si="128"/>
        <v>Ch C Female Kickball-- CHILD CF - VEN 1 vs. CHILD CF - ARG 1</v>
      </c>
      <c r="BK154" s="148" t="str">
        <f t="shared" si="129"/>
        <v>Kickball</v>
      </c>
      <c r="BL154" s="148" t="str">
        <f t="shared" si="130"/>
        <v>CHILD CF - VEN 1</v>
      </c>
      <c r="BM154" s="148" t="str">
        <f t="shared" si="131"/>
        <v>CHILD CF - ARG 1</v>
      </c>
      <c r="BN154" s="148" t="str">
        <f t="shared" si="132"/>
        <v>Round - 1</v>
      </c>
      <c r="BP154" s="148" t="str">
        <f t="shared" si="133"/>
        <v>no t, f, or sf</v>
      </c>
      <c r="BQ154" s="148" t="str">
        <f t="shared" si="134"/>
        <v/>
      </c>
    </row>
    <row r="155" spans="1:69" ht="15" customHeight="1" x14ac:dyDescent="0.2">
      <c r="A155" s="376">
        <v>153</v>
      </c>
      <c r="B155" s="315" t="s">
        <v>42</v>
      </c>
      <c r="C155" s="315" t="s">
        <v>518</v>
      </c>
      <c r="D155" s="378">
        <v>1</v>
      </c>
      <c r="E155" s="378">
        <v>1</v>
      </c>
      <c r="F155" s="315" t="s">
        <v>770</v>
      </c>
      <c r="G155" s="316">
        <v>43058</v>
      </c>
      <c r="H155" s="317">
        <v>0.4375</v>
      </c>
      <c r="I155" s="325" t="s">
        <v>770</v>
      </c>
      <c r="J155" s="315" t="s">
        <v>705</v>
      </c>
      <c r="K155" s="315">
        <v>33</v>
      </c>
      <c r="L155" t="s">
        <v>570</v>
      </c>
      <c r="M155">
        <v>33</v>
      </c>
      <c r="N155" t="s">
        <v>568</v>
      </c>
      <c r="O155" s="153" t="str">
        <f>IF(L155&lt;&gt;"",IFERROR(VLOOKUP(B155&amp;L155,Pools!$A$2:$D$130,3,FALSE),""),"")</f>
        <v/>
      </c>
      <c r="P155" s="388">
        <v>9</v>
      </c>
      <c r="Q155" s="388">
        <v>8</v>
      </c>
      <c r="R155" s="306" t="str">
        <f t="shared" si="90"/>
        <v>9-8</v>
      </c>
      <c r="S155" s="153"/>
      <c r="T155" s="148" t="str">
        <f t="shared" si="91"/>
        <v>Completed</v>
      </c>
      <c r="U155" s="153"/>
      <c r="V155" s="153"/>
      <c r="W155" s="387">
        <f t="shared" si="92"/>
        <v>1</v>
      </c>
      <c r="X155" s="387">
        <f t="shared" si="93"/>
        <v>-1</v>
      </c>
      <c r="Y155" s="301">
        <f t="shared" si="94"/>
        <v>2</v>
      </c>
      <c r="Z155" s="301">
        <f t="shared" si="95"/>
        <v>0</v>
      </c>
      <c r="AA155" s="323" t="str">
        <f>CONCATENATE("                x[team1,team2,sport,'",IF(OR(I155="x",I155=""),VLOOKUP('Schedule from TM'!J155,Tables!$P$3:$Q$33,2,FALSE),'Schedule from TM'!I155),",",J155,"','",IF(OR(F155="x",F155=""),VLOOKUP('Schedule from TM'!G155,Tables!$U$3:$V$14,2,FALSE),'Schedule from TM'!F155),",",TEXT(G155,"mm/dd/yyyy"),"','",TEXT(H155,"h:mm:ss AM/PM"),"'].ub=0.0      #",B155)</f>
        <v xml:space="preserve">                x[team1,team2,sport,'21,Hillel - Field 3','11,11/19/2017','10:30:00 AM'].ub=0.0      #Ch C Female Kickball</v>
      </c>
      <c r="AB155" s="301" t="str">
        <f t="shared" si="96"/>
        <v>,,Ch C Female Kickball,,1,CHILD CF - VEN 2</v>
      </c>
      <c r="AC155" s="153" t="str">
        <f t="shared" si="97"/>
        <v>Ch C Female KickballCHILD CF - VEN 2</v>
      </c>
      <c r="AD155" s="301" t="str">
        <f t="shared" si="98"/>
        <v>,,Ch C Female Kickball,,1,CHILD CF - USA 2</v>
      </c>
      <c r="AE155" s="153" t="str">
        <f t="shared" si="99"/>
        <v>Ch C Female KickballCHILD CF - USA 2</v>
      </c>
      <c r="AF155" s="383">
        <f t="shared" si="100"/>
        <v>1</v>
      </c>
      <c r="AG155" s="383">
        <f t="shared" si="101"/>
        <v>0</v>
      </c>
      <c r="AH155" s="383">
        <f t="shared" si="102"/>
        <v>0</v>
      </c>
      <c r="AI155" s="383">
        <f t="shared" si="103"/>
        <v>0</v>
      </c>
      <c r="AJ155" s="383">
        <f t="shared" si="104"/>
        <v>1</v>
      </c>
      <c r="AK155" s="383">
        <f t="shared" si="105"/>
        <v>0</v>
      </c>
      <c r="AM155" s="148" t="str">
        <f t="shared" si="106"/>
        <v>Schedulled</v>
      </c>
      <c r="AN155" s="148" t="str">
        <f t="shared" si="107"/>
        <v/>
      </c>
      <c r="AO155" s="156">
        <f t="shared" si="108"/>
        <v>43058.4375</v>
      </c>
      <c r="AP155" s="148" t="str">
        <f t="shared" si="109"/>
        <v>11/19/2017 10:30-&gt;Hillel - Field 3</v>
      </c>
      <c r="AQ155" s="374">
        <f t="shared" si="110"/>
        <v>1</v>
      </c>
      <c r="AR155" s="148" t="str">
        <f t="shared" si="111"/>
        <v>VEN2</v>
      </c>
      <c r="AS155" s="148" t="str">
        <f t="shared" si="112"/>
        <v>USA2</v>
      </c>
      <c r="AT155" s="157" t="str">
        <f t="shared" si="113"/>
        <v>VEN2-USA2</v>
      </c>
      <c r="AU155" s="157" t="str">
        <f t="shared" si="114"/>
        <v xml:space="preserve">VEN2-USA2 </v>
      </c>
      <c r="AV155" s="157" t="str">
        <f t="shared" si="115"/>
        <v>CHILDREN C FEMALE</v>
      </c>
      <c r="AW155" s="157" t="str">
        <f t="shared" si="116"/>
        <v>Kickball</v>
      </c>
      <c r="AX155" s="376">
        <f t="shared" si="117"/>
        <v>153</v>
      </c>
      <c r="AY155" s="148" t="str">
        <f t="shared" si="118"/>
        <v>CHILD CF - VEN 2-&gt;CHILD CF - USA 2</v>
      </c>
      <c r="AZ155" s="148" t="str">
        <f t="shared" si="119"/>
        <v>11/19/2017 10:30-&gt;CHILD CF - VEN 2</v>
      </c>
      <c r="BA155" s="148" t="str">
        <f t="shared" si="120"/>
        <v>11/19/2017 10:30-&gt;CHILD CF - USA 2</v>
      </c>
      <c r="BB155" s="374">
        <f t="shared" si="121"/>
        <v>1</v>
      </c>
      <c r="BC155" s="374">
        <f t="shared" si="122"/>
        <v>1</v>
      </c>
      <c r="BD155" s="148" t="str">
        <f t="shared" si="123"/>
        <v>no conflict</v>
      </c>
      <c r="BF155" s="148" t="str">
        <f t="shared" si="124"/>
        <v>11/19/2017 10:30-&gt;CHILD CF - VEN 2</v>
      </c>
      <c r="BG155" s="148" t="str">
        <f t="shared" si="125"/>
        <v>11/19/2017 10:30-&gt;CHILD CF - USA 2</v>
      </c>
      <c r="BH155" s="148" t="str">
        <f t="shared" si="126"/>
        <v>11/19/2017 10:30-&gt;Hillel - Field 3</v>
      </c>
      <c r="BI155" s="148" t="str">
        <f t="shared" si="127"/>
        <v>Kickball in Hillel - Field 3 (VEN2-USA2)</v>
      </c>
      <c r="BJ155" s="148" t="str">
        <f t="shared" si="128"/>
        <v>Ch C Female Kickball-- CHILD CF - VEN 2 vs. CHILD CF - USA 2</v>
      </c>
      <c r="BK155" s="148" t="str">
        <f t="shared" si="129"/>
        <v>Kickball</v>
      </c>
      <c r="BL155" s="148" t="str">
        <f t="shared" si="130"/>
        <v>CHILD CF - VEN 2</v>
      </c>
      <c r="BM155" s="148" t="str">
        <f t="shared" si="131"/>
        <v>CHILD CF - USA 2</v>
      </c>
      <c r="BN155" s="148" t="str">
        <f t="shared" si="132"/>
        <v>Round - 1</v>
      </c>
      <c r="BP155" s="148" t="str">
        <f t="shared" si="133"/>
        <v>no t, f, or sf</v>
      </c>
      <c r="BQ155" s="148" t="str">
        <f t="shared" si="134"/>
        <v/>
      </c>
    </row>
    <row r="156" spans="1:69" ht="15" customHeight="1" x14ac:dyDescent="0.2">
      <c r="A156" s="376">
        <v>154</v>
      </c>
      <c r="B156" s="441" t="s">
        <v>42</v>
      </c>
      <c r="C156" s="441" t="s">
        <v>518</v>
      </c>
      <c r="D156" s="450">
        <v>1</v>
      </c>
      <c r="E156" s="450">
        <v>1</v>
      </c>
      <c r="F156" s="315" t="s">
        <v>770</v>
      </c>
      <c r="G156" s="320">
        <v>43058</v>
      </c>
      <c r="H156" s="317">
        <v>0.54166666666666663</v>
      </c>
      <c r="I156" s="325" t="s">
        <v>770</v>
      </c>
      <c r="J156" s="441" t="s">
        <v>703</v>
      </c>
      <c r="K156" s="441">
        <v>33</v>
      </c>
      <c r="L156" t="s">
        <v>569</v>
      </c>
      <c r="M156">
        <v>33</v>
      </c>
      <c r="N156" t="s">
        <v>568</v>
      </c>
      <c r="O156" s="153" t="str">
        <f>IF(L156&lt;&gt;"",IFERROR(VLOOKUP(B156&amp;L156,Pools!$A$2:$D$130,3,FALSE),""),"")</f>
        <v/>
      </c>
      <c r="P156" s="388">
        <v>8</v>
      </c>
      <c r="Q156" s="388">
        <v>13</v>
      </c>
      <c r="R156" s="306" t="str">
        <f t="shared" si="90"/>
        <v>8-13</v>
      </c>
      <c r="S156" s="153"/>
      <c r="T156" s="148" t="str">
        <f t="shared" si="91"/>
        <v>Completed</v>
      </c>
      <c r="U156" s="153"/>
      <c r="V156" s="153"/>
      <c r="W156" s="387">
        <f t="shared" si="92"/>
        <v>-5</v>
      </c>
      <c r="X156" s="387">
        <f t="shared" si="93"/>
        <v>5</v>
      </c>
      <c r="Y156" s="301">
        <f t="shared" si="94"/>
        <v>0</v>
      </c>
      <c r="Z156" s="301">
        <f t="shared" si="95"/>
        <v>2</v>
      </c>
      <c r="AA156" s="323" t="str">
        <f>CONCATENATE("                x[team1,team2,sport,'",IF(OR(I156="x",I156=""),VLOOKUP('Schedule from TM'!J156,Tables!$P$3:$Q$33,2,FALSE),'Schedule from TM'!I156),",",J156,"','",IF(OR(F156="x",F156=""),VLOOKUP('Schedule from TM'!G156,Tables!$U$3:$V$14,2,FALSE),'Schedule from TM'!F156),",",TEXT(G156,"mm/dd/yyyy"),"','",TEXT(H156,"h:mm:ss AM/PM"),"'].ub=0.0      #",B156)</f>
        <v xml:space="preserve">                x[team1,team2,sport,'21,Hillel - Field 1','11,11/19/2017','1:00:00 PM'].ub=0.0      #Ch C Female Kickball</v>
      </c>
      <c r="AB156" s="301" t="str">
        <f t="shared" si="96"/>
        <v>,,Ch C Female Kickball,,1,CHILD CF - VEN 1</v>
      </c>
      <c r="AC156" s="153" t="str">
        <f t="shared" si="97"/>
        <v>Ch C Female KickballCHILD CF - VEN 1</v>
      </c>
      <c r="AD156" s="301" t="str">
        <f t="shared" si="98"/>
        <v>,,Ch C Female Kickball,,1,CHILD CF - USA 2</v>
      </c>
      <c r="AE156" s="153" t="str">
        <f t="shared" si="99"/>
        <v>Ch C Female KickballCHILD CF - USA 2</v>
      </c>
      <c r="AF156" s="383">
        <f t="shared" si="100"/>
        <v>0</v>
      </c>
      <c r="AG156" s="383">
        <f t="shared" si="101"/>
        <v>1</v>
      </c>
      <c r="AH156" s="383">
        <f t="shared" si="102"/>
        <v>0</v>
      </c>
      <c r="AI156" s="383">
        <f t="shared" si="103"/>
        <v>1</v>
      </c>
      <c r="AJ156" s="383">
        <f t="shared" si="104"/>
        <v>0</v>
      </c>
      <c r="AK156" s="383">
        <f t="shared" si="105"/>
        <v>0</v>
      </c>
      <c r="AM156" s="148" t="str">
        <f t="shared" si="106"/>
        <v>Schedulled</v>
      </c>
      <c r="AN156" s="148" t="str">
        <f t="shared" si="107"/>
        <v/>
      </c>
      <c r="AO156" s="156">
        <f t="shared" si="108"/>
        <v>43058.541666666664</v>
      </c>
      <c r="AP156" s="148" t="str">
        <f t="shared" si="109"/>
        <v>11/19/2017 13:00-&gt;Hillel - Field 1</v>
      </c>
      <c r="AQ156" s="374">
        <f t="shared" si="110"/>
        <v>1</v>
      </c>
      <c r="AR156" s="148" t="str">
        <f t="shared" si="111"/>
        <v>VEN1</v>
      </c>
      <c r="AS156" s="148" t="str">
        <f t="shared" si="112"/>
        <v>USA2</v>
      </c>
      <c r="AT156" s="157" t="str">
        <f t="shared" si="113"/>
        <v>VEN1-USA2</v>
      </c>
      <c r="AU156" s="157" t="str">
        <f t="shared" si="114"/>
        <v xml:space="preserve">VEN1-USA2 </v>
      </c>
      <c r="AV156" s="157" t="str">
        <f t="shared" si="115"/>
        <v>CHILDREN C FEMALE</v>
      </c>
      <c r="AW156" s="157" t="str">
        <f t="shared" si="116"/>
        <v>Kickball</v>
      </c>
      <c r="AX156" s="376">
        <f t="shared" si="117"/>
        <v>154</v>
      </c>
      <c r="AY156" s="148" t="str">
        <f t="shared" si="118"/>
        <v>CHILD CF - VEN 1-&gt;CHILD CF - USA 2</v>
      </c>
      <c r="AZ156" s="148" t="str">
        <f t="shared" si="119"/>
        <v>11/19/2017 13:00-&gt;CHILD CF - VEN 1</v>
      </c>
      <c r="BA156" s="148" t="str">
        <f t="shared" si="120"/>
        <v>11/19/2017 13:00-&gt;CHILD CF - USA 2</v>
      </c>
      <c r="BB156" s="374">
        <f t="shared" si="121"/>
        <v>1</v>
      </c>
      <c r="BC156" s="374">
        <f t="shared" si="122"/>
        <v>1</v>
      </c>
      <c r="BD156" s="148" t="str">
        <f t="shared" si="123"/>
        <v>no conflict</v>
      </c>
      <c r="BF156" s="148" t="str">
        <f t="shared" si="124"/>
        <v>11/19/2017 13:00-&gt;CHILD CF - VEN 1</v>
      </c>
      <c r="BG156" s="148" t="str">
        <f t="shared" si="125"/>
        <v>11/19/2017 13:00-&gt;CHILD CF - USA 2</v>
      </c>
      <c r="BH156" s="148" t="str">
        <f t="shared" si="126"/>
        <v>11/19/2017 13:00-&gt;Hillel - Field 1</v>
      </c>
      <c r="BI156" s="148" t="str">
        <f t="shared" si="127"/>
        <v>Kickball in Hillel - Field 1 (VEN1-USA2)</v>
      </c>
      <c r="BJ156" s="148" t="str">
        <f t="shared" si="128"/>
        <v>Ch C Female Kickball-- CHILD CF - VEN 1 vs. CHILD CF - USA 2</v>
      </c>
      <c r="BK156" s="148" t="str">
        <f t="shared" si="129"/>
        <v>Kickball</v>
      </c>
      <c r="BL156" s="148" t="str">
        <f t="shared" si="130"/>
        <v>CHILD CF - VEN 1</v>
      </c>
      <c r="BM156" s="148" t="str">
        <f t="shared" si="131"/>
        <v>CHILD CF - USA 2</v>
      </c>
      <c r="BN156" s="148" t="str">
        <f t="shared" si="132"/>
        <v>Round - 1</v>
      </c>
      <c r="BP156" s="148" t="str">
        <f t="shared" si="133"/>
        <v>no t, f, or sf</v>
      </c>
      <c r="BQ156" s="148" t="str">
        <f t="shared" si="134"/>
        <v/>
      </c>
    </row>
    <row r="157" spans="1:69" ht="15" customHeight="1" x14ac:dyDescent="0.2">
      <c r="A157" s="376">
        <v>155</v>
      </c>
      <c r="B157" s="319" t="s">
        <v>42</v>
      </c>
      <c r="C157" s="319" t="s">
        <v>518</v>
      </c>
      <c r="D157" s="376">
        <v>1</v>
      </c>
      <c r="E157" s="376">
        <v>1</v>
      </c>
      <c r="F157" s="315" t="s">
        <v>770</v>
      </c>
      <c r="G157" s="320">
        <v>43058</v>
      </c>
      <c r="H157" s="317">
        <v>0.54166666666666663</v>
      </c>
      <c r="I157" s="325" t="s">
        <v>770</v>
      </c>
      <c r="J157" s="319" t="s">
        <v>704</v>
      </c>
      <c r="K157" s="319">
        <v>33</v>
      </c>
      <c r="L157" t="s">
        <v>570</v>
      </c>
      <c r="M157">
        <v>33</v>
      </c>
      <c r="N157" t="s">
        <v>567</v>
      </c>
      <c r="O157" s="153" t="str">
        <f>IF(L157&lt;&gt;"",IFERROR(VLOOKUP(B157&amp;L157,Pools!$A$2:$D$130,3,FALSE),""),"")</f>
        <v/>
      </c>
      <c r="P157" s="388">
        <v>10</v>
      </c>
      <c r="Q157" s="388">
        <v>7</v>
      </c>
      <c r="R157" s="306" t="str">
        <f t="shared" si="90"/>
        <v>10-7</v>
      </c>
      <c r="S157" s="153"/>
      <c r="T157" s="148" t="str">
        <f t="shared" si="91"/>
        <v>Completed</v>
      </c>
      <c r="U157" s="153"/>
      <c r="V157" s="153"/>
      <c r="W157" s="387">
        <f t="shared" si="92"/>
        <v>3</v>
      </c>
      <c r="X157" s="387">
        <f t="shared" si="93"/>
        <v>-3</v>
      </c>
      <c r="Y157" s="301">
        <f t="shared" si="94"/>
        <v>2</v>
      </c>
      <c r="Z157" s="301">
        <f t="shared" si="95"/>
        <v>0</v>
      </c>
      <c r="AA157" s="323" t="str">
        <f>CONCATENATE("                x[team1,team2,sport,'",IF(OR(I157="x",I157=""),VLOOKUP('Schedule from TM'!J157,Tables!$P$3:$Q$33,2,FALSE),'Schedule from TM'!I157),",",J157,"','",IF(OR(F157="x",F157=""),VLOOKUP('Schedule from TM'!G157,Tables!$U$3:$V$14,2,FALSE),'Schedule from TM'!F157),",",TEXT(G157,"mm/dd/yyyy"),"','",TEXT(H157,"h:mm:ss AM/PM"),"'].ub=0.0      #",B157)</f>
        <v xml:space="preserve">                x[team1,team2,sport,'21,Hillel - Field 2','11,11/19/2017','1:00:00 PM'].ub=0.0      #Ch C Female Kickball</v>
      </c>
      <c r="AB157" s="301" t="str">
        <f t="shared" si="96"/>
        <v>,,Ch C Female Kickball,,1,CHILD CF - VEN 2</v>
      </c>
      <c r="AC157" s="153" t="str">
        <f t="shared" si="97"/>
        <v>Ch C Female KickballCHILD CF - VEN 2</v>
      </c>
      <c r="AD157" s="301" t="str">
        <f t="shared" si="98"/>
        <v>,,Ch C Female Kickball,,1,CHILD CF - USA 1</v>
      </c>
      <c r="AE157" s="153" t="str">
        <f t="shared" si="99"/>
        <v>Ch C Female KickballCHILD CF - USA 1</v>
      </c>
      <c r="AF157" s="383">
        <f t="shared" si="100"/>
        <v>1</v>
      </c>
      <c r="AG157" s="383">
        <f t="shared" si="101"/>
        <v>0</v>
      </c>
      <c r="AH157" s="383">
        <f t="shared" si="102"/>
        <v>0</v>
      </c>
      <c r="AI157" s="383">
        <f t="shared" si="103"/>
        <v>0</v>
      </c>
      <c r="AJ157" s="383">
        <f t="shared" si="104"/>
        <v>1</v>
      </c>
      <c r="AK157" s="383">
        <f t="shared" si="105"/>
        <v>0</v>
      </c>
      <c r="AM157" s="148" t="str">
        <f t="shared" si="106"/>
        <v>Schedulled</v>
      </c>
      <c r="AN157" s="148" t="str">
        <f t="shared" si="107"/>
        <v/>
      </c>
      <c r="AO157" s="156">
        <f t="shared" si="108"/>
        <v>43058.541666666664</v>
      </c>
      <c r="AP157" s="148" t="str">
        <f t="shared" si="109"/>
        <v>11/19/2017 13:00-&gt;Hillel - Field 2</v>
      </c>
      <c r="AQ157" s="374">
        <f t="shared" si="110"/>
        <v>1</v>
      </c>
      <c r="AR157" s="148" t="str">
        <f t="shared" si="111"/>
        <v>VEN2</v>
      </c>
      <c r="AS157" s="148" t="str">
        <f t="shared" si="112"/>
        <v>USA1</v>
      </c>
      <c r="AT157" s="157" t="str">
        <f t="shared" si="113"/>
        <v>VEN2-USA1</v>
      </c>
      <c r="AU157" s="157" t="str">
        <f t="shared" si="114"/>
        <v xml:space="preserve">VEN2-USA1 </v>
      </c>
      <c r="AV157" s="157" t="str">
        <f t="shared" si="115"/>
        <v>CHILDREN C FEMALE</v>
      </c>
      <c r="AW157" s="157" t="str">
        <f t="shared" si="116"/>
        <v>Kickball</v>
      </c>
      <c r="AX157" s="376">
        <f t="shared" si="117"/>
        <v>155</v>
      </c>
      <c r="AY157" s="148" t="str">
        <f t="shared" si="118"/>
        <v>CHILD CF - VEN 2-&gt;CHILD CF - USA 1</v>
      </c>
      <c r="AZ157" s="148" t="str">
        <f t="shared" si="119"/>
        <v>11/19/2017 13:00-&gt;CHILD CF - VEN 2</v>
      </c>
      <c r="BA157" s="148" t="str">
        <f t="shared" si="120"/>
        <v>11/19/2017 13:00-&gt;CHILD CF - USA 1</v>
      </c>
      <c r="BB157" s="374">
        <f t="shared" si="121"/>
        <v>1</v>
      </c>
      <c r="BC157" s="374">
        <f t="shared" si="122"/>
        <v>1</v>
      </c>
      <c r="BD157" s="148" t="str">
        <f t="shared" si="123"/>
        <v>no conflict</v>
      </c>
      <c r="BF157" s="148" t="str">
        <f t="shared" si="124"/>
        <v>11/19/2017 13:00-&gt;CHILD CF - VEN 2</v>
      </c>
      <c r="BG157" s="148" t="str">
        <f t="shared" si="125"/>
        <v>11/19/2017 13:00-&gt;CHILD CF - USA 1</v>
      </c>
      <c r="BH157" s="148" t="str">
        <f t="shared" si="126"/>
        <v>11/19/2017 13:00-&gt;Hillel - Field 2</v>
      </c>
      <c r="BI157" s="148" t="str">
        <f t="shared" si="127"/>
        <v>Kickball in Hillel - Field 2 (VEN2-USA1)</v>
      </c>
      <c r="BJ157" s="148" t="str">
        <f t="shared" si="128"/>
        <v>Ch C Female Kickball-- CHILD CF - VEN 2 vs. CHILD CF - USA 1</v>
      </c>
      <c r="BK157" s="148" t="str">
        <f t="shared" si="129"/>
        <v>Kickball</v>
      </c>
      <c r="BL157" s="148" t="str">
        <f t="shared" si="130"/>
        <v>CHILD CF - VEN 2</v>
      </c>
      <c r="BM157" s="148" t="str">
        <f t="shared" si="131"/>
        <v>CHILD CF - USA 1</v>
      </c>
      <c r="BN157" s="148" t="str">
        <f t="shared" si="132"/>
        <v>Round - 1</v>
      </c>
      <c r="BP157" s="148" t="str">
        <f t="shared" si="133"/>
        <v>no t, f, or sf</v>
      </c>
      <c r="BQ157" s="148" t="str">
        <f t="shared" si="134"/>
        <v/>
      </c>
    </row>
    <row r="158" spans="1:69" ht="15" customHeight="1" x14ac:dyDescent="0.2">
      <c r="A158" s="376">
        <v>156</v>
      </c>
      <c r="B158" s="319" t="s">
        <v>42</v>
      </c>
      <c r="C158" s="319" t="s">
        <v>518</v>
      </c>
      <c r="D158" s="376">
        <v>1</v>
      </c>
      <c r="E158" s="376">
        <v>1</v>
      </c>
      <c r="F158" s="315" t="s">
        <v>770</v>
      </c>
      <c r="G158" s="320">
        <v>43062</v>
      </c>
      <c r="H158" s="317">
        <v>0.50694444444444442</v>
      </c>
      <c r="I158" s="325" t="s">
        <v>770</v>
      </c>
      <c r="J158" s="319" t="s">
        <v>703</v>
      </c>
      <c r="K158" s="319">
        <v>33</v>
      </c>
      <c r="L158" t="s">
        <v>564</v>
      </c>
      <c r="M158">
        <v>33</v>
      </c>
      <c r="N158" t="s">
        <v>565</v>
      </c>
      <c r="O158" s="153" t="str">
        <f>IF(L158&lt;&gt;"",IFERROR(VLOOKUP(B158&amp;L158,Pools!$A$2:$D$130,3,FALSE),""),"")</f>
        <v/>
      </c>
      <c r="P158" s="388">
        <v>8</v>
      </c>
      <c r="Q158" s="388">
        <v>17</v>
      </c>
      <c r="R158" s="306" t="str">
        <f t="shared" si="90"/>
        <v>8-17</v>
      </c>
      <c r="S158" s="153"/>
      <c r="T158" s="148" t="str">
        <f t="shared" si="91"/>
        <v>Completed</v>
      </c>
      <c r="U158" s="153"/>
      <c r="V158" s="153"/>
      <c r="W158" s="387">
        <f t="shared" si="92"/>
        <v>-5</v>
      </c>
      <c r="X158" s="387">
        <f t="shared" si="93"/>
        <v>5</v>
      </c>
      <c r="Y158" s="301">
        <f t="shared" si="94"/>
        <v>0</v>
      </c>
      <c r="Z158" s="301">
        <f t="shared" si="95"/>
        <v>2</v>
      </c>
      <c r="AA158" s="323" t="str">
        <f>CONCATENATE("                x[team1,team2,sport,'",IF(OR(I158="x",I158=""),VLOOKUP('Schedule from TM'!J158,Tables!$P$3:$Q$33,2,FALSE),'Schedule from TM'!I158),",",J158,"','",IF(OR(F158="x",F158=""),VLOOKUP('Schedule from TM'!G158,Tables!$U$3:$V$14,2,FALSE),'Schedule from TM'!F158),",",TEXT(G158,"mm/dd/yyyy"),"','",TEXT(H158,"h:mm:ss AM/PM"),"'].ub=0.0      #",B158)</f>
        <v xml:space="preserve">                x[team1,team2,sport,'21,Hillel - Field 1','11,11/23/2017','12:10:00 PM'].ub=0.0      #Ch C Female Kickball</v>
      </c>
      <c r="AB158" s="301" t="str">
        <f t="shared" si="96"/>
        <v>,,Ch C Female Kickball,,1,CHILD CF - ARG 1</v>
      </c>
      <c r="AC158" s="153" t="str">
        <f t="shared" si="97"/>
        <v>Ch C Female KickballCHILD CF - ARG 1</v>
      </c>
      <c r="AD158" s="301" t="str">
        <f t="shared" si="98"/>
        <v>,,Ch C Female Kickball,,1,CHILD CF - COL 1</v>
      </c>
      <c r="AE158" s="153" t="str">
        <f t="shared" si="99"/>
        <v>Ch C Female KickballCHILD CF - COL 1</v>
      </c>
      <c r="AF158" s="383">
        <f t="shared" si="100"/>
        <v>0</v>
      </c>
      <c r="AG158" s="383">
        <f t="shared" si="101"/>
        <v>1</v>
      </c>
      <c r="AH158" s="383">
        <f t="shared" si="102"/>
        <v>0</v>
      </c>
      <c r="AI158" s="383">
        <f t="shared" si="103"/>
        <v>1</v>
      </c>
      <c r="AJ158" s="383">
        <f t="shared" si="104"/>
        <v>0</v>
      </c>
      <c r="AK158" s="383">
        <f t="shared" si="105"/>
        <v>0</v>
      </c>
      <c r="AM158" s="148" t="str">
        <f t="shared" si="106"/>
        <v>Schedulled</v>
      </c>
      <c r="AN158" s="148" t="str">
        <f t="shared" si="107"/>
        <v/>
      </c>
      <c r="AO158" s="156">
        <f t="shared" si="108"/>
        <v>43062.506944444445</v>
      </c>
      <c r="AP158" s="148" t="str">
        <f t="shared" si="109"/>
        <v>11/23/2017 12:10-&gt;Hillel - Field 1</v>
      </c>
      <c r="AQ158" s="374">
        <f t="shared" si="110"/>
        <v>1</v>
      </c>
      <c r="AR158" s="148" t="str">
        <f t="shared" si="111"/>
        <v>ARG1</v>
      </c>
      <c r="AS158" s="148" t="str">
        <f t="shared" si="112"/>
        <v>COL1</v>
      </c>
      <c r="AT158" s="157" t="str">
        <f t="shared" si="113"/>
        <v>ARG1-COL1</v>
      </c>
      <c r="AU158" s="157" t="str">
        <f t="shared" si="114"/>
        <v xml:space="preserve">ARG1-COL1 </v>
      </c>
      <c r="AV158" s="157" t="str">
        <f t="shared" si="115"/>
        <v>CHILDREN C FEMALE</v>
      </c>
      <c r="AW158" s="157" t="str">
        <f t="shared" si="116"/>
        <v>Kickball</v>
      </c>
      <c r="AX158" s="376">
        <f t="shared" si="117"/>
        <v>156</v>
      </c>
      <c r="AY158" s="148" t="str">
        <f t="shared" si="118"/>
        <v>CHILD CF - ARG 1-&gt;CHILD CF - COL 1</v>
      </c>
      <c r="AZ158" s="148" t="str">
        <f t="shared" si="119"/>
        <v>11/23/2017 12:10-&gt;CHILD CF - ARG 1</v>
      </c>
      <c r="BA158" s="148" t="str">
        <f t="shared" si="120"/>
        <v>11/23/2017 12:10-&gt;CHILD CF - COL 1</v>
      </c>
      <c r="BB158" s="374">
        <f t="shared" si="121"/>
        <v>1</v>
      </c>
      <c r="BC158" s="374">
        <f t="shared" si="122"/>
        <v>1</v>
      </c>
      <c r="BD158" s="148" t="str">
        <f t="shared" si="123"/>
        <v>no conflict</v>
      </c>
      <c r="BF158" s="148" t="str">
        <f t="shared" si="124"/>
        <v>11/23/2017 12:10-&gt;CHILD CF - ARG 1</v>
      </c>
      <c r="BG158" s="148" t="str">
        <f t="shared" si="125"/>
        <v>11/23/2017 12:10-&gt;CHILD CF - COL 1</v>
      </c>
      <c r="BH158" s="148" t="str">
        <f t="shared" si="126"/>
        <v>11/23/2017 12:10-&gt;Hillel - Field 1</v>
      </c>
      <c r="BI158" s="148" t="str">
        <f t="shared" si="127"/>
        <v>Kickball in Hillel - Field 1 (ARG1-COL1)</v>
      </c>
      <c r="BJ158" s="148" t="str">
        <f t="shared" si="128"/>
        <v>Ch C Female Kickball-- CHILD CF - ARG 1 vs. CHILD CF - COL 1</v>
      </c>
      <c r="BK158" s="148" t="str">
        <f t="shared" si="129"/>
        <v>Kickball</v>
      </c>
      <c r="BL158" s="148" t="str">
        <f t="shared" si="130"/>
        <v>CHILD CF - ARG 1</v>
      </c>
      <c r="BM158" s="148" t="str">
        <f t="shared" si="131"/>
        <v>CHILD CF - COL 1</v>
      </c>
      <c r="BN158" s="148" t="str">
        <f t="shared" si="132"/>
        <v>Round - 1</v>
      </c>
      <c r="BP158" s="148" t="str">
        <f t="shared" si="133"/>
        <v>no t, f, or sf</v>
      </c>
      <c r="BQ158" s="148" t="str">
        <f t="shared" si="134"/>
        <v/>
      </c>
    </row>
    <row r="159" spans="1:69" ht="15" customHeight="1" x14ac:dyDescent="0.2">
      <c r="A159" s="376">
        <v>157</v>
      </c>
      <c r="B159" s="121" t="s">
        <v>42</v>
      </c>
      <c r="C159" s="121" t="s">
        <v>518</v>
      </c>
      <c r="D159" s="382">
        <v>1</v>
      </c>
      <c r="E159" s="382">
        <v>1</v>
      </c>
      <c r="F159" s="315" t="s">
        <v>770</v>
      </c>
      <c r="G159" s="206">
        <v>43063</v>
      </c>
      <c r="H159" s="454">
        <v>0.36805555555555558</v>
      </c>
      <c r="I159" s="325" t="s">
        <v>770</v>
      </c>
      <c r="J159" s="121" t="s">
        <v>704</v>
      </c>
      <c r="K159" s="444">
        <v>33</v>
      </c>
      <c r="L159" s="121" t="s">
        <v>569</v>
      </c>
      <c r="M159">
        <v>33</v>
      </c>
      <c r="N159" s="121" t="s">
        <v>567</v>
      </c>
      <c r="O159" s="153" t="str">
        <f>IF(L159&lt;&gt;"",IFERROR(VLOOKUP(B159&amp;L159,Pools!$A$2:$D$130,3,FALSE),""),"")</f>
        <v/>
      </c>
      <c r="P159" s="388">
        <v>9</v>
      </c>
      <c r="Q159" s="388">
        <v>10</v>
      </c>
      <c r="R159" s="306" t="str">
        <f t="shared" si="90"/>
        <v>9-10</v>
      </c>
      <c r="S159" s="153"/>
      <c r="T159" s="148" t="str">
        <f t="shared" si="91"/>
        <v>Completed</v>
      </c>
      <c r="U159" s="153"/>
      <c r="V159" s="153"/>
      <c r="W159" s="387">
        <f t="shared" si="92"/>
        <v>-1</v>
      </c>
      <c r="X159" s="387">
        <f t="shared" si="93"/>
        <v>1</v>
      </c>
      <c r="Y159" s="301">
        <f t="shared" si="94"/>
        <v>0</v>
      </c>
      <c r="Z159" s="301">
        <f t="shared" si="95"/>
        <v>2</v>
      </c>
      <c r="AA159" s="323" t="str">
        <f>CONCATENATE("                x[team1,team2,sport,'",IF(OR(I159="x",I159=""),VLOOKUP('Schedule from TM'!J159,Tables!$P$3:$Q$33,2,FALSE),'Schedule from TM'!I159),",",J159,"','",IF(OR(F159="x",F159=""),VLOOKUP('Schedule from TM'!G159,Tables!$U$3:$V$14,2,FALSE),'Schedule from TM'!F159),",",TEXT(G159,"mm/dd/yyyy"),"','",TEXT(H159,"h:mm:ss AM/PM"),"'].ub=0.0      #",B159)</f>
        <v xml:space="preserve">                x[team1,team2,sport,'21,Hillel - Field 2','11,11/24/2017','8:50:00 AM'].ub=0.0      #Ch C Female Kickball</v>
      </c>
      <c r="AB159" s="301" t="str">
        <f t="shared" si="96"/>
        <v>,,Ch C Female Kickball,,1,CHILD CF - VEN 1</v>
      </c>
      <c r="AC159" s="153" t="str">
        <f t="shared" si="97"/>
        <v>Ch C Female KickballCHILD CF - VEN 1</v>
      </c>
      <c r="AD159" s="301" t="str">
        <f t="shared" si="98"/>
        <v>,,Ch C Female Kickball,,1,CHILD CF - USA 1</v>
      </c>
      <c r="AE159" s="153" t="str">
        <f t="shared" si="99"/>
        <v>Ch C Female KickballCHILD CF - USA 1</v>
      </c>
      <c r="AF159" s="383">
        <f t="shared" si="100"/>
        <v>0</v>
      </c>
      <c r="AG159" s="383">
        <f t="shared" si="101"/>
        <v>1</v>
      </c>
      <c r="AH159" s="383">
        <f t="shared" si="102"/>
        <v>0</v>
      </c>
      <c r="AI159" s="383">
        <f t="shared" si="103"/>
        <v>1</v>
      </c>
      <c r="AJ159" s="383">
        <f t="shared" si="104"/>
        <v>0</v>
      </c>
      <c r="AK159" s="383">
        <f t="shared" si="105"/>
        <v>0</v>
      </c>
      <c r="AM159" s="148" t="str">
        <f t="shared" si="106"/>
        <v>Schedulled</v>
      </c>
      <c r="AN159" s="148" t="str">
        <f t="shared" si="107"/>
        <v/>
      </c>
      <c r="AO159" s="156">
        <f t="shared" si="108"/>
        <v>43063.368055555555</v>
      </c>
      <c r="AP159" s="148" t="str">
        <f t="shared" si="109"/>
        <v>11/24/2017 08:50-&gt;Hillel - Field 2</v>
      </c>
      <c r="AQ159" s="374">
        <f t="shared" si="110"/>
        <v>1</v>
      </c>
      <c r="AR159" s="148" t="str">
        <f t="shared" si="111"/>
        <v>VEN1</v>
      </c>
      <c r="AS159" s="148" t="str">
        <f t="shared" si="112"/>
        <v>USA1</v>
      </c>
      <c r="AT159" s="157" t="str">
        <f t="shared" si="113"/>
        <v>VEN1-USA1</v>
      </c>
      <c r="AU159" s="157" t="str">
        <f t="shared" si="114"/>
        <v xml:space="preserve">VEN1-USA1 </v>
      </c>
      <c r="AV159" s="157" t="str">
        <f t="shared" si="115"/>
        <v>CHILDREN C FEMALE</v>
      </c>
      <c r="AW159" s="157" t="str">
        <f t="shared" si="116"/>
        <v>Kickball</v>
      </c>
      <c r="AX159" s="376">
        <f t="shared" si="117"/>
        <v>157</v>
      </c>
      <c r="AY159" s="148" t="str">
        <f t="shared" si="118"/>
        <v>CHILD CF - VEN 1-&gt;CHILD CF - USA 1</v>
      </c>
      <c r="AZ159" s="148" t="str">
        <f t="shared" si="119"/>
        <v>11/24/2017 08:50-&gt;CHILD CF - VEN 1</v>
      </c>
      <c r="BA159" s="148" t="str">
        <f t="shared" si="120"/>
        <v>11/24/2017 08:50-&gt;CHILD CF - USA 1</v>
      </c>
      <c r="BB159" s="374">
        <f t="shared" si="121"/>
        <v>1</v>
      </c>
      <c r="BC159" s="374">
        <f t="shared" si="122"/>
        <v>1</v>
      </c>
      <c r="BD159" s="148" t="str">
        <f t="shared" si="123"/>
        <v>no conflict</v>
      </c>
      <c r="BF159" s="148" t="str">
        <f t="shared" si="124"/>
        <v>11/24/2017 08:50-&gt;CHILD CF - VEN 1</v>
      </c>
      <c r="BG159" s="148" t="str">
        <f t="shared" si="125"/>
        <v>11/24/2017 08:50-&gt;CHILD CF - USA 1</v>
      </c>
      <c r="BH159" s="148" t="str">
        <f t="shared" si="126"/>
        <v>11/24/2017 08:50-&gt;Hillel - Field 2</v>
      </c>
      <c r="BI159" s="148" t="str">
        <f t="shared" si="127"/>
        <v>Kickball in Hillel - Field 2 (VEN1-USA1)</v>
      </c>
      <c r="BJ159" s="148" t="str">
        <f t="shared" si="128"/>
        <v>Ch C Female Kickball-- CHILD CF - VEN 1 vs. CHILD CF - USA 1</v>
      </c>
      <c r="BK159" s="148" t="str">
        <f t="shared" si="129"/>
        <v>Kickball</v>
      </c>
      <c r="BL159" s="148" t="str">
        <f t="shared" si="130"/>
        <v>CHILD CF - VEN 1</v>
      </c>
      <c r="BM159" s="148" t="str">
        <f t="shared" si="131"/>
        <v>CHILD CF - USA 1</v>
      </c>
      <c r="BN159" s="148" t="str">
        <f t="shared" si="132"/>
        <v>Round - 1</v>
      </c>
      <c r="BP159" s="148" t="str">
        <f t="shared" si="133"/>
        <v>no t, f, or sf</v>
      </c>
      <c r="BQ159" s="148" t="str">
        <f t="shared" si="134"/>
        <v/>
      </c>
    </row>
    <row r="160" spans="1:69" ht="15" customHeight="1" x14ac:dyDescent="0.2">
      <c r="A160" s="376">
        <v>158</v>
      </c>
      <c r="B160" s="315" t="s">
        <v>42</v>
      </c>
      <c r="C160" s="315" t="s">
        <v>518</v>
      </c>
      <c r="D160" s="378">
        <v>1</v>
      </c>
      <c r="E160" s="378">
        <v>1</v>
      </c>
      <c r="F160" s="315" t="s">
        <v>770</v>
      </c>
      <c r="G160" s="316">
        <v>43063</v>
      </c>
      <c r="H160" s="417">
        <v>0.40277777777777773</v>
      </c>
      <c r="I160" s="325" t="s">
        <v>770</v>
      </c>
      <c r="J160" s="315" t="s">
        <v>703</v>
      </c>
      <c r="K160" s="315">
        <v>33</v>
      </c>
      <c r="L160" t="s">
        <v>568</v>
      </c>
      <c r="M160">
        <v>33</v>
      </c>
      <c r="N160" t="s">
        <v>565</v>
      </c>
      <c r="O160" s="153" t="str">
        <f>IF(L160&lt;&gt;"",IFERROR(VLOOKUP(B160&amp;L160,Pools!$A$2:$D$130,3,FALSE),""),"")</f>
        <v/>
      </c>
      <c r="P160" s="388">
        <v>12</v>
      </c>
      <c r="Q160" s="388">
        <v>13</v>
      </c>
      <c r="R160" s="306" t="str">
        <f t="shared" si="90"/>
        <v>12-13</v>
      </c>
      <c r="S160" s="153"/>
      <c r="T160" s="148" t="str">
        <f t="shared" si="91"/>
        <v>Completed</v>
      </c>
      <c r="U160" s="153"/>
      <c r="V160" s="153"/>
      <c r="W160" s="387">
        <f t="shared" si="92"/>
        <v>-1</v>
      </c>
      <c r="X160" s="387">
        <f t="shared" si="93"/>
        <v>1</v>
      </c>
      <c r="Y160" s="301">
        <f t="shared" si="94"/>
        <v>0</v>
      </c>
      <c r="Z160" s="301">
        <f t="shared" si="95"/>
        <v>2</v>
      </c>
      <c r="AA160" s="323" t="str">
        <f>CONCATENATE("                x[team1,team2,sport,'",IF(OR(I160="x",I160=""),VLOOKUP('Schedule from TM'!J160,Tables!$P$3:$Q$33,2,FALSE),'Schedule from TM'!I160),",",J160,"','",IF(OR(F160="x",F160=""),VLOOKUP('Schedule from TM'!G160,Tables!$U$3:$V$14,2,FALSE),'Schedule from TM'!F160),",",TEXT(G160,"mm/dd/yyyy"),"','",TEXT(H160,"h:mm:ss AM/PM"),"'].ub=0.0      #",B160)</f>
        <v xml:space="preserve">                x[team1,team2,sport,'21,Hillel - Field 1','11,11/24/2017','9:40:00 AM'].ub=0.0      #Ch C Female Kickball</v>
      </c>
      <c r="AB160" s="301" t="str">
        <f t="shared" si="96"/>
        <v>,,Ch C Female Kickball,,1,CHILD CF - USA 2</v>
      </c>
      <c r="AC160" s="153" t="str">
        <f t="shared" si="97"/>
        <v>Ch C Female KickballCHILD CF - USA 2</v>
      </c>
      <c r="AD160" s="301" t="str">
        <f t="shared" si="98"/>
        <v>,,Ch C Female Kickball,,1,CHILD CF - COL 1</v>
      </c>
      <c r="AE160" s="153" t="str">
        <f t="shared" si="99"/>
        <v>Ch C Female KickballCHILD CF - COL 1</v>
      </c>
      <c r="AF160" s="383">
        <f t="shared" si="100"/>
        <v>0</v>
      </c>
      <c r="AG160" s="383">
        <f t="shared" si="101"/>
        <v>1</v>
      </c>
      <c r="AH160" s="383">
        <f t="shared" si="102"/>
        <v>0</v>
      </c>
      <c r="AI160" s="383">
        <f t="shared" si="103"/>
        <v>1</v>
      </c>
      <c r="AJ160" s="383">
        <f t="shared" si="104"/>
        <v>0</v>
      </c>
      <c r="AK160" s="383">
        <f t="shared" si="105"/>
        <v>0</v>
      </c>
      <c r="AM160" s="148" t="str">
        <f t="shared" si="106"/>
        <v>Schedulled</v>
      </c>
      <c r="AN160" s="148" t="str">
        <f t="shared" si="107"/>
        <v/>
      </c>
      <c r="AO160" s="156">
        <f t="shared" si="108"/>
        <v>43063.402777777781</v>
      </c>
      <c r="AP160" s="148" t="str">
        <f t="shared" si="109"/>
        <v>11/24/2017 09:40-&gt;Hillel - Field 1</v>
      </c>
      <c r="AQ160" s="374">
        <f t="shared" si="110"/>
        <v>1</v>
      </c>
      <c r="AR160" s="148" t="str">
        <f t="shared" si="111"/>
        <v>USA2</v>
      </c>
      <c r="AS160" s="148" t="str">
        <f t="shared" si="112"/>
        <v>COL1</v>
      </c>
      <c r="AT160" s="157" t="str">
        <f t="shared" si="113"/>
        <v>USA2-COL1</v>
      </c>
      <c r="AU160" s="157" t="str">
        <f t="shared" si="114"/>
        <v xml:space="preserve">USA2-COL1 </v>
      </c>
      <c r="AV160" s="157" t="str">
        <f t="shared" si="115"/>
        <v>CHILDREN C FEMALE</v>
      </c>
      <c r="AW160" s="157" t="str">
        <f t="shared" si="116"/>
        <v>Kickball</v>
      </c>
      <c r="AX160" s="376">
        <f t="shared" si="117"/>
        <v>158</v>
      </c>
      <c r="AY160" s="148" t="str">
        <f t="shared" si="118"/>
        <v>CHILD CF - USA 2-&gt;CHILD CF - COL 1</v>
      </c>
      <c r="AZ160" s="148" t="str">
        <f t="shared" si="119"/>
        <v>11/24/2017 09:40-&gt;CHILD CF - USA 2</v>
      </c>
      <c r="BA160" s="148" t="str">
        <f t="shared" si="120"/>
        <v>11/24/2017 09:40-&gt;CHILD CF - COL 1</v>
      </c>
      <c r="BB160" s="374">
        <f t="shared" si="121"/>
        <v>1</v>
      </c>
      <c r="BC160" s="374">
        <f t="shared" si="122"/>
        <v>1</v>
      </c>
      <c r="BD160" s="148" t="str">
        <f t="shared" si="123"/>
        <v>no conflict</v>
      </c>
      <c r="BF160" s="148" t="str">
        <f t="shared" si="124"/>
        <v>11/24/2017 09:40-&gt;CHILD CF - USA 2</v>
      </c>
      <c r="BG160" s="148" t="str">
        <f t="shared" si="125"/>
        <v>11/24/2017 09:40-&gt;CHILD CF - COL 1</v>
      </c>
      <c r="BH160" s="148" t="str">
        <f t="shared" si="126"/>
        <v>11/24/2017 09:40-&gt;Hillel - Field 1</v>
      </c>
      <c r="BI160" s="148" t="str">
        <f t="shared" si="127"/>
        <v>Kickball in Hillel - Field 1 (USA2-COL1)</v>
      </c>
      <c r="BJ160" s="148" t="str">
        <f t="shared" si="128"/>
        <v>Ch C Female Kickball-- CHILD CF - USA 2 vs. CHILD CF - COL 1</v>
      </c>
      <c r="BK160" s="148" t="str">
        <f t="shared" si="129"/>
        <v>Kickball</v>
      </c>
      <c r="BL160" s="148" t="str">
        <f t="shared" si="130"/>
        <v>CHILD CF - USA 2</v>
      </c>
      <c r="BM160" s="148" t="str">
        <f t="shared" si="131"/>
        <v>CHILD CF - COL 1</v>
      </c>
      <c r="BN160" s="148" t="str">
        <f t="shared" si="132"/>
        <v>Round - 1</v>
      </c>
      <c r="BP160" s="148" t="str">
        <f t="shared" si="133"/>
        <v>no t, f, or sf</v>
      </c>
      <c r="BQ160" s="148" t="str">
        <f t="shared" si="134"/>
        <v/>
      </c>
    </row>
    <row r="161" spans="1:69" ht="15" customHeight="1" x14ac:dyDescent="0.2">
      <c r="A161" s="376">
        <v>159</v>
      </c>
      <c r="B161" s="315" t="s">
        <v>42</v>
      </c>
      <c r="C161" s="315" t="s">
        <v>518</v>
      </c>
      <c r="D161" s="378">
        <v>1</v>
      </c>
      <c r="E161" s="378">
        <v>1</v>
      </c>
      <c r="F161" s="315" t="s">
        <v>770</v>
      </c>
      <c r="G161" s="316">
        <v>43065</v>
      </c>
      <c r="H161" s="417">
        <v>0.36805555555555558</v>
      </c>
      <c r="I161" s="325" t="s">
        <v>770</v>
      </c>
      <c r="J161" s="443" t="s">
        <v>705</v>
      </c>
      <c r="K161" s="315">
        <v>33</v>
      </c>
      <c r="L161" t="s">
        <v>570</v>
      </c>
      <c r="M161">
        <v>33</v>
      </c>
      <c r="N161" t="s">
        <v>564</v>
      </c>
      <c r="O161" s="153" t="str">
        <f>IF(L161&lt;&gt;"",IFERROR(VLOOKUP(B161&amp;L161,Pools!$A$2:$D$130,3,FALSE),""),"")</f>
        <v/>
      </c>
      <c r="P161" s="388">
        <v>11</v>
      </c>
      <c r="Q161" s="388">
        <v>10</v>
      </c>
      <c r="R161" s="306" t="str">
        <f t="shared" si="90"/>
        <v>11-10</v>
      </c>
      <c r="S161" s="153"/>
      <c r="T161" s="148" t="str">
        <f t="shared" si="91"/>
        <v>Completed</v>
      </c>
      <c r="U161" s="153"/>
      <c r="V161" s="153"/>
      <c r="W161" s="387">
        <f t="shared" si="92"/>
        <v>1</v>
      </c>
      <c r="X161" s="387">
        <f t="shared" si="93"/>
        <v>-1</v>
      </c>
      <c r="Y161" s="301">
        <f t="shared" si="94"/>
        <v>2</v>
      </c>
      <c r="Z161" s="301">
        <f t="shared" si="95"/>
        <v>0</v>
      </c>
      <c r="AA161" s="323" t="str">
        <f>CONCATENATE("                x[team1,team2,sport,'",IF(OR(I161="x",I161=""),VLOOKUP('Schedule from TM'!J161,Tables!$P$3:$Q$33,2,FALSE),'Schedule from TM'!I161),",",J161,"','",IF(OR(F161="x",F161=""),VLOOKUP('Schedule from TM'!G161,Tables!$U$3:$V$14,2,FALSE),'Schedule from TM'!F161),",",TEXT(G161,"mm/dd/yyyy"),"','",TEXT(H161,"h:mm:ss AM/PM"),"'].ub=0.0      #",B161)</f>
        <v xml:space="preserve">                x[team1,team2,sport,'21,Hillel - Field 3','21,11/26/2017','8:50:00 AM'].ub=0.0      #Ch C Female Kickball</v>
      </c>
      <c r="AB161" s="301" t="str">
        <f t="shared" si="96"/>
        <v>,,Ch C Female Kickball,,1,CHILD CF - VEN 2</v>
      </c>
      <c r="AC161" s="153" t="str">
        <f t="shared" si="97"/>
        <v>Ch C Female KickballCHILD CF - VEN 2</v>
      </c>
      <c r="AD161" s="301" t="str">
        <f t="shared" si="98"/>
        <v>,,Ch C Female Kickball,,1,CHILD CF - ARG 1</v>
      </c>
      <c r="AE161" s="153" t="str">
        <f t="shared" si="99"/>
        <v>Ch C Female KickballCHILD CF - ARG 1</v>
      </c>
      <c r="AF161" s="383">
        <f t="shared" si="100"/>
        <v>1</v>
      </c>
      <c r="AG161" s="383">
        <f t="shared" si="101"/>
        <v>0</v>
      </c>
      <c r="AH161" s="383">
        <f t="shared" si="102"/>
        <v>0</v>
      </c>
      <c r="AI161" s="383">
        <f t="shared" si="103"/>
        <v>0</v>
      </c>
      <c r="AJ161" s="383">
        <f t="shared" si="104"/>
        <v>1</v>
      </c>
      <c r="AK161" s="383">
        <f t="shared" si="105"/>
        <v>0</v>
      </c>
      <c r="AM161" s="148" t="str">
        <f t="shared" si="106"/>
        <v>Schedulled</v>
      </c>
      <c r="AN161" s="148" t="str">
        <f t="shared" si="107"/>
        <v/>
      </c>
      <c r="AO161" s="156">
        <f t="shared" si="108"/>
        <v>43065.368055555555</v>
      </c>
      <c r="AP161" s="148" t="str">
        <f t="shared" si="109"/>
        <v>11/26/2017 08:50-&gt;Hillel - Field 3</v>
      </c>
      <c r="AQ161" s="374">
        <f t="shared" si="110"/>
        <v>1</v>
      </c>
      <c r="AR161" s="148" t="str">
        <f t="shared" si="111"/>
        <v>VEN2</v>
      </c>
      <c r="AS161" s="148" t="str">
        <f t="shared" si="112"/>
        <v>ARG1</v>
      </c>
      <c r="AT161" s="157" t="str">
        <f t="shared" si="113"/>
        <v>VEN2-ARG1</v>
      </c>
      <c r="AU161" s="157" t="str">
        <f t="shared" si="114"/>
        <v xml:space="preserve">VEN2-ARG1 </v>
      </c>
      <c r="AV161" s="157" t="str">
        <f t="shared" si="115"/>
        <v>CHILDREN C FEMALE</v>
      </c>
      <c r="AW161" s="157" t="str">
        <f t="shared" si="116"/>
        <v>Kickball</v>
      </c>
      <c r="AX161" s="376">
        <f t="shared" si="117"/>
        <v>159</v>
      </c>
      <c r="AY161" s="148" t="str">
        <f t="shared" si="118"/>
        <v>CHILD CF - VEN 2-&gt;CHILD CF - ARG 1</v>
      </c>
      <c r="AZ161" s="148" t="str">
        <f t="shared" si="119"/>
        <v>11/26/2017 08:50-&gt;CHILD CF - VEN 2</v>
      </c>
      <c r="BA161" s="148" t="str">
        <f t="shared" si="120"/>
        <v>11/26/2017 08:50-&gt;CHILD CF - ARG 1</v>
      </c>
      <c r="BB161" s="374">
        <f t="shared" si="121"/>
        <v>1</v>
      </c>
      <c r="BC161" s="374">
        <f t="shared" si="122"/>
        <v>1</v>
      </c>
      <c r="BD161" s="148" t="str">
        <f t="shared" si="123"/>
        <v>no conflict</v>
      </c>
      <c r="BF161" s="148" t="str">
        <f t="shared" si="124"/>
        <v>11/26/2017 08:50-&gt;CHILD CF - VEN 2</v>
      </c>
      <c r="BG161" s="148" t="str">
        <f t="shared" si="125"/>
        <v>11/26/2017 08:50-&gt;CHILD CF - ARG 1</v>
      </c>
      <c r="BH161" s="148" t="str">
        <f t="shared" si="126"/>
        <v>11/26/2017 08:50-&gt;Hillel - Field 3</v>
      </c>
      <c r="BI161" s="148" t="str">
        <f t="shared" si="127"/>
        <v>Kickball in Hillel - Field 3 (VEN2-ARG1)</v>
      </c>
      <c r="BJ161" s="148" t="str">
        <f t="shared" si="128"/>
        <v>Ch C Female Kickball-- CHILD CF - VEN 2 vs. CHILD CF - ARG 1</v>
      </c>
      <c r="BK161" s="148" t="str">
        <f t="shared" si="129"/>
        <v>Kickball</v>
      </c>
      <c r="BL161" s="148" t="str">
        <f t="shared" si="130"/>
        <v>CHILD CF - VEN 2</v>
      </c>
      <c r="BM161" s="148" t="str">
        <f t="shared" si="131"/>
        <v>CHILD CF - ARG 1</v>
      </c>
      <c r="BN161" s="148" t="str">
        <f t="shared" si="132"/>
        <v>Round - 1</v>
      </c>
      <c r="BP161" s="148" t="str">
        <f t="shared" si="133"/>
        <v>no t, f, or sf</v>
      </c>
      <c r="BQ161" s="148" t="str">
        <f t="shared" si="134"/>
        <v/>
      </c>
    </row>
    <row r="162" spans="1:69" ht="15" customHeight="1" x14ac:dyDescent="0.2">
      <c r="A162" s="376">
        <v>160</v>
      </c>
      <c r="B162" s="441" t="s">
        <v>42</v>
      </c>
      <c r="C162" s="441" t="s">
        <v>518</v>
      </c>
      <c r="D162" s="450">
        <v>1</v>
      </c>
      <c r="E162" s="450">
        <v>1</v>
      </c>
      <c r="F162" s="315" t="s">
        <v>770</v>
      </c>
      <c r="G162" s="320">
        <v>43065</v>
      </c>
      <c r="H162" s="418">
        <v>0.40277777777777773</v>
      </c>
      <c r="I162" s="325" t="s">
        <v>770</v>
      </c>
      <c r="J162" s="441" t="s">
        <v>703</v>
      </c>
      <c r="K162" s="441">
        <v>33</v>
      </c>
      <c r="L162" t="s">
        <v>567</v>
      </c>
      <c r="M162">
        <v>33</v>
      </c>
      <c r="N162" t="s">
        <v>565</v>
      </c>
      <c r="O162" s="153" t="str">
        <f>IF(L162&lt;&gt;"",IFERROR(VLOOKUP(B162&amp;L162,Pools!$A$2:$D$130,3,FALSE),""),"")</f>
        <v/>
      </c>
      <c r="P162" s="388">
        <v>9</v>
      </c>
      <c r="Q162" s="388">
        <v>10</v>
      </c>
      <c r="R162" s="306" t="str">
        <f t="shared" si="90"/>
        <v>9-10</v>
      </c>
      <c r="S162" s="153"/>
      <c r="T162" s="148" t="str">
        <f t="shared" si="91"/>
        <v>Completed</v>
      </c>
      <c r="U162" s="153"/>
      <c r="V162" s="153"/>
      <c r="W162" s="387">
        <f t="shared" si="92"/>
        <v>-1</v>
      </c>
      <c r="X162" s="387">
        <f t="shared" si="93"/>
        <v>1</v>
      </c>
      <c r="Y162" s="301">
        <f t="shared" si="94"/>
        <v>0</v>
      </c>
      <c r="Z162" s="301">
        <f t="shared" si="95"/>
        <v>2</v>
      </c>
      <c r="AA162" s="323" t="str">
        <f>CONCATENATE("                x[team1,team2,sport,'",IF(OR(I162="x",I162=""),VLOOKUP('Schedule from TM'!J162,Tables!$P$3:$Q$33,2,FALSE),'Schedule from TM'!I162),",",J162,"','",IF(OR(F162="x",F162=""),VLOOKUP('Schedule from TM'!G162,Tables!$U$3:$V$14,2,FALSE),'Schedule from TM'!F162),",",TEXT(G162,"mm/dd/yyyy"),"','",TEXT(H162,"h:mm:ss AM/PM"),"'].ub=0.0      #",B162)</f>
        <v xml:space="preserve">                x[team1,team2,sport,'21,Hillel - Field 1','21,11/26/2017','9:40:00 AM'].ub=0.0      #Ch C Female Kickball</v>
      </c>
      <c r="AB162" s="301" t="str">
        <f t="shared" si="96"/>
        <v>,,Ch C Female Kickball,,1,CHILD CF - USA 1</v>
      </c>
      <c r="AC162" s="153" t="str">
        <f t="shared" si="97"/>
        <v>Ch C Female KickballCHILD CF - USA 1</v>
      </c>
      <c r="AD162" s="301" t="str">
        <f t="shared" si="98"/>
        <v>,,Ch C Female Kickball,,1,CHILD CF - COL 1</v>
      </c>
      <c r="AE162" s="153" t="str">
        <f t="shared" si="99"/>
        <v>Ch C Female KickballCHILD CF - COL 1</v>
      </c>
      <c r="AF162" s="383">
        <f t="shared" si="100"/>
        <v>0</v>
      </c>
      <c r="AG162" s="383">
        <f t="shared" si="101"/>
        <v>1</v>
      </c>
      <c r="AH162" s="383">
        <f t="shared" si="102"/>
        <v>0</v>
      </c>
      <c r="AI162" s="383">
        <f t="shared" si="103"/>
        <v>1</v>
      </c>
      <c r="AJ162" s="383">
        <f t="shared" si="104"/>
        <v>0</v>
      </c>
      <c r="AK162" s="383">
        <f t="shared" si="105"/>
        <v>0</v>
      </c>
      <c r="AM162" s="148" t="str">
        <f t="shared" si="106"/>
        <v>Schedulled</v>
      </c>
      <c r="AN162" s="148" t="str">
        <f t="shared" si="107"/>
        <v/>
      </c>
      <c r="AO162" s="156">
        <f t="shared" si="108"/>
        <v>43065.402777777781</v>
      </c>
      <c r="AP162" s="148" t="str">
        <f t="shared" si="109"/>
        <v>11/26/2017 09:40-&gt;Hillel - Field 1</v>
      </c>
      <c r="AQ162" s="374">
        <f t="shared" si="110"/>
        <v>1</v>
      </c>
      <c r="AR162" s="148" t="str">
        <f t="shared" si="111"/>
        <v>USA1</v>
      </c>
      <c r="AS162" s="148" t="str">
        <f t="shared" si="112"/>
        <v>COL1</v>
      </c>
      <c r="AT162" s="157" t="str">
        <f t="shared" si="113"/>
        <v>USA1-COL1</v>
      </c>
      <c r="AU162" s="157" t="str">
        <f t="shared" si="114"/>
        <v xml:space="preserve">USA1-COL1 </v>
      </c>
      <c r="AV162" s="157" t="str">
        <f t="shared" si="115"/>
        <v>CHILDREN C FEMALE</v>
      </c>
      <c r="AW162" s="157" t="str">
        <f t="shared" si="116"/>
        <v>Kickball</v>
      </c>
      <c r="AX162" s="376">
        <f t="shared" si="117"/>
        <v>160</v>
      </c>
      <c r="AY162" s="148" t="str">
        <f t="shared" si="118"/>
        <v>CHILD CF - USA 1-&gt;CHILD CF - COL 1</v>
      </c>
      <c r="AZ162" s="148" t="str">
        <f t="shared" si="119"/>
        <v>11/26/2017 09:40-&gt;CHILD CF - USA 1</v>
      </c>
      <c r="BA162" s="148" t="str">
        <f t="shared" si="120"/>
        <v>11/26/2017 09:40-&gt;CHILD CF - COL 1</v>
      </c>
      <c r="BB162" s="374">
        <f t="shared" si="121"/>
        <v>1</v>
      </c>
      <c r="BC162" s="374">
        <f t="shared" si="122"/>
        <v>1</v>
      </c>
      <c r="BD162" s="148" t="str">
        <f t="shared" si="123"/>
        <v>no conflict</v>
      </c>
      <c r="BF162" s="148" t="str">
        <f t="shared" si="124"/>
        <v>11/26/2017 09:40-&gt;CHILD CF - USA 1</v>
      </c>
      <c r="BG162" s="148" t="str">
        <f t="shared" si="125"/>
        <v>11/26/2017 09:40-&gt;CHILD CF - COL 1</v>
      </c>
      <c r="BH162" s="148" t="str">
        <f t="shared" si="126"/>
        <v>11/26/2017 09:40-&gt;Hillel - Field 1</v>
      </c>
      <c r="BI162" s="148" t="str">
        <f t="shared" si="127"/>
        <v>Kickball in Hillel - Field 1 (USA1-COL1)</v>
      </c>
      <c r="BJ162" s="148" t="str">
        <f t="shared" si="128"/>
        <v>Ch C Female Kickball-- CHILD CF - USA 1 vs. CHILD CF - COL 1</v>
      </c>
      <c r="BK162" s="148" t="str">
        <f t="shared" si="129"/>
        <v>Kickball</v>
      </c>
      <c r="BL162" s="148" t="str">
        <f t="shared" si="130"/>
        <v>CHILD CF - USA 1</v>
      </c>
      <c r="BM162" s="148" t="str">
        <f t="shared" si="131"/>
        <v>CHILD CF - COL 1</v>
      </c>
      <c r="BN162" s="148" t="str">
        <f t="shared" si="132"/>
        <v>Round - 1</v>
      </c>
      <c r="BP162" s="148" t="str">
        <f t="shared" si="133"/>
        <v>no t, f, or sf</v>
      </c>
      <c r="BQ162" s="148" t="str">
        <f t="shared" si="134"/>
        <v/>
      </c>
    </row>
    <row r="163" spans="1:69" ht="15" customHeight="1" x14ac:dyDescent="0.2">
      <c r="A163" s="376">
        <v>161</v>
      </c>
      <c r="B163" s="441" t="s">
        <v>38</v>
      </c>
      <c r="C163" s="441" t="s">
        <v>518</v>
      </c>
      <c r="D163" s="450">
        <v>1</v>
      </c>
      <c r="E163" s="450">
        <v>1</v>
      </c>
      <c r="F163" s="315" t="s">
        <v>770</v>
      </c>
      <c r="G163" s="320">
        <v>43058</v>
      </c>
      <c r="H163" s="317">
        <v>0.50694444444444442</v>
      </c>
      <c r="I163" s="325" t="s">
        <v>770</v>
      </c>
      <c r="J163" s="441" t="s">
        <v>692</v>
      </c>
      <c r="K163" s="441">
        <v>33</v>
      </c>
      <c r="L163" t="s">
        <v>564</v>
      </c>
      <c r="M163">
        <v>33</v>
      </c>
      <c r="N163" t="s">
        <v>565</v>
      </c>
      <c r="O163" s="153" t="str">
        <f>IF(L163&lt;&gt;"",IFERROR(VLOOKUP(B163&amp;L163,Pools!$A$2:$D$130,3,FALSE),""),"")</f>
        <v/>
      </c>
      <c r="P163" s="388">
        <v>1</v>
      </c>
      <c r="Q163" s="388">
        <v>0</v>
      </c>
      <c r="R163" s="306" t="str">
        <f t="shared" si="90"/>
        <v>1-0</v>
      </c>
      <c r="S163" s="153"/>
      <c r="T163" s="148" t="str">
        <f t="shared" si="91"/>
        <v>Completed</v>
      </c>
      <c r="U163" s="153"/>
      <c r="V163" s="153"/>
      <c r="W163" s="387">
        <f t="shared" si="92"/>
        <v>1</v>
      </c>
      <c r="X163" s="387">
        <f t="shared" si="93"/>
        <v>-1</v>
      </c>
      <c r="Y163" s="301">
        <f t="shared" si="94"/>
        <v>2</v>
      </c>
      <c r="Z163" s="301">
        <f t="shared" si="95"/>
        <v>0</v>
      </c>
      <c r="AA163" s="323" t="str">
        <f>CONCATENATE("                x[team1,team2,sport,'",IF(OR(I163="x",I163=""),VLOOKUP('Schedule from TM'!J163,Tables!$P$3:$Q$33,2,FALSE),'Schedule from TM'!I163),",",J163,"','",IF(OR(F163="x",F163=""),VLOOKUP('Schedule from TM'!G163,Tables!$U$3:$V$14,2,FALSE),'Schedule from TM'!F163),",",TEXT(G163,"mm/dd/yyyy"),"','",TEXT(H163,"h:mm:ss AM/PM"),"'].ub=0.0      #",B163)</f>
        <v xml:space="preserve">                x[team1,team2,sport,'11,JCC Back Field 3','11,11/19/2017','12:10:00 PM'].ub=0.0      #Ch C Female Mini Soccer</v>
      </c>
      <c r="AB163" s="301" t="str">
        <f t="shared" si="96"/>
        <v>,,Ch C Female Mini Soccer,,1,CHILD CF - ARG 1</v>
      </c>
      <c r="AC163" s="153" t="str">
        <f t="shared" si="97"/>
        <v>Ch C Female Mini SoccerCHILD CF - ARG 1</v>
      </c>
      <c r="AD163" s="301" t="str">
        <f t="shared" si="98"/>
        <v>,,Ch C Female Mini Soccer,,1,CHILD CF - COL 1</v>
      </c>
      <c r="AE163" s="153" t="str">
        <f t="shared" si="99"/>
        <v>Ch C Female Mini SoccerCHILD CF - COL 1</v>
      </c>
      <c r="AF163" s="383">
        <f t="shared" si="100"/>
        <v>1</v>
      </c>
      <c r="AG163" s="383">
        <f t="shared" si="101"/>
        <v>0</v>
      </c>
      <c r="AH163" s="383">
        <f t="shared" si="102"/>
        <v>0</v>
      </c>
      <c r="AI163" s="383">
        <f t="shared" si="103"/>
        <v>0</v>
      </c>
      <c r="AJ163" s="383">
        <f t="shared" si="104"/>
        <v>1</v>
      </c>
      <c r="AK163" s="383">
        <f t="shared" si="105"/>
        <v>0</v>
      </c>
      <c r="AM163" s="148" t="str">
        <f t="shared" si="106"/>
        <v>Schedulled</v>
      </c>
      <c r="AN163" s="148" t="str">
        <f t="shared" si="107"/>
        <v/>
      </c>
      <c r="AO163" s="156">
        <f t="shared" si="108"/>
        <v>43058.506944444445</v>
      </c>
      <c r="AP163" s="148" t="str">
        <f t="shared" si="109"/>
        <v>11/19/2017 12:10-&gt;JCC Back Field 3</v>
      </c>
      <c r="AQ163" s="374">
        <f t="shared" si="110"/>
        <v>1</v>
      </c>
      <c r="AR163" s="148" t="str">
        <f t="shared" si="111"/>
        <v>ARG1</v>
      </c>
      <c r="AS163" s="148" t="str">
        <f t="shared" si="112"/>
        <v>COL1</v>
      </c>
      <c r="AT163" s="157" t="str">
        <f t="shared" si="113"/>
        <v>ARG1-COL1</v>
      </c>
      <c r="AU163" s="157" t="str">
        <f t="shared" si="114"/>
        <v xml:space="preserve">ARG1-COL1 </v>
      </c>
      <c r="AV163" s="157" t="str">
        <f t="shared" si="115"/>
        <v>CHILDREN C FEMALE</v>
      </c>
      <c r="AW163" s="157" t="str">
        <f t="shared" si="116"/>
        <v>Soccer</v>
      </c>
      <c r="AX163" s="376">
        <f t="shared" si="117"/>
        <v>161</v>
      </c>
      <c r="AY163" s="148" t="str">
        <f t="shared" si="118"/>
        <v>CHILD CF - ARG 1-&gt;CHILD CF - COL 1</v>
      </c>
      <c r="AZ163" s="148" t="str">
        <f t="shared" si="119"/>
        <v>11/19/2017 12:10-&gt;CHILD CF - ARG 1</v>
      </c>
      <c r="BA163" s="148" t="str">
        <f t="shared" si="120"/>
        <v>11/19/2017 12:10-&gt;CHILD CF - COL 1</v>
      </c>
      <c r="BB163" s="374">
        <f t="shared" si="121"/>
        <v>1</v>
      </c>
      <c r="BC163" s="374">
        <f t="shared" si="122"/>
        <v>1</v>
      </c>
      <c r="BD163" s="148" t="str">
        <f t="shared" si="123"/>
        <v>no conflict</v>
      </c>
      <c r="BF163" s="148" t="str">
        <f t="shared" si="124"/>
        <v>11/19/2017 12:10-&gt;CHILD CF - ARG 1</v>
      </c>
      <c r="BG163" s="148" t="str">
        <f t="shared" si="125"/>
        <v>11/19/2017 12:10-&gt;CHILD CF - COL 1</v>
      </c>
      <c r="BH163" s="148" t="str">
        <f t="shared" si="126"/>
        <v>11/19/2017 12:10-&gt;JCC Back Field 3</v>
      </c>
      <c r="BI163" s="148" t="str">
        <f t="shared" si="127"/>
        <v>Soccer in JCC Back Field 3 (ARG1-COL1)</v>
      </c>
      <c r="BJ163" s="148" t="str">
        <f t="shared" si="128"/>
        <v>Ch C Female Mini Soccer-- CHILD CF - ARG 1 vs. CHILD CF - COL 1</v>
      </c>
      <c r="BK163" s="148" t="str">
        <f t="shared" si="129"/>
        <v>Soccer</v>
      </c>
      <c r="BL163" s="148" t="str">
        <f t="shared" si="130"/>
        <v>CHILD CF - ARG 1</v>
      </c>
      <c r="BM163" s="148" t="str">
        <f t="shared" si="131"/>
        <v>CHILD CF - COL 1</v>
      </c>
      <c r="BN163" s="148" t="str">
        <f t="shared" si="132"/>
        <v>Round - 1</v>
      </c>
      <c r="BP163" s="148" t="str">
        <f t="shared" si="133"/>
        <v>no t, f, or sf</v>
      </c>
      <c r="BQ163" s="148" t="str">
        <f t="shared" si="134"/>
        <v/>
      </c>
    </row>
    <row r="164" spans="1:69" ht="15" customHeight="1" x14ac:dyDescent="0.2">
      <c r="A164" s="376">
        <v>162</v>
      </c>
      <c r="B164" s="441" t="s">
        <v>38</v>
      </c>
      <c r="C164" s="441" t="s">
        <v>518</v>
      </c>
      <c r="D164" s="450">
        <v>1</v>
      </c>
      <c r="E164" s="450">
        <v>1</v>
      </c>
      <c r="F164" s="315" t="s">
        <v>770</v>
      </c>
      <c r="G164" s="320">
        <v>43058</v>
      </c>
      <c r="H164" s="317">
        <v>0.61111111111111105</v>
      </c>
      <c r="I164" s="325" t="s">
        <v>770</v>
      </c>
      <c r="J164" s="441" t="s">
        <v>694</v>
      </c>
      <c r="K164" s="441">
        <v>33</v>
      </c>
      <c r="L164" s="433" t="s">
        <v>569</v>
      </c>
      <c r="M164" s="433">
        <v>33</v>
      </c>
      <c r="N164" s="433" t="s">
        <v>565</v>
      </c>
      <c r="O164" s="153" t="str">
        <f>IF(L164&lt;&gt;"",IFERROR(VLOOKUP(B164&amp;L164,Pools!$A$2:$D$130,3,FALSE),""),"")</f>
        <v/>
      </c>
      <c r="P164" s="388">
        <v>2</v>
      </c>
      <c r="Q164" s="388">
        <v>1</v>
      </c>
      <c r="R164" s="306" t="str">
        <f t="shared" si="90"/>
        <v>2-1</v>
      </c>
      <c r="S164" s="153"/>
      <c r="T164" s="148" t="str">
        <f t="shared" si="91"/>
        <v>Completed</v>
      </c>
      <c r="U164" s="153"/>
      <c r="V164" s="153"/>
      <c r="W164" s="387">
        <f t="shared" si="92"/>
        <v>1</v>
      </c>
      <c r="X164" s="387">
        <f t="shared" si="93"/>
        <v>-1</v>
      </c>
      <c r="Y164" s="301">
        <f t="shared" si="94"/>
        <v>2</v>
      </c>
      <c r="Z164" s="301">
        <f t="shared" si="95"/>
        <v>0</v>
      </c>
      <c r="AA164" s="323" t="str">
        <f>CONCATENATE("                x[team1,team2,sport,'",IF(OR(I164="x",I164=""),VLOOKUP('Schedule from TM'!J164,Tables!$P$3:$Q$33,2,FALSE),'Schedule from TM'!I164),",",J164,"','",IF(OR(F164="x",F164=""),VLOOKUP('Schedule from TM'!G164,Tables!$U$3:$V$14,2,FALSE),'Schedule from TM'!F164),",",TEXT(G164,"mm/dd/yyyy"),"','",TEXT(H164,"h:mm:ss AM/PM"),"'].ub=0.0      #",B164)</f>
        <v xml:space="preserve">                x[team1,team2,sport,'11,JCC Back Field 4','11,11/19/2017','2:40:00 PM'].ub=0.0      #Ch C Female Mini Soccer</v>
      </c>
      <c r="AB164" s="301" t="str">
        <f t="shared" si="96"/>
        <v>,,Ch C Female Mini Soccer,,1,CHILD CF - VEN 1</v>
      </c>
      <c r="AC164" s="153" t="str">
        <f t="shared" si="97"/>
        <v>Ch C Female Mini SoccerCHILD CF - VEN 1</v>
      </c>
      <c r="AD164" s="301" t="str">
        <f t="shared" si="98"/>
        <v>,,Ch C Female Mini Soccer,,1,CHILD CF - COL 1</v>
      </c>
      <c r="AE164" s="153" t="str">
        <f t="shared" si="99"/>
        <v>Ch C Female Mini SoccerCHILD CF - COL 1</v>
      </c>
      <c r="AF164" s="383">
        <f t="shared" si="100"/>
        <v>1</v>
      </c>
      <c r="AG164" s="383">
        <f t="shared" si="101"/>
        <v>0</v>
      </c>
      <c r="AH164" s="383">
        <f t="shared" si="102"/>
        <v>0</v>
      </c>
      <c r="AI164" s="383">
        <f t="shared" si="103"/>
        <v>0</v>
      </c>
      <c r="AJ164" s="383">
        <f t="shared" si="104"/>
        <v>1</v>
      </c>
      <c r="AK164" s="383">
        <f t="shared" si="105"/>
        <v>0</v>
      </c>
      <c r="AM164" s="148" t="str">
        <f t="shared" si="106"/>
        <v>Schedulled</v>
      </c>
      <c r="AN164" s="148" t="str">
        <f t="shared" si="107"/>
        <v/>
      </c>
      <c r="AO164" s="156">
        <f t="shared" si="108"/>
        <v>43058.611111111109</v>
      </c>
      <c r="AP164" s="148" t="str">
        <f t="shared" si="109"/>
        <v>11/19/2017 14:40-&gt;JCC Back Field 4</v>
      </c>
      <c r="AQ164" s="374">
        <f t="shared" si="110"/>
        <v>1</v>
      </c>
      <c r="AR164" s="148" t="str">
        <f t="shared" si="111"/>
        <v>VEN1</v>
      </c>
      <c r="AS164" s="148" t="str">
        <f t="shared" si="112"/>
        <v>COL1</v>
      </c>
      <c r="AT164" s="157" t="str">
        <f t="shared" si="113"/>
        <v>VEN1-COL1</v>
      </c>
      <c r="AU164" s="157" t="str">
        <f t="shared" si="114"/>
        <v xml:space="preserve">VEN1-COL1 </v>
      </c>
      <c r="AV164" s="157" t="str">
        <f t="shared" si="115"/>
        <v>CHILDREN C FEMALE</v>
      </c>
      <c r="AW164" s="157" t="str">
        <f t="shared" si="116"/>
        <v>Soccer</v>
      </c>
      <c r="AX164" s="376">
        <f t="shared" si="117"/>
        <v>162</v>
      </c>
      <c r="AY164" s="148" t="str">
        <f t="shared" si="118"/>
        <v>CHILD CF - VEN 1-&gt;CHILD CF - COL 1</v>
      </c>
      <c r="AZ164" s="148" t="str">
        <f t="shared" si="119"/>
        <v>11/19/2017 14:40-&gt;CHILD CF - VEN 1</v>
      </c>
      <c r="BA164" s="148" t="str">
        <f t="shared" si="120"/>
        <v>11/19/2017 14:40-&gt;CHILD CF - COL 1</v>
      </c>
      <c r="BB164" s="374">
        <f t="shared" si="121"/>
        <v>1</v>
      </c>
      <c r="BC164" s="374">
        <f t="shared" si="122"/>
        <v>1</v>
      </c>
      <c r="BD164" s="148" t="str">
        <f t="shared" si="123"/>
        <v>no conflict</v>
      </c>
      <c r="BF164" s="148" t="str">
        <f t="shared" si="124"/>
        <v>11/19/2017 14:40-&gt;CHILD CF - VEN 1</v>
      </c>
      <c r="BG164" s="148" t="str">
        <f t="shared" si="125"/>
        <v>11/19/2017 14:40-&gt;CHILD CF - COL 1</v>
      </c>
      <c r="BH164" s="148" t="str">
        <f t="shared" si="126"/>
        <v>11/19/2017 14:40-&gt;JCC Back Field 4</v>
      </c>
      <c r="BI164" s="148" t="str">
        <f t="shared" si="127"/>
        <v>Soccer in JCC Back Field 4 (VEN1-COL1)</v>
      </c>
      <c r="BJ164" s="148" t="str">
        <f t="shared" si="128"/>
        <v>Ch C Female Mini Soccer-- CHILD CF - VEN 1 vs. CHILD CF - COL 1</v>
      </c>
      <c r="BK164" s="148" t="str">
        <f t="shared" si="129"/>
        <v>Soccer</v>
      </c>
      <c r="BL164" s="148" t="str">
        <f t="shared" si="130"/>
        <v>CHILD CF - VEN 1</v>
      </c>
      <c r="BM164" s="148" t="str">
        <f t="shared" si="131"/>
        <v>CHILD CF - COL 1</v>
      </c>
      <c r="BN164" s="148" t="str">
        <f t="shared" si="132"/>
        <v>Round - 1</v>
      </c>
      <c r="BP164" s="148" t="str">
        <f t="shared" si="133"/>
        <v>no t, f, or sf</v>
      </c>
      <c r="BQ164" s="148" t="str">
        <f t="shared" si="134"/>
        <v/>
      </c>
    </row>
    <row r="165" spans="1:69" ht="15" customHeight="1" x14ac:dyDescent="0.2">
      <c r="A165" s="376">
        <v>163</v>
      </c>
      <c r="B165" s="444" t="s">
        <v>38</v>
      </c>
      <c r="C165" s="444" t="s">
        <v>518</v>
      </c>
      <c r="D165" s="451">
        <v>1</v>
      </c>
      <c r="E165" s="451">
        <v>1</v>
      </c>
      <c r="F165" s="315" t="s">
        <v>770</v>
      </c>
      <c r="G165" s="445">
        <v>43058</v>
      </c>
      <c r="H165" s="317">
        <v>0.75</v>
      </c>
      <c r="I165" s="325" t="s">
        <v>770</v>
      </c>
      <c r="J165" s="444" t="s">
        <v>692</v>
      </c>
      <c r="K165" s="444">
        <v>33</v>
      </c>
      <c r="L165" t="s">
        <v>570</v>
      </c>
      <c r="M165">
        <v>33</v>
      </c>
      <c r="N165" t="s">
        <v>568</v>
      </c>
      <c r="O165" s="153" t="str">
        <f>IF(L165&lt;&gt;"",IFERROR(VLOOKUP(B165&amp;L165,Pools!$A$2:$D$130,3,FALSE),""),"")</f>
        <v/>
      </c>
      <c r="P165" s="388">
        <v>4</v>
      </c>
      <c r="Q165" s="388">
        <v>0</v>
      </c>
      <c r="R165" s="306" t="str">
        <f t="shared" si="90"/>
        <v>4-0</v>
      </c>
      <c r="S165" s="153"/>
      <c r="T165" s="148" t="str">
        <f t="shared" si="91"/>
        <v>Completed</v>
      </c>
      <c r="U165" s="153"/>
      <c r="V165" s="153"/>
      <c r="W165" s="387">
        <f t="shared" si="92"/>
        <v>3</v>
      </c>
      <c r="X165" s="387">
        <f t="shared" si="93"/>
        <v>-3</v>
      </c>
      <c r="Y165" s="301">
        <f t="shared" si="94"/>
        <v>2</v>
      </c>
      <c r="Z165" s="301">
        <f t="shared" si="95"/>
        <v>0</v>
      </c>
      <c r="AA165" s="323" t="str">
        <f>CONCATENATE("                x[team1,team2,sport,'",IF(OR(I165="x",I165=""),VLOOKUP('Schedule from TM'!J165,Tables!$P$3:$Q$33,2,FALSE),'Schedule from TM'!I165),",",J165,"','",IF(OR(F165="x",F165=""),VLOOKUP('Schedule from TM'!G165,Tables!$U$3:$V$14,2,FALSE),'Schedule from TM'!F165),",",TEXT(G165,"mm/dd/yyyy"),"','",TEXT(H165,"h:mm:ss AM/PM"),"'].ub=0.0      #",B165)</f>
        <v xml:space="preserve">                x[team1,team2,sport,'11,JCC Back Field 3','11,11/19/2017','6:00:00 PM'].ub=0.0      #Ch C Female Mini Soccer</v>
      </c>
      <c r="AB165" s="301" t="str">
        <f t="shared" si="96"/>
        <v>,,Ch C Female Mini Soccer,,1,CHILD CF - VEN 2</v>
      </c>
      <c r="AC165" s="153" t="str">
        <f t="shared" si="97"/>
        <v>Ch C Female Mini SoccerCHILD CF - VEN 2</v>
      </c>
      <c r="AD165" s="301" t="str">
        <f t="shared" si="98"/>
        <v>,,Ch C Female Mini Soccer,,1,CHILD CF - USA 2</v>
      </c>
      <c r="AE165" s="153" t="str">
        <f t="shared" si="99"/>
        <v>Ch C Female Mini SoccerCHILD CF - USA 2</v>
      </c>
      <c r="AF165" s="383">
        <f t="shared" si="100"/>
        <v>1</v>
      </c>
      <c r="AG165" s="383">
        <f t="shared" si="101"/>
        <v>0</v>
      </c>
      <c r="AH165" s="383">
        <f t="shared" si="102"/>
        <v>0</v>
      </c>
      <c r="AI165" s="383">
        <f t="shared" si="103"/>
        <v>0</v>
      </c>
      <c r="AJ165" s="383">
        <f t="shared" si="104"/>
        <v>1</v>
      </c>
      <c r="AK165" s="383">
        <f t="shared" si="105"/>
        <v>0</v>
      </c>
      <c r="AM165" s="148" t="str">
        <f t="shared" si="106"/>
        <v>Schedulled</v>
      </c>
      <c r="AN165" s="148" t="str">
        <f t="shared" si="107"/>
        <v/>
      </c>
      <c r="AO165" s="156">
        <f t="shared" si="108"/>
        <v>43058.75</v>
      </c>
      <c r="AP165" s="148" t="str">
        <f t="shared" si="109"/>
        <v>11/19/2017 18:00-&gt;JCC Back Field 3</v>
      </c>
      <c r="AQ165" s="374">
        <f t="shared" si="110"/>
        <v>1</v>
      </c>
      <c r="AR165" s="148" t="str">
        <f t="shared" si="111"/>
        <v>VEN2</v>
      </c>
      <c r="AS165" s="148" t="str">
        <f t="shared" si="112"/>
        <v>USA2</v>
      </c>
      <c r="AT165" s="157" t="str">
        <f t="shared" si="113"/>
        <v>VEN2-USA2</v>
      </c>
      <c r="AU165" s="157" t="str">
        <f t="shared" si="114"/>
        <v xml:space="preserve">VEN2-USA2 </v>
      </c>
      <c r="AV165" s="157" t="str">
        <f t="shared" si="115"/>
        <v>CHILDREN C FEMALE</v>
      </c>
      <c r="AW165" s="157" t="str">
        <f t="shared" si="116"/>
        <v>Soccer</v>
      </c>
      <c r="AX165" s="376">
        <f t="shared" si="117"/>
        <v>163</v>
      </c>
      <c r="AY165" s="148" t="str">
        <f t="shared" si="118"/>
        <v>CHILD CF - VEN 2-&gt;CHILD CF - USA 2</v>
      </c>
      <c r="AZ165" s="148" t="str">
        <f t="shared" si="119"/>
        <v>11/19/2017 18:00-&gt;CHILD CF - VEN 2</v>
      </c>
      <c r="BA165" s="148" t="str">
        <f t="shared" si="120"/>
        <v>11/19/2017 18:00-&gt;CHILD CF - USA 2</v>
      </c>
      <c r="BB165" s="374">
        <f t="shared" si="121"/>
        <v>1</v>
      </c>
      <c r="BC165" s="374">
        <f t="shared" si="122"/>
        <v>1</v>
      </c>
      <c r="BD165" s="148" t="str">
        <f t="shared" si="123"/>
        <v>no conflict</v>
      </c>
      <c r="BF165" s="148" t="str">
        <f t="shared" si="124"/>
        <v>11/19/2017 18:00-&gt;CHILD CF - VEN 2</v>
      </c>
      <c r="BG165" s="148" t="str">
        <f t="shared" si="125"/>
        <v>11/19/2017 18:00-&gt;CHILD CF - USA 2</v>
      </c>
      <c r="BH165" s="148" t="str">
        <f t="shared" si="126"/>
        <v>11/19/2017 18:00-&gt;JCC Back Field 3</v>
      </c>
      <c r="BI165" s="148" t="str">
        <f t="shared" si="127"/>
        <v>Soccer in JCC Back Field 3 (VEN2-USA2)</v>
      </c>
      <c r="BJ165" s="148" t="str">
        <f t="shared" si="128"/>
        <v>Ch C Female Mini Soccer-- CHILD CF - VEN 2 vs. CHILD CF - USA 2</v>
      </c>
      <c r="BK165" s="148" t="str">
        <f t="shared" si="129"/>
        <v>Soccer</v>
      </c>
      <c r="BL165" s="148" t="str">
        <f t="shared" si="130"/>
        <v>CHILD CF - VEN 2</v>
      </c>
      <c r="BM165" s="148" t="str">
        <f t="shared" si="131"/>
        <v>CHILD CF - USA 2</v>
      </c>
      <c r="BN165" s="148" t="str">
        <f t="shared" si="132"/>
        <v>Round - 1</v>
      </c>
      <c r="BP165" s="148" t="str">
        <f t="shared" si="133"/>
        <v>no t, f, or sf</v>
      </c>
      <c r="BQ165" s="148" t="str">
        <f t="shared" si="134"/>
        <v/>
      </c>
    </row>
    <row r="166" spans="1:69" ht="15" customHeight="1" x14ac:dyDescent="0.2">
      <c r="A166" s="376">
        <v>164</v>
      </c>
      <c r="B166" s="121" t="s">
        <v>38</v>
      </c>
      <c r="C166" s="121" t="s">
        <v>518</v>
      </c>
      <c r="D166" s="382">
        <v>1</v>
      </c>
      <c r="E166" s="382">
        <v>1</v>
      </c>
      <c r="F166" s="315" t="s">
        <v>770</v>
      </c>
      <c r="G166" s="206">
        <v>43062</v>
      </c>
      <c r="H166" s="317">
        <v>0.4375</v>
      </c>
      <c r="I166" s="325" t="s">
        <v>770</v>
      </c>
      <c r="J166" s="121" t="s">
        <v>693</v>
      </c>
      <c r="K166" s="444">
        <v>33</v>
      </c>
      <c r="L166" s="121" t="s">
        <v>569</v>
      </c>
      <c r="M166">
        <v>33</v>
      </c>
      <c r="N166" s="121" t="s">
        <v>564</v>
      </c>
      <c r="O166" s="153" t="str">
        <f>IF(L166&lt;&gt;"",IFERROR(VLOOKUP(B166&amp;L166,Pools!$A$2:$D$130,3,FALSE),""),"")</f>
        <v/>
      </c>
      <c r="P166" s="388">
        <v>2</v>
      </c>
      <c r="Q166" s="388">
        <v>1</v>
      </c>
      <c r="R166" s="306" t="str">
        <f t="shared" si="90"/>
        <v>2-1</v>
      </c>
      <c r="S166" s="153"/>
      <c r="T166" s="148" t="str">
        <f t="shared" si="91"/>
        <v>Completed</v>
      </c>
      <c r="U166" s="153"/>
      <c r="V166" s="153"/>
      <c r="W166" s="387">
        <f t="shared" si="92"/>
        <v>1</v>
      </c>
      <c r="X166" s="387">
        <f t="shared" si="93"/>
        <v>-1</v>
      </c>
      <c r="Y166" s="301">
        <f t="shared" si="94"/>
        <v>2</v>
      </c>
      <c r="Z166" s="301">
        <f t="shared" si="95"/>
        <v>0</v>
      </c>
      <c r="AA166" s="323" t="str">
        <f>CONCATENATE("                x[team1,team2,sport,'",IF(OR(I166="x",I166=""),VLOOKUP('Schedule from TM'!J166,Tables!$P$3:$Q$33,2,FALSE),'Schedule from TM'!I166),",",J166,"','",IF(OR(F166="x",F166=""),VLOOKUP('Schedule from TM'!G166,Tables!$U$3:$V$14,2,FALSE),'Schedule from TM'!F166),",",TEXT(G166,"mm/dd/yyyy"),"','",TEXT(H166,"h:mm:ss AM/PM"),"'].ub=0.0      #",B166)</f>
        <v xml:space="preserve">                x[team1,team2,sport,'11,JCC Back Field 2','11,11/23/2017','10:30:00 AM'].ub=0.0      #Ch C Female Mini Soccer</v>
      </c>
      <c r="AB166" s="301" t="str">
        <f t="shared" si="96"/>
        <v>,,Ch C Female Mini Soccer,,1,CHILD CF - VEN 1</v>
      </c>
      <c r="AC166" s="153" t="str">
        <f t="shared" si="97"/>
        <v>Ch C Female Mini SoccerCHILD CF - VEN 1</v>
      </c>
      <c r="AD166" s="301" t="str">
        <f t="shared" si="98"/>
        <v>,,Ch C Female Mini Soccer,,1,CHILD CF - ARG 1</v>
      </c>
      <c r="AE166" s="153" t="str">
        <f t="shared" si="99"/>
        <v>Ch C Female Mini SoccerCHILD CF - ARG 1</v>
      </c>
      <c r="AF166" s="383">
        <f t="shared" si="100"/>
        <v>1</v>
      </c>
      <c r="AG166" s="383">
        <f t="shared" si="101"/>
        <v>0</v>
      </c>
      <c r="AH166" s="383">
        <f t="shared" si="102"/>
        <v>0</v>
      </c>
      <c r="AI166" s="383">
        <f t="shared" si="103"/>
        <v>0</v>
      </c>
      <c r="AJ166" s="383">
        <f t="shared" si="104"/>
        <v>1</v>
      </c>
      <c r="AK166" s="383">
        <f t="shared" si="105"/>
        <v>0</v>
      </c>
      <c r="AM166" s="148" t="str">
        <f t="shared" si="106"/>
        <v>Schedulled</v>
      </c>
      <c r="AN166" s="148" t="str">
        <f t="shared" si="107"/>
        <v/>
      </c>
      <c r="AO166" s="156">
        <f t="shared" si="108"/>
        <v>43062.4375</v>
      </c>
      <c r="AP166" s="148" t="str">
        <f t="shared" si="109"/>
        <v>11/23/2017 10:30-&gt;JCC Back Field 2</v>
      </c>
      <c r="AQ166" s="374">
        <f t="shared" si="110"/>
        <v>1</v>
      </c>
      <c r="AR166" s="148" t="str">
        <f t="shared" si="111"/>
        <v>VEN1</v>
      </c>
      <c r="AS166" s="148" t="str">
        <f t="shared" si="112"/>
        <v>ARG1</v>
      </c>
      <c r="AT166" s="157" t="str">
        <f t="shared" si="113"/>
        <v>VEN1-ARG1</v>
      </c>
      <c r="AU166" s="157" t="str">
        <f t="shared" si="114"/>
        <v xml:space="preserve">VEN1-ARG1 </v>
      </c>
      <c r="AV166" s="157" t="str">
        <f t="shared" si="115"/>
        <v>CHILDREN C FEMALE</v>
      </c>
      <c r="AW166" s="157" t="str">
        <f t="shared" si="116"/>
        <v>Soccer</v>
      </c>
      <c r="AX166" s="376">
        <f t="shared" si="117"/>
        <v>164</v>
      </c>
      <c r="AY166" s="148" t="str">
        <f t="shared" si="118"/>
        <v>CHILD CF - VEN 1-&gt;CHILD CF - ARG 1</v>
      </c>
      <c r="AZ166" s="148" t="str">
        <f t="shared" si="119"/>
        <v>11/23/2017 10:30-&gt;CHILD CF - VEN 1</v>
      </c>
      <c r="BA166" s="148" t="str">
        <f t="shared" si="120"/>
        <v>11/23/2017 10:30-&gt;CHILD CF - ARG 1</v>
      </c>
      <c r="BB166" s="374">
        <f t="shared" si="121"/>
        <v>1</v>
      </c>
      <c r="BC166" s="374">
        <f t="shared" si="122"/>
        <v>1</v>
      </c>
      <c r="BD166" s="148" t="str">
        <f t="shared" si="123"/>
        <v>no conflict</v>
      </c>
      <c r="BF166" s="148" t="str">
        <f t="shared" si="124"/>
        <v>11/23/2017 10:30-&gt;CHILD CF - VEN 1</v>
      </c>
      <c r="BG166" s="148" t="str">
        <f t="shared" si="125"/>
        <v>11/23/2017 10:30-&gt;CHILD CF - ARG 1</v>
      </c>
      <c r="BH166" s="148" t="str">
        <f t="shared" si="126"/>
        <v>11/23/2017 10:30-&gt;JCC Back Field 2</v>
      </c>
      <c r="BI166" s="148" t="str">
        <f t="shared" si="127"/>
        <v>Soccer in JCC Back Field 2 (VEN1-ARG1)</v>
      </c>
      <c r="BJ166" s="148" t="str">
        <f t="shared" si="128"/>
        <v>Ch C Female Mini Soccer-- CHILD CF - VEN 1 vs. CHILD CF - ARG 1</v>
      </c>
      <c r="BK166" s="148" t="str">
        <f t="shared" si="129"/>
        <v>Soccer</v>
      </c>
      <c r="BL166" s="148" t="str">
        <f t="shared" si="130"/>
        <v>CHILD CF - VEN 1</v>
      </c>
      <c r="BM166" s="148" t="str">
        <f t="shared" si="131"/>
        <v>CHILD CF - ARG 1</v>
      </c>
      <c r="BN166" s="148" t="str">
        <f t="shared" si="132"/>
        <v>Round - 1</v>
      </c>
      <c r="BP166" s="148" t="str">
        <f t="shared" si="133"/>
        <v>no t, f, or sf</v>
      </c>
      <c r="BQ166" s="148" t="str">
        <f t="shared" si="134"/>
        <v/>
      </c>
    </row>
    <row r="167" spans="1:69" ht="15" customHeight="1" x14ac:dyDescent="0.2">
      <c r="A167" s="376">
        <v>165</v>
      </c>
      <c r="B167" s="441" t="s">
        <v>38</v>
      </c>
      <c r="C167" s="441" t="s">
        <v>518</v>
      </c>
      <c r="D167" s="450">
        <v>1</v>
      </c>
      <c r="E167" s="450">
        <v>1</v>
      </c>
      <c r="F167" s="315" t="s">
        <v>770</v>
      </c>
      <c r="G167" s="320">
        <v>43063</v>
      </c>
      <c r="H167" s="454">
        <v>0.47222222222222227</v>
      </c>
      <c r="I167" s="325" t="s">
        <v>770</v>
      </c>
      <c r="J167" s="441" t="s">
        <v>693</v>
      </c>
      <c r="K167" s="441">
        <v>33</v>
      </c>
      <c r="L167" s="433" t="s">
        <v>569</v>
      </c>
      <c r="M167">
        <v>33</v>
      </c>
      <c r="N167" s="433" t="s">
        <v>568</v>
      </c>
      <c r="O167" s="153" t="str">
        <f>IF(L167&lt;&gt;"",IFERROR(VLOOKUP(B167&amp;L167,Pools!$A$2:$D$130,3,FALSE),""),"")</f>
        <v/>
      </c>
      <c r="P167" s="388">
        <v>3</v>
      </c>
      <c r="Q167" s="388">
        <v>0</v>
      </c>
      <c r="R167" s="306" t="str">
        <f t="shared" si="90"/>
        <v>3-0</v>
      </c>
      <c r="S167" s="153"/>
      <c r="T167" s="148" t="str">
        <f t="shared" si="91"/>
        <v>Completed</v>
      </c>
      <c r="U167" s="153"/>
      <c r="V167" s="153"/>
      <c r="W167" s="387">
        <f t="shared" si="92"/>
        <v>3</v>
      </c>
      <c r="X167" s="387">
        <f t="shared" si="93"/>
        <v>-3</v>
      </c>
      <c r="Y167" s="301">
        <f t="shared" si="94"/>
        <v>2</v>
      </c>
      <c r="Z167" s="301">
        <f t="shared" si="95"/>
        <v>0</v>
      </c>
      <c r="AA167" s="323" t="str">
        <f>CONCATENATE("                x[team1,team2,sport,'",IF(OR(I167="x",I167=""),VLOOKUP('Schedule from TM'!J167,Tables!$P$3:$Q$33,2,FALSE),'Schedule from TM'!I167),",",J167,"','",IF(OR(F167="x",F167=""),VLOOKUP('Schedule from TM'!G167,Tables!$U$3:$V$14,2,FALSE),'Schedule from TM'!F167),",",TEXT(G167,"mm/dd/yyyy"),"','",TEXT(H167,"h:mm:ss AM/PM"),"'].ub=0.0      #",B167)</f>
        <v xml:space="preserve">                x[team1,team2,sport,'11,JCC Back Field 2','11,11/24/2017','11:20:00 AM'].ub=0.0      #Ch C Female Mini Soccer</v>
      </c>
      <c r="AB167" s="301" t="str">
        <f t="shared" si="96"/>
        <v>,,Ch C Female Mini Soccer,,1,CHILD CF - VEN 1</v>
      </c>
      <c r="AC167" s="153" t="str">
        <f t="shared" si="97"/>
        <v>Ch C Female Mini SoccerCHILD CF - VEN 1</v>
      </c>
      <c r="AD167" s="301" t="str">
        <f t="shared" si="98"/>
        <v>,,Ch C Female Mini Soccer,,1,CHILD CF - USA 2</v>
      </c>
      <c r="AE167" s="153" t="str">
        <f t="shared" si="99"/>
        <v>Ch C Female Mini SoccerCHILD CF - USA 2</v>
      </c>
      <c r="AF167" s="383">
        <f t="shared" si="100"/>
        <v>1</v>
      </c>
      <c r="AG167" s="383">
        <f t="shared" si="101"/>
        <v>0</v>
      </c>
      <c r="AH167" s="383">
        <f t="shared" si="102"/>
        <v>0</v>
      </c>
      <c r="AI167" s="383">
        <f t="shared" si="103"/>
        <v>0</v>
      </c>
      <c r="AJ167" s="383">
        <f t="shared" si="104"/>
        <v>1</v>
      </c>
      <c r="AK167" s="383">
        <f t="shared" si="105"/>
        <v>0</v>
      </c>
      <c r="AM167" s="148" t="str">
        <f t="shared" si="106"/>
        <v>Schedulled</v>
      </c>
      <c r="AN167" s="148" t="str">
        <f t="shared" si="107"/>
        <v/>
      </c>
      <c r="AO167" s="156">
        <f t="shared" si="108"/>
        <v>43063.472222222219</v>
      </c>
      <c r="AP167" s="148" t="str">
        <f t="shared" si="109"/>
        <v>11/24/2017 11:20-&gt;JCC Back Field 2</v>
      </c>
      <c r="AQ167" s="374">
        <f t="shared" si="110"/>
        <v>1</v>
      </c>
      <c r="AR167" s="148" t="str">
        <f t="shared" si="111"/>
        <v>VEN1</v>
      </c>
      <c r="AS167" s="148" t="str">
        <f t="shared" si="112"/>
        <v>USA2</v>
      </c>
      <c r="AT167" s="157" t="str">
        <f t="shared" si="113"/>
        <v>VEN1-USA2</v>
      </c>
      <c r="AU167" s="157" t="str">
        <f t="shared" si="114"/>
        <v xml:space="preserve">VEN1-USA2 </v>
      </c>
      <c r="AV167" s="157" t="str">
        <f t="shared" si="115"/>
        <v>CHILDREN C FEMALE</v>
      </c>
      <c r="AW167" s="157" t="str">
        <f t="shared" si="116"/>
        <v>Soccer</v>
      </c>
      <c r="AX167" s="376">
        <f t="shared" si="117"/>
        <v>165</v>
      </c>
      <c r="AY167" s="148" t="str">
        <f t="shared" si="118"/>
        <v>CHILD CF - VEN 1-&gt;CHILD CF - USA 2</v>
      </c>
      <c r="AZ167" s="148" t="str">
        <f t="shared" si="119"/>
        <v>11/24/2017 11:20-&gt;CHILD CF - VEN 1</v>
      </c>
      <c r="BA167" s="148" t="str">
        <f t="shared" si="120"/>
        <v>11/24/2017 11:20-&gt;CHILD CF - USA 2</v>
      </c>
      <c r="BB167" s="374">
        <f t="shared" si="121"/>
        <v>1</v>
      </c>
      <c r="BC167" s="374">
        <f t="shared" si="122"/>
        <v>1</v>
      </c>
      <c r="BD167" s="148" t="str">
        <f t="shared" si="123"/>
        <v>no conflict</v>
      </c>
      <c r="BF167" s="148" t="str">
        <f t="shared" si="124"/>
        <v>11/24/2017 11:20-&gt;CHILD CF - VEN 1</v>
      </c>
      <c r="BG167" s="148" t="str">
        <f t="shared" si="125"/>
        <v>11/24/2017 11:20-&gt;CHILD CF - USA 2</v>
      </c>
      <c r="BH167" s="148" t="str">
        <f t="shared" si="126"/>
        <v>11/24/2017 11:20-&gt;JCC Back Field 2</v>
      </c>
      <c r="BI167" s="148" t="str">
        <f t="shared" si="127"/>
        <v>Soccer in JCC Back Field 2 (VEN1-USA2)</v>
      </c>
      <c r="BJ167" s="148" t="str">
        <f t="shared" si="128"/>
        <v>Ch C Female Mini Soccer-- CHILD CF - VEN 1 vs. CHILD CF - USA 2</v>
      </c>
      <c r="BK167" s="148" t="str">
        <f t="shared" si="129"/>
        <v>Soccer</v>
      </c>
      <c r="BL167" s="148" t="str">
        <f t="shared" si="130"/>
        <v>CHILD CF - VEN 1</v>
      </c>
      <c r="BM167" s="148" t="str">
        <f t="shared" si="131"/>
        <v>CHILD CF - USA 2</v>
      </c>
      <c r="BN167" s="148" t="str">
        <f t="shared" si="132"/>
        <v>Round - 1</v>
      </c>
      <c r="BP167" s="148" t="str">
        <f t="shared" si="133"/>
        <v>no t, f, or sf</v>
      </c>
      <c r="BQ167" s="148" t="str">
        <f t="shared" si="134"/>
        <v/>
      </c>
    </row>
    <row r="168" spans="1:69" ht="15" customHeight="1" x14ac:dyDescent="0.2">
      <c r="A168" s="376">
        <v>166</v>
      </c>
      <c r="B168" s="315" t="s">
        <v>38</v>
      </c>
      <c r="C168" s="315" t="s">
        <v>518</v>
      </c>
      <c r="D168" s="378">
        <v>1</v>
      </c>
      <c r="E168" s="378">
        <v>1</v>
      </c>
      <c r="F168" s="315" t="s">
        <v>770</v>
      </c>
      <c r="G168" s="316">
        <v>43063</v>
      </c>
      <c r="H168" s="454">
        <v>0.54166666666666663</v>
      </c>
      <c r="I168" s="325" t="s">
        <v>770</v>
      </c>
      <c r="J168" s="315" t="s">
        <v>694</v>
      </c>
      <c r="K168" s="315">
        <v>33</v>
      </c>
      <c r="L168" t="s">
        <v>567</v>
      </c>
      <c r="M168">
        <v>33</v>
      </c>
      <c r="N168" t="s">
        <v>564</v>
      </c>
      <c r="O168" s="153" t="str">
        <f>IF(L168&lt;&gt;"",IFERROR(VLOOKUP(B168&amp;L168,Pools!$A$2:$D$130,3,FALSE),""),"")</f>
        <v/>
      </c>
      <c r="P168" s="388">
        <v>1</v>
      </c>
      <c r="Q168" s="388">
        <v>2</v>
      </c>
      <c r="R168" s="306" t="str">
        <f t="shared" si="90"/>
        <v>1-2</v>
      </c>
      <c r="S168" s="153"/>
      <c r="T168" s="148" t="str">
        <f t="shared" si="91"/>
        <v>Completed</v>
      </c>
      <c r="U168" s="153"/>
      <c r="V168" s="153"/>
      <c r="W168" s="387">
        <f t="shared" si="92"/>
        <v>-1</v>
      </c>
      <c r="X168" s="387">
        <f t="shared" si="93"/>
        <v>1</v>
      </c>
      <c r="Y168" s="301">
        <f t="shared" si="94"/>
        <v>0</v>
      </c>
      <c r="Z168" s="301">
        <f t="shared" si="95"/>
        <v>2</v>
      </c>
      <c r="AA168" s="323" t="str">
        <f>CONCATENATE("                x[team1,team2,sport,'",IF(OR(I168="x",I168=""),VLOOKUP('Schedule from TM'!J168,Tables!$P$3:$Q$33,2,FALSE),'Schedule from TM'!I168),",",J168,"','",IF(OR(F168="x",F168=""),VLOOKUP('Schedule from TM'!G168,Tables!$U$3:$V$14,2,FALSE),'Schedule from TM'!F168),",",TEXT(G168,"mm/dd/yyyy"),"','",TEXT(H168,"h:mm:ss AM/PM"),"'].ub=0.0      #",B168)</f>
        <v xml:space="preserve">                x[team1,team2,sport,'11,JCC Back Field 4','11,11/24/2017','1:00:00 PM'].ub=0.0      #Ch C Female Mini Soccer</v>
      </c>
      <c r="AB168" s="301" t="str">
        <f t="shared" si="96"/>
        <v>,,Ch C Female Mini Soccer,,1,CHILD CF - USA 1</v>
      </c>
      <c r="AC168" s="153" t="str">
        <f t="shared" si="97"/>
        <v>Ch C Female Mini SoccerCHILD CF - USA 1</v>
      </c>
      <c r="AD168" s="301" t="str">
        <f t="shared" si="98"/>
        <v>,,Ch C Female Mini Soccer,,1,CHILD CF - ARG 1</v>
      </c>
      <c r="AE168" s="153" t="str">
        <f t="shared" si="99"/>
        <v>Ch C Female Mini SoccerCHILD CF - ARG 1</v>
      </c>
      <c r="AF168" s="383">
        <f t="shared" si="100"/>
        <v>0</v>
      </c>
      <c r="AG168" s="383">
        <f t="shared" si="101"/>
        <v>1</v>
      </c>
      <c r="AH168" s="383">
        <f t="shared" si="102"/>
        <v>0</v>
      </c>
      <c r="AI168" s="383">
        <f t="shared" si="103"/>
        <v>1</v>
      </c>
      <c r="AJ168" s="383">
        <f t="shared" si="104"/>
        <v>0</v>
      </c>
      <c r="AK168" s="383">
        <f t="shared" si="105"/>
        <v>0</v>
      </c>
      <c r="AM168" s="148" t="str">
        <f t="shared" si="106"/>
        <v>Schedulled</v>
      </c>
      <c r="AN168" s="148" t="str">
        <f t="shared" si="107"/>
        <v/>
      </c>
      <c r="AO168" s="156">
        <f t="shared" si="108"/>
        <v>43063.541666666664</v>
      </c>
      <c r="AP168" s="148" t="str">
        <f t="shared" si="109"/>
        <v>11/24/2017 13:00-&gt;JCC Back Field 4</v>
      </c>
      <c r="AQ168" s="374">
        <f t="shared" si="110"/>
        <v>1</v>
      </c>
      <c r="AR168" s="148" t="str">
        <f t="shared" si="111"/>
        <v>USA1</v>
      </c>
      <c r="AS168" s="148" t="str">
        <f t="shared" si="112"/>
        <v>ARG1</v>
      </c>
      <c r="AT168" s="157" t="str">
        <f t="shared" si="113"/>
        <v>USA1-ARG1</v>
      </c>
      <c r="AU168" s="157" t="str">
        <f t="shared" si="114"/>
        <v xml:space="preserve">USA1-ARG1 </v>
      </c>
      <c r="AV168" s="157" t="str">
        <f t="shared" si="115"/>
        <v>CHILDREN C FEMALE</v>
      </c>
      <c r="AW168" s="157" t="str">
        <f t="shared" si="116"/>
        <v>Soccer</v>
      </c>
      <c r="AX168" s="376">
        <f t="shared" si="117"/>
        <v>166</v>
      </c>
      <c r="AY168" s="148" t="str">
        <f t="shared" si="118"/>
        <v>CHILD CF - USA 1-&gt;CHILD CF - ARG 1</v>
      </c>
      <c r="AZ168" s="148" t="str">
        <f t="shared" si="119"/>
        <v>11/24/2017 13:00-&gt;CHILD CF - USA 1</v>
      </c>
      <c r="BA168" s="148" t="str">
        <f t="shared" si="120"/>
        <v>11/24/2017 13:00-&gt;CHILD CF - ARG 1</v>
      </c>
      <c r="BB168" s="374">
        <f t="shared" si="121"/>
        <v>1</v>
      </c>
      <c r="BC168" s="374">
        <f t="shared" si="122"/>
        <v>1</v>
      </c>
      <c r="BD168" s="148" t="str">
        <f t="shared" si="123"/>
        <v>no conflict</v>
      </c>
      <c r="BF168" s="148" t="str">
        <f t="shared" si="124"/>
        <v>11/24/2017 13:00-&gt;CHILD CF - USA 1</v>
      </c>
      <c r="BG168" s="148" t="str">
        <f t="shared" si="125"/>
        <v>11/24/2017 13:00-&gt;CHILD CF - ARG 1</v>
      </c>
      <c r="BH168" s="148" t="str">
        <f t="shared" si="126"/>
        <v>11/24/2017 13:00-&gt;JCC Back Field 4</v>
      </c>
      <c r="BI168" s="148" t="str">
        <f t="shared" si="127"/>
        <v>Soccer in JCC Back Field 4 (USA1-ARG1)</v>
      </c>
      <c r="BJ168" s="148" t="str">
        <f t="shared" si="128"/>
        <v>Ch C Female Mini Soccer-- CHILD CF - USA 1 vs. CHILD CF - ARG 1</v>
      </c>
      <c r="BK168" s="148" t="str">
        <f t="shared" si="129"/>
        <v>Soccer</v>
      </c>
      <c r="BL168" s="148" t="str">
        <f t="shared" si="130"/>
        <v>CHILD CF - USA 1</v>
      </c>
      <c r="BM168" s="148" t="str">
        <f t="shared" si="131"/>
        <v>CHILD CF - ARG 1</v>
      </c>
      <c r="BN168" s="148" t="str">
        <f t="shared" si="132"/>
        <v>Round - 1</v>
      </c>
      <c r="BP168" s="148" t="str">
        <f t="shared" si="133"/>
        <v>no t, f, or sf</v>
      </c>
      <c r="BQ168" s="148" t="str">
        <f t="shared" si="134"/>
        <v/>
      </c>
    </row>
    <row r="169" spans="1:69" ht="15" customHeight="1" x14ac:dyDescent="0.2">
      <c r="A169" s="376">
        <v>167</v>
      </c>
      <c r="B169" s="315" t="s">
        <v>38</v>
      </c>
      <c r="C169" s="315" t="s">
        <v>518</v>
      </c>
      <c r="D169" s="378">
        <v>1</v>
      </c>
      <c r="E169" s="378">
        <v>1</v>
      </c>
      <c r="F169" s="315" t="s">
        <v>770</v>
      </c>
      <c r="G169" s="316">
        <v>43063</v>
      </c>
      <c r="H169" s="454">
        <v>0.61111111111111105</v>
      </c>
      <c r="I169" s="325" t="s">
        <v>770</v>
      </c>
      <c r="J169" s="315" t="s">
        <v>695</v>
      </c>
      <c r="K169" s="315">
        <v>33</v>
      </c>
      <c r="L169" t="s">
        <v>570</v>
      </c>
      <c r="M169">
        <v>33</v>
      </c>
      <c r="N169" t="s">
        <v>565</v>
      </c>
      <c r="O169" s="153" t="str">
        <f>IF(L169&lt;&gt;"",IFERROR(VLOOKUP(B169&amp;L169,Pools!$A$2:$D$130,3,FALSE),""),"")</f>
        <v/>
      </c>
      <c r="P169" s="388">
        <v>6</v>
      </c>
      <c r="Q169" s="388">
        <v>0</v>
      </c>
      <c r="R169" s="306" t="str">
        <f t="shared" si="90"/>
        <v>6-0</v>
      </c>
      <c r="S169" s="153"/>
      <c r="T169" s="148" t="str">
        <f t="shared" si="91"/>
        <v>Completed</v>
      </c>
      <c r="U169" s="153"/>
      <c r="V169" s="153"/>
      <c r="W169" s="387">
        <f t="shared" si="92"/>
        <v>3</v>
      </c>
      <c r="X169" s="387">
        <f t="shared" si="93"/>
        <v>-3</v>
      </c>
      <c r="Y169" s="301">
        <f t="shared" si="94"/>
        <v>2</v>
      </c>
      <c r="Z169" s="301">
        <f t="shared" si="95"/>
        <v>0</v>
      </c>
      <c r="AA169" s="323" t="str">
        <f>CONCATENATE("                x[team1,team2,sport,'",IF(OR(I169="x",I169=""),VLOOKUP('Schedule from TM'!J169,Tables!$P$3:$Q$33,2,FALSE),'Schedule from TM'!I169),",",J169,"','",IF(OR(F169="x",F169=""),VLOOKUP('Schedule from TM'!G169,Tables!$U$3:$V$14,2,FALSE),'Schedule from TM'!F169),",",TEXT(G169,"mm/dd/yyyy"),"','",TEXT(H169,"h:mm:ss AM/PM"),"'].ub=0.0      #",B169)</f>
        <v xml:space="preserve">                x[team1,team2,sport,'11,JCC Back Field 1','11,11/24/2017','2:40:00 PM'].ub=0.0      #Ch C Female Mini Soccer</v>
      </c>
      <c r="AB169" s="301" t="str">
        <f t="shared" si="96"/>
        <v>,,Ch C Female Mini Soccer,,1,CHILD CF - VEN 2</v>
      </c>
      <c r="AC169" s="153" t="str">
        <f t="shared" si="97"/>
        <v>Ch C Female Mini SoccerCHILD CF - VEN 2</v>
      </c>
      <c r="AD169" s="301" t="str">
        <f t="shared" si="98"/>
        <v>,,Ch C Female Mini Soccer,,1,CHILD CF - COL 1</v>
      </c>
      <c r="AE169" s="153" t="str">
        <f t="shared" si="99"/>
        <v>Ch C Female Mini SoccerCHILD CF - COL 1</v>
      </c>
      <c r="AF169" s="383">
        <f t="shared" si="100"/>
        <v>1</v>
      </c>
      <c r="AG169" s="383">
        <f t="shared" si="101"/>
        <v>0</v>
      </c>
      <c r="AH169" s="383">
        <f t="shared" si="102"/>
        <v>0</v>
      </c>
      <c r="AI169" s="383">
        <f t="shared" si="103"/>
        <v>0</v>
      </c>
      <c r="AJ169" s="383">
        <f t="shared" si="104"/>
        <v>1</v>
      </c>
      <c r="AK169" s="383">
        <f t="shared" si="105"/>
        <v>0</v>
      </c>
      <c r="AM169" s="148" t="str">
        <f t="shared" si="106"/>
        <v>Schedulled</v>
      </c>
      <c r="AN169" s="148" t="str">
        <f t="shared" si="107"/>
        <v/>
      </c>
      <c r="AO169" s="156">
        <f t="shared" si="108"/>
        <v>43063.611111111109</v>
      </c>
      <c r="AP169" s="148" t="str">
        <f t="shared" si="109"/>
        <v>11/24/2017 14:40-&gt;JCC Back Field 1</v>
      </c>
      <c r="AQ169" s="374">
        <f t="shared" si="110"/>
        <v>1</v>
      </c>
      <c r="AR169" s="148" t="str">
        <f t="shared" si="111"/>
        <v>VEN2</v>
      </c>
      <c r="AS169" s="148" t="str">
        <f t="shared" si="112"/>
        <v>COL1</v>
      </c>
      <c r="AT169" s="157" t="str">
        <f t="shared" si="113"/>
        <v>VEN2-COL1</v>
      </c>
      <c r="AU169" s="157" t="str">
        <f t="shared" si="114"/>
        <v xml:space="preserve">VEN2-COL1 </v>
      </c>
      <c r="AV169" s="157" t="str">
        <f t="shared" si="115"/>
        <v>CHILDREN C FEMALE</v>
      </c>
      <c r="AW169" s="157" t="str">
        <f t="shared" si="116"/>
        <v>Soccer</v>
      </c>
      <c r="AX169" s="376">
        <f t="shared" si="117"/>
        <v>167</v>
      </c>
      <c r="AY169" s="148" t="str">
        <f t="shared" si="118"/>
        <v>CHILD CF - VEN 2-&gt;CHILD CF - COL 1</v>
      </c>
      <c r="AZ169" s="148" t="str">
        <f t="shared" si="119"/>
        <v>11/24/2017 14:40-&gt;CHILD CF - VEN 2</v>
      </c>
      <c r="BA169" s="148" t="str">
        <f t="shared" si="120"/>
        <v>11/24/2017 14:40-&gt;CHILD CF - COL 1</v>
      </c>
      <c r="BB169" s="374">
        <f t="shared" si="121"/>
        <v>1</v>
      </c>
      <c r="BC169" s="374">
        <f t="shared" si="122"/>
        <v>1</v>
      </c>
      <c r="BD169" s="148" t="str">
        <f t="shared" si="123"/>
        <v>no conflict</v>
      </c>
      <c r="BF169" s="148" t="str">
        <f t="shared" si="124"/>
        <v>11/24/2017 14:40-&gt;CHILD CF - VEN 2</v>
      </c>
      <c r="BG169" s="148" t="str">
        <f t="shared" si="125"/>
        <v>11/24/2017 14:40-&gt;CHILD CF - COL 1</v>
      </c>
      <c r="BH169" s="148" t="str">
        <f t="shared" si="126"/>
        <v>11/24/2017 14:40-&gt;JCC Back Field 1</v>
      </c>
      <c r="BI169" s="148" t="str">
        <f t="shared" si="127"/>
        <v>Soccer in JCC Back Field 1 (VEN2-COL1)</v>
      </c>
      <c r="BJ169" s="148" t="str">
        <f t="shared" si="128"/>
        <v>Ch C Female Mini Soccer-- CHILD CF - VEN 2 vs. CHILD CF - COL 1</v>
      </c>
      <c r="BK169" s="148" t="str">
        <f t="shared" si="129"/>
        <v>Soccer</v>
      </c>
      <c r="BL169" s="148" t="str">
        <f t="shared" si="130"/>
        <v>CHILD CF - VEN 2</v>
      </c>
      <c r="BM169" s="148" t="str">
        <f t="shared" si="131"/>
        <v>CHILD CF - COL 1</v>
      </c>
      <c r="BN169" s="148" t="str">
        <f t="shared" si="132"/>
        <v>Round - 1</v>
      </c>
      <c r="BP169" s="148" t="str">
        <f t="shared" si="133"/>
        <v>no t, f, or sf</v>
      </c>
      <c r="BQ169" s="148" t="str">
        <f t="shared" si="134"/>
        <v/>
      </c>
    </row>
    <row r="170" spans="1:69" ht="15" customHeight="1" x14ac:dyDescent="0.2">
      <c r="A170" s="376">
        <v>168</v>
      </c>
      <c r="B170" s="315" t="s">
        <v>38</v>
      </c>
      <c r="C170" s="315" t="s">
        <v>518</v>
      </c>
      <c r="D170" s="378">
        <v>1</v>
      </c>
      <c r="E170" s="378">
        <v>1</v>
      </c>
      <c r="F170" s="315" t="s">
        <v>770</v>
      </c>
      <c r="G170" s="316">
        <v>43065</v>
      </c>
      <c r="H170" s="417">
        <v>0.33333333333333331</v>
      </c>
      <c r="I170" s="325" t="s">
        <v>770</v>
      </c>
      <c r="J170" s="315" t="s">
        <v>695</v>
      </c>
      <c r="K170" s="315">
        <v>33</v>
      </c>
      <c r="L170" t="s">
        <v>567</v>
      </c>
      <c r="M170">
        <v>33</v>
      </c>
      <c r="N170" t="s">
        <v>568</v>
      </c>
      <c r="O170" s="153" t="str">
        <f>IF(L170&lt;&gt;"",IFERROR(VLOOKUP(B170&amp;L170,Pools!$A$2:$D$130,3,FALSE),""),"")</f>
        <v/>
      </c>
      <c r="P170" s="388">
        <v>4</v>
      </c>
      <c r="Q170" s="388">
        <v>2</v>
      </c>
      <c r="R170" s="306" t="str">
        <f t="shared" si="90"/>
        <v>4-2</v>
      </c>
      <c r="S170" s="153"/>
      <c r="T170" s="148" t="str">
        <f t="shared" si="91"/>
        <v>Completed</v>
      </c>
      <c r="U170" s="153"/>
      <c r="V170" s="153"/>
      <c r="W170" s="387">
        <f t="shared" si="92"/>
        <v>2</v>
      </c>
      <c r="X170" s="387">
        <f t="shared" si="93"/>
        <v>-2</v>
      </c>
      <c r="Y170" s="301">
        <f t="shared" si="94"/>
        <v>2</v>
      </c>
      <c r="Z170" s="301">
        <f t="shared" si="95"/>
        <v>0</v>
      </c>
      <c r="AA170" s="323" t="str">
        <f>CONCATENATE("                x[team1,team2,sport,'",IF(OR(I170="x",I170=""),VLOOKUP('Schedule from TM'!J170,Tables!$P$3:$Q$33,2,FALSE),'Schedule from TM'!I170),",",J170,"','",IF(OR(F170="x",F170=""),VLOOKUP('Schedule from TM'!G170,Tables!$U$3:$V$14,2,FALSE),'Schedule from TM'!F170),",",TEXT(G170,"mm/dd/yyyy"),"','",TEXT(H170,"h:mm:ss AM/PM"),"'].ub=0.0      #",B170)</f>
        <v xml:space="preserve">                x[team1,team2,sport,'11,JCC Back Field 1','21,11/26/2017','8:00:00 AM'].ub=0.0      #Ch C Female Mini Soccer</v>
      </c>
      <c r="AB170" s="301" t="str">
        <f t="shared" si="96"/>
        <v>,,Ch C Female Mini Soccer,,1,CHILD CF - USA 1</v>
      </c>
      <c r="AC170" s="153" t="str">
        <f t="shared" si="97"/>
        <v>Ch C Female Mini SoccerCHILD CF - USA 1</v>
      </c>
      <c r="AD170" s="301" t="str">
        <f t="shared" si="98"/>
        <v>,,Ch C Female Mini Soccer,,1,CHILD CF - USA 2</v>
      </c>
      <c r="AE170" s="153" t="str">
        <f t="shared" si="99"/>
        <v>Ch C Female Mini SoccerCHILD CF - USA 2</v>
      </c>
      <c r="AF170" s="383">
        <f t="shared" si="100"/>
        <v>1</v>
      </c>
      <c r="AG170" s="383">
        <f t="shared" si="101"/>
        <v>0</v>
      </c>
      <c r="AH170" s="383">
        <f t="shared" si="102"/>
        <v>0</v>
      </c>
      <c r="AI170" s="383">
        <f t="shared" si="103"/>
        <v>0</v>
      </c>
      <c r="AJ170" s="383">
        <f t="shared" si="104"/>
        <v>1</v>
      </c>
      <c r="AK170" s="383">
        <f t="shared" si="105"/>
        <v>0</v>
      </c>
      <c r="AM170" s="148" t="str">
        <f t="shared" si="106"/>
        <v>Schedulled</v>
      </c>
      <c r="AN170" s="148" t="str">
        <f t="shared" si="107"/>
        <v/>
      </c>
      <c r="AO170" s="156">
        <f t="shared" si="108"/>
        <v>43065.333333333336</v>
      </c>
      <c r="AP170" s="148" t="str">
        <f t="shared" si="109"/>
        <v>11/26/2017 08:00-&gt;JCC Back Field 1</v>
      </c>
      <c r="AQ170" s="374">
        <f t="shared" si="110"/>
        <v>1</v>
      </c>
      <c r="AR170" s="148" t="str">
        <f t="shared" si="111"/>
        <v>USA1</v>
      </c>
      <c r="AS170" s="148" t="str">
        <f t="shared" si="112"/>
        <v>USA2</v>
      </c>
      <c r="AT170" s="157" t="str">
        <f t="shared" si="113"/>
        <v>USA1-USA2</v>
      </c>
      <c r="AU170" s="157" t="str">
        <f t="shared" si="114"/>
        <v xml:space="preserve">USA1-USA2 </v>
      </c>
      <c r="AV170" s="157" t="str">
        <f t="shared" si="115"/>
        <v>CHILDREN C FEMALE</v>
      </c>
      <c r="AW170" s="157" t="str">
        <f t="shared" si="116"/>
        <v>Soccer</v>
      </c>
      <c r="AX170" s="376">
        <f t="shared" si="117"/>
        <v>168</v>
      </c>
      <c r="AY170" s="148" t="str">
        <f t="shared" si="118"/>
        <v>CHILD CF - USA 1-&gt;CHILD CF - USA 2</v>
      </c>
      <c r="AZ170" s="148" t="str">
        <f t="shared" si="119"/>
        <v>11/26/2017 08:00-&gt;CHILD CF - USA 1</v>
      </c>
      <c r="BA170" s="148" t="str">
        <f t="shared" si="120"/>
        <v>11/26/2017 08:00-&gt;CHILD CF - USA 2</v>
      </c>
      <c r="BB170" s="374">
        <f t="shared" si="121"/>
        <v>1</v>
      </c>
      <c r="BC170" s="374">
        <f t="shared" si="122"/>
        <v>1</v>
      </c>
      <c r="BD170" s="148" t="str">
        <f t="shared" si="123"/>
        <v>no conflict</v>
      </c>
      <c r="BF170" s="148" t="str">
        <f t="shared" si="124"/>
        <v>11/26/2017 08:00-&gt;CHILD CF - USA 1</v>
      </c>
      <c r="BG170" s="148" t="str">
        <f t="shared" si="125"/>
        <v>11/26/2017 08:00-&gt;CHILD CF - USA 2</v>
      </c>
      <c r="BH170" s="148" t="str">
        <f t="shared" si="126"/>
        <v>11/26/2017 08:00-&gt;JCC Back Field 1</v>
      </c>
      <c r="BI170" s="148" t="str">
        <f t="shared" si="127"/>
        <v>Soccer in JCC Back Field 1 (USA1-USA2)</v>
      </c>
      <c r="BJ170" s="148" t="str">
        <f t="shared" si="128"/>
        <v>Ch C Female Mini Soccer-- CHILD CF - USA 1 vs. CHILD CF - USA 2</v>
      </c>
      <c r="BK170" s="148" t="str">
        <f t="shared" si="129"/>
        <v>Soccer</v>
      </c>
      <c r="BL170" s="148" t="str">
        <f t="shared" si="130"/>
        <v>CHILD CF - USA 1</v>
      </c>
      <c r="BM170" s="148" t="str">
        <f t="shared" si="131"/>
        <v>CHILD CF - USA 2</v>
      </c>
      <c r="BN170" s="148" t="str">
        <f t="shared" si="132"/>
        <v>Round - 1</v>
      </c>
      <c r="BP170" s="148" t="str">
        <f t="shared" si="133"/>
        <v>no t, f, or sf</v>
      </c>
      <c r="BQ170" s="148" t="str">
        <f t="shared" si="134"/>
        <v/>
      </c>
    </row>
    <row r="171" spans="1:69" ht="15" customHeight="1" x14ac:dyDescent="0.2">
      <c r="A171" s="376">
        <v>169</v>
      </c>
      <c r="B171" s="441" t="s">
        <v>38</v>
      </c>
      <c r="C171" s="441" t="s">
        <v>518</v>
      </c>
      <c r="D171" s="450">
        <v>1</v>
      </c>
      <c r="E171" s="450">
        <v>1</v>
      </c>
      <c r="F171" s="315" t="s">
        <v>770</v>
      </c>
      <c r="G171" s="320">
        <v>43065</v>
      </c>
      <c r="H171" s="417">
        <v>0.47222222222222227</v>
      </c>
      <c r="I171" s="325" t="s">
        <v>770</v>
      </c>
      <c r="J171" s="441" t="s">
        <v>695</v>
      </c>
      <c r="K171" s="441">
        <v>33</v>
      </c>
      <c r="L171" t="s">
        <v>570</v>
      </c>
      <c r="M171">
        <v>33</v>
      </c>
      <c r="N171" t="s">
        <v>567</v>
      </c>
      <c r="O171" s="153" t="str">
        <f>IF(L171&lt;&gt;"",IFERROR(VLOOKUP(B171&amp;L171,Pools!$A$2:$D$130,3,FALSE),""),"")</f>
        <v/>
      </c>
      <c r="P171" s="388">
        <v>0</v>
      </c>
      <c r="Q171" s="388">
        <v>2</v>
      </c>
      <c r="R171" s="306" t="str">
        <f t="shared" si="90"/>
        <v>0-2</v>
      </c>
      <c r="S171" s="153"/>
      <c r="T171" s="148" t="str">
        <f t="shared" si="91"/>
        <v>Completed</v>
      </c>
      <c r="U171" s="153"/>
      <c r="V171" s="153"/>
      <c r="W171" s="387">
        <f t="shared" si="92"/>
        <v>-2</v>
      </c>
      <c r="X171" s="387">
        <f t="shared" si="93"/>
        <v>2</v>
      </c>
      <c r="Y171" s="301">
        <f t="shared" si="94"/>
        <v>0</v>
      </c>
      <c r="Z171" s="301">
        <f t="shared" si="95"/>
        <v>2</v>
      </c>
      <c r="AA171" s="323" t="str">
        <f>CONCATENATE("                x[team1,team2,sport,'",IF(OR(I171="x",I171=""),VLOOKUP('Schedule from TM'!J171,Tables!$P$3:$Q$33,2,FALSE),'Schedule from TM'!I171),",",J171,"','",IF(OR(F171="x",F171=""),VLOOKUP('Schedule from TM'!G171,Tables!$U$3:$V$14,2,FALSE),'Schedule from TM'!F171),",",TEXT(G171,"mm/dd/yyyy"),"','",TEXT(H171,"h:mm:ss AM/PM"),"'].ub=0.0      #",B171)</f>
        <v xml:space="preserve">                x[team1,team2,sport,'11,JCC Back Field 1','21,11/26/2017','11:20:00 AM'].ub=0.0      #Ch C Female Mini Soccer</v>
      </c>
      <c r="AB171" s="301" t="str">
        <f t="shared" si="96"/>
        <v>,,Ch C Female Mini Soccer,,1,CHILD CF - VEN 2</v>
      </c>
      <c r="AC171" s="153" t="str">
        <f t="shared" si="97"/>
        <v>Ch C Female Mini SoccerCHILD CF - VEN 2</v>
      </c>
      <c r="AD171" s="301" t="str">
        <f t="shared" si="98"/>
        <v>,,Ch C Female Mini Soccer,,1,CHILD CF - USA 1</v>
      </c>
      <c r="AE171" s="153" t="str">
        <f t="shared" si="99"/>
        <v>Ch C Female Mini SoccerCHILD CF - USA 1</v>
      </c>
      <c r="AF171" s="383">
        <f t="shared" si="100"/>
        <v>0</v>
      </c>
      <c r="AG171" s="383">
        <f t="shared" si="101"/>
        <v>1</v>
      </c>
      <c r="AH171" s="383">
        <f t="shared" si="102"/>
        <v>0</v>
      </c>
      <c r="AI171" s="383">
        <f t="shared" si="103"/>
        <v>1</v>
      </c>
      <c r="AJ171" s="383">
        <f t="shared" si="104"/>
        <v>0</v>
      </c>
      <c r="AK171" s="383">
        <f t="shared" si="105"/>
        <v>0</v>
      </c>
      <c r="AM171" s="148" t="str">
        <f t="shared" si="106"/>
        <v>Schedulled</v>
      </c>
      <c r="AN171" s="148" t="str">
        <f t="shared" si="107"/>
        <v/>
      </c>
      <c r="AO171" s="156">
        <f t="shared" si="108"/>
        <v>43065.472222222219</v>
      </c>
      <c r="AP171" s="148" t="str">
        <f t="shared" si="109"/>
        <v>11/26/2017 11:20-&gt;JCC Back Field 1</v>
      </c>
      <c r="AQ171" s="374">
        <f t="shared" si="110"/>
        <v>1</v>
      </c>
      <c r="AR171" s="148" t="str">
        <f t="shared" si="111"/>
        <v>VEN2</v>
      </c>
      <c r="AS171" s="148" t="str">
        <f t="shared" si="112"/>
        <v>USA1</v>
      </c>
      <c r="AT171" s="157" t="str">
        <f t="shared" si="113"/>
        <v>VEN2-USA1</v>
      </c>
      <c r="AU171" s="157" t="str">
        <f t="shared" si="114"/>
        <v xml:space="preserve">VEN2-USA1 </v>
      </c>
      <c r="AV171" s="157" t="str">
        <f t="shared" si="115"/>
        <v>CHILDREN C FEMALE</v>
      </c>
      <c r="AW171" s="157" t="str">
        <f t="shared" si="116"/>
        <v>Soccer</v>
      </c>
      <c r="AX171" s="376">
        <f t="shared" si="117"/>
        <v>169</v>
      </c>
      <c r="AY171" s="148" t="str">
        <f t="shared" si="118"/>
        <v>CHILD CF - VEN 2-&gt;CHILD CF - USA 1</v>
      </c>
      <c r="AZ171" s="148" t="str">
        <f t="shared" si="119"/>
        <v>11/26/2017 11:20-&gt;CHILD CF - VEN 2</v>
      </c>
      <c r="BA171" s="148" t="str">
        <f t="shared" si="120"/>
        <v>11/26/2017 11:20-&gt;CHILD CF - USA 1</v>
      </c>
      <c r="BB171" s="374">
        <f t="shared" si="121"/>
        <v>1</v>
      </c>
      <c r="BC171" s="374">
        <f t="shared" si="122"/>
        <v>1</v>
      </c>
      <c r="BD171" s="148" t="str">
        <f t="shared" si="123"/>
        <v>no conflict</v>
      </c>
      <c r="BF171" s="148" t="str">
        <f t="shared" si="124"/>
        <v>11/26/2017 11:20-&gt;CHILD CF - VEN 2</v>
      </c>
      <c r="BG171" s="148" t="str">
        <f t="shared" si="125"/>
        <v>11/26/2017 11:20-&gt;CHILD CF - USA 1</v>
      </c>
      <c r="BH171" s="148" t="str">
        <f t="shared" si="126"/>
        <v>11/26/2017 11:20-&gt;JCC Back Field 1</v>
      </c>
      <c r="BI171" s="148" t="str">
        <f t="shared" si="127"/>
        <v>Soccer in JCC Back Field 1 (VEN2-USA1)</v>
      </c>
      <c r="BJ171" s="148" t="str">
        <f t="shared" si="128"/>
        <v>Ch C Female Mini Soccer-- CHILD CF - VEN 2 vs. CHILD CF - USA 1</v>
      </c>
      <c r="BK171" s="148" t="str">
        <f t="shared" si="129"/>
        <v>Soccer</v>
      </c>
      <c r="BL171" s="148" t="str">
        <f t="shared" si="130"/>
        <v>CHILD CF - VEN 2</v>
      </c>
      <c r="BM171" s="148" t="str">
        <f t="shared" si="131"/>
        <v>CHILD CF - USA 1</v>
      </c>
      <c r="BN171" s="148" t="str">
        <f t="shared" si="132"/>
        <v>Round - 1</v>
      </c>
      <c r="BP171" s="148" t="str">
        <f t="shared" si="133"/>
        <v>no t, f, or sf</v>
      </c>
      <c r="BQ171" s="148" t="str">
        <f t="shared" si="134"/>
        <v/>
      </c>
    </row>
    <row r="172" spans="1:69" ht="15" customHeight="1" x14ac:dyDescent="0.2">
      <c r="A172" s="376">
        <v>170</v>
      </c>
      <c r="B172" s="441" t="s">
        <v>523</v>
      </c>
      <c r="C172" s="441" t="s">
        <v>518</v>
      </c>
      <c r="D172" s="450">
        <v>1</v>
      </c>
      <c r="E172" s="450">
        <v>1</v>
      </c>
      <c r="F172" s="315" t="s">
        <v>770</v>
      </c>
      <c r="G172" s="320">
        <v>43058</v>
      </c>
      <c r="H172" s="318">
        <v>0.36805555555555558</v>
      </c>
      <c r="I172" s="325" t="s">
        <v>770</v>
      </c>
      <c r="J172" s="441" t="s">
        <v>701</v>
      </c>
      <c r="K172" s="441">
        <v>33</v>
      </c>
      <c r="L172" t="s">
        <v>567</v>
      </c>
      <c r="M172">
        <v>33</v>
      </c>
      <c r="N172" t="s">
        <v>565</v>
      </c>
      <c r="O172" s="153" t="str">
        <f>IF(L172&lt;&gt;"",IFERROR(VLOOKUP(B172&amp;L172,Pools!$A$2:$D$130,3,FALSE),""),"")</f>
        <v/>
      </c>
      <c r="P172" s="388">
        <v>21</v>
      </c>
      <c r="Q172" s="388">
        <v>16</v>
      </c>
      <c r="R172" s="306" t="str">
        <f t="shared" si="90"/>
        <v>21-16</v>
      </c>
      <c r="S172" s="153"/>
      <c r="T172" s="148" t="str">
        <f t="shared" si="91"/>
        <v>Completed</v>
      </c>
      <c r="U172" s="153"/>
      <c r="V172" s="153"/>
      <c r="W172" s="387">
        <f t="shared" si="92"/>
        <v>5</v>
      </c>
      <c r="X172" s="387">
        <f t="shared" si="93"/>
        <v>-5</v>
      </c>
      <c r="Y172" s="301">
        <f t="shared" si="94"/>
        <v>2</v>
      </c>
      <c r="Z172" s="301">
        <f t="shared" si="95"/>
        <v>0</v>
      </c>
      <c r="AA172" s="323" t="str">
        <f>CONCATENATE("                x[team1,team2,sport,'",IF(OR(I172="x",I172=""),VLOOKUP('Schedule from TM'!J172,Tables!$P$3:$Q$33,2,FALSE),'Schedule from TM'!I172),",",J172,"','",IF(OR(F172="x",F172=""),VLOOKUP('Schedule from TM'!G172,Tables!$U$3:$V$14,2,FALSE),'Schedule from TM'!F172),",",TEXT(G172,"mm/dd/yyyy"),"','",TEXT(H172,"h:mm:ss AM/PM"),"'].ub=0.0      #",B172)</f>
        <v xml:space="preserve">                x[team1,team2,sport,'22,Hillel - Volleyball Out','11,11/19/2017','8:50:00 AM'].ub=0.0      #Ch C Female Newcomb</v>
      </c>
      <c r="AB172" s="301" t="str">
        <f t="shared" si="96"/>
        <v>,,Ch C Female Newcomb,,1,CHILD CF - USA 1</v>
      </c>
      <c r="AC172" s="153" t="str">
        <f t="shared" si="97"/>
        <v>Ch C Female NewcombCHILD CF - USA 1</v>
      </c>
      <c r="AD172" s="301" t="str">
        <f t="shared" si="98"/>
        <v>,,Ch C Female Newcomb,,1,CHILD CF - COL 1</v>
      </c>
      <c r="AE172" s="153" t="str">
        <f t="shared" si="99"/>
        <v>Ch C Female NewcombCHILD CF - COL 1</v>
      </c>
      <c r="AF172" s="383">
        <f t="shared" si="100"/>
        <v>1</v>
      </c>
      <c r="AG172" s="383">
        <f t="shared" si="101"/>
        <v>0</v>
      </c>
      <c r="AH172" s="383">
        <f t="shared" si="102"/>
        <v>0</v>
      </c>
      <c r="AI172" s="383">
        <f t="shared" si="103"/>
        <v>0</v>
      </c>
      <c r="AJ172" s="383">
        <f t="shared" si="104"/>
        <v>1</v>
      </c>
      <c r="AK172" s="383">
        <f t="shared" si="105"/>
        <v>0</v>
      </c>
      <c r="AM172" s="148" t="str">
        <f t="shared" si="106"/>
        <v>Schedulled</v>
      </c>
      <c r="AN172" s="148" t="str">
        <f t="shared" si="107"/>
        <v/>
      </c>
      <c r="AO172" s="156">
        <f t="shared" si="108"/>
        <v>43058.368055555555</v>
      </c>
      <c r="AP172" s="148" t="str">
        <f t="shared" si="109"/>
        <v>11/19/2017 08:50-&gt;Hillel - Volleyball Out</v>
      </c>
      <c r="AQ172" s="374">
        <f t="shared" si="110"/>
        <v>1</v>
      </c>
      <c r="AR172" s="148" t="str">
        <f t="shared" si="111"/>
        <v>USA1</v>
      </c>
      <c r="AS172" s="148" t="str">
        <f t="shared" si="112"/>
        <v>COL1</v>
      </c>
      <c r="AT172" s="157" t="str">
        <f t="shared" si="113"/>
        <v>USA1-COL1</v>
      </c>
      <c r="AU172" s="157" t="str">
        <f t="shared" si="114"/>
        <v xml:space="preserve">USA1-COL1 </v>
      </c>
      <c r="AV172" s="157" t="str">
        <f t="shared" si="115"/>
        <v>CHILDREN C FEMALE</v>
      </c>
      <c r="AW172" s="157" t="str">
        <f t="shared" si="116"/>
        <v>Newcomb</v>
      </c>
      <c r="AX172" s="376">
        <f t="shared" si="117"/>
        <v>170</v>
      </c>
      <c r="AY172" s="148" t="str">
        <f t="shared" si="118"/>
        <v>CHILD CF - USA 1-&gt;CHILD CF - COL 1</v>
      </c>
      <c r="AZ172" s="148" t="str">
        <f t="shared" si="119"/>
        <v>11/19/2017 08:50-&gt;CHILD CF - USA 1</v>
      </c>
      <c r="BA172" s="148" t="str">
        <f t="shared" si="120"/>
        <v>11/19/2017 08:50-&gt;CHILD CF - COL 1</v>
      </c>
      <c r="BB172" s="374">
        <f t="shared" si="121"/>
        <v>1</v>
      </c>
      <c r="BC172" s="374">
        <f t="shared" si="122"/>
        <v>1</v>
      </c>
      <c r="BD172" s="148" t="str">
        <f t="shared" si="123"/>
        <v>no conflict</v>
      </c>
      <c r="BF172" s="148" t="str">
        <f t="shared" si="124"/>
        <v>11/19/2017 08:50-&gt;CHILD CF - USA 1</v>
      </c>
      <c r="BG172" s="148" t="str">
        <f t="shared" si="125"/>
        <v>11/19/2017 08:50-&gt;CHILD CF - COL 1</v>
      </c>
      <c r="BH172" s="148" t="str">
        <f t="shared" si="126"/>
        <v>11/19/2017 08:50-&gt;Hillel - Volleyball Out</v>
      </c>
      <c r="BI172" s="148" t="str">
        <f t="shared" si="127"/>
        <v>Newcomb in Hillel - Volleyball Out (USA1-COL1)</v>
      </c>
      <c r="BJ172" s="148" t="str">
        <f t="shared" si="128"/>
        <v>Ch C Female Newcomb-- CHILD CF - USA 1 vs. CHILD CF - COL 1</v>
      </c>
      <c r="BK172" s="148" t="str">
        <f t="shared" si="129"/>
        <v>Newcomb</v>
      </c>
      <c r="BL172" s="148" t="str">
        <f t="shared" si="130"/>
        <v>CHILD CF - USA 1</v>
      </c>
      <c r="BM172" s="148" t="str">
        <f t="shared" si="131"/>
        <v>CHILD CF - COL 1</v>
      </c>
      <c r="BN172" s="148" t="str">
        <f t="shared" si="132"/>
        <v>Round - 1</v>
      </c>
      <c r="BP172" s="148" t="str">
        <f t="shared" si="133"/>
        <v>no t, f, or sf</v>
      </c>
      <c r="BQ172" s="148" t="str">
        <f t="shared" si="134"/>
        <v/>
      </c>
    </row>
    <row r="173" spans="1:69" ht="15" customHeight="1" x14ac:dyDescent="0.2">
      <c r="A173" s="450">
        <v>171</v>
      </c>
      <c r="B173" s="121" t="s">
        <v>523</v>
      </c>
      <c r="C173" s="121" t="s">
        <v>518</v>
      </c>
      <c r="D173" s="382">
        <v>1</v>
      </c>
      <c r="E173" s="382">
        <v>1</v>
      </c>
      <c r="F173" s="444" t="s">
        <v>770</v>
      </c>
      <c r="G173" s="206">
        <v>43058</v>
      </c>
      <c r="H173" s="318">
        <v>0.47222222222222227</v>
      </c>
      <c r="I173" s="446" t="s">
        <v>770</v>
      </c>
      <c r="J173" s="121" t="s">
        <v>701</v>
      </c>
      <c r="K173" s="441">
        <v>33</v>
      </c>
      <c r="L173" s="121" t="s">
        <v>569</v>
      </c>
      <c r="M173" s="433">
        <v>33</v>
      </c>
      <c r="N173" s="121" t="s">
        <v>567</v>
      </c>
      <c r="O173" s="153" t="str">
        <f>IF(L173&lt;&gt;"",IFERROR(VLOOKUP(B173&amp;L173,Pools!$A$2:$D$130,3,FALSE),""),"")</f>
        <v/>
      </c>
      <c r="P173" s="388">
        <v>9</v>
      </c>
      <c r="Q173" s="388">
        <v>21</v>
      </c>
      <c r="R173" s="306" t="str">
        <f t="shared" si="90"/>
        <v>9-21</v>
      </c>
      <c r="S173" s="153"/>
      <c r="T173" s="148" t="str">
        <f t="shared" si="91"/>
        <v>Completed</v>
      </c>
      <c r="U173" s="153"/>
      <c r="V173" s="153"/>
      <c r="W173" s="387">
        <f t="shared" si="92"/>
        <v>-12</v>
      </c>
      <c r="X173" s="387">
        <f t="shared" si="93"/>
        <v>12</v>
      </c>
      <c r="Y173" s="301">
        <f t="shared" si="94"/>
        <v>0</v>
      </c>
      <c r="Z173" s="301">
        <f t="shared" si="95"/>
        <v>2</v>
      </c>
      <c r="AA173" s="323" t="str">
        <f>CONCATENATE("                x[team1,team2,sport,'",IF(OR(I173="x",I173=""),VLOOKUP('Schedule from TM'!J173,Tables!$P$3:$Q$33,2,FALSE),'Schedule from TM'!I173),",",J173,"','",IF(OR(F173="x",F173=""),VLOOKUP('Schedule from TM'!G173,Tables!$U$3:$V$14,2,FALSE),'Schedule from TM'!F173),",",TEXT(G173,"mm/dd/yyyy"),"','",TEXT(H173,"h:mm:ss AM/PM"),"'].ub=0.0      #",B173)</f>
        <v xml:space="preserve">                x[team1,team2,sport,'22,Hillel - Volleyball Out','11,11/19/2017','11:20:00 AM'].ub=0.0      #Ch C Female Newcomb</v>
      </c>
      <c r="AB173" s="301" t="str">
        <f t="shared" si="96"/>
        <v>,,Ch C Female Newcomb,,1,CHILD CF - VEN 1</v>
      </c>
      <c r="AC173" s="153" t="str">
        <f t="shared" si="97"/>
        <v>Ch C Female NewcombCHILD CF - VEN 1</v>
      </c>
      <c r="AD173" s="301" t="str">
        <f t="shared" si="98"/>
        <v>,,Ch C Female Newcomb,,1,CHILD CF - USA 1</v>
      </c>
      <c r="AE173" s="153" t="str">
        <f t="shared" si="99"/>
        <v>Ch C Female NewcombCHILD CF - USA 1</v>
      </c>
      <c r="AF173" s="383">
        <f t="shared" si="100"/>
        <v>0</v>
      </c>
      <c r="AG173" s="383">
        <f t="shared" si="101"/>
        <v>1</v>
      </c>
      <c r="AH173" s="383">
        <f t="shared" si="102"/>
        <v>0</v>
      </c>
      <c r="AI173" s="383">
        <f t="shared" si="103"/>
        <v>1</v>
      </c>
      <c r="AJ173" s="383">
        <f t="shared" si="104"/>
        <v>0</v>
      </c>
      <c r="AK173" s="383">
        <f t="shared" si="105"/>
        <v>0</v>
      </c>
      <c r="AM173" s="148" t="str">
        <f t="shared" si="106"/>
        <v>Schedulled</v>
      </c>
      <c r="AN173" s="148" t="str">
        <f t="shared" si="107"/>
        <v/>
      </c>
      <c r="AO173" s="156">
        <f t="shared" si="108"/>
        <v>43058.472222222219</v>
      </c>
      <c r="AP173" s="148" t="str">
        <f t="shared" si="109"/>
        <v>11/19/2017 11:20-&gt;Hillel - Volleyball Out</v>
      </c>
      <c r="AQ173" s="374">
        <f t="shared" si="110"/>
        <v>1</v>
      </c>
      <c r="AR173" s="148" t="str">
        <f t="shared" si="111"/>
        <v>VEN1</v>
      </c>
      <c r="AS173" s="148" t="str">
        <f t="shared" si="112"/>
        <v>USA1</v>
      </c>
      <c r="AT173" s="157" t="str">
        <f t="shared" si="113"/>
        <v>VEN1-USA1</v>
      </c>
      <c r="AU173" s="157" t="str">
        <f t="shared" si="114"/>
        <v xml:space="preserve">VEN1-USA1 </v>
      </c>
      <c r="AV173" s="157" t="str">
        <f t="shared" si="115"/>
        <v>CHILDREN C FEMALE</v>
      </c>
      <c r="AW173" s="157" t="str">
        <f t="shared" si="116"/>
        <v>Newcomb</v>
      </c>
      <c r="AX173" s="450">
        <f t="shared" si="117"/>
        <v>171</v>
      </c>
      <c r="AY173" s="148" t="str">
        <f t="shared" si="118"/>
        <v>CHILD CF - VEN 1-&gt;CHILD CF - USA 1</v>
      </c>
      <c r="AZ173" s="148" t="str">
        <f t="shared" si="119"/>
        <v>11/19/2017 11:20-&gt;CHILD CF - VEN 1</v>
      </c>
      <c r="BA173" s="148" t="str">
        <f t="shared" si="120"/>
        <v>11/19/2017 11:20-&gt;CHILD CF - USA 1</v>
      </c>
      <c r="BB173" s="374">
        <f t="shared" si="121"/>
        <v>1</v>
      </c>
      <c r="BC173" s="374">
        <f t="shared" si="122"/>
        <v>1</v>
      </c>
      <c r="BD173" s="148" t="str">
        <f t="shared" si="123"/>
        <v>no conflict</v>
      </c>
      <c r="BF173" s="148" t="str">
        <f t="shared" si="124"/>
        <v>11/19/2017 11:20-&gt;CHILD CF - VEN 1</v>
      </c>
      <c r="BG173" s="148" t="str">
        <f t="shared" si="125"/>
        <v>11/19/2017 11:20-&gt;CHILD CF - USA 1</v>
      </c>
      <c r="BH173" s="148" t="str">
        <f t="shared" si="126"/>
        <v>11/19/2017 11:20-&gt;Hillel - Volleyball Out</v>
      </c>
      <c r="BI173" s="148" t="str">
        <f t="shared" si="127"/>
        <v>Newcomb in Hillel - Volleyball Out (VEN1-USA1)</v>
      </c>
      <c r="BJ173" s="148" t="str">
        <f t="shared" si="128"/>
        <v>Ch C Female Newcomb-- CHILD CF - VEN 1 vs. CHILD CF - USA 1</v>
      </c>
      <c r="BK173" s="148" t="str">
        <f t="shared" si="129"/>
        <v>Newcomb</v>
      </c>
      <c r="BL173" s="148" t="str">
        <f t="shared" si="130"/>
        <v>CHILD CF - VEN 1</v>
      </c>
      <c r="BM173" s="148" t="str">
        <f t="shared" si="131"/>
        <v>CHILD CF - USA 1</v>
      </c>
      <c r="BN173" s="148" t="str">
        <f t="shared" si="132"/>
        <v>Round - 1</v>
      </c>
      <c r="BP173" s="148" t="str">
        <f t="shared" si="133"/>
        <v>no t, f, or sf</v>
      </c>
      <c r="BQ173" s="148" t="str">
        <f t="shared" si="134"/>
        <v/>
      </c>
    </row>
    <row r="174" spans="1:69" ht="15" customHeight="1" x14ac:dyDescent="0.2">
      <c r="A174" s="376">
        <v>172</v>
      </c>
      <c r="B174" s="441" t="s">
        <v>523</v>
      </c>
      <c r="C174" s="441" t="s">
        <v>518</v>
      </c>
      <c r="D174" s="450">
        <v>1</v>
      </c>
      <c r="E174" s="450">
        <v>1</v>
      </c>
      <c r="F174" s="315" t="s">
        <v>770</v>
      </c>
      <c r="G174" s="320">
        <v>43058</v>
      </c>
      <c r="H174" s="317">
        <v>0.61111111111111105</v>
      </c>
      <c r="I174" s="325" t="s">
        <v>770</v>
      </c>
      <c r="J174" s="441" t="s">
        <v>701</v>
      </c>
      <c r="K174" s="441">
        <v>33</v>
      </c>
      <c r="L174" s="433" t="s">
        <v>564</v>
      </c>
      <c r="M174" s="433">
        <v>33</v>
      </c>
      <c r="N174" s="433" t="s">
        <v>568</v>
      </c>
      <c r="O174" s="153" t="str">
        <f>IF(L174&lt;&gt;"",IFERROR(VLOOKUP(B174&amp;L174,Pools!$A$2:$D$130,3,FALSE),""),"")</f>
        <v/>
      </c>
      <c r="P174" s="388">
        <v>14</v>
      </c>
      <c r="Q174" s="388">
        <v>12</v>
      </c>
      <c r="R174" s="306" t="str">
        <f t="shared" si="90"/>
        <v>14-12</v>
      </c>
      <c r="S174" s="153"/>
      <c r="T174" s="148" t="str">
        <f t="shared" si="91"/>
        <v>Completed</v>
      </c>
      <c r="U174" s="153"/>
      <c r="V174" s="153"/>
      <c r="W174" s="387">
        <f t="shared" si="92"/>
        <v>2</v>
      </c>
      <c r="X174" s="387">
        <f t="shared" si="93"/>
        <v>-2</v>
      </c>
      <c r="Y174" s="301">
        <f t="shared" si="94"/>
        <v>2</v>
      </c>
      <c r="Z174" s="301">
        <f t="shared" si="95"/>
        <v>0</v>
      </c>
      <c r="AA174" s="323" t="str">
        <f>CONCATENATE("                x[team1,team2,sport,'",IF(OR(I174="x",I174=""),VLOOKUP('Schedule from TM'!J174,Tables!$P$3:$Q$33,2,FALSE),'Schedule from TM'!I174),",",J174,"','",IF(OR(F174="x",F174=""),VLOOKUP('Schedule from TM'!G174,Tables!$U$3:$V$14,2,FALSE),'Schedule from TM'!F174),",",TEXT(G174,"mm/dd/yyyy"),"','",TEXT(H174,"h:mm:ss AM/PM"),"'].ub=0.0      #",B174)</f>
        <v xml:space="preserve">                x[team1,team2,sport,'22,Hillel - Volleyball Out','11,11/19/2017','2:40:00 PM'].ub=0.0      #Ch C Female Newcomb</v>
      </c>
      <c r="AB174" s="301" t="str">
        <f t="shared" si="96"/>
        <v>,,Ch C Female Newcomb,,1,CHILD CF - ARG 1</v>
      </c>
      <c r="AC174" s="153" t="str">
        <f t="shared" si="97"/>
        <v>Ch C Female NewcombCHILD CF - ARG 1</v>
      </c>
      <c r="AD174" s="301" t="str">
        <f t="shared" si="98"/>
        <v>,,Ch C Female Newcomb,,1,CHILD CF - USA 2</v>
      </c>
      <c r="AE174" s="153" t="str">
        <f t="shared" si="99"/>
        <v>Ch C Female NewcombCHILD CF - USA 2</v>
      </c>
      <c r="AF174" s="383">
        <f t="shared" si="100"/>
        <v>1</v>
      </c>
      <c r="AG174" s="383">
        <f t="shared" si="101"/>
        <v>0</v>
      </c>
      <c r="AH174" s="383">
        <f t="shared" si="102"/>
        <v>0</v>
      </c>
      <c r="AI174" s="383">
        <f t="shared" si="103"/>
        <v>0</v>
      </c>
      <c r="AJ174" s="383">
        <f t="shared" si="104"/>
        <v>1</v>
      </c>
      <c r="AK174" s="383">
        <f t="shared" si="105"/>
        <v>0</v>
      </c>
      <c r="AM174" s="148" t="str">
        <f t="shared" si="106"/>
        <v>Schedulled</v>
      </c>
      <c r="AN174" s="148" t="str">
        <f t="shared" si="107"/>
        <v/>
      </c>
      <c r="AO174" s="156">
        <f t="shared" si="108"/>
        <v>43058.611111111109</v>
      </c>
      <c r="AP174" s="148" t="str">
        <f t="shared" si="109"/>
        <v>11/19/2017 14:40-&gt;Hillel - Volleyball Out</v>
      </c>
      <c r="AQ174" s="374">
        <f t="shared" si="110"/>
        <v>1</v>
      </c>
      <c r="AR174" s="148" t="str">
        <f t="shared" si="111"/>
        <v>ARG1</v>
      </c>
      <c r="AS174" s="148" t="str">
        <f t="shared" si="112"/>
        <v>USA2</v>
      </c>
      <c r="AT174" s="157" t="str">
        <f t="shared" si="113"/>
        <v>ARG1-USA2</v>
      </c>
      <c r="AU174" s="157" t="str">
        <f t="shared" si="114"/>
        <v xml:space="preserve">ARG1-USA2 </v>
      </c>
      <c r="AV174" s="157" t="str">
        <f t="shared" si="115"/>
        <v>CHILDREN C FEMALE</v>
      </c>
      <c r="AW174" s="157" t="str">
        <f t="shared" si="116"/>
        <v>Newcomb</v>
      </c>
      <c r="AX174" s="376">
        <f t="shared" si="117"/>
        <v>172</v>
      </c>
      <c r="AY174" s="148" t="str">
        <f t="shared" si="118"/>
        <v>CHILD CF - ARG 1-&gt;CHILD CF - USA 2</v>
      </c>
      <c r="AZ174" s="148" t="str">
        <f t="shared" si="119"/>
        <v>11/19/2017 14:40-&gt;CHILD CF - ARG 1</v>
      </c>
      <c r="BA174" s="148" t="str">
        <f t="shared" si="120"/>
        <v>11/19/2017 14:40-&gt;CHILD CF - USA 2</v>
      </c>
      <c r="BB174" s="374">
        <f t="shared" si="121"/>
        <v>1</v>
      </c>
      <c r="BC174" s="374">
        <f t="shared" si="122"/>
        <v>1</v>
      </c>
      <c r="BD174" s="148" t="str">
        <f t="shared" si="123"/>
        <v>no conflict</v>
      </c>
      <c r="BF174" s="148" t="str">
        <f t="shared" si="124"/>
        <v>11/19/2017 14:40-&gt;CHILD CF - ARG 1</v>
      </c>
      <c r="BG174" s="148" t="str">
        <f t="shared" si="125"/>
        <v>11/19/2017 14:40-&gt;CHILD CF - USA 2</v>
      </c>
      <c r="BH174" s="148" t="str">
        <f t="shared" si="126"/>
        <v>11/19/2017 14:40-&gt;Hillel - Volleyball Out</v>
      </c>
      <c r="BI174" s="148" t="str">
        <f t="shared" si="127"/>
        <v>Newcomb in Hillel - Volleyball Out (ARG1-USA2)</v>
      </c>
      <c r="BJ174" s="148" t="str">
        <f t="shared" si="128"/>
        <v>Ch C Female Newcomb-- CHILD CF - ARG 1 vs. CHILD CF - USA 2</v>
      </c>
      <c r="BK174" s="148" t="str">
        <f t="shared" si="129"/>
        <v>Newcomb</v>
      </c>
      <c r="BL174" s="148" t="str">
        <f t="shared" si="130"/>
        <v>CHILD CF - ARG 1</v>
      </c>
      <c r="BM174" s="148" t="str">
        <f t="shared" si="131"/>
        <v>CHILD CF - USA 2</v>
      </c>
      <c r="BN174" s="148" t="str">
        <f t="shared" si="132"/>
        <v>Round - 1</v>
      </c>
      <c r="BP174" s="148" t="str">
        <f t="shared" si="133"/>
        <v>no t, f, or sf</v>
      </c>
      <c r="BQ174" s="148" t="str">
        <f t="shared" si="134"/>
        <v/>
      </c>
    </row>
    <row r="175" spans="1:69" ht="15" customHeight="1" x14ac:dyDescent="0.2">
      <c r="A175" s="376">
        <v>173</v>
      </c>
      <c r="B175" s="444" t="s">
        <v>523</v>
      </c>
      <c r="C175" s="444" t="s">
        <v>518</v>
      </c>
      <c r="D175" s="451">
        <v>1</v>
      </c>
      <c r="E175" s="451">
        <v>1</v>
      </c>
      <c r="F175" s="315" t="s">
        <v>770</v>
      </c>
      <c r="G175" s="445">
        <v>43062</v>
      </c>
      <c r="H175" s="317">
        <v>0.4375</v>
      </c>
      <c r="I175" s="325" t="s">
        <v>770</v>
      </c>
      <c r="J175" s="444" t="s">
        <v>701</v>
      </c>
      <c r="K175" s="444">
        <v>33</v>
      </c>
      <c r="L175" s="433" t="s">
        <v>570</v>
      </c>
      <c r="M175" s="433">
        <v>33</v>
      </c>
      <c r="N175" s="433" t="s">
        <v>568</v>
      </c>
      <c r="O175" s="153" t="str">
        <f>IF(L175&lt;&gt;"",IFERROR(VLOOKUP(B175&amp;L175,Pools!$A$2:$D$130,3,FALSE),""),"")</f>
        <v/>
      </c>
      <c r="P175" s="388">
        <v>0</v>
      </c>
      <c r="Q175" s="388">
        <v>2</v>
      </c>
      <c r="R175" s="306" t="str">
        <f t="shared" si="90"/>
        <v>0-2</v>
      </c>
      <c r="S175" s="153"/>
      <c r="T175" s="148" t="str">
        <f t="shared" si="91"/>
        <v>Completed</v>
      </c>
      <c r="U175" s="153"/>
      <c r="V175" s="153"/>
      <c r="W175" s="387">
        <f t="shared" si="92"/>
        <v>-2</v>
      </c>
      <c r="X175" s="387">
        <f t="shared" si="93"/>
        <v>2</v>
      </c>
      <c r="Y175" s="301">
        <f t="shared" si="94"/>
        <v>0</v>
      </c>
      <c r="Z175" s="301">
        <f t="shared" si="95"/>
        <v>2</v>
      </c>
      <c r="AA175" s="323" t="str">
        <f>CONCATENATE("                x[team1,team2,sport,'",IF(OR(I175="x",I175=""),VLOOKUP('Schedule from TM'!J175,Tables!$P$3:$Q$33,2,FALSE),'Schedule from TM'!I175),",",J175,"','",IF(OR(F175="x",F175=""),VLOOKUP('Schedule from TM'!G175,Tables!$U$3:$V$14,2,FALSE),'Schedule from TM'!F175),",",TEXT(G175,"mm/dd/yyyy"),"','",TEXT(H175,"h:mm:ss AM/PM"),"'].ub=0.0      #",B175)</f>
        <v xml:space="preserve">                x[team1,team2,sport,'22,Hillel - Volleyball Out','11,11/23/2017','10:30:00 AM'].ub=0.0      #Ch C Female Newcomb</v>
      </c>
      <c r="AB175" s="301" t="str">
        <f t="shared" si="96"/>
        <v>,,Ch C Female Newcomb,,1,CHILD CF - VEN 2</v>
      </c>
      <c r="AC175" s="153" t="str">
        <f t="shared" si="97"/>
        <v>Ch C Female NewcombCHILD CF - VEN 2</v>
      </c>
      <c r="AD175" s="301" t="str">
        <f t="shared" si="98"/>
        <v>,,Ch C Female Newcomb,,1,CHILD CF - USA 2</v>
      </c>
      <c r="AE175" s="153" t="str">
        <f t="shared" si="99"/>
        <v>Ch C Female NewcombCHILD CF - USA 2</v>
      </c>
      <c r="AF175" s="383">
        <f t="shared" si="100"/>
        <v>0</v>
      </c>
      <c r="AG175" s="383">
        <f t="shared" si="101"/>
        <v>1</v>
      </c>
      <c r="AH175" s="383">
        <f t="shared" si="102"/>
        <v>0</v>
      </c>
      <c r="AI175" s="383">
        <f t="shared" si="103"/>
        <v>1</v>
      </c>
      <c r="AJ175" s="383">
        <f t="shared" si="104"/>
        <v>0</v>
      </c>
      <c r="AK175" s="383">
        <f t="shared" si="105"/>
        <v>0</v>
      </c>
      <c r="AM175" s="148" t="str">
        <f t="shared" si="106"/>
        <v>Schedulled</v>
      </c>
      <c r="AN175" s="148" t="str">
        <f t="shared" si="107"/>
        <v/>
      </c>
      <c r="AO175" s="156">
        <f t="shared" si="108"/>
        <v>43062.4375</v>
      </c>
      <c r="AP175" s="148" t="str">
        <f t="shared" si="109"/>
        <v>11/23/2017 10:30-&gt;Hillel - Volleyball Out</v>
      </c>
      <c r="AQ175" s="374">
        <f t="shared" si="110"/>
        <v>1</v>
      </c>
      <c r="AR175" s="148" t="str">
        <f t="shared" si="111"/>
        <v>VEN2</v>
      </c>
      <c r="AS175" s="148" t="str">
        <f t="shared" si="112"/>
        <v>USA2</v>
      </c>
      <c r="AT175" s="157" t="str">
        <f t="shared" si="113"/>
        <v>VEN2-USA2</v>
      </c>
      <c r="AU175" s="157" t="str">
        <f t="shared" si="114"/>
        <v xml:space="preserve">VEN2-USA2 </v>
      </c>
      <c r="AV175" s="157" t="str">
        <f t="shared" si="115"/>
        <v>CHILDREN C FEMALE</v>
      </c>
      <c r="AW175" s="157" t="str">
        <f t="shared" si="116"/>
        <v>Newcomb</v>
      </c>
      <c r="AX175" s="376">
        <f t="shared" si="117"/>
        <v>173</v>
      </c>
      <c r="AY175" s="148" t="str">
        <f t="shared" si="118"/>
        <v>CHILD CF - VEN 2-&gt;CHILD CF - USA 2</v>
      </c>
      <c r="AZ175" s="148" t="str">
        <f t="shared" si="119"/>
        <v>11/23/2017 10:30-&gt;CHILD CF - VEN 2</v>
      </c>
      <c r="BA175" s="148" t="str">
        <f t="shared" si="120"/>
        <v>11/23/2017 10:30-&gt;CHILD CF - USA 2</v>
      </c>
      <c r="BB175" s="374">
        <f t="shared" si="121"/>
        <v>1</v>
      </c>
      <c r="BC175" s="374">
        <f t="shared" si="122"/>
        <v>1</v>
      </c>
      <c r="BD175" s="148" t="str">
        <f t="shared" si="123"/>
        <v>no conflict</v>
      </c>
      <c r="BF175" s="148" t="str">
        <f t="shared" si="124"/>
        <v>11/23/2017 10:30-&gt;CHILD CF - VEN 2</v>
      </c>
      <c r="BG175" s="148" t="str">
        <f t="shared" si="125"/>
        <v>11/23/2017 10:30-&gt;CHILD CF - USA 2</v>
      </c>
      <c r="BH175" s="148" t="str">
        <f t="shared" si="126"/>
        <v>11/23/2017 10:30-&gt;Hillel - Volleyball Out</v>
      </c>
      <c r="BI175" s="148" t="str">
        <f t="shared" si="127"/>
        <v>Newcomb in Hillel - Volleyball Out (VEN2-USA2)</v>
      </c>
      <c r="BJ175" s="148" t="str">
        <f t="shared" si="128"/>
        <v>Ch C Female Newcomb-- CHILD CF - VEN 2 vs. CHILD CF - USA 2</v>
      </c>
      <c r="BK175" s="148" t="str">
        <f t="shared" si="129"/>
        <v>Newcomb</v>
      </c>
      <c r="BL175" s="148" t="str">
        <f t="shared" si="130"/>
        <v>CHILD CF - VEN 2</v>
      </c>
      <c r="BM175" s="148" t="str">
        <f t="shared" si="131"/>
        <v>CHILD CF - USA 2</v>
      </c>
      <c r="BN175" s="148" t="str">
        <f t="shared" si="132"/>
        <v>Round - 1</v>
      </c>
      <c r="BP175" s="148" t="str">
        <f t="shared" si="133"/>
        <v>no t, f, or sf</v>
      </c>
      <c r="BQ175" s="148" t="str">
        <f t="shared" si="134"/>
        <v/>
      </c>
    </row>
    <row r="176" spans="1:69" ht="15" customHeight="1" x14ac:dyDescent="0.2">
      <c r="A176" s="376">
        <v>174</v>
      </c>
      <c r="B176" s="319" t="s">
        <v>523</v>
      </c>
      <c r="C176" s="319" t="s">
        <v>518</v>
      </c>
      <c r="D176" s="376">
        <v>1</v>
      </c>
      <c r="E176" s="376">
        <v>1</v>
      </c>
      <c r="F176" s="315" t="s">
        <v>770</v>
      </c>
      <c r="G176" s="320">
        <v>43062</v>
      </c>
      <c r="H176" s="317">
        <v>0.57638888888888895</v>
      </c>
      <c r="I176" s="325" t="s">
        <v>770</v>
      </c>
      <c r="J176" s="319" t="s">
        <v>701</v>
      </c>
      <c r="K176" s="319">
        <v>33</v>
      </c>
      <c r="L176" s="433" t="s">
        <v>570</v>
      </c>
      <c r="M176" s="433">
        <v>33</v>
      </c>
      <c r="N176" s="433" t="s">
        <v>565</v>
      </c>
      <c r="O176" s="153" t="str">
        <f>IF(L176&lt;&gt;"",IFERROR(VLOOKUP(B176&amp;L176,Pools!$A$2:$D$130,3,FALSE),""),"")</f>
        <v/>
      </c>
      <c r="P176" s="388">
        <v>0</v>
      </c>
      <c r="Q176" s="388">
        <v>2</v>
      </c>
      <c r="R176" s="306" t="str">
        <f t="shared" si="90"/>
        <v>0-2</v>
      </c>
      <c r="S176" s="153"/>
      <c r="T176" s="148" t="str">
        <f t="shared" si="91"/>
        <v>Completed</v>
      </c>
      <c r="U176" s="153"/>
      <c r="V176" s="153"/>
      <c r="W176" s="387">
        <f t="shared" si="92"/>
        <v>-2</v>
      </c>
      <c r="X176" s="387">
        <f t="shared" si="93"/>
        <v>2</v>
      </c>
      <c r="Y176" s="301">
        <f t="shared" si="94"/>
        <v>0</v>
      </c>
      <c r="Z176" s="301">
        <f t="shared" si="95"/>
        <v>2</v>
      </c>
      <c r="AA176" s="323" t="str">
        <f>CONCATENATE("                x[team1,team2,sport,'",IF(OR(I176="x",I176=""),VLOOKUP('Schedule from TM'!J176,Tables!$P$3:$Q$33,2,FALSE),'Schedule from TM'!I176),",",J176,"','",IF(OR(F176="x",F176=""),VLOOKUP('Schedule from TM'!G176,Tables!$U$3:$V$14,2,FALSE),'Schedule from TM'!F176),",",TEXT(G176,"mm/dd/yyyy"),"','",TEXT(H176,"h:mm:ss AM/PM"),"'].ub=0.0      #",B176)</f>
        <v xml:space="preserve">                x[team1,team2,sport,'22,Hillel - Volleyball Out','11,11/23/2017','1:50:00 PM'].ub=0.0      #Ch C Female Newcomb</v>
      </c>
      <c r="AB176" s="301" t="str">
        <f t="shared" si="96"/>
        <v>,,Ch C Female Newcomb,,1,CHILD CF - VEN 2</v>
      </c>
      <c r="AC176" s="153" t="str">
        <f t="shared" si="97"/>
        <v>Ch C Female NewcombCHILD CF - VEN 2</v>
      </c>
      <c r="AD176" s="301" t="str">
        <f t="shared" si="98"/>
        <v>,,Ch C Female Newcomb,,1,CHILD CF - COL 1</v>
      </c>
      <c r="AE176" s="153" t="str">
        <f t="shared" si="99"/>
        <v>Ch C Female NewcombCHILD CF - COL 1</v>
      </c>
      <c r="AF176" s="383">
        <f t="shared" si="100"/>
        <v>0</v>
      </c>
      <c r="AG176" s="383">
        <f t="shared" si="101"/>
        <v>1</v>
      </c>
      <c r="AH176" s="383">
        <f t="shared" si="102"/>
        <v>0</v>
      </c>
      <c r="AI176" s="383">
        <f t="shared" si="103"/>
        <v>1</v>
      </c>
      <c r="AJ176" s="383">
        <f t="shared" si="104"/>
        <v>0</v>
      </c>
      <c r="AK176" s="383">
        <f t="shared" si="105"/>
        <v>0</v>
      </c>
      <c r="AM176" s="148" t="str">
        <f t="shared" si="106"/>
        <v>Schedulled</v>
      </c>
      <c r="AN176" s="148" t="str">
        <f t="shared" si="107"/>
        <v/>
      </c>
      <c r="AO176" s="156">
        <f t="shared" si="108"/>
        <v>43062.576388888891</v>
      </c>
      <c r="AP176" s="148" t="str">
        <f t="shared" si="109"/>
        <v>11/23/2017 13:50-&gt;Hillel - Volleyball Out</v>
      </c>
      <c r="AQ176" s="374">
        <f t="shared" si="110"/>
        <v>1</v>
      </c>
      <c r="AR176" s="148" t="str">
        <f t="shared" si="111"/>
        <v>VEN2</v>
      </c>
      <c r="AS176" s="148" t="str">
        <f t="shared" si="112"/>
        <v>COL1</v>
      </c>
      <c r="AT176" s="157" t="str">
        <f t="shared" si="113"/>
        <v>VEN2-COL1</v>
      </c>
      <c r="AU176" s="157" t="str">
        <f t="shared" si="114"/>
        <v xml:space="preserve">VEN2-COL1 </v>
      </c>
      <c r="AV176" s="157" t="str">
        <f t="shared" si="115"/>
        <v>CHILDREN C FEMALE</v>
      </c>
      <c r="AW176" s="157" t="str">
        <f t="shared" si="116"/>
        <v>Newcomb</v>
      </c>
      <c r="AX176" s="376">
        <f t="shared" si="117"/>
        <v>174</v>
      </c>
      <c r="AY176" s="148" t="str">
        <f t="shared" si="118"/>
        <v>CHILD CF - VEN 2-&gt;CHILD CF - COL 1</v>
      </c>
      <c r="AZ176" s="148" t="str">
        <f t="shared" si="119"/>
        <v>11/23/2017 13:50-&gt;CHILD CF - VEN 2</v>
      </c>
      <c r="BA176" s="148" t="str">
        <f t="shared" si="120"/>
        <v>11/23/2017 13:50-&gt;CHILD CF - COL 1</v>
      </c>
      <c r="BB176" s="374">
        <f t="shared" si="121"/>
        <v>1</v>
      </c>
      <c r="BC176" s="374">
        <f t="shared" si="122"/>
        <v>1</v>
      </c>
      <c r="BD176" s="148" t="str">
        <f t="shared" si="123"/>
        <v>no conflict</v>
      </c>
      <c r="BF176" s="148" t="str">
        <f t="shared" si="124"/>
        <v>11/23/2017 13:50-&gt;CHILD CF - VEN 2</v>
      </c>
      <c r="BG176" s="148" t="str">
        <f t="shared" si="125"/>
        <v>11/23/2017 13:50-&gt;CHILD CF - COL 1</v>
      </c>
      <c r="BH176" s="148" t="str">
        <f t="shared" si="126"/>
        <v>11/23/2017 13:50-&gt;Hillel - Volleyball Out</v>
      </c>
      <c r="BI176" s="148" t="str">
        <f t="shared" si="127"/>
        <v>Newcomb in Hillel - Volleyball Out (VEN2-COL1)</v>
      </c>
      <c r="BJ176" s="148" t="str">
        <f t="shared" si="128"/>
        <v>Ch C Female Newcomb-- CHILD CF - VEN 2 vs. CHILD CF - COL 1</v>
      </c>
      <c r="BK176" s="148" t="str">
        <f t="shared" si="129"/>
        <v>Newcomb</v>
      </c>
      <c r="BL176" s="148" t="str">
        <f t="shared" si="130"/>
        <v>CHILD CF - VEN 2</v>
      </c>
      <c r="BM176" s="148" t="str">
        <f t="shared" si="131"/>
        <v>CHILD CF - COL 1</v>
      </c>
      <c r="BN176" s="148" t="str">
        <f t="shared" si="132"/>
        <v>Round - 1</v>
      </c>
      <c r="BP176" s="148" t="str">
        <f t="shared" si="133"/>
        <v>no t, f, or sf</v>
      </c>
      <c r="BQ176" s="148" t="str">
        <f t="shared" si="134"/>
        <v/>
      </c>
    </row>
    <row r="177" spans="1:69" ht="15" customHeight="1" x14ac:dyDescent="0.2">
      <c r="A177" s="376">
        <v>175</v>
      </c>
      <c r="B177" s="444" t="s">
        <v>523</v>
      </c>
      <c r="C177" s="444" t="s">
        <v>518</v>
      </c>
      <c r="D177" s="451">
        <v>1</v>
      </c>
      <c r="E177" s="451">
        <v>1</v>
      </c>
      <c r="F177" s="315" t="s">
        <v>770</v>
      </c>
      <c r="G177" s="445">
        <v>43063</v>
      </c>
      <c r="H177" s="454">
        <v>0.36805555555555558</v>
      </c>
      <c r="I177" s="325" t="s">
        <v>770</v>
      </c>
      <c r="J177" s="444" t="s">
        <v>701</v>
      </c>
      <c r="K177" s="444">
        <v>33</v>
      </c>
      <c r="L177" s="433" t="s">
        <v>570</v>
      </c>
      <c r="M177" s="433">
        <v>33</v>
      </c>
      <c r="N177" s="433" t="s">
        <v>564</v>
      </c>
      <c r="O177" s="153" t="str">
        <f>IF(L177&lt;&gt;"",IFERROR(VLOOKUP(B177&amp;L177,Pools!$A$2:$D$130,3,FALSE),""),"")</f>
        <v/>
      </c>
      <c r="P177" s="388">
        <v>0</v>
      </c>
      <c r="Q177" s="388">
        <v>2</v>
      </c>
      <c r="R177" s="306" t="str">
        <f t="shared" si="90"/>
        <v>0-2</v>
      </c>
      <c r="S177" s="153"/>
      <c r="T177" s="148" t="str">
        <f t="shared" si="91"/>
        <v>Completed</v>
      </c>
      <c r="U177" s="153"/>
      <c r="V177" s="153"/>
      <c r="W177" s="387">
        <f t="shared" si="92"/>
        <v>-2</v>
      </c>
      <c r="X177" s="387">
        <f t="shared" si="93"/>
        <v>2</v>
      </c>
      <c r="Y177" s="301">
        <f t="shared" si="94"/>
        <v>0</v>
      </c>
      <c r="Z177" s="301">
        <f t="shared" si="95"/>
        <v>2</v>
      </c>
      <c r="AA177" s="323" t="str">
        <f>CONCATENATE("                x[team1,team2,sport,'",IF(OR(I177="x",I177=""),VLOOKUP('Schedule from TM'!J177,Tables!$P$3:$Q$33,2,FALSE),'Schedule from TM'!I177),",",J177,"','",IF(OR(F177="x",F177=""),VLOOKUP('Schedule from TM'!G177,Tables!$U$3:$V$14,2,FALSE),'Schedule from TM'!F177),",",TEXT(G177,"mm/dd/yyyy"),"','",TEXT(H177,"h:mm:ss AM/PM"),"'].ub=0.0      #",B177)</f>
        <v xml:space="preserve">                x[team1,team2,sport,'22,Hillel - Volleyball Out','11,11/24/2017','8:50:00 AM'].ub=0.0      #Ch C Female Newcomb</v>
      </c>
      <c r="AB177" s="301" t="str">
        <f t="shared" si="96"/>
        <v>,,Ch C Female Newcomb,,1,CHILD CF - VEN 2</v>
      </c>
      <c r="AC177" s="153" t="str">
        <f t="shared" si="97"/>
        <v>Ch C Female NewcombCHILD CF - VEN 2</v>
      </c>
      <c r="AD177" s="301" t="str">
        <f t="shared" si="98"/>
        <v>,,Ch C Female Newcomb,,1,CHILD CF - ARG 1</v>
      </c>
      <c r="AE177" s="153" t="str">
        <f t="shared" si="99"/>
        <v>Ch C Female NewcombCHILD CF - ARG 1</v>
      </c>
      <c r="AF177" s="383">
        <f t="shared" si="100"/>
        <v>0</v>
      </c>
      <c r="AG177" s="383">
        <f t="shared" si="101"/>
        <v>1</v>
      </c>
      <c r="AH177" s="383">
        <f t="shared" si="102"/>
        <v>0</v>
      </c>
      <c r="AI177" s="383">
        <f t="shared" si="103"/>
        <v>1</v>
      </c>
      <c r="AJ177" s="383">
        <f t="shared" si="104"/>
        <v>0</v>
      </c>
      <c r="AK177" s="383">
        <f t="shared" si="105"/>
        <v>0</v>
      </c>
      <c r="AM177" s="148" t="str">
        <f t="shared" si="106"/>
        <v>Schedulled</v>
      </c>
      <c r="AN177" s="148" t="str">
        <f t="shared" si="107"/>
        <v/>
      </c>
      <c r="AO177" s="156">
        <f t="shared" si="108"/>
        <v>43063.368055555555</v>
      </c>
      <c r="AP177" s="148" t="str">
        <f t="shared" si="109"/>
        <v>11/24/2017 08:50-&gt;Hillel - Volleyball Out</v>
      </c>
      <c r="AQ177" s="374">
        <f t="shared" si="110"/>
        <v>1</v>
      </c>
      <c r="AR177" s="148" t="str">
        <f t="shared" si="111"/>
        <v>VEN2</v>
      </c>
      <c r="AS177" s="148" t="str">
        <f t="shared" si="112"/>
        <v>ARG1</v>
      </c>
      <c r="AT177" s="157" t="str">
        <f t="shared" si="113"/>
        <v>VEN2-ARG1</v>
      </c>
      <c r="AU177" s="157" t="str">
        <f t="shared" si="114"/>
        <v xml:space="preserve">VEN2-ARG1 </v>
      </c>
      <c r="AV177" s="157" t="str">
        <f t="shared" si="115"/>
        <v>CHILDREN C FEMALE</v>
      </c>
      <c r="AW177" s="157" t="str">
        <f t="shared" si="116"/>
        <v>Newcomb</v>
      </c>
      <c r="AX177" s="376">
        <f t="shared" si="117"/>
        <v>175</v>
      </c>
      <c r="AY177" s="148" t="str">
        <f t="shared" si="118"/>
        <v>CHILD CF - VEN 2-&gt;CHILD CF - ARG 1</v>
      </c>
      <c r="AZ177" s="148" t="str">
        <f t="shared" si="119"/>
        <v>11/24/2017 08:50-&gt;CHILD CF - VEN 2</v>
      </c>
      <c r="BA177" s="148" t="str">
        <f t="shared" si="120"/>
        <v>11/24/2017 08:50-&gt;CHILD CF - ARG 1</v>
      </c>
      <c r="BB177" s="374">
        <f t="shared" si="121"/>
        <v>1</v>
      </c>
      <c r="BC177" s="374">
        <f t="shared" si="122"/>
        <v>1</v>
      </c>
      <c r="BD177" s="148" t="str">
        <f t="shared" si="123"/>
        <v>no conflict</v>
      </c>
      <c r="BF177" s="148" t="str">
        <f t="shared" si="124"/>
        <v>11/24/2017 08:50-&gt;CHILD CF - VEN 2</v>
      </c>
      <c r="BG177" s="148" t="str">
        <f t="shared" si="125"/>
        <v>11/24/2017 08:50-&gt;CHILD CF - ARG 1</v>
      </c>
      <c r="BH177" s="148" t="str">
        <f t="shared" si="126"/>
        <v>11/24/2017 08:50-&gt;Hillel - Volleyball Out</v>
      </c>
      <c r="BI177" s="148" t="str">
        <f t="shared" si="127"/>
        <v>Newcomb in Hillel - Volleyball Out (VEN2-ARG1)</v>
      </c>
      <c r="BJ177" s="148" t="str">
        <f t="shared" si="128"/>
        <v>Ch C Female Newcomb-- CHILD CF - VEN 2 vs. CHILD CF - ARG 1</v>
      </c>
      <c r="BK177" s="148" t="str">
        <f t="shared" si="129"/>
        <v>Newcomb</v>
      </c>
      <c r="BL177" s="148" t="str">
        <f t="shared" si="130"/>
        <v>CHILD CF - VEN 2</v>
      </c>
      <c r="BM177" s="148" t="str">
        <f t="shared" si="131"/>
        <v>CHILD CF - ARG 1</v>
      </c>
      <c r="BN177" s="148" t="str">
        <f t="shared" si="132"/>
        <v>Round - 1</v>
      </c>
      <c r="BP177" s="148" t="str">
        <f t="shared" si="133"/>
        <v>no t, f, or sf</v>
      </c>
      <c r="BQ177" s="148" t="str">
        <f t="shared" si="134"/>
        <v/>
      </c>
    </row>
    <row r="178" spans="1:69" ht="15" customHeight="1" x14ac:dyDescent="0.2">
      <c r="A178" s="376">
        <v>176</v>
      </c>
      <c r="B178" s="319" t="s">
        <v>523</v>
      </c>
      <c r="C178" s="319" t="s">
        <v>518</v>
      </c>
      <c r="D178" s="376">
        <v>1</v>
      </c>
      <c r="E178" s="376">
        <v>1</v>
      </c>
      <c r="F178" s="315" t="s">
        <v>770</v>
      </c>
      <c r="G178" s="320">
        <v>43063</v>
      </c>
      <c r="H178" s="454">
        <v>0.47222222222222227</v>
      </c>
      <c r="I178" s="325" t="s">
        <v>770</v>
      </c>
      <c r="J178" s="319" t="s">
        <v>701</v>
      </c>
      <c r="K178" s="319">
        <v>33</v>
      </c>
      <c r="L178" s="433" t="s">
        <v>567</v>
      </c>
      <c r="M178" s="433">
        <v>33</v>
      </c>
      <c r="N178" s="433" t="s">
        <v>564</v>
      </c>
      <c r="O178" s="153" t="str">
        <f>IF(L178&lt;&gt;"",IFERROR(VLOOKUP(B178&amp;L178,Pools!$A$2:$D$130,3,FALSE),""),"")</f>
        <v/>
      </c>
      <c r="P178" s="388">
        <v>2</v>
      </c>
      <c r="Q178" s="388">
        <v>1</v>
      </c>
      <c r="R178" s="306" t="str">
        <f t="shared" si="90"/>
        <v>2-1</v>
      </c>
      <c r="S178" s="153"/>
      <c r="T178" s="148" t="str">
        <f t="shared" si="91"/>
        <v>Completed</v>
      </c>
      <c r="U178" s="153"/>
      <c r="V178" s="153"/>
      <c r="W178" s="387">
        <f t="shared" si="92"/>
        <v>1</v>
      </c>
      <c r="X178" s="387">
        <f t="shared" si="93"/>
        <v>-1</v>
      </c>
      <c r="Y178" s="301">
        <f t="shared" si="94"/>
        <v>2</v>
      </c>
      <c r="Z178" s="301">
        <f t="shared" si="95"/>
        <v>0</v>
      </c>
      <c r="AA178" s="323" t="str">
        <f>CONCATENATE("                x[team1,team2,sport,'",IF(OR(I178="x",I178=""),VLOOKUP('Schedule from TM'!J178,Tables!$P$3:$Q$33,2,FALSE),'Schedule from TM'!I178),",",J178,"','",IF(OR(F178="x",F178=""),VLOOKUP('Schedule from TM'!G178,Tables!$U$3:$V$14,2,FALSE),'Schedule from TM'!F178),",",TEXT(G178,"mm/dd/yyyy"),"','",TEXT(H178,"h:mm:ss AM/PM"),"'].ub=0.0      #",B178)</f>
        <v xml:space="preserve">                x[team1,team2,sport,'22,Hillel - Volleyball Out','11,11/24/2017','11:20:00 AM'].ub=0.0      #Ch C Female Newcomb</v>
      </c>
      <c r="AB178" s="301" t="str">
        <f t="shared" si="96"/>
        <v>,,Ch C Female Newcomb,,1,CHILD CF - USA 1</v>
      </c>
      <c r="AC178" s="153" t="str">
        <f t="shared" si="97"/>
        <v>Ch C Female NewcombCHILD CF - USA 1</v>
      </c>
      <c r="AD178" s="301" t="str">
        <f t="shared" si="98"/>
        <v>,,Ch C Female Newcomb,,1,CHILD CF - ARG 1</v>
      </c>
      <c r="AE178" s="153" t="str">
        <f t="shared" si="99"/>
        <v>Ch C Female NewcombCHILD CF - ARG 1</v>
      </c>
      <c r="AF178" s="383">
        <f t="shared" si="100"/>
        <v>1</v>
      </c>
      <c r="AG178" s="383">
        <f t="shared" si="101"/>
        <v>0</v>
      </c>
      <c r="AH178" s="383">
        <f t="shared" si="102"/>
        <v>0</v>
      </c>
      <c r="AI178" s="383">
        <f t="shared" si="103"/>
        <v>0</v>
      </c>
      <c r="AJ178" s="383">
        <f t="shared" si="104"/>
        <v>1</v>
      </c>
      <c r="AK178" s="383">
        <f t="shared" si="105"/>
        <v>0</v>
      </c>
      <c r="AM178" s="148" t="str">
        <f t="shared" si="106"/>
        <v>Schedulled</v>
      </c>
      <c r="AN178" s="148" t="str">
        <f t="shared" si="107"/>
        <v/>
      </c>
      <c r="AO178" s="156">
        <f t="shared" si="108"/>
        <v>43063.472222222219</v>
      </c>
      <c r="AP178" s="148" t="str">
        <f t="shared" si="109"/>
        <v>11/24/2017 11:20-&gt;Hillel - Volleyball Out</v>
      </c>
      <c r="AQ178" s="374">
        <f t="shared" si="110"/>
        <v>1</v>
      </c>
      <c r="AR178" s="148" t="str">
        <f t="shared" si="111"/>
        <v>USA1</v>
      </c>
      <c r="AS178" s="148" t="str">
        <f t="shared" si="112"/>
        <v>ARG1</v>
      </c>
      <c r="AT178" s="157" t="str">
        <f t="shared" si="113"/>
        <v>USA1-ARG1</v>
      </c>
      <c r="AU178" s="157" t="str">
        <f t="shared" si="114"/>
        <v xml:space="preserve">USA1-ARG1 </v>
      </c>
      <c r="AV178" s="157" t="str">
        <f t="shared" si="115"/>
        <v>CHILDREN C FEMALE</v>
      </c>
      <c r="AW178" s="157" t="str">
        <f t="shared" si="116"/>
        <v>Newcomb</v>
      </c>
      <c r="AX178" s="376">
        <f t="shared" si="117"/>
        <v>176</v>
      </c>
      <c r="AY178" s="148" t="str">
        <f t="shared" si="118"/>
        <v>CHILD CF - USA 1-&gt;CHILD CF - ARG 1</v>
      </c>
      <c r="AZ178" s="148" t="str">
        <f t="shared" si="119"/>
        <v>11/24/2017 11:20-&gt;CHILD CF - USA 1</v>
      </c>
      <c r="BA178" s="148" t="str">
        <f t="shared" si="120"/>
        <v>11/24/2017 11:20-&gt;CHILD CF - ARG 1</v>
      </c>
      <c r="BB178" s="374">
        <f t="shared" si="121"/>
        <v>1</v>
      </c>
      <c r="BC178" s="374">
        <f t="shared" si="122"/>
        <v>1</v>
      </c>
      <c r="BD178" s="148" t="str">
        <f t="shared" si="123"/>
        <v>no conflict</v>
      </c>
      <c r="BF178" s="148" t="str">
        <f t="shared" si="124"/>
        <v>11/24/2017 11:20-&gt;CHILD CF - USA 1</v>
      </c>
      <c r="BG178" s="148" t="str">
        <f t="shared" si="125"/>
        <v>11/24/2017 11:20-&gt;CHILD CF - ARG 1</v>
      </c>
      <c r="BH178" s="148" t="str">
        <f t="shared" si="126"/>
        <v>11/24/2017 11:20-&gt;Hillel - Volleyball Out</v>
      </c>
      <c r="BI178" s="148" t="str">
        <f t="shared" si="127"/>
        <v>Newcomb in Hillel - Volleyball Out (USA1-ARG1)</v>
      </c>
      <c r="BJ178" s="148" t="str">
        <f t="shared" si="128"/>
        <v>Ch C Female Newcomb-- CHILD CF - USA 1 vs. CHILD CF - ARG 1</v>
      </c>
      <c r="BK178" s="148" t="str">
        <f t="shared" si="129"/>
        <v>Newcomb</v>
      </c>
      <c r="BL178" s="148" t="str">
        <f t="shared" si="130"/>
        <v>CHILD CF - USA 1</v>
      </c>
      <c r="BM178" s="148" t="str">
        <f t="shared" si="131"/>
        <v>CHILD CF - ARG 1</v>
      </c>
      <c r="BN178" s="148" t="str">
        <f t="shared" si="132"/>
        <v>Round - 1</v>
      </c>
      <c r="BP178" s="148" t="str">
        <f t="shared" si="133"/>
        <v>no t, f, or sf</v>
      </c>
      <c r="BQ178" s="148" t="str">
        <f t="shared" si="134"/>
        <v/>
      </c>
    </row>
    <row r="179" spans="1:69" ht="15" customHeight="1" x14ac:dyDescent="0.2">
      <c r="A179" s="376">
        <v>177</v>
      </c>
      <c r="B179" s="444" t="s">
        <v>523</v>
      </c>
      <c r="C179" s="444" t="s">
        <v>518</v>
      </c>
      <c r="D179" s="451">
        <v>1</v>
      </c>
      <c r="E179" s="451">
        <v>1</v>
      </c>
      <c r="F179" s="315" t="s">
        <v>770</v>
      </c>
      <c r="G179" s="445">
        <v>43065</v>
      </c>
      <c r="H179" s="454">
        <v>0.33333333333333331</v>
      </c>
      <c r="I179" s="325" t="s">
        <v>770</v>
      </c>
      <c r="J179" s="444" t="s">
        <v>701</v>
      </c>
      <c r="K179" s="315">
        <v>33</v>
      </c>
      <c r="L179" s="433" t="s">
        <v>569</v>
      </c>
      <c r="M179" s="433">
        <v>33</v>
      </c>
      <c r="N179" s="433" t="s">
        <v>565</v>
      </c>
      <c r="O179" s="153" t="str">
        <f>IF(L179&lt;&gt;"",IFERROR(VLOOKUP(B179&amp;L179,Pools!$A$2:$D$130,3,FALSE),""),"")</f>
        <v/>
      </c>
      <c r="P179" s="388">
        <v>0</v>
      </c>
      <c r="Q179" s="388">
        <v>2</v>
      </c>
      <c r="R179" s="306" t="str">
        <f t="shared" si="90"/>
        <v>0-2</v>
      </c>
      <c r="S179" s="153"/>
      <c r="T179" s="148" t="str">
        <f t="shared" si="91"/>
        <v>Completed</v>
      </c>
      <c r="U179" s="153"/>
      <c r="V179" s="153"/>
      <c r="W179" s="387">
        <f t="shared" si="92"/>
        <v>-2</v>
      </c>
      <c r="X179" s="387">
        <f t="shared" si="93"/>
        <v>2</v>
      </c>
      <c r="Y179" s="301">
        <f t="shared" si="94"/>
        <v>0</v>
      </c>
      <c r="Z179" s="301">
        <f t="shared" si="95"/>
        <v>2</v>
      </c>
      <c r="AA179" s="323" t="str">
        <f>CONCATENATE("                x[team1,team2,sport,'",IF(OR(I179="x",I179=""),VLOOKUP('Schedule from TM'!J179,Tables!$P$3:$Q$33,2,FALSE),'Schedule from TM'!I179),",",J179,"','",IF(OR(F179="x",F179=""),VLOOKUP('Schedule from TM'!G179,Tables!$U$3:$V$14,2,FALSE),'Schedule from TM'!F179),",",TEXT(G179,"mm/dd/yyyy"),"','",TEXT(H179,"h:mm:ss AM/PM"),"'].ub=0.0      #",B179)</f>
        <v xml:space="preserve">                x[team1,team2,sport,'22,Hillel - Volleyball Out','21,11/26/2017','8:00:00 AM'].ub=0.0      #Ch C Female Newcomb</v>
      </c>
      <c r="AB179" s="301" t="str">
        <f t="shared" si="96"/>
        <v>,,Ch C Female Newcomb,,1,CHILD CF - VEN 1</v>
      </c>
      <c r="AC179" s="153" t="str">
        <f t="shared" si="97"/>
        <v>Ch C Female NewcombCHILD CF - VEN 1</v>
      </c>
      <c r="AD179" s="301" t="str">
        <f t="shared" si="98"/>
        <v>,,Ch C Female Newcomb,,1,CHILD CF - COL 1</v>
      </c>
      <c r="AE179" s="153" t="str">
        <f t="shared" si="99"/>
        <v>Ch C Female NewcombCHILD CF - COL 1</v>
      </c>
      <c r="AF179" s="383">
        <f t="shared" si="100"/>
        <v>0</v>
      </c>
      <c r="AG179" s="383">
        <f t="shared" si="101"/>
        <v>1</v>
      </c>
      <c r="AH179" s="383">
        <f t="shared" si="102"/>
        <v>0</v>
      </c>
      <c r="AI179" s="383">
        <f t="shared" si="103"/>
        <v>1</v>
      </c>
      <c r="AJ179" s="383">
        <f t="shared" si="104"/>
        <v>0</v>
      </c>
      <c r="AK179" s="383">
        <f t="shared" si="105"/>
        <v>0</v>
      </c>
      <c r="AM179" s="148" t="str">
        <f t="shared" si="106"/>
        <v>Schedulled</v>
      </c>
      <c r="AN179" s="148" t="str">
        <f t="shared" si="107"/>
        <v/>
      </c>
      <c r="AO179" s="156">
        <f t="shared" si="108"/>
        <v>43065.333333333336</v>
      </c>
      <c r="AP179" s="148" t="str">
        <f t="shared" si="109"/>
        <v>11/26/2017 08:00-&gt;Hillel - Volleyball Out</v>
      </c>
      <c r="AQ179" s="374">
        <f t="shared" si="110"/>
        <v>1</v>
      </c>
      <c r="AR179" s="148" t="str">
        <f t="shared" si="111"/>
        <v>VEN1</v>
      </c>
      <c r="AS179" s="148" t="str">
        <f t="shared" si="112"/>
        <v>COL1</v>
      </c>
      <c r="AT179" s="157" t="str">
        <f t="shared" si="113"/>
        <v>VEN1-COL1</v>
      </c>
      <c r="AU179" s="157" t="str">
        <f t="shared" si="114"/>
        <v xml:space="preserve">VEN1-COL1 </v>
      </c>
      <c r="AV179" s="157" t="str">
        <f t="shared" si="115"/>
        <v>CHILDREN C FEMALE</v>
      </c>
      <c r="AW179" s="157" t="str">
        <f t="shared" si="116"/>
        <v>Newcomb</v>
      </c>
      <c r="AX179" s="376">
        <f t="shared" si="117"/>
        <v>177</v>
      </c>
      <c r="AY179" s="148" t="str">
        <f t="shared" si="118"/>
        <v>CHILD CF - VEN 1-&gt;CHILD CF - COL 1</v>
      </c>
      <c r="AZ179" s="148" t="str">
        <f t="shared" si="119"/>
        <v>11/26/2017 08:00-&gt;CHILD CF - VEN 1</v>
      </c>
      <c r="BA179" s="148" t="str">
        <f t="shared" si="120"/>
        <v>11/26/2017 08:00-&gt;CHILD CF - COL 1</v>
      </c>
      <c r="BB179" s="374">
        <f t="shared" si="121"/>
        <v>1</v>
      </c>
      <c r="BC179" s="374">
        <f t="shared" si="122"/>
        <v>1</v>
      </c>
      <c r="BD179" s="148" t="str">
        <f t="shared" si="123"/>
        <v>no conflict</v>
      </c>
      <c r="BF179" s="148" t="str">
        <f t="shared" si="124"/>
        <v>11/26/2017 08:00-&gt;CHILD CF - VEN 1</v>
      </c>
      <c r="BG179" s="148" t="str">
        <f t="shared" si="125"/>
        <v>11/26/2017 08:00-&gt;CHILD CF - COL 1</v>
      </c>
      <c r="BH179" s="148" t="str">
        <f t="shared" si="126"/>
        <v>11/26/2017 08:00-&gt;Hillel - Volleyball Out</v>
      </c>
      <c r="BI179" s="148" t="str">
        <f t="shared" si="127"/>
        <v>Newcomb in Hillel - Volleyball Out (VEN1-COL1)</v>
      </c>
      <c r="BJ179" s="148" t="str">
        <f t="shared" si="128"/>
        <v>Ch C Female Newcomb-- CHILD CF - VEN 1 vs. CHILD CF - COL 1</v>
      </c>
      <c r="BK179" s="148" t="str">
        <f t="shared" si="129"/>
        <v>Newcomb</v>
      </c>
      <c r="BL179" s="148" t="str">
        <f t="shared" si="130"/>
        <v>CHILD CF - VEN 1</v>
      </c>
      <c r="BM179" s="148" t="str">
        <f t="shared" si="131"/>
        <v>CHILD CF - COL 1</v>
      </c>
      <c r="BN179" s="148" t="str">
        <f t="shared" si="132"/>
        <v>Round - 1</v>
      </c>
      <c r="BP179" s="148" t="str">
        <f t="shared" si="133"/>
        <v>no t, f, or sf</v>
      </c>
      <c r="BQ179" s="148" t="str">
        <f t="shared" si="134"/>
        <v/>
      </c>
    </row>
    <row r="180" spans="1:69" ht="15" customHeight="1" x14ac:dyDescent="0.2">
      <c r="A180" s="376">
        <v>178</v>
      </c>
      <c r="B180" s="444" t="s">
        <v>523</v>
      </c>
      <c r="C180" s="444" t="s">
        <v>518</v>
      </c>
      <c r="D180" s="451">
        <v>1</v>
      </c>
      <c r="E180" s="451">
        <v>1</v>
      </c>
      <c r="F180" s="315" t="s">
        <v>770</v>
      </c>
      <c r="G180" s="445">
        <v>43065</v>
      </c>
      <c r="H180" s="454">
        <v>0.40277777777777773</v>
      </c>
      <c r="I180" s="325" t="s">
        <v>770</v>
      </c>
      <c r="J180" s="444" t="s">
        <v>701</v>
      </c>
      <c r="K180" s="315">
        <v>33</v>
      </c>
      <c r="L180" s="433" t="s">
        <v>569</v>
      </c>
      <c r="M180" s="433">
        <v>33</v>
      </c>
      <c r="N180" s="433" t="s">
        <v>568</v>
      </c>
      <c r="O180" s="153" t="str">
        <f>IF(L180&lt;&gt;"",IFERROR(VLOOKUP(B180&amp;L180,Pools!$A$2:$D$130,3,FALSE),""),"")</f>
        <v/>
      </c>
      <c r="P180" s="388">
        <v>0</v>
      </c>
      <c r="Q180" s="388">
        <v>2</v>
      </c>
      <c r="R180" s="306" t="str">
        <f t="shared" si="90"/>
        <v>0-2</v>
      </c>
      <c r="S180" s="153"/>
      <c r="T180" s="148" t="str">
        <f t="shared" si="91"/>
        <v>Completed</v>
      </c>
      <c r="U180" s="153"/>
      <c r="V180" s="153"/>
      <c r="W180" s="387">
        <f t="shared" si="92"/>
        <v>-2</v>
      </c>
      <c r="X180" s="387">
        <f t="shared" si="93"/>
        <v>2</v>
      </c>
      <c r="Y180" s="301">
        <f t="shared" si="94"/>
        <v>0</v>
      </c>
      <c r="Z180" s="301">
        <f t="shared" si="95"/>
        <v>2</v>
      </c>
      <c r="AA180" s="323" t="str">
        <f>CONCATENATE("                x[team1,team2,sport,'",IF(OR(I180="x",I180=""),VLOOKUP('Schedule from TM'!J180,Tables!$P$3:$Q$33,2,FALSE),'Schedule from TM'!I180),",",J180,"','",IF(OR(F180="x",F180=""),VLOOKUP('Schedule from TM'!G180,Tables!$U$3:$V$14,2,FALSE),'Schedule from TM'!F180),",",TEXT(G180,"mm/dd/yyyy"),"','",TEXT(H180,"h:mm:ss AM/PM"),"'].ub=0.0      #",B180)</f>
        <v xml:space="preserve">                x[team1,team2,sport,'22,Hillel - Volleyball Out','21,11/26/2017','9:40:00 AM'].ub=0.0      #Ch C Female Newcomb</v>
      </c>
      <c r="AB180" s="301" t="str">
        <f t="shared" si="96"/>
        <v>,,Ch C Female Newcomb,,1,CHILD CF - VEN 1</v>
      </c>
      <c r="AC180" s="153" t="str">
        <f t="shared" si="97"/>
        <v>Ch C Female NewcombCHILD CF - VEN 1</v>
      </c>
      <c r="AD180" s="301" t="str">
        <f t="shared" si="98"/>
        <v>,,Ch C Female Newcomb,,1,CHILD CF - USA 2</v>
      </c>
      <c r="AE180" s="153" t="str">
        <f t="shared" si="99"/>
        <v>Ch C Female NewcombCHILD CF - USA 2</v>
      </c>
      <c r="AF180" s="383">
        <f t="shared" si="100"/>
        <v>0</v>
      </c>
      <c r="AG180" s="383">
        <f t="shared" si="101"/>
        <v>1</v>
      </c>
      <c r="AH180" s="383">
        <f t="shared" si="102"/>
        <v>0</v>
      </c>
      <c r="AI180" s="383">
        <f t="shared" si="103"/>
        <v>1</v>
      </c>
      <c r="AJ180" s="383">
        <f t="shared" si="104"/>
        <v>0</v>
      </c>
      <c r="AK180" s="383">
        <f t="shared" si="105"/>
        <v>0</v>
      </c>
      <c r="AM180" s="148" t="str">
        <f t="shared" si="106"/>
        <v>Schedulled</v>
      </c>
      <c r="AN180" s="148" t="str">
        <f t="shared" si="107"/>
        <v/>
      </c>
      <c r="AO180" s="156">
        <f t="shared" si="108"/>
        <v>43065.402777777781</v>
      </c>
      <c r="AP180" s="148" t="str">
        <f t="shared" si="109"/>
        <v>11/26/2017 09:40-&gt;Hillel - Volleyball Out</v>
      </c>
      <c r="AQ180" s="374">
        <f t="shared" si="110"/>
        <v>1</v>
      </c>
      <c r="AR180" s="148" t="str">
        <f t="shared" si="111"/>
        <v>VEN1</v>
      </c>
      <c r="AS180" s="148" t="str">
        <f t="shared" si="112"/>
        <v>USA2</v>
      </c>
      <c r="AT180" s="157" t="str">
        <f t="shared" si="113"/>
        <v>VEN1-USA2</v>
      </c>
      <c r="AU180" s="157" t="str">
        <f t="shared" si="114"/>
        <v xml:space="preserve">VEN1-USA2 </v>
      </c>
      <c r="AV180" s="157" t="str">
        <f t="shared" si="115"/>
        <v>CHILDREN C FEMALE</v>
      </c>
      <c r="AW180" s="157" t="str">
        <f t="shared" si="116"/>
        <v>Newcomb</v>
      </c>
      <c r="AX180" s="376">
        <f t="shared" si="117"/>
        <v>178</v>
      </c>
      <c r="AY180" s="148" t="str">
        <f t="shared" si="118"/>
        <v>CHILD CF - VEN 1-&gt;CHILD CF - USA 2</v>
      </c>
      <c r="AZ180" s="148" t="str">
        <f t="shared" si="119"/>
        <v>11/26/2017 09:40-&gt;CHILD CF - VEN 1</v>
      </c>
      <c r="BA180" s="148" t="str">
        <f t="shared" si="120"/>
        <v>11/26/2017 09:40-&gt;CHILD CF - USA 2</v>
      </c>
      <c r="BB180" s="374">
        <f t="shared" si="121"/>
        <v>1</v>
      </c>
      <c r="BC180" s="374">
        <f t="shared" si="122"/>
        <v>1</v>
      </c>
      <c r="BD180" s="148" t="str">
        <f t="shared" si="123"/>
        <v>no conflict</v>
      </c>
      <c r="BF180" s="148" t="str">
        <f t="shared" si="124"/>
        <v>11/26/2017 09:40-&gt;CHILD CF - VEN 1</v>
      </c>
      <c r="BG180" s="148" t="str">
        <f t="shared" si="125"/>
        <v>11/26/2017 09:40-&gt;CHILD CF - USA 2</v>
      </c>
      <c r="BH180" s="148" t="str">
        <f t="shared" si="126"/>
        <v>11/26/2017 09:40-&gt;Hillel - Volleyball Out</v>
      </c>
      <c r="BI180" s="148" t="str">
        <f t="shared" si="127"/>
        <v>Newcomb in Hillel - Volleyball Out (VEN1-USA2)</v>
      </c>
      <c r="BJ180" s="148" t="str">
        <f t="shared" si="128"/>
        <v>Ch C Female Newcomb-- CHILD CF - VEN 1 vs. CHILD CF - USA 2</v>
      </c>
      <c r="BK180" s="148" t="str">
        <f t="shared" si="129"/>
        <v>Newcomb</v>
      </c>
      <c r="BL180" s="148" t="str">
        <f t="shared" si="130"/>
        <v>CHILD CF - VEN 1</v>
      </c>
      <c r="BM180" s="148" t="str">
        <f t="shared" si="131"/>
        <v>CHILD CF - USA 2</v>
      </c>
      <c r="BN180" s="148" t="str">
        <f t="shared" si="132"/>
        <v>Round - 1</v>
      </c>
      <c r="BP180" s="148" t="str">
        <f t="shared" si="133"/>
        <v>no t, f, or sf</v>
      </c>
      <c r="BQ180" s="148" t="str">
        <f t="shared" si="134"/>
        <v/>
      </c>
    </row>
    <row r="181" spans="1:69" ht="15" customHeight="1" x14ac:dyDescent="0.2">
      <c r="A181" s="376">
        <v>179</v>
      </c>
      <c r="B181" s="444" t="s">
        <v>44</v>
      </c>
      <c r="C181" s="444" t="s">
        <v>518</v>
      </c>
      <c r="D181" s="451">
        <v>1</v>
      </c>
      <c r="E181" s="451">
        <v>1</v>
      </c>
      <c r="F181" s="315" t="s">
        <v>770</v>
      </c>
      <c r="G181" s="445">
        <v>43058</v>
      </c>
      <c r="H181" s="317">
        <v>0.54166666666666663</v>
      </c>
      <c r="I181" s="325" t="s">
        <v>770</v>
      </c>
      <c r="J181" s="444" t="s">
        <v>709</v>
      </c>
      <c r="K181" s="315">
        <v>31</v>
      </c>
      <c r="L181" s="433" t="s">
        <v>572</v>
      </c>
      <c r="M181">
        <v>31</v>
      </c>
      <c r="N181" t="s">
        <v>578</v>
      </c>
      <c r="O181" s="153" t="str">
        <f>IF(L181&lt;&gt;"",IFERROR(VLOOKUP(B181&amp;L181,Pools!$A$2:$D$130,3,FALSE),""),"")</f>
        <v/>
      </c>
      <c r="P181" s="388">
        <v>11</v>
      </c>
      <c r="Q181" s="388">
        <v>6</v>
      </c>
      <c r="R181" s="306" t="str">
        <f t="shared" si="90"/>
        <v>11-6</v>
      </c>
      <c r="S181" s="153"/>
      <c r="T181" s="148" t="str">
        <f t="shared" si="91"/>
        <v>Completed</v>
      </c>
      <c r="U181" s="153"/>
      <c r="V181" s="153"/>
      <c r="W181" s="387">
        <f t="shared" si="92"/>
        <v>5</v>
      </c>
      <c r="X181" s="387">
        <f t="shared" si="93"/>
        <v>-5</v>
      </c>
      <c r="Y181" s="301">
        <f t="shared" si="94"/>
        <v>2</v>
      </c>
      <c r="Z181" s="301">
        <f t="shared" si="95"/>
        <v>0</v>
      </c>
      <c r="AA181" s="323" t="str">
        <f>CONCATENATE("                x[team1,team2,sport,'",IF(OR(I181="x",I181=""),VLOOKUP('Schedule from TM'!J181,Tables!$P$3:$Q$33,2,FALSE),'Schedule from TM'!I181),",",J181,"','",IF(OR(F181="x",F181=""),VLOOKUP('Schedule from TM'!G181,Tables!$U$3:$V$14,2,FALSE),'Schedule from TM'!F181),",",TEXT(G181,"mm/dd/yyyy"),"','",TEXT(H181,"h:mm:ss AM/PM"),"'].ub=0.0      #",B181)</f>
        <v xml:space="preserve">                x[team1,team2,sport,'11,JCC Basketball Out 2','11,11/19/2017','1:00:00 PM'].ub=0.0      #Ch C Male Basketball</v>
      </c>
      <c r="AB181" s="301" t="str">
        <f t="shared" si="96"/>
        <v>,,Ch C Male Basketball,,1,CHILD CM - ARG 1</v>
      </c>
      <c r="AC181" s="153" t="str">
        <f t="shared" si="97"/>
        <v>Ch C Male BasketballCHILD CM - ARG 1</v>
      </c>
      <c r="AD181" s="301" t="str">
        <f t="shared" si="98"/>
        <v>,,Ch C Male Basketball,,1,CHILD CM - USA 1</v>
      </c>
      <c r="AE181" s="153" t="str">
        <f t="shared" si="99"/>
        <v>Ch C Male BasketballCHILD CM - USA 1</v>
      </c>
      <c r="AF181" s="383">
        <f t="shared" si="100"/>
        <v>1</v>
      </c>
      <c r="AG181" s="383">
        <f t="shared" si="101"/>
        <v>0</v>
      </c>
      <c r="AH181" s="383">
        <f t="shared" si="102"/>
        <v>0</v>
      </c>
      <c r="AI181" s="383">
        <f t="shared" si="103"/>
        <v>0</v>
      </c>
      <c r="AJ181" s="383">
        <f t="shared" si="104"/>
        <v>1</v>
      </c>
      <c r="AK181" s="383">
        <f t="shared" si="105"/>
        <v>0</v>
      </c>
      <c r="AM181" s="148" t="str">
        <f t="shared" si="106"/>
        <v>Schedulled</v>
      </c>
      <c r="AN181" s="148" t="str">
        <f t="shared" si="107"/>
        <v/>
      </c>
      <c r="AO181" s="156">
        <f t="shared" si="108"/>
        <v>43058.541666666664</v>
      </c>
      <c r="AP181" s="148" t="str">
        <f t="shared" si="109"/>
        <v>11/19/2017 13:00-&gt;JCC Basketball Out 2</v>
      </c>
      <c r="AQ181" s="374">
        <f t="shared" si="110"/>
        <v>1</v>
      </c>
      <c r="AR181" s="148" t="str">
        <f t="shared" si="111"/>
        <v>ARG1</v>
      </c>
      <c r="AS181" s="148" t="str">
        <f t="shared" si="112"/>
        <v>USA1</v>
      </c>
      <c r="AT181" s="157" t="str">
        <f t="shared" si="113"/>
        <v>ARG1-USA1</v>
      </c>
      <c r="AU181" s="157" t="str">
        <f t="shared" si="114"/>
        <v xml:space="preserve">ARG1-USA1 </v>
      </c>
      <c r="AV181" s="157" t="str">
        <f t="shared" si="115"/>
        <v>CHILDREN C MALE</v>
      </c>
      <c r="AW181" s="157" t="str">
        <f t="shared" si="116"/>
        <v>Basketball</v>
      </c>
      <c r="AX181" s="376">
        <f t="shared" si="117"/>
        <v>179</v>
      </c>
      <c r="AY181" s="148" t="str">
        <f t="shared" si="118"/>
        <v>CHILD CM - ARG 1-&gt;CHILD CM - USA 1</v>
      </c>
      <c r="AZ181" s="148" t="str">
        <f t="shared" si="119"/>
        <v>11/19/2017 13:00-&gt;CHILD CM - ARG 1</v>
      </c>
      <c r="BA181" s="148" t="str">
        <f t="shared" si="120"/>
        <v>11/19/2017 13:00-&gt;CHILD CM - USA 1</v>
      </c>
      <c r="BB181" s="374">
        <f t="shared" si="121"/>
        <v>1</v>
      </c>
      <c r="BC181" s="374">
        <f t="shared" si="122"/>
        <v>1</v>
      </c>
      <c r="BD181" s="148" t="str">
        <f t="shared" si="123"/>
        <v>no conflict</v>
      </c>
      <c r="BF181" s="148" t="str">
        <f t="shared" si="124"/>
        <v>11/19/2017 13:00-&gt;CHILD CM - ARG 1</v>
      </c>
      <c r="BG181" s="148" t="str">
        <f t="shared" si="125"/>
        <v>11/19/2017 13:00-&gt;CHILD CM - USA 1</v>
      </c>
      <c r="BH181" s="148" t="str">
        <f t="shared" si="126"/>
        <v>11/19/2017 13:00-&gt;JCC Basketball Out 2</v>
      </c>
      <c r="BI181" s="148" t="str">
        <f t="shared" si="127"/>
        <v>Basketball in JCC Basketball Out 2 (ARG1-USA1)</v>
      </c>
      <c r="BJ181" s="148" t="str">
        <f t="shared" si="128"/>
        <v>Ch C Male Basketball-- CHILD CM - ARG 1 vs. CHILD CM - USA 1</v>
      </c>
      <c r="BK181" s="148" t="str">
        <f t="shared" si="129"/>
        <v>Basketball</v>
      </c>
      <c r="BL181" s="148" t="str">
        <f t="shared" si="130"/>
        <v>CHILD CM - ARG 1</v>
      </c>
      <c r="BM181" s="148" t="str">
        <f t="shared" si="131"/>
        <v>CHILD CM - USA 1</v>
      </c>
      <c r="BN181" s="148" t="str">
        <f t="shared" si="132"/>
        <v>Round - 1</v>
      </c>
      <c r="BP181" s="148" t="str">
        <f t="shared" si="133"/>
        <v>no t, f, or sf</v>
      </c>
      <c r="BQ181" s="148" t="str">
        <f t="shared" si="134"/>
        <v/>
      </c>
    </row>
    <row r="182" spans="1:69" ht="15" customHeight="1" x14ac:dyDescent="0.2">
      <c r="A182" s="376">
        <v>180</v>
      </c>
      <c r="B182" s="441" t="s">
        <v>44</v>
      </c>
      <c r="C182" s="441" t="s">
        <v>518</v>
      </c>
      <c r="D182" s="450">
        <v>1</v>
      </c>
      <c r="E182" s="450">
        <v>1</v>
      </c>
      <c r="F182" s="315" t="s">
        <v>770</v>
      </c>
      <c r="G182" s="320">
        <v>43062</v>
      </c>
      <c r="H182" s="318">
        <v>0.4375</v>
      </c>
      <c r="I182" s="325" t="s">
        <v>770</v>
      </c>
      <c r="J182" s="441" t="s">
        <v>709</v>
      </c>
      <c r="K182" s="441">
        <v>31</v>
      </c>
      <c r="L182" t="s">
        <v>574</v>
      </c>
      <c r="M182">
        <v>31</v>
      </c>
      <c r="N182" t="s">
        <v>581</v>
      </c>
      <c r="O182" s="153" t="str">
        <f>IF(L182&lt;&gt;"",IFERROR(VLOOKUP(B182&amp;L182,Pools!$A$2:$D$130,3,FALSE),""),"")</f>
        <v/>
      </c>
      <c r="P182" s="388">
        <v>2</v>
      </c>
      <c r="Q182" s="388">
        <v>12</v>
      </c>
      <c r="R182" s="306" t="str">
        <f t="shared" si="90"/>
        <v>2-12</v>
      </c>
      <c r="S182" s="153"/>
      <c r="T182" s="148" t="str">
        <f t="shared" si="91"/>
        <v>Completed</v>
      </c>
      <c r="U182" s="153"/>
      <c r="V182" s="153"/>
      <c r="W182" s="387">
        <f t="shared" si="92"/>
        <v>-10</v>
      </c>
      <c r="X182" s="387">
        <f t="shared" si="93"/>
        <v>10</v>
      </c>
      <c r="Y182" s="301">
        <f t="shared" si="94"/>
        <v>0</v>
      </c>
      <c r="Z182" s="301">
        <f t="shared" si="95"/>
        <v>2</v>
      </c>
      <c r="AA182" s="323" t="str">
        <f>CONCATENATE("                x[team1,team2,sport,'",IF(OR(I182="x",I182=""),VLOOKUP('Schedule from TM'!J182,Tables!$P$3:$Q$33,2,FALSE),'Schedule from TM'!I182),",",J182,"','",IF(OR(F182="x",F182=""),VLOOKUP('Schedule from TM'!G182,Tables!$U$3:$V$14,2,FALSE),'Schedule from TM'!F182),",",TEXT(G182,"mm/dd/yyyy"),"','",TEXT(H182,"h:mm:ss AM/PM"),"'].ub=0.0      #",B182)</f>
        <v xml:space="preserve">                x[team1,team2,sport,'11,JCC Basketball Out 2','11,11/23/2017','10:30:00 AM'].ub=0.0      #Ch C Male Basketball</v>
      </c>
      <c r="AB182" s="301" t="str">
        <f t="shared" si="96"/>
        <v>,,Ch C Male Basketball,,1,CHILD CM - COL 1</v>
      </c>
      <c r="AC182" s="153" t="str">
        <f t="shared" si="97"/>
        <v>Ch C Male BasketballCHILD CM - COL 1</v>
      </c>
      <c r="AD182" s="301" t="str">
        <f t="shared" si="98"/>
        <v>,,Ch C Male Basketball,,1,CHILD CM - VEN 2</v>
      </c>
      <c r="AE182" s="153" t="str">
        <f t="shared" si="99"/>
        <v>Ch C Male BasketballCHILD CM - VEN 2</v>
      </c>
      <c r="AF182" s="383">
        <f t="shared" si="100"/>
        <v>0</v>
      </c>
      <c r="AG182" s="383">
        <f t="shared" si="101"/>
        <v>1</v>
      </c>
      <c r="AH182" s="383">
        <f t="shared" si="102"/>
        <v>0</v>
      </c>
      <c r="AI182" s="383">
        <f t="shared" si="103"/>
        <v>1</v>
      </c>
      <c r="AJ182" s="383">
        <f t="shared" si="104"/>
        <v>0</v>
      </c>
      <c r="AK182" s="383">
        <f t="shared" si="105"/>
        <v>0</v>
      </c>
      <c r="AM182" s="148" t="str">
        <f t="shared" si="106"/>
        <v>Schedulled</v>
      </c>
      <c r="AN182" s="148" t="str">
        <f t="shared" si="107"/>
        <v/>
      </c>
      <c r="AO182" s="156">
        <f t="shared" si="108"/>
        <v>43062.4375</v>
      </c>
      <c r="AP182" s="148" t="str">
        <f t="shared" si="109"/>
        <v>11/23/2017 10:30-&gt;JCC Basketball Out 2</v>
      </c>
      <c r="AQ182" s="374">
        <f t="shared" si="110"/>
        <v>1</v>
      </c>
      <c r="AR182" s="148" t="str">
        <f t="shared" si="111"/>
        <v>COL1</v>
      </c>
      <c r="AS182" s="148" t="str">
        <f t="shared" si="112"/>
        <v>VEN2</v>
      </c>
      <c r="AT182" s="157" t="str">
        <f t="shared" si="113"/>
        <v>COL1-VEN2</v>
      </c>
      <c r="AU182" s="157" t="str">
        <f t="shared" si="114"/>
        <v xml:space="preserve">COL1-VEN2 </v>
      </c>
      <c r="AV182" s="157" t="str">
        <f t="shared" si="115"/>
        <v>CHILDREN C MALE</v>
      </c>
      <c r="AW182" s="157" t="str">
        <f t="shared" si="116"/>
        <v>Basketball</v>
      </c>
      <c r="AX182" s="376">
        <f t="shared" si="117"/>
        <v>180</v>
      </c>
      <c r="AY182" s="148" t="str">
        <f t="shared" si="118"/>
        <v>CHILD CM - COL 1-&gt;CHILD CM - VEN 2</v>
      </c>
      <c r="AZ182" s="148" t="str">
        <f t="shared" si="119"/>
        <v>11/23/2017 10:30-&gt;CHILD CM - COL 1</v>
      </c>
      <c r="BA182" s="148" t="str">
        <f t="shared" si="120"/>
        <v>11/23/2017 10:30-&gt;CHILD CM - VEN 2</v>
      </c>
      <c r="BB182" s="374">
        <f t="shared" si="121"/>
        <v>1</v>
      </c>
      <c r="BC182" s="374">
        <f t="shared" si="122"/>
        <v>1</v>
      </c>
      <c r="BD182" s="148" t="str">
        <f t="shared" si="123"/>
        <v>no conflict</v>
      </c>
      <c r="BF182" s="148" t="str">
        <f t="shared" si="124"/>
        <v>11/23/2017 10:30-&gt;CHILD CM - COL 1</v>
      </c>
      <c r="BG182" s="148" t="str">
        <f t="shared" si="125"/>
        <v>11/23/2017 10:30-&gt;CHILD CM - VEN 2</v>
      </c>
      <c r="BH182" s="148" t="str">
        <f t="shared" si="126"/>
        <v>11/23/2017 10:30-&gt;JCC Basketball Out 2</v>
      </c>
      <c r="BI182" s="148" t="str">
        <f t="shared" si="127"/>
        <v>Basketball in JCC Basketball Out 2 (COL1-VEN2)</v>
      </c>
      <c r="BJ182" s="148" t="str">
        <f t="shared" si="128"/>
        <v>Ch C Male Basketball-- CHILD CM - COL 1 vs. CHILD CM - VEN 2</v>
      </c>
      <c r="BK182" s="148" t="str">
        <f t="shared" si="129"/>
        <v>Basketball</v>
      </c>
      <c r="BL182" s="148" t="str">
        <f t="shared" si="130"/>
        <v>CHILD CM - COL 1</v>
      </c>
      <c r="BM182" s="148" t="str">
        <f t="shared" si="131"/>
        <v>CHILD CM - VEN 2</v>
      </c>
      <c r="BN182" s="148" t="str">
        <f t="shared" si="132"/>
        <v>Round - 1</v>
      </c>
      <c r="BP182" s="148" t="str">
        <f t="shared" si="133"/>
        <v>no t, f, or sf</v>
      </c>
      <c r="BQ182" s="148" t="str">
        <f t="shared" si="134"/>
        <v/>
      </c>
    </row>
    <row r="183" spans="1:69" ht="15" customHeight="1" x14ac:dyDescent="0.2">
      <c r="A183" s="376">
        <v>181</v>
      </c>
      <c r="B183" s="319" t="s">
        <v>44</v>
      </c>
      <c r="C183" s="319" t="s">
        <v>518</v>
      </c>
      <c r="D183" s="376">
        <v>1</v>
      </c>
      <c r="E183" s="376">
        <v>1</v>
      </c>
      <c r="F183" s="315" t="s">
        <v>770</v>
      </c>
      <c r="G183" s="320">
        <v>43062</v>
      </c>
      <c r="H183" s="318">
        <v>0.47222222222222227</v>
      </c>
      <c r="I183" s="325" t="s">
        <v>770</v>
      </c>
      <c r="J183" s="319" t="s">
        <v>709</v>
      </c>
      <c r="K183" s="319">
        <v>31</v>
      </c>
      <c r="L183" t="s">
        <v>580</v>
      </c>
      <c r="M183">
        <v>31</v>
      </c>
      <c r="N183" t="s">
        <v>573</v>
      </c>
      <c r="O183" s="153" t="str">
        <f>IF(L183&lt;&gt;"",IFERROR(VLOOKUP(B183&amp;L183,Pools!$A$2:$D$130,3,FALSE),""),"")</f>
        <v/>
      </c>
      <c r="P183" s="388">
        <v>10</v>
      </c>
      <c r="Q183" s="388">
        <v>0</v>
      </c>
      <c r="R183" s="306" t="str">
        <f t="shared" si="90"/>
        <v>10-0</v>
      </c>
      <c r="S183" s="153"/>
      <c r="T183" s="148" t="str">
        <f t="shared" si="91"/>
        <v>Completed</v>
      </c>
      <c r="U183" s="153"/>
      <c r="V183" s="153"/>
      <c r="W183" s="387">
        <f t="shared" si="92"/>
        <v>10</v>
      </c>
      <c r="X183" s="387">
        <f t="shared" si="93"/>
        <v>-10</v>
      </c>
      <c r="Y183" s="301">
        <f t="shared" si="94"/>
        <v>2</v>
      </c>
      <c r="Z183" s="301">
        <f t="shared" si="95"/>
        <v>0</v>
      </c>
      <c r="AA183" s="323" t="str">
        <f>CONCATENATE("                x[team1,team2,sport,'",IF(OR(I183="x",I183=""),VLOOKUP('Schedule from TM'!J183,Tables!$P$3:$Q$33,2,FALSE),'Schedule from TM'!I183),",",J183,"','",IF(OR(F183="x",F183=""),VLOOKUP('Schedule from TM'!G183,Tables!$U$3:$V$14,2,FALSE),'Schedule from TM'!F183),",",TEXT(G183,"mm/dd/yyyy"),"','",TEXT(H183,"h:mm:ss AM/PM"),"'].ub=0.0      #",B183)</f>
        <v xml:space="preserve">                x[team1,team2,sport,'11,JCC Basketball Out 2','11,11/23/2017','11:20:00 AM'].ub=0.0      #Ch C Male Basketball</v>
      </c>
      <c r="AB183" s="301" t="str">
        <f t="shared" si="96"/>
        <v>,,Ch C Male Basketball,,1,CHILD CM - VEN 1</v>
      </c>
      <c r="AC183" s="153" t="str">
        <f t="shared" si="97"/>
        <v>Ch C Male BasketballCHILD CM - VEN 1</v>
      </c>
      <c r="AD183" s="301" t="str">
        <f t="shared" si="98"/>
        <v>,,Ch C Male Basketball,,1,CHILD CM - ARG 2</v>
      </c>
      <c r="AE183" s="153" t="str">
        <f t="shared" si="99"/>
        <v>Ch C Male BasketballCHILD CM - ARG 2</v>
      </c>
      <c r="AF183" s="383">
        <f t="shared" si="100"/>
        <v>1</v>
      </c>
      <c r="AG183" s="383">
        <f t="shared" si="101"/>
        <v>0</v>
      </c>
      <c r="AH183" s="383">
        <f t="shared" si="102"/>
        <v>0</v>
      </c>
      <c r="AI183" s="383">
        <f t="shared" si="103"/>
        <v>0</v>
      </c>
      <c r="AJ183" s="383">
        <f t="shared" si="104"/>
        <v>1</v>
      </c>
      <c r="AK183" s="383">
        <f t="shared" si="105"/>
        <v>0</v>
      </c>
      <c r="AM183" s="148" t="str">
        <f t="shared" si="106"/>
        <v>Schedulled</v>
      </c>
      <c r="AN183" s="148" t="str">
        <f t="shared" si="107"/>
        <v/>
      </c>
      <c r="AO183" s="156">
        <f t="shared" si="108"/>
        <v>43062.472222222219</v>
      </c>
      <c r="AP183" s="148" t="str">
        <f t="shared" si="109"/>
        <v>11/23/2017 11:20-&gt;JCC Basketball Out 2</v>
      </c>
      <c r="AQ183" s="374">
        <f t="shared" si="110"/>
        <v>1</v>
      </c>
      <c r="AR183" s="148" t="str">
        <f t="shared" si="111"/>
        <v>VEN1</v>
      </c>
      <c r="AS183" s="148" t="str">
        <f t="shared" si="112"/>
        <v>ARG2</v>
      </c>
      <c r="AT183" s="157" t="str">
        <f t="shared" si="113"/>
        <v>VEN1-ARG2</v>
      </c>
      <c r="AU183" s="157" t="str">
        <f t="shared" si="114"/>
        <v xml:space="preserve">VEN1-ARG2 </v>
      </c>
      <c r="AV183" s="157" t="str">
        <f t="shared" si="115"/>
        <v>CHILDREN C MALE</v>
      </c>
      <c r="AW183" s="157" t="str">
        <f t="shared" si="116"/>
        <v>Basketball</v>
      </c>
      <c r="AX183" s="376">
        <f t="shared" si="117"/>
        <v>181</v>
      </c>
      <c r="AY183" s="148" t="str">
        <f t="shared" si="118"/>
        <v>CHILD CM - VEN 1-&gt;CHILD CM - ARG 2</v>
      </c>
      <c r="AZ183" s="148" t="str">
        <f t="shared" si="119"/>
        <v>11/23/2017 11:20-&gt;CHILD CM - VEN 1</v>
      </c>
      <c r="BA183" s="148" t="str">
        <f t="shared" si="120"/>
        <v>11/23/2017 11:20-&gt;CHILD CM - ARG 2</v>
      </c>
      <c r="BB183" s="374">
        <f t="shared" si="121"/>
        <v>1</v>
      </c>
      <c r="BC183" s="374">
        <f t="shared" si="122"/>
        <v>1</v>
      </c>
      <c r="BD183" s="148" t="str">
        <f t="shared" si="123"/>
        <v>no conflict</v>
      </c>
      <c r="BF183" s="148" t="str">
        <f t="shared" si="124"/>
        <v>11/23/2017 11:20-&gt;CHILD CM - VEN 1</v>
      </c>
      <c r="BG183" s="148" t="str">
        <f t="shared" si="125"/>
        <v>11/23/2017 11:20-&gt;CHILD CM - ARG 2</v>
      </c>
      <c r="BH183" s="148" t="str">
        <f t="shared" si="126"/>
        <v>11/23/2017 11:20-&gt;JCC Basketball Out 2</v>
      </c>
      <c r="BI183" s="148" t="str">
        <f t="shared" si="127"/>
        <v>Basketball in JCC Basketball Out 2 (VEN1-ARG2)</v>
      </c>
      <c r="BJ183" s="148" t="str">
        <f t="shared" si="128"/>
        <v>Ch C Male Basketball-- CHILD CM - VEN 1 vs. CHILD CM - ARG 2</v>
      </c>
      <c r="BK183" s="148" t="str">
        <f t="shared" si="129"/>
        <v>Basketball</v>
      </c>
      <c r="BL183" s="148" t="str">
        <f t="shared" si="130"/>
        <v>CHILD CM - VEN 1</v>
      </c>
      <c r="BM183" s="148" t="str">
        <f t="shared" si="131"/>
        <v>CHILD CM - ARG 2</v>
      </c>
      <c r="BN183" s="148" t="str">
        <f t="shared" si="132"/>
        <v>Round - 1</v>
      </c>
      <c r="BP183" s="148" t="str">
        <f t="shared" si="133"/>
        <v>no t, f, or sf</v>
      </c>
      <c r="BQ183" s="148" t="str">
        <f t="shared" si="134"/>
        <v/>
      </c>
    </row>
    <row r="184" spans="1:69" ht="15" customHeight="1" x14ac:dyDescent="0.2">
      <c r="A184" s="376">
        <v>182</v>
      </c>
      <c r="B184" s="444" t="s">
        <v>44</v>
      </c>
      <c r="C184" s="444" t="s">
        <v>518</v>
      </c>
      <c r="D184" s="451">
        <v>1</v>
      </c>
      <c r="E184" s="451">
        <v>1</v>
      </c>
      <c r="F184" s="315" t="s">
        <v>770</v>
      </c>
      <c r="G184" s="445">
        <v>43062</v>
      </c>
      <c r="H184" s="317">
        <v>0.54166666666666663</v>
      </c>
      <c r="I184" s="325" t="s">
        <v>770</v>
      </c>
      <c r="J184" s="444" t="s">
        <v>709</v>
      </c>
      <c r="K184" s="444">
        <v>31</v>
      </c>
      <c r="L184" t="s">
        <v>572</v>
      </c>
      <c r="M184">
        <v>31</v>
      </c>
      <c r="N184" t="s">
        <v>580</v>
      </c>
      <c r="O184" s="153" t="str">
        <f>IF(L184&lt;&gt;"",IFERROR(VLOOKUP(B184&amp;L184,Pools!$A$2:$D$130,3,FALSE),""),"")</f>
        <v/>
      </c>
      <c r="P184" s="388">
        <v>4</v>
      </c>
      <c r="Q184" s="388">
        <v>6</v>
      </c>
      <c r="R184" s="306" t="str">
        <f t="shared" si="90"/>
        <v>4-6</v>
      </c>
      <c r="S184" s="153"/>
      <c r="T184" s="148" t="str">
        <f t="shared" si="91"/>
        <v>Completed</v>
      </c>
      <c r="U184" s="153"/>
      <c r="V184" s="153"/>
      <c r="W184" s="387">
        <f t="shared" si="92"/>
        <v>-2</v>
      </c>
      <c r="X184" s="387">
        <f t="shared" si="93"/>
        <v>2</v>
      </c>
      <c r="Y184" s="301">
        <f t="shared" si="94"/>
        <v>0</v>
      </c>
      <c r="Z184" s="301">
        <f t="shared" si="95"/>
        <v>2</v>
      </c>
      <c r="AA184" s="323" t="str">
        <f>CONCATENATE("                x[team1,team2,sport,'",IF(OR(I184="x",I184=""),VLOOKUP('Schedule from TM'!J184,Tables!$P$3:$Q$33,2,FALSE),'Schedule from TM'!I184),",",J184,"','",IF(OR(F184="x",F184=""),VLOOKUP('Schedule from TM'!G184,Tables!$U$3:$V$14,2,FALSE),'Schedule from TM'!F184),",",TEXT(G184,"mm/dd/yyyy"),"','",TEXT(H184,"h:mm:ss AM/PM"),"'].ub=0.0      #",B184)</f>
        <v xml:space="preserve">                x[team1,team2,sport,'11,JCC Basketball Out 2','11,11/23/2017','1:00:00 PM'].ub=0.0      #Ch C Male Basketball</v>
      </c>
      <c r="AB184" s="301" t="str">
        <f t="shared" si="96"/>
        <v>,,Ch C Male Basketball,,1,CHILD CM - ARG 1</v>
      </c>
      <c r="AC184" s="153" t="str">
        <f t="shared" si="97"/>
        <v>Ch C Male BasketballCHILD CM - ARG 1</v>
      </c>
      <c r="AD184" s="301" t="str">
        <f t="shared" si="98"/>
        <v>,,Ch C Male Basketball,,1,CHILD CM - VEN 1</v>
      </c>
      <c r="AE184" s="153" t="str">
        <f t="shared" si="99"/>
        <v>Ch C Male BasketballCHILD CM - VEN 1</v>
      </c>
      <c r="AF184" s="383">
        <f t="shared" si="100"/>
        <v>0</v>
      </c>
      <c r="AG184" s="383">
        <f t="shared" si="101"/>
        <v>1</v>
      </c>
      <c r="AH184" s="383">
        <f t="shared" si="102"/>
        <v>0</v>
      </c>
      <c r="AI184" s="383">
        <f t="shared" si="103"/>
        <v>1</v>
      </c>
      <c r="AJ184" s="383">
        <f t="shared" si="104"/>
        <v>0</v>
      </c>
      <c r="AK184" s="383">
        <f t="shared" si="105"/>
        <v>0</v>
      </c>
      <c r="AM184" s="148" t="str">
        <f t="shared" si="106"/>
        <v>Schedulled</v>
      </c>
      <c r="AN184" s="148" t="str">
        <f t="shared" si="107"/>
        <v/>
      </c>
      <c r="AO184" s="156">
        <f t="shared" si="108"/>
        <v>43062.541666666664</v>
      </c>
      <c r="AP184" s="148" t="str">
        <f t="shared" si="109"/>
        <v>11/23/2017 13:00-&gt;JCC Basketball Out 2</v>
      </c>
      <c r="AQ184" s="374">
        <f t="shared" si="110"/>
        <v>1</v>
      </c>
      <c r="AR184" s="148" t="str">
        <f t="shared" si="111"/>
        <v>ARG1</v>
      </c>
      <c r="AS184" s="148" t="str">
        <f t="shared" si="112"/>
        <v>VEN1</v>
      </c>
      <c r="AT184" s="157" t="str">
        <f t="shared" si="113"/>
        <v>ARG1-VEN1</v>
      </c>
      <c r="AU184" s="157" t="str">
        <f t="shared" si="114"/>
        <v xml:space="preserve">ARG1-VEN1 </v>
      </c>
      <c r="AV184" s="157" t="str">
        <f t="shared" si="115"/>
        <v>CHILDREN C MALE</v>
      </c>
      <c r="AW184" s="157" t="str">
        <f t="shared" si="116"/>
        <v>Basketball</v>
      </c>
      <c r="AX184" s="376">
        <f t="shared" si="117"/>
        <v>182</v>
      </c>
      <c r="AY184" s="148" t="str">
        <f t="shared" si="118"/>
        <v>CHILD CM - ARG 1-&gt;CHILD CM - VEN 1</v>
      </c>
      <c r="AZ184" s="148" t="str">
        <f t="shared" si="119"/>
        <v>11/23/2017 13:00-&gt;CHILD CM - ARG 1</v>
      </c>
      <c r="BA184" s="148" t="str">
        <f t="shared" si="120"/>
        <v>11/23/2017 13:00-&gt;CHILD CM - VEN 1</v>
      </c>
      <c r="BB184" s="374">
        <f t="shared" si="121"/>
        <v>1</v>
      </c>
      <c r="BC184" s="374">
        <f t="shared" si="122"/>
        <v>1</v>
      </c>
      <c r="BD184" s="148" t="str">
        <f t="shared" si="123"/>
        <v>no conflict</v>
      </c>
      <c r="BF184" s="148" t="str">
        <f t="shared" si="124"/>
        <v>11/23/2017 13:00-&gt;CHILD CM - ARG 1</v>
      </c>
      <c r="BG184" s="148" t="str">
        <f t="shared" si="125"/>
        <v>11/23/2017 13:00-&gt;CHILD CM - VEN 1</v>
      </c>
      <c r="BH184" s="148" t="str">
        <f t="shared" si="126"/>
        <v>11/23/2017 13:00-&gt;JCC Basketball Out 2</v>
      </c>
      <c r="BI184" s="148" t="str">
        <f t="shared" si="127"/>
        <v>Basketball in JCC Basketball Out 2 (ARG1-VEN1)</v>
      </c>
      <c r="BJ184" s="148" t="str">
        <f t="shared" si="128"/>
        <v>Ch C Male Basketball-- CHILD CM - ARG 1 vs. CHILD CM - VEN 1</v>
      </c>
      <c r="BK184" s="148" t="str">
        <f t="shared" si="129"/>
        <v>Basketball</v>
      </c>
      <c r="BL184" s="148" t="str">
        <f t="shared" si="130"/>
        <v>CHILD CM - ARG 1</v>
      </c>
      <c r="BM184" s="148" t="str">
        <f t="shared" si="131"/>
        <v>CHILD CM - VEN 1</v>
      </c>
      <c r="BN184" s="148" t="str">
        <f t="shared" si="132"/>
        <v>Round - 1</v>
      </c>
      <c r="BP184" s="148" t="str">
        <f t="shared" si="133"/>
        <v>no t, f, or sf</v>
      </c>
      <c r="BQ184" s="148" t="str">
        <f t="shared" si="134"/>
        <v/>
      </c>
    </row>
    <row r="185" spans="1:69" ht="15" customHeight="1" x14ac:dyDescent="0.2">
      <c r="A185" s="376">
        <v>183</v>
      </c>
      <c r="B185" s="444" t="s">
        <v>44</v>
      </c>
      <c r="C185" s="444" t="s">
        <v>518</v>
      </c>
      <c r="D185" s="451">
        <v>1</v>
      </c>
      <c r="E185" s="451">
        <v>1</v>
      </c>
      <c r="F185" s="315" t="s">
        <v>770</v>
      </c>
      <c r="G185" s="445">
        <v>43063</v>
      </c>
      <c r="H185" s="454">
        <v>0.36805555555555558</v>
      </c>
      <c r="I185" s="325" t="s">
        <v>770</v>
      </c>
      <c r="J185" s="444" t="s">
        <v>709</v>
      </c>
      <c r="K185" s="444">
        <v>31</v>
      </c>
      <c r="L185" t="s">
        <v>581</v>
      </c>
      <c r="M185">
        <v>31</v>
      </c>
      <c r="N185" t="s">
        <v>573</v>
      </c>
      <c r="O185" s="153" t="str">
        <f>IF(L185&lt;&gt;"",IFERROR(VLOOKUP(B185&amp;L185,Pools!$A$2:$D$130,3,FALSE),""),"")</f>
        <v/>
      </c>
      <c r="P185" s="388">
        <v>12</v>
      </c>
      <c r="Q185" s="388">
        <v>4</v>
      </c>
      <c r="R185" s="306" t="str">
        <f t="shared" si="90"/>
        <v>12-4</v>
      </c>
      <c r="S185" s="153"/>
      <c r="T185" s="148" t="str">
        <f t="shared" si="91"/>
        <v>Completed</v>
      </c>
      <c r="U185" s="153"/>
      <c r="V185" s="153"/>
      <c r="W185" s="387">
        <f t="shared" si="92"/>
        <v>8</v>
      </c>
      <c r="X185" s="387">
        <f t="shared" si="93"/>
        <v>-8</v>
      </c>
      <c r="Y185" s="301">
        <f t="shared" si="94"/>
        <v>2</v>
      </c>
      <c r="Z185" s="301">
        <f t="shared" si="95"/>
        <v>0</v>
      </c>
      <c r="AA185" s="323" t="str">
        <f>CONCATENATE("                x[team1,team2,sport,'",IF(OR(I185="x",I185=""),VLOOKUP('Schedule from TM'!J185,Tables!$P$3:$Q$33,2,FALSE),'Schedule from TM'!I185),",",J185,"','",IF(OR(F185="x",F185=""),VLOOKUP('Schedule from TM'!G185,Tables!$U$3:$V$14,2,FALSE),'Schedule from TM'!F185),",",TEXT(G185,"mm/dd/yyyy"),"','",TEXT(H185,"h:mm:ss AM/PM"),"'].ub=0.0      #",B185)</f>
        <v xml:space="preserve">                x[team1,team2,sport,'11,JCC Basketball Out 2','11,11/24/2017','8:50:00 AM'].ub=0.0      #Ch C Male Basketball</v>
      </c>
      <c r="AB185" s="301" t="str">
        <f t="shared" si="96"/>
        <v>,,Ch C Male Basketball,,1,CHILD CM - VEN 2</v>
      </c>
      <c r="AC185" s="153" t="str">
        <f t="shared" si="97"/>
        <v>Ch C Male BasketballCHILD CM - VEN 2</v>
      </c>
      <c r="AD185" s="301" t="str">
        <f t="shared" si="98"/>
        <v>,,Ch C Male Basketball,,1,CHILD CM - ARG 2</v>
      </c>
      <c r="AE185" s="153" t="str">
        <f t="shared" si="99"/>
        <v>Ch C Male BasketballCHILD CM - ARG 2</v>
      </c>
      <c r="AF185" s="383">
        <f t="shared" si="100"/>
        <v>1</v>
      </c>
      <c r="AG185" s="383">
        <f t="shared" si="101"/>
        <v>0</v>
      </c>
      <c r="AH185" s="383">
        <f t="shared" si="102"/>
        <v>0</v>
      </c>
      <c r="AI185" s="383">
        <f t="shared" si="103"/>
        <v>0</v>
      </c>
      <c r="AJ185" s="383">
        <f t="shared" si="104"/>
        <v>1</v>
      </c>
      <c r="AK185" s="383">
        <f t="shared" si="105"/>
        <v>0</v>
      </c>
      <c r="AM185" s="148" t="str">
        <f t="shared" si="106"/>
        <v>Schedulled</v>
      </c>
      <c r="AN185" s="148" t="str">
        <f t="shared" si="107"/>
        <v/>
      </c>
      <c r="AO185" s="156">
        <f t="shared" si="108"/>
        <v>43063.368055555555</v>
      </c>
      <c r="AP185" s="148" t="str">
        <f t="shared" si="109"/>
        <v>11/24/2017 08:50-&gt;JCC Basketball Out 2</v>
      </c>
      <c r="AQ185" s="374">
        <f t="shared" si="110"/>
        <v>1</v>
      </c>
      <c r="AR185" s="148" t="str">
        <f t="shared" si="111"/>
        <v>VEN2</v>
      </c>
      <c r="AS185" s="148" t="str">
        <f t="shared" si="112"/>
        <v>ARG2</v>
      </c>
      <c r="AT185" s="157" t="str">
        <f t="shared" si="113"/>
        <v>VEN2-ARG2</v>
      </c>
      <c r="AU185" s="157" t="str">
        <f t="shared" si="114"/>
        <v xml:space="preserve">VEN2-ARG2 </v>
      </c>
      <c r="AV185" s="157" t="str">
        <f t="shared" si="115"/>
        <v>CHILDREN C MALE</v>
      </c>
      <c r="AW185" s="157" t="str">
        <f t="shared" si="116"/>
        <v>Basketball</v>
      </c>
      <c r="AX185" s="376">
        <f t="shared" si="117"/>
        <v>183</v>
      </c>
      <c r="AY185" s="148" t="str">
        <f t="shared" si="118"/>
        <v>CHILD CM - VEN 2-&gt;CHILD CM - ARG 2</v>
      </c>
      <c r="AZ185" s="148" t="str">
        <f t="shared" si="119"/>
        <v>11/24/2017 08:50-&gt;CHILD CM - VEN 2</v>
      </c>
      <c r="BA185" s="148" t="str">
        <f t="shared" si="120"/>
        <v>11/24/2017 08:50-&gt;CHILD CM - ARG 2</v>
      </c>
      <c r="BB185" s="374">
        <f t="shared" si="121"/>
        <v>1</v>
      </c>
      <c r="BC185" s="374">
        <f t="shared" si="122"/>
        <v>1</v>
      </c>
      <c r="BD185" s="148" t="str">
        <f t="shared" si="123"/>
        <v>no conflict</v>
      </c>
      <c r="BF185" s="148" t="str">
        <f t="shared" si="124"/>
        <v>11/24/2017 08:50-&gt;CHILD CM - VEN 2</v>
      </c>
      <c r="BG185" s="148" t="str">
        <f t="shared" si="125"/>
        <v>11/24/2017 08:50-&gt;CHILD CM - ARG 2</v>
      </c>
      <c r="BH185" s="148" t="str">
        <f t="shared" si="126"/>
        <v>11/24/2017 08:50-&gt;JCC Basketball Out 2</v>
      </c>
      <c r="BI185" s="148" t="str">
        <f t="shared" si="127"/>
        <v>Basketball in JCC Basketball Out 2 (VEN2-ARG2)</v>
      </c>
      <c r="BJ185" s="148" t="str">
        <f t="shared" si="128"/>
        <v>Ch C Male Basketball-- CHILD CM - VEN 2 vs. CHILD CM - ARG 2</v>
      </c>
      <c r="BK185" s="148" t="str">
        <f t="shared" si="129"/>
        <v>Basketball</v>
      </c>
      <c r="BL185" s="148" t="str">
        <f t="shared" si="130"/>
        <v>CHILD CM - VEN 2</v>
      </c>
      <c r="BM185" s="148" t="str">
        <f t="shared" si="131"/>
        <v>CHILD CM - ARG 2</v>
      </c>
      <c r="BN185" s="148" t="str">
        <f t="shared" si="132"/>
        <v>Round - 1</v>
      </c>
      <c r="BP185" s="148" t="str">
        <f t="shared" si="133"/>
        <v>no t, f, or sf</v>
      </c>
      <c r="BQ185" s="148" t="str">
        <f t="shared" si="134"/>
        <v/>
      </c>
    </row>
    <row r="186" spans="1:69" ht="15" customHeight="1" x14ac:dyDescent="0.2">
      <c r="A186" s="376">
        <v>184</v>
      </c>
      <c r="B186" s="444" t="s">
        <v>44</v>
      </c>
      <c r="C186" s="444" t="s">
        <v>518</v>
      </c>
      <c r="D186" s="451">
        <v>1</v>
      </c>
      <c r="E186" s="451">
        <v>1</v>
      </c>
      <c r="F186" s="315" t="s">
        <v>770</v>
      </c>
      <c r="G186" s="445">
        <v>43063</v>
      </c>
      <c r="H186" s="417">
        <v>0.50694444444444442</v>
      </c>
      <c r="I186" s="325" t="s">
        <v>770</v>
      </c>
      <c r="J186" s="444" t="s">
        <v>709</v>
      </c>
      <c r="K186" s="315">
        <v>31</v>
      </c>
      <c r="L186" s="433" t="s">
        <v>580</v>
      </c>
      <c r="M186">
        <v>31</v>
      </c>
      <c r="N186" s="433" t="s">
        <v>578</v>
      </c>
      <c r="O186" s="153" t="str">
        <f>IF(L186&lt;&gt;"",IFERROR(VLOOKUP(B186&amp;L186,Pools!$A$2:$D$130,3,FALSE),""),"")</f>
        <v/>
      </c>
      <c r="P186" s="388">
        <v>14</v>
      </c>
      <c r="Q186" s="388">
        <v>7</v>
      </c>
      <c r="R186" s="306" t="str">
        <f t="shared" si="90"/>
        <v>14-7</v>
      </c>
      <c r="S186" s="153"/>
      <c r="T186" s="148" t="str">
        <f t="shared" si="91"/>
        <v>Completed</v>
      </c>
      <c r="U186" s="153"/>
      <c r="V186" s="153"/>
      <c r="W186" s="387">
        <f t="shared" si="92"/>
        <v>7</v>
      </c>
      <c r="X186" s="387">
        <f t="shared" si="93"/>
        <v>-7</v>
      </c>
      <c r="Y186" s="301">
        <f t="shared" si="94"/>
        <v>2</v>
      </c>
      <c r="Z186" s="301">
        <f t="shared" si="95"/>
        <v>0</v>
      </c>
      <c r="AA186" s="323" t="str">
        <f>CONCATENATE("                x[team1,team2,sport,'",IF(OR(I186="x",I186=""),VLOOKUP('Schedule from TM'!J186,Tables!$P$3:$Q$33,2,FALSE),'Schedule from TM'!I186),",",J186,"','",IF(OR(F186="x",F186=""),VLOOKUP('Schedule from TM'!G186,Tables!$U$3:$V$14,2,FALSE),'Schedule from TM'!F186),",",TEXT(G186,"mm/dd/yyyy"),"','",TEXT(H186,"h:mm:ss AM/PM"),"'].ub=0.0      #",B186)</f>
        <v xml:space="preserve">                x[team1,team2,sport,'11,JCC Basketball Out 2','11,11/24/2017','12:10:00 PM'].ub=0.0      #Ch C Male Basketball</v>
      </c>
      <c r="AB186" s="301" t="str">
        <f t="shared" si="96"/>
        <v>,,Ch C Male Basketball,,1,CHILD CM - VEN 1</v>
      </c>
      <c r="AC186" s="153" t="str">
        <f t="shared" si="97"/>
        <v>Ch C Male BasketballCHILD CM - VEN 1</v>
      </c>
      <c r="AD186" s="301" t="str">
        <f t="shared" si="98"/>
        <v>,,Ch C Male Basketball,,1,CHILD CM - USA 1</v>
      </c>
      <c r="AE186" s="153" t="str">
        <f t="shared" si="99"/>
        <v>Ch C Male BasketballCHILD CM - USA 1</v>
      </c>
      <c r="AF186" s="383">
        <f t="shared" si="100"/>
        <v>1</v>
      </c>
      <c r="AG186" s="383">
        <f t="shared" si="101"/>
        <v>0</v>
      </c>
      <c r="AH186" s="383">
        <f t="shared" si="102"/>
        <v>0</v>
      </c>
      <c r="AI186" s="383">
        <f t="shared" si="103"/>
        <v>0</v>
      </c>
      <c r="AJ186" s="383">
        <f t="shared" si="104"/>
        <v>1</v>
      </c>
      <c r="AK186" s="383">
        <f t="shared" si="105"/>
        <v>0</v>
      </c>
      <c r="AM186" s="148" t="str">
        <f t="shared" si="106"/>
        <v>Schedulled</v>
      </c>
      <c r="AN186" s="148" t="str">
        <f t="shared" si="107"/>
        <v/>
      </c>
      <c r="AO186" s="156">
        <f t="shared" si="108"/>
        <v>43063.506944444445</v>
      </c>
      <c r="AP186" s="148" t="str">
        <f t="shared" si="109"/>
        <v>11/24/2017 12:10-&gt;JCC Basketball Out 2</v>
      </c>
      <c r="AQ186" s="374">
        <f t="shared" si="110"/>
        <v>1</v>
      </c>
      <c r="AR186" s="148" t="str">
        <f t="shared" si="111"/>
        <v>VEN1</v>
      </c>
      <c r="AS186" s="148" t="str">
        <f t="shared" si="112"/>
        <v>USA1</v>
      </c>
      <c r="AT186" s="157" t="str">
        <f t="shared" si="113"/>
        <v>VEN1-USA1</v>
      </c>
      <c r="AU186" s="157" t="str">
        <f t="shared" si="114"/>
        <v xml:space="preserve">VEN1-USA1 </v>
      </c>
      <c r="AV186" s="157" t="str">
        <f t="shared" si="115"/>
        <v>CHILDREN C MALE</v>
      </c>
      <c r="AW186" s="157" t="str">
        <f t="shared" si="116"/>
        <v>Basketball</v>
      </c>
      <c r="AX186" s="376">
        <f t="shared" si="117"/>
        <v>184</v>
      </c>
      <c r="AY186" s="148" t="str">
        <f t="shared" si="118"/>
        <v>CHILD CM - VEN 1-&gt;CHILD CM - USA 1</v>
      </c>
      <c r="AZ186" s="148" t="str">
        <f t="shared" si="119"/>
        <v>11/24/2017 12:10-&gt;CHILD CM - VEN 1</v>
      </c>
      <c r="BA186" s="148" t="str">
        <f t="shared" si="120"/>
        <v>11/24/2017 12:10-&gt;CHILD CM - USA 1</v>
      </c>
      <c r="BB186" s="374">
        <f t="shared" si="121"/>
        <v>1</v>
      </c>
      <c r="BC186" s="374">
        <f t="shared" si="122"/>
        <v>1</v>
      </c>
      <c r="BD186" s="148" t="str">
        <f t="shared" si="123"/>
        <v>no conflict</v>
      </c>
      <c r="BF186" s="148" t="str">
        <f t="shared" si="124"/>
        <v>11/24/2017 12:10-&gt;CHILD CM - VEN 1</v>
      </c>
      <c r="BG186" s="148" t="str">
        <f t="shared" si="125"/>
        <v>11/24/2017 12:10-&gt;CHILD CM - USA 1</v>
      </c>
      <c r="BH186" s="148" t="str">
        <f t="shared" si="126"/>
        <v>11/24/2017 12:10-&gt;JCC Basketball Out 2</v>
      </c>
      <c r="BI186" s="148" t="str">
        <f t="shared" si="127"/>
        <v>Basketball in JCC Basketball Out 2 (VEN1-USA1)</v>
      </c>
      <c r="BJ186" s="148" t="str">
        <f t="shared" si="128"/>
        <v>Ch C Male Basketball-- CHILD CM - VEN 1 vs. CHILD CM - USA 1</v>
      </c>
      <c r="BK186" s="148" t="str">
        <f t="shared" si="129"/>
        <v>Basketball</v>
      </c>
      <c r="BL186" s="148" t="str">
        <f t="shared" si="130"/>
        <v>CHILD CM - VEN 1</v>
      </c>
      <c r="BM186" s="148" t="str">
        <f t="shared" si="131"/>
        <v>CHILD CM - USA 1</v>
      </c>
      <c r="BN186" s="148" t="str">
        <f t="shared" si="132"/>
        <v>Round - 1</v>
      </c>
      <c r="BP186" s="148" t="str">
        <f t="shared" si="133"/>
        <v>no t, f, or sf</v>
      </c>
      <c r="BQ186" s="148" t="str">
        <f t="shared" si="134"/>
        <v/>
      </c>
    </row>
    <row r="187" spans="1:69" ht="15" customHeight="1" x14ac:dyDescent="0.2">
      <c r="A187" s="376">
        <v>185</v>
      </c>
      <c r="B187" s="315" t="s">
        <v>44</v>
      </c>
      <c r="C187" s="315" t="s">
        <v>518</v>
      </c>
      <c r="D187" s="378">
        <v>1</v>
      </c>
      <c r="E187" s="378">
        <v>1</v>
      </c>
      <c r="F187" s="315" t="s">
        <v>770</v>
      </c>
      <c r="G187" s="316">
        <v>43063</v>
      </c>
      <c r="H187" s="417">
        <v>0.57638888888888895</v>
      </c>
      <c r="I187" s="325" t="s">
        <v>770</v>
      </c>
      <c r="J187" s="315" t="s">
        <v>709</v>
      </c>
      <c r="K187" s="315">
        <v>31</v>
      </c>
      <c r="L187" t="s">
        <v>574</v>
      </c>
      <c r="M187">
        <v>31</v>
      </c>
      <c r="N187" t="s">
        <v>578</v>
      </c>
      <c r="O187" s="153" t="str">
        <f>IF(L187&lt;&gt;"",IFERROR(VLOOKUP(B187&amp;L187,Pools!$A$2:$D$130,3,FALSE),""),"")</f>
        <v/>
      </c>
      <c r="P187" s="388">
        <v>6</v>
      </c>
      <c r="Q187" s="388">
        <v>7</v>
      </c>
      <c r="R187" s="306" t="str">
        <f t="shared" si="90"/>
        <v>6-7</v>
      </c>
      <c r="S187" s="153"/>
      <c r="T187" s="148" t="str">
        <f t="shared" si="91"/>
        <v>Completed</v>
      </c>
      <c r="U187" s="153"/>
      <c r="V187" s="153"/>
      <c r="W187" s="387">
        <f t="shared" si="92"/>
        <v>-1</v>
      </c>
      <c r="X187" s="387">
        <f t="shared" si="93"/>
        <v>1</v>
      </c>
      <c r="Y187" s="301">
        <f t="shared" si="94"/>
        <v>0</v>
      </c>
      <c r="Z187" s="301">
        <f t="shared" si="95"/>
        <v>2</v>
      </c>
      <c r="AA187" s="323" t="str">
        <f>CONCATENATE("                x[team1,team2,sport,'",IF(OR(I187="x",I187=""),VLOOKUP('Schedule from TM'!J187,Tables!$P$3:$Q$33,2,FALSE),'Schedule from TM'!I187),",",J187,"','",IF(OR(F187="x",F187=""),VLOOKUP('Schedule from TM'!G187,Tables!$U$3:$V$14,2,FALSE),'Schedule from TM'!F187),",",TEXT(G187,"mm/dd/yyyy"),"','",TEXT(H187,"h:mm:ss AM/PM"),"'].ub=0.0      #",B187)</f>
        <v xml:space="preserve">                x[team1,team2,sport,'11,JCC Basketball Out 2','11,11/24/2017','1:50:00 PM'].ub=0.0      #Ch C Male Basketball</v>
      </c>
      <c r="AB187" s="301" t="str">
        <f t="shared" si="96"/>
        <v>,,Ch C Male Basketball,,1,CHILD CM - COL 1</v>
      </c>
      <c r="AC187" s="153" t="str">
        <f t="shared" si="97"/>
        <v>Ch C Male BasketballCHILD CM - COL 1</v>
      </c>
      <c r="AD187" s="301" t="str">
        <f t="shared" si="98"/>
        <v>,,Ch C Male Basketball,,1,CHILD CM - USA 1</v>
      </c>
      <c r="AE187" s="153" t="str">
        <f t="shared" si="99"/>
        <v>Ch C Male BasketballCHILD CM - USA 1</v>
      </c>
      <c r="AF187" s="383">
        <f t="shared" si="100"/>
        <v>0</v>
      </c>
      <c r="AG187" s="383">
        <f t="shared" si="101"/>
        <v>1</v>
      </c>
      <c r="AH187" s="383">
        <f t="shared" si="102"/>
        <v>0</v>
      </c>
      <c r="AI187" s="383">
        <f t="shared" si="103"/>
        <v>1</v>
      </c>
      <c r="AJ187" s="383">
        <f t="shared" si="104"/>
        <v>0</v>
      </c>
      <c r="AK187" s="383">
        <f t="shared" si="105"/>
        <v>0</v>
      </c>
      <c r="AM187" s="148" t="str">
        <f t="shared" si="106"/>
        <v>Schedulled</v>
      </c>
      <c r="AN187" s="148" t="str">
        <f t="shared" si="107"/>
        <v/>
      </c>
      <c r="AO187" s="156">
        <f t="shared" si="108"/>
        <v>43063.576388888891</v>
      </c>
      <c r="AP187" s="148" t="str">
        <f t="shared" si="109"/>
        <v>11/24/2017 13:50-&gt;JCC Basketball Out 2</v>
      </c>
      <c r="AQ187" s="374">
        <f t="shared" si="110"/>
        <v>1</v>
      </c>
      <c r="AR187" s="148" t="str">
        <f t="shared" si="111"/>
        <v>COL1</v>
      </c>
      <c r="AS187" s="148" t="str">
        <f t="shared" si="112"/>
        <v>USA1</v>
      </c>
      <c r="AT187" s="157" t="str">
        <f t="shared" si="113"/>
        <v>COL1-USA1</v>
      </c>
      <c r="AU187" s="157" t="str">
        <f t="shared" si="114"/>
        <v xml:space="preserve">COL1-USA1 </v>
      </c>
      <c r="AV187" s="157" t="str">
        <f t="shared" si="115"/>
        <v>CHILDREN C MALE</v>
      </c>
      <c r="AW187" s="157" t="str">
        <f t="shared" si="116"/>
        <v>Basketball</v>
      </c>
      <c r="AX187" s="376">
        <f t="shared" si="117"/>
        <v>185</v>
      </c>
      <c r="AY187" s="148" t="str">
        <f t="shared" si="118"/>
        <v>CHILD CM - COL 1-&gt;CHILD CM - USA 1</v>
      </c>
      <c r="AZ187" s="148" t="str">
        <f t="shared" si="119"/>
        <v>11/24/2017 13:50-&gt;CHILD CM - COL 1</v>
      </c>
      <c r="BA187" s="148" t="str">
        <f t="shared" si="120"/>
        <v>11/24/2017 13:50-&gt;CHILD CM - USA 1</v>
      </c>
      <c r="BB187" s="374">
        <f t="shared" si="121"/>
        <v>1</v>
      </c>
      <c r="BC187" s="374">
        <f t="shared" si="122"/>
        <v>1</v>
      </c>
      <c r="BD187" s="148" t="str">
        <f t="shared" si="123"/>
        <v>no conflict</v>
      </c>
      <c r="BF187" s="148" t="str">
        <f t="shared" si="124"/>
        <v>11/24/2017 13:50-&gt;CHILD CM - COL 1</v>
      </c>
      <c r="BG187" s="148" t="str">
        <f t="shared" si="125"/>
        <v>11/24/2017 13:50-&gt;CHILD CM - USA 1</v>
      </c>
      <c r="BH187" s="148" t="str">
        <f t="shared" si="126"/>
        <v>11/24/2017 13:50-&gt;JCC Basketball Out 2</v>
      </c>
      <c r="BI187" s="148" t="str">
        <f t="shared" si="127"/>
        <v>Basketball in JCC Basketball Out 2 (COL1-USA1)</v>
      </c>
      <c r="BJ187" s="148" t="str">
        <f t="shared" si="128"/>
        <v>Ch C Male Basketball-- CHILD CM - COL 1 vs. CHILD CM - USA 1</v>
      </c>
      <c r="BK187" s="148" t="str">
        <f t="shared" si="129"/>
        <v>Basketball</v>
      </c>
      <c r="BL187" s="148" t="str">
        <f t="shared" si="130"/>
        <v>CHILD CM - COL 1</v>
      </c>
      <c r="BM187" s="148" t="str">
        <f t="shared" si="131"/>
        <v>CHILD CM - USA 1</v>
      </c>
      <c r="BN187" s="148" t="str">
        <f t="shared" si="132"/>
        <v>Round - 1</v>
      </c>
      <c r="BP187" s="148" t="str">
        <f t="shared" si="133"/>
        <v>no t, f, or sf</v>
      </c>
      <c r="BQ187" s="148" t="str">
        <f t="shared" si="134"/>
        <v/>
      </c>
    </row>
    <row r="188" spans="1:69" ht="15" customHeight="1" x14ac:dyDescent="0.2">
      <c r="A188" s="450">
        <v>186</v>
      </c>
      <c r="B188" s="441" t="s">
        <v>44</v>
      </c>
      <c r="C188" s="441" t="s">
        <v>518</v>
      </c>
      <c r="D188" s="450">
        <v>1</v>
      </c>
      <c r="E188" s="450">
        <v>1</v>
      </c>
      <c r="F188" s="444" t="s">
        <v>770</v>
      </c>
      <c r="G188" s="320">
        <v>43063</v>
      </c>
      <c r="H188" s="454">
        <v>0.64583333333333337</v>
      </c>
      <c r="I188" s="446" t="s">
        <v>770</v>
      </c>
      <c r="J188" s="441" t="s">
        <v>709</v>
      </c>
      <c r="K188" s="441">
        <v>31</v>
      </c>
      <c r="L188" s="433" t="s">
        <v>574</v>
      </c>
      <c r="M188" s="433">
        <v>31</v>
      </c>
      <c r="N188" s="433" t="s">
        <v>573</v>
      </c>
      <c r="O188" s="153" t="str">
        <f>IF(L188&lt;&gt;"",IFERROR(VLOOKUP(B188&amp;L188,Pools!$A$2:$D$130,3,FALSE),""),"")</f>
        <v/>
      </c>
      <c r="P188" s="388">
        <v>10</v>
      </c>
      <c r="Q188" s="388">
        <v>6</v>
      </c>
      <c r="R188" s="306" t="str">
        <f t="shared" si="90"/>
        <v>10-6</v>
      </c>
      <c r="S188" s="153"/>
      <c r="T188" s="148" t="str">
        <f t="shared" si="91"/>
        <v>Completed</v>
      </c>
      <c r="U188" s="153"/>
      <c r="V188" s="153"/>
      <c r="W188" s="387">
        <f t="shared" si="92"/>
        <v>4</v>
      </c>
      <c r="X188" s="387">
        <f t="shared" si="93"/>
        <v>-4</v>
      </c>
      <c r="Y188" s="301">
        <f t="shared" si="94"/>
        <v>2</v>
      </c>
      <c r="Z188" s="301">
        <f t="shared" si="95"/>
        <v>0</v>
      </c>
      <c r="AA188" s="323" t="str">
        <f>CONCATENATE("                x[team1,team2,sport,'",IF(OR(I188="x",I188=""),VLOOKUP('Schedule from TM'!J188,Tables!$P$3:$Q$33,2,FALSE),'Schedule from TM'!I188),",",J188,"','",IF(OR(F188="x",F188=""),VLOOKUP('Schedule from TM'!G188,Tables!$U$3:$V$14,2,FALSE),'Schedule from TM'!F188),",",TEXT(G188,"mm/dd/yyyy"),"','",TEXT(H188,"h:mm:ss AM/PM"),"'].ub=0.0      #",B188)</f>
        <v xml:space="preserve">                x[team1,team2,sport,'11,JCC Basketball Out 2','11,11/24/2017','3:30:00 PM'].ub=0.0      #Ch C Male Basketball</v>
      </c>
      <c r="AB188" s="301" t="str">
        <f t="shared" si="96"/>
        <v>,,Ch C Male Basketball,,1,CHILD CM - COL 1</v>
      </c>
      <c r="AC188" s="153" t="str">
        <f t="shared" si="97"/>
        <v>Ch C Male BasketballCHILD CM - COL 1</v>
      </c>
      <c r="AD188" s="301" t="str">
        <f t="shared" si="98"/>
        <v>,,Ch C Male Basketball,,1,CHILD CM - ARG 2</v>
      </c>
      <c r="AE188" s="153" t="str">
        <f t="shared" si="99"/>
        <v>Ch C Male BasketballCHILD CM - ARG 2</v>
      </c>
      <c r="AF188" s="383">
        <f t="shared" si="100"/>
        <v>1</v>
      </c>
      <c r="AG188" s="383">
        <f t="shared" si="101"/>
        <v>0</v>
      </c>
      <c r="AH188" s="383">
        <f t="shared" si="102"/>
        <v>0</v>
      </c>
      <c r="AI188" s="383">
        <f t="shared" si="103"/>
        <v>0</v>
      </c>
      <c r="AJ188" s="383">
        <f t="shared" si="104"/>
        <v>1</v>
      </c>
      <c r="AK188" s="383">
        <f t="shared" si="105"/>
        <v>0</v>
      </c>
      <c r="AM188" s="148" t="str">
        <f t="shared" si="106"/>
        <v>Schedulled</v>
      </c>
      <c r="AN188" s="148" t="str">
        <f t="shared" si="107"/>
        <v/>
      </c>
      <c r="AO188" s="156">
        <f t="shared" si="108"/>
        <v>43063.645833333336</v>
      </c>
      <c r="AP188" s="148" t="str">
        <f t="shared" si="109"/>
        <v>11/24/2017 15:30-&gt;JCC Basketball Out 2</v>
      </c>
      <c r="AQ188" s="374">
        <f t="shared" si="110"/>
        <v>1</v>
      </c>
      <c r="AR188" s="148" t="str">
        <f t="shared" si="111"/>
        <v>COL1</v>
      </c>
      <c r="AS188" s="148" t="str">
        <f t="shared" si="112"/>
        <v>ARG2</v>
      </c>
      <c r="AT188" s="157" t="str">
        <f t="shared" si="113"/>
        <v>COL1-ARG2</v>
      </c>
      <c r="AU188" s="157" t="str">
        <f t="shared" si="114"/>
        <v xml:space="preserve">COL1-ARG2 </v>
      </c>
      <c r="AV188" s="157" t="str">
        <f t="shared" si="115"/>
        <v>CHILDREN C MALE</v>
      </c>
      <c r="AW188" s="157" t="str">
        <f t="shared" si="116"/>
        <v>Basketball</v>
      </c>
      <c r="AX188" s="450">
        <f t="shared" si="117"/>
        <v>186</v>
      </c>
      <c r="AY188" s="148" t="str">
        <f t="shared" si="118"/>
        <v>CHILD CM - COL 1-&gt;CHILD CM - ARG 2</v>
      </c>
      <c r="AZ188" s="148" t="str">
        <f t="shared" si="119"/>
        <v>11/24/2017 15:30-&gt;CHILD CM - COL 1</v>
      </c>
      <c r="BA188" s="148" t="str">
        <f t="shared" si="120"/>
        <v>11/24/2017 15:30-&gt;CHILD CM - ARG 2</v>
      </c>
      <c r="BB188" s="374">
        <f t="shared" si="121"/>
        <v>1</v>
      </c>
      <c r="BC188" s="374">
        <f t="shared" si="122"/>
        <v>1</v>
      </c>
      <c r="BD188" s="148" t="str">
        <f t="shared" si="123"/>
        <v>no conflict</v>
      </c>
      <c r="BF188" s="148" t="str">
        <f t="shared" si="124"/>
        <v>11/24/2017 15:30-&gt;CHILD CM - COL 1</v>
      </c>
      <c r="BG188" s="148" t="str">
        <f t="shared" si="125"/>
        <v>11/24/2017 15:30-&gt;CHILD CM - ARG 2</v>
      </c>
      <c r="BH188" s="148" t="str">
        <f t="shared" si="126"/>
        <v>11/24/2017 15:30-&gt;JCC Basketball Out 2</v>
      </c>
      <c r="BI188" s="148" t="str">
        <f t="shared" si="127"/>
        <v>Basketball in JCC Basketball Out 2 (COL1-ARG2)</v>
      </c>
      <c r="BJ188" s="148" t="str">
        <f t="shared" si="128"/>
        <v>Ch C Male Basketball-- CHILD CM - COL 1 vs. CHILD CM - ARG 2</v>
      </c>
      <c r="BK188" s="148" t="str">
        <f t="shared" si="129"/>
        <v>Basketball</v>
      </c>
      <c r="BL188" s="148" t="str">
        <f t="shared" si="130"/>
        <v>CHILD CM - COL 1</v>
      </c>
      <c r="BM188" s="148" t="str">
        <f t="shared" si="131"/>
        <v>CHILD CM - ARG 2</v>
      </c>
      <c r="BN188" s="148" t="str">
        <f t="shared" si="132"/>
        <v>Round - 1</v>
      </c>
      <c r="BP188" s="148" t="str">
        <f t="shared" si="133"/>
        <v>no t, f, or sf</v>
      </c>
      <c r="BQ188" s="148" t="str">
        <f t="shared" si="134"/>
        <v/>
      </c>
    </row>
    <row r="189" spans="1:69" ht="15" customHeight="1" x14ac:dyDescent="0.2">
      <c r="A189" s="376">
        <v>187</v>
      </c>
      <c r="B189" s="444" t="s">
        <v>44</v>
      </c>
      <c r="C189" s="444" t="s">
        <v>518</v>
      </c>
      <c r="D189" s="451">
        <v>1</v>
      </c>
      <c r="E189" s="451">
        <v>1</v>
      </c>
      <c r="F189" s="315" t="s">
        <v>770</v>
      </c>
      <c r="G189" s="445">
        <v>43065</v>
      </c>
      <c r="H189" s="454">
        <v>0.47222222222222227</v>
      </c>
      <c r="I189" s="325" t="s">
        <v>770</v>
      </c>
      <c r="J189" s="443" t="s">
        <v>709</v>
      </c>
      <c r="K189" s="444">
        <v>31</v>
      </c>
      <c r="L189" s="433" t="s">
        <v>572</v>
      </c>
      <c r="M189" s="433">
        <v>31</v>
      </c>
      <c r="N189" s="433" t="s">
        <v>581</v>
      </c>
      <c r="O189" s="153" t="str">
        <f>IF(L189&lt;&gt;"",IFERROR(VLOOKUP(B189&amp;L189,Pools!$A$2:$D$130,3,FALSE),""),"")</f>
        <v/>
      </c>
      <c r="P189" s="388">
        <v>11</v>
      </c>
      <c r="Q189" s="388">
        <v>15</v>
      </c>
      <c r="R189" s="306" t="str">
        <f t="shared" si="90"/>
        <v>11-15</v>
      </c>
      <c r="S189" s="153"/>
      <c r="T189" s="148" t="str">
        <f t="shared" si="91"/>
        <v>Completed</v>
      </c>
      <c r="U189" s="153"/>
      <c r="V189" s="153"/>
      <c r="W189" s="387">
        <f t="shared" si="92"/>
        <v>-4</v>
      </c>
      <c r="X189" s="387">
        <f t="shared" si="93"/>
        <v>4</v>
      </c>
      <c r="Y189" s="301">
        <f t="shared" si="94"/>
        <v>0</v>
      </c>
      <c r="Z189" s="301">
        <f t="shared" si="95"/>
        <v>2</v>
      </c>
      <c r="AA189" s="323" t="str">
        <f>CONCATENATE("                x[team1,team2,sport,'",IF(OR(I189="x",I189=""),VLOOKUP('Schedule from TM'!J189,Tables!$P$3:$Q$33,2,FALSE),'Schedule from TM'!I189),",",J189,"','",IF(OR(F189="x",F189=""),VLOOKUP('Schedule from TM'!G189,Tables!$U$3:$V$14,2,FALSE),'Schedule from TM'!F189),",",TEXT(G189,"mm/dd/yyyy"),"','",TEXT(H189,"h:mm:ss AM/PM"),"'].ub=0.0      #",B189)</f>
        <v xml:space="preserve">                x[team1,team2,sport,'11,JCC Basketball Out 2','21,11/26/2017','11:20:00 AM'].ub=0.0      #Ch C Male Basketball</v>
      </c>
      <c r="AB189" s="301" t="str">
        <f t="shared" si="96"/>
        <v>,,Ch C Male Basketball,,1,CHILD CM - ARG 1</v>
      </c>
      <c r="AC189" s="153" t="str">
        <f t="shared" si="97"/>
        <v>Ch C Male BasketballCHILD CM - ARG 1</v>
      </c>
      <c r="AD189" s="301" t="str">
        <f t="shared" si="98"/>
        <v>,,Ch C Male Basketball,,1,CHILD CM - VEN 2</v>
      </c>
      <c r="AE189" s="153" t="str">
        <f t="shared" si="99"/>
        <v>Ch C Male BasketballCHILD CM - VEN 2</v>
      </c>
      <c r="AF189" s="383">
        <f t="shared" si="100"/>
        <v>0</v>
      </c>
      <c r="AG189" s="383">
        <f t="shared" si="101"/>
        <v>1</v>
      </c>
      <c r="AH189" s="383">
        <f t="shared" si="102"/>
        <v>0</v>
      </c>
      <c r="AI189" s="383">
        <f t="shared" si="103"/>
        <v>1</v>
      </c>
      <c r="AJ189" s="383">
        <f t="shared" si="104"/>
        <v>0</v>
      </c>
      <c r="AK189" s="383">
        <f t="shared" si="105"/>
        <v>0</v>
      </c>
      <c r="AM189" s="148" t="str">
        <f t="shared" si="106"/>
        <v>Schedulled</v>
      </c>
      <c r="AN189" s="148" t="str">
        <f t="shared" si="107"/>
        <v/>
      </c>
      <c r="AO189" s="156">
        <f t="shared" si="108"/>
        <v>43065.472222222219</v>
      </c>
      <c r="AP189" s="148" t="str">
        <f t="shared" si="109"/>
        <v>11/26/2017 11:20-&gt;JCC Basketball Out 2</v>
      </c>
      <c r="AQ189" s="374">
        <f t="shared" si="110"/>
        <v>1</v>
      </c>
      <c r="AR189" s="148" t="str">
        <f t="shared" si="111"/>
        <v>ARG1</v>
      </c>
      <c r="AS189" s="148" t="str">
        <f t="shared" si="112"/>
        <v>VEN2</v>
      </c>
      <c r="AT189" s="157" t="str">
        <f t="shared" si="113"/>
        <v>ARG1-VEN2</v>
      </c>
      <c r="AU189" s="157" t="str">
        <f t="shared" si="114"/>
        <v xml:space="preserve">ARG1-VEN2 </v>
      </c>
      <c r="AV189" s="157" t="str">
        <f t="shared" si="115"/>
        <v>CHILDREN C MALE</v>
      </c>
      <c r="AW189" s="157" t="str">
        <f t="shared" si="116"/>
        <v>Basketball</v>
      </c>
      <c r="AX189" s="376">
        <f t="shared" si="117"/>
        <v>187</v>
      </c>
      <c r="AY189" s="148" t="str">
        <f t="shared" si="118"/>
        <v>CHILD CM - ARG 1-&gt;CHILD CM - VEN 2</v>
      </c>
      <c r="AZ189" s="148" t="str">
        <f t="shared" si="119"/>
        <v>11/26/2017 11:20-&gt;CHILD CM - ARG 1</v>
      </c>
      <c r="BA189" s="148" t="str">
        <f t="shared" si="120"/>
        <v>11/26/2017 11:20-&gt;CHILD CM - VEN 2</v>
      </c>
      <c r="BB189" s="374">
        <f t="shared" si="121"/>
        <v>1</v>
      </c>
      <c r="BC189" s="374">
        <f t="shared" si="122"/>
        <v>1</v>
      </c>
      <c r="BD189" s="148" t="str">
        <f t="shared" si="123"/>
        <v>no conflict</v>
      </c>
      <c r="BF189" s="148" t="str">
        <f t="shared" si="124"/>
        <v>11/26/2017 11:20-&gt;CHILD CM - ARG 1</v>
      </c>
      <c r="BG189" s="148" t="str">
        <f t="shared" si="125"/>
        <v>11/26/2017 11:20-&gt;CHILD CM - VEN 2</v>
      </c>
      <c r="BH189" s="148" t="str">
        <f t="shared" si="126"/>
        <v>11/26/2017 11:20-&gt;JCC Basketball Out 2</v>
      </c>
      <c r="BI189" s="148" t="str">
        <f t="shared" si="127"/>
        <v>Basketball in JCC Basketball Out 2 (ARG1-VEN2)</v>
      </c>
      <c r="BJ189" s="148" t="str">
        <f t="shared" si="128"/>
        <v>Ch C Male Basketball-- CHILD CM - ARG 1 vs. CHILD CM - VEN 2</v>
      </c>
      <c r="BK189" s="148" t="str">
        <f t="shared" si="129"/>
        <v>Basketball</v>
      </c>
      <c r="BL189" s="148" t="str">
        <f t="shared" si="130"/>
        <v>CHILD CM - ARG 1</v>
      </c>
      <c r="BM189" s="148" t="str">
        <f t="shared" si="131"/>
        <v>CHILD CM - VEN 2</v>
      </c>
      <c r="BN189" s="148" t="str">
        <f t="shared" si="132"/>
        <v>Round - 1</v>
      </c>
      <c r="BP189" s="148" t="str">
        <f t="shared" si="133"/>
        <v>no t, f, or sf</v>
      </c>
      <c r="BQ189" s="148" t="str">
        <f t="shared" si="134"/>
        <v/>
      </c>
    </row>
    <row r="190" spans="1:69" ht="15" customHeight="1" x14ac:dyDescent="0.2">
      <c r="A190" s="376">
        <v>188</v>
      </c>
      <c r="B190" s="444" t="s">
        <v>46</v>
      </c>
      <c r="C190" s="444" t="s">
        <v>518</v>
      </c>
      <c r="D190" s="451">
        <v>1</v>
      </c>
      <c r="E190" s="451">
        <v>1</v>
      </c>
      <c r="F190" s="315" t="s">
        <v>770</v>
      </c>
      <c r="G190" s="445">
        <v>43058</v>
      </c>
      <c r="H190" s="317">
        <v>0.57638888888888895</v>
      </c>
      <c r="I190" s="325" t="s">
        <v>770</v>
      </c>
      <c r="J190" s="444" t="s">
        <v>703</v>
      </c>
      <c r="K190" s="444">
        <v>31</v>
      </c>
      <c r="L190" s="433" t="s">
        <v>580</v>
      </c>
      <c r="M190" s="433">
        <v>31</v>
      </c>
      <c r="N190" s="433" t="s">
        <v>574</v>
      </c>
      <c r="O190" s="153" t="str">
        <f>IF(L190&lt;&gt;"",IFERROR(VLOOKUP(B190&amp;L190,Pools!$A$2:$D$130,3,FALSE),""),"")</f>
        <v/>
      </c>
      <c r="P190" s="388">
        <v>20</v>
      </c>
      <c r="Q190" s="388">
        <v>0</v>
      </c>
      <c r="R190" s="306" t="str">
        <f t="shared" si="90"/>
        <v>20-0</v>
      </c>
      <c r="S190" s="153"/>
      <c r="T190" s="148" t="str">
        <f t="shared" si="91"/>
        <v>Completed</v>
      </c>
      <c r="U190" s="153"/>
      <c r="V190" s="153"/>
      <c r="W190" s="387">
        <f t="shared" si="92"/>
        <v>20</v>
      </c>
      <c r="X190" s="387">
        <f t="shared" si="93"/>
        <v>-20</v>
      </c>
      <c r="Y190" s="301">
        <f t="shared" si="94"/>
        <v>2</v>
      </c>
      <c r="Z190" s="301">
        <f t="shared" si="95"/>
        <v>0</v>
      </c>
      <c r="AA190" s="323" t="str">
        <f>CONCATENATE("                x[team1,team2,sport,'",IF(OR(I190="x",I190=""),VLOOKUP('Schedule from TM'!J190,Tables!$P$3:$Q$33,2,FALSE),'Schedule from TM'!I190),",",J190,"','",IF(OR(F190="x",F190=""),VLOOKUP('Schedule from TM'!G190,Tables!$U$3:$V$14,2,FALSE),'Schedule from TM'!F190),",",TEXT(G190,"mm/dd/yyyy"),"','",TEXT(H190,"h:mm:ss AM/PM"),"'].ub=0.0      #",B190)</f>
        <v xml:space="preserve">                x[team1,team2,sport,'21,Hillel - Field 1','11,11/19/2017','1:50:00 PM'].ub=0.0      #Ch C Male Flag Football</v>
      </c>
      <c r="AB190" s="301" t="str">
        <f t="shared" si="96"/>
        <v>,,Ch C Male Flag Football,,1,CHILD CM - VEN 1</v>
      </c>
      <c r="AC190" s="153" t="str">
        <f t="shared" si="97"/>
        <v>Ch C Male Flag FootballCHILD CM - VEN 1</v>
      </c>
      <c r="AD190" s="301" t="str">
        <f t="shared" si="98"/>
        <v>,,Ch C Male Flag Football,,1,CHILD CM - COL 1</v>
      </c>
      <c r="AE190" s="153" t="str">
        <f t="shared" si="99"/>
        <v>Ch C Male Flag FootballCHILD CM - COL 1</v>
      </c>
      <c r="AF190" s="383">
        <f t="shared" si="100"/>
        <v>1</v>
      </c>
      <c r="AG190" s="383">
        <f t="shared" si="101"/>
        <v>0</v>
      </c>
      <c r="AH190" s="383">
        <f t="shared" si="102"/>
        <v>0</v>
      </c>
      <c r="AI190" s="383">
        <f t="shared" si="103"/>
        <v>0</v>
      </c>
      <c r="AJ190" s="383">
        <f t="shared" si="104"/>
        <v>1</v>
      </c>
      <c r="AK190" s="383">
        <f t="shared" si="105"/>
        <v>0</v>
      </c>
      <c r="AM190" s="148" t="str">
        <f t="shared" si="106"/>
        <v>Schedulled</v>
      </c>
      <c r="AN190" s="148" t="str">
        <f t="shared" si="107"/>
        <v/>
      </c>
      <c r="AO190" s="156">
        <f t="shared" si="108"/>
        <v>43058.576388888891</v>
      </c>
      <c r="AP190" s="148" t="str">
        <f t="shared" si="109"/>
        <v>11/19/2017 13:50-&gt;Hillel - Field 1</v>
      </c>
      <c r="AQ190" s="374">
        <f t="shared" si="110"/>
        <v>1</v>
      </c>
      <c r="AR190" s="148" t="str">
        <f t="shared" si="111"/>
        <v>VEN1</v>
      </c>
      <c r="AS190" s="148" t="str">
        <f t="shared" si="112"/>
        <v>COL1</v>
      </c>
      <c r="AT190" s="157" t="str">
        <f t="shared" si="113"/>
        <v>VEN1-COL1</v>
      </c>
      <c r="AU190" s="157" t="str">
        <f t="shared" si="114"/>
        <v xml:space="preserve">VEN1-COL1 </v>
      </c>
      <c r="AV190" s="157" t="str">
        <f t="shared" si="115"/>
        <v>CHILDREN C MALE</v>
      </c>
      <c r="AW190" s="157" t="str">
        <f t="shared" si="116"/>
        <v>Flag Football</v>
      </c>
      <c r="AX190" s="376">
        <f t="shared" si="117"/>
        <v>188</v>
      </c>
      <c r="AY190" s="148" t="str">
        <f t="shared" si="118"/>
        <v>CHILD CM - VEN 1-&gt;CHILD CM - COL 1</v>
      </c>
      <c r="AZ190" s="148" t="str">
        <f t="shared" si="119"/>
        <v>11/19/2017 13:50-&gt;CHILD CM - VEN 1</v>
      </c>
      <c r="BA190" s="148" t="str">
        <f t="shared" si="120"/>
        <v>11/19/2017 13:50-&gt;CHILD CM - COL 1</v>
      </c>
      <c r="BB190" s="374">
        <f t="shared" si="121"/>
        <v>1</v>
      </c>
      <c r="BC190" s="374">
        <f t="shared" si="122"/>
        <v>1</v>
      </c>
      <c r="BD190" s="148" t="str">
        <f t="shared" si="123"/>
        <v>no conflict</v>
      </c>
      <c r="BF190" s="148" t="str">
        <f t="shared" si="124"/>
        <v>11/19/2017 13:50-&gt;CHILD CM - VEN 1</v>
      </c>
      <c r="BG190" s="148" t="str">
        <f t="shared" si="125"/>
        <v>11/19/2017 13:50-&gt;CHILD CM - COL 1</v>
      </c>
      <c r="BH190" s="148" t="str">
        <f t="shared" si="126"/>
        <v>11/19/2017 13:50-&gt;Hillel - Field 1</v>
      </c>
      <c r="BI190" s="148" t="str">
        <f t="shared" si="127"/>
        <v>Flag Football in Hillel - Field 1 (VEN1-COL1)</v>
      </c>
      <c r="BJ190" s="148" t="str">
        <f t="shared" si="128"/>
        <v>Ch C Male Flag Football-- CHILD CM - VEN 1 vs. CHILD CM - COL 1</v>
      </c>
      <c r="BK190" s="148" t="str">
        <f t="shared" si="129"/>
        <v>Flag Football</v>
      </c>
      <c r="BL190" s="148" t="str">
        <f t="shared" si="130"/>
        <v>CHILD CM - VEN 1</v>
      </c>
      <c r="BM190" s="148" t="str">
        <f t="shared" si="131"/>
        <v>CHILD CM - COL 1</v>
      </c>
      <c r="BN190" s="148" t="str">
        <f t="shared" si="132"/>
        <v>Round - 1</v>
      </c>
      <c r="BP190" s="148" t="str">
        <f t="shared" si="133"/>
        <v>no t, f, or sf</v>
      </c>
      <c r="BQ190" s="148" t="str">
        <f t="shared" si="134"/>
        <v/>
      </c>
    </row>
    <row r="191" spans="1:69" ht="15" customHeight="1" x14ac:dyDescent="0.2">
      <c r="A191" s="376">
        <v>189</v>
      </c>
      <c r="B191" s="444" t="s">
        <v>46</v>
      </c>
      <c r="C191" s="444" t="s">
        <v>518</v>
      </c>
      <c r="D191" s="451">
        <v>1</v>
      </c>
      <c r="E191" s="451">
        <v>1</v>
      </c>
      <c r="F191" s="315" t="s">
        <v>770</v>
      </c>
      <c r="G191" s="445">
        <v>43058</v>
      </c>
      <c r="H191" s="317">
        <v>0.68055555555555547</v>
      </c>
      <c r="I191" s="325" t="s">
        <v>770</v>
      </c>
      <c r="J191" s="319" t="s">
        <v>703</v>
      </c>
      <c r="K191" s="444">
        <v>31</v>
      </c>
      <c r="L191" t="s">
        <v>574</v>
      </c>
      <c r="M191">
        <v>31</v>
      </c>
      <c r="N191" t="s">
        <v>573</v>
      </c>
      <c r="O191" s="153" t="str">
        <f>IF(L191&lt;&gt;"",IFERROR(VLOOKUP(B191&amp;L191,Pools!$A$2:$D$130,3,FALSE),""),"")</f>
        <v/>
      </c>
      <c r="P191" s="388">
        <v>25</v>
      </c>
      <c r="Q191" s="388">
        <v>0</v>
      </c>
      <c r="R191" s="306" t="str">
        <f t="shared" si="90"/>
        <v>25-0</v>
      </c>
      <c r="S191" s="153"/>
      <c r="T191" s="148" t="str">
        <f t="shared" si="91"/>
        <v>Completed</v>
      </c>
      <c r="U191" s="153"/>
      <c r="V191" s="153"/>
      <c r="W191" s="387">
        <f t="shared" si="92"/>
        <v>21</v>
      </c>
      <c r="X191" s="387">
        <f t="shared" si="93"/>
        <v>-21</v>
      </c>
      <c r="Y191" s="301">
        <f t="shared" si="94"/>
        <v>2</v>
      </c>
      <c r="Z191" s="301">
        <f t="shared" si="95"/>
        <v>0</v>
      </c>
      <c r="AA191" s="323" t="str">
        <f>CONCATENATE("                x[team1,team2,sport,'",IF(OR(I191="x",I191=""),VLOOKUP('Schedule from TM'!J191,Tables!$P$3:$Q$33,2,FALSE),'Schedule from TM'!I191),",",J191,"','",IF(OR(F191="x",F191=""),VLOOKUP('Schedule from TM'!G191,Tables!$U$3:$V$14,2,FALSE),'Schedule from TM'!F191),",",TEXT(G191,"mm/dd/yyyy"),"','",TEXT(H191,"h:mm:ss AM/PM"),"'].ub=0.0      #",B191)</f>
        <v xml:space="preserve">                x[team1,team2,sport,'21,Hillel - Field 1','11,11/19/2017','4:20:00 PM'].ub=0.0      #Ch C Male Flag Football</v>
      </c>
      <c r="AB191" s="301" t="str">
        <f t="shared" si="96"/>
        <v>,,Ch C Male Flag Football,,1,CHILD CM - COL 1</v>
      </c>
      <c r="AC191" s="153" t="str">
        <f t="shared" si="97"/>
        <v>Ch C Male Flag FootballCHILD CM - COL 1</v>
      </c>
      <c r="AD191" s="301" t="str">
        <f t="shared" si="98"/>
        <v>,,Ch C Male Flag Football,,1,CHILD CM - ARG 2</v>
      </c>
      <c r="AE191" s="153" t="str">
        <f t="shared" si="99"/>
        <v>Ch C Male Flag FootballCHILD CM - ARG 2</v>
      </c>
      <c r="AF191" s="383">
        <f t="shared" si="100"/>
        <v>1</v>
      </c>
      <c r="AG191" s="383">
        <f t="shared" si="101"/>
        <v>0</v>
      </c>
      <c r="AH191" s="383">
        <f t="shared" si="102"/>
        <v>0</v>
      </c>
      <c r="AI191" s="383">
        <f t="shared" si="103"/>
        <v>0</v>
      </c>
      <c r="AJ191" s="383">
        <f t="shared" si="104"/>
        <v>1</v>
      </c>
      <c r="AK191" s="383">
        <f t="shared" si="105"/>
        <v>0</v>
      </c>
      <c r="AM191" s="148" t="str">
        <f t="shared" si="106"/>
        <v>Schedulled</v>
      </c>
      <c r="AN191" s="148" t="str">
        <f t="shared" si="107"/>
        <v/>
      </c>
      <c r="AO191" s="156">
        <f t="shared" si="108"/>
        <v>43058.680555555555</v>
      </c>
      <c r="AP191" s="148" t="str">
        <f t="shared" si="109"/>
        <v>11/19/2017 16:20-&gt;Hillel - Field 1</v>
      </c>
      <c r="AQ191" s="374">
        <f t="shared" si="110"/>
        <v>1</v>
      </c>
      <c r="AR191" s="148" t="str">
        <f t="shared" si="111"/>
        <v>COL1</v>
      </c>
      <c r="AS191" s="148" t="str">
        <f t="shared" si="112"/>
        <v>ARG2</v>
      </c>
      <c r="AT191" s="157" t="str">
        <f t="shared" si="113"/>
        <v>COL1-ARG2</v>
      </c>
      <c r="AU191" s="157" t="str">
        <f t="shared" si="114"/>
        <v xml:space="preserve">COL1-ARG2 </v>
      </c>
      <c r="AV191" s="157" t="str">
        <f t="shared" si="115"/>
        <v>CHILDREN C MALE</v>
      </c>
      <c r="AW191" s="157" t="str">
        <f t="shared" si="116"/>
        <v>Flag Football</v>
      </c>
      <c r="AX191" s="376">
        <f t="shared" si="117"/>
        <v>189</v>
      </c>
      <c r="AY191" s="148" t="str">
        <f t="shared" si="118"/>
        <v>CHILD CM - COL 1-&gt;CHILD CM - ARG 2</v>
      </c>
      <c r="AZ191" s="148" t="str">
        <f t="shared" si="119"/>
        <v>11/19/2017 16:20-&gt;CHILD CM - COL 1</v>
      </c>
      <c r="BA191" s="148" t="str">
        <f t="shared" si="120"/>
        <v>11/19/2017 16:20-&gt;CHILD CM - ARG 2</v>
      </c>
      <c r="BB191" s="374">
        <f t="shared" si="121"/>
        <v>1</v>
      </c>
      <c r="BC191" s="374">
        <f t="shared" si="122"/>
        <v>1</v>
      </c>
      <c r="BD191" s="148" t="str">
        <f t="shared" si="123"/>
        <v>no conflict</v>
      </c>
      <c r="BF191" s="148" t="str">
        <f t="shared" si="124"/>
        <v>11/19/2017 16:20-&gt;CHILD CM - COL 1</v>
      </c>
      <c r="BG191" s="148" t="str">
        <f t="shared" si="125"/>
        <v>11/19/2017 16:20-&gt;CHILD CM - ARG 2</v>
      </c>
      <c r="BH191" s="148" t="str">
        <f t="shared" si="126"/>
        <v>11/19/2017 16:20-&gt;Hillel - Field 1</v>
      </c>
      <c r="BI191" s="148" t="str">
        <f t="shared" si="127"/>
        <v>Flag Football in Hillel - Field 1 (COL1-ARG2)</v>
      </c>
      <c r="BJ191" s="148" t="str">
        <f t="shared" si="128"/>
        <v>Ch C Male Flag Football-- CHILD CM - COL 1 vs. CHILD CM - ARG 2</v>
      </c>
      <c r="BK191" s="148" t="str">
        <f t="shared" si="129"/>
        <v>Flag Football</v>
      </c>
      <c r="BL191" s="148" t="str">
        <f t="shared" si="130"/>
        <v>CHILD CM - COL 1</v>
      </c>
      <c r="BM191" s="148" t="str">
        <f t="shared" si="131"/>
        <v>CHILD CM - ARG 2</v>
      </c>
      <c r="BN191" s="148" t="str">
        <f t="shared" si="132"/>
        <v>Round - 1</v>
      </c>
      <c r="BP191" s="148" t="str">
        <f t="shared" si="133"/>
        <v>no t, f, or sf</v>
      </c>
      <c r="BQ191" s="148" t="str">
        <f t="shared" si="134"/>
        <v/>
      </c>
    </row>
    <row r="192" spans="1:69" ht="15" customHeight="1" x14ac:dyDescent="0.2">
      <c r="A192" s="376">
        <v>190</v>
      </c>
      <c r="B192" s="444" t="s">
        <v>46</v>
      </c>
      <c r="C192" s="444" t="s">
        <v>518</v>
      </c>
      <c r="D192" s="451">
        <v>1</v>
      </c>
      <c r="E192" s="451">
        <v>1</v>
      </c>
      <c r="F192" s="315" t="s">
        <v>770</v>
      </c>
      <c r="G192" s="445">
        <v>43061</v>
      </c>
      <c r="H192" s="317">
        <v>0.75</v>
      </c>
      <c r="I192" s="325" t="s">
        <v>770</v>
      </c>
      <c r="J192" s="443" t="s">
        <v>706</v>
      </c>
      <c r="K192" s="444">
        <v>31</v>
      </c>
      <c r="L192" t="s">
        <v>572</v>
      </c>
      <c r="M192">
        <v>31</v>
      </c>
      <c r="N192" t="s">
        <v>580</v>
      </c>
      <c r="O192" s="153" t="str">
        <f>IF(L192&lt;&gt;"",IFERROR(VLOOKUP(B192&amp;L192,Pools!$A$2:$D$130,3,FALSE),""),"")</f>
        <v/>
      </c>
      <c r="P192" s="388">
        <v>7</v>
      </c>
      <c r="Q192" s="388">
        <v>13</v>
      </c>
      <c r="R192" s="306" t="str">
        <f t="shared" si="90"/>
        <v>7-13</v>
      </c>
      <c r="S192" s="153"/>
      <c r="T192" s="148" t="str">
        <f t="shared" si="91"/>
        <v>Completed</v>
      </c>
      <c r="U192" s="153"/>
      <c r="V192" s="153"/>
      <c r="W192" s="387">
        <f t="shared" si="92"/>
        <v>-6</v>
      </c>
      <c r="X192" s="387">
        <f t="shared" si="93"/>
        <v>6</v>
      </c>
      <c r="Y192" s="301">
        <f t="shared" si="94"/>
        <v>0</v>
      </c>
      <c r="Z192" s="301">
        <f t="shared" si="95"/>
        <v>2</v>
      </c>
      <c r="AA192" s="323" t="str">
        <f>CONCATENATE("                x[team1,team2,sport,'",IF(OR(I192="x",I192=""),VLOOKUP('Schedule from TM'!J192,Tables!$P$3:$Q$33,2,FALSE),'Schedule from TM'!I192),",",J192,"','",IF(OR(F192="x",F192=""),VLOOKUP('Schedule from TM'!G192,Tables!$U$3:$V$14,2,FALSE),'Schedule from TM'!F192),",",TEXT(G192,"mm/dd/yyyy"),"','",TEXT(H192,"h:mm:ss AM/PM"),"'].ub=0.0      #",B192)</f>
        <v xml:space="preserve">                x[team1,team2,sport,'21,Hillel - Field 4','22,11/22/2017','6:00:00 PM'].ub=0.0      #Ch C Male Flag Football</v>
      </c>
      <c r="AB192" s="301" t="str">
        <f t="shared" si="96"/>
        <v>,,Ch C Male Flag Football,,1,CHILD CM - ARG 1</v>
      </c>
      <c r="AC192" s="153" t="str">
        <f t="shared" si="97"/>
        <v>Ch C Male Flag FootballCHILD CM - ARG 1</v>
      </c>
      <c r="AD192" s="301" t="str">
        <f t="shared" si="98"/>
        <v>,,Ch C Male Flag Football,,1,CHILD CM - VEN 1</v>
      </c>
      <c r="AE192" s="153" t="str">
        <f t="shared" si="99"/>
        <v>Ch C Male Flag FootballCHILD CM - VEN 1</v>
      </c>
      <c r="AF192" s="383">
        <f t="shared" si="100"/>
        <v>0</v>
      </c>
      <c r="AG192" s="383">
        <f t="shared" si="101"/>
        <v>1</v>
      </c>
      <c r="AH192" s="383">
        <f t="shared" si="102"/>
        <v>0</v>
      </c>
      <c r="AI192" s="383">
        <f t="shared" si="103"/>
        <v>1</v>
      </c>
      <c r="AJ192" s="383">
        <f t="shared" si="104"/>
        <v>0</v>
      </c>
      <c r="AK192" s="383">
        <f t="shared" si="105"/>
        <v>0</v>
      </c>
      <c r="AM192" s="148" t="str">
        <f t="shared" si="106"/>
        <v>Schedulled</v>
      </c>
      <c r="AN192" s="148" t="str">
        <f t="shared" si="107"/>
        <v/>
      </c>
      <c r="AO192" s="156">
        <f t="shared" si="108"/>
        <v>43061.75</v>
      </c>
      <c r="AP192" s="148" t="str">
        <f t="shared" si="109"/>
        <v>11/22/2017 18:00-&gt;Hillel - Field 4</v>
      </c>
      <c r="AQ192" s="374">
        <f t="shared" si="110"/>
        <v>1</v>
      </c>
      <c r="AR192" s="148" t="str">
        <f t="shared" si="111"/>
        <v>ARG1</v>
      </c>
      <c r="AS192" s="148" t="str">
        <f t="shared" si="112"/>
        <v>VEN1</v>
      </c>
      <c r="AT192" s="157" t="str">
        <f t="shared" si="113"/>
        <v>ARG1-VEN1</v>
      </c>
      <c r="AU192" s="157" t="str">
        <f t="shared" si="114"/>
        <v xml:space="preserve">ARG1-VEN1 </v>
      </c>
      <c r="AV192" s="157" t="str">
        <f t="shared" si="115"/>
        <v>CHILDREN C MALE</v>
      </c>
      <c r="AW192" s="157" t="str">
        <f t="shared" si="116"/>
        <v>Flag Football</v>
      </c>
      <c r="AX192" s="376">
        <f t="shared" si="117"/>
        <v>190</v>
      </c>
      <c r="AY192" s="148" t="str">
        <f t="shared" si="118"/>
        <v>CHILD CM - ARG 1-&gt;CHILD CM - VEN 1</v>
      </c>
      <c r="AZ192" s="148" t="str">
        <f t="shared" si="119"/>
        <v>11/22/2017 18:00-&gt;CHILD CM - ARG 1</v>
      </c>
      <c r="BA192" s="148" t="str">
        <f t="shared" si="120"/>
        <v>11/22/2017 18:00-&gt;CHILD CM - VEN 1</v>
      </c>
      <c r="BB192" s="374">
        <f t="shared" si="121"/>
        <v>1</v>
      </c>
      <c r="BC192" s="374">
        <f t="shared" si="122"/>
        <v>1</v>
      </c>
      <c r="BD192" s="148" t="str">
        <f t="shared" si="123"/>
        <v>no conflict</v>
      </c>
      <c r="BF192" s="148" t="str">
        <f t="shared" si="124"/>
        <v>11/22/2017 18:00-&gt;CHILD CM - ARG 1</v>
      </c>
      <c r="BG192" s="148" t="str">
        <f t="shared" si="125"/>
        <v>11/22/2017 18:00-&gt;CHILD CM - VEN 1</v>
      </c>
      <c r="BH192" s="148" t="str">
        <f t="shared" si="126"/>
        <v>11/22/2017 18:00-&gt;Hillel - Field 4</v>
      </c>
      <c r="BI192" s="148" t="str">
        <f t="shared" si="127"/>
        <v>Flag Football in Hillel - Field 4 (ARG1-VEN1)</v>
      </c>
      <c r="BJ192" s="148" t="str">
        <f t="shared" si="128"/>
        <v>Ch C Male Flag Football-- CHILD CM - ARG 1 vs. CHILD CM - VEN 1</v>
      </c>
      <c r="BK192" s="148" t="str">
        <f t="shared" si="129"/>
        <v>Flag Football</v>
      </c>
      <c r="BL192" s="148" t="str">
        <f t="shared" si="130"/>
        <v>CHILD CM - ARG 1</v>
      </c>
      <c r="BM192" s="148" t="str">
        <f t="shared" si="131"/>
        <v>CHILD CM - VEN 1</v>
      </c>
      <c r="BN192" s="148" t="str">
        <f t="shared" si="132"/>
        <v>Round - 1</v>
      </c>
      <c r="BP192" s="148" t="str">
        <f t="shared" si="133"/>
        <v>no t, f, or sf</v>
      </c>
      <c r="BQ192" s="148" t="str">
        <f t="shared" si="134"/>
        <v/>
      </c>
    </row>
    <row r="193" spans="1:69" ht="15" customHeight="1" x14ac:dyDescent="0.2">
      <c r="A193" s="376">
        <v>191</v>
      </c>
      <c r="B193" s="315" t="s">
        <v>46</v>
      </c>
      <c r="C193" s="315" t="s">
        <v>518</v>
      </c>
      <c r="D193" s="378">
        <v>1</v>
      </c>
      <c r="E193" s="378">
        <v>1</v>
      </c>
      <c r="F193" s="315" t="s">
        <v>770</v>
      </c>
      <c r="G193" s="316">
        <v>43061</v>
      </c>
      <c r="H193" s="317">
        <v>0.78472222222222221</v>
      </c>
      <c r="I193" s="325" t="s">
        <v>770</v>
      </c>
      <c r="J193" s="443" t="s">
        <v>704</v>
      </c>
      <c r="K193" s="315">
        <v>31</v>
      </c>
      <c r="L193" t="s">
        <v>573</v>
      </c>
      <c r="M193">
        <v>31</v>
      </c>
      <c r="N193" t="s">
        <v>578</v>
      </c>
      <c r="O193" s="153" t="str">
        <f>IF(L193&lt;&gt;"",IFERROR(VLOOKUP(B193&amp;L193,Pools!$A$2:$D$130,3,FALSE),""),"")</f>
        <v/>
      </c>
      <c r="P193" s="388">
        <v>6</v>
      </c>
      <c r="Q193" s="388">
        <v>13</v>
      </c>
      <c r="R193" s="306" t="str">
        <f t="shared" si="90"/>
        <v>6-13</v>
      </c>
      <c r="S193" s="153"/>
      <c r="T193" s="148" t="str">
        <f t="shared" si="91"/>
        <v>Completed</v>
      </c>
      <c r="U193" s="153"/>
      <c r="V193" s="153"/>
      <c r="W193" s="387">
        <f t="shared" si="92"/>
        <v>-7</v>
      </c>
      <c r="X193" s="387">
        <f t="shared" si="93"/>
        <v>7</v>
      </c>
      <c r="Y193" s="301">
        <f t="shared" si="94"/>
        <v>0</v>
      </c>
      <c r="Z193" s="301">
        <f t="shared" si="95"/>
        <v>2</v>
      </c>
      <c r="AA193" s="323" t="str">
        <f>CONCATENATE("                x[team1,team2,sport,'",IF(OR(I193="x",I193=""),VLOOKUP('Schedule from TM'!J193,Tables!$P$3:$Q$33,2,FALSE),'Schedule from TM'!I193),",",J193,"','",IF(OR(F193="x",F193=""),VLOOKUP('Schedule from TM'!G193,Tables!$U$3:$V$14,2,FALSE),'Schedule from TM'!F193),",",TEXT(G193,"mm/dd/yyyy"),"','",TEXT(H193,"h:mm:ss AM/PM"),"'].ub=0.0      #",B193)</f>
        <v xml:space="preserve">                x[team1,team2,sport,'21,Hillel - Field 2','22,11/22/2017','6:50:00 PM'].ub=0.0      #Ch C Male Flag Football</v>
      </c>
      <c r="AB193" s="301" t="str">
        <f t="shared" si="96"/>
        <v>,,Ch C Male Flag Football,,1,CHILD CM - ARG 2</v>
      </c>
      <c r="AC193" s="153" t="str">
        <f t="shared" si="97"/>
        <v>Ch C Male Flag FootballCHILD CM - ARG 2</v>
      </c>
      <c r="AD193" s="301" t="str">
        <f t="shared" si="98"/>
        <v>,,Ch C Male Flag Football,,1,CHILD CM - USA 1</v>
      </c>
      <c r="AE193" s="153" t="str">
        <f t="shared" si="99"/>
        <v>Ch C Male Flag FootballCHILD CM - USA 1</v>
      </c>
      <c r="AF193" s="383">
        <f t="shared" si="100"/>
        <v>0</v>
      </c>
      <c r="AG193" s="383">
        <f t="shared" si="101"/>
        <v>1</v>
      </c>
      <c r="AH193" s="383">
        <f t="shared" si="102"/>
        <v>0</v>
      </c>
      <c r="AI193" s="383">
        <f t="shared" si="103"/>
        <v>1</v>
      </c>
      <c r="AJ193" s="383">
        <f t="shared" si="104"/>
        <v>0</v>
      </c>
      <c r="AK193" s="383">
        <f t="shared" si="105"/>
        <v>0</v>
      </c>
      <c r="AM193" s="148" t="str">
        <f t="shared" si="106"/>
        <v>Schedulled</v>
      </c>
      <c r="AN193" s="148" t="str">
        <f t="shared" si="107"/>
        <v/>
      </c>
      <c r="AO193" s="156">
        <f t="shared" si="108"/>
        <v>43061.784722222219</v>
      </c>
      <c r="AP193" s="148" t="str">
        <f t="shared" si="109"/>
        <v>11/22/2017 18:50-&gt;Hillel - Field 2</v>
      </c>
      <c r="AQ193" s="374">
        <f t="shared" si="110"/>
        <v>1</v>
      </c>
      <c r="AR193" s="148" t="str">
        <f t="shared" si="111"/>
        <v>ARG2</v>
      </c>
      <c r="AS193" s="148" t="str">
        <f t="shared" si="112"/>
        <v>USA1</v>
      </c>
      <c r="AT193" s="157" t="str">
        <f t="shared" si="113"/>
        <v>ARG2-USA1</v>
      </c>
      <c r="AU193" s="157" t="str">
        <f t="shared" si="114"/>
        <v xml:space="preserve">ARG2-USA1 </v>
      </c>
      <c r="AV193" s="157" t="str">
        <f t="shared" si="115"/>
        <v>CHILDREN C MALE</v>
      </c>
      <c r="AW193" s="157" t="str">
        <f t="shared" si="116"/>
        <v>Flag Football</v>
      </c>
      <c r="AX193" s="376">
        <f t="shared" si="117"/>
        <v>191</v>
      </c>
      <c r="AY193" s="148" t="str">
        <f t="shared" si="118"/>
        <v>CHILD CM - ARG 2-&gt;CHILD CM - USA 1</v>
      </c>
      <c r="AZ193" s="148" t="str">
        <f t="shared" si="119"/>
        <v>11/22/2017 18:50-&gt;CHILD CM - ARG 2</v>
      </c>
      <c r="BA193" s="148" t="str">
        <f t="shared" si="120"/>
        <v>11/22/2017 18:50-&gt;CHILD CM - USA 1</v>
      </c>
      <c r="BB193" s="374">
        <f t="shared" si="121"/>
        <v>1</v>
      </c>
      <c r="BC193" s="374">
        <f t="shared" si="122"/>
        <v>1</v>
      </c>
      <c r="BD193" s="148" t="str">
        <f t="shared" si="123"/>
        <v>no conflict</v>
      </c>
      <c r="BF193" s="148" t="str">
        <f t="shared" si="124"/>
        <v>11/22/2017 18:50-&gt;CHILD CM - ARG 2</v>
      </c>
      <c r="BG193" s="148" t="str">
        <f t="shared" si="125"/>
        <v>11/22/2017 18:50-&gt;CHILD CM - USA 1</v>
      </c>
      <c r="BH193" s="148" t="str">
        <f t="shared" si="126"/>
        <v>11/22/2017 18:50-&gt;Hillel - Field 2</v>
      </c>
      <c r="BI193" s="148" t="str">
        <f t="shared" si="127"/>
        <v>Flag Football in Hillel - Field 2 (ARG2-USA1)</v>
      </c>
      <c r="BJ193" s="148" t="str">
        <f t="shared" si="128"/>
        <v>Ch C Male Flag Football-- CHILD CM - ARG 2 vs. CHILD CM - USA 1</v>
      </c>
      <c r="BK193" s="148" t="str">
        <f t="shared" si="129"/>
        <v>Flag Football</v>
      </c>
      <c r="BL193" s="148" t="str">
        <f t="shared" si="130"/>
        <v>CHILD CM - ARG 2</v>
      </c>
      <c r="BM193" s="148" t="str">
        <f t="shared" si="131"/>
        <v>CHILD CM - USA 1</v>
      </c>
      <c r="BN193" s="148" t="str">
        <f t="shared" si="132"/>
        <v>Round - 1</v>
      </c>
      <c r="BP193" s="148" t="str">
        <f t="shared" si="133"/>
        <v>no t, f, or sf</v>
      </c>
      <c r="BQ193" s="148" t="str">
        <f t="shared" si="134"/>
        <v/>
      </c>
    </row>
    <row r="194" spans="1:69" ht="15" customHeight="1" x14ac:dyDescent="0.2">
      <c r="A194" s="376">
        <v>192</v>
      </c>
      <c r="B194" s="441" t="s">
        <v>46</v>
      </c>
      <c r="C194" s="441" t="s">
        <v>518</v>
      </c>
      <c r="D194" s="450">
        <v>1</v>
      </c>
      <c r="E194" s="450">
        <v>1</v>
      </c>
      <c r="F194" s="315" t="s">
        <v>770</v>
      </c>
      <c r="G194" s="320">
        <v>43062</v>
      </c>
      <c r="H194" s="317">
        <v>0.61111111111111105</v>
      </c>
      <c r="I194" s="325" t="s">
        <v>770</v>
      </c>
      <c r="J194" s="441" t="s">
        <v>703</v>
      </c>
      <c r="K194" s="441">
        <v>31</v>
      </c>
      <c r="L194" s="433" t="s">
        <v>572</v>
      </c>
      <c r="M194">
        <v>31</v>
      </c>
      <c r="N194" s="433" t="s">
        <v>574</v>
      </c>
      <c r="O194" s="153" t="str">
        <f>IF(L194&lt;&gt;"",IFERROR(VLOOKUP(B194&amp;L194,Pools!$A$2:$D$130,3,FALSE),""),"")</f>
        <v/>
      </c>
      <c r="P194" s="388">
        <v>2</v>
      </c>
      <c r="Q194" s="388">
        <v>13</v>
      </c>
      <c r="R194" s="306" t="str">
        <f t="shared" si="90"/>
        <v>2-13</v>
      </c>
      <c r="S194" s="153"/>
      <c r="T194" s="148" t="str">
        <f t="shared" si="91"/>
        <v>Completed</v>
      </c>
      <c r="U194" s="153"/>
      <c r="V194" s="153"/>
      <c r="W194" s="387">
        <f t="shared" si="92"/>
        <v>-11</v>
      </c>
      <c r="X194" s="387">
        <f t="shared" si="93"/>
        <v>11</v>
      </c>
      <c r="Y194" s="301">
        <f t="shared" si="94"/>
        <v>0</v>
      </c>
      <c r="Z194" s="301">
        <f t="shared" si="95"/>
        <v>2</v>
      </c>
      <c r="AA194" s="323" t="str">
        <f>CONCATENATE("                x[team1,team2,sport,'",IF(OR(I194="x",I194=""),VLOOKUP('Schedule from TM'!J194,Tables!$P$3:$Q$33,2,FALSE),'Schedule from TM'!I194),",",J194,"','",IF(OR(F194="x",F194=""),VLOOKUP('Schedule from TM'!G194,Tables!$U$3:$V$14,2,FALSE),'Schedule from TM'!F194),",",TEXT(G194,"mm/dd/yyyy"),"','",TEXT(H194,"h:mm:ss AM/PM"),"'].ub=0.0      #",B194)</f>
        <v xml:space="preserve">                x[team1,team2,sport,'21,Hillel - Field 1','11,11/23/2017','2:40:00 PM'].ub=0.0      #Ch C Male Flag Football</v>
      </c>
      <c r="AB194" s="301" t="str">
        <f t="shared" si="96"/>
        <v>,,Ch C Male Flag Football,,1,CHILD CM - ARG 1</v>
      </c>
      <c r="AC194" s="153" t="str">
        <f t="shared" si="97"/>
        <v>Ch C Male Flag FootballCHILD CM - ARG 1</v>
      </c>
      <c r="AD194" s="301" t="str">
        <f t="shared" si="98"/>
        <v>,,Ch C Male Flag Football,,1,CHILD CM - COL 1</v>
      </c>
      <c r="AE194" s="153" t="str">
        <f t="shared" si="99"/>
        <v>Ch C Male Flag FootballCHILD CM - COL 1</v>
      </c>
      <c r="AF194" s="383">
        <f t="shared" si="100"/>
        <v>0</v>
      </c>
      <c r="AG194" s="383">
        <f t="shared" si="101"/>
        <v>1</v>
      </c>
      <c r="AH194" s="383">
        <f t="shared" si="102"/>
        <v>0</v>
      </c>
      <c r="AI194" s="383">
        <f t="shared" si="103"/>
        <v>1</v>
      </c>
      <c r="AJ194" s="383">
        <f t="shared" si="104"/>
        <v>0</v>
      </c>
      <c r="AK194" s="383">
        <f t="shared" si="105"/>
        <v>0</v>
      </c>
      <c r="AM194" s="148" t="str">
        <f t="shared" si="106"/>
        <v>Schedulled</v>
      </c>
      <c r="AN194" s="148" t="str">
        <f t="shared" si="107"/>
        <v/>
      </c>
      <c r="AO194" s="156">
        <f t="shared" si="108"/>
        <v>43062.611111111109</v>
      </c>
      <c r="AP194" s="148" t="str">
        <f t="shared" si="109"/>
        <v>11/23/2017 14:40-&gt;Hillel - Field 1</v>
      </c>
      <c r="AQ194" s="374">
        <f t="shared" si="110"/>
        <v>1</v>
      </c>
      <c r="AR194" s="148" t="str">
        <f t="shared" si="111"/>
        <v>ARG1</v>
      </c>
      <c r="AS194" s="148" t="str">
        <f t="shared" si="112"/>
        <v>COL1</v>
      </c>
      <c r="AT194" s="157" t="str">
        <f t="shared" si="113"/>
        <v>ARG1-COL1</v>
      </c>
      <c r="AU194" s="157" t="str">
        <f t="shared" si="114"/>
        <v xml:space="preserve">ARG1-COL1 </v>
      </c>
      <c r="AV194" s="157" t="str">
        <f t="shared" si="115"/>
        <v>CHILDREN C MALE</v>
      </c>
      <c r="AW194" s="157" t="str">
        <f t="shared" si="116"/>
        <v>Flag Football</v>
      </c>
      <c r="AX194" s="376">
        <f t="shared" si="117"/>
        <v>192</v>
      </c>
      <c r="AY194" s="148" t="str">
        <f t="shared" si="118"/>
        <v>CHILD CM - ARG 1-&gt;CHILD CM - COL 1</v>
      </c>
      <c r="AZ194" s="148" t="str">
        <f t="shared" si="119"/>
        <v>11/23/2017 14:40-&gt;CHILD CM - ARG 1</v>
      </c>
      <c r="BA194" s="148" t="str">
        <f t="shared" si="120"/>
        <v>11/23/2017 14:40-&gt;CHILD CM - COL 1</v>
      </c>
      <c r="BB194" s="374">
        <f t="shared" si="121"/>
        <v>1</v>
      </c>
      <c r="BC194" s="374">
        <f t="shared" si="122"/>
        <v>1</v>
      </c>
      <c r="BD194" s="148" t="str">
        <f t="shared" si="123"/>
        <v>no conflict</v>
      </c>
      <c r="BF194" s="148" t="str">
        <f t="shared" si="124"/>
        <v>11/23/2017 14:40-&gt;CHILD CM - ARG 1</v>
      </c>
      <c r="BG194" s="148" t="str">
        <f t="shared" si="125"/>
        <v>11/23/2017 14:40-&gt;CHILD CM - COL 1</v>
      </c>
      <c r="BH194" s="148" t="str">
        <f t="shared" si="126"/>
        <v>11/23/2017 14:40-&gt;Hillel - Field 1</v>
      </c>
      <c r="BI194" s="148" t="str">
        <f t="shared" si="127"/>
        <v>Flag Football in Hillel - Field 1 (ARG1-COL1)</v>
      </c>
      <c r="BJ194" s="148" t="str">
        <f t="shared" si="128"/>
        <v>Ch C Male Flag Football-- CHILD CM - ARG 1 vs. CHILD CM - COL 1</v>
      </c>
      <c r="BK194" s="148" t="str">
        <f t="shared" si="129"/>
        <v>Flag Football</v>
      </c>
      <c r="BL194" s="148" t="str">
        <f t="shared" si="130"/>
        <v>CHILD CM - ARG 1</v>
      </c>
      <c r="BM194" s="148" t="str">
        <f t="shared" si="131"/>
        <v>CHILD CM - COL 1</v>
      </c>
      <c r="BN194" s="148" t="str">
        <f t="shared" si="132"/>
        <v>Round - 1</v>
      </c>
      <c r="BP194" s="148" t="str">
        <f t="shared" si="133"/>
        <v>no t, f, or sf</v>
      </c>
      <c r="BQ194" s="148" t="str">
        <f t="shared" si="134"/>
        <v/>
      </c>
    </row>
    <row r="195" spans="1:69" ht="15" customHeight="1" x14ac:dyDescent="0.2">
      <c r="A195" s="376">
        <v>193</v>
      </c>
      <c r="B195" s="444" t="s">
        <v>46</v>
      </c>
      <c r="C195" s="444" t="s">
        <v>518</v>
      </c>
      <c r="D195" s="451">
        <v>1</v>
      </c>
      <c r="E195" s="451">
        <v>1</v>
      </c>
      <c r="F195" s="315" t="s">
        <v>770</v>
      </c>
      <c r="G195" s="445">
        <v>43062</v>
      </c>
      <c r="H195" s="317">
        <v>0.68055555555555547</v>
      </c>
      <c r="I195" s="325" t="s">
        <v>770</v>
      </c>
      <c r="J195" s="444" t="s">
        <v>706</v>
      </c>
      <c r="K195" s="444">
        <v>31</v>
      </c>
      <c r="L195" t="s">
        <v>580</v>
      </c>
      <c r="M195">
        <v>31</v>
      </c>
      <c r="N195" t="s">
        <v>578</v>
      </c>
      <c r="O195" s="153" t="str">
        <f>IF(L195&lt;&gt;"",IFERROR(VLOOKUP(B195&amp;L195,Pools!$A$2:$D$130,3,FALSE),""),"")</f>
        <v/>
      </c>
      <c r="P195" s="388">
        <v>29</v>
      </c>
      <c r="Q195" s="388">
        <v>7</v>
      </c>
      <c r="R195" s="306" t="str">
        <f t="shared" si="90"/>
        <v>29-7</v>
      </c>
      <c r="S195" s="153"/>
      <c r="T195" s="148" t="str">
        <f t="shared" si="91"/>
        <v>Completed</v>
      </c>
      <c r="U195" s="153"/>
      <c r="V195" s="153"/>
      <c r="W195" s="387">
        <f t="shared" si="92"/>
        <v>21</v>
      </c>
      <c r="X195" s="387">
        <f t="shared" si="93"/>
        <v>-21</v>
      </c>
      <c r="Y195" s="301">
        <f t="shared" si="94"/>
        <v>2</v>
      </c>
      <c r="Z195" s="301">
        <f t="shared" si="95"/>
        <v>0</v>
      </c>
      <c r="AA195" s="323" t="str">
        <f>CONCATENATE("                x[team1,team2,sport,'",IF(OR(I195="x",I195=""),VLOOKUP('Schedule from TM'!J195,Tables!$P$3:$Q$33,2,FALSE),'Schedule from TM'!I195),",",J195,"','",IF(OR(F195="x",F195=""),VLOOKUP('Schedule from TM'!G195,Tables!$U$3:$V$14,2,FALSE),'Schedule from TM'!F195),",",TEXT(G195,"mm/dd/yyyy"),"','",TEXT(H195,"h:mm:ss AM/PM"),"'].ub=0.0      #",B195)</f>
        <v xml:space="preserve">                x[team1,team2,sport,'21,Hillel - Field 4','11,11/23/2017','4:20:00 PM'].ub=0.0      #Ch C Male Flag Football</v>
      </c>
      <c r="AB195" s="301" t="str">
        <f t="shared" si="96"/>
        <v>,,Ch C Male Flag Football,,1,CHILD CM - VEN 1</v>
      </c>
      <c r="AC195" s="153" t="str">
        <f t="shared" si="97"/>
        <v>Ch C Male Flag FootballCHILD CM - VEN 1</v>
      </c>
      <c r="AD195" s="301" t="str">
        <f t="shared" si="98"/>
        <v>,,Ch C Male Flag Football,,1,CHILD CM - USA 1</v>
      </c>
      <c r="AE195" s="153" t="str">
        <f t="shared" si="99"/>
        <v>Ch C Male Flag FootballCHILD CM - USA 1</v>
      </c>
      <c r="AF195" s="383">
        <f t="shared" si="100"/>
        <v>1</v>
      </c>
      <c r="AG195" s="383">
        <f t="shared" si="101"/>
        <v>0</v>
      </c>
      <c r="AH195" s="383">
        <f t="shared" si="102"/>
        <v>0</v>
      </c>
      <c r="AI195" s="383">
        <f t="shared" si="103"/>
        <v>0</v>
      </c>
      <c r="AJ195" s="383">
        <f t="shared" si="104"/>
        <v>1</v>
      </c>
      <c r="AK195" s="383">
        <f t="shared" si="105"/>
        <v>0</v>
      </c>
      <c r="AM195" s="148" t="str">
        <f t="shared" si="106"/>
        <v>Schedulled</v>
      </c>
      <c r="AN195" s="148" t="str">
        <f t="shared" si="107"/>
        <v/>
      </c>
      <c r="AO195" s="156">
        <f t="shared" si="108"/>
        <v>43062.680555555555</v>
      </c>
      <c r="AP195" s="148" t="str">
        <f t="shared" si="109"/>
        <v>11/23/2017 16:20-&gt;Hillel - Field 4</v>
      </c>
      <c r="AQ195" s="374">
        <f t="shared" si="110"/>
        <v>1</v>
      </c>
      <c r="AR195" s="148" t="str">
        <f t="shared" si="111"/>
        <v>VEN1</v>
      </c>
      <c r="AS195" s="148" t="str">
        <f t="shared" si="112"/>
        <v>USA1</v>
      </c>
      <c r="AT195" s="157" t="str">
        <f t="shared" si="113"/>
        <v>VEN1-USA1</v>
      </c>
      <c r="AU195" s="157" t="str">
        <f t="shared" si="114"/>
        <v xml:space="preserve">VEN1-USA1 </v>
      </c>
      <c r="AV195" s="157" t="str">
        <f t="shared" si="115"/>
        <v>CHILDREN C MALE</v>
      </c>
      <c r="AW195" s="157" t="str">
        <f t="shared" si="116"/>
        <v>Flag Football</v>
      </c>
      <c r="AX195" s="376">
        <f t="shared" si="117"/>
        <v>193</v>
      </c>
      <c r="AY195" s="148" t="str">
        <f t="shared" si="118"/>
        <v>CHILD CM - VEN 1-&gt;CHILD CM - USA 1</v>
      </c>
      <c r="AZ195" s="148" t="str">
        <f t="shared" si="119"/>
        <v>11/23/2017 16:20-&gt;CHILD CM - VEN 1</v>
      </c>
      <c r="BA195" s="148" t="str">
        <f t="shared" si="120"/>
        <v>11/23/2017 16:20-&gt;CHILD CM - USA 1</v>
      </c>
      <c r="BB195" s="374">
        <f t="shared" si="121"/>
        <v>1</v>
      </c>
      <c r="BC195" s="374">
        <f t="shared" si="122"/>
        <v>1</v>
      </c>
      <c r="BD195" s="148" t="str">
        <f t="shared" si="123"/>
        <v>no conflict</v>
      </c>
      <c r="BF195" s="148" t="str">
        <f t="shared" si="124"/>
        <v>11/23/2017 16:20-&gt;CHILD CM - VEN 1</v>
      </c>
      <c r="BG195" s="148" t="str">
        <f t="shared" si="125"/>
        <v>11/23/2017 16:20-&gt;CHILD CM - USA 1</v>
      </c>
      <c r="BH195" s="148" t="str">
        <f t="shared" si="126"/>
        <v>11/23/2017 16:20-&gt;Hillel - Field 4</v>
      </c>
      <c r="BI195" s="148" t="str">
        <f t="shared" si="127"/>
        <v>Flag Football in Hillel - Field 4 (VEN1-USA1)</v>
      </c>
      <c r="BJ195" s="148" t="str">
        <f t="shared" si="128"/>
        <v>Ch C Male Flag Football-- CHILD CM - VEN 1 vs. CHILD CM - USA 1</v>
      </c>
      <c r="BK195" s="148" t="str">
        <f t="shared" si="129"/>
        <v>Flag Football</v>
      </c>
      <c r="BL195" s="148" t="str">
        <f t="shared" si="130"/>
        <v>CHILD CM - VEN 1</v>
      </c>
      <c r="BM195" s="148" t="str">
        <f t="shared" si="131"/>
        <v>CHILD CM - USA 1</v>
      </c>
      <c r="BN195" s="148" t="str">
        <f t="shared" si="132"/>
        <v>Round - 1</v>
      </c>
      <c r="BP195" s="148" t="str">
        <f t="shared" si="133"/>
        <v>no t, f, or sf</v>
      </c>
      <c r="BQ195" s="148" t="str">
        <f t="shared" si="134"/>
        <v/>
      </c>
    </row>
    <row r="196" spans="1:69" ht="15" customHeight="1" x14ac:dyDescent="0.2">
      <c r="A196" s="376">
        <v>194</v>
      </c>
      <c r="B196" s="441" t="s">
        <v>46</v>
      </c>
      <c r="C196" s="441" t="s">
        <v>518</v>
      </c>
      <c r="D196" s="450">
        <v>1</v>
      </c>
      <c r="E196" s="450">
        <v>1</v>
      </c>
      <c r="F196" s="315" t="s">
        <v>770</v>
      </c>
      <c r="G196" s="320">
        <v>43062</v>
      </c>
      <c r="H196" s="317">
        <v>0.68055555555555547</v>
      </c>
      <c r="I196" s="325" t="s">
        <v>770</v>
      </c>
      <c r="J196" s="441" t="s">
        <v>705</v>
      </c>
      <c r="K196" s="441">
        <v>31</v>
      </c>
      <c r="L196" t="s">
        <v>581</v>
      </c>
      <c r="M196">
        <v>31</v>
      </c>
      <c r="N196" t="s">
        <v>573</v>
      </c>
      <c r="O196" s="153" t="str">
        <f>IF(L196&lt;&gt;"",IFERROR(VLOOKUP(B196&amp;L196,Pools!$A$2:$D$130,3,FALSE),""),"")</f>
        <v/>
      </c>
      <c r="P196" s="388">
        <v>24</v>
      </c>
      <c r="Q196" s="388">
        <v>0</v>
      </c>
      <c r="R196" s="306" t="str">
        <f t="shared" si="90"/>
        <v>24-0</v>
      </c>
      <c r="S196" s="153"/>
      <c r="T196" s="148" t="str">
        <f t="shared" si="91"/>
        <v>Completed</v>
      </c>
      <c r="U196" s="153"/>
      <c r="V196" s="153"/>
      <c r="W196" s="387">
        <f t="shared" si="92"/>
        <v>21</v>
      </c>
      <c r="X196" s="387">
        <f t="shared" si="93"/>
        <v>-21</v>
      </c>
      <c r="Y196" s="301">
        <f t="shared" si="94"/>
        <v>2</v>
      </c>
      <c r="Z196" s="301">
        <f t="shared" si="95"/>
        <v>0</v>
      </c>
      <c r="AA196" s="323" t="str">
        <f>CONCATENATE("                x[team1,team2,sport,'",IF(OR(I196="x",I196=""),VLOOKUP('Schedule from TM'!J196,Tables!$P$3:$Q$33,2,FALSE),'Schedule from TM'!I196),",",J196,"','",IF(OR(F196="x",F196=""),VLOOKUP('Schedule from TM'!G196,Tables!$U$3:$V$14,2,FALSE),'Schedule from TM'!F196),",",TEXT(G196,"mm/dd/yyyy"),"','",TEXT(H196,"h:mm:ss AM/PM"),"'].ub=0.0      #",B196)</f>
        <v xml:space="preserve">                x[team1,team2,sport,'21,Hillel - Field 3','11,11/23/2017','4:20:00 PM'].ub=0.0      #Ch C Male Flag Football</v>
      </c>
      <c r="AB196" s="301" t="str">
        <f t="shared" si="96"/>
        <v>,,Ch C Male Flag Football,,1,CHILD CM - VEN 2</v>
      </c>
      <c r="AC196" s="153" t="str">
        <f t="shared" si="97"/>
        <v>Ch C Male Flag FootballCHILD CM - VEN 2</v>
      </c>
      <c r="AD196" s="301" t="str">
        <f t="shared" si="98"/>
        <v>,,Ch C Male Flag Football,,1,CHILD CM - ARG 2</v>
      </c>
      <c r="AE196" s="153" t="str">
        <f t="shared" si="99"/>
        <v>Ch C Male Flag FootballCHILD CM - ARG 2</v>
      </c>
      <c r="AF196" s="383">
        <f t="shared" si="100"/>
        <v>1</v>
      </c>
      <c r="AG196" s="383">
        <f t="shared" si="101"/>
        <v>0</v>
      </c>
      <c r="AH196" s="383">
        <f t="shared" si="102"/>
        <v>0</v>
      </c>
      <c r="AI196" s="383">
        <f t="shared" si="103"/>
        <v>0</v>
      </c>
      <c r="AJ196" s="383">
        <f t="shared" si="104"/>
        <v>1</v>
      </c>
      <c r="AK196" s="383">
        <f t="shared" si="105"/>
        <v>0</v>
      </c>
      <c r="AM196" s="148" t="str">
        <f t="shared" si="106"/>
        <v>Schedulled</v>
      </c>
      <c r="AN196" s="148" t="str">
        <f t="shared" si="107"/>
        <v/>
      </c>
      <c r="AO196" s="156">
        <f t="shared" si="108"/>
        <v>43062.680555555555</v>
      </c>
      <c r="AP196" s="148" t="str">
        <f t="shared" si="109"/>
        <v>11/23/2017 16:20-&gt;Hillel - Field 3</v>
      </c>
      <c r="AQ196" s="374">
        <f t="shared" si="110"/>
        <v>1</v>
      </c>
      <c r="AR196" s="148" t="str">
        <f t="shared" si="111"/>
        <v>VEN2</v>
      </c>
      <c r="AS196" s="148" t="str">
        <f t="shared" si="112"/>
        <v>ARG2</v>
      </c>
      <c r="AT196" s="157" t="str">
        <f t="shared" si="113"/>
        <v>VEN2-ARG2</v>
      </c>
      <c r="AU196" s="157" t="str">
        <f t="shared" si="114"/>
        <v xml:space="preserve">VEN2-ARG2 </v>
      </c>
      <c r="AV196" s="157" t="str">
        <f t="shared" si="115"/>
        <v>CHILDREN C MALE</v>
      </c>
      <c r="AW196" s="157" t="str">
        <f t="shared" si="116"/>
        <v>Flag Football</v>
      </c>
      <c r="AX196" s="376">
        <f t="shared" si="117"/>
        <v>194</v>
      </c>
      <c r="AY196" s="148" t="str">
        <f t="shared" si="118"/>
        <v>CHILD CM - VEN 2-&gt;CHILD CM - ARG 2</v>
      </c>
      <c r="AZ196" s="148" t="str">
        <f t="shared" si="119"/>
        <v>11/23/2017 16:20-&gt;CHILD CM - VEN 2</v>
      </c>
      <c r="BA196" s="148" t="str">
        <f t="shared" si="120"/>
        <v>11/23/2017 16:20-&gt;CHILD CM - ARG 2</v>
      </c>
      <c r="BB196" s="374">
        <f t="shared" si="121"/>
        <v>1</v>
      </c>
      <c r="BC196" s="374">
        <f t="shared" si="122"/>
        <v>1</v>
      </c>
      <c r="BD196" s="148" t="str">
        <f t="shared" si="123"/>
        <v>no conflict</v>
      </c>
      <c r="BF196" s="148" t="str">
        <f t="shared" si="124"/>
        <v>11/23/2017 16:20-&gt;CHILD CM - VEN 2</v>
      </c>
      <c r="BG196" s="148" t="str">
        <f t="shared" si="125"/>
        <v>11/23/2017 16:20-&gt;CHILD CM - ARG 2</v>
      </c>
      <c r="BH196" s="148" t="str">
        <f t="shared" si="126"/>
        <v>11/23/2017 16:20-&gt;Hillel - Field 3</v>
      </c>
      <c r="BI196" s="148" t="str">
        <f t="shared" si="127"/>
        <v>Flag Football in Hillel - Field 3 (VEN2-ARG2)</v>
      </c>
      <c r="BJ196" s="148" t="str">
        <f t="shared" si="128"/>
        <v>Ch C Male Flag Football-- CHILD CM - VEN 2 vs. CHILD CM - ARG 2</v>
      </c>
      <c r="BK196" s="148" t="str">
        <f t="shared" si="129"/>
        <v>Flag Football</v>
      </c>
      <c r="BL196" s="148" t="str">
        <f t="shared" si="130"/>
        <v>CHILD CM - VEN 2</v>
      </c>
      <c r="BM196" s="148" t="str">
        <f t="shared" si="131"/>
        <v>CHILD CM - ARG 2</v>
      </c>
      <c r="BN196" s="148" t="str">
        <f t="shared" si="132"/>
        <v>Round - 1</v>
      </c>
      <c r="BP196" s="148" t="str">
        <f t="shared" si="133"/>
        <v>no t, f, or sf</v>
      </c>
      <c r="BQ196" s="148" t="str">
        <f t="shared" si="134"/>
        <v/>
      </c>
    </row>
    <row r="197" spans="1:69" ht="15" customHeight="1" x14ac:dyDescent="0.2">
      <c r="A197" s="376">
        <v>195</v>
      </c>
      <c r="B197" s="315" t="s">
        <v>46</v>
      </c>
      <c r="C197" s="315" t="s">
        <v>518</v>
      </c>
      <c r="D197" s="378">
        <v>1</v>
      </c>
      <c r="E197" s="378">
        <v>1</v>
      </c>
      <c r="F197" s="315" t="s">
        <v>770</v>
      </c>
      <c r="G197" s="316">
        <v>43063</v>
      </c>
      <c r="H197" s="417">
        <v>0.50694444444444442</v>
      </c>
      <c r="I197" s="325" t="s">
        <v>770</v>
      </c>
      <c r="J197" s="443" t="s">
        <v>703</v>
      </c>
      <c r="K197" s="315">
        <v>31</v>
      </c>
      <c r="L197" t="s">
        <v>572</v>
      </c>
      <c r="M197">
        <v>31</v>
      </c>
      <c r="N197" t="s">
        <v>581</v>
      </c>
      <c r="O197" s="153" t="str">
        <f>IF(L197&lt;&gt;"",IFERROR(VLOOKUP(B197&amp;L197,Pools!$A$2:$D$130,3,FALSE),""),"")</f>
        <v/>
      </c>
      <c r="P197" s="388">
        <v>14</v>
      </c>
      <c r="Q197" s="388">
        <v>34</v>
      </c>
      <c r="R197" s="306" t="str">
        <f t="shared" si="90"/>
        <v>14-34</v>
      </c>
      <c r="S197" s="153"/>
      <c r="T197" s="148" t="str">
        <f t="shared" si="91"/>
        <v>Completed</v>
      </c>
      <c r="U197" s="153"/>
      <c r="V197" s="153"/>
      <c r="W197" s="387">
        <f t="shared" si="92"/>
        <v>-20</v>
      </c>
      <c r="X197" s="387">
        <f t="shared" si="93"/>
        <v>20</v>
      </c>
      <c r="Y197" s="301">
        <f t="shared" si="94"/>
        <v>0</v>
      </c>
      <c r="Z197" s="301">
        <f t="shared" si="95"/>
        <v>2</v>
      </c>
      <c r="AA197" s="323" t="str">
        <f>CONCATENATE("                x[team1,team2,sport,'",IF(OR(I197="x",I197=""),VLOOKUP('Schedule from TM'!J197,Tables!$P$3:$Q$33,2,FALSE),'Schedule from TM'!I197),",",J197,"','",IF(OR(F197="x",F197=""),VLOOKUP('Schedule from TM'!G197,Tables!$U$3:$V$14,2,FALSE),'Schedule from TM'!F197),",",TEXT(G197,"mm/dd/yyyy"),"','",TEXT(H197,"h:mm:ss AM/PM"),"'].ub=0.0      #",B197)</f>
        <v xml:space="preserve">                x[team1,team2,sport,'21,Hillel - Field 1','11,11/24/2017','12:10:00 PM'].ub=0.0      #Ch C Male Flag Football</v>
      </c>
      <c r="AB197" s="301" t="str">
        <f t="shared" si="96"/>
        <v>,,Ch C Male Flag Football,,1,CHILD CM - ARG 1</v>
      </c>
      <c r="AC197" s="153" t="str">
        <f t="shared" si="97"/>
        <v>Ch C Male Flag FootballCHILD CM - ARG 1</v>
      </c>
      <c r="AD197" s="301" t="str">
        <f t="shared" si="98"/>
        <v>,,Ch C Male Flag Football,,1,CHILD CM - VEN 2</v>
      </c>
      <c r="AE197" s="153" t="str">
        <f t="shared" si="99"/>
        <v>Ch C Male Flag FootballCHILD CM - VEN 2</v>
      </c>
      <c r="AF197" s="383">
        <f t="shared" si="100"/>
        <v>0</v>
      </c>
      <c r="AG197" s="383">
        <f t="shared" si="101"/>
        <v>1</v>
      </c>
      <c r="AH197" s="383">
        <f t="shared" si="102"/>
        <v>0</v>
      </c>
      <c r="AI197" s="383">
        <f t="shared" si="103"/>
        <v>1</v>
      </c>
      <c r="AJ197" s="383">
        <f t="shared" si="104"/>
        <v>0</v>
      </c>
      <c r="AK197" s="383">
        <f t="shared" si="105"/>
        <v>0</v>
      </c>
      <c r="AM197" s="148" t="str">
        <f t="shared" si="106"/>
        <v>Schedulled</v>
      </c>
      <c r="AN197" s="148" t="str">
        <f t="shared" si="107"/>
        <v/>
      </c>
      <c r="AO197" s="156">
        <f t="shared" si="108"/>
        <v>43063.506944444445</v>
      </c>
      <c r="AP197" s="148" t="str">
        <f t="shared" si="109"/>
        <v>11/24/2017 12:10-&gt;Hillel - Field 1</v>
      </c>
      <c r="AQ197" s="374">
        <f t="shared" si="110"/>
        <v>1</v>
      </c>
      <c r="AR197" s="148" t="str">
        <f t="shared" si="111"/>
        <v>ARG1</v>
      </c>
      <c r="AS197" s="148" t="str">
        <f t="shared" si="112"/>
        <v>VEN2</v>
      </c>
      <c r="AT197" s="157" t="str">
        <f t="shared" si="113"/>
        <v>ARG1-VEN2</v>
      </c>
      <c r="AU197" s="157" t="str">
        <f t="shared" si="114"/>
        <v xml:space="preserve">ARG1-VEN2 </v>
      </c>
      <c r="AV197" s="157" t="str">
        <f t="shared" si="115"/>
        <v>CHILDREN C MALE</v>
      </c>
      <c r="AW197" s="157" t="str">
        <f t="shared" si="116"/>
        <v>Flag Football</v>
      </c>
      <c r="AX197" s="376">
        <f t="shared" si="117"/>
        <v>195</v>
      </c>
      <c r="AY197" s="148" t="str">
        <f t="shared" si="118"/>
        <v>CHILD CM - ARG 1-&gt;CHILD CM - VEN 2</v>
      </c>
      <c r="AZ197" s="148" t="str">
        <f t="shared" si="119"/>
        <v>11/24/2017 12:10-&gt;CHILD CM - ARG 1</v>
      </c>
      <c r="BA197" s="148" t="str">
        <f t="shared" si="120"/>
        <v>11/24/2017 12:10-&gt;CHILD CM - VEN 2</v>
      </c>
      <c r="BB197" s="374">
        <f t="shared" si="121"/>
        <v>1</v>
      </c>
      <c r="BC197" s="374">
        <f t="shared" si="122"/>
        <v>1</v>
      </c>
      <c r="BD197" s="148" t="str">
        <f t="shared" si="123"/>
        <v>no conflict</v>
      </c>
      <c r="BF197" s="148" t="str">
        <f t="shared" si="124"/>
        <v>11/24/2017 12:10-&gt;CHILD CM - ARG 1</v>
      </c>
      <c r="BG197" s="148" t="str">
        <f t="shared" si="125"/>
        <v>11/24/2017 12:10-&gt;CHILD CM - VEN 2</v>
      </c>
      <c r="BH197" s="148" t="str">
        <f t="shared" si="126"/>
        <v>11/24/2017 12:10-&gt;Hillel - Field 1</v>
      </c>
      <c r="BI197" s="148" t="str">
        <f t="shared" si="127"/>
        <v>Flag Football in Hillel - Field 1 (ARG1-VEN2)</v>
      </c>
      <c r="BJ197" s="148" t="str">
        <f t="shared" si="128"/>
        <v>Ch C Male Flag Football-- CHILD CM - ARG 1 vs. CHILD CM - VEN 2</v>
      </c>
      <c r="BK197" s="148" t="str">
        <f t="shared" si="129"/>
        <v>Flag Football</v>
      </c>
      <c r="BL197" s="148" t="str">
        <f t="shared" si="130"/>
        <v>CHILD CM - ARG 1</v>
      </c>
      <c r="BM197" s="148" t="str">
        <f t="shared" si="131"/>
        <v>CHILD CM - VEN 2</v>
      </c>
      <c r="BN197" s="148" t="str">
        <f t="shared" si="132"/>
        <v>Round - 1</v>
      </c>
      <c r="BP197" s="148" t="str">
        <f t="shared" si="133"/>
        <v>no t, f, or sf</v>
      </c>
      <c r="BQ197" s="148" t="str">
        <f t="shared" si="134"/>
        <v/>
      </c>
    </row>
    <row r="198" spans="1:69" ht="15" customHeight="1" x14ac:dyDescent="0.2">
      <c r="A198" s="376">
        <v>196</v>
      </c>
      <c r="B198" s="444" t="s">
        <v>46</v>
      </c>
      <c r="C198" s="315" t="s">
        <v>518</v>
      </c>
      <c r="D198" s="378">
        <v>1</v>
      </c>
      <c r="E198" s="378">
        <v>1</v>
      </c>
      <c r="F198" s="315" t="s">
        <v>770</v>
      </c>
      <c r="G198" s="316">
        <v>43063</v>
      </c>
      <c r="H198" s="417">
        <v>0.64583333333333337</v>
      </c>
      <c r="I198" s="325" t="s">
        <v>770</v>
      </c>
      <c r="J198" s="315" t="s">
        <v>706</v>
      </c>
      <c r="K198" s="444">
        <v>31</v>
      </c>
      <c r="L198" s="433" t="s">
        <v>581</v>
      </c>
      <c r="M198" s="433">
        <v>31</v>
      </c>
      <c r="N198" s="433" t="s">
        <v>578</v>
      </c>
      <c r="O198" s="153" t="str">
        <f>IF(L198&lt;&gt;"",IFERROR(VLOOKUP(B198&amp;L198,Pools!$A$2:$D$130,3,FALSE),""),"")</f>
        <v/>
      </c>
      <c r="P198" s="388">
        <v>14</v>
      </c>
      <c r="Q198" s="388">
        <v>12</v>
      </c>
      <c r="R198" s="306" t="str">
        <f t="shared" si="90"/>
        <v>14-12</v>
      </c>
      <c r="S198" s="153"/>
      <c r="T198" s="148" t="str">
        <f t="shared" si="91"/>
        <v>Completed</v>
      </c>
      <c r="U198" s="153"/>
      <c r="V198" s="153"/>
      <c r="W198" s="387">
        <f t="shared" si="92"/>
        <v>2</v>
      </c>
      <c r="X198" s="387">
        <f t="shared" si="93"/>
        <v>-2</v>
      </c>
      <c r="Y198" s="301">
        <f t="shared" si="94"/>
        <v>2</v>
      </c>
      <c r="Z198" s="301">
        <f t="shared" si="95"/>
        <v>0</v>
      </c>
      <c r="AA198" s="323" t="str">
        <f>CONCATENATE("                x[team1,team2,sport,'",IF(OR(I198="x",I198=""),VLOOKUP('Schedule from TM'!J198,Tables!$P$3:$Q$33,2,FALSE),'Schedule from TM'!I198),",",J198,"','",IF(OR(F198="x",F198=""),VLOOKUP('Schedule from TM'!G198,Tables!$U$3:$V$14,2,FALSE),'Schedule from TM'!F198),",",TEXT(G198,"mm/dd/yyyy"),"','",TEXT(H198,"h:mm:ss AM/PM"),"'].ub=0.0      #",B198)</f>
        <v xml:space="preserve">                x[team1,team2,sport,'21,Hillel - Field 4','11,11/24/2017','3:30:00 PM'].ub=0.0      #Ch C Male Flag Football</v>
      </c>
      <c r="AB198" s="301" t="str">
        <f t="shared" si="96"/>
        <v>,,Ch C Male Flag Football,,1,CHILD CM - VEN 2</v>
      </c>
      <c r="AC198" s="153" t="str">
        <f t="shared" si="97"/>
        <v>Ch C Male Flag FootballCHILD CM - VEN 2</v>
      </c>
      <c r="AD198" s="301" t="str">
        <f t="shared" si="98"/>
        <v>,,Ch C Male Flag Football,,1,CHILD CM - USA 1</v>
      </c>
      <c r="AE198" s="153" t="str">
        <f t="shared" si="99"/>
        <v>Ch C Male Flag FootballCHILD CM - USA 1</v>
      </c>
      <c r="AF198" s="383">
        <f t="shared" si="100"/>
        <v>1</v>
      </c>
      <c r="AG198" s="383">
        <f t="shared" si="101"/>
        <v>0</v>
      </c>
      <c r="AH198" s="383">
        <f t="shared" si="102"/>
        <v>0</v>
      </c>
      <c r="AI198" s="383">
        <f t="shared" si="103"/>
        <v>0</v>
      </c>
      <c r="AJ198" s="383">
        <f t="shared" si="104"/>
        <v>1</v>
      </c>
      <c r="AK198" s="383">
        <f t="shared" si="105"/>
        <v>0</v>
      </c>
      <c r="AM198" s="148" t="str">
        <f t="shared" si="106"/>
        <v>Schedulled</v>
      </c>
      <c r="AN198" s="148" t="str">
        <f t="shared" si="107"/>
        <v/>
      </c>
      <c r="AO198" s="156">
        <f t="shared" si="108"/>
        <v>43063.645833333336</v>
      </c>
      <c r="AP198" s="148" t="str">
        <f t="shared" si="109"/>
        <v>11/24/2017 15:30-&gt;Hillel - Field 4</v>
      </c>
      <c r="AQ198" s="374">
        <f t="shared" si="110"/>
        <v>1</v>
      </c>
      <c r="AR198" s="148" t="str">
        <f t="shared" si="111"/>
        <v>VEN2</v>
      </c>
      <c r="AS198" s="148" t="str">
        <f t="shared" si="112"/>
        <v>USA1</v>
      </c>
      <c r="AT198" s="157" t="str">
        <f t="shared" si="113"/>
        <v>VEN2-USA1</v>
      </c>
      <c r="AU198" s="157" t="str">
        <f t="shared" si="114"/>
        <v xml:space="preserve">VEN2-USA1 </v>
      </c>
      <c r="AV198" s="157" t="str">
        <f t="shared" si="115"/>
        <v>CHILDREN C MALE</v>
      </c>
      <c r="AW198" s="157" t="str">
        <f t="shared" si="116"/>
        <v>Flag Football</v>
      </c>
      <c r="AX198" s="376">
        <f t="shared" si="117"/>
        <v>196</v>
      </c>
      <c r="AY198" s="148" t="str">
        <f t="shared" si="118"/>
        <v>CHILD CM - VEN 2-&gt;CHILD CM - USA 1</v>
      </c>
      <c r="AZ198" s="148" t="str">
        <f t="shared" si="119"/>
        <v>11/24/2017 15:30-&gt;CHILD CM - VEN 2</v>
      </c>
      <c r="BA198" s="148" t="str">
        <f t="shared" si="120"/>
        <v>11/24/2017 15:30-&gt;CHILD CM - USA 1</v>
      </c>
      <c r="BB198" s="374">
        <f t="shared" si="121"/>
        <v>1</v>
      </c>
      <c r="BC198" s="374">
        <f t="shared" si="122"/>
        <v>1</v>
      </c>
      <c r="BD198" s="148" t="str">
        <f t="shared" si="123"/>
        <v>no conflict</v>
      </c>
      <c r="BF198" s="148" t="str">
        <f t="shared" si="124"/>
        <v>11/24/2017 15:30-&gt;CHILD CM - VEN 2</v>
      </c>
      <c r="BG198" s="148" t="str">
        <f t="shared" si="125"/>
        <v>11/24/2017 15:30-&gt;CHILD CM - USA 1</v>
      </c>
      <c r="BH198" s="148" t="str">
        <f t="shared" si="126"/>
        <v>11/24/2017 15:30-&gt;Hillel - Field 4</v>
      </c>
      <c r="BI198" s="148" t="str">
        <f t="shared" si="127"/>
        <v>Flag Football in Hillel - Field 4 (VEN2-USA1)</v>
      </c>
      <c r="BJ198" s="148" t="str">
        <f t="shared" si="128"/>
        <v>Ch C Male Flag Football-- CHILD CM - VEN 2 vs. CHILD CM - USA 1</v>
      </c>
      <c r="BK198" s="148" t="str">
        <f t="shared" si="129"/>
        <v>Flag Football</v>
      </c>
      <c r="BL198" s="148" t="str">
        <f t="shared" si="130"/>
        <v>CHILD CM - VEN 2</v>
      </c>
      <c r="BM198" s="148" t="str">
        <f t="shared" si="131"/>
        <v>CHILD CM - USA 1</v>
      </c>
      <c r="BN198" s="148" t="str">
        <f t="shared" si="132"/>
        <v>Round - 1</v>
      </c>
      <c r="BP198" s="148" t="str">
        <f t="shared" si="133"/>
        <v>no t, f, or sf</v>
      </c>
      <c r="BQ198" s="148" t="str">
        <f t="shared" si="134"/>
        <v/>
      </c>
    </row>
    <row r="199" spans="1:69" ht="15" customHeight="1" x14ac:dyDescent="0.2">
      <c r="A199" s="376">
        <v>197</v>
      </c>
      <c r="B199" s="441" t="s">
        <v>47</v>
      </c>
      <c r="C199" s="441" t="s">
        <v>518</v>
      </c>
      <c r="D199" s="450">
        <v>1</v>
      </c>
      <c r="E199" s="450">
        <v>1</v>
      </c>
      <c r="F199" s="315" t="s">
        <v>770</v>
      </c>
      <c r="G199" s="320">
        <v>43058</v>
      </c>
      <c r="H199" s="318">
        <v>0.40277777777777773</v>
      </c>
      <c r="I199" s="325" t="s">
        <v>770</v>
      </c>
      <c r="J199" s="441" t="s">
        <v>705</v>
      </c>
      <c r="K199" s="441">
        <v>31</v>
      </c>
      <c r="L199" s="433" t="s">
        <v>572</v>
      </c>
      <c r="M199" s="433">
        <v>31</v>
      </c>
      <c r="N199" s="433" t="s">
        <v>581</v>
      </c>
      <c r="O199" s="153" t="str">
        <f>IF(L199&lt;&gt;"",IFERROR(VLOOKUP(B199&amp;L199,Pools!$A$2:$D$130,3,FALSE),""),"")</f>
        <v/>
      </c>
      <c r="P199" s="388">
        <v>3</v>
      </c>
      <c r="Q199" s="388">
        <v>7</v>
      </c>
      <c r="R199" s="306" t="str">
        <f t="shared" si="90"/>
        <v>3-7</v>
      </c>
      <c r="S199" s="153"/>
      <c r="T199" s="148" t="str">
        <f t="shared" si="91"/>
        <v>Completed</v>
      </c>
      <c r="U199" s="153"/>
      <c r="V199" s="153"/>
      <c r="W199" s="387">
        <f t="shared" si="92"/>
        <v>-4</v>
      </c>
      <c r="X199" s="387">
        <f t="shared" si="93"/>
        <v>4</v>
      </c>
      <c r="Y199" s="301">
        <f t="shared" si="94"/>
        <v>0</v>
      </c>
      <c r="Z199" s="301">
        <f t="shared" si="95"/>
        <v>2</v>
      </c>
      <c r="AA199" s="323" t="str">
        <f>CONCATENATE("                x[team1,team2,sport,'",IF(OR(I199="x",I199=""),VLOOKUP('Schedule from TM'!J199,Tables!$P$3:$Q$33,2,FALSE),'Schedule from TM'!I199),",",J199,"','",IF(OR(F199="x",F199=""),VLOOKUP('Schedule from TM'!G199,Tables!$U$3:$V$14,2,FALSE),'Schedule from TM'!F199),",",TEXT(G199,"mm/dd/yyyy"),"','",TEXT(H199,"h:mm:ss AM/PM"),"'].ub=0.0      #",B199)</f>
        <v xml:space="preserve">                x[team1,team2,sport,'21,Hillel - Field 3','11,11/19/2017','9:40:00 AM'].ub=0.0      #Ch C Male Kickball</v>
      </c>
      <c r="AB199" s="301" t="str">
        <f t="shared" si="96"/>
        <v>,,Ch C Male Kickball,,1,CHILD CM - ARG 1</v>
      </c>
      <c r="AC199" s="153" t="str">
        <f t="shared" si="97"/>
        <v>Ch C Male KickballCHILD CM - ARG 1</v>
      </c>
      <c r="AD199" s="301" t="str">
        <f t="shared" si="98"/>
        <v>,,Ch C Male Kickball,,1,CHILD CM - VEN 2</v>
      </c>
      <c r="AE199" s="153" t="str">
        <f t="shared" si="99"/>
        <v>Ch C Male KickballCHILD CM - VEN 2</v>
      </c>
      <c r="AF199" s="383">
        <f t="shared" si="100"/>
        <v>0</v>
      </c>
      <c r="AG199" s="383">
        <f t="shared" si="101"/>
        <v>1</v>
      </c>
      <c r="AH199" s="383">
        <f t="shared" si="102"/>
        <v>0</v>
      </c>
      <c r="AI199" s="383">
        <f t="shared" si="103"/>
        <v>1</v>
      </c>
      <c r="AJ199" s="383">
        <f t="shared" si="104"/>
        <v>0</v>
      </c>
      <c r="AK199" s="383">
        <f t="shared" si="105"/>
        <v>0</v>
      </c>
      <c r="AM199" s="148" t="str">
        <f t="shared" si="106"/>
        <v>Schedulled</v>
      </c>
      <c r="AN199" s="148" t="str">
        <f t="shared" si="107"/>
        <v/>
      </c>
      <c r="AO199" s="156">
        <f t="shared" si="108"/>
        <v>43058.402777777781</v>
      </c>
      <c r="AP199" s="148" t="str">
        <f t="shared" si="109"/>
        <v>11/19/2017 09:40-&gt;Hillel - Field 3</v>
      </c>
      <c r="AQ199" s="374">
        <f t="shared" si="110"/>
        <v>1</v>
      </c>
      <c r="AR199" s="148" t="str">
        <f t="shared" si="111"/>
        <v>ARG1</v>
      </c>
      <c r="AS199" s="148" t="str">
        <f t="shared" si="112"/>
        <v>VEN2</v>
      </c>
      <c r="AT199" s="157" t="str">
        <f t="shared" si="113"/>
        <v>ARG1-VEN2</v>
      </c>
      <c r="AU199" s="157" t="str">
        <f t="shared" si="114"/>
        <v xml:space="preserve">ARG1-VEN2 </v>
      </c>
      <c r="AV199" s="157" t="str">
        <f t="shared" si="115"/>
        <v>CHILDREN C MALE</v>
      </c>
      <c r="AW199" s="157" t="str">
        <f t="shared" si="116"/>
        <v>Kickball</v>
      </c>
      <c r="AX199" s="376">
        <f t="shared" si="117"/>
        <v>197</v>
      </c>
      <c r="AY199" s="148" t="str">
        <f t="shared" si="118"/>
        <v>CHILD CM - ARG 1-&gt;CHILD CM - VEN 2</v>
      </c>
      <c r="AZ199" s="148" t="str">
        <f t="shared" si="119"/>
        <v>11/19/2017 09:40-&gt;CHILD CM - ARG 1</v>
      </c>
      <c r="BA199" s="148" t="str">
        <f t="shared" si="120"/>
        <v>11/19/2017 09:40-&gt;CHILD CM - VEN 2</v>
      </c>
      <c r="BB199" s="374">
        <f t="shared" si="121"/>
        <v>1</v>
      </c>
      <c r="BC199" s="374">
        <f t="shared" si="122"/>
        <v>1</v>
      </c>
      <c r="BD199" s="148" t="str">
        <f t="shared" si="123"/>
        <v>no conflict</v>
      </c>
      <c r="BF199" s="148" t="str">
        <f t="shared" si="124"/>
        <v>11/19/2017 09:40-&gt;CHILD CM - ARG 1</v>
      </c>
      <c r="BG199" s="148" t="str">
        <f t="shared" si="125"/>
        <v>11/19/2017 09:40-&gt;CHILD CM - VEN 2</v>
      </c>
      <c r="BH199" s="148" t="str">
        <f t="shared" si="126"/>
        <v>11/19/2017 09:40-&gt;Hillel - Field 3</v>
      </c>
      <c r="BI199" s="148" t="str">
        <f t="shared" si="127"/>
        <v>Kickball in Hillel - Field 3 (ARG1-VEN2)</v>
      </c>
      <c r="BJ199" s="148" t="str">
        <f t="shared" si="128"/>
        <v>Ch C Male Kickball-- CHILD CM - ARG 1 vs. CHILD CM - VEN 2</v>
      </c>
      <c r="BK199" s="148" t="str">
        <f t="shared" si="129"/>
        <v>Kickball</v>
      </c>
      <c r="BL199" s="148" t="str">
        <f t="shared" si="130"/>
        <v>CHILD CM - ARG 1</v>
      </c>
      <c r="BM199" s="148" t="str">
        <f t="shared" si="131"/>
        <v>CHILD CM - VEN 2</v>
      </c>
      <c r="BN199" s="148" t="str">
        <f t="shared" si="132"/>
        <v>Round - 1</v>
      </c>
      <c r="BP199" s="148" t="str">
        <f t="shared" si="133"/>
        <v>no t, f, or sf</v>
      </c>
      <c r="BQ199" s="148" t="str">
        <f t="shared" si="134"/>
        <v/>
      </c>
    </row>
    <row r="200" spans="1:69" ht="15" customHeight="1" x14ac:dyDescent="0.2">
      <c r="A200" s="376">
        <v>198</v>
      </c>
      <c r="B200" s="441" t="s">
        <v>47</v>
      </c>
      <c r="C200" s="441" t="s">
        <v>518</v>
      </c>
      <c r="D200" s="450">
        <v>1</v>
      </c>
      <c r="E200" s="450">
        <v>1</v>
      </c>
      <c r="F200" s="315" t="s">
        <v>770</v>
      </c>
      <c r="G200" s="320">
        <v>43058</v>
      </c>
      <c r="H200" s="318">
        <v>0.4375</v>
      </c>
      <c r="I200" s="325" t="s">
        <v>770</v>
      </c>
      <c r="J200" s="441" t="s">
        <v>703</v>
      </c>
      <c r="K200" s="441">
        <v>31</v>
      </c>
      <c r="L200" s="433" t="s">
        <v>580</v>
      </c>
      <c r="M200" s="433">
        <v>31</v>
      </c>
      <c r="N200" s="433" t="s">
        <v>573</v>
      </c>
      <c r="O200" s="153" t="str">
        <f>IF(L200&lt;&gt;"",IFERROR(VLOOKUP(B200&amp;L200,Pools!$A$2:$D$130,3,FALSE),""),"")</f>
        <v/>
      </c>
      <c r="P200" s="388">
        <v>7</v>
      </c>
      <c r="Q200" s="388">
        <v>2</v>
      </c>
      <c r="R200" s="306" t="str">
        <f t="shared" si="90"/>
        <v>7-2</v>
      </c>
      <c r="S200" s="153"/>
      <c r="T200" s="148" t="str">
        <f t="shared" si="91"/>
        <v>Completed</v>
      </c>
      <c r="U200" s="153"/>
      <c r="V200" s="153"/>
      <c r="W200" s="387">
        <f t="shared" si="92"/>
        <v>5</v>
      </c>
      <c r="X200" s="387">
        <f t="shared" si="93"/>
        <v>-5</v>
      </c>
      <c r="Y200" s="301">
        <f t="shared" si="94"/>
        <v>2</v>
      </c>
      <c r="Z200" s="301">
        <f t="shared" si="95"/>
        <v>0</v>
      </c>
      <c r="AA200" s="323" t="str">
        <f>CONCATENATE("                x[team1,team2,sport,'",IF(OR(I200="x",I200=""),VLOOKUP('Schedule from TM'!J200,Tables!$P$3:$Q$33,2,FALSE),'Schedule from TM'!I200),",",J200,"','",IF(OR(F200="x",F200=""),VLOOKUP('Schedule from TM'!G200,Tables!$U$3:$V$14,2,FALSE),'Schedule from TM'!F200),",",TEXT(G200,"mm/dd/yyyy"),"','",TEXT(H200,"h:mm:ss AM/PM"),"'].ub=0.0      #",B200)</f>
        <v xml:space="preserve">                x[team1,team2,sport,'21,Hillel - Field 1','11,11/19/2017','10:30:00 AM'].ub=0.0      #Ch C Male Kickball</v>
      </c>
      <c r="AB200" s="301" t="str">
        <f t="shared" si="96"/>
        <v>,,Ch C Male Kickball,,1,CHILD CM - VEN 1</v>
      </c>
      <c r="AC200" s="153" t="str">
        <f t="shared" si="97"/>
        <v>Ch C Male KickballCHILD CM - VEN 1</v>
      </c>
      <c r="AD200" s="301" t="str">
        <f t="shared" si="98"/>
        <v>,,Ch C Male Kickball,,1,CHILD CM - ARG 2</v>
      </c>
      <c r="AE200" s="153" t="str">
        <f t="shared" si="99"/>
        <v>Ch C Male KickballCHILD CM - ARG 2</v>
      </c>
      <c r="AF200" s="383">
        <f t="shared" si="100"/>
        <v>1</v>
      </c>
      <c r="AG200" s="383">
        <f t="shared" si="101"/>
        <v>0</v>
      </c>
      <c r="AH200" s="383">
        <f t="shared" si="102"/>
        <v>0</v>
      </c>
      <c r="AI200" s="383">
        <f t="shared" si="103"/>
        <v>0</v>
      </c>
      <c r="AJ200" s="383">
        <f t="shared" si="104"/>
        <v>1</v>
      </c>
      <c r="AK200" s="383">
        <f t="shared" si="105"/>
        <v>0</v>
      </c>
      <c r="AM200" s="148" t="str">
        <f t="shared" si="106"/>
        <v>Schedulled</v>
      </c>
      <c r="AN200" s="148" t="str">
        <f t="shared" si="107"/>
        <v/>
      </c>
      <c r="AO200" s="156">
        <f t="shared" si="108"/>
        <v>43058.4375</v>
      </c>
      <c r="AP200" s="148" t="str">
        <f t="shared" si="109"/>
        <v>11/19/2017 10:30-&gt;Hillel - Field 1</v>
      </c>
      <c r="AQ200" s="374">
        <f t="shared" si="110"/>
        <v>1</v>
      </c>
      <c r="AR200" s="148" t="str">
        <f t="shared" si="111"/>
        <v>VEN1</v>
      </c>
      <c r="AS200" s="148" t="str">
        <f t="shared" si="112"/>
        <v>ARG2</v>
      </c>
      <c r="AT200" s="157" t="str">
        <f t="shared" si="113"/>
        <v>VEN1-ARG2</v>
      </c>
      <c r="AU200" s="157" t="str">
        <f t="shared" si="114"/>
        <v xml:space="preserve">VEN1-ARG2 </v>
      </c>
      <c r="AV200" s="157" t="str">
        <f t="shared" si="115"/>
        <v>CHILDREN C MALE</v>
      </c>
      <c r="AW200" s="157" t="str">
        <f t="shared" si="116"/>
        <v>Kickball</v>
      </c>
      <c r="AX200" s="376">
        <f t="shared" si="117"/>
        <v>198</v>
      </c>
      <c r="AY200" s="148" t="str">
        <f t="shared" si="118"/>
        <v>CHILD CM - VEN 1-&gt;CHILD CM - ARG 2</v>
      </c>
      <c r="AZ200" s="148" t="str">
        <f t="shared" si="119"/>
        <v>11/19/2017 10:30-&gt;CHILD CM - VEN 1</v>
      </c>
      <c r="BA200" s="148" t="str">
        <f t="shared" si="120"/>
        <v>11/19/2017 10:30-&gt;CHILD CM - ARG 2</v>
      </c>
      <c r="BB200" s="374">
        <f t="shared" si="121"/>
        <v>1</v>
      </c>
      <c r="BC200" s="374">
        <f t="shared" si="122"/>
        <v>1</v>
      </c>
      <c r="BD200" s="148" t="str">
        <f t="shared" si="123"/>
        <v>no conflict</v>
      </c>
      <c r="BF200" s="148" t="str">
        <f t="shared" si="124"/>
        <v>11/19/2017 10:30-&gt;CHILD CM - VEN 1</v>
      </c>
      <c r="BG200" s="148" t="str">
        <f t="shared" si="125"/>
        <v>11/19/2017 10:30-&gt;CHILD CM - ARG 2</v>
      </c>
      <c r="BH200" s="148" t="str">
        <f t="shared" si="126"/>
        <v>11/19/2017 10:30-&gt;Hillel - Field 1</v>
      </c>
      <c r="BI200" s="148" t="str">
        <f t="shared" si="127"/>
        <v>Kickball in Hillel - Field 1 (VEN1-ARG2)</v>
      </c>
      <c r="BJ200" s="148" t="str">
        <f t="shared" si="128"/>
        <v>Ch C Male Kickball-- CHILD CM - VEN 1 vs. CHILD CM - ARG 2</v>
      </c>
      <c r="BK200" s="148" t="str">
        <f t="shared" si="129"/>
        <v>Kickball</v>
      </c>
      <c r="BL200" s="148" t="str">
        <f t="shared" si="130"/>
        <v>CHILD CM - VEN 1</v>
      </c>
      <c r="BM200" s="148" t="str">
        <f t="shared" si="131"/>
        <v>CHILD CM - ARG 2</v>
      </c>
      <c r="BN200" s="148" t="str">
        <f t="shared" si="132"/>
        <v>Round - 1</v>
      </c>
      <c r="BP200" s="148" t="str">
        <f t="shared" si="133"/>
        <v>no t, f, or sf</v>
      </c>
      <c r="BQ200" s="148" t="str">
        <f t="shared" si="134"/>
        <v/>
      </c>
    </row>
    <row r="201" spans="1:69" ht="15" customHeight="1" x14ac:dyDescent="0.2">
      <c r="A201" s="376">
        <v>199</v>
      </c>
      <c r="B201" s="444" t="s">
        <v>47</v>
      </c>
      <c r="C201" s="444" t="s">
        <v>518</v>
      </c>
      <c r="D201" s="451">
        <v>1</v>
      </c>
      <c r="E201" s="451">
        <v>1</v>
      </c>
      <c r="F201" s="315" t="s">
        <v>770</v>
      </c>
      <c r="G201" s="445">
        <v>43058</v>
      </c>
      <c r="H201" s="317">
        <v>0.54166666666666663</v>
      </c>
      <c r="I201" s="325" t="s">
        <v>770</v>
      </c>
      <c r="J201" s="444" t="s">
        <v>706</v>
      </c>
      <c r="K201" s="444">
        <v>31</v>
      </c>
      <c r="L201" t="s">
        <v>581</v>
      </c>
      <c r="M201">
        <v>31</v>
      </c>
      <c r="N201" t="s">
        <v>573</v>
      </c>
      <c r="O201" s="153" t="str">
        <f>IF(L201&lt;&gt;"",IFERROR(VLOOKUP(B201&amp;L201,Pools!$A$2:$D$130,3,FALSE),""),"")</f>
        <v/>
      </c>
      <c r="P201" s="388">
        <v>2</v>
      </c>
      <c r="Q201" s="388">
        <v>2</v>
      </c>
      <c r="R201" s="306" t="str">
        <f t="shared" si="90"/>
        <v>2-2</v>
      </c>
      <c r="S201" s="153"/>
      <c r="T201" s="148" t="str">
        <f t="shared" si="91"/>
        <v>Completed</v>
      </c>
      <c r="U201" s="153"/>
      <c r="V201" s="153"/>
      <c r="W201" s="387">
        <f t="shared" si="92"/>
        <v>0</v>
      </c>
      <c r="X201" s="387">
        <f t="shared" si="93"/>
        <v>0</v>
      </c>
      <c r="Y201" s="301">
        <f t="shared" si="94"/>
        <v>1</v>
      </c>
      <c r="Z201" s="301">
        <f t="shared" si="95"/>
        <v>1</v>
      </c>
      <c r="AA201" s="323" t="str">
        <f>CONCATENATE("                x[team1,team2,sport,'",IF(OR(I201="x",I201=""),VLOOKUP('Schedule from TM'!J201,Tables!$P$3:$Q$33,2,FALSE),'Schedule from TM'!I201),",",J201,"','",IF(OR(F201="x",F201=""),VLOOKUP('Schedule from TM'!G201,Tables!$U$3:$V$14,2,FALSE),'Schedule from TM'!F201),",",TEXT(G201,"mm/dd/yyyy"),"','",TEXT(H201,"h:mm:ss AM/PM"),"'].ub=0.0      #",B201)</f>
        <v xml:space="preserve">                x[team1,team2,sport,'21,Hillel - Field 4','11,11/19/2017','1:00:00 PM'].ub=0.0      #Ch C Male Kickball</v>
      </c>
      <c r="AB201" s="301" t="str">
        <f t="shared" si="96"/>
        <v>,,Ch C Male Kickball,,1,CHILD CM - VEN 2</v>
      </c>
      <c r="AC201" s="153" t="str">
        <f t="shared" si="97"/>
        <v>Ch C Male KickballCHILD CM - VEN 2</v>
      </c>
      <c r="AD201" s="301" t="str">
        <f t="shared" si="98"/>
        <v>,,Ch C Male Kickball,,1,CHILD CM - ARG 2</v>
      </c>
      <c r="AE201" s="153" t="str">
        <f t="shared" si="99"/>
        <v>Ch C Male KickballCHILD CM - ARG 2</v>
      </c>
      <c r="AF201" s="383">
        <f t="shared" si="100"/>
        <v>0</v>
      </c>
      <c r="AG201" s="383">
        <f t="shared" si="101"/>
        <v>0</v>
      </c>
      <c r="AH201" s="383">
        <f t="shared" si="102"/>
        <v>1</v>
      </c>
      <c r="AI201" s="383">
        <f t="shared" si="103"/>
        <v>0</v>
      </c>
      <c r="AJ201" s="383">
        <f t="shared" si="104"/>
        <v>0</v>
      </c>
      <c r="AK201" s="383">
        <f t="shared" si="105"/>
        <v>1</v>
      </c>
      <c r="AM201" s="148" t="str">
        <f t="shared" si="106"/>
        <v>Schedulled</v>
      </c>
      <c r="AN201" s="148" t="str">
        <f t="shared" si="107"/>
        <v/>
      </c>
      <c r="AO201" s="156">
        <f t="shared" si="108"/>
        <v>43058.541666666664</v>
      </c>
      <c r="AP201" s="148" t="str">
        <f t="shared" si="109"/>
        <v>11/19/2017 13:00-&gt;Hillel - Field 4</v>
      </c>
      <c r="AQ201" s="374">
        <f t="shared" si="110"/>
        <v>1</v>
      </c>
      <c r="AR201" s="148" t="str">
        <f t="shared" si="111"/>
        <v>VEN2</v>
      </c>
      <c r="AS201" s="148" t="str">
        <f t="shared" si="112"/>
        <v>ARG2</v>
      </c>
      <c r="AT201" s="157" t="str">
        <f t="shared" si="113"/>
        <v>VEN2-ARG2</v>
      </c>
      <c r="AU201" s="157" t="str">
        <f t="shared" si="114"/>
        <v xml:space="preserve">VEN2-ARG2 </v>
      </c>
      <c r="AV201" s="157" t="str">
        <f t="shared" si="115"/>
        <v>CHILDREN C MALE</v>
      </c>
      <c r="AW201" s="157" t="str">
        <f t="shared" si="116"/>
        <v>Kickball</v>
      </c>
      <c r="AX201" s="376">
        <f t="shared" si="117"/>
        <v>199</v>
      </c>
      <c r="AY201" s="148" t="str">
        <f t="shared" si="118"/>
        <v>CHILD CM - VEN 2-&gt;CHILD CM - ARG 2</v>
      </c>
      <c r="AZ201" s="148" t="str">
        <f t="shared" si="119"/>
        <v>11/19/2017 13:00-&gt;CHILD CM - VEN 2</v>
      </c>
      <c r="BA201" s="148" t="str">
        <f t="shared" si="120"/>
        <v>11/19/2017 13:00-&gt;CHILD CM - ARG 2</v>
      </c>
      <c r="BB201" s="374">
        <f t="shared" si="121"/>
        <v>1</v>
      </c>
      <c r="BC201" s="374">
        <f t="shared" si="122"/>
        <v>1</v>
      </c>
      <c r="BD201" s="148" t="str">
        <f t="shared" si="123"/>
        <v>no conflict</v>
      </c>
      <c r="BF201" s="148" t="str">
        <f t="shared" si="124"/>
        <v>11/19/2017 13:00-&gt;CHILD CM - VEN 2</v>
      </c>
      <c r="BG201" s="148" t="str">
        <f t="shared" si="125"/>
        <v>11/19/2017 13:00-&gt;CHILD CM - ARG 2</v>
      </c>
      <c r="BH201" s="148" t="str">
        <f t="shared" si="126"/>
        <v>11/19/2017 13:00-&gt;Hillel - Field 4</v>
      </c>
      <c r="BI201" s="148" t="str">
        <f t="shared" si="127"/>
        <v>Kickball in Hillel - Field 4 (VEN2-ARG2)</v>
      </c>
      <c r="BJ201" s="148" t="str">
        <f t="shared" si="128"/>
        <v>Ch C Male Kickball-- CHILD CM - VEN 2 vs. CHILD CM - ARG 2</v>
      </c>
      <c r="BK201" s="148" t="str">
        <f t="shared" si="129"/>
        <v>Kickball</v>
      </c>
      <c r="BL201" s="148" t="str">
        <f t="shared" si="130"/>
        <v>CHILD CM - VEN 2</v>
      </c>
      <c r="BM201" s="148" t="str">
        <f t="shared" si="131"/>
        <v>CHILD CM - ARG 2</v>
      </c>
      <c r="BN201" s="148" t="str">
        <f t="shared" si="132"/>
        <v>Round - 1</v>
      </c>
      <c r="BP201" s="148" t="str">
        <f t="shared" si="133"/>
        <v>no t, f, or sf</v>
      </c>
      <c r="BQ201" s="148" t="str">
        <f t="shared" si="134"/>
        <v/>
      </c>
    </row>
    <row r="202" spans="1:69" ht="15" customHeight="1" x14ac:dyDescent="0.2">
      <c r="A202" s="376">
        <v>200</v>
      </c>
      <c r="B202" s="444" t="s">
        <v>47</v>
      </c>
      <c r="C202" s="444" t="s">
        <v>518</v>
      </c>
      <c r="D202" s="451">
        <v>1</v>
      </c>
      <c r="E202" s="451">
        <v>1</v>
      </c>
      <c r="F202" s="315" t="s">
        <v>770</v>
      </c>
      <c r="G202" s="445">
        <v>43062</v>
      </c>
      <c r="H202" s="317">
        <v>0.47222222222222227</v>
      </c>
      <c r="I202" s="325" t="s">
        <v>770</v>
      </c>
      <c r="J202" s="444" t="s">
        <v>705</v>
      </c>
      <c r="K202" s="444">
        <v>31</v>
      </c>
      <c r="L202" s="433" t="s">
        <v>572</v>
      </c>
      <c r="M202">
        <v>31</v>
      </c>
      <c r="N202" s="433" t="s">
        <v>578</v>
      </c>
      <c r="O202" s="153" t="str">
        <f>IF(L202&lt;&gt;"",IFERROR(VLOOKUP(B202&amp;L202,Pools!$A$2:$D$130,3,FALSE),""),"")</f>
        <v/>
      </c>
      <c r="P202" s="388">
        <v>8</v>
      </c>
      <c r="Q202" s="388">
        <v>5</v>
      </c>
      <c r="R202" s="306" t="str">
        <f t="shared" si="90"/>
        <v>8-5</v>
      </c>
      <c r="S202" s="153"/>
      <c r="T202" s="148" t="str">
        <f t="shared" si="91"/>
        <v>Completed</v>
      </c>
      <c r="U202" s="153"/>
      <c r="V202" s="153"/>
      <c r="W202" s="387">
        <f t="shared" si="92"/>
        <v>3</v>
      </c>
      <c r="X202" s="387">
        <f t="shared" si="93"/>
        <v>-3</v>
      </c>
      <c r="Y202" s="301">
        <f t="shared" si="94"/>
        <v>2</v>
      </c>
      <c r="Z202" s="301">
        <f t="shared" si="95"/>
        <v>0</v>
      </c>
      <c r="AA202" s="323" t="str">
        <f>CONCATENATE("                x[team1,team2,sport,'",IF(OR(I202="x",I202=""),VLOOKUP('Schedule from TM'!J202,Tables!$P$3:$Q$33,2,FALSE),'Schedule from TM'!I202),",",J202,"','",IF(OR(F202="x",F202=""),VLOOKUP('Schedule from TM'!G202,Tables!$U$3:$V$14,2,FALSE),'Schedule from TM'!F202),",",TEXT(G202,"mm/dd/yyyy"),"','",TEXT(H202,"h:mm:ss AM/PM"),"'].ub=0.0      #",B202)</f>
        <v xml:space="preserve">                x[team1,team2,sport,'21,Hillel - Field 3','11,11/23/2017','11:20:00 AM'].ub=0.0      #Ch C Male Kickball</v>
      </c>
      <c r="AB202" s="301" t="str">
        <f t="shared" si="96"/>
        <v>,,Ch C Male Kickball,,1,CHILD CM - ARG 1</v>
      </c>
      <c r="AC202" s="153" t="str">
        <f t="shared" si="97"/>
        <v>Ch C Male KickballCHILD CM - ARG 1</v>
      </c>
      <c r="AD202" s="301" t="str">
        <f t="shared" si="98"/>
        <v>,,Ch C Male Kickball,,1,CHILD CM - USA 1</v>
      </c>
      <c r="AE202" s="153" t="str">
        <f t="shared" si="99"/>
        <v>Ch C Male KickballCHILD CM - USA 1</v>
      </c>
      <c r="AF202" s="383">
        <f t="shared" si="100"/>
        <v>1</v>
      </c>
      <c r="AG202" s="383">
        <f t="shared" si="101"/>
        <v>0</v>
      </c>
      <c r="AH202" s="383">
        <f t="shared" si="102"/>
        <v>0</v>
      </c>
      <c r="AI202" s="383">
        <f t="shared" si="103"/>
        <v>0</v>
      </c>
      <c r="AJ202" s="383">
        <f t="shared" si="104"/>
        <v>1</v>
      </c>
      <c r="AK202" s="383">
        <f t="shared" si="105"/>
        <v>0</v>
      </c>
      <c r="AM202" s="148" t="str">
        <f t="shared" si="106"/>
        <v>Schedulled</v>
      </c>
      <c r="AN202" s="148" t="str">
        <f t="shared" si="107"/>
        <v/>
      </c>
      <c r="AO202" s="156">
        <f t="shared" si="108"/>
        <v>43062.472222222219</v>
      </c>
      <c r="AP202" s="148" t="str">
        <f t="shared" si="109"/>
        <v>11/23/2017 11:20-&gt;Hillel - Field 3</v>
      </c>
      <c r="AQ202" s="374">
        <f t="shared" si="110"/>
        <v>1</v>
      </c>
      <c r="AR202" s="148" t="str">
        <f t="shared" si="111"/>
        <v>ARG1</v>
      </c>
      <c r="AS202" s="148" t="str">
        <f t="shared" si="112"/>
        <v>USA1</v>
      </c>
      <c r="AT202" s="157" t="str">
        <f t="shared" si="113"/>
        <v>ARG1-USA1</v>
      </c>
      <c r="AU202" s="157" t="str">
        <f t="shared" si="114"/>
        <v xml:space="preserve">ARG1-USA1 </v>
      </c>
      <c r="AV202" s="157" t="str">
        <f t="shared" si="115"/>
        <v>CHILDREN C MALE</v>
      </c>
      <c r="AW202" s="157" t="str">
        <f t="shared" si="116"/>
        <v>Kickball</v>
      </c>
      <c r="AX202" s="376">
        <f t="shared" si="117"/>
        <v>200</v>
      </c>
      <c r="AY202" s="148" t="str">
        <f t="shared" si="118"/>
        <v>CHILD CM - ARG 1-&gt;CHILD CM - USA 1</v>
      </c>
      <c r="AZ202" s="148" t="str">
        <f t="shared" si="119"/>
        <v>11/23/2017 11:20-&gt;CHILD CM - ARG 1</v>
      </c>
      <c r="BA202" s="148" t="str">
        <f t="shared" si="120"/>
        <v>11/23/2017 11:20-&gt;CHILD CM - USA 1</v>
      </c>
      <c r="BB202" s="374">
        <f t="shared" si="121"/>
        <v>1</v>
      </c>
      <c r="BC202" s="374">
        <f t="shared" si="122"/>
        <v>1</v>
      </c>
      <c r="BD202" s="148" t="str">
        <f t="shared" si="123"/>
        <v>no conflict</v>
      </c>
      <c r="BF202" s="148" t="str">
        <f t="shared" si="124"/>
        <v>11/23/2017 11:20-&gt;CHILD CM - ARG 1</v>
      </c>
      <c r="BG202" s="148" t="str">
        <f t="shared" si="125"/>
        <v>11/23/2017 11:20-&gt;CHILD CM - USA 1</v>
      </c>
      <c r="BH202" s="148" t="str">
        <f t="shared" si="126"/>
        <v>11/23/2017 11:20-&gt;Hillel - Field 3</v>
      </c>
      <c r="BI202" s="148" t="str">
        <f t="shared" si="127"/>
        <v>Kickball in Hillel - Field 3 (ARG1-USA1)</v>
      </c>
      <c r="BJ202" s="148" t="str">
        <f t="shared" si="128"/>
        <v>Ch C Male Kickball-- CHILD CM - ARG 1 vs. CHILD CM - USA 1</v>
      </c>
      <c r="BK202" s="148" t="str">
        <f t="shared" si="129"/>
        <v>Kickball</v>
      </c>
      <c r="BL202" s="148" t="str">
        <f t="shared" si="130"/>
        <v>CHILD CM - ARG 1</v>
      </c>
      <c r="BM202" s="148" t="str">
        <f t="shared" si="131"/>
        <v>CHILD CM - USA 1</v>
      </c>
      <c r="BN202" s="148" t="str">
        <f t="shared" si="132"/>
        <v>Round - 1</v>
      </c>
      <c r="BP202" s="148" t="str">
        <f t="shared" si="133"/>
        <v>no t, f, or sf</v>
      </c>
      <c r="BQ202" s="148" t="str">
        <f t="shared" si="134"/>
        <v/>
      </c>
    </row>
    <row r="203" spans="1:69" ht="15" customHeight="1" x14ac:dyDescent="0.2">
      <c r="A203" s="376">
        <v>201</v>
      </c>
      <c r="B203" s="444" t="s">
        <v>47</v>
      </c>
      <c r="C203" s="444" t="s">
        <v>518</v>
      </c>
      <c r="D203" s="451">
        <v>1</v>
      </c>
      <c r="E203" s="451">
        <v>1</v>
      </c>
      <c r="F203" s="315" t="s">
        <v>770</v>
      </c>
      <c r="G203" s="445">
        <v>43063</v>
      </c>
      <c r="H203" s="454">
        <v>0.33333333333333331</v>
      </c>
      <c r="I203" s="325" t="s">
        <v>770</v>
      </c>
      <c r="J203" s="443" t="s">
        <v>703</v>
      </c>
      <c r="K203" s="444">
        <v>31</v>
      </c>
      <c r="L203" t="s">
        <v>580</v>
      </c>
      <c r="M203">
        <v>31</v>
      </c>
      <c r="N203" t="s">
        <v>581</v>
      </c>
      <c r="O203" s="153" t="str">
        <f>IF(L203&lt;&gt;"",IFERROR(VLOOKUP(B203&amp;L203,Pools!$A$2:$D$130,3,FALSE),""),"")</f>
        <v/>
      </c>
      <c r="P203" s="388">
        <v>6</v>
      </c>
      <c r="Q203" s="388">
        <v>2</v>
      </c>
      <c r="R203" s="306" t="str">
        <f t="shared" ref="R203:R266" si="135">P203&amp;"-"&amp;Q203</f>
        <v>6-2</v>
      </c>
      <c r="S203" s="153"/>
      <c r="T203" s="148" t="str">
        <f t="shared" ref="T203:T266" si="136">IF(AND(P203&lt;&gt;"",Q203&lt;&gt;""),"Completed","Pending")</f>
        <v>Completed</v>
      </c>
      <c r="U203" s="153"/>
      <c r="V203" s="153"/>
      <c r="W203" s="387">
        <f t="shared" ref="W203:W266" si="137">IF(AW203="Basketball",(IF(P203-Q203&gt;15,15,IF(P203-Q203&lt;-15,-15,(P203-Q203)))),IF(AW203="Soccer",(IF(P203-Q203&gt;3,3,IF(P203-Q203&lt;-3,-3,(P203-Q203)))),IF(AW203="Kickball",(IF(P203-Q203&gt;5,5,IF(P203-Q203&lt;-5,-5,(P203-Q203)))),IF(AW203="Flag Football",(IF(P203-Q203&gt;21,21,IF(P203-Q203&lt;-21,-21,(P203-Q203)))),P203-Q203))))</f>
        <v>4</v>
      </c>
      <c r="X203" s="387">
        <f t="shared" ref="X203:X266" si="138">IF(AW203="Basketball",(IF(Q203-P203&gt;15,15,IF(Q203-P203&lt;-15,-15,(Q203-P203)))),IF(AW203="Soccer",(IF(Q203-P203&gt;3,3,IF(Q203-P203&lt;-3,-3,(Q203-P203)))),IF(AW203="Kickball",(IF(Q203-P203&gt;5,5,IF(Q203-P203&lt;-5,-5,(Q203-P203)))),IF(AW203="Flag Football",(IF(Q203-P203&gt;21,21,IF(Q203-P203&lt;-21,-21,(Q203-P203)))),Q203-P203))))</f>
        <v>-4</v>
      </c>
      <c r="Y203" s="301">
        <f t="shared" ref="Y203:Y266" si="139">IF(T203="Completed",(IF(P203&gt;Q203,2,IF(P203=Q203,1,IF(P203&lt;Q203,0)))),"X")</f>
        <v>2</v>
      </c>
      <c r="Z203" s="301">
        <f t="shared" ref="Z203:Z266" si="140">IF(T203="Completed",(IF(Q203&gt;P203,2,IF(Q203=P203,1,IF(Q203&lt;P203,0)))),"X")</f>
        <v>0</v>
      </c>
      <c r="AA203" s="323" t="str">
        <f>CONCATENATE("                x[team1,team2,sport,'",IF(OR(I203="x",I203=""),VLOOKUP('Schedule from TM'!J203,Tables!$P$3:$Q$33,2,FALSE),'Schedule from TM'!I203),",",J203,"','",IF(OR(F203="x",F203=""),VLOOKUP('Schedule from TM'!G203,Tables!$U$3:$V$14,2,FALSE),'Schedule from TM'!F203),",",TEXT(G203,"mm/dd/yyyy"),"','",TEXT(H203,"h:mm:ss AM/PM"),"'].ub=0.0      #",B203)</f>
        <v xml:space="preserve">                x[team1,team2,sport,'21,Hillel - Field 1','11,11/24/2017','8:00:00 AM'].ub=0.0      #Ch C Male Kickball</v>
      </c>
      <c r="AB203" s="301" t="str">
        <f t="shared" ref="AB203:AB266" si="141">",,"&amp;B203&amp;","&amp;O203&amp;",1,"&amp;L203</f>
        <v>,,Ch C Male Kickball,,1,CHILD CM - VEN 1</v>
      </c>
      <c r="AC203" s="153" t="str">
        <f t="shared" ref="AC203:AC266" si="142">B203&amp;O203&amp;L203</f>
        <v>Ch C Male KickballCHILD CM - VEN 1</v>
      </c>
      <c r="AD203" s="301" t="str">
        <f t="shared" ref="AD203:AD266" si="143">",,"&amp;B203&amp;","&amp;O203&amp;",1,"&amp;N203</f>
        <v>,,Ch C Male Kickball,,1,CHILD CM - VEN 2</v>
      </c>
      <c r="AE203" s="153" t="str">
        <f t="shared" ref="AE203:AE266" si="144">B203&amp;O203&amp;N203</f>
        <v>Ch C Male KickballCHILD CM - VEN 2</v>
      </c>
      <c r="AF203" s="383">
        <f t="shared" ref="AF203:AF266" si="145">IF(Y203=2,1,0)</f>
        <v>1</v>
      </c>
      <c r="AG203" s="383">
        <f t="shared" ref="AG203:AG266" si="146">IF(Y203=0,1,0)</f>
        <v>0</v>
      </c>
      <c r="AH203" s="383">
        <f t="shared" ref="AH203:AH266" si="147">IF(Y203=1,1,0)</f>
        <v>0</v>
      </c>
      <c r="AI203" s="383">
        <f t="shared" ref="AI203:AI266" si="148">IF(Z203=2,1,0)</f>
        <v>0</v>
      </c>
      <c r="AJ203" s="383">
        <f t="shared" ref="AJ203:AJ266" si="149">IF(Z203=0,1,0)</f>
        <v>1</v>
      </c>
      <c r="AK203" s="383">
        <f t="shared" ref="AK203:AK266" si="150">IF(Z203=1,1,0)</f>
        <v>0</v>
      </c>
      <c r="AM203" s="148" t="str">
        <f t="shared" ref="AM203:AM266" si="151">IF(G203&amp;H203&amp;J203&lt;&gt;"","Schedulled","Not Schedulled")</f>
        <v>Schedulled</v>
      </c>
      <c r="AN203" s="148" t="str">
        <f t="shared" ref="AN203:AN266" si="152">IF(AND(AM203="schedulled",L203&amp;N203=""),"Schedulled no team","")</f>
        <v/>
      </c>
      <c r="AO203" s="156">
        <f t="shared" ref="AO203:AO266" si="153">G203+H203</f>
        <v>43063.333333333336</v>
      </c>
      <c r="AP203" s="148" t="str">
        <f t="shared" ref="AP203:AP266" si="154">TEXT(AO203,"MM/DD/YYYY HH:MM")&amp;"-&gt;"&amp;J203</f>
        <v>11/24/2017 08:00-&gt;Hillel - Field 1</v>
      </c>
      <c r="AQ203" s="374">
        <f t="shared" ref="AQ203:AQ266" si="155">IF(AM203="not schedulled", 0,COUNTIF($AP$11:$AP$1051,AP203))</f>
        <v>1</v>
      </c>
      <c r="AR203" s="148" t="str">
        <f t="shared" ref="AR203:AR266" si="156">IFERROR(VLOOKUP(L203,teams_table,3,FALSE),"")</f>
        <v>VEN1</v>
      </c>
      <c r="AS203" s="148" t="str">
        <f t="shared" ref="AS203:AS266" si="157">IFERROR(VLOOKUP(N203,teams_table,3,FALSE),"")</f>
        <v>VEN2</v>
      </c>
      <c r="AT203" s="157" t="str">
        <f t="shared" ref="AT203:AT266" si="158">IF(AR203&amp;AS203&lt;&gt;"",AR203&amp;"-"&amp;AS203,"")</f>
        <v>VEN1-VEN2</v>
      </c>
      <c r="AU203" s="157" t="str">
        <f t="shared" ref="AU203:AU266" si="159">IF(AT203="","",AT203&amp;" ")&amp;IF(C203="final",AW203&amp;" Final","")&amp;IF(C203="semi-final",AW203&amp;" Semi-Final","")&amp;IF(C203="Tournament",AW203&amp;" Tournament","")</f>
        <v xml:space="preserve">VEN1-VEN2 </v>
      </c>
      <c r="AV203" s="157" t="str">
        <f t="shared" ref="AV203:AV266" si="160">IFERROR(VLOOKUP(B203,events_table,2,FALSE),"")</f>
        <v>CHILDREN C MALE</v>
      </c>
      <c r="AW203" s="157" t="str">
        <f t="shared" ref="AW203:AW266" si="161">IFERROR(VLOOKUP(B203,events_table,3,0),"")</f>
        <v>Kickball</v>
      </c>
      <c r="AX203" s="376">
        <f t="shared" ref="AX203:AX266" si="162">A203</f>
        <v>201</v>
      </c>
      <c r="AY203" s="148" t="str">
        <f t="shared" ref="AY203:AY266" si="163">L203&amp;"-&gt;"&amp;N203</f>
        <v>CHILD CM - VEN 1-&gt;CHILD CM - VEN 2</v>
      </c>
      <c r="AZ203" s="148" t="str">
        <f t="shared" ref="AZ203:AZ266" si="164">TEXT(AO203,"MM/DD/YYYY HH:MM")&amp;"-&gt;"&amp;L203</f>
        <v>11/24/2017 08:00-&gt;CHILD CM - VEN 1</v>
      </c>
      <c r="BA203" s="148" t="str">
        <f t="shared" ref="BA203:BA266" si="165">TEXT(AO203,"MM/DD/YYYY HH:MM")&amp;"-&gt;"&amp;N203</f>
        <v>11/24/2017 08:00-&gt;CHILD CM - VEN 2</v>
      </c>
      <c r="BB203" s="374">
        <f t="shared" ref="BB203:BB266" si="166">IF(OR(AM203="not schedulled",AN203="schedulled no team"),0,COUNTIF($AZ$11:$BA$1051,AZ203))</f>
        <v>1</v>
      </c>
      <c r="BC203" s="374">
        <f t="shared" ref="BC203:BC266" si="167">IF(OR(AM203="not schedulled",AN203="schedulled no team"),0,COUNTIF($AZ$11:$BA$1051,BA203))</f>
        <v>1</v>
      </c>
      <c r="BD203" s="148" t="str">
        <f t="shared" ref="BD203:BD266" si="168">IF(OR(BB203&gt;1,BC203&gt;1),"conflict","no conflict")</f>
        <v>no conflict</v>
      </c>
      <c r="BF203" s="148" t="str">
        <f t="shared" ref="BF203:BF266" si="169">TEXT(AO203,"MM/DD/YYYY HH:MM")&amp;"-&gt;"&amp;L203</f>
        <v>11/24/2017 08:00-&gt;CHILD CM - VEN 1</v>
      </c>
      <c r="BG203" s="148" t="str">
        <f t="shared" ref="BG203:BG266" si="170">TEXT(AO203,"MM/DD/YYYY HH:MM")&amp;"-&gt;"&amp;N203</f>
        <v>11/24/2017 08:00-&gt;CHILD CM - VEN 2</v>
      </c>
      <c r="BH203" s="148" t="str">
        <f t="shared" ref="BH203:BH266" si="171">TEXT(AO203,"MM/DD/YYYY HH:MM")&amp;"-&gt;"&amp;J203</f>
        <v>11/24/2017 08:00-&gt;Hillel - Field 1</v>
      </c>
      <c r="BI203" s="148" t="str">
        <f t="shared" ref="BI203:BI266" si="172">AW203&amp; " in "&amp;J203 &amp;" ("&amp;AT203&amp;")"</f>
        <v>Kickball in Hillel - Field 1 (VEN1-VEN2)</v>
      </c>
      <c r="BJ203" s="148" t="str">
        <f t="shared" ref="BJ203:BJ266" si="173">B203 &amp;"-- " &amp;L203&amp;" vs. "&amp;N203</f>
        <v>Ch C Male Kickball-- CHILD CM - VEN 1 vs. CHILD CM - VEN 2</v>
      </c>
      <c r="BK203" s="148" t="str">
        <f t="shared" ref="BK203:BK266" si="174">AW203</f>
        <v>Kickball</v>
      </c>
      <c r="BL203" s="148" t="str">
        <f t="shared" ref="BL203:BL266" si="175">L203</f>
        <v>CHILD CM - VEN 1</v>
      </c>
      <c r="BM203" s="148" t="str">
        <f t="shared" ref="BM203:BM266" si="176">N203</f>
        <v>CHILD CM - VEN 2</v>
      </c>
      <c r="BN203" s="148" t="str">
        <f t="shared" ref="BN203:BN266" si="177">C203</f>
        <v>Round - 1</v>
      </c>
      <c r="BP203" s="148" t="str">
        <f t="shared" ref="BP203:BP266" si="178">IF(OR(NOT(ISERR(SEARCH("final",C203))),NOT(ISERR(SEARCH("tournament",C203)))),TEXT(AO203,"MM/DD/YYYY HH:MM")&amp;"-&gt;"&amp;AV203,IF(B203="","no game","no t, f, or sf"))</f>
        <v>no t, f, or sf</v>
      </c>
      <c r="BQ203" s="148" t="str">
        <f t="shared" ref="BQ203:BQ266" si="179">IF(BP203&lt;&gt;"no t, f, or sf",AW203&amp;" "&amp;C203&amp;" in "&amp;J203,"")</f>
        <v/>
      </c>
    </row>
    <row r="204" spans="1:69" ht="15" customHeight="1" x14ac:dyDescent="0.2">
      <c r="A204" s="376">
        <v>202</v>
      </c>
      <c r="B204" s="441" t="s">
        <v>47</v>
      </c>
      <c r="C204" s="441" t="s">
        <v>518</v>
      </c>
      <c r="D204" s="450">
        <v>1</v>
      </c>
      <c r="E204" s="450">
        <v>1</v>
      </c>
      <c r="F204" s="315" t="s">
        <v>770</v>
      </c>
      <c r="G204" s="320">
        <v>43063</v>
      </c>
      <c r="H204" s="418">
        <v>0.36805555555555558</v>
      </c>
      <c r="I204" s="325" t="s">
        <v>770</v>
      </c>
      <c r="J204" s="296" t="s">
        <v>705</v>
      </c>
      <c r="K204" s="441">
        <v>31</v>
      </c>
      <c r="L204" t="s">
        <v>572</v>
      </c>
      <c r="M204">
        <v>31</v>
      </c>
      <c r="N204" t="s">
        <v>574</v>
      </c>
      <c r="O204" s="153" t="str">
        <f>IF(L204&lt;&gt;"",IFERROR(VLOOKUP(B204&amp;L204,Pools!$A$2:$D$130,3,FALSE),""),"")</f>
        <v/>
      </c>
      <c r="P204" s="388">
        <v>6</v>
      </c>
      <c r="Q204" s="388">
        <v>4</v>
      </c>
      <c r="R204" s="306" t="str">
        <f t="shared" si="135"/>
        <v>6-4</v>
      </c>
      <c r="S204" s="153"/>
      <c r="T204" s="148" t="str">
        <f t="shared" si="136"/>
        <v>Completed</v>
      </c>
      <c r="U204" s="153"/>
      <c r="V204" s="153"/>
      <c r="W204" s="387">
        <f t="shared" si="137"/>
        <v>2</v>
      </c>
      <c r="X204" s="387">
        <f t="shared" si="138"/>
        <v>-2</v>
      </c>
      <c r="Y204" s="301">
        <f t="shared" si="139"/>
        <v>2</v>
      </c>
      <c r="Z204" s="301">
        <f t="shared" si="140"/>
        <v>0</v>
      </c>
      <c r="AA204" s="323" t="str">
        <f>CONCATENATE("                x[team1,team2,sport,'",IF(OR(I204="x",I204=""),VLOOKUP('Schedule from TM'!J204,Tables!$P$3:$Q$33,2,FALSE),'Schedule from TM'!I204),",",J204,"','",IF(OR(F204="x",F204=""),VLOOKUP('Schedule from TM'!G204,Tables!$U$3:$V$14,2,FALSE),'Schedule from TM'!F204),",",TEXT(G204,"mm/dd/yyyy"),"','",TEXT(H204,"h:mm:ss AM/PM"),"'].ub=0.0      #",B204)</f>
        <v xml:space="preserve">                x[team1,team2,sport,'21,Hillel - Field 3','11,11/24/2017','8:50:00 AM'].ub=0.0      #Ch C Male Kickball</v>
      </c>
      <c r="AB204" s="301" t="str">
        <f t="shared" si="141"/>
        <v>,,Ch C Male Kickball,,1,CHILD CM - ARG 1</v>
      </c>
      <c r="AC204" s="153" t="str">
        <f t="shared" si="142"/>
        <v>Ch C Male KickballCHILD CM - ARG 1</v>
      </c>
      <c r="AD204" s="301" t="str">
        <f t="shared" si="143"/>
        <v>,,Ch C Male Kickball,,1,CHILD CM - COL 1</v>
      </c>
      <c r="AE204" s="153" t="str">
        <f t="shared" si="144"/>
        <v>Ch C Male KickballCHILD CM - COL 1</v>
      </c>
      <c r="AF204" s="383">
        <f t="shared" si="145"/>
        <v>1</v>
      </c>
      <c r="AG204" s="383">
        <f t="shared" si="146"/>
        <v>0</v>
      </c>
      <c r="AH204" s="383">
        <f t="shared" si="147"/>
        <v>0</v>
      </c>
      <c r="AI204" s="383">
        <f t="shared" si="148"/>
        <v>0</v>
      </c>
      <c r="AJ204" s="383">
        <f t="shared" si="149"/>
        <v>1</v>
      </c>
      <c r="AK204" s="383">
        <f t="shared" si="150"/>
        <v>0</v>
      </c>
      <c r="AM204" s="148" t="str">
        <f t="shared" si="151"/>
        <v>Schedulled</v>
      </c>
      <c r="AN204" s="148" t="str">
        <f t="shared" si="152"/>
        <v/>
      </c>
      <c r="AO204" s="156">
        <f t="shared" si="153"/>
        <v>43063.368055555555</v>
      </c>
      <c r="AP204" s="148" t="str">
        <f t="shared" si="154"/>
        <v>11/24/2017 08:50-&gt;Hillel - Field 3</v>
      </c>
      <c r="AQ204" s="374">
        <f t="shared" si="155"/>
        <v>1</v>
      </c>
      <c r="AR204" s="148" t="str">
        <f t="shared" si="156"/>
        <v>ARG1</v>
      </c>
      <c r="AS204" s="148" t="str">
        <f t="shared" si="157"/>
        <v>COL1</v>
      </c>
      <c r="AT204" s="157" t="str">
        <f t="shared" si="158"/>
        <v>ARG1-COL1</v>
      </c>
      <c r="AU204" s="157" t="str">
        <f t="shared" si="159"/>
        <v xml:space="preserve">ARG1-COL1 </v>
      </c>
      <c r="AV204" s="157" t="str">
        <f t="shared" si="160"/>
        <v>CHILDREN C MALE</v>
      </c>
      <c r="AW204" s="157" t="str">
        <f t="shared" si="161"/>
        <v>Kickball</v>
      </c>
      <c r="AX204" s="376">
        <f t="shared" si="162"/>
        <v>202</v>
      </c>
      <c r="AY204" s="148" t="str">
        <f t="shared" si="163"/>
        <v>CHILD CM - ARG 1-&gt;CHILD CM - COL 1</v>
      </c>
      <c r="AZ204" s="148" t="str">
        <f t="shared" si="164"/>
        <v>11/24/2017 08:50-&gt;CHILD CM - ARG 1</v>
      </c>
      <c r="BA204" s="148" t="str">
        <f t="shared" si="165"/>
        <v>11/24/2017 08:50-&gt;CHILD CM - COL 1</v>
      </c>
      <c r="BB204" s="374">
        <f t="shared" si="166"/>
        <v>1</v>
      </c>
      <c r="BC204" s="374">
        <f t="shared" si="167"/>
        <v>1</v>
      </c>
      <c r="BD204" s="148" t="str">
        <f t="shared" si="168"/>
        <v>no conflict</v>
      </c>
      <c r="BF204" s="148" t="str">
        <f t="shared" si="169"/>
        <v>11/24/2017 08:50-&gt;CHILD CM - ARG 1</v>
      </c>
      <c r="BG204" s="148" t="str">
        <f t="shared" si="170"/>
        <v>11/24/2017 08:50-&gt;CHILD CM - COL 1</v>
      </c>
      <c r="BH204" s="148" t="str">
        <f t="shared" si="171"/>
        <v>11/24/2017 08:50-&gt;Hillel - Field 3</v>
      </c>
      <c r="BI204" s="148" t="str">
        <f t="shared" si="172"/>
        <v>Kickball in Hillel - Field 3 (ARG1-COL1)</v>
      </c>
      <c r="BJ204" s="148" t="str">
        <f t="shared" si="173"/>
        <v>Ch C Male Kickball-- CHILD CM - ARG 1 vs. CHILD CM - COL 1</v>
      </c>
      <c r="BK204" s="148" t="str">
        <f t="shared" si="174"/>
        <v>Kickball</v>
      </c>
      <c r="BL204" s="148" t="str">
        <f t="shared" si="175"/>
        <v>CHILD CM - ARG 1</v>
      </c>
      <c r="BM204" s="148" t="str">
        <f t="shared" si="176"/>
        <v>CHILD CM - COL 1</v>
      </c>
      <c r="BN204" s="148" t="str">
        <f t="shared" si="177"/>
        <v>Round - 1</v>
      </c>
      <c r="BP204" s="148" t="str">
        <f t="shared" si="178"/>
        <v>no t, f, or sf</v>
      </c>
      <c r="BQ204" s="148" t="str">
        <f t="shared" si="179"/>
        <v/>
      </c>
    </row>
    <row r="205" spans="1:69" ht="15" customHeight="1" x14ac:dyDescent="0.2">
      <c r="A205" s="376">
        <v>203</v>
      </c>
      <c r="B205" s="444" t="s">
        <v>47</v>
      </c>
      <c r="C205" s="444" t="s">
        <v>518</v>
      </c>
      <c r="D205" s="451">
        <v>1</v>
      </c>
      <c r="E205" s="451">
        <v>1</v>
      </c>
      <c r="F205" s="315" t="s">
        <v>770</v>
      </c>
      <c r="G205" s="445">
        <v>43063</v>
      </c>
      <c r="H205" s="454">
        <v>0.4375</v>
      </c>
      <c r="I205" s="325" t="s">
        <v>770</v>
      </c>
      <c r="J205" s="444" t="s">
        <v>704</v>
      </c>
      <c r="K205" s="444">
        <v>31</v>
      </c>
      <c r="L205" t="s">
        <v>580</v>
      </c>
      <c r="M205">
        <v>31</v>
      </c>
      <c r="N205" t="s">
        <v>578</v>
      </c>
      <c r="O205" s="153" t="str">
        <f>IF(L205&lt;&gt;"",IFERROR(VLOOKUP(B205&amp;L205,Pools!$A$2:$D$130,3,FALSE),""),"")</f>
        <v/>
      </c>
      <c r="P205" s="388">
        <v>12</v>
      </c>
      <c r="Q205" s="388">
        <v>6</v>
      </c>
      <c r="R205" s="306" t="str">
        <f t="shared" si="135"/>
        <v>12-6</v>
      </c>
      <c r="S205" s="153"/>
      <c r="T205" s="148" t="str">
        <f t="shared" si="136"/>
        <v>Completed</v>
      </c>
      <c r="U205" s="153"/>
      <c r="V205" s="153"/>
      <c r="W205" s="387">
        <f t="shared" si="137"/>
        <v>5</v>
      </c>
      <c r="X205" s="387">
        <f t="shared" si="138"/>
        <v>-5</v>
      </c>
      <c r="Y205" s="301">
        <f t="shared" si="139"/>
        <v>2</v>
      </c>
      <c r="Z205" s="301">
        <f t="shared" si="140"/>
        <v>0</v>
      </c>
      <c r="AA205" s="323" t="str">
        <f>CONCATENATE("                x[team1,team2,sport,'",IF(OR(I205="x",I205=""),VLOOKUP('Schedule from TM'!J205,Tables!$P$3:$Q$33,2,FALSE),'Schedule from TM'!I205),",",J205,"','",IF(OR(F205="x",F205=""),VLOOKUP('Schedule from TM'!G205,Tables!$U$3:$V$14,2,FALSE),'Schedule from TM'!F205),",",TEXT(G205,"mm/dd/yyyy"),"','",TEXT(H205,"h:mm:ss AM/PM"),"'].ub=0.0      #",B205)</f>
        <v xml:space="preserve">                x[team1,team2,sport,'21,Hillel - Field 2','11,11/24/2017','10:30:00 AM'].ub=0.0      #Ch C Male Kickball</v>
      </c>
      <c r="AB205" s="301" t="str">
        <f t="shared" si="141"/>
        <v>,,Ch C Male Kickball,,1,CHILD CM - VEN 1</v>
      </c>
      <c r="AC205" s="153" t="str">
        <f t="shared" si="142"/>
        <v>Ch C Male KickballCHILD CM - VEN 1</v>
      </c>
      <c r="AD205" s="301" t="str">
        <f t="shared" si="143"/>
        <v>,,Ch C Male Kickball,,1,CHILD CM - USA 1</v>
      </c>
      <c r="AE205" s="153" t="str">
        <f t="shared" si="144"/>
        <v>Ch C Male KickballCHILD CM - USA 1</v>
      </c>
      <c r="AF205" s="383">
        <f t="shared" si="145"/>
        <v>1</v>
      </c>
      <c r="AG205" s="383">
        <f t="shared" si="146"/>
        <v>0</v>
      </c>
      <c r="AH205" s="383">
        <f t="shared" si="147"/>
        <v>0</v>
      </c>
      <c r="AI205" s="383">
        <f t="shared" si="148"/>
        <v>0</v>
      </c>
      <c r="AJ205" s="383">
        <f t="shared" si="149"/>
        <v>1</v>
      </c>
      <c r="AK205" s="383">
        <f t="shared" si="150"/>
        <v>0</v>
      </c>
      <c r="AM205" s="148" t="str">
        <f t="shared" si="151"/>
        <v>Schedulled</v>
      </c>
      <c r="AN205" s="148" t="str">
        <f t="shared" si="152"/>
        <v/>
      </c>
      <c r="AO205" s="156">
        <f t="shared" si="153"/>
        <v>43063.4375</v>
      </c>
      <c r="AP205" s="148" t="str">
        <f t="shared" si="154"/>
        <v>11/24/2017 10:30-&gt;Hillel - Field 2</v>
      </c>
      <c r="AQ205" s="374">
        <f t="shared" si="155"/>
        <v>1</v>
      </c>
      <c r="AR205" s="148" t="str">
        <f t="shared" si="156"/>
        <v>VEN1</v>
      </c>
      <c r="AS205" s="148" t="str">
        <f t="shared" si="157"/>
        <v>USA1</v>
      </c>
      <c r="AT205" s="157" t="str">
        <f t="shared" si="158"/>
        <v>VEN1-USA1</v>
      </c>
      <c r="AU205" s="157" t="str">
        <f t="shared" si="159"/>
        <v xml:space="preserve">VEN1-USA1 </v>
      </c>
      <c r="AV205" s="157" t="str">
        <f t="shared" si="160"/>
        <v>CHILDREN C MALE</v>
      </c>
      <c r="AW205" s="157" t="str">
        <f t="shared" si="161"/>
        <v>Kickball</v>
      </c>
      <c r="AX205" s="376">
        <f t="shared" si="162"/>
        <v>203</v>
      </c>
      <c r="AY205" s="148" t="str">
        <f t="shared" si="163"/>
        <v>CHILD CM - VEN 1-&gt;CHILD CM - USA 1</v>
      </c>
      <c r="AZ205" s="148" t="str">
        <f t="shared" si="164"/>
        <v>11/24/2017 10:30-&gt;CHILD CM - VEN 1</v>
      </c>
      <c r="BA205" s="148" t="str">
        <f t="shared" si="165"/>
        <v>11/24/2017 10:30-&gt;CHILD CM - USA 1</v>
      </c>
      <c r="BB205" s="374">
        <f t="shared" si="166"/>
        <v>1</v>
      </c>
      <c r="BC205" s="374">
        <f t="shared" si="167"/>
        <v>1</v>
      </c>
      <c r="BD205" s="148" t="str">
        <f t="shared" si="168"/>
        <v>no conflict</v>
      </c>
      <c r="BF205" s="148" t="str">
        <f t="shared" si="169"/>
        <v>11/24/2017 10:30-&gt;CHILD CM - VEN 1</v>
      </c>
      <c r="BG205" s="148" t="str">
        <f t="shared" si="170"/>
        <v>11/24/2017 10:30-&gt;CHILD CM - USA 1</v>
      </c>
      <c r="BH205" s="148" t="str">
        <f t="shared" si="171"/>
        <v>11/24/2017 10:30-&gt;Hillel - Field 2</v>
      </c>
      <c r="BI205" s="148" t="str">
        <f t="shared" si="172"/>
        <v>Kickball in Hillel - Field 2 (VEN1-USA1)</v>
      </c>
      <c r="BJ205" s="148" t="str">
        <f t="shared" si="173"/>
        <v>Ch C Male Kickball-- CHILD CM - VEN 1 vs. CHILD CM - USA 1</v>
      </c>
      <c r="BK205" s="148" t="str">
        <f t="shared" si="174"/>
        <v>Kickball</v>
      </c>
      <c r="BL205" s="148" t="str">
        <f t="shared" si="175"/>
        <v>CHILD CM - VEN 1</v>
      </c>
      <c r="BM205" s="148" t="str">
        <f t="shared" si="176"/>
        <v>CHILD CM - USA 1</v>
      </c>
      <c r="BN205" s="148" t="str">
        <f t="shared" si="177"/>
        <v>Round - 1</v>
      </c>
      <c r="BP205" s="148" t="str">
        <f t="shared" si="178"/>
        <v>no t, f, or sf</v>
      </c>
      <c r="BQ205" s="148" t="str">
        <f t="shared" si="179"/>
        <v/>
      </c>
    </row>
    <row r="206" spans="1:69" ht="15" customHeight="1" x14ac:dyDescent="0.2">
      <c r="A206" s="376">
        <v>204</v>
      </c>
      <c r="B206" s="315" t="s">
        <v>47</v>
      </c>
      <c r="C206" s="315" t="s">
        <v>518</v>
      </c>
      <c r="D206" s="378">
        <v>1</v>
      </c>
      <c r="E206" s="378">
        <v>1</v>
      </c>
      <c r="F206" s="315" t="s">
        <v>770</v>
      </c>
      <c r="G206" s="316">
        <v>43065</v>
      </c>
      <c r="H206" s="417">
        <v>0.40277777777777773</v>
      </c>
      <c r="I206" s="325" t="s">
        <v>770</v>
      </c>
      <c r="J206" s="315" t="s">
        <v>704</v>
      </c>
      <c r="K206" s="315">
        <v>31</v>
      </c>
      <c r="L206" t="s">
        <v>574</v>
      </c>
      <c r="M206">
        <v>31</v>
      </c>
      <c r="N206" t="s">
        <v>578</v>
      </c>
      <c r="O206" s="153" t="str">
        <f>IF(L206&lt;&gt;"",IFERROR(VLOOKUP(B206&amp;L206,Pools!$A$2:$D$130,3,FALSE),""),"")</f>
        <v/>
      </c>
      <c r="P206" s="388">
        <v>15</v>
      </c>
      <c r="Q206" s="388">
        <v>4</v>
      </c>
      <c r="R206" s="306" t="str">
        <f t="shared" si="135"/>
        <v>15-4</v>
      </c>
      <c r="S206" s="153"/>
      <c r="T206" s="148" t="str">
        <f t="shared" si="136"/>
        <v>Completed</v>
      </c>
      <c r="U206" s="153"/>
      <c r="V206" s="153"/>
      <c r="W206" s="387">
        <f t="shared" si="137"/>
        <v>5</v>
      </c>
      <c r="X206" s="387">
        <f t="shared" si="138"/>
        <v>-5</v>
      </c>
      <c r="Y206" s="301">
        <f t="shared" si="139"/>
        <v>2</v>
      </c>
      <c r="Z206" s="301">
        <f t="shared" si="140"/>
        <v>0</v>
      </c>
      <c r="AA206" s="323" t="str">
        <f>CONCATENATE("                x[team1,team2,sport,'",IF(OR(I206="x",I206=""),VLOOKUP('Schedule from TM'!J206,Tables!$P$3:$Q$33,2,FALSE),'Schedule from TM'!I206),",",J206,"','",IF(OR(F206="x",F206=""),VLOOKUP('Schedule from TM'!G206,Tables!$U$3:$V$14,2,FALSE),'Schedule from TM'!F206),",",TEXT(G206,"mm/dd/yyyy"),"','",TEXT(H206,"h:mm:ss AM/PM"),"'].ub=0.0      #",B206)</f>
        <v xml:space="preserve">                x[team1,team2,sport,'21,Hillel - Field 2','21,11/26/2017','9:40:00 AM'].ub=0.0      #Ch C Male Kickball</v>
      </c>
      <c r="AB206" s="301" t="str">
        <f t="shared" si="141"/>
        <v>,,Ch C Male Kickball,,1,CHILD CM - COL 1</v>
      </c>
      <c r="AC206" s="153" t="str">
        <f t="shared" si="142"/>
        <v>Ch C Male KickballCHILD CM - COL 1</v>
      </c>
      <c r="AD206" s="301" t="str">
        <f t="shared" si="143"/>
        <v>,,Ch C Male Kickball,,1,CHILD CM - USA 1</v>
      </c>
      <c r="AE206" s="153" t="str">
        <f t="shared" si="144"/>
        <v>Ch C Male KickballCHILD CM - USA 1</v>
      </c>
      <c r="AF206" s="383">
        <f t="shared" si="145"/>
        <v>1</v>
      </c>
      <c r="AG206" s="383">
        <f t="shared" si="146"/>
        <v>0</v>
      </c>
      <c r="AH206" s="383">
        <f t="shared" si="147"/>
        <v>0</v>
      </c>
      <c r="AI206" s="383">
        <f t="shared" si="148"/>
        <v>0</v>
      </c>
      <c r="AJ206" s="383">
        <f t="shared" si="149"/>
        <v>1</v>
      </c>
      <c r="AK206" s="383">
        <f t="shared" si="150"/>
        <v>0</v>
      </c>
      <c r="AM206" s="148" t="str">
        <f t="shared" si="151"/>
        <v>Schedulled</v>
      </c>
      <c r="AN206" s="148" t="str">
        <f t="shared" si="152"/>
        <v/>
      </c>
      <c r="AO206" s="156">
        <f t="shared" si="153"/>
        <v>43065.402777777781</v>
      </c>
      <c r="AP206" s="148" t="str">
        <f t="shared" si="154"/>
        <v>11/26/2017 09:40-&gt;Hillel - Field 2</v>
      </c>
      <c r="AQ206" s="374">
        <f t="shared" si="155"/>
        <v>1</v>
      </c>
      <c r="AR206" s="148" t="str">
        <f t="shared" si="156"/>
        <v>COL1</v>
      </c>
      <c r="AS206" s="148" t="str">
        <f t="shared" si="157"/>
        <v>USA1</v>
      </c>
      <c r="AT206" s="157" t="str">
        <f t="shared" si="158"/>
        <v>COL1-USA1</v>
      </c>
      <c r="AU206" s="157" t="str">
        <f t="shared" si="159"/>
        <v xml:space="preserve">COL1-USA1 </v>
      </c>
      <c r="AV206" s="157" t="str">
        <f t="shared" si="160"/>
        <v>CHILDREN C MALE</v>
      </c>
      <c r="AW206" s="157" t="str">
        <f t="shared" si="161"/>
        <v>Kickball</v>
      </c>
      <c r="AX206" s="376">
        <f t="shared" si="162"/>
        <v>204</v>
      </c>
      <c r="AY206" s="148" t="str">
        <f t="shared" si="163"/>
        <v>CHILD CM - COL 1-&gt;CHILD CM - USA 1</v>
      </c>
      <c r="AZ206" s="148" t="str">
        <f t="shared" si="164"/>
        <v>11/26/2017 09:40-&gt;CHILD CM - COL 1</v>
      </c>
      <c r="BA206" s="148" t="str">
        <f t="shared" si="165"/>
        <v>11/26/2017 09:40-&gt;CHILD CM - USA 1</v>
      </c>
      <c r="BB206" s="374">
        <f t="shared" si="166"/>
        <v>1</v>
      </c>
      <c r="BC206" s="374">
        <f t="shared" si="167"/>
        <v>1</v>
      </c>
      <c r="BD206" s="148" t="str">
        <f t="shared" si="168"/>
        <v>no conflict</v>
      </c>
      <c r="BF206" s="148" t="str">
        <f t="shared" si="169"/>
        <v>11/26/2017 09:40-&gt;CHILD CM - COL 1</v>
      </c>
      <c r="BG206" s="148" t="str">
        <f t="shared" si="170"/>
        <v>11/26/2017 09:40-&gt;CHILD CM - USA 1</v>
      </c>
      <c r="BH206" s="148" t="str">
        <f t="shared" si="171"/>
        <v>11/26/2017 09:40-&gt;Hillel - Field 2</v>
      </c>
      <c r="BI206" s="148" t="str">
        <f t="shared" si="172"/>
        <v>Kickball in Hillel - Field 2 (COL1-USA1)</v>
      </c>
      <c r="BJ206" s="148" t="str">
        <f t="shared" si="173"/>
        <v>Ch C Male Kickball-- CHILD CM - COL 1 vs. CHILD CM - USA 1</v>
      </c>
      <c r="BK206" s="148" t="str">
        <f t="shared" si="174"/>
        <v>Kickball</v>
      </c>
      <c r="BL206" s="148" t="str">
        <f t="shared" si="175"/>
        <v>CHILD CM - COL 1</v>
      </c>
      <c r="BM206" s="148" t="str">
        <f t="shared" si="176"/>
        <v>CHILD CM - USA 1</v>
      </c>
      <c r="BN206" s="148" t="str">
        <f t="shared" si="177"/>
        <v>Round - 1</v>
      </c>
      <c r="BP206" s="148" t="str">
        <f t="shared" si="178"/>
        <v>no t, f, or sf</v>
      </c>
      <c r="BQ206" s="148" t="str">
        <f t="shared" si="179"/>
        <v/>
      </c>
    </row>
    <row r="207" spans="1:69" ht="15" customHeight="1" x14ac:dyDescent="0.2">
      <c r="A207" s="376">
        <v>205</v>
      </c>
      <c r="B207" s="319" t="s">
        <v>47</v>
      </c>
      <c r="C207" s="319" t="s">
        <v>518</v>
      </c>
      <c r="D207" s="376">
        <v>1</v>
      </c>
      <c r="E207" s="376">
        <v>1</v>
      </c>
      <c r="F207" s="315" t="s">
        <v>770</v>
      </c>
      <c r="G207" s="320">
        <v>43065</v>
      </c>
      <c r="H207" s="417">
        <v>0.47222222222222227</v>
      </c>
      <c r="I207" s="325" t="s">
        <v>770</v>
      </c>
      <c r="J207" s="319" t="s">
        <v>705</v>
      </c>
      <c r="K207" s="319">
        <v>31</v>
      </c>
      <c r="L207" t="s">
        <v>574</v>
      </c>
      <c r="M207">
        <v>31</v>
      </c>
      <c r="N207" t="s">
        <v>573</v>
      </c>
      <c r="O207" s="153" t="str">
        <f>IF(L207&lt;&gt;"",IFERROR(VLOOKUP(B207&amp;L207,Pools!$A$2:$D$130,3,FALSE),""),"")</f>
        <v/>
      </c>
      <c r="P207" s="388">
        <v>3</v>
      </c>
      <c r="Q207" s="388">
        <v>2</v>
      </c>
      <c r="R207" s="306" t="str">
        <f t="shared" si="135"/>
        <v>3-2</v>
      </c>
      <c r="S207" s="153"/>
      <c r="T207" s="148" t="str">
        <f t="shared" si="136"/>
        <v>Completed</v>
      </c>
      <c r="U207" s="153"/>
      <c r="V207" s="153"/>
      <c r="W207" s="387">
        <f t="shared" si="137"/>
        <v>1</v>
      </c>
      <c r="X207" s="387">
        <f t="shared" si="138"/>
        <v>-1</v>
      </c>
      <c r="Y207" s="301">
        <f t="shared" si="139"/>
        <v>2</v>
      </c>
      <c r="Z207" s="301">
        <f t="shared" si="140"/>
        <v>0</v>
      </c>
      <c r="AA207" s="323" t="str">
        <f>CONCATENATE("                x[team1,team2,sport,'",IF(OR(I207="x",I207=""),VLOOKUP('Schedule from TM'!J207,Tables!$P$3:$Q$33,2,FALSE),'Schedule from TM'!I207),",",J207,"','",IF(OR(F207="x",F207=""),VLOOKUP('Schedule from TM'!G207,Tables!$U$3:$V$14,2,FALSE),'Schedule from TM'!F207),",",TEXT(G207,"mm/dd/yyyy"),"','",TEXT(H207,"h:mm:ss AM/PM"),"'].ub=0.0      #",B207)</f>
        <v xml:space="preserve">                x[team1,team2,sport,'21,Hillel - Field 3','21,11/26/2017','11:20:00 AM'].ub=0.0      #Ch C Male Kickball</v>
      </c>
      <c r="AB207" s="301" t="str">
        <f t="shared" si="141"/>
        <v>,,Ch C Male Kickball,,1,CHILD CM - COL 1</v>
      </c>
      <c r="AC207" s="153" t="str">
        <f t="shared" si="142"/>
        <v>Ch C Male KickballCHILD CM - COL 1</v>
      </c>
      <c r="AD207" s="301" t="str">
        <f t="shared" si="143"/>
        <v>,,Ch C Male Kickball,,1,CHILD CM - ARG 2</v>
      </c>
      <c r="AE207" s="153" t="str">
        <f t="shared" si="144"/>
        <v>Ch C Male KickballCHILD CM - ARG 2</v>
      </c>
      <c r="AF207" s="383">
        <f t="shared" si="145"/>
        <v>1</v>
      </c>
      <c r="AG207" s="383">
        <f t="shared" si="146"/>
        <v>0</v>
      </c>
      <c r="AH207" s="383">
        <f t="shared" si="147"/>
        <v>0</v>
      </c>
      <c r="AI207" s="383">
        <f t="shared" si="148"/>
        <v>0</v>
      </c>
      <c r="AJ207" s="383">
        <f t="shared" si="149"/>
        <v>1</v>
      </c>
      <c r="AK207" s="383">
        <f t="shared" si="150"/>
        <v>0</v>
      </c>
      <c r="AM207" s="148" t="str">
        <f t="shared" si="151"/>
        <v>Schedulled</v>
      </c>
      <c r="AN207" s="148" t="str">
        <f t="shared" si="152"/>
        <v/>
      </c>
      <c r="AO207" s="156">
        <f t="shared" si="153"/>
        <v>43065.472222222219</v>
      </c>
      <c r="AP207" s="148" t="str">
        <f t="shared" si="154"/>
        <v>11/26/2017 11:20-&gt;Hillel - Field 3</v>
      </c>
      <c r="AQ207" s="374">
        <f t="shared" si="155"/>
        <v>1</v>
      </c>
      <c r="AR207" s="148" t="str">
        <f t="shared" si="156"/>
        <v>COL1</v>
      </c>
      <c r="AS207" s="148" t="str">
        <f t="shared" si="157"/>
        <v>ARG2</v>
      </c>
      <c r="AT207" s="157" t="str">
        <f t="shared" si="158"/>
        <v>COL1-ARG2</v>
      </c>
      <c r="AU207" s="157" t="str">
        <f t="shared" si="159"/>
        <v xml:space="preserve">COL1-ARG2 </v>
      </c>
      <c r="AV207" s="157" t="str">
        <f t="shared" si="160"/>
        <v>CHILDREN C MALE</v>
      </c>
      <c r="AW207" s="157" t="str">
        <f t="shared" si="161"/>
        <v>Kickball</v>
      </c>
      <c r="AX207" s="376">
        <f t="shared" si="162"/>
        <v>205</v>
      </c>
      <c r="AY207" s="148" t="str">
        <f t="shared" si="163"/>
        <v>CHILD CM - COL 1-&gt;CHILD CM - ARG 2</v>
      </c>
      <c r="AZ207" s="148" t="str">
        <f t="shared" si="164"/>
        <v>11/26/2017 11:20-&gt;CHILD CM - COL 1</v>
      </c>
      <c r="BA207" s="148" t="str">
        <f t="shared" si="165"/>
        <v>11/26/2017 11:20-&gt;CHILD CM - ARG 2</v>
      </c>
      <c r="BB207" s="374">
        <f t="shared" si="166"/>
        <v>1</v>
      </c>
      <c r="BC207" s="374">
        <f t="shared" si="167"/>
        <v>1</v>
      </c>
      <c r="BD207" s="148" t="str">
        <f t="shared" si="168"/>
        <v>no conflict</v>
      </c>
      <c r="BF207" s="148" t="str">
        <f t="shared" si="169"/>
        <v>11/26/2017 11:20-&gt;CHILD CM - COL 1</v>
      </c>
      <c r="BG207" s="148" t="str">
        <f t="shared" si="170"/>
        <v>11/26/2017 11:20-&gt;CHILD CM - ARG 2</v>
      </c>
      <c r="BH207" s="148" t="str">
        <f t="shared" si="171"/>
        <v>11/26/2017 11:20-&gt;Hillel - Field 3</v>
      </c>
      <c r="BI207" s="148" t="str">
        <f t="shared" si="172"/>
        <v>Kickball in Hillel - Field 3 (COL1-ARG2)</v>
      </c>
      <c r="BJ207" s="148" t="str">
        <f t="shared" si="173"/>
        <v>Ch C Male Kickball-- CHILD CM - COL 1 vs. CHILD CM - ARG 2</v>
      </c>
      <c r="BK207" s="148" t="str">
        <f t="shared" si="174"/>
        <v>Kickball</v>
      </c>
      <c r="BL207" s="148" t="str">
        <f t="shared" si="175"/>
        <v>CHILD CM - COL 1</v>
      </c>
      <c r="BM207" s="148" t="str">
        <f t="shared" si="176"/>
        <v>CHILD CM - ARG 2</v>
      </c>
      <c r="BN207" s="148" t="str">
        <f t="shared" si="177"/>
        <v>Round - 1</v>
      </c>
      <c r="BP207" s="148" t="str">
        <f t="shared" si="178"/>
        <v>no t, f, or sf</v>
      </c>
      <c r="BQ207" s="148" t="str">
        <f t="shared" si="179"/>
        <v/>
      </c>
    </row>
    <row r="208" spans="1:69" ht="15" customHeight="1" x14ac:dyDescent="0.2">
      <c r="A208" s="376">
        <v>206</v>
      </c>
      <c r="B208" s="441" t="s">
        <v>43</v>
      </c>
      <c r="C208" s="441" t="s">
        <v>518</v>
      </c>
      <c r="D208" s="450">
        <v>1</v>
      </c>
      <c r="E208" s="450">
        <v>1</v>
      </c>
      <c r="F208" s="315" t="s">
        <v>770</v>
      </c>
      <c r="G208" s="320">
        <v>43058</v>
      </c>
      <c r="H208" s="317">
        <v>0.61111111111111105</v>
      </c>
      <c r="I208" s="325" t="s">
        <v>770</v>
      </c>
      <c r="J208" s="441" t="s">
        <v>695</v>
      </c>
      <c r="K208" s="441">
        <v>31</v>
      </c>
      <c r="L208" s="433" t="s">
        <v>572</v>
      </c>
      <c r="M208" s="433">
        <v>31</v>
      </c>
      <c r="N208" s="433" t="s">
        <v>581</v>
      </c>
      <c r="O208" s="153" t="str">
        <f>IF(L208&lt;&gt;"",IFERROR(VLOOKUP(B208&amp;L208,Pools!$A$2:$D$130,3,FALSE),""),"")</f>
        <v/>
      </c>
      <c r="P208" s="388">
        <v>1</v>
      </c>
      <c r="Q208" s="388">
        <v>5</v>
      </c>
      <c r="R208" s="306" t="str">
        <f t="shared" si="135"/>
        <v>1-5</v>
      </c>
      <c r="S208" s="153"/>
      <c r="T208" s="148" t="str">
        <f t="shared" si="136"/>
        <v>Completed</v>
      </c>
      <c r="U208" s="153"/>
      <c r="V208" s="153"/>
      <c r="W208" s="387">
        <f t="shared" si="137"/>
        <v>-3</v>
      </c>
      <c r="X208" s="387">
        <f t="shared" si="138"/>
        <v>3</v>
      </c>
      <c r="Y208" s="301">
        <f t="shared" si="139"/>
        <v>0</v>
      </c>
      <c r="Z208" s="301">
        <f t="shared" si="140"/>
        <v>2</v>
      </c>
      <c r="AA208" s="323" t="str">
        <f>CONCATENATE("                x[team1,team2,sport,'",IF(OR(I208="x",I208=""),VLOOKUP('Schedule from TM'!J208,Tables!$P$3:$Q$33,2,FALSE),'Schedule from TM'!I208),",",J208,"','",IF(OR(F208="x",F208=""),VLOOKUP('Schedule from TM'!G208,Tables!$U$3:$V$14,2,FALSE),'Schedule from TM'!F208),",",TEXT(G208,"mm/dd/yyyy"),"','",TEXT(H208,"h:mm:ss AM/PM"),"'].ub=0.0      #",B208)</f>
        <v xml:space="preserve">                x[team1,team2,sport,'11,JCC Back Field 1','11,11/19/2017','2:40:00 PM'].ub=0.0      #Ch C Male Mini Soccer</v>
      </c>
      <c r="AB208" s="301" t="str">
        <f t="shared" si="141"/>
        <v>,,Ch C Male Mini Soccer,,1,CHILD CM - ARG 1</v>
      </c>
      <c r="AC208" s="153" t="str">
        <f t="shared" si="142"/>
        <v>Ch C Male Mini SoccerCHILD CM - ARG 1</v>
      </c>
      <c r="AD208" s="301" t="str">
        <f t="shared" si="143"/>
        <v>,,Ch C Male Mini Soccer,,1,CHILD CM - VEN 2</v>
      </c>
      <c r="AE208" s="153" t="str">
        <f t="shared" si="144"/>
        <v>Ch C Male Mini SoccerCHILD CM - VEN 2</v>
      </c>
      <c r="AF208" s="383">
        <f t="shared" si="145"/>
        <v>0</v>
      </c>
      <c r="AG208" s="383">
        <f t="shared" si="146"/>
        <v>1</v>
      </c>
      <c r="AH208" s="383">
        <f t="shared" si="147"/>
        <v>0</v>
      </c>
      <c r="AI208" s="383">
        <f t="shared" si="148"/>
        <v>1</v>
      </c>
      <c r="AJ208" s="383">
        <f t="shared" si="149"/>
        <v>0</v>
      </c>
      <c r="AK208" s="383">
        <f t="shared" si="150"/>
        <v>0</v>
      </c>
      <c r="AM208" s="148" t="str">
        <f t="shared" si="151"/>
        <v>Schedulled</v>
      </c>
      <c r="AN208" s="148" t="str">
        <f t="shared" si="152"/>
        <v/>
      </c>
      <c r="AO208" s="156">
        <f t="shared" si="153"/>
        <v>43058.611111111109</v>
      </c>
      <c r="AP208" s="148" t="str">
        <f t="shared" si="154"/>
        <v>11/19/2017 14:40-&gt;JCC Back Field 1</v>
      </c>
      <c r="AQ208" s="374">
        <f t="shared" si="155"/>
        <v>1</v>
      </c>
      <c r="AR208" s="148" t="str">
        <f t="shared" si="156"/>
        <v>ARG1</v>
      </c>
      <c r="AS208" s="148" t="str">
        <f t="shared" si="157"/>
        <v>VEN2</v>
      </c>
      <c r="AT208" s="157" t="str">
        <f t="shared" si="158"/>
        <v>ARG1-VEN2</v>
      </c>
      <c r="AU208" s="157" t="str">
        <f t="shared" si="159"/>
        <v xml:space="preserve">ARG1-VEN2 </v>
      </c>
      <c r="AV208" s="157" t="str">
        <f t="shared" si="160"/>
        <v>CHILDREN C MALE</v>
      </c>
      <c r="AW208" s="157" t="str">
        <f t="shared" si="161"/>
        <v>Soccer</v>
      </c>
      <c r="AX208" s="376">
        <f t="shared" si="162"/>
        <v>206</v>
      </c>
      <c r="AY208" s="148" t="str">
        <f t="shared" si="163"/>
        <v>CHILD CM - ARG 1-&gt;CHILD CM - VEN 2</v>
      </c>
      <c r="AZ208" s="148" t="str">
        <f t="shared" si="164"/>
        <v>11/19/2017 14:40-&gt;CHILD CM - ARG 1</v>
      </c>
      <c r="BA208" s="148" t="str">
        <f t="shared" si="165"/>
        <v>11/19/2017 14:40-&gt;CHILD CM - VEN 2</v>
      </c>
      <c r="BB208" s="374">
        <f t="shared" si="166"/>
        <v>1</v>
      </c>
      <c r="BC208" s="374">
        <f t="shared" si="167"/>
        <v>1</v>
      </c>
      <c r="BD208" s="148" t="str">
        <f t="shared" si="168"/>
        <v>no conflict</v>
      </c>
      <c r="BF208" s="148" t="str">
        <f t="shared" si="169"/>
        <v>11/19/2017 14:40-&gt;CHILD CM - ARG 1</v>
      </c>
      <c r="BG208" s="148" t="str">
        <f t="shared" si="170"/>
        <v>11/19/2017 14:40-&gt;CHILD CM - VEN 2</v>
      </c>
      <c r="BH208" s="148" t="str">
        <f t="shared" si="171"/>
        <v>11/19/2017 14:40-&gt;JCC Back Field 1</v>
      </c>
      <c r="BI208" s="148" t="str">
        <f t="shared" si="172"/>
        <v>Soccer in JCC Back Field 1 (ARG1-VEN2)</v>
      </c>
      <c r="BJ208" s="148" t="str">
        <f t="shared" si="173"/>
        <v>Ch C Male Mini Soccer-- CHILD CM - ARG 1 vs. CHILD CM - VEN 2</v>
      </c>
      <c r="BK208" s="148" t="str">
        <f t="shared" si="174"/>
        <v>Soccer</v>
      </c>
      <c r="BL208" s="148" t="str">
        <f t="shared" si="175"/>
        <v>CHILD CM - ARG 1</v>
      </c>
      <c r="BM208" s="148" t="str">
        <f t="shared" si="176"/>
        <v>CHILD CM - VEN 2</v>
      </c>
      <c r="BN208" s="148" t="str">
        <f t="shared" si="177"/>
        <v>Round - 1</v>
      </c>
      <c r="BP208" s="148" t="str">
        <f t="shared" si="178"/>
        <v>no t, f, or sf</v>
      </c>
      <c r="BQ208" s="148" t="str">
        <f t="shared" si="179"/>
        <v/>
      </c>
    </row>
    <row r="209" spans="1:69" ht="15" customHeight="1" x14ac:dyDescent="0.2">
      <c r="A209" s="376">
        <v>207</v>
      </c>
      <c r="B209" s="444" t="s">
        <v>43</v>
      </c>
      <c r="C209" s="315" t="s">
        <v>518</v>
      </c>
      <c r="D209" s="378">
        <v>1</v>
      </c>
      <c r="E209" s="378">
        <v>1</v>
      </c>
      <c r="F209" s="315" t="s">
        <v>770</v>
      </c>
      <c r="G209" s="316">
        <v>43058</v>
      </c>
      <c r="H209" s="317">
        <v>0.64583333333333337</v>
      </c>
      <c r="I209" s="325" t="s">
        <v>770</v>
      </c>
      <c r="J209" s="444" t="s">
        <v>695</v>
      </c>
      <c r="K209" s="444">
        <v>31</v>
      </c>
      <c r="L209" s="433" t="s">
        <v>580</v>
      </c>
      <c r="M209" s="433">
        <v>31</v>
      </c>
      <c r="N209" s="433" t="s">
        <v>578</v>
      </c>
      <c r="O209" s="153" t="str">
        <f>IF(L209&lt;&gt;"",IFERROR(VLOOKUP(B209&amp;L209,Pools!$A$2:$D$130,3,FALSE),""),"")</f>
        <v/>
      </c>
      <c r="P209" s="388">
        <v>12</v>
      </c>
      <c r="Q209" s="388">
        <v>0</v>
      </c>
      <c r="R209" s="306" t="str">
        <f t="shared" si="135"/>
        <v>12-0</v>
      </c>
      <c r="S209" s="153"/>
      <c r="T209" s="148" t="str">
        <f t="shared" si="136"/>
        <v>Completed</v>
      </c>
      <c r="U209" s="153"/>
      <c r="V209" s="153"/>
      <c r="W209" s="387">
        <f t="shared" si="137"/>
        <v>3</v>
      </c>
      <c r="X209" s="387">
        <f t="shared" si="138"/>
        <v>-3</v>
      </c>
      <c r="Y209" s="301">
        <f t="shared" si="139"/>
        <v>2</v>
      </c>
      <c r="Z209" s="301">
        <f t="shared" si="140"/>
        <v>0</v>
      </c>
      <c r="AA209" s="323" t="str">
        <f>CONCATENATE("                x[team1,team2,sport,'",IF(OR(I209="x",I209=""),VLOOKUP('Schedule from TM'!J209,Tables!$P$3:$Q$33,2,FALSE),'Schedule from TM'!I209),",",J209,"','",IF(OR(F209="x",F209=""),VLOOKUP('Schedule from TM'!G209,Tables!$U$3:$V$14,2,FALSE),'Schedule from TM'!F209),",",TEXT(G209,"mm/dd/yyyy"),"','",TEXT(H209,"h:mm:ss AM/PM"),"'].ub=0.0      #",B209)</f>
        <v xml:space="preserve">                x[team1,team2,sport,'11,JCC Back Field 1','11,11/19/2017','3:30:00 PM'].ub=0.0      #Ch C Male Mini Soccer</v>
      </c>
      <c r="AB209" s="301" t="str">
        <f t="shared" si="141"/>
        <v>,,Ch C Male Mini Soccer,,1,CHILD CM - VEN 1</v>
      </c>
      <c r="AC209" s="153" t="str">
        <f t="shared" si="142"/>
        <v>Ch C Male Mini SoccerCHILD CM - VEN 1</v>
      </c>
      <c r="AD209" s="301" t="str">
        <f t="shared" si="143"/>
        <v>,,Ch C Male Mini Soccer,,1,CHILD CM - USA 1</v>
      </c>
      <c r="AE209" s="153" t="str">
        <f t="shared" si="144"/>
        <v>Ch C Male Mini SoccerCHILD CM - USA 1</v>
      </c>
      <c r="AF209" s="383">
        <f t="shared" si="145"/>
        <v>1</v>
      </c>
      <c r="AG209" s="383">
        <f t="shared" si="146"/>
        <v>0</v>
      </c>
      <c r="AH209" s="383">
        <f t="shared" si="147"/>
        <v>0</v>
      </c>
      <c r="AI209" s="383">
        <f t="shared" si="148"/>
        <v>0</v>
      </c>
      <c r="AJ209" s="383">
        <f t="shared" si="149"/>
        <v>1</v>
      </c>
      <c r="AK209" s="383">
        <f t="shared" si="150"/>
        <v>0</v>
      </c>
      <c r="AM209" s="148" t="str">
        <f t="shared" si="151"/>
        <v>Schedulled</v>
      </c>
      <c r="AN209" s="148" t="str">
        <f t="shared" si="152"/>
        <v/>
      </c>
      <c r="AO209" s="156">
        <f t="shared" si="153"/>
        <v>43058.645833333336</v>
      </c>
      <c r="AP209" s="148" t="str">
        <f t="shared" si="154"/>
        <v>11/19/2017 15:30-&gt;JCC Back Field 1</v>
      </c>
      <c r="AQ209" s="374">
        <f t="shared" si="155"/>
        <v>1</v>
      </c>
      <c r="AR209" s="148" t="str">
        <f t="shared" si="156"/>
        <v>VEN1</v>
      </c>
      <c r="AS209" s="148" t="str">
        <f t="shared" si="157"/>
        <v>USA1</v>
      </c>
      <c r="AT209" s="157" t="str">
        <f t="shared" si="158"/>
        <v>VEN1-USA1</v>
      </c>
      <c r="AU209" s="157" t="str">
        <f t="shared" si="159"/>
        <v xml:space="preserve">VEN1-USA1 </v>
      </c>
      <c r="AV209" s="157" t="str">
        <f t="shared" si="160"/>
        <v>CHILDREN C MALE</v>
      </c>
      <c r="AW209" s="157" t="str">
        <f t="shared" si="161"/>
        <v>Soccer</v>
      </c>
      <c r="AX209" s="376">
        <f t="shared" si="162"/>
        <v>207</v>
      </c>
      <c r="AY209" s="148" t="str">
        <f t="shared" si="163"/>
        <v>CHILD CM - VEN 1-&gt;CHILD CM - USA 1</v>
      </c>
      <c r="AZ209" s="148" t="str">
        <f t="shared" si="164"/>
        <v>11/19/2017 15:30-&gt;CHILD CM - VEN 1</v>
      </c>
      <c r="BA209" s="148" t="str">
        <f t="shared" si="165"/>
        <v>11/19/2017 15:30-&gt;CHILD CM - USA 1</v>
      </c>
      <c r="BB209" s="374">
        <f t="shared" si="166"/>
        <v>1</v>
      </c>
      <c r="BC209" s="374">
        <f t="shared" si="167"/>
        <v>1</v>
      </c>
      <c r="BD209" s="148" t="str">
        <f t="shared" si="168"/>
        <v>no conflict</v>
      </c>
      <c r="BF209" s="148" t="str">
        <f t="shared" si="169"/>
        <v>11/19/2017 15:30-&gt;CHILD CM - VEN 1</v>
      </c>
      <c r="BG209" s="148" t="str">
        <f t="shared" si="170"/>
        <v>11/19/2017 15:30-&gt;CHILD CM - USA 1</v>
      </c>
      <c r="BH209" s="148" t="str">
        <f t="shared" si="171"/>
        <v>11/19/2017 15:30-&gt;JCC Back Field 1</v>
      </c>
      <c r="BI209" s="148" t="str">
        <f t="shared" si="172"/>
        <v>Soccer in JCC Back Field 1 (VEN1-USA1)</v>
      </c>
      <c r="BJ209" s="148" t="str">
        <f t="shared" si="173"/>
        <v>Ch C Male Mini Soccer-- CHILD CM - VEN 1 vs. CHILD CM - USA 1</v>
      </c>
      <c r="BK209" s="148" t="str">
        <f t="shared" si="174"/>
        <v>Soccer</v>
      </c>
      <c r="BL209" s="148" t="str">
        <f t="shared" si="175"/>
        <v>CHILD CM - VEN 1</v>
      </c>
      <c r="BM209" s="148" t="str">
        <f t="shared" si="176"/>
        <v>CHILD CM - USA 1</v>
      </c>
      <c r="BN209" s="148" t="str">
        <f t="shared" si="177"/>
        <v>Round - 1</v>
      </c>
      <c r="BP209" s="148" t="str">
        <f t="shared" si="178"/>
        <v>no t, f, or sf</v>
      </c>
      <c r="BQ209" s="148" t="str">
        <f t="shared" si="179"/>
        <v/>
      </c>
    </row>
    <row r="210" spans="1:69" ht="15" customHeight="1" x14ac:dyDescent="0.2">
      <c r="A210" s="376">
        <v>208</v>
      </c>
      <c r="B210" s="441" t="s">
        <v>43</v>
      </c>
      <c r="C210" s="441" t="s">
        <v>518</v>
      </c>
      <c r="D210" s="450">
        <v>1</v>
      </c>
      <c r="E210" s="450">
        <v>1</v>
      </c>
      <c r="F210" s="315" t="s">
        <v>770</v>
      </c>
      <c r="G210" s="320">
        <v>43058</v>
      </c>
      <c r="H210" s="318">
        <v>0.71527777777777779</v>
      </c>
      <c r="I210" s="325" t="s">
        <v>770</v>
      </c>
      <c r="J210" s="296" t="s">
        <v>694</v>
      </c>
      <c r="K210" s="441">
        <v>31</v>
      </c>
      <c r="L210" s="433" t="s">
        <v>581</v>
      </c>
      <c r="M210" s="433">
        <v>31</v>
      </c>
      <c r="N210" s="433" t="s">
        <v>578</v>
      </c>
      <c r="O210" s="153" t="str">
        <f>IF(L210&lt;&gt;"",IFERROR(VLOOKUP(B210&amp;L210,Pools!$A$2:$D$130,3,FALSE),""),"")</f>
        <v/>
      </c>
      <c r="P210" s="388">
        <v>12</v>
      </c>
      <c r="Q210" s="388">
        <v>1</v>
      </c>
      <c r="R210" s="306" t="str">
        <f t="shared" si="135"/>
        <v>12-1</v>
      </c>
      <c r="S210" s="153"/>
      <c r="T210" s="148" t="str">
        <f t="shared" si="136"/>
        <v>Completed</v>
      </c>
      <c r="U210" s="153"/>
      <c r="V210" s="153"/>
      <c r="W210" s="387">
        <f t="shared" si="137"/>
        <v>3</v>
      </c>
      <c r="X210" s="387">
        <f t="shared" si="138"/>
        <v>-3</v>
      </c>
      <c r="Y210" s="301">
        <f t="shared" si="139"/>
        <v>2</v>
      </c>
      <c r="Z210" s="301">
        <f t="shared" si="140"/>
        <v>0</v>
      </c>
      <c r="AA210" s="323" t="str">
        <f>CONCATENATE("                x[team1,team2,sport,'",IF(OR(I210="x",I210=""),VLOOKUP('Schedule from TM'!J210,Tables!$P$3:$Q$33,2,FALSE),'Schedule from TM'!I210),",",J210,"','",IF(OR(F210="x",F210=""),VLOOKUP('Schedule from TM'!G210,Tables!$U$3:$V$14,2,FALSE),'Schedule from TM'!F210),",",TEXT(G210,"mm/dd/yyyy"),"','",TEXT(H210,"h:mm:ss AM/PM"),"'].ub=0.0      #",B210)</f>
        <v xml:space="preserve">                x[team1,team2,sport,'11,JCC Back Field 4','11,11/19/2017','5:10:00 PM'].ub=0.0      #Ch C Male Mini Soccer</v>
      </c>
      <c r="AB210" s="301" t="str">
        <f t="shared" si="141"/>
        <v>,,Ch C Male Mini Soccer,,1,CHILD CM - VEN 2</v>
      </c>
      <c r="AC210" s="153" t="str">
        <f t="shared" si="142"/>
        <v>Ch C Male Mini SoccerCHILD CM - VEN 2</v>
      </c>
      <c r="AD210" s="301" t="str">
        <f t="shared" si="143"/>
        <v>,,Ch C Male Mini Soccer,,1,CHILD CM - USA 1</v>
      </c>
      <c r="AE210" s="153" t="str">
        <f t="shared" si="144"/>
        <v>Ch C Male Mini SoccerCHILD CM - USA 1</v>
      </c>
      <c r="AF210" s="383">
        <f t="shared" si="145"/>
        <v>1</v>
      </c>
      <c r="AG210" s="383">
        <f t="shared" si="146"/>
        <v>0</v>
      </c>
      <c r="AH210" s="383">
        <f t="shared" si="147"/>
        <v>0</v>
      </c>
      <c r="AI210" s="383">
        <f t="shared" si="148"/>
        <v>0</v>
      </c>
      <c r="AJ210" s="383">
        <f t="shared" si="149"/>
        <v>1</v>
      </c>
      <c r="AK210" s="383">
        <f t="shared" si="150"/>
        <v>0</v>
      </c>
      <c r="AM210" s="148" t="str">
        <f t="shared" si="151"/>
        <v>Schedulled</v>
      </c>
      <c r="AN210" s="148" t="str">
        <f t="shared" si="152"/>
        <v/>
      </c>
      <c r="AO210" s="156">
        <f t="shared" si="153"/>
        <v>43058.715277777781</v>
      </c>
      <c r="AP210" s="148" t="str">
        <f t="shared" si="154"/>
        <v>11/19/2017 17:10-&gt;JCC Back Field 4</v>
      </c>
      <c r="AQ210" s="374">
        <f t="shared" si="155"/>
        <v>1</v>
      </c>
      <c r="AR210" s="148" t="str">
        <f t="shared" si="156"/>
        <v>VEN2</v>
      </c>
      <c r="AS210" s="148" t="str">
        <f t="shared" si="157"/>
        <v>USA1</v>
      </c>
      <c r="AT210" s="157" t="str">
        <f t="shared" si="158"/>
        <v>VEN2-USA1</v>
      </c>
      <c r="AU210" s="157" t="str">
        <f t="shared" si="159"/>
        <v xml:space="preserve">VEN2-USA1 </v>
      </c>
      <c r="AV210" s="157" t="str">
        <f t="shared" si="160"/>
        <v>CHILDREN C MALE</v>
      </c>
      <c r="AW210" s="157" t="str">
        <f t="shared" si="161"/>
        <v>Soccer</v>
      </c>
      <c r="AX210" s="376">
        <f t="shared" si="162"/>
        <v>208</v>
      </c>
      <c r="AY210" s="148" t="str">
        <f t="shared" si="163"/>
        <v>CHILD CM - VEN 2-&gt;CHILD CM - USA 1</v>
      </c>
      <c r="AZ210" s="148" t="str">
        <f t="shared" si="164"/>
        <v>11/19/2017 17:10-&gt;CHILD CM - VEN 2</v>
      </c>
      <c r="BA210" s="148" t="str">
        <f t="shared" si="165"/>
        <v>11/19/2017 17:10-&gt;CHILD CM - USA 1</v>
      </c>
      <c r="BB210" s="374">
        <f t="shared" si="166"/>
        <v>1</v>
      </c>
      <c r="BC210" s="374">
        <f t="shared" si="167"/>
        <v>1</v>
      </c>
      <c r="BD210" s="148" t="str">
        <f t="shared" si="168"/>
        <v>no conflict</v>
      </c>
      <c r="BF210" s="148" t="str">
        <f t="shared" si="169"/>
        <v>11/19/2017 17:10-&gt;CHILD CM - VEN 2</v>
      </c>
      <c r="BG210" s="148" t="str">
        <f t="shared" si="170"/>
        <v>11/19/2017 17:10-&gt;CHILD CM - USA 1</v>
      </c>
      <c r="BH210" s="148" t="str">
        <f t="shared" si="171"/>
        <v>11/19/2017 17:10-&gt;JCC Back Field 4</v>
      </c>
      <c r="BI210" s="148" t="str">
        <f t="shared" si="172"/>
        <v>Soccer in JCC Back Field 4 (VEN2-USA1)</v>
      </c>
      <c r="BJ210" s="148" t="str">
        <f t="shared" si="173"/>
        <v>Ch C Male Mini Soccer-- CHILD CM - VEN 2 vs. CHILD CM - USA 1</v>
      </c>
      <c r="BK210" s="148" t="str">
        <f t="shared" si="174"/>
        <v>Soccer</v>
      </c>
      <c r="BL210" s="148" t="str">
        <f t="shared" si="175"/>
        <v>CHILD CM - VEN 2</v>
      </c>
      <c r="BM210" s="148" t="str">
        <f t="shared" si="176"/>
        <v>CHILD CM - USA 1</v>
      </c>
      <c r="BN210" s="148" t="str">
        <f t="shared" si="177"/>
        <v>Round - 1</v>
      </c>
      <c r="BP210" s="148" t="str">
        <f t="shared" si="178"/>
        <v>no t, f, or sf</v>
      </c>
      <c r="BQ210" s="148" t="str">
        <f t="shared" si="179"/>
        <v/>
      </c>
    </row>
    <row r="211" spans="1:69" ht="15" customHeight="1" x14ac:dyDescent="0.2">
      <c r="A211" s="376">
        <v>209</v>
      </c>
      <c r="B211" s="315" t="s">
        <v>43</v>
      </c>
      <c r="C211" s="315" t="s">
        <v>518</v>
      </c>
      <c r="D211" s="378">
        <v>1</v>
      </c>
      <c r="E211" s="378">
        <v>1</v>
      </c>
      <c r="F211" s="315" t="s">
        <v>770</v>
      </c>
      <c r="G211" s="316">
        <v>43058</v>
      </c>
      <c r="H211" s="317">
        <v>0.71527777777777779</v>
      </c>
      <c r="I211" s="325" t="s">
        <v>770</v>
      </c>
      <c r="J211" s="315" t="s">
        <v>692</v>
      </c>
      <c r="K211" s="315">
        <v>31</v>
      </c>
      <c r="L211" t="s">
        <v>572</v>
      </c>
      <c r="M211">
        <v>31</v>
      </c>
      <c r="N211" t="s">
        <v>580</v>
      </c>
      <c r="O211" s="153" t="str">
        <f>IF(L211&lt;&gt;"",IFERROR(VLOOKUP(B211&amp;L211,Pools!$A$2:$D$130,3,FALSE),""),"")</f>
        <v/>
      </c>
      <c r="P211" s="388">
        <v>0</v>
      </c>
      <c r="Q211" s="388">
        <v>3</v>
      </c>
      <c r="R211" s="306" t="str">
        <f t="shared" si="135"/>
        <v>0-3</v>
      </c>
      <c r="S211" s="153"/>
      <c r="T211" s="148" t="str">
        <f t="shared" si="136"/>
        <v>Completed</v>
      </c>
      <c r="U211" s="153"/>
      <c r="V211" s="153"/>
      <c r="W211" s="387">
        <f t="shared" si="137"/>
        <v>-3</v>
      </c>
      <c r="X211" s="387">
        <f t="shared" si="138"/>
        <v>3</v>
      </c>
      <c r="Y211" s="301">
        <f t="shared" si="139"/>
        <v>0</v>
      </c>
      <c r="Z211" s="301">
        <f t="shared" si="140"/>
        <v>2</v>
      </c>
      <c r="AA211" s="323" t="str">
        <f>CONCATENATE("                x[team1,team2,sport,'",IF(OR(I211="x",I211=""),VLOOKUP('Schedule from TM'!J211,Tables!$P$3:$Q$33,2,FALSE),'Schedule from TM'!I211),",",J211,"','",IF(OR(F211="x",F211=""),VLOOKUP('Schedule from TM'!G211,Tables!$U$3:$V$14,2,FALSE),'Schedule from TM'!F211),",",TEXT(G211,"mm/dd/yyyy"),"','",TEXT(H211,"h:mm:ss AM/PM"),"'].ub=0.0      #",B211)</f>
        <v xml:space="preserve">                x[team1,team2,sport,'11,JCC Back Field 3','11,11/19/2017','5:10:00 PM'].ub=0.0      #Ch C Male Mini Soccer</v>
      </c>
      <c r="AB211" s="301" t="str">
        <f t="shared" si="141"/>
        <v>,,Ch C Male Mini Soccer,,1,CHILD CM - ARG 1</v>
      </c>
      <c r="AC211" s="153" t="str">
        <f t="shared" si="142"/>
        <v>Ch C Male Mini SoccerCHILD CM - ARG 1</v>
      </c>
      <c r="AD211" s="301" t="str">
        <f t="shared" si="143"/>
        <v>,,Ch C Male Mini Soccer,,1,CHILD CM - VEN 1</v>
      </c>
      <c r="AE211" s="153" t="str">
        <f t="shared" si="144"/>
        <v>Ch C Male Mini SoccerCHILD CM - VEN 1</v>
      </c>
      <c r="AF211" s="383">
        <f t="shared" si="145"/>
        <v>0</v>
      </c>
      <c r="AG211" s="383">
        <f t="shared" si="146"/>
        <v>1</v>
      </c>
      <c r="AH211" s="383">
        <f t="shared" si="147"/>
        <v>0</v>
      </c>
      <c r="AI211" s="383">
        <f t="shared" si="148"/>
        <v>1</v>
      </c>
      <c r="AJ211" s="383">
        <f t="shared" si="149"/>
        <v>0</v>
      </c>
      <c r="AK211" s="383">
        <f t="shared" si="150"/>
        <v>0</v>
      </c>
      <c r="AM211" s="148" t="str">
        <f t="shared" si="151"/>
        <v>Schedulled</v>
      </c>
      <c r="AN211" s="148" t="str">
        <f t="shared" si="152"/>
        <v/>
      </c>
      <c r="AO211" s="156">
        <f t="shared" si="153"/>
        <v>43058.715277777781</v>
      </c>
      <c r="AP211" s="148" t="str">
        <f t="shared" si="154"/>
        <v>11/19/2017 17:10-&gt;JCC Back Field 3</v>
      </c>
      <c r="AQ211" s="374">
        <f t="shared" si="155"/>
        <v>1</v>
      </c>
      <c r="AR211" s="148" t="str">
        <f t="shared" si="156"/>
        <v>ARG1</v>
      </c>
      <c r="AS211" s="148" t="str">
        <f t="shared" si="157"/>
        <v>VEN1</v>
      </c>
      <c r="AT211" s="157" t="str">
        <f t="shared" si="158"/>
        <v>ARG1-VEN1</v>
      </c>
      <c r="AU211" s="157" t="str">
        <f t="shared" si="159"/>
        <v xml:space="preserve">ARG1-VEN1 </v>
      </c>
      <c r="AV211" s="157" t="str">
        <f t="shared" si="160"/>
        <v>CHILDREN C MALE</v>
      </c>
      <c r="AW211" s="157" t="str">
        <f t="shared" si="161"/>
        <v>Soccer</v>
      </c>
      <c r="AX211" s="376">
        <f t="shared" si="162"/>
        <v>209</v>
      </c>
      <c r="AY211" s="148" t="str">
        <f t="shared" si="163"/>
        <v>CHILD CM - ARG 1-&gt;CHILD CM - VEN 1</v>
      </c>
      <c r="AZ211" s="148" t="str">
        <f t="shared" si="164"/>
        <v>11/19/2017 17:10-&gt;CHILD CM - ARG 1</v>
      </c>
      <c r="BA211" s="148" t="str">
        <f t="shared" si="165"/>
        <v>11/19/2017 17:10-&gt;CHILD CM - VEN 1</v>
      </c>
      <c r="BB211" s="374">
        <f t="shared" si="166"/>
        <v>1</v>
      </c>
      <c r="BC211" s="374">
        <f t="shared" si="167"/>
        <v>1</v>
      </c>
      <c r="BD211" s="148" t="str">
        <f t="shared" si="168"/>
        <v>no conflict</v>
      </c>
      <c r="BF211" s="148" t="str">
        <f t="shared" si="169"/>
        <v>11/19/2017 17:10-&gt;CHILD CM - ARG 1</v>
      </c>
      <c r="BG211" s="148" t="str">
        <f t="shared" si="170"/>
        <v>11/19/2017 17:10-&gt;CHILD CM - VEN 1</v>
      </c>
      <c r="BH211" s="148" t="str">
        <f t="shared" si="171"/>
        <v>11/19/2017 17:10-&gt;JCC Back Field 3</v>
      </c>
      <c r="BI211" s="148" t="str">
        <f t="shared" si="172"/>
        <v>Soccer in JCC Back Field 3 (ARG1-VEN1)</v>
      </c>
      <c r="BJ211" s="148" t="str">
        <f t="shared" si="173"/>
        <v>Ch C Male Mini Soccer-- CHILD CM - ARG 1 vs. CHILD CM - VEN 1</v>
      </c>
      <c r="BK211" s="148" t="str">
        <f t="shared" si="174"/>
        <v>Soccer</v>
      </c>
      <c r="BL211" s="148" t="str">
        <f t="shared" si="175"/>
        <v>CHILD CM - ARG 1</v>
      </c>
      <c r="BM211" s="148" t="str">
        <f t="shared" si="176"/>
        <v>CHILD CM - VEN 1</v>
      </c>
      <c r="BN211" s="148" t="str">
        <f t="shared" si="177"/>
        <v>Round - 1</v>
      </c>
      <c r="BP211" s="148" t="str">
        <f t="shared" si="178"/>
        <v>no t, f, or sf</v>
      </c>
      <c r="BQ211" s="148" t="str">
        <f t="shared" si="179"/>
        <v/>
      </c>
    </row>
    <row r="212" spans="1:69" ht="15" customHeight="1" x14ac:dyDescent="0.2">
      <c r="A212" s="376">
        <v>210</v>
      </c>
      <c r="B212" s="444" t="s">
        <v>43</v>
      </c>
      <c r="C212" s="444" t="s">
        <v>518</v>
      </c>
      <c r="D212" s="451">
        <v>1</v>
      </c>
      <c r="E212" s="451">
        <v>1</v>
      </c>
      <c r="F212" s="315" t="s">
        <v>770</v>
      </c>
      <c r="G212" s="445">
        <v>43058</v>
      </c>
      <c r="H212" s="317">
        <v>0.75</v>
      </c>
      <c r="I212" s="325" t="s">
        <v>770</v>
      </c>
      <c r="J212" s="444" t="s">
        <v>694</v>
      </c>
      <c r="K212" s="444">
        <v>31</v>
      </c>
      <c r="L212" t="s">
        <v>574</v>
      </c>
      <c r="M212">
        <v>31</v>
      </c>
      <c r="N212" t="s">
        <v>573</v>
      </c>
      <c r="O212" s="153" t="str">
        <f>IF(L212&lt;&gt;"",IFERROR(VLOOKUP(B212&amp;L212,Pools!$A$2:$D$130,3,FALSE),""),"")</f>
        <v/>
      </c>
      <c r="P212" s="388">
        <v>3</v>
      </c>
      <c r="Q212" s="388">
        <v>1</v>
      </c>
      <c r="R212" s="306" t="str">
        <f t="shared" si="135"/>
        <v>3-1</v>
      </c>
      <c r="S212" s="153"/>
      <c r="T212" s="148" t="str">
        <f t="shared" si="136"/>
        <v>Completed</v>
      </c>
      <c r="U212" s="153"/>
      <c r="V212" s="153"/>
      <c r="W212" s="387">
        <f t="shared" si="137"/>
        <v>2</v>
      </c>
      <c r="X212" s="387">
        <f t="shared" si="138"/>
        <v>-2</v>
      </c>
      <c r="Y212" s="301">
        <f t="shared" si="139"/>
        <v>2</v>
      </c>
      <c r="Z212" s="301">
        <f t="shared" si="140"/>
        <v>0</v>
      </c>
      <c r="AA212" s="323" t="str">
        <f>CONCATENATE("                x[team1,team2,sport,'",IF(OR(I212="x",I212=""),VLOOKUP('Schedule from TM'!J212,Tables!$P$3:$Q$33,2,FALSE),'Schedule from TM'!I212),",",J212,"','",IF(OR(F212="x",F212=""),VLOOKUP('Schedule from TM'!G212,Tables!$U$3:$V$14,2,FALSE),'Schedule from TM'!F212),",",TEXT(G212,"mm/dd/yyyy"),"','",TEXT(H212,"h:mm:ss AM/PM"),"'].ub=0.0      #",B212)</f>
        <v xml:space="preserve">                x[team1,team2,sport,'11,JCC Back Field 4','11,11/19/2017','6:00:00 PM'].ub=0.0      #Ch C Male Mini Soccer</v>
      </c>
      <c r="AB212" s="301" t="str">
        <f t="shared" si="141"/>
        <v>,,Ch C Male Mini Soccer,,1,CHILD CM - COL 1</v>
      </c>
      <c r="AC212" s="153" t="str">
        <f t="shared" si="142"/>
        <v>Ch C Male Mini SoccerCHILD CM - COL 1</v>
      </c>
      <c r="AD212" s="301" t="str">
        <f t="shared" si="143"/>
        <v>,,Ch C Male Mini Soccer,,1,CHILD CM - ARG 2</v>
      </c>
      <c r="AE212" s="153" t="str">
        <f t="shared" si="144"/>
        <v>Ch C Male Mini SoccerCHILD CM - ARG 2</v>
      </c>
      <c r="AF212" s="383">
        <f t="shared" si="145"/>
        <v>1</v>
      </c>
      <c r="AG212" s="383">
        <f t="shared" si="146"/>
        <v>0</v>
      </c>
      <c r="AH212" s="383">
        <f t="shared" si="147"/>
        <v>0</v>
      </c>
      <c r="AI212" s="383">
        <f t="shared" si="148"/>
        <v>0</v>
      </c>
      <c r="AJ212" s="383">
        <f t="shared" si="149"/>
        <v>1</v>
      </c>
      <c r="AK212" s="383">
        <f t="shared" si="150"/>
        <v>0</v>
      </c>
      <c r="AM212" s="148" t="str">
        <f t="shared" si="151"/>
        <v>Schedulled</v>
      </c>
      <c r="AN212" s="148" t="str">
        <f t="shared" si="152"/>
        <v/>
      </c>
      <c r="AO212" s="156">
        <f t="shared" si="153"/>
        <v>43058.75</v>
      </c>
      <c r="AP212" s="148" t="str">
        <f t="shared" si="154"/>
        <v>11/19/2017 18:00-&gt;JCC Back Field 4</v>
      </c>
      <c r="AQ212" s="374">
        <f t="shared" si="155"/>
        <v>1</v>
      </c>
      <c r="AR212" s="148" t="str">
        <f t="shared" si="156"/>
        <v>COL1</v>
      </c>
      <c r="AS212" s="148" t="str">
        <f t="shared" si="157"/>
        <v>ARG2</v>
      </c>
      <c r="AT212" s="157" t="str">
        <f t="shared" si="158"/>
        <v>COL1-ARG2</v>
      </c>
      <c r="AU212" s="157" t="str">
        <f t="shared" si="159"/>
        <v xml:space="preserve">COL1-ARG2 </v>
      </c>
      <c r="AV212" s="157" t="str">
        <f t="shared" si="160"/>
        <v>CHILDREN C MALE</v>
      </c>
      <c r="AW212" s="157" t="str">
        <f t="shared" si="161"/>
        <v>Soccer</v>
      </c>
      <c r="AX212" s="376">
        <f t="shared" si="162"/>
        <v>210</v>
      </c>
      <c r="AY212" s="148" t="str">
        <f t="shared" si="163"/>
        <v>CHILD CM - COL 1-&gt;CHILD CM - ARG 2</v>
      </c>
      <c r="AZ212" s="148" t="str">
        <f t="shared" si="164"/>
        <v>11/19/2017 18:00-&gt;CHILD CM - COL 1</v>
      </c>
      <c r="BA212" s="148" t="str">
        <f t="shared" si="165"/>
        <v>11/19/2017 18:00-&gt;CHILD CM - ARG 2</v>
      </c>
      <c r="BB212" s="374">
        <f t="shared" si="166"/>
        <v>1</v>
      </c>
      <c r="BC212" s="374">
        <f t="shared" si="167"/>
        <v>1</v>
      </c>
      <c r="BD212" s="148" t="str">
        <f t="shared" si="168"/>
        <v>no conflict</v>
      </c>
      <c r="BF212" s="148" t="str">
        <f t="shared" si="169"/>
        <v>11/19/2017 18:00-&gt;CHILD CM - COL 1</v>
      </c>
      <c r="BG212" s="148" t="str">
        <f t="shared" si="170"/>
        <v>11/19/2017 18:00-&gt;CHILD CM - ARG 2</v>
      </c>
      <c r="BH212" s="148" t="str">
        <f t="shared" si="171"/>
        <v>11/19/2017 18:00-&gt;JCC Back Field 4</v>
      </c>
      <c r="BI212" s="148" t="str">
        <f t="shared" si="172"/>
        <v>Soccer in JCC Back Field 4 (COL1-ARG2)</v>
      </c>
      <c r="BJ212" s="148" t="str">
        <f t="shared" si="173"/>
        <v>Ch C Male Mini Soccer-- CHILD CM - COL 1 vs. CHILD CM - ARG 2</v>
      </c>
      <c r="BK212" s="148" t="str">
        <f t="shared" si="174"/>
        <v>Soccer</v>
      </c>
      <c r="BL212" s="148" t="str">
        <f t="shared" si="175"/>
        <v>CHILD CM - COL 1</v>
      </c>
      <c r="BM212" s="148" t="str">
        <f t="shared" si="176"/>
        <v>CHILD CM - ARG 2</v>
      </c>
      <c r="BN212" s="148" t="str">
        <f t="shared" si="177"/>
        <v>Round - 1</v>
      </c>
      <c r="BP212" s="148" t="str">
        <f t="shared" si="178"/>
        <v>no t, f, or sf</v>
      </c>
      <c r="BQ212" s="148" t="str">
        <f t="shared" si="179"/>
        <v/>
      </c>
    </row>
    <row r="213" spans="1:69" ht="15" customHeight="1" x14ac:dyDescent="0.2">
      <c r="A213" s="376">
        <v>211</v>
      </c>
      <c r="B213" s="328" t="s">
        <v>43</v>
      </c>
      <c r="C213" s="444" t="s">
        <v>518</v>
      </c>
      <c r="D213" s="451">
        <v>1</v>
      </c>
      <c r="E213" s="451">
        <v>1</v>
      </c>
      <c r="F213" s="315" t="s">
        <v>770</v>
      </c>
      <c r="G213" s="445">
        <v>43062</v>
      </c>
      <c r="H213" s="317">
        <v>0.54166666666666663</v>
      </c>
      <c r="I213" s="325" t="s">
        <v>770</v>
      </c>
      <c r="J213" s="444" t="s">
        <v>692</v>
      </c>
      <c r="K213" s="444">
        <v>31</v>
      </c>
      <c r="L213" t="s">
        <v>574</v>
      </c>
      <c r="M213">
        <v>31</v>
      </c>
      <c r="N213" t="s">
        <v>578</v>
      </c>
      <c r="O213" s="153" t="str">
        <f>IF(L213&lt;&gt;"",IFERROR(VLOOKUP(B213&amp;L213,Pools!$A$2:$D$130,3,FALSE),""),"")</f>
        <v/>
      </c>
      <c r="P213" s="388">
        <v>11</v>
      </c>
      <c r="Q213" s="388">
        <v>1</v>
      </c>
      <c r="R213" s="306" t="str">
        <f t="shared" si="135"/>
        <v>11-1</v>
      </c>
      <c r="S213" s="153"/>
      <c r="T213" s="148" t="str">
        <f t="shared" si="136"/>
        <v>Completed</v>
      </c>
      <c r="U213" s="153"/>
      <c r="V213" s="153"/>
      <c r="W213" s="387">
        <f t="shared" si="137"/>
        <v>3</v>
      </c>
      <c r="X213" s="387">
        <f t="shared" si="138"/>
        <v>-3</v>
      </c>
      <c r="Y213" s="301">
        <f t="shared" si="139"/>
        <v>2</v>
      </c>
      <c r="Z213" s="301">
        <f t="shared" si="140"/>
        <v>0</v>
      </c>
      <c r="AA213" s="323" t="str">
        <f>CONCATENATE("                x[team1,team2,sport,'",IF(OR(I213="x",I213=""),VLOOKUP('Schedule from TM'!J213,Tables!$P$3:$Q$33,2,FALSE),'Schedule from TM'!I213),",",J213,"','",IF(OR(F213="x",F213=""),VLOOKUP('Schedule from TM'!G213,Tables!$U$3:$V$14,2,FALSE),'Schedule from TM'!F213),",",TEXT(G213,"mm/dd/yyyy"),"','",TEXT(H213,"h:mm:ss AM/PM"),"'].ub=0.0      #",B213)</f>
        <v xml:space="preserve">                x[team1,team2,sport,'11,JCC Back Field 3','11,11/23/2017','1:00:00 PM'].ub=0.0      #Ch C Male Mini Soccer</v>
      </c>
      <c r="AB213" s="301" t="str">
        <f t="shared" si="141"/>
        <v>,,Ch C Male Mini Soccer,,1,CHILD CM - COL 1</v>
      </c>
      <c r="AC213" s="153" t="str">
        <f t="shared" si="142"/>
        <v>Ch C Male Mini SoccerCHILD CM - COL 1</v>
      </c>
      <c r="AD213" s="301" t="str">
        <f t="shared" si="143"/>
        <v>,,Ch C Male Mini Soccer,,1,CHILD CM - USA 1</v>
      </c>
      <c r="AE213" s="153" t="str">
        <f t="shared" si="144"/>
        <v>Ch C Male Mini SoccerCHILD CM - USA 1</v>
      </c>
      <c r="AF213" s="383">
        <f t="shared" si="145"/>
        <v>1</v>
      </c>
      <c r="AG213" s="383">
        <f t="shared" si="146"/>
        <v>0</v>
      </c>
      <c r="AH213" s="383">
        <f t="shared" si="147"/>
        <v>0</v>
      </c>
      <c r="AI213" s="383">
        <f t="shared" si="148"/>
        <v>0</v>
      </c>
      <c r="AJ213" s="383">
        <f t="shared" si="149"/>
        <v>1</v>
      </c>
      <c r="AK213" s="383">
        <f t="shared" si="150"/>
        <v>0</v>
      </c>
      <c r="AM213" s="148" t="str">
        <f t="shared" si="151"/>
        <v>Schedulled</v>
      </c>
      <c r="AN213" s="148" t="str">
        <f t="shared" si="152"/>
        <v/>
      </c>
      <c r="AO213" s="156">
        <f t="shared" si="153"/>
        <v>43062.541666666664</v>
      </c>
      <c r="AP213" s="148" t="str">
        <f t="shared" si="154"/>
        <v>11/23/2017 13:00-&gt;JCC Back Field 3</v>
      </c>
      <c r="AQ213" s="374">
        <f t="shared" si="155"/>
        <v>1</v>
      </c>
      <c r="AR213" s="148" t="str">
        <f t="shared" si="156"/>
        <v>COL1</v>
      </c>
      <c r="AS213" s="148" t="str">
        <f t="shared" si="157"/>
        <v>USA1</v>
      </c>
      <c r="AT213" s="157" t="str">
        <f t="shared" si="158"/>
        <v>COL1-USA1</v>
      </c>
      <c r="AU213" s="157" t="str">
        <f t="shared" si="159"/>
        <v xml:space="preserve">COL1-USA1 </v>
      </c>
      <c r="AV213" s="157" t="str">
        <f t="shared" si="160"/>
        <v>CHILDREN C MALE</v>
      </c>
      <c r="AW213" s="157" t="str">
        <f t="shared" si="161"/>
        <v>Soccer</v>
      </c>
      <c r="AX213" s="376">
        <f t="shared" si="162"/>
        <v>211</v>
      </c>
      <c r="AY213" s="148" t="str">
        <f t="shared" si="163"/>
        <v>CHILD CM - COL 1-&gt;CHILD CM - USA 1</v>
      </c>
      <c r="AZ213" s="148" t="str">
        <f t="shared" si="164"/>
        <v>11/23/2017 13:00-&gt;CHILD CM - COL 1</v>
      </c>
      <c r="BA213" s="148" t="str">
        <f t="shared" si="165"/>
        <v>11/23/2017 13:00-&gt;CHILD CM - USA 1</v>
      </c>
      <c r="BB213" s="374">
        <f t="shared" si="166"/>
        <v>1</v>
      </c>
      <c r="BC213" s="374">
        <f t="shared" si="167"/>
        <v>1</v>
      </c>
      <c r="BD213" s="148" t="str">
        <f t="shared" si="168"/>
        <v>no conflict</v>
      </c>
      <c r="BF213" s="148" t="str">
        <f t="shared" si="169"/>
        <v>11/23/2017 13:00-&gt;CHILD CM - COL 1</v>
      </c>
      <c r="BG213" s="148" t="str">
        <f t="shared" si="170"/>
        <v>11/23/2017 13:00-&gt;CHILD CM - USA 1</v>
      </c>
      <c r="BH213" s="148" t="str">
        <f t="shared" si="171"/>
        <v>11/23/2017 13:00-&gt;JCC Back Field 3</v>
      </c>
      <c r="BI213" s="148" t="str">
        <f t="shared" si="172"/>
        <v>Soccer in JCC Back Field 3 (COL1-USA1)</v>
      </c>
      <c r="BJ213" s="148" t="str">
        <f t="shared" si="173"/>
        <v>Ch C Male Mini Soccer-- CHILD CM - COL 1 vs. CHILD CM - USA 1</v>
      </c>
      <c r="BK213" s="148" t="str">
        <f t="shared" si="174"/>
        <v>Soccer</v>
      </c>
      <c r="BL213" s="148" t="str">
        <f t="shared" si="175"/>
        <v>CHILD CM - COL 1</v>
      </c>
      <c r="BM213" s="148" t="str">
        <f t="shared" si="176"/>
        <v>CHILD CM - USA 1</v>
      </c>
      <c r="BN213" s="148" t="str">
        <f t="shared" si="177"/>
        <v>Round - 1</v>
      </c>
      <c r="BP213" s="148" t="str">
        <f t="shared" si="178"/>
        <v>no t, f, or sf</v>
      </c>
      <c r="BQ213" s="148" t="str">
        <f t="shared" si="179"/>
        <v/>
      </c>
    </row>
    <row r="214" spans="1:69" ht="15" customHeight="1" x14ac:dyDescent="0.2">
      <c r="A214" s="376">
        <v>212</v>
      </c>
      <c r="B214" s="315" t="s">
        <v>43</v>
      </c>
      <c r="C214" s="315" t="s">
        <v>518</v>
      </c>
      <c r="D214" s="378">
        <v>1</v>
      </c>
      <c r="E214" s="378">
        <v>1</v>
      </c>
      <c r="F214" s="315" t="s">
        <v>770</v>
      </c>
      <c r="G214" s="316">
        <v>43063</v>
      </c>
      <c r="H214" s="454">
        <v>0.40277777777777773</v>
      </c>
      <c r="I214" s="325" t="s">
        <v>770</v>
      </c>
      <c r="J214" s="443" t="s">
        <v>692</v>
      </c>
      <c r="K214" s="315">
        <v>31</v>
      </c>
      <c r="L214" t="s">
        <v>581</v>
      </c>
      <c r="M214">
        <v>31</v>
      </c>
      <c r="N214" t="s">
        <v>573</v>
      </c>
      <c r="O214" s="153" t="str">
        <f>IF(L214&lt;&gt;"",IFERROR(VLOOKUP(B214&amp;L214,Pools!$A$2:$D$130,3,FALSE),""),"")</f>
        <v/>
      </c>
      <c r="P214" s="388">
        <v>4</v>
      </c>
      <c r="Q214" s="388">
        <v>1</v>
      </c>
      <c r="R214" s="306" t="str">
        <f t="shared" si="135"/>
        <v>4-1</v>
      </c>
      <c r="S214" s="153"/>
      <c r="T214" s="148" t="str">
        <f t="shared" si="136"/>
        <v>Completed</v>
      </c>
      <c r="U214" s="153"/>
      <c r="V214" s="153"/>
      <c r="W214" s="387">
        <f t="shared" si="137"/>
        <v>3</v>
      </c>
      <c r="X214" s="387">
        <f t="shared" si="138"/>
        <v>-3</v>
      </c>
      <c r="Y214" s="301">
        <f t="shared" si="139"/>
        <v>2</v>
      </c>
      <c r="Z214" s="301">
        <f t="shared" si="140"/>
        <v>0</v>
      </c>
      <c r="AA214" s="323" t="str">
        <f>CONCATENATE("                x[team1,team2,sport,'",IF(OR(I214="x",I214=""),VLOOKUP('Schedule from TM'!J214,Tables!$P$3:$Q$33,2,FALSE),'Schedule from TM'!I214),",",J214,"','",IF(OR(F214="x",F214=""),VLOOKUP('Schedule from TM'!G214,Tables!$U$3:$V$14,2,FALSE),'Schedule from TM'!F214),",",TEXT(G214,"mm/dd/yyyy"),"','",TEXT(H214,"h:mm:ss AM/PM"),"'].ub=0.0      #",B214)</f>
        <v xml:space="preserve">                x[team1,team2,sport,'11,JCC Back Field 3','11,11/24/2017','9:40:00 AM'].ub=0.0      #Ch C Male Mini Soccer</v>
      </c>
      <c r="AB214" s="301" t="str">
        <f t="shared" si="141"/>
        <v>,,Ch C Male Mini Soccer,,1,CHILD CM - VEN 2</v>
      </c>
      <c r="AC214" s="153" t="str">
        <f t="shared" si="142"/>
        <v>Ch C Male Mini SoccerCHILD CM - VEN 2</v>
      </c>
      <c r="AD214" s="301" t="str">
        <f t="shared" si="143"/>
        <v>,,Ch C Male Mini Soccer,,1,CHILD CM - ARG 2</v>
      </c>
      <c r="AE214" s="153" t="str">
        <f t="shared" si="144"/>
        <v>Ch C Male Mini SoccerCHILD CM - ARG 2</v>
      </c>
      <c r="AF214" s="383">
        <f t="shared" si="145"/>
        <v>1</v>
      </c>
      <c r="AG214" s="383">
        <f t="shared" si="146"/>
        <v>0</v>
      </c>
      <c r="AH214" s="383">
        <f t="shared" si="147"/>
        <v>0</v>
      </c>
      <c r="AI214" s="383">
        <f t="shared" si="148"/>
        <v>0</v>
      </c>
      <c r="AJ214" s="383">
        <f t="shared" si="149"/>
        <v>1</v>
      </c>
      <c r="AK214" s="383">
        <f t="shared" si="150"/>
        <v>0</v>
      </c>
      <c r="AM214" s="148" t="str">
        <f t="shared" si="151"/>
        <v>Schedulled</v>
      </c>
      <c r="AN214" s="148" t="str">
        <f t="shared" si="152"/>
        <v/>
      </c>
      <c r="AO214" s="156">
        <f t="shared" si="153"/>
        <v>43063.402777777781</v>
      </c>
      <c r="AP214" s="148" t="str">
        <f t="shared" si="154"/>
        <v>11/24/2017 09:40-&gt;JCC Back Field 3</v>
      </c>
      <c r="AQ214" s="374">
        <f t="shared" si="155"/>
        <v>1</v>
      </c>
      <c r="AR214" s="148" t="str">
        <f t="shared" si="156"/>
        <v>VEN2</v>
      </c>
      <c r="AS214" s="148" t="str">
        <f t="shared" si="157"/>
        <v>ARG2</v>
      </c>
      <c r="AT214" s="157" t="str">
        <f t="shared" si="158"/>
        <v>VEN2-ARG2</v>
      </c>
      <c r="AU214" s="157" t="str">
        <f t="shared" si="159"/>
        <v xml:space="preserve">VEN2-ARG2 </v>
      </c>
      <c r="AV214" s="157" t="str">
        <f t="shared" si="160"/>
        <v>CHILDREN C MALE</v>
      </c>
      <c r="AW214" s="157" t="str">
        <f t="shared" si="161"/>
        <v>Soccer</v>
      </c>
      <c r="AX214" s="376">
        <f t="shared" si="162"/>
        <v>212</v>
      </c>
      <c r="AY214" s="148" t="str">
        <f t="shared" si="163"/>
        <v>CHILD CM - VEN 2-&gt;CHILD CM - ARG 2</v>
      </c>
      <c r="AZ214" s="148" t="str">
        <f t="shared" si="164"/>
        <v>11/24/2017 09:40-&gt;CHILD CM - VEN 2</v>
      </c>
      <c r="BA214" s="148" t="str">
        <f t="shared" si="165"/>
        <v>11/24/2017 09:40-&gt;CHILD CM - ARG 2</v>
      </c>
      <c r="BB214" s="374">
        <f t="shared" si="166"/>
        <v>1</v>
      </c>
      <c r="BC214" s="374">
        <f t="shared" si="167"/>
        <v>1</v>
      </c>
      <c r="BD214" s="148" t="str">
        <f t="shared" si="168"/>
        <v>no conflict</v>
      </c>
      <c r="BF214" s="148" t="str">
        <f t="shared" si="169"/>
        <v>11/24/2017 09:40-&gt;CHILD CM - VEN 2</v>
      </c>
      <c r="BG214" s="148" t="str">
        <f t="shared" si="170"/>
        <v>11/24/2017 09:40-&gt;CHILD CM - ARG 2</v>
      </c>
      <c r="BH214" s="148" t="str">
        <f t="shared" si="171"/>
        <v>11/24/2017 09:40-&gt;JCC Back Field 3</v>
      </c>
      <c r="BI214" s="148" t="str">
        <f t="shared" si="172"/>
        <v>Soccer in JCC Back Field 3 (VEN2-ARG2)</v>
      </c>
      <c r="BJ214" s="148" t="str">
        <f t="shared" si="173"/>
        <v>Ch C Male Mini Soccer-- CHILD CM - VEN 2 vs. CHILD CM - ARG 2</v>
      </c>
      <c r="BK214" s="148" t="str">
        <f t="shared" si="174"/>
        <v>Soccer</v>
      </c>
      <c r="BL214" s="148" t="str">
        <f t="shared" si="175"/>
        <v>CHILD CM - VEN 2</v>
      </c>
      <c r="BM214" s="148" t="str">
        <f t="shared" si="176"/>
        <v>CHILD CM - ARG 2</v>
      </c>
      <c r="BN214" s="148" t="str">
        <f t="shared" si="177"/>
        <v>Round - 1</v>
      </c>
      <c r="BP214" s="148" t="str">
        <f t="shared" si="178"/>
        <v>no t, f, or sf</v>
      </c>
      <c r="BQ214" s="148" t="str">
        <f t="shared" si="179"/>
        <v/>
      </c>
    </row>
    <row r="215" spans="1:69" ht="15" customHeight="1" x14ac:dyDescent="0.2">
      <c r="A215" s="376">
        <v>213</v>
      </c>
      <c r="B215" s="441" t="s">
        <v>43</v>
      </c>
      <c r="C215" s="441" t="s">
        <v>518</v>
      </c>
      <c r="D215" s="450">
        <v>1</v>
      </c>
      <c r="E215" s="450">
        <v>1</v>
      </c>
      <c r="F215" s="315" t="s">
        <v>770</v>
      </c>
      <c r="G215" s="320">
        <v>43063</v>
      </c>
      <c r="H215" s="417">
        <v>0.57638888888888895</v>
      </c>
      <c r="I215" s="325" t="s">
        <v>770</v>
      </c>
      <c r="J215" s="441" t="s">
        <v>695</v>
      </c>
      <c r="K215" s="441">
        <v>31</v>
      </c>
      <c r="L215" t="s">
        <v>572</v>
      </c>
      <c r="M215">
        <v>31</v>
      </c>
      <c r="N215" t="s">
        <v>573</v>
      </c>
      <c r="O215" s="153" t="str">
        <f>IF(L215&lt;&gt;"",IFERROR(VLOOKUP(B215&amp;L215,Pools!$A$2:$D$130,3,FALSE),""),"")</f>
        <v/>
      </c>
      <c r="P215" s="388">
        <v>1</v>
      </c>
      <c r="Q215" s="388">
        <v>2</v>
      </c>
      <c r="R215" s="306" t="str">
        <f t="shared" si="135"/>
        <v>1-2</v>
      </c>
      <c r="S215" s="153"/>
      <c r="T215" s="148" t="str">
        <f t="shared" si="136"/>
        <v>Completed</v>
      </c>
      <c r="U215" s="153"/>
      <c r="V215" s="153"/>
      <c r="W215" s="387">
        <f t="shared" si="137"/>
        <v>-1</v>
      </c>
      <c r="X215" s="387">
        <f t="shared" si="138"/>
        <v>1</v>
      </c>
      <c r="Y215" s="301">
        <f t="shared" si="139"/>
        <v>0</v>
      </c>
      <c r="Z215" s="301">
        <f t="shared" si="140"/>
        <v>2</v>
      </c>
      <c r="AA215" s="323" t="str">
        <f>CONCATENATE("                x[team1,team2,sport,'",IF(OR(I215="x",I215=""),VLOOKUP('Schedule from TM'!J215,Tables!$P$3:$Q$33,2,FALSE),'Schedule from TM'!I215),",",J215,"','",IF(OR(F215="x",F215=""),VLOOKUP('Schedule from TM'!G215,Tables!$U$3:$V$14,2,FALSE),'Schedule from TM'!F215),",",TEXT(G215,"mm/dd/yyyy"),"','",TEXT(H215,"h:mm:ss AM/PM"),"'].ub=0.0      #",B215)</f>
        <v xml:space="preserve">                x[team1,team2,sport,'11,JCC Back Field 1','11,11/24/2017','1:50:00 PM'].ub=0.0      #Ch C Male Mini Soccer</v>
      </c>
      <c r="AB215" s="301" t="str">
        <f t="shared" si="141"/>
        <v>,,Ch C Male Mini Soccer,,1,CHILD CM - ARG 1</v>
      </c>
      <c r="AC215" s="153" t="str">
        <f t="shared" si="142"/>
        <v>Ch C Male Mini SoccerCHILD CM - ARG 1</v>
      </c>
      <c r="AD215" s="301" t="str">
        <f t="shared" si="143"/>
        <v>,,Ch C Male Mini Soccer,,1,CHILD CM - ARG 2</v>
      </c>
      <c r="AE215" s="153" t="str">
        <f t="shared" si="144"/>
        <v>Ch C Male Mini SoccerCHILD CM - ARG 2</v>
      </c>
      <c r="AF215" s="383">
        <f t="shared" si="145"/>
        <v>0</v>
      </c>
      <c r="AG215" s="383">
        <f t="shared" si="146"/>
        <v>1</v>
      </c>
      <c r="AH215" s="383">
        <f t="shared" si="147"/>
        <v>0</v>
      </c>
      <c r="AI215" s="383">
        <f t="shared" si="148"/>
        <v>1</v>
      </c>
      <c r="AJ215" s="383">
        <f t="shared" si="149"/>
        <v>0</v>
      </c>
      <c r="AK215" s="383">
        <f t="shared" si="150"/>
        <v>0</v>
      </c>
      <c r="AM215" s="148" t="str">
        <f t="shared" si="151"/>
        <v>Schedulled</v>
      </c>
      <c r="AN215" s="148" t="str">
        <f t="shared" si="152"/>
        <v/>
      </c>
      <c r="AO215" s="156">
        <f t="shared" si="153"/>
        <v>43063.576388888891</v>
      </c>
      <c r="AP215" s="148" t="str">
        <f t="shared" si="154"/>
        <v>11/24/2017 13:50-&gt;JCC Back Field 1</v>
      </c>
      <c r="AQ215" s="374">
        <f t="shared" si="155"/>
        <v>1</v>
      </c>
      <c r="AR215" s="148" t="str">
        <f t="shared" si="156"/>
        <v>ARG1</v>
      </c>
      <c r="AS215" s="148" t="str">
        <f t="shared" si="157"/>
        <v>ARG2</v>
      </c>
      <c r="AT215" s="157" t="str">
        <f t="shared" si="158"/>
        <v>ARG1-ARG2</v>
      </c>
      <c r="AU215" s="157" t="str">
        <f t="shared" si="159"/>
        <v xml:space="preserve">ARG1-ARG2 </v>
      </c>
      <c r="AV215" s="157" t="str">
        <f t="shared" si="160"/>
        <v>CHILDREN C MALE</v>
      </c>
      <c r="AW215" s="157" t="str">
        <f t="shared" si="161"/>
        <v>Soccer</v>
      </c>
      <c r="AX215" s="376">
        <f t="shared" si="162"/>
        <v>213</v>
      </c>
      <c r="AY215" s="148" t="str">
        <f t="shared" si="163"/>
        <v>CHILD CM - ARG 1-&gt;CHILD CM - ARG 2</v>
      </c>
      <c r="AZ215" s="148" t="str">
        <f t="shared" si="164"/>
        <v>11/24/2017 13:50-&gt;CHILD CM - ARG 1</v>
      </c>
      <c r="BA215" s="148" t="str">
        <f t="shared" si="165"/>
        <v>11/24/2017 13:50-&gt;CHILD CM - ARG 2</v>
      </c>
      <c r="BB215" s="374">
        <f t="shared" si="166"/>
        <v>1</v>
      </c>
      <c r="BC215" s="374">
        <f t="shared" si="167"/>
        <v>1</v>
      </c>
      <c r="BD215" s="148" t="str">
        <f t="shared" si="168"/>
        <v>no conflict</v>
      </c>
      <c r="BF215" s="148" t="str">
        <f t="shared" si="169"/>
        <v>11/24/2017 13:50-&gt;CHILD CM - ARG 1</v>
      </c>
      <c r="BG215" s="148" t="str">
        <f t="shared" si="170"/>
        <v>11/24/2017 13:50-&gt;CHILD CM - ARG 2</v>
      </c>
      <c r="BH215" s="148" t="str">
        <f t="shared" si="171"/>
        <v>11/24/2017 13:50-&gt;JCC Back Field 1</v>
      </c>
      <c r="BI215" s="148" t="str">
        <f t="shared" si="172"/>
        <v>Soccer in JCC Back Field 1 (ARG1-ARG2)</v>
      </c>
      <c r="BJ215" s="148" t="str">
        <f t="shared" si="173"/>
        <v>Ch C Male Mini Soccer-- CHILD CM - ARG 1 vs. CHILD CM - ARG 2</v>
      </c>
      <c r="BK215" s="148" t="str">
        <f t="shared" si="174"/>
        <v>Soccer</v>
      </c>
      <c r="BL215" s="148" t="str">
        <f t="shared" si="175"/>
        <v>CHILD CM - ARG 1</v>
      </c>
      <c r="BM215" s="148" t="str">
        <f t="shared" si="176"/>
        <v>CHILD CM - ARG 2</v>
      </c>
      <c r="BN215" s="148" t="str">
        <f t="shared" si="177"/>
        <v>Round - 1</v>
      </c>
      <c r="BP215" s="148" t="str">
        <f t="shared" si="178"/>
        <v>no t, f, or sf</v>
      </c>
      <c r="BQ215" s="148" t="str">
        <f t="shared" si="179"/>
        <v/>
      </c>
    </row>
    <row r="216" spans="1:69" ht="15" customHeight="1" x14ac:dyDescent="0.2">
      <c r="A216" s="376">
        <v>214</v>
      </c>
      <c r="B216" s="315" t="s">
        <v>43</v>
      </c>
      <c r="C216" s="315" t="s">
        <v>518</v>
      </c>
      <c r="D216" s="378">
        <v>1</v>
      </c>
      <c r="E216" s="378">
        <v>1</v>
      </c>
      <c r="F216" s="315" t="s">
        <v>770</v>
      </c>
      <c r="G216" s="316">
        <v>43065</v>
      </c>
      <c r="H216" s="417">
        <v>0.33333333333333331</v>
      </c>
      <c r="I216" s="325" t="s">
        <v>770</v>
      </c>
      <c r="J216" s="315" t="s">
        <v>693</v>
      </c>
      <c r="K216" s="315">
        <v>31</v>
      </c>
      <c r="L216" t="s">
        <v>580</v>
      </c>
      <c r="M216">
        <v>31</v>
      </c>
      <c r="N216" t="s">
        <v>574</v>
      </c>
      <c r="O216" s="153" t="str">
        <f>IF(L216&lt;&gt;"",IFERROR(VLOOKUP(B216&amp;L216,Pools!$A$2:$D$130,3,FALSE),""),"")</f>
        <v/>
      </c>
      <c r="P216" s="388">
        <v>1</v>
      </c>
      <c r="Q216" s="388">
        <v>0</v>
      </c>
      <c r="R216" s="306" t="str">
        <f t="shared" si="135"/>
        <v>1-0</v>
      </c>
      <c r="S216" s="153"/>
      <c r="T216" s="148" t="str">
        <f t="shared" si="136"/>
        <v>Completed</v>
      </c>
      <c r="U216" s="153"/>
      <c r="V216" s="153"/>
      <c r="W216" s="387">
        <f t="shared" si="137"/>
        <v>1</v>
      </c>
      <c r="X216" s="387">
        <f t="shared" si="138"/>
        <v>-1</v>
      </c>
      <c r="Y216" s="301">
        <f t="shared" si="139"/>
        <v>2</v>
      </c>
      <c r="Z216" s="301">
        <f t="shared" si="140"/>
        <v>0</v>
      </c>
      <c r="AA216" s="323" t="str">
        <f>CONCATENATE("                x[team1,team2,sport,'",IF(OR(I216="x",I216=""),VLOOKUP('Schedule from TM'!J216,Tables!$P$3:$Q$33,2,FALSE),'Schedule from TM'!I216),",",J216,"','",IF(OR(F216="x",F216=""),VLOOKUP('Schedule from TM'!G216,Tables!$U$3:$V$14,2,FALSE),'Schedule from TM'!F216),",",TEXT(G216,"mm/dd/yyyy"),"','",TEXT(H216,"h:mm:ss AM/PM"),"'].ub=0.0      #",B216)</f>
        <v xml:space="preserve">                x[team1,team2,sport,'11,JCC Back Field 2','21,11/26/2017','8:00:00 AM'].ub=0.0      #Ch C Male Mini Soccer</v>
      </c>
      <c r="AB216" s="301" t="str">
        <f t="shared" si="141"/>
        <v>,,Ch C Male Mini Soccer,,1,CHILD CM - VEN 1</v>
      </c>
      <c r="AC216" s="153" t="str">
        <f t="shared" si="142"/>
        <v>Ch C Male Mini SoccerCHILD CM - VEN 1</v>
      </c>
      <c r="AD216" s="301" t="str">
        <f t="shared" si="143"/>
        <v>,,Ch C Male Mini Soccer,,1,CHILD CM - COL 1</v>
      </c>
      <c r="AE216" s="153" t="str">
        <f t="shared" si="144"/>
        <v>Ch C Male Mini SoccerCHILD CM - COL 1</v>
      </c>
      <c r="AF216" s="383">
        <f t="shared" si="145"/>
        <v>1</v>
      </c>
      <c r="AG216" s="383">
        <f t="shared" si="146"/>
        <v>0</v>
      </c>
      <c r="AH216" s="383">
        <f t="shared" si="147"/>
        <v>0</v>
      </c>
      <c r="AI216" s="383">
        <f t="shared" si="148"/>
        <v>0</v>
      </c>
      <c r="AJ216" s="383">
        <f t="shared" si="149"/>
        <v>1</v>
      </c>
      <c r="AK216" s="383">
        <f t="shared" si="150"/>
        <v>0</v>
      </c>
      <c r="AM216" s="148" t="str">
        <f t="shared" si="151"/>
        <v>Schedulled</v>
      </c>
      <c r="AN216" s="148" t="str">
        <f t="shared" si="152"/>
        <v/>
      </c>
      <c r="AO216" s="156">
        <f t="shared" si="153"/>
        <v>43065.333333333336</v>
      </c>
      <c r="AP216" s="148" t="str">
        <f t="shared" si="154"/>
        <v>11/26/2017 08:00-&gt;JCC Back Field 2</v>
      </c>
      <c r="AQ216" s="374">
        <f t="shared" si="155"/>
        <v>1</v>
      </c>
      <c r="AR216" s="148" t="str">
        <f t="shared" si="156"/>
        <v>VEN1</v>
      </c>
      <c r="AS216" s="148" t="str">
        <f t="shared" si="157"/>
        <v>COL1</v>
      </c>
      <c r="AT216" s="157" t="str">
        <f t="shared" si="158"/>
        <v>VEN1-COL1</v>
      </c>
      <c r="AU216" s="157" t="str">
        <f t="shared" si="159"/>
        <v xml:space="preserve">VEN1-COL1 </v>
      </c>
      <c r="AV216" s="157" t="str">
        <f t="shared" si="160"/>
        <v>CHILDREN C MALE</v>
      </c>
      <c r="AW216" s="157" t="str">
        <f t="shared" si="161"/>
        <v>Soccer</v>
      </c>
      <c r="AX216" s="376">
        <f t="shared" si="162"/>
        <v>214</v>
      </c>
      <c r="AY216" s="148" t="str">
        <f t="shared" si="163"/>
        <v>CHILD CM - VEN 1-&gt;CHILD CM - COL 1</v>
      </c>
      <c r="AZ216" s="148" t="str">
        <f t="shared" si="164"/>
        <v>11/26/2017 08:00-&gt;CHILD CM - VEN 1</v>
      </c>
      <c r="BA216" s="148" t="str">
        <f t="shared" si="165"/>
        <v>11/26/2017 08:00-&gt;CHILD CM - COL 1</v>
      </c>
      <c r="BB216" s="374">
        <f t="shared" si="166"/>
        <v>1</v>
      </c>
      <c r="BC216" s="374">
        <f t="shared" si="167"/>
        <v>1</v>
      </c>
      <c r="BD216" s="148" t="str">
        <f t="shared" si="168"/>
        <v>no conflict</v>
      </c>
      <c r="BF216" s="148" t="str">
        <f t="shared" si="169"/>
        <v>11/26/2017 08:00-&gt;CHILD CM - VEN 1</v>
      </c>
      <c r="BG216" s="148" t="str">
        <f t="shared" si="170"/>
        <v>11/26/2017 08:00-&gt;CHILD CM - COL 1</v>
      </c>
      <c r="BH216" s="148" t="str">
        <f t="shared" si="171"/>
        <v>11/26/2017 08:00-&gt;JCC Back Field 2</v>
      </c>
      <c r="BI216" s="148" t="str">
        <f t="shared" si="172"/>
        <v>Soccer in JCC Back Field 2 (VEN1-COL1)</v>
      </c>
      <c r="BJ216" s="148" t="str">
        <f t="shared" si="173"/>
        <v>Ch C Male Mini Soccer-- CHILD CM - VEN 1 vs. CHILD CM - COL 1</v>
      </c>
      <c r="BK216" s="148" t="str">
        <f t="shared" si="174"/>
        <v>Soccer</v>
      </c>
      <c r="BL216" s="148" t="str">
        <f t="shared" si="175"/>
        <v>CHILD CM - VEN 1</v>
      </c>
      <c r="BM216" s="148" t="str">
        <f t="shared" si="176"/>
        <v>CHILD CM - COL 1</v>
      </c>
      <c r="BN216" s="148" t="str">
        <f t="shared" si="177"/>
        <v>Round - 1</v>
      </c>
      <c r="BP216" s="148" t="str">
        <f t="shared" si="178"/>
        <v>no t, f, or sf</v>
      </c>
      <c r="BQ216" s="148" t="str">
        <f t="shared" si="179"/>
        <v/>
      </c>
    </row>
    <row r="217" spans="1:69" ht="15" customHeight="1" x14ac:dyDescent="0.2">
      <c r="A217" s="376">
        <v>215</v>
      </c>
      <c r="B217" s="315" t="s">
        <v>49</v>
      </c>
      <c r="C217" s="315" t="s">
        <v>518</v>
      </c>
      <c r="D217" s="378">
        <v>1</v>
      </c>
      <c r="E217" s="378">
        <v>1</v>
      </c>
      <c r="F217" s="315" t="s">
        <v>770</v>
      </c>
      <c r="G217" s="316">
        <v>43058</v>
      </c>
      <c r="H217" s="317">
        <v>0.47222222222222227</v>
      </c>
      <c r="I217" s="325" t="s">
        <v>770</v>
      </c>
      <c r="J217" s="315" t="s">
        <v>709</v>
      </c>
      <c r="K217" s="315">
        <v>43</v>
      </c>
      <c r="L217" t="s">
        <v>583</v>
      </c>
      <c r="M217">
        <v>43</v>
      </c>
      <c r="N217" t="s">
        <v>725</v>
      </c>
      <c r="O217" s="153" t="str">
        <f>IF(L217&lt;&gt;"",IFERROR(VLOOKUP(B217&amp;L217,Pools!$A$2:$D$130,3,FALSE),""),"")</f>
        <v>Pool A</v>
      </c>
      <c r="P217" s="388">
        <v>5</v>
      </c>
      <c r="Q217" s="388">
        <v>4</v>
      </c>
      <c r="R217" s="306" t="str">
        <f t="shared" si="135"/>
        <v>5-4</v>
      </c>
      <c r="S217" s="153"/>
      <c r="T217" s="148" t="str">
        <f t="shared" si="136"/>
        <v>Completed</v>
      </c>
      <c r="U217" s="153"/>
      <c r="V217" s="153"/>
      <c r="W217" s="387">
        <f t="shared" si="137"/>
        <v>1</v>
      </c>
      <c r="X217" s="387">
        <f t="shared" si="138"/>
        <v>-1</v>
      </c>
      <c r="Y217" s="301">
        <f t="shared" si="139"/>
        <v>2</v>
      </c>
      <c r="Z217" s="301">
        <f t="shared" si="140"/>
        <v>0</v>
      </c>
      <c r="AA217" s="323" t="str">
        <f>CONCATENATE("                x[team1,team2,sport,'",IF(OR(I217="x",I217=""),VLOOKUP('Schedule from TM'!J217,Tables!$P$3:$Q$33,2,FALSE),'Schedule from TM'!I217),",",J217,"','",IF(OR(F217="x",F217=""),VLOOKUP('Schedule from TM'!G217,Tables!$U$3:$V$14,2,FALSE),'Schedule from TM'!F217),",",TEXT(G217,"mm/dd/yyyy"),"','",TEXT(H217,"h:mm:ss AM/PM"),"'].ub=0.0      #",B217)</f>
        <v xml:space="preserve">                x[team1,team2,sport,'11,JCC Basketball Out 2','11,11/19/2017','11:20:00 AM'].ub=0.0      #Ch D Female Basketball</v>
      </c>
      <c r="AB217" s="301" t="str">
        <f t="shared" si="141"/>
        <v>,,Ch D Female Basketball,Pool A,1,CHILD DF - ARG 1</v>
      </c>
      <c r="AC217" s="153" t="str">
        <f t="shared" si="142"/>
        <v>Ch D Female BasketballPool ACHILD DF - ARG 1</v>
      </c>
      <c r="AD217" s="301" t="str">
        <f t="shared" si="143"/>
        <v>,,Ch D Female Basketball,Pool A,1,CHILD DF - ISR</v>
      </c>
      <c r="AE217" s="153" t="str">
        <f t="shared" si="144"/>
        <v>Ch D Female BasketballPool ACHILD DF - ISR</v>
      </c>
      <c r="AF217" s="383">
        <f t="shared" si="145"/>
        <v>1</v>
      </c>
      <c r="AG217" s="383">
        <f t="shared" si="146"/>
        <v>0</v>
      </c>
      <c r="AH217" s="383">
        <f t="shared" si="147"/>
        <v>0</v>
      </c>
      <c r="AI217" s="383">
        <f t="shared" si="148"/>
        <v>0</v>
      </c>
      <c r="AJ217" s="383">
        <f t="shared" si="149"/>
        <v>1</v>
      </c>
      <c r="AK217" s="383">
        <f t="shared" si="150"/>
        <v>0</v>
      </c>
      <c r="AM217" s="148" t="str">
        <f t="shared" si="151"/>
        <v>Schedulled</v>
      </c>
      <c r="AN217" s="148" t="str">
        <f t="shared" si="152"/>
        <v/>
      </c>
      <c r="AO217" s="156">
        <f t="shared" si="153"/>
        <v>43058.472222222219</v>
      </c>
      <c r="AP217" s="148" t="str">
        <f t="shared" si="154"/>
        <v>11/19/2017 11:20-&gt;JCC Basketball Out 2</v>
      </c>
      <c r="AQ217" s="374">
        <f t="shared" si="155"/>
        <v>1</v>
      </c>
      <c r="AR217" s="148" t="str">
        <f t="shared" si="156"/>
        <v>ARG1</v>
      </c>
      <c r="AS217" s="148" t="str">
        <f t="shared" si="157"/>
        <v>ISR</v>
      </c>
      <c r="AT217" s="157" t="str">
        <f t="shared" si="158"/>
        <v>ARG1-ISR</v>
      </c>
      <c r="AU217" s="157" t="str">
        <f t="shared" si="159"/>
        <v xml:space="preserve">ARG1-ISR </v>
      </c>
      <c r="AV217" s="157" t="str">
        <f t="shared" si="160"/>
        <v>CHILDREN D FEMALE</v>
      </c>
      <c r="AW217" s="157" t="str">
        <f t="shared" si="161"/>
        <v>Basketball</v>
      </c>
      <c r="AX217" s="376">
        <f t="shared" si="162"/>
        <v>215</v>
      </c>
      <c r="AY217" s="148" t="str">
        <f t="shared" si="163"/>
        <v>CHILD DF - ARG 1-&gt;CHILD DF - ISR</v>
      </c>
      <c r="AZ217" s="148" t="str">
        <f t="shared" si="164"/>
        <v>11/19/2017 11:20-&gt;CHILD DF - ARG 1</v>
      </c>
      <c r="BA217" s="148" t="str">
        <f t="shared" si="165"/>
        <v>11/19/2017 11:20-&gt;CHILD DF - ISR</v>
      </c>
      <c r="BB217" s="374">
        <f t="shared" si="166"/>
        <v>1</v>
      </c>
      <c r="BC217" s="374">
        <f t="shared" si="167"/>
        <v>1</v>
      </c>
      <c r="BD217" s="148" t="str">
        <f t="shared" si="168"/>
        <v>no conflict</v>
      </c>
      <c r="BF217" s="148" t="str">
        <f t="shared" si="169"/>
        <v>11/19/2017 11:20-&gt;CHILD DF - ARG 1</v>
      </c>
      <c r="BG217" s="148" t="str">
        <f t="shared" si="170"/>
        <v>11/19/2017 11:20-&gt;CHILD DF - ISR</v>
      </c>
      <c r="BH217" s="148" t="str">
        <f t="shared" si="171"/>
        <v>11/19/2017 11:20-&gt;JCC Basketball Out 2</v>
      </c>
      <c r="BI217" s="148" t="str">
        <f t="shared" si="172"/>
        <v>Basketball in JCC Basketball Out 2 (ARG1-ISR)</v>
      </c>
      <c r="BJ217" s="148" t="str">
        <f t="shared" si="173"/>
        <v>Ch D Female Basketball-- CHILD DF - ARG 1 vs. CHILD DF - ISR</v>
      </c>
      <c r="BK217" s="148" t="str">
        <f t="shared" si="174"/>
        <v>Basketball</v>
      </c>
      <c r="BL217" s="148" t="str">
        <f t="shared" si="175"/>
        <v>CHILD DF - ARG 1</v>
      </c>
      <c r="BM217" s="148" t="str">
        <f t="shared" si="176"/>
        <v>CHILD DF - ISR</v>
      </c>
      <c r="BN217" s="148" t="str">
        <f t="shared" si="177"/>
        <v>Round - 1</v>
      </c>
      <c r="BP217" s="148" t="str">
        <f t="shared" si="178"/>
        <v>no t, f, or sf</v>
      </c>
      <c r="BQ217" s="148" t="str">
        <f t="shared" si="179"/>
        <v/>
      </c>
    </row>
    <row r="218" spans="1:69" ht="15" customHeight="1" x14ac:dyDescent="0.2">
      <c r="A218" s="376">
        <v>216</v>
      </c>
      <c r="B218" s="444" t="s">
        <v>49</v>
      </c>
      <c r="C218" s="444" t="s">
        <v>518</v>
      </c>
      <c r="D218" s="451">
        <v>1</v>
      </c>
      <c r="E218" s="451">
        <v>1</v>
      </c>
      <c r="F218" s="315" t="s">
        <v>770</v>
      </c>
      <c r="G218" s="445">
        <v>43058</v>
      </c>
      <c r="H218" s="317">
        <v>0.61111111111111105</v>
      </c>
      <c r="I218" s="325" t="s">
        <v>770</v>
      </c>
      <c r="J218" s="444" t="s">
        <v>709</v>
      </c>
      <c r="K218" s="444">
        <v>43</v>
      </c>
      <c r="L218" t="s">
        <v>583</v>
      </c>
      <c r="M218">
        <v>43</v>
      </c>
      <c r="N218" t="s">
        <v>589</v>
      </c>
      <c r="O218" s="153" t="str">
        <f>IF(L218&lt;&gt;"",IFERROR(VLOOKUP(B218&amp;L218,Pools!$A$2:$D$130,3,FALSE),""),"")</f>
        <v>Pool A</v>
      </c>
      <c r="P218" s="388">
        <v>16</v>
      </c>
      <c r="Q218" s="388">
        <v>2</v>
      </c>
      <c r="R218" s="306" t="str">
        <f t="shared" si="135"/>
        <v>16-2</v>
      </c>
      <c r="S218" s="153"/>
      <c r="T218" s="148" t="str">
        <f t="shared" si="136"/>
        <v>Completed</v>
      </c>
      <c r="U218" s="153"/>
      <c r="V218" s="153"/>
      <c r="W218" s="387">
        <f t="shared" si="137"/>
        <v>14</v>
      </c>
      <c r="X218" s="387">
        <f t="shared" si="138"/>
        <v>-14</v>
      </c>
      <c r="Y218" s="301">
        <f t="shared" si="139"/>
        <v>2</v>
      </c>
      <c r="Z218" s="301">
        <f t="shared" si="140"/>
        <v>0</v>
      </c>
      <c r="AA218" s="323" t="str">
        <f>CONCATENATE("                x[team1,team2,sport,'",IF(OR(I218="x",I218=""),VLOOKUP('Schedule from TM'!J218,Tables!$P$3:$Q$33,2,FALSE),'Schedule from TM'!I218),",",J218,"','",IF(OR(F218="x",F218=""),VLOOKUP('Schedule from TM'!G218,Tables!$U$3:$V$14,2,FALSE),'Schedule from TM'!F218),",",TEXT(G218,"mm/dd/yyyy"),"','",TEXT(H218,"h:mm:ss AM/PM"),"'].ub=0.0      #",B218)</f>
        <v xml:space="preserve">                x[team1,team2,sport,'11,JCC Basketball Out 2','11,11/19/2017','2:40:00 PM'].ub=0.0      #Ch D Female Basketball</v>
      </c>
      <c r="AB218" s="301" t="str">
        <f t="shared" si="141"/>
        <v>,,Ch D Female Basketball,Pool A,1,CHILD DF - ARG 1</v>
      </c>
      <c r="AC218" s="153" t="str">
        <f t="shared" si="142"/>
        <v>Ch D Female BasketballPool ACHILD DF - ARG 1</v>
      </c>
      <c r="AD218" s="301" t="str">
        <f t="shared" si="143"/>
        <v>,,Ch D Female Basketball,Pool A,1,CHILD DF - VEN 1</v>
      </c>
      <c r="AE218" s="153" t="str">
        <f t="shared" si="144"/>
        <v>Ch D Female BasketballPool ACHILD DF - VEN 1</v>
      </c>
      <c r="AF218" s="383">
        <f t="shared" si="145"/>
        <v>1</v>
      </c>
      <c r="AG218" s="383">
        <f t="shared" si="146"/>
        <v>0</v>
      </c>
      <c r="AH218" s="383">
        <f t="shared" si="147"/>
        <v>0</v>
      </c>
      <c r="AI218" s="383">
        <f t="shared" si="148"/>
        <v>0</v>
      </c>
      <c r="AJ218" s="383">
        <f t="shared" si="149"/>
        <v>1</v>
      </c>
      <c r="AK218" s="383">
        <f t="shared" si="150"/>
        <v>0</v>
      </c>
      <c r="AM218" s="148" t="str">
        <f t="shared" si="151"/>
        <v>Schedulled</v>
      </c>
      <c r="AN218" s="148" t="str">
        <f t="shared" si="152"/>
        <v/>
      </c>
      <c r="AO218" s="156">
        <f t="shared" si="153"/>
        <v>43058.611111111109</v>
      </c>
      <c r="AP218" s="148" t="str">
        <f t="shared" si="154"/>
        <v>11/19/2017 14:40-&gt;JCC Basketball Out 2</v>
      </c>
      <c r="AQ218" s="374">
        <f t="shared" si="155"/>
        <v>1</v>
      </c>
      <c r="AR218" s="148" t="str">
        <f t="shared" si="156"/>
        <v>ARG1</v>
      </c>
      <c r="AS218" s="148" t="str">
        <f t="shared" si="157"/>
        <v>VEN1</v>
      </c>
      <c r="AT218" s="157" t="str">
        <f t="shared" si="158"/>
        <v>ARG1-VEN1</v>
      </c>
      <c r="AU218" s="157" t="str">
        <f t="shared" si="159"/>
        <v xml:space="preserve">ARG1-VEN1 </v>
      </c>
      <c r="AV218" s="157" t="str">
        <f t="shared" si="160"/>
        <v>CHILDREN D FEMALE</v>
      </c>
      <c r="AW218" s="157" t="str">
        <f t="shared" si="161"/>
        <v>Basketball</v>
      </c>
      <c r="AX218" s="376">
        <f t="shared" si="162"/>
        <v>216</v>
      </c>
      <c r="AY218" s="148" t="str">
        <f t="shared" si="163"/>
        <v>CHILD DF - ARG 1-&gt;CHILD DF - VEN 1</v>
      </c>
      <c r="AZ218" s="148" t="str">
        <f t="shared" si="164"/>
        <v>11/19/2017 14:40-&gt;CHILD DF - ARG 1</v>
      </c>
      <c r="BA218" s="148" t="str">
        <f t="shared" si="165"/>
        <v>11/19/2017 14:40-&gt;CHILD DF - VEN 1</v>
      </c>
      <c r="BB218" s="374">
        <f t="shared" si="166"/>
        <v>1</v>
      </c>
      <c r="BC218" s="374">
        <f t="shared" si="167"/>
        <v>1</v>
      </c>
      <c r="BD218" s="148" t="str">
        <f t="shared" si="168"/>
        <v>no conflict</v>
      </c>
      <c r="BF218" s="148" t="str">
        <f t="shared" si="169"/>
        <v>11/19/2017 14:40-&gt;CHILD DF - ARG 1</v>
      </c>
      <c r="BG218" s="148" t="str">
        <f t="shared" si="170"/>
        <v>11/19/2017 14:40-&gt;CHILD DF - VEN 1</v>
      </c>
      <c r="BH218" s="148" t="str">
        <f t="shared" si="171"/>
        <v>11/19/2017 14:40-&gt;JCC Basketball Out 2</v>
      </c>
      <c r="BI218" s="148" t="str">
        <f t="shared" si="172"/>
        <v>Basketball in JCC Basketball Out 2 (ARG1-VEN1)</v>
      </c>
      <c r="BJ218" s="148" t="str">
        <f t="shared" si="173"/>
        <v>Ch D Female Basketball-- CHILD DF - ARG 1 vs. CHILD DF - VEN 1</v>
      </c>
      <c r="BK218" s="148" t="str">
        <f t="shared" si="174"/>
        <v>Basketball</v>
      </c>
      <c r="BL218" s="148" t="str">
        <f t="shared" si="175"/>
        <v>CHILD DF - ARG 1</v>
      </c>
      <c r="BM218" s="148" t="str">
        <f t="shared" si="176"/>
        <v>CHILD DF - VEN 1</v>
      </c>
      <c r="BN218" s="148" t="str">
        <f t="shared" si="177"/>
        <v>Round - 1</v>
      </c>
      <c r="BP218" s="148" t="str">
        <f t="shared" si="178"/>
        <v>no t, f, or sf</v>
      </c>
      <c r="BQ218" s="148" t="str">
        <f t="shared" si="179"/>
        <v/>
      </c>
    </row>
    <row r="219" spans="1:69" ht="16" x14ac:dyDescent="0.2">
      <c r="A219" s="376">
        <v>217</v>
      </c>
      <c r="B219" s="441" t="s">
        <v>49</v>
      </c>
      <c r="C219" s="441" t="s">
        <v>518</v>
      </c>
      <c r="D219" s="450">
        <v>1</v>
      </c>
      <c r="E219" s="450">
        <v>1</v>
      </c>
      <c r="F219" s="315" t="s">
        <v>770</v>
      </c>
      <c r="G219" s="320">
        <v>43058</v>
      </c>
      <c r="H219" s="317">
        <v>0.64583333333333337</v>
      </c>
      <c r="I219" s="325" t="s">
        <v>770</v>
      </c>
      <c r="J219" s="441" t="s">
        <v>709</v>
      </c>
      <c r="K219" s="441">
        <v>43</v>
      </c>
      <c r="L219" s="433" t="s">
        <v>588</v>
      </c>
      <c r="M219" s="433">
        <v>43</v>
      </c>
      <c r="N219" s="433" t="s">
        <v>724</v>
      </c>
      <c r="O219" s="153" t="str">
        <f>IF(L219&lt;&gt;"",IFERROR(VLOOKUP(B219&amp;L219,Pools!$A$2:$D$130,3,FALSE),""),"")</f>
        <v>Pool B</v>
      </c>
      <c r="P219" s="388">
        <v>4</v>
      </c>
      <c r="Q219" s="388">
        <v>0</v>
      </c>
      <c r="R219" s="306" t="str">
        <f t="shared" si="135"/>
        <v>4-0</v>
      </c>
      <c r="S219" s="153"/>
      <c r="T219" s="148" t="str">
        <f t="shared" si="136"/>
        <v>Completed</v>
      </c>
      <c r="U219" s="153"/>
      <c r="V219" s="153"/>
      <c r="W219" s="387">
        <f t="shared" si="137"/>
        <v>4</v>
      </c>
      <c r="X219" s="387">
        <f t="shared" si="138"/>
        <v>-4</v>
      </c>
      <c r="Y219" s="301">
        <f t="shared" si="139"/>
        <v>2</v>
      </c>
      <c r="Z219" s="301">
        <f t="shared" si="140"/>
        <v>0</v>
      </c>
      <c r="AA219" s="323" t="str">
        <f>CONCATENATE("                x[team1,team2,sport,'",IF(OR(I219="x",I219=""),VLOOKUP('Schedule from TM'!J219,Tables!$P$3:$Q$33,2,FALSE),'Schedule from TM'!I219),",",J219,"','",IF(OR(F219="x",F219=""),VLOOKUP('Schedule from TM'!G219,Tables!$U$3:$V$14,2,FALSE),'Schedule from TM'!F219),",",TEXT(G219,"mm/dd/yyyy"),"','",TEXT(H219,"h:mm:ss AM/PM"),"'].ub=0.0      #",B219)</f>
        <v xml:space="preserve">                x[team1,team2,sport,'11,JCC Basketball Out 2','11,11/19/2017','3:30:00 PM'].ub=0.0      #Ch D Female Basketball</v>
      </c>
      <c r="AB219" s="301" t="str">
        <f t="shared" si="141"/>
        <v>,,Ch D Female Basketball,Pool B,1,CHILD DF - USA 2</v>
      </c>
      <c r="AC219" s="153" t="str">
        <f t="shared" si="142"/>
        <v>Ch D Female BasketballPool BCHILD DF - USA 2</v>
      </c>
      <c r="AD219" s="301" t="str">
        <f t="shared" si="143"/>
        <v>,,Ch D Female Basketball,Pool B,1,CHILD DF - MEX</v>
      </c>
      <c r="AE219" s="153" t="str">
        <f t="shared" si="144"/>
        <v>Ch D Female BasketballPool BCHILD DF - MEX</v>
      </c>
      <c r="AF219" s="383">
        <f t="shared" si="145"/>
        <v>1</v>
      </c>
      <c r="AG219" s="383">
        <f t="shared" si="146"/>
        <v>0</v>
      </c>
      <c r="AH219" s="383">
        <f t="shared" si="147"/>
        <v>0</v>
      </c>
      <c r="AI219" s="383">
        <f t="shared" si="148"/>
        <v>0</v>
      </c>
      <c r="AJ219" s="383">
        <f t="shared" si="149"/>
        <v>1</v>
      </c>
      <c r="AK219" s="383">
        <f t="shared" si="150"/>
        <v>0</v>
      </c>
      <c r="AM219" s="148" t="str">
        <f t="shared" si="151"/>
        <v>Schedulled</v>
      </c>
      <c r="AN219" s="148" t="str">
        <f t="shared" si="152"/>
        <v/>
      </c>
      <c r="AO219" s="156">
        <f t="shared" si="153"/>
        <v>43058.645833333336</v>
      </c>
      <c r="AP219" s="148" t="str">
        <f t="shared" si="154"/>
        <v>11/19/2017 15:30-&gt;JCC Basketball Out 2</v>
      </c>
      <c r="AQ219" s="374">
        <f t="shared" si="155"/>
        <v>1</v>
      </c>
      <c r="AR219" s="148" t="str">
        <f t="shared" si="156"/>
        <v>USA2</v>
      </c>
      <c r="AS219" s="148" t="str">
        <f t="shared" si="157"/>
        <v>MEX</v>
      </c>
      <c r="AT219" s="157" t="str">
        <f t="shared" si="158"/>
        <v>USA2-MEX</v>
      </c>
      <c r="AU219" s="157" t="str">
        <f t="shared" si="159"/>
        <v xml:space="preserve">USA2-MEX </v>
      </c>
      <c r="AV219" s="157" t="str">
        <f t="shared" si="160"/>
        <v>CHILDREN D FEMALE</v>
      </c>
      <c r="AW219" s="157" t="str">
        <f t="shared" si="161"/>
        <v>Basketball</v>
      </c>
      <c r="AX219" s="376">
        <f t="shared" si="162"/>
        <v>217</v>
      </c>
      <c r="AY219" s="148" t="str">
        <f t="shared" si="163"/>
        <v>CHILD DF - USA 2-&gt;CHILD DF - MEX</v>
      </c>
      <c r="AZ219" s="148" t="str">
        <f t="shared" si="164"/>
        <v>11/19/2017 15:30-&gt;CHILD DF - USA 2</v>
      </c>
      <c r="BA219" s="148" t="str">
        <f t="shared" si="165"/>
        <v>11/19/2017 15:30-&gt;CHILD DF - MEX</v>
      </c>
      <c r="BB219" s="374">
        <f t="shared" si="166"/>
        <v>1</v>
      </c>
      <c r="BC219" s="374">
        <f t="shared" si="167"/>
        <v>1</v>
      </c>
      <c r="BD219" s="148" t="str">
        <f t="shared" si="168"/>
        <v>no conflict</v>
      </c>
      <c r="BF219" s="148" t="str">
        <f t="shared" si="169"/>
        <v>11/19/2017 15:30-&gt;CHILD DF - USA 2</v>
      </c>
      <c r="BG219" s="148" t="str">
        <f t="shared" si="170"/>
        <v>11/19/2017 15:30-&gt;CHILD DF - MEX</v>
      </c>
      <c r="BH219" s="148" t="str">
        <f t="shared" si="171"/>
        <v>11/19/2017 15:30-&gt;JCC Basketball Out 2</v>
      </c>
      <c r="BI219" s="148" t="str">
        <f t="shared" si="172"/>
        <v>Basketball in JCC Basketball Out 2 (USA2-MEX)</v>
      </c>
      <c r="BJ219" s="148" t="str">
        <f t="shared" si="173"/>
        <v>Ch D Female Basketball-- CHILD DF - USA 2 vs. CHILD DF - MEX</v>
      </c>
      <c r="BK219" s="148" t="str">
        <f t="shared" si="174"/>
        <v>Basketball</v>
      </c>
      <c r="BL219" s="148" t="str">
        <f t="shared" si="175"/>
        <v>CHILD DF - USA 2</v>
      </c>
      <c r="BM219" s="148" t="str">
        <f t="shared" si="176"/>
        <v>CHILD DF - MEX</v>
      </c>
      <c r="BN219" s="148" t="str">
        <f t="shared" si="177"/>
        <v>Round - 1</v>
      </c>
      <c r="BP219" s="148" t="str">
        <f t="shared" si="178"/>
        <v>no t, f, or sf</v>
      </c>
      <c r="BQ219" s="148" t="str">
        <f t="shared" si="179"/>
        <v/>
      </c>
    </row>
    <row r="220" spans="1:69" ht="16" x14ac:dyDescent="0.2">
      <c r="A220" s="376">
        <v>218</v>
      </c>
      <c r="B220" s="444" t="s">
        <v>49</v>
      </c>
      <c r="C220" s="444" t="s">
        <v>518</v>
      </c>
      <c r="D220" s="451">
        <v>1</v>
      </c>
      <c r="E220" s="451">
        <v>1</v>
      </c>
      <c r="F220" s="315" t="s">
        <v>770</v>
      </c>
      <c r="G220" s="445">
        <v>43058</v>
      </c>
      <c r="H220" s="317">
        <v>0.68055555555555547</v>
      </c>
      <c r="I220" s="325" t="s">
        <v>770</v>
      </c>
      <c r="J220" s="444" t="s">
        <v>709</v>
      </c>
      <c r="K220" s="444">
        <v>43</v>
      </c>
      <c r="L220" s="433" t="s">
        <v>586</v>
      </c>
      <c r="M220" s="433">
        <v>43</v>
      </c>
      <c r="N220" s="433" t="s">
        <v>590</v>
      </c>
      <c r="O220" s="153" t="str">
        <f>IF(L220&lt;&gt;"",IFERROR(VLOOKUP(B220&amp;L220,Pools!$A$2:$D$130,3,FALSE),""),"")</f>
        <v>Pool B</v>
      </c>
      <c r="P220" s="388">
        <v>2</v>
      </c>
      <c r="Q220" s="388">
        <v>6</v>
      </c>
      <c r="R220" s="306" t="str">
        <f t="shared" si="135"/>
        <v>2-6</v>
      </c>
      <c r="S220" s="153"/>
      <c r="T220" s="148" t="str">
        <f t="shared" si="136"/>
        <v>Completed</v>
      </c>
      <c r="U220" s="153"/>
      <c r="V220" s="153"/>
      <c r="W220" s="387">
        <f t="shared" si="137"/>
        <v>-4</v>
      </c>
      <c r="X220" s="387">
        <f t="shared" si="138"/>
        <v>4</v>
      </c>
      <c r="Y220" s="301">
        <f t="shared" si="139"/>
        <v>0</v>
      </c>
      <c r="Z220" s="301">
        <f t="shared" si="140"/>
        <v>2</v>
      </c>
      <c r="AA220" s="323" t="str">
        <f>CONCATENATE("                x[team1,team2,sport,'",IF(OR(I220="x",I220=""),VLOOKUP('Schedule from TM'!J220,Tables!$P$3:$Q$33,2,FALSE),'Schedule from TM'!I220),",",J220,"','",IF(OR(F220="x",F220=""),VLOOKUP('Schedule from TM'!G220,Tables!$U$3:$V$14,2,FALSE),'Schedule from TM'!F220),",",TEXT(G220,"mm/dd/yyyy"),"','",TEXT(H220,"h:mm:ss AM/PM"),"'].ub=0.0      #",B220)</f>
        <v xml:space="preserve">                x[team1,team2,sport,'11,JCC Basketball Out 2','11,11/19/2017','4:20:00 PM'].ub=0.0      #Ch D Female Basketball</v>
      </c>
      <c r="AB220" s="301" t="str">
        <f t="shared" si="141"/>
        <v>,,Ch D Female Basketball,Pool B,1,CHILD DF - COL 1</v>
      </c>
      <c r="AC220" s="153" t="str">
        <f t="shared" si="142"/>
        <v>Ch D Female BasketballPool BCHILD DF - COL 1</v>
      </c>
      <c r="AD220" s="301" t="str">
        <f t="shared" si="143"/>
        <v>,,Ch D Female Basketball,Pool B,1,CHILD DF - VEN 2</v>
      </c>
      <c r="AE220" s="153" t="str">
        <f t="shared" si="144"/>
        <v>Ch D Female BasketballPool BCHILD DF - VEN 2</v>
      </c>
      <c r="AF220" s="383">
        <f t="shared" si="145"/>
        <v>0</v>
      </c>
      <c r="AG220" s="383">
        <f t="shared" si="146"/>
        <v>1</v>
      </c>
      <c r="AH220" s="383">
        <f t="shared" si="147"/>
        <v>0</v>
      </c>
      <c r="AI220" s="383">
        <f t="shared" si="148"/>
        <v>1</v>
      </c>
      <c r="AJ220" s="383">
        <f t="shared" si="149"/>
        <v>0</v>
      </c>
      <c r="AK220" s="383">
        <f t="shared" si="150"/>
        <v>0</v>
      </c>
      <c r="AM220" s="148" t="str">
        <f t="shared" si="151"/>
        <v>Schedulled</v>
      </c>
      <c r="AN220" s="148" t="str">
        <f t="shared" si="152"/>
        <v/>
      </c>
      <c r="AO220" s="156">
        <f t="shared" si="153"/>
        <v>43058.680555555555</v>
      </c>
      <c r="AP220" s="148" t="str">
        <f t="shared" si="154"/>
        <v>11/19/2017 16:20-&gt;JCC Basketball Out 2</v>
      </c>
      <c r="AQ220" s="374">
        <f t="shared" si="155"/>
        <v>1</v>
      </c>
      <c r="AR220" s="148" t="str">
        <f t="shared" si="156"/>
        <v>COL1</v>
      </c>
      <c r="AS220" s="148" t="str">
        <f t="shared" si="157"/>
        <v>VEN2</v>
      </c>
      <c r="AT220" s="157" t="str">
        <f t="shared" si="158"/>
        <v>COL1-VEN2</v>
      </c>
      <c r="AU220" s="157" t="str">
        <f t="shared" si="159"/>
        <v xml:space="preserve">COL1-VEN2 </v>
      </c>
      <c r="AV220" s="157" t="str">
        <f t="shared" si="160"/>
        <v>CHILDREN D FEMALE</v>
      </c>
      <c r="AW220" s="157" t="str">
        <f t="shared" si="161"/>
        <v>Basketball</v>
      </c>
      <c r="AX220" s="376">
        <f t="shared" si="162"/>
        <v>218</v>
      </c>
      <c r="AY220" s="148" t="str">
        <f t="shared" si="163"/>
        <v>CHILD DF - COL 1-&gt;CHILD DF - VEN 2</v>
      </c>
      <c r="AZ220" s="148" t="str">
        <f t="shared" si="164"/>
        <v>11/19/2017 16:20-&gt;CHILD DF - COL 1</v>
      </c>
      <c r="BA220" s="148" t="str">
        <f t="shared" si="165"/>
        <v>11/19/2017 16:20-&gt;CHILD DF - VEN 2</v>
      </c>
      <c r="BB220" s="374">
        <f t="shared" si="166"/>
        <v>1</v>
      </c>
      <c r="BC220" s="374">
        <f t="shared" si="167"/>
        <v>1</v>
      </c>
      <c r="BD220" s="148" t="str">
        <f t="shared" si="168"/>
        <v>no conflict</v>
      </c>
      <c r="BF220" s="148" t="str">
        <f t="shared" si="169"/>
        <v>11/19/2017 16:20-&gt;CHILD DF - COL 1</v>
      </c>
      <c r="BG220" s="148" t="str">
        <f t="shared" si="170"/>
        <v>11/19/2017 16:20-&gt;CHILD DF - VEN 2</v>
      </c>
      <c r="BH220" s="148" t="str">
        <f t="shared" si="171"/>
        <v>11/19/2017 16:20-&gt;JCC Basketball Out 2</v>
      </c>
      <c r="BI220" s="148" t="str">
        <f t="shared" si="172"/>
        <v>Basketball in JCC Basketball Out 2 (COL1-VEN2)</v>
      </c>
      <c r="BJ220" s="148" t="str">
        <f t="shared" si="173"/>
        <v>Ch D Female Basketball-- CHILD DF - COL 1 vs. CHILD DF - VEN 2</v>
      </c>
      <c r="BK220" s="148" t="str">
        <f t="shared" si="174"/>
        <v>Basketball</v>
      </c>
      <c r="BL220" s="148" t="str">
        <f t="shared" si="175"/>
        <v>CHILD DF - COL 1</v>
      </c>
      <c r="BM220" s="148" t="str">
        <f t="shared" si="176"/>
        <v>CHILD DF - VEN 2</v>
      </c>
      <c r="BN220" s="148" t="str">
        <f t="shared" si="177"/>
        <v>Round - 1</v>
      </c>
      <c r="BP220" s="148" t="str">
        <f t="shared" si="178"/>
        <v>no t, f, or sf</v>
      </c>
      <c r="BQ220" s="148" t="str">
        <f t="shared" si="179"/>
        <v/>
      </c>
    </row>
    <row r="221" spans="1:69" ht="15" customHeight="1" x14ac:dyDescent="0.2">
      <c r="A221" s="376">
        <v>219</v>
      </c>
      <c r="B221" s="319" t="s">
        <v>49</v>
      </c>
      <c r="C221" s="319" t="s">
        <v>518</v>
      </c>
      <c r="D221" s="376">
        <v>1</v>
      </c>
      <c r="E221" s="376">
        <v>1</v>
      </c>
      <c r="F221" s="315" t="s">
        <v>770</v>
      </c>
      <c r="G221" s="320">
        <v>43058</v>
      </c>
      <c r="H221" s="318">
        <v>0.75</v>
      </c>
      <c r="I221" s="325" t="s">
        <v>770</v>
      </c>
      <c r="J221" s="319" t="s">
        <v>709</v>
      </c>
      <c r="K221" s="319">
        <v>43</v>
      </c>
      <c r="L221" s="433" t="s">
        <v>587</v>
      </c>
      <c r="M221" s="433">
        <v>43</v>
      </c>
      <c r="N221" s="433" t="s">
        <v>589</v>
      </c>
      <c r="O221" s="153" t="str">
        <f>IF(L221&lt;&gt;"",IFERROR(VLOOKUP(B221&amp;L221,Pools!$A$2:$D$130,3,FALSE),""),"")</f>
        <v>Pool A</v>
      </c>
      <c r="P221" s="388">
        <v>12</v>
      </c>
      <c r="Q221" s="388">
        <v>4</v>
      </c>
      <c r="R221" s="306" t="str">
        <f t="shared" si="135"/>
        <v>12-4</v>
      </c>
      <c r="S221" s="153"/>
      <c r="T221" s="148" t="str">
        <f t="shared" si="136"/>
        <v>Completed</v>
      </c>
      <c r="U221" s="153"/>
      <c r="V221" s="153"/>
      <c r="W221" s="387">
        <f t="shared" si="137"/>
        <v>8</v>
      </c>
      <c r="X221" s="387">
        <f t="shared" si="138"/>
        <v>-8</v>
      </c>
      <c r="Y221" s="301">
        <f t="shared" si="139"/>
        <v>2</v>
      </c>
      <c r="Z221" s="301">
        <f t="shared" si="140"/>
        <v>0</v>
      </c>
      <c r="AA221" s="323" t="str">
        <f>CONCATENATE("                x[team1,team2,sport,'",IF(OR(I221="x",I221=""),VLOOKUP('Schedule from TM'!J221,Tables!$P$3:$Q$33,2,FALSE),'Schedule from TM'!I221),",",J221,"','",IF(OR(F221="x",F221=""),VLOOKUP('Schedule from TM'!G221,Tables!$U$3:$V$14,2,FALSE),'Schedule from TM'!F221),",",TEXT(G221,"mm/dd/yyyy"),"','",TEXT(H221,"h:mm:ss AM/PM"),"'].ub=0.0      #",B221)</f>
        <v xml:space="preserve">                x[team1,team2,sport,'11,JCC Basketball Out 2','11,11/19/2017','6:00:00 PM'].ub=0.0      #Ch D Female Basketball</v>
      </c>
      <c r="AB221" s="301" t="str">
        <f t="shared" si="141"/>
        <v>,,Ch D Female Basketball,Pool A,1,CHILD DF - USA 1</v>
      </c>
      <c r="AC221" s="153" t="str">
        <f t="shared" si="142"/>
        <v>Ch D Female BasketballPool ACHILD DF - USA 1</v>
      </c>
      <c r="AD221" s="301" t="str">
        <f t="shared" si="143"/>
        <v>,,Ch D Female Basketball,Pool A,1,CHILD DF - VEN 1</v>
      </c>
      <c r="AE221" s="153" t="str">
        <f t="shared" si="144"/>
        <v>Ch D Female BasketballPool ACHILD DF - VEN 1</v>
      </c>
      <c r="AF221" s="383">
        <f t="shared" si="145"/>
        <v>1</v>
      </c>
      <c r="AG221" s="383">
        <f t="shared" si="146"/>
        <v>0</v>
      </c>
      <c r="AH221" s="383">
        <f t="shared" si="147"/>
        <v>0</v>
      </c>
      <c r="AI221" s="383">
        <f t="shared" si="148"/>
        <v>0</v>
      </c>
      <c r="AJ221" s="383">
        <f t="shared" si="149"/>
        <v>1</v>
      </c>
      <c r="AK221" s="383">
        <f t="shared" si="150"/>
        <v>0</v>
      </c>
      <c r="AM221" s="148" t="str">
        <f t="shared" si="151"/>
        <v>Schedulled</v>
      </c>
      <c r="AN221" s="148" t="str">
        <f t="shared" si="152"/>
        <v/>
      </c>
      <c r="AO221" s="156">
        <f t="shared" si="153"/>
        <v>43058.75</v>
      </c>
      <c r="AP221" s="148" t="str">
        <f t="shared" si="154"/>
        <v>11/19/2017 18:00-&gt;JCC Basketball Out 2</v>
      </c>
      <c r="AQ221" s="374">
        <f t="shared" si="155"/>
        <v>1</v>
      </c>
      <c r="AR221" s="148" t="str">
        <f t="shared" si="156"/>
        <v>USA1</v>
      </c>
      <c r="AS221" s="148" t="str">
        <f t="shared" si="157"/>
        <v>VEN1</v>
      </c>
      <c r="AT221" s="157" t="str">
        <f t="shared" si="158"/>
        <v>USA1-VEN1</v>
      </c>
      <c r="AU221" s="157" t="str">
        <f t="shared" si="159"/>
        <v xml:space="preserve">USA1-VEN1 </v>
      </c>
      <c r="AV221" s="157" t="str">
        <f t="shared" si="160"/>
        <v>CHILDREN D FEMALE</v>
      </c>
      <c r="AW221" s="157" t="str">
        <f t="shared" si="161"/>
        <v>Basketball</v>
      </c>
      <c r="AX221" s="376">
        <f t="shared" si="162"/>
        <v>219</v>
      </c>
      <c r="AY221" s="148" t="str">
        <f t="shared" si="163"/>
        <v>CHILD DF - USA 1-&gt;CHILD DF - VEN 1</v>
      </c>
      <c r="AZ221" s="148" t="str">
        <f t="shared" si="164"/>
        <v>11/19/2017 18:00-&gt;CHILD DF - USA 1</v>
      </c>
      <c r="BA221" s="148" t="str">
        <f t="shared" si="165"/>
        <v>11/19/2017 18:00-&gt;CHILD DF - VEN 1</v>
      </c>
      <c r="BB221" s="374">
        <f t="shared" si="166"/>
        <v>1</v>
      </c>
      <c r="BC221" s="374">
        <f t="shared" si="167"/>
        <v>1</v>
      </c>
      <c r="BD221" s="148" t="str">
        <f t="shared" si="168"/>
        <v>no conflict</v>
      </c>
      <c r="BF221" s="148" t="str">
        <f t="shared" si="169"/>
        <v>11/19/2017 18:00-&gt;CHILD DF - USA 1</v>
      </c>
      <c r="BG221" s="148" t="str">
        <f t="shared" si="170"/>
        <v>11/19/2017 18:00-&gt;CHILD DF - VEN 1</v>
      </c>
      <c r="BH221" s="148" t="str">
        <f t="shared" si="171"/>
        <v>11/19/2017 18:00-&gt;JCC Basketball Out 2</v>
      </c>
      <c r="BI221" s="148" t="str">
        <f t="shared" si="172"/>
        <v>Basketball in JCC Basketball Out 2 (USA1-VEN1)</v>
      </c>
      <c r="BJ221" s="148" t="str">
        <f t="shared" si="173"/>
        <v>Ch D Female Basketball-- CHILD DF - USA 1 vs. CHILD DF - VEN 1</v>
      </c>
      <c r="BK221" s="148" t="str">
        <f t="shared" si="174"/>
        <v>Basketball</v>
      </c>
      <c r="BL221" s="148" t="str">
        <f t="shared" si="175"/>
        <v>CHILD DF - USA 1</v>
      </c>
      <c r="BM221" s="148" t="str">
        <f t="shared" si="176"/>
        <v>CHILD DF - VEN 1</v>
      </c>
      <c r="BN221" s="148" t="str">
        <f t="shared" si="177"/>
        <v>Round - 1</v>
      </c>
      <c r="BP221" s="148" t="str">
        <f t="shared" si="178"/>
        <v>no t, f, or sf</v>
      </c>
      <c r="BQ221" s="148" t="str">
        <f t="shared" si="179"/>
        <v/>
      </c>
    </row>
    <row r="222" spans="1:69" ht="15" customHeight="1" x14ac:dyDescent="0.2">
      <c r="A222" s="376">
        <v>220</v>
      </c>
      <c r="B222" s="319" t="s">
        <v>49</v>
      </c>
      <c r="C222" s="319" t="s">
        <v>518</v>
      </c>
      <c r="D222" s="376">
        <v>1</v>
      </c>
      <c r="E222" s="376">
        <v>1</v>
      </c>
      <c r="F222" s="315" t="s">
        <v>770</v>
      </c>
      <c r="G222" s="320">
        <v>43062</v>
      </c>
      <c r="H222" s="317">
        <v>0.50694444444444442</v>
      </c>
      <c r="I222" s="325" t="s">
        <v>770</v>
      </c>
      <c r="J222" s="319" t="s">
        <v>709</v>
      </c>
      <c r="K222" s="319">
        <v>43</v>
      </c>
      <c r="L222" s="433" t="s">
        <v>586</v>
      </c>
      <c r="M222" s="433">
        <v>43</v>
      </c>
      <c r="N222" s="433" t="s">
        <v>588</v>
      </c>
      <c r="O222" s="153" t="str">
        <f>IF(L222&lt;&gt;"",IFERROR(VLOOKUP(B222&amp;L222,Pools!$A$2:$D$130,3,FALSE),""),"")</f>
        <v>Pool B</v>
      </c>
      <c r="P222" s="388">
        <v>6</v>
      </c>
      <c r="Q222" s="388">
        <v>4</v>
      </c>
      <c r="R222" s="306" t="str">
        <f t="shared" si="135"/>
        <v>6-4</v>
      </c>
      <c r="S222" s="153"/>
      <c r="T222" s="148" t="str">
        <f t="shared" si="136"/>
        <v>Completed</v>
      </c>
      <c r="U222" s="153"/>
      <c r="V222" s="153"/>
      <c r="W222" s="387">
        <f t="shared" si="137"/>
        <v>2</v>
      </c>
      <c r="X222" s="387">
        <f t="shared" si="138"/>
        <v>-2</v>
      </c>
      <c r="Y222" s="301">
        <f t="shared" si="139"/>
        <v>2</v>
      </c>
      <c r="Z222" s="301">
        <f t="shared" si="140"/>
        <v>0</v>
      </c>
      <c r="AA222" s="323" t="str">
        <f>CONCATENATE("                x[team1,team2,sport,'",IF(OR(I222="x",I222=""),VLOOKUP('Schedule from TM'!J222,Tables!$P$3:$Q$33,2,FALSE),'Schedule from TM'!I222),",",J222,"','",IF(OR(F222="x",F222=""),VLOOKUP('Schedule from TM'!G222,Tables!$U$3:$V$14,2,FALSE),'Schedule from TM'!F222),",",TEXT(G222,"mm/dd/yyyy"),"','",TEXT(H222,"h:mm:ss AM/PM"),"'].ub=0.0      #",B222)</f>
        <v xml:space="preserve">                x[team1,team2,sport,'11,JCC Basketball Out 2','11,11/23/2017','12:10:00 PM'].ub=0.0      #Ch D Female Basketball</v>
      </c>
      <c r="AB222" s="301" t="str">
        <f t="shared" si="141"/>
        <v>,,Ch D Female Basketball,Pool B,1,CHILD DF - COL 1</v>
      </c>
      <c r="AC222" s="153" t="str">
        <f t="shared" si="142"/>
        <v>Ch D Female BasketballPool BCHILD DF - COL 1</v>
      </c>
      <c r="AD222" s="301" t="str">
        <f t="shared" si="143"/>
        <v>,,Ch D Female Basketball,Pool B,1,CHILD DF - USA 2</v>
      </c>
      <c r="AE222" s="153" t="str">
        <f t="shared" si="144"/>
        <v>Ch D Female BasketballPool BCHILD DF - USA 2</v>
      </c>
      <c r="AF222" s="383">
        <f t="shared" si="145"/>
        <v>1</v>
      </c>
      <c r="AG222" s="383">
        <f t="shared" si="146"/>
        <v>0</v>
      </c>
      <c r="AH222" s="383">
        <f t="shared" si="147"/>
        <v>0</v>
      </c>
      <c r="AI222" s="383">
        <f t="shared" si="148"/>
        <v>0</v>
      </c>
      <c r="AJ222" s="383">
        <f t="shared" si="149"/>
        <v>1</v>
      </c>
      <c r="AK222" s="383">
        <f t="shared" si="150"/>
        <v>0</v>
      </c>
      <c r="AM222" s="148" t="str">
        <f t="shared" si="151"/>
        <v>Schedulled</v>
      </c>
      <c r="AN222" s="148" t="str">
        <f t="shared" si="152"/>
        <v/>
      </c>
      <c r="AO222" s="156">
        <f t="shared" si="153"/>
        <v>43062.506944444445</v>
      </c>
      <c r="AP222" s="148" t="str">
        <f t="shared" si="154"/>
        <v>11/23/2017 12:10-&gt;JCC Basketball Out 2</v>
      </c>
      <c r="AQ222" s="374">
        <f t="shared" si="155"/>
        <v>1</v>
      </c>
      <c r="AR222" s="148" t="str">
        <f t="shared" si="156"/>
        <v>COL1</v>
      </c>
      <c r="AS222" s="148" t="str">
        <f t="shared" si="157"/>
        <v>USA2</v>
      </c>
      <c r="AT222" s="157" t="str">
        <f t="shared" si="158"/>
        <v>COL1-USA2</v>
      </c>
      <c r="AU222" s="157" t="str">
        <f t="shared" si="159"/>
        <v xml:space="preserve">COL1-USA2 </v>
      </c>
      <c r="AV222" s="157" t="str">
        <f t="shared" si="160"/>
        <v>CHILDREN D FEMALE</v>
      </c>
      <c r="AW222" s="157" t="str">
        <f t="shared" si="161"/>
        <v>Basketball</v>
      </c>
      <c r="AX222" s="376">
        <f t="shared" si="162"/>
        <v>220</v>
      </c>
      <c r="AY222" s="148" t="str">
        <f t="shared" si="163"/>
        <v>CHILD DF - COL 1-&gt;CHILD DF - USA 2</v>
      </c>
      <c r="AZ222" s="148" t="str">
        <f t="shared" si="164"/>
        <v>11/23/2017 12:10-&gt;CHILD DF - COL 1</v>
      </c>
      <c r="BA222" s="148" t="str">
        <f t="shared" si="165"/>
        <v>11/23/2017 12:10-&gt;CHILD DF - USA 2</v>
      </c>
      <c r="BB222" s="374">
        <f t="shared" si="166"/>
        <v>1</v>
      </c>
      <c r="BC222" s="374">
        <f t="shared" si="167"/>
        <v>1</v>
      </c>
      <c r="BD222" s="148" t="str">
        <f t="shared" si="168"/>
        <v>no conflict</v>
      </c>
      <c r="BF222" s="148" t="str">
        <f t="shared" si="169"/>
        <v>11/23/2017 12:10-&gt;CHILD DF - COL 1</v>
      </c>
      <c r="BG222" s="148" t="str">
        <f t="shared" si="170"/>
        <v>11/23/2017 12:10-&gt;CHILD DF - USA 2</v>
      </c>
      <c r="BH222" s="148" t="str">
        <f t="shared" si="171"/>
        <v>11/23/2017 12:10-&gt;JCC Basketball Out 2</v>
      </c>
      <c r="BI222" s="148" t="str">
        <f t="shared" si="172"/>
        <v>Basketball in JCC Basketball Out 2 (COL1-USA2)</v>
      </c>
      <c r="BJ222" s="148" t="str">
        <f t="shared" si="173"/>
        <v>Ch D Female Basketball-- CHILD DF - COL 1 vs. CHILD DF - USA 2</v>
      </c>
      <c r="BK222" s="148" t="str">
        <f t="shared" si="174"/>
        <v>Basketball</v>
      </c>
      <c r="BL222" s="148" t="str">
        <f t="shared" si="175"/>
        <v>CHILD DF - COL 1</v>
      </c>
      <c r="BM222" s="148" t="str">
        <f t="shared" si="176"/>
        <v>CHILD DF - USA 2</v>
      </c>
      <c r="BN222" s="148" t="str">
        <f t="shared" si="177"/>
        <v>Round - 1</v>
      </c>
      <c r="BP222" s="148" t="str">
        <f t="shared" si="178"/>
        <v>no t, f, or sf</v>
      </c>
      <c r="BQ222" s="148" t="str">
        <f t="shared" si="179"/>
        <v/>
      </c>
    </row>
    <row r="223" spans="1:69" ht="15" customHeight="1" x14ac:dyDescent="0.2">
      <c r="A223" s="376">
        <v>221</v>
      </c>
      <c r="B223" s="319" t="s">
        <v>49</v>
      </c>
      <c r="C223" s="319" t="s">
        <v>518</v>
      </c>
      <c r="D223" s="376">
        <v>1</v>
      </c>
      <c r="E223" s="376">
        <v>1</v>
      </c>
      <c r="F223" s="315" t="s">
        <v>770</v>
      </c>
      <c r="G223" s="320">
        <v>43065</v>
      </c>
      <c r="H223" s="418">
        <v>0.36805555555555558</v>
      </c>
      <c r="I223" s="325" t="s">
        <v>770</v>
      </c>
      <c r="J223" s="319" t="s">
        <v>709</v>
      </c>
      <c r="K223" s="441">
        <v>43</v>
      </c>
      <c r="L223" t="s">
        <v>589</v>
      </c>
      <c r="M223">
        <v>43</v>
      </c>
      <c r="N223" t="s">
        <v>725</v>
      </c>
      <c r="O223" s="153" t="str">
        <f>IF(L223&lt;&gt;"",IFERROR(VLOOKUP(B223&amp;L223,Pools!$A$2:$D$130,3,FALSE),""),"")</f>
        <v>Pool A</v>
      </c>
      <c r="P223" s="388">
        <v>14</v>
      </c>
      <c r="Q223" s="388">
        <v>8</v>
      </c>
      <c r="R223" s="306" t="str">
        <f t="shared" si="135"/>
        <v>14-8</v>
      </c>
      <c r="S223" s="153"/>
      <c r="T223" s="148" t="str">
        <f t="shared" si="136"/>
        <v>Completed</v>
      </c>
      <c r="U223" s="153"/>
      <c r="V223" s="153"/>
      <c r="W223" s="387">
        <f t="shared" si="137"/>
        <v>6</v>
      </c>
      <c r="X223" s="387">
        <f t="shared" si="138"/>
        <v>-6</v>
      </c>
      <c r="Y223" s="301">
        <f t="shared" si="139"/>
        <v>2</v>
      </c>
      <c r="Z223" s="301">
        <f t="shared" si="140"/>
        <v>0</v>
      </c>
      <c r="AA223" s="323" t="str">
        <f>CONCATENATE("                x[team1,team2,sport,'",IF(OR(I223="x",I223=""),VLOOKUP('Schedule from TM'!J223,Tables!$P$3:$Q$33,2,FALSE),'Schedule from TM'!I223),",",J223,"','",IF(OR(F223="x",F223=""),VLOOKUP('Schedule from TM'!G223,Tables!$U$3:$V$14,2,FALSE),'Schedule from TM'!F223),",",TEXT(G223,"mm/dd/yyyy"),"','",TEXT(H223,"h:mm:ss AM/PM"),"'].ub=0.0      #",B223)</f>
        <v xml:space="preserve">                x[team1,team2,sport,'11,JCC Basketball Out 2','21,11/26/2017','8:50:00 AM'].ub=0.0      #Ch D Female Basketball</v>
      </c>
      <c r="AB223" s="301" t="str">
        <f t="shared" si="141"/>
        <v>,,Ch D Female Basketball,Pool A,1,CHILD DF - VEN 1</v>
      </c>
      <c r="AC223" s="153" t="str">
        <f t="shared" si="142"/>
        <v>Ch D Female BasketballPool ACHILD DF - VEN 1</v>
      </c>
      <c r="AD223" s="301" t="str">
        <f t="shared" si="143"/>
        <v>,,Ch D Female Basketball,Pool A,1,CHILD DF - ISR</v>
      </c>
      <c r="AE223" s="153" t="str">
        <f t="shared" si="144"/>
        <v>Ch D Female BasketballPool ACHILD DF - ISR</v>
      </c>
      <c r="AF223" s="383">
        <f t="shared" si="145"/>
        <v>1</v>
      </c>
      <c r="AG223" s="383">
        <f t="shared" si="146"/>
        <v>0</v>
      </c>
      <c r="AH223" s="383">
        <f t="shared" si="147"/>
        <v>0</v>
      </c>
      <c r="AI223" s="383">
        <f t="shared" si="148"/>
        <v>0</v>
      </c>
      <c r="AJ223" s="383">
        <f t="shared" si="149"/>
        <v>1</v>
      </c>
      <c r="AK223" s="383">
        <f t="shared" si="150"/>
        <v>0</v>
      </c>
      <c r="AM223" s="148" t="str">
        <f t="shared" si="151"/>
        <v>Schedulled</v>
      </c>
      <c r="AN223" s="148" t="str">
        <f t="shared" si="152"/>
        <v/>
      </c>
      <c r="AO223" s="156">
        <f t="shared" si="153"/>
        <v>43065.368055555555</v>
      </c>
      <c r="AP223" s="148" t="str">
        <f t="shared" si="154"/>
        <v>11/26/2017 08:50-&gt;JCC Basketball Out 2</v>
      </c>
      <c r="AQ223" s="374">
        <f t="shared" si="155"/>
        <v>1</v>
      </c>
      <c r="AR223" s="148" t="str">
        <f t="shared" si="156"/>
        <v>VEN1</v>
      </c>
      <c r="AS223" s="148" t="str">
        <f t="shared" si="157"/>
        <v>ISR</v>
      </c>
      <c r="AT223" s="157" t="str">
        <f t="shared" si="158"/>
        <v>VEN1-ISR</v>
      </c>
      <c r="AU223" s="157" t="str">
        <f t="shared" si="159"/>
        <v xml:space="preserve">VEN1-ISR </v>
      </c>
      <c r="AV223" s="157" t="str">
        <f t="shared" si="160"/>
        <v>CHILDREN D FEMALE</v>
      </c>
      <c r="AW223" s="157" t="str">
        <f t="shared" si="161"/>
        <v>Basketball</v>
      </c>
      <c r="AX223" s="376">
        <f t="shared" si="162"/>
        <v>221</v>
      </c>
      <c r="AY223" s="148" t="str">
        <f t="shared" si="163"/>
        <v>CHILD DF - VEN 1-&gt;CHILD DF - ISR</v>
      </c>
      <c r="AZ223" s="148" t="str">
        <f t="shared" si="164"/>
        <v>11/26/2017 08:50-&gt;CHILD DF - VEN 1</v>
      </c>
      <c r="BA223" s="148" t="str">
        <f t="shared" si="165"/>
        <v>11/26/2017 08:50-&gt;CHILD DF - ISR</v>
      </c>
      <c r="BB223" s="374">
        <f t="shared" si="166"/>
        <v>1</v>
      </c>
      <c r="BC223" s="374">
        <f t="shared" si="167"/>
        <v>1</v>
      </c>
      <c r="BD223" s="148" t="str">
        <f t="shared" si="168"/>
        <v>no conflict</v>
      </c>
      <c r="BF223" s="148" t="str">
        <f t="shared" si="169"/>
        <v>11/26/2017 08:50-&gt;CHILD DF - VEN 1</v>
      </c>
      <c r="BG223" s="148" t="str">
        <f t="shared" si="170"/>
        <v>11/26/2017 08:50-&gt;CHILD DF - ISR</v>
      </c>
      <c r="BH223" s="148" t="str">
        <f t="shared" si="171"/>
        <v>11/26/2017 08:50-&gt;JCC Basketball Out 2</v>
      </c>
      <c r="BI223" s="148" t="str">
        <f t="shared" si="172"/>
        <v>Basketball in JCC Basketball Out 2 (VEN1-ISR)</v>
      </c>
      <c r="BJ223" s="148" t="str">
        <f t="shared" si="173"/>
        <v>Ch D Female Basketball-- CHILD DF - VEN 1 vs. CHILD DF - ISR</v>
      </c>
      <c r="BK223" s="148" t="str">
        <f t="shared" si="174"/>
        <v>Basketball</v>
      </c>
      <c r="BL223" s="148" t="str">
        <f t="shared" si="175"/>
        <v>CHILD DF - VEN 1</v>
      </c>
      <c r="BM223" s="148" t="str">
        <f t="shared" si="176"/>
        <v>CHILD DF - ISR</v>
      </c>
      <c r="BN223" s="148" t="str">
        <f t="shared" si="177"/>
        <v>Round - 1</v>
      </c>
      <c r="BP223" s="148" t="str">
        <f t="shared" si="178"/>
        <v>no t, f, or sf</v>
      </c>
      <c r="BQ223" s="148" t="str">
        <f t="shared" si="179"/>
        <v/>
      </c>
    </row>
    <row r="224" spans="1:69" ht="15" customHeight="1" x14ac:dyDescent="0.2">
      <c r="A224" s="376">
        <v>222</v>
      </c>
      <c r="B224" s="319" t="s">
        <v>49</v>
      </c>
      <c r="C224" s="319" t="s">
        <v>518</v>
      </c>
      <c r="D224" s="376">
        <v>1</v>
      </c>
      <c r="E224" s="376">
        <v>1</v>
      </c>
      <c r="F224" s="315" t="s">
        <v>770</v>
      </c>
      <c r="G224" s="320">
        <v>43063</v>
      </c>
      <c r="H224" s="418">
        <v>0.33333333333333331</v>
      </c>
      <c r="I224" s="325" t="s">
        <v>770</v>
      </c>
      <c r="J224" s="296" t="s">
        <v>709</v>
      </c>
      <c r="K224" s="319">
        <v>43</v>
      </c>
      <c r="L224" t="s">
        <v>586</v>
      </c>
      <c r="M224">
        <v>43</v>
      </c>
      <c r="N224" t="s">
        <v>724</v>
      </c>
      <c r="O224" s="153" t="str">
        <f>IF(L224&lt;&gt;"",IFERROR(VLOOKUP(B224&amp;L224,Pools!$A$2:$D$130,3,FALSE),""),"")</f>
        <v>Pool B</v>
      </c>
      <c r="P224" s="388">
        <v>15</v>
      </c>
      <c r="Q224" s="388">
        <v>0</v>
      </c>
      <c r="R224" s="306" t="str">
        <f t="shared" si="135"/>
        <v>15-0</v>
      </c>
      <c r="S224" s="153"/>
      <c r="T224" s="148" t="str">
        <f t="shared" si="136"/>
        <v>Completed</v>
      </c>
      <c r="U224" s="153"/>
      <c r="V224" s="153"/>
      <c r="W224" s="387">
        <f t="shared" si="137"/>
        <v>15</v>
      </c>
      <c r="X224" s="387">
        <f t="shared" si="138"/>
        <v>-15</v>
      </c>
      <c r="Y224" s="301">
        <f t="shared" si="139"/>
        <v>2</v>
      </c>
      <c r="Z224" s="301">
        <f t="shared" si="140"/>
        <v>0</v>
      </c>
      <c r="AA224" s="323" t="str">
        <f>CONCATENATE("                x[team1,team2,sport,'",IF(OR(I224="x",I224=""),VLOOKUP('Schedule from TM'!J224,Tables!$P$3:$Q$33,2,FALSE),'Schedule from TM'!I224),",",J224,"','",IF(OR(F224="x",F224=""),VLOOKUP('Schedule from TM'!G224,Tables!$U$3:$V$14,2,FALSE),'Schedule from TM'!F224),",",TEXT(G224,"mm/dd/yyyy"),"','",TEXT(H224,"h:mm:ss AM/PM"),"'].ub=0.0      #",B224)</f>
        <v xml:space="preserve">                x[team1,team2,sport,'11,JCC Basketball Out 2','11,11/24/2017','8:00:00 AM'].ub=0.0      #Ch D Female Basketball</v>
      </c>
      <c r="AB224" s="301" t="str">
        <f t="shared" si="141"/>
        <v>,,Ch D Female Basketball,Pool B,1,CHILD DF - COL 1</v>
      </c>
      <c r="AC224" s="153" t="str">
        <f t="shared" si="142"/>
        <v>Ch D Female BasketballPool BCHILD DF - COL 1</v>
      </c>
      <c r="AD224" s="301" t="str">
        <f t="shared" si="143"/>
        <v>,,Ch D Female Basketball,Pool B,1,CHILD DF - MEX</v>
      </c>
      <c r="AE224" s="153" t="str">
        <f t="shared" si="144"/>
        <v>Ch D Female BasketballPool BCHILD DF - MEX</v>
      </c>
      <c r="AF224" s="383">
        <f t="shared" si="145"/>
        <v>1</v>
      </c>
      <c r="AG224" s="383">
        <f t="shared" si="146"/>
        <v>0</v>
      </c>
      <c r="AH224" s="383">
        <f t="shared" si="147"/>
        <v>0</v>
      </c>
      <c r="AI224" s="383">
        <f t="shared" si="148"/>
        <v>0</v>
      </c>
      <c r="AJ224" s="383">
        <f t="shared" si="149"/>
        <v>1</v>
      </c>
      <c r="AK224" s="383">
        <f t="shared" si="150"/>
        <v>0</v>
      </c>
      <c r="AM224" s="148" t="str">
        <f t="shared" si="151"/>
        <v>Schedulled</v>
      </c>
      <c r="AN224" s="148" t="str">
        <f t="shared" si="152"/>
        <v/>
      </c>
      <c r="AO224" s="156">
        <f t="shared" si="153"/>
        <v>43063.333333333336</v>
      </c>
      <c r="AP224" s="148" t="str">
        <f t="shared" si="154"/>
        <v>11/24/2017 08:00-&gt;JCC Basketball Out 2</v>
      </c>
      <c r="AQ224" s="374">
        <f t="shared" si="155"/>
        <v>1</v>
      </c>
      <c r="AR224" s="148" t="str">
        <f t="shared" si="156"/>
        <v>COL1</v>
      </c>
      <c r="AS224" s="148" t="str">
        <f t="shared" si="157"/>
        <v>MEX</v>
      </c>
      <c r="AT224" s="157" t="str">
        <f t="shared" si="158"/>
        <v>COL1-MEX</v>
      </c>
      <c r="AU224" s="157" t="str">
        <f t="shared" si="159"/>
        <v xml:space="preserve">COL1-MEX </v>
      </c>
      <c r="AV224" s="157" t="str">
        <f t="shared" si="160"/>
        <v>CHILDREN D FEMALE</v>
      </c>
      <c r="AW224" s="157" t="str">
        <f t="shared" si="161"/>
        <v>Basketball</v>
      </c>
      <c r="AX224" s="376">
        <f t="shared" si="162"/>
        <v>222</v>
      </c>
      <c r="AY224" s="148" t="str">
        <f t="shared" si="163"/>
        <v>CHILD DF - COL 1-&gt;CHILD DF - MEX</v>
      </c>
      <c r="AZ224" s="148" t="str">
        <f t="shared" si="164"/>
        <v>11/24/2017 08:00-&gt;CHILD DF - COL 1</v>
      </c>
      <c r="BA224" s="148" t="str">
        <f t="shared" si="165"/>
        <v>11/24/2017 08:00-&gt;CHILD DF - MEX</v>
      </c>
      <c r="BB224" s="374">
        <f t="shared" si="166"/>
        <v>1</v>
      </c>
      <c r="BC224" s="374">
        <f t="shared" si="167"/>
        <v>1</v>
      </c>
      <c r="BD224" s="148" t="str">
        <f t="shared" si="168"/>
        <v>no conflict</v>
      </c>
      <c r="BF224" s="148" t="str">
        <f t="shared" si="169"/>
        <v>11/24/2017 08:00-&gt;CHILD DF - COL 1</v>
      </c>
      <c r="BG224" s="148" t="str">
        <f t="shared" si="170"/>
        <v>11/24/2017 08:00-&gt;CHILD DF - MEX</v>
      </c>
      <c r="BH224" s="148" t="str">
        <f t="shared" si="171"/>
        <v>11/24/2017 08:00-&gt;JCC Basketball Out 2</v>
      </c>
      <c r="BI224" s="148" t="str">
        <f t="shared" si="172"/>
        <v>Basketball in JCC Basketball Out 2 (COL1-MEX)</v>
      </c>
      <c r="BJ224" s="148" t="str">
        <f t="shared" si="173"/>
        <v>Ch D Female Basketball-- CHILD DF - COL 1 vs. CHILD DF - MEX</v>
      </c>
      <c r="BK224" s="148" t="str">
        <f t="shared" si="174"/>
        <v>Basketball</v>
      </c>
      <c r="BL224" s="148" t="str">
        <f t="shared" si="175"/>
        <v>CHILD DF - COL 1</v>
      </c>
      <c r="BM224" s="148" t="str">
        <f t="shared" si="176"/>
        <v>CHILD DF - MEX</v>
      </c>
      <c r="BN224" s="148" t="str">
        <f t="shared" si="177"/>
        <v>Round - 1</v>
      </c>
      <c r="BP224" s="148" t="str">
        <f t="shared" si="178"/>
        <v>no t, f, or sf</v>
      </c>
      <c r="BQ224" s="148" t="str">
        <f t="shared" si="179"/>
        <v/>
      </c>
    </row>
    <row r="225" spans="1:69" ht="15" customHeight="1" x14ac:dyDescent="0.2">
      <c r="A225" s="376">
        <v>223</v>
      </c>
      <c r="B225" s="444" t="s">
        <v>49</v>
      </c>
      <c r="C225" s="444" t="s">
        <v>518</v>
      </c>
      <c r="D225" s="451">
        <v>1</v>
      </c>
      <c r="E225" s="451">
        <v>1</v>
      </c>
      <c r="F225" s="315" t="s">
        <v>770</v>
      </c>
      <c r="G225" s="445">
        <v>43063</v>
      </c>
      <c r="H225" s="454">
        <v>0.61111111111111105</v>
      </c>
      <c r="I225" s="325" t="s">
        <v>770</v>
      </c>
      <c r="J225" s="443" t="s">
        <v>709</v>
      </c>
      <c r="K225" s="444">
        <v>43</v>
      </c>
      <c r="L225" t="s">
        <v>588</v>
      </c>
      <c r="M225">
        <v>43</v>
      </c>
      <c r="N225" t="s">
        <v>590</v>
      </c>
      <c r="O225" s="153" t="str">
        <f>IF(L225&lt;&gt;"",IFERROR(VLOOKUP(B225&amp;L225,Pools!$A$2:$D$130,3,FALSE),""),"")</f>
        <v>Pool B</v>
      </c>
      <c r="P225" s="388">
        <v>2</v>
      </c>
      <c r="Q225" s="388">
        <v>0</v>
      </c>
      <c r="R225" s="306" t="str">
        <f t="shared" si="135"/>
        <v>2-0</v>
      </c>
      <c r="S225" s="153"/>
      <c r="T225" s="148" t="str">
        <f t="shared" si="136"/>
        <v>Completed</v>
      </c>
      <c r="U225" s="153"/>
      <c r="V225" s="153"/>
      <c r="W225" s="387">
        <f t="shared" si="137"/>
        <v>2</v>
      </c>
      <c r="X225" s="387">
        <f t="shared" si="138"/>
        <v>-2</v>
      </c>
      <c r="Y225" s="301">
        <f t="shared" si="139"/>
        <v>2</v>
      </c>
      <c r="Z225" s="301">
        <f t="shared" si="140"/>
        <v>0</v>
      </c>
      <c r="AA225" s="323" t="str">
        <f>CONCATENATE("                x[team1,team2,sport,'",IF(OR(I225="x",I225=""),VLOOKUP('Schedule from TM'!J225,Tables!$P$3:$Q$33,2,FALSE),'Schedule from TM'!I225),",",J225,"','",IF(OR(F225="x",F225=""),VLOOKUP('Schedule from TM'!G225,Tables!$U$3:$V$14,2,FALSE),'Schedule from TM'!F225),",",TEXT(G225,"mm/dd/yyyy"),"','",TEXT(H225,"h:mm:ss AM/PM"),"'].ub=0.0      #",B225)</f>
        <v xml:space="preserve">                x[team1,team2,sport,'11,JCC Basketball Out 2','11,11/24/2017','2:40:00 PM'].ub=0.0      #Ch D Female Basketball</v>
      </c>
      <c r="AB225" s="301" t="str">
        <f t="shared" si="141"/>
        <v>,,Ch D Female Basketball,Pool B,1,CHILD DF - USA 2</v>
      </c>
      <c r="AC225" s="153" t="str">
        <f t="shared" si="142"/>
        <v>Ch D Female BasketballPool BCHILD DF - USA 2</v>
      </c>
      <c r="AD225" s="301" t="str">
        <f t="shared" si="143"/>
        <v>,,Ch D Female Basketball,Pool B,1,CHILD DF - VEN 2</v>
      </c>
      <c r="AE225" s="153" t="str">
        <f t="shared" si="144"/>
        <v>Ch D Female BasketballPool BCHILD DF - VEN 2</v>
      </c>
      <c r="AF225" s="383">
        <f t="shared" si="145"/>
        <v>1</v>
      </c>
      <c r="AG225" s="383">
        <f t="shared" si="146"/>
        <v>0</v>
      </c>
      <c r="AH225" s="383">
        <f t="shared" si="147"/>
        <v>0</v>
      </c>
      <c r="AI225" s="383">
        <f t="shared" si="148"/>
        <v>0</v>
      </c>
      <c r="AJ225" s="383">
        <f t="shared" si="149"/>
        <v>1</v>
      </c>
      <c r="AK225" s="383">
        <f t="shared" si="150"/>
        <v>0</v>
      </c>
      <c r="AM225" s="148" t="str">
        <f t="shared" si="151"/>
        <v>Schedulled</v>
      </c>
      <c r="AN225" s="148" t="str">
        <f t="shared" si="152"/>
        <v/>
      </c>
      <c r="AO225" s="156">
        <f t="shared" si="153"/>
        <v>43063.611111111109</v>
      </c>
      <c r="AP225" s="148" t="str">
        <f t="shared" si="154"/>
        <v>11/24/2017 14:40-&gt;JCC Basketball Out 2</v>
      </c>
      <c r="AQ225" s="374">
        <f t="shared" si="155"/>
        <v>1</v>
      </c>
      <c r="AR225" s="148" t="str">
        <f t="shared" si="156"/>
        <v>USA2</v>
      </c>
      <c r="AS225" s="148" t="str">
        <f t="shared" si="157"/>
        <v>VEN2</v>
      </c>
      <c r="AT225" s="157" t="str">
        <f t="shared" si="158"/>
        <v>USA2-VEN2</v>
      </c>
      <c r="AU225" s="157" t="str">
        <f t="shared" si="159"/>
        <v xml:space="preserve">USA2-VEN2 </v>
      </c>
      <c r="AV225" s="157" t="str">
        <f t="shared" si="160"/>
        <v>CHILDREN D FEMALE</v>
      </c>
      <c r="AW225" s="157" t="str">
        <f t="shared" si="161"/>
        <v>Basketball</v>
      </c>
      <c r="AX225" s="376">
        <f t="shared" si="162"/>
        <v>223</v>
      </c>
      <c r="AY225" s="148" t="str">
        <f t="shared" si="163"/>
        <v>CHILD DF - USA 2-&gt;CHILD DF - VEN 2</v>
      </c>
      <c r="AZ225" s="148" t="str">
        <f t="shared" si="164"/>
        <v>11/24/2017 14:40-&gt;CHILD DF - USA 2</v>
      </c>
      <c r="BA225" s="148" t="str">
        <f t="shared" si="165"/>
        <v>11/24/2017 14:40-&gt;CHILD DF - VEN 2</v>
      </c>
      <c r="BB225" s="374">
        <f t="shared" si="166"/>
        <v>1</v>
      </c>
      <c r="BC225" s="374">
        <f t="shared" si="167"/>
        <v>1</v>
      </c>
      <c r="BD225" s="148" t="str">
        <f t="shared" si="168"/>
        <v>no conflict</v>
      </c>
      <c r="BF225" s="148" t="str">
        <f t="shared" si="169"/>
        <v>11/24/2017 14:40-&gt;CHILD DF - USA 2</v>
      </c>
      <c r="BG225" s="148" t="str">
        <f t="shared" si="170"/>
        <v>11/24/2017 14:40-&gt;CHILD DF - VEN 2</v>
      </c>
      <c r="BH225" s="148" t="str">
        <f t="shared" si="171"/>
        <v>11/24/2017 14:40-&gt;JCC Basketball Out 2</v>
      </c>
      <c r="BI225" s="148" t="str">
        <f t="shared" si="172"/>
        <v>Basketball in JCC Basketball Out 2 (USA2-VEN2)</v>
      </c>
      <c r="BJ225" s="148" t="str">
        <f t="shared" si="173"/>
        <v>Ch D Female Basketball-- CHILD DF - USA 2 vs. CHILD DF - VEN 2</v>
      </c>
      <c r="BK225" s="148" t="str">
        <f t="shared" si="174"/>
        <v>Basketball</v>
      </c>
      <c r="BL225" s="148" t="str">
        <f t="shared" si="175"/>
        <v>CHILD DF - USA 2</v>
      </c>
      <c r="BM225" s="148" t="str">
        <f t="shared" si="176"/>
        <v>CHILD DF - VEN 2</v>
      </c>
      <c r="BN225" s="148" t="str">
        <f t="shared" si="177"/>
        <v>Round - 1</v>
      </c>
      <c r="BP225" s="148" t="str">
        <f t="shared" si="178"/>
        <v>no t, f, or sf</v>
      </c>
      <c r="BQ225" s="148" t="str">
        <f t="shared" si="179"/>
        <v/>
      </c>
    </row>
    <row r="226" spans="1:69" ht="15" customHeight="1" x14ac:dyDescent="0.2">
      <c r="A226" s="376">
        <v>224</v>
      </c>
      <c r="B226" s="319" t="s">
        <v>49</v>
      </c>
      <c r="C226" s="319" t="s">
        <v>518</v>
      </c>
      <c r="D226" s="376">
        <v>1</v>
      </c>
      <c r="E226" s="376">
        <v>1</v>
      </c>
      <c r="F226" s="315" t="s">
        <v>770</v>
      </c>
      <c r="G226" s="320">
        <v>43063</v>
      </c>
      <c r="H226" s="454">
        <v>0.47222222222222227</v>
      </c>
      <c r="I226" s="325" t="s">
        <v>770</v>
      </c>
      <c r="J226" s="319" t="s">
        <v>709</v>
      </c>
      <c r="K226" s="441">
        <v>43</v>
      </c>
      <c r="L226" t="s">
        <v>587</v>
      </c>
      <c r="M226">
        <v>43</v>
      </c>
      <c r="N226" t="s">
        <v>725</v>
      </c>
      <c r="O226" s="153" t="str">
        <f>IF(L226&lt;&gt;"",IFERROR(VLOOKUP(B226&amp;L226,Pools!$A$2:$D$130,3,FALSE),""),"")</f>
        <v>Pool A</v>
      </c>
      <c r="P226" s="388">
        <v>6</v>
      </c>
      <c r="Q226" s="388">
        <v>10</v>
      </c>
      <c r="R226" s="306" t="str">
        <f t="shared" si="135"/>
        <v>6-10</v>
      </c>
      <c r="S226" s="153"/>
      <c r="T226" s="148" t="str">
        <f t="shared" si="136"/>
        <v>Completed</v>
      </c>
      <c r="U226" s="153"/>
      <c r="V226" s="153"/>
      <c r="W226" s="387">
        <f t="shared" si="137"/>
        <v>-4</v>
      </c>
      <c r="X226" s="387">
        <f t="shared" si="138"/>
        <v>4</v>
      </c>
      <c r="Y226" s="301">
        <f t="shared" si="139"/>
        <v>0</v>
      </c>
      <c r="Z226" s="301">
        <f t="shared" si="140"/>
        <v>2</v>
      </c>
      <c r="AA226" s="323" t="str">
        <f>CONCATENATE("                x[team1,team2,sport,'",IF(OR(I226="x",I226=""),VLOOKUP('Schedule from TM'!J226,Tables!$P$3:$Q$33,2,FALSE),'Schedule from TM'!I226),",",J226,"','",IF(OR(F226="x",F226=""),VLOOKUP('Schedule from TM'!G226,Tables!$U$3:$V$14,2,FALSE),'Schedule from TM'!F226),",",TEXT(G226,"mm/dd/yyyy"),"','",TEXT(H226,"h:mm:ss AM/PM"),"'].ub=0.0      #",B226)</f>
        <v xml:space="preserve">                x[team1,team2,sport,'11,JCC Basketball Out 2','11,11/24/2017','11:20:00 AM'].ub=0.0      #Ch D Female Basketball</v>
      </c>
      <c r="AB226" s="301" t="str">
        <f t="shared" si="141"/>
        <v>,,Ch D Female Basketball,Pool A,1,CHILD DF - USA 1</v>
      </c>
      <c r="AC226" s="153" t="str">
        <f t="shared" si="142"/>
        <v>Ch D Female BasketballPool ACHILD DF - USA 1</v>
      </c>
      <c r="AD226" s="301" t="str">
        <f t="shared" si="143"/>
        <v>,,Ch D Female Basketball,Pool A,1,CHILD DF - ISR</v>
      </c>
      <c r="AE226" s="153" t="str">
        <f t="shared" si="144"/>
        <v>Ch D Female BasketballPool ACHILD DF - ISR</v>
      </c>
      <c r="AF226" s="383">
        <f t="shared" si="145"/>
        <v>0</v>
      </c>
      <c r="AG226" s="383">
        <f t="shared" si="146"/>
        <v>1</v>
      </c>
      <c r="AH226" s="383">
        <f t="shared" si="147"/>
        <v>0</v>
      </c>
      <c r="AI226" s="383">
        <f t="shared" si="148"/>
        <v>1</v>
      </c>
      <c r="AJ226" s="383">
        <f t="shared" si="149"/>
        <v>0</v>
      </c>
      <c r="AK226" s="383">
        <f t="shared" si="150"/>
        <v>0</v>
      </c>
      <c r="AM226" s="148" t="str">
        <f t="shared" si="151"/>
        <v>Schedulled</v>
      </c>
      <c r="AN226" s="148" t="str">
        <f t="shared" si="152"/>
        <v/>
      </c>
      <c r="AO226" s="156">
        <f t="shared" si="153"/>
        <v>43063.472222222219</v>
      </c>
      <c r="AP226" s="148" t="str">
        <f t="shared" si="154"/>
        <v>11/24/2017 11:20-&gt;JCC Basketball Out 2</v>
      </c>
      <c r="AQ226" s="374">
        <f t="shared" si="155"/>
        <v>1</v>
      </c>
      <c r="AR226" s="148" t="str">
        <f t="shared" si="156"/>
        <v>USA1</v>
      </c>
      <c r="AS226" s="148" t="str">
        <f t="shared" si="157"/>
        <v>ISR</v>
      </c>
      <c r="AT226" s="157" t="str">
        <f t="shared" si="158"/>
        <v>USA1-ISR</v>
      </c>
      <c r="AU226" s="157" t="str">
        <f t="shared" si="159"/>
        <v xml:space="preserve">USA1-ISR </v>
      </c>
      <c r="AV226" s="157" t="str">
        <f t="shared" si="160"/>
        <v>CHILDREN D FEMALE</v>
      </c>
      <c r="AW226" s="157" t="str">
        <f t="shared" si="161"/>
        <v>Basketball</v>
      </c>
      <c r="AX226" s="376">
        <f t="shared" si="162"/>
        <v>224</v>
      </c>
      <c r="AY226" s="148" t="str">
        <f t="shared" si="163"/>
        <v>CHILD DF - USA 1-&gt;CHILD DF - ISR</v>
      </c>
      <c r="AZ226" s="148" t="str">
        <f t="shared" si="164"/>
        <v>11/24/2017 11:20-&gt;CHILD DF - USA 1</v>
      </c>
      <c r="BA226" s="148" t="str">
        <f t="shared" si="165"/>
        <v>11/24/2017 11:20-&gt;CHILD DF - ISR</v>
      </c>
      <c r="BB226" s="374">
        <f t="shared" si="166"/>
        <v>1</v>
      </c>
      <c r="BC226" s="374">
        <f t="shared" si="167"/>
        <v>1</v>
      </c>
      <c r="BD226" s="148" t="str">
        <f t="shared" si="168"/>
        <v>no conflict</v>
      </c>
      <c r="BF226" s="148" t="str">
        <f t="shared" si="169"/>
        <v>11/24/2017 11:20-&gt;CHILD DF - USA 1</v>
      </c>
      <c r="BG226" s="148" t="str">
        <f t="shared" si="170"/>
        <v>11/24/2017 11:20-&gt;CHILD DF - ISR</v>
      </c>
      <c r="BH226" s="148" t="str">
        <f t="shared" si="171"/>
        <v>11/24/2017 11:20-&gt;JCC Basketball Out 2</v>
      </c>
      <c r="BI226" s="148" t="str">
        <f t="shared" si="172"/>
        <v>Basketball in JCC Basketball Out 2 (USA1-ISR)</v>
      </c>
      <c r="BJ226" s="148" t="str">
        <f t="shared" si="173"/>
        <v>Ch D Female Basketball-- CHILD DF - USA 1 vs. CHILD DF - ISR</v>
      </c>
      <c r="BK226" s="148" t="str">
        <f t="shared" si="174"/>
        <v>Basketball</v>
      </c>
      <c r="BL226" s="148" t="str">
        <f t="shared" si="175"/>
        <v>CHILD DF - USA 1</v>
      </c>
      <c r="BM226" s="148" t="str">
        <f t="shared" si="176"/>
        <v>CHILD DF - ISR</v>
      </c>
      <c r="BN226" s="148" t="str">
        <f t="shared" si="177"/>
        <v>Round - 1</v>
      </c>
      <c r="BP226" s="148" t="str">
        <f t="shared" si="178"/>
        <v>no t, f, or sf</v>
      </c>
      <c r="BQ226" s="148" t="str">
        <f t="shared" si="179"/>
        <v/>
      </c>
    </row>
    <row r="227" spans="1:69" ht="15" customHeight="1" x14ac:dyDescent="0.2">
      <c r="A227" s="376">
        <v>225</v>
      </c>
      <c r="B227" s="444" t="s">
        <v>49</v>
      </c>
      <c r="C227" s="444" t="s">
        <v>518</v>
      </c>
      <c r="D227" s="451">
        <v>1</v>
      </c>
      <c r="E227" s="451">
        <v>1</v>
      </c>
      <c r="F227" s="315" t="s">
        <v>770</v>
      </c>
      <c r="G227" s="445">
        <v>43063</v>
      </c>
      <c r="H227" s="454">
        <v>0.54166666666666663</v>
      </c>
      <c r="I227" s="325" t="s">
        <v>770</v>
      </c>
      <c r="J227" s="444" t="s">
        <v>709</v>
      </c>
      <c r="K227" s="315">
        <v>43</v>
      </c>
      <c r="L227" t="s">
        <v>583</v>
      </c>
      <c r="M227">
        <v>43</v>
      </c>
      <c r="N227" t="s">
        <v>587</v>
      </c>
      <c r="O227" s="153" t="str">
        <f>IF(L227&lt;&gt;"",IFERROR(VLOOKUP(B227&amp;L227,Pools!$A$2:$D$130,3,FALSE),""),"")</f>
        <v>Pool A</v>
      </c>
      <c r="P227" s="388">
        <v>10</v>
      </c>
      <c r="Q227" s="388">
        <v>6</v>
      </c>
      <c r="R227" s="306" t="str">
        <f t="shared" si="135"/>
        <v>10-6</v>
      </c>
      <c r="S227" s="153"/>
      <c r="T227" s="148" t="str">
        <f t="shared" si="136"/>
        <v>Completed</v>
      </c>
      <c r="U227" s="153"/>
      <c r="V227" s="153"/>
      <c r="W227" s="387">
        <f t="shared" si="137"/>
        <v>4</v>
      </c>
      <c r="X227" s="387">
        <f t="shared" si="138"/>
        <v>-4</v>
      </c>
      <c r="Y227" s="301">
        <f t="shared" si="139"/>
        <v>2</v>
      </c>
      <c r="Z227" s="301">
        <f t="shared" si="140"/>
        <v>0</v>
      </c>
      <c r="AA227" s="323" t="str">
        <f>CONCATENATE("                x[team1,team2,sport,'",IF(OR(I227="x",I227=""),VLOOKUP('Schedule from TM'!J227,Tables!$P$3:$Q$33,2,FALSE),'Schedule from TM'!I227),",",J227,"','",IF(OR(F227="x",F227=""),VLOOKUP('Schedule from TM'!G227,Tables!$U$3:$V$14,2,FALSE),'Schedule from TM'!F227),",",TEXT(G227,"mm/dd/yyyy"),"','",TEXT(H227,"h:mm:ss AM/PM"),"'].ub=0.0      #",B227)</f>
        <v xml:space="preserve">                x[team1,team2,sport,'11,JCC Basketball Out 2','11,11/24/2017','1:00:00 PM'].ub=0.0      #Ch D Female Basketball</v>
      </c>
      <c r="AB227" s="301" t="str">
        <f t="shared" si="141"/>
        <v>,,Ch D Female Basketball,Pool A,1,CHILD DF - ARG 1</v>
      </c>
      <c r="AC227" s="153" t="str">
        <f t="shared" si="142"/>
        <v>Ch D Female BasketballPool ACHILD DF - ARG 1</v>
      </c>
      <c r="AD227" s="301" t="str">
        <f t="shared" si="143"/>
        <v>,,Ch D Female Basketball,Pool A,1,CHILD DF - USA 1</v>
      </c>
      <c r="AE227" s="153" t="str">
        <f t="shared" si="144"/>
        <v>Ch D Female BasketballPool ACHILD DF - USA 1</v>
      </c>
      <c r="AF227" s="383">
        <f t="shared" si="145"/>
        <v>1</v>
      </c>
      <c r="AG227" s="383">
        <f t="shared" si="146"/>
        <v>0</v>
      </c>
      <c r="AH227" s="383">
        <f t="shared" si="147"/>
        <v>0</v>
      </c>
      <c r="AI227" s="383">
        <f t="shared" si="148"/>
        <v>0</v>
      </c>
      <c r="AJ227" s="383">
        <f t="shared" si="149"/>
        <v>1</v>
      </c>
      <c r="AK227" s="383">
        <f t="shared" si="150"/>
        <v>0</v>
      </c>
      <c r="AM227" s="148" t="str">
        <f t="shared" si="151"/>
        <v>Schedulled</v>
      </c>
      <c r="AN227" s="148" t="str">
        <f t="shared" si="152"/>
        <v/>
      </c>
      <c r="AO227" s="156">
        <f t="shared" si="153"/>
        <v>43063.541666666664</v>
      </c>
      <c r="AP227" s="148" t="str">
        <f t="shared" si="154"/>
        <v>11/24/2017 13:00-&gt;JCC Basketball Out 2</v>
      </c>
      <c r="AQ227" s="374">
        <f t="shared" si="155"/>
        <v>1</v>
      </c>
      <c r="AR227" s="148" t="str">
        <f t="shared" si="156"/>
        <v>ARG1</v>
      </c>
      <c r="AS227" s="148" t="str">
        <f t="shared" si="157"/>
        <v>USA1</v>
      </c>
      <c r="AT227" s="157" t="str">
        <f t="shared" si="158"/>
        <v>ARG1-USA1</v>
      </c>
      <c r="AU227" s="157" t="str">
        <f t="shared" si="159"/>
        <v xml:space="preserve">ARG1-USA1 </v>
      </c>
      <c r="AV227" s="157" t="str">
        <f t="shared" si="160"/>
        <v>CHILDREN D FEMALE</v>
      </c>
      <c r="AW227" s="157" t="str">
        <f t="shared" si="161"/>
        <v>Basketball</v>
      </c>
      <c r="AX227" s="376">
        <f t="shared" si="162"/>
        <v>225</v>
      </c>
      <c r="AY227" s="148" t="str">
        <f t="shared" si="163"/>
        <v>CHILD DF - ARG 1-&gt;CHILD DF - USA 1</v>
      </c>
      <c r="AZ227" s="148" t="str">
        <f t="shared" si="164"/>
        <v>11/24/2017 13:00-&gt;CHILD DF - ARG 1</v>
      </c>
      <c r="BA227" s="148" t="str">
        <f t="shared" si="165"/>
        <v>11/24/2017 13:00-&gt;CHILD DF - USA 1</v>
      </c>
      <c r="BB227" s="374">
        <f t="shared" si="166"/>
        <v>1</v>
      </c>
      <c r="BC227" s="374">
        <f t="shared" si="167"/>
        <v>1</v>
      </c>
      <c r="BD227" s="148" t="str">
        <f t="shared" si="168"/>
        <v>no conflict</v>
      </c>
      <c r="BF227" s="148" t="str">
        <f t="shared" si="169"/>
        <v>11/24/2017 13:00-&gt;CHILD DF - ARG 1</v>
      </c>
      <c r="BG227" s="148" t="str">
        <f t="shared" si="170"/>
        <v>11/24/2017 13:00-&gt;CHILD DF - USA 1</v>
      </c>
      <c r="BH227" s="148" t="str">
        <f t="shared" si="171"/>
        <v>11/24/2017 13:00-&gt;JCC Basketball Out 2</v>
      </c>
      <c r="BI227" s="148" t="str">
        <f t="shared" si="172"/>
        <v>Basketball in JCC Basketball Out 2 (ARG1-USA1)</v>
      </c>
      <c r="BJ227" s="148" t="str">
        <f t="shared" si="173"/>
        <v>Ch D Female Basketball-- CHILD DF - ARG 1 vs. CHILD DF - USA 1</v>
      </c>
      <c r="BK227" s="148" t="str">
        <f t="shared" si="174"/>
        <v>Basketball</v>
      </c>
      <c r="BL227" s="148" t="str">
        <f t="shared" si="175"/>
        <v>CHILD DF - ARG 1</v>
      </c>
      <c r="BM227" s="148" t="str">
        <f t="shared" si="176"/>
        <v>CHILD DF - USA 1</v>
      </c>
      <c r="BN227" s="148" t="str">
        <f t="shared" si="177"/>
        <v>Round - 1</v>
      </c>
      <c r="BP227" s="148" t="str">
        <f t="shared" si="178"/>
        <v>no t, f, or sf</v>
      </c>
      <c r="BQ227" s="148" t="str">
        <f t="shared" si="179"/>
        <v/>
      </c>
    </row>
    <row r="228" spans="1:69" ht="15" customHeight="1" x14ac:dyDescent="0.2">
      <c r="A228" s="376">
        <v>226</v>
      </c>
      <c r="B228" s="444" t="s">
        <v>49</v>
      </c>
      <c r="C228" s="444" t="s">
        <v>518</v>
      </c>
      <c r="D228" s="451">
        <v>1</v>
      </c>
      <c r="E228" s="451">
        <v>1</v>
      </c>
      <c r="F228" s="315" t="s">
        <v>770</v>
      </c>
      <c r="G228" s="445">
        <v>43065</v>
      </c>
      <c r="H228" s="454">
        <v>0.33333333333333331</v>
      </c>
      <c r="I228" s="325" t="s">
        <v>770</v>
      </c>
      <c r="J228" s="444" t="s">
        <v>709</v>
      </c>
      <c r="K228" s="315">
        <v>43</v>
      </c>
      <c r="L228" t="s">
        <v>590</v>
      </c>
      <c r="M228">
        <v>43</v>
      </c>
      <c r="N228" t="s">
        <v>724</v>
      </c>
      <c r="O228" s="153" t="str">
        <f>IF(L228&lt;&gt;"",IFERROR(VLOOKUP(B228&amp;L228,Pools!$A$2:$D$130,3,FALSE),""),"")</f>
        <v>Pool B</v>
      </c>
      <c r="P228" s="388">
        <v>10</v>
      </c>
      <c r="Q228" s="388">
        <v>2</v>
      </c>
      <c r="R228" s="306" t="str">
        <f t="shared" si="135"/>
        <v>10-2</v>
      </c>
      <c r="S228" s="153"/>
      <c r="T228" s="148" t="str">
        <f t="shared" si="136"/>
        <v>Completed</v>
      </c>
      <c r="U228" s="153"/>
      <c r="V228" s="153"/>
      <c r="W228" s="387">
        <f t="shared" si="137"/>
        <v>8</v>
      </c>
      <c r="X228" s="387">
        <f t="shared" si="138"/>
        <v>-8</v>
      </c>
      <c r="Y228" s="301">
        <f t="shared" si="139"/>
        <v>2</v>
      </c>
      <c r="Z228" s="301">
        <f t="shared" si="140"/>
        <v>0</v>
      </c>
      <c r="AA228" s="323" t="str">
        <f>CONCATENATE("                x[team1,team2,sport,'",IF(OR(I228="x",I228=""),VLOOKUP('Schedule from TM'!J228,Tables!$P$3:$Q$33,2,FALSE),'Schedule from TM'!I228),",",J228,"','",IF(OR(F228="x",F228=""),VLOOKUP('Schedule from TM'!G228,Tables!$U$3:$V$14,2,FALSE),'Schedule from TM'!F228),",",TEXT(G228,"mm/dd/yyyy"),"','",TEXT(H228,"h:mm:ss AM/PM"),"'].ub=0.0      #",B228)</f>
        <v xml:space="preserve">                x[team1,team2,sport,'11,JCC Basketball Out 2','21,11/26/2017','8:00:00 AM'].ub=0.0      #Ch D Female Basketball</v>
      </c>
      <c r="AB228" s="301" t="str">
        <f t="shared" si="141"/>
        <v>,,Ch D Female Basketball,Pool B,1,CHILD DF - VEN 2</v>
      </c>
      <c r="AC228" s="153" t="str">
        <f t="shared" si="142"/>
        <v>Ch D Female BasketballPool BCHILD DF - VEN 2</v>
      </c>
      <c r="AD228" s="301" t="str">
        <f t="shared" si="143"/>
        <v>,,Ch D Female Basketball,Pool B,1,CHILD DF - MEX</v>
      </c>
      <c r="AE228" s="153" t="str">
        <f t="shared" si="144"/>
        <v>Ch D Female BasketballPool BCHILD DF - MEX</v>
      </c>
      <c r="AF228" s="383">
        <f t="shared" si="145"/>
        <v>1</v>
      </c>
      <c r="AG228" s="383">
        <f t="shared" si="146"/>
        <v>0</v>
      </c>
      <c r="AH228" s="383">
        <f t="shared" si="147"/>
        <v>0</v>
      </c>
      <c r="AI228" s="383">
        <f t="shared" si="148"/>
        <v>0</v>
      </c>
      <c r="AJ228" s="383">
        <f t="shared" si="149"/>
        <v>1</v>
      </c>
      <c r="AK228" s="383">
        <f t="shared" si="150"/>
        <v>0</v>
      </c>
      <c r="AM228" s="148" t="str">
        <f t="shared" si="151"/>
        <v>Schedulled</v>
      </c>
      <c r="AN228" s="148" t="str">
        <f t="shared" si="152"/>
        <v/>
      </c>
      <c r="AO228" s="156">
        <f t="shared" si="153"/>
        <v>43065.333333333336</v>
      </c>
      <c r="AP228" s="148" t="str">
        <f t="shared" si="154"/>
        <v>11/26/2017 08:00-&gt;JCC Basketball Out 2</v>
      </c>
      <c r="AQ228" s="374">
        <f t="shared" si="155"/>
        <v>1</v>
      </c>
      <c r="AR228" s="148" t="str">
        <f t="shared" si="156"/>
        <v>VEN2</v>
      </c>
      <c r="AS228" s="148" t="str">
        <f t="shared" si="157"/>
        <v>MEX</v>
      </c>
      <c r="AT228" s="157" t="str">
        <f t="shared" si="158"/>
        <v>VEN2-MEX</v>
      </c>
      <c r="AU228" s="157" t="str">
        <f t="shared" si="159"/>
        <v xml:space="preserve">VEN2-MEX </v>
      </c>
      <c r="AV228" s="157" t="str">
        <f t="shared" si="160"/>
        <v>CHILDREN D FEMALE</v>
      </c>
      <c r="AW228" s="157" t="str">
        <f t="shared" si="161"/>
        <v>Basketball</v>
      </c>
      <c r="AX228" s="376">
        <f t="shared" si="162"/>
        <v>226</v>
      </c>
      <c r="AY228" s="148" t="str">
        <f t="shared" si="163"/>
        <v>CHILD DF - VEN 2-&gt;CHILD DF - MEX</v>
      </c>
      <c r="AZ228" s="148" t="str">
        <f t="shared" si="164"/>
        <v>11/26/2017 08:00-&gt;CHILD DF - VEN 2</v>
      </c>
      <c r="BA228" s="148" t="str">
        <f t="shared" si="165"/>
        <v>11/26/2017 08:00-&gt;CHILD DF - MEX</v>
      </c>
      <c r="BB228" s="374">
        <f t="shared" si="166"/>
        <v>1</v>
      </c>
      <c r="BC228" s="374">
        <f t="shared" si="167"/>
        <v>1</v>
      </c>
      <c r="BD228" s="148" t="str">
        <f t="shared" si="168"/>
        <v>no conflict</v>
      </c>
      <c r="BF228" s="148" t="str">
        <f t="shared" si="169"/>
        <v>11/26/2017 08:00-&gt;CHILD DF - VEN 2</v>
      </c>
      <c r="BG228" s="148" t="str">
        <f t="shared" si="170"/>
        <v>11/26/2017 08:00-&gt;CHILD DF - MEX</v>
      </c>
      <c r="BH228" s="148" t="str">
        <f t="shared" si="171"/>
        <v>11/26/2017 08:00-&gt;JCC Basketball Out 2</v>
      </c>
      <c r="BI228" s="148" t="str">
        <f t="shared" si="172"/>
        <v>Basketball in JCC Basketball Out 2 (VEN2-MEX)</v>
      </c>
      <c r="BJ228" s="148" t="str">
        <f t="shared" si="173"/>
        <v>Ch D Female Basketball-- CHILD DF - VEN 2 vs. CHILD DF - MEX</v>
      </c>
      <c r="BK228" s="148" t="str">
        <f t="shared" si="174"/>
        <v>Basketball</v>
      </c>
      <c r="BL228" s="148" t="str">
        <f t="shared" si="175"/>
        <v>CHILD DF - VEN 2</v>
      </c>
      <c r="BM228" s="148" t="str">
        <f t="shared" si="176"/>
        <v>CHILD DF - MEX</v>
      </c>
      <c r="BN228" s="148" t="str">
        <f t="shared" si="177"/>
        <v>Round - 1</v>
      </c>
      <c r="BP228" s="148" t="str">
        <f t="shared" si="178"/>
        <v>no t, f, or sf</v>
      </c>
      <c r="BQ228" s="148" t="str">
        <f t="shared" si="179"/>
        <v/>
      </c>
    </row>
    <row r="229" spans="1:69" ht="15" customHeight="1" x14ac:dyDescent="0.2">
      <c r="A229" s="376">
        <v>227</v>
      </c>
      <c r="B229" s="315" t="s">
        <v>52</v>
      </c>
      <c r="C229" s="315" t="s">
        <v>518</v>
      </c>
      <c r="D229" s="378">
        <v>1</v>
      </c>
      <c r="E229" s="378">
        <v>1</v>
      </c>
      <c r="F229" s="315" t="s">
        <v>770</v>
      </c>
      <c r="G229" s="316">
        <v>43058</v>
      </c>
      <c r="H229" s="317">
        <v>0.54166666666666663</v>
      </c>
      <c r="I229" s="325" t="s">
        <v>770</v>
      </c>
      <c r="J229" s="315" t="s">
        <v>705</v>
      </c>
      <c r="K229" s="315">
        <v>43</v>
      </c>
      <c r="L229" t="s">
        <v>583</v>
      </c>
      <c r="M229">
        <v>43</v>
      </c>
      <c r="N229" t="s">
        <v>725</v>
      </c>
      <c r="O229" s="153" t="str">
        <f>IF(L229&lt;&gt;"",IFERROR(VLOOKUP(B229&amp;L229,Pools!$A$2:$D$130,3,FALSE),""),"")</f>
        <v>Pool B</v>
      </c>
      <c r="P229" s="388">
        <v>9</v>
      </c>
      <c r="Q229" s="388">
        <v>1</v>
      </c>
      <c r="R229" s="306" t="str">
        <f t="shared" si="135"/>
        <v>9-1</v>
      </c>
      <c r="S229" s="153"/>
      <c r="T229" s="148" t="str">
        <f t="shared" si="136"/>
        <v>Completed</v>
      </c>
      <c r="U229" s="153"/>
      <c r="V229" s="153"/>
      <c r="W229" s="387">
        <f t="shared" si="137"/>
        <v>5</v>
      </c>
      <c r="X229" s="387">
        <f t="shared" si="138"/>
        <v>-5</v>
      </c>
      <c r="Y229" s="301">
        <f t="shared" si="139"/>
        <v>2</v>
      </c>
      <c r="Z229" s="301">
        <f t="shared" si="140"/>
        <v>0</v>
      </c>
      <c r="AA229" s="323" t="str">
        <f>CONCATENATE("                x[team1,team2,sport,'",IF(OR(I229="x",I229=""),VLOOKUP('Schedule from TM'!J229,Tables!$P$3:$Q$33,2,FALSE),'Schedule from TM'!I229),",",J229,"','",IF(OR(F229="x",F229=""),VLOOKUP('Schedule from TM'!G229,Tables!$U$3:$V$14,2,FALSE),'Schedule from TM'!F229),",",TEXT(G229,"mm/dd/yyyy"),"','",TEXT(H229,"h:mm:ss AM/PM"),"'].ub=0.0      #",B229)</f>
        <v xml:space="preserve">                x[team1,team2,sport,'21,Hillel - Field 3','11,11/19/2017','1:00:00 PM'].ub=0.0      #Ch D Female Kickball</v>
      </c>
      <c r="AB229" s="301" t="str">
        <f t="shared" si="141"/>
        <v>,,Ch D Female Kickball,Pool B,1,CHILD DF - ARG 1</v>
      </c>
      <c r="AC229" s="153" t="str">
        <f t="shared" si="142"/>
        <v>Ch D Female KickballPool BCHILD DF - ARG 1</v>
      </c>
      <c r="AD229" s="301" t="str">
        <f t="shared" si="143"/>
        <v>,,Ch D Female Kickball,Pool B,1,CHILD DF - ISR</v>
      </c>
      <c r="AE229" s="153" t="str">
        <f t="shared" si="144"/>
        <v>Ch D Female KickballPool BCHILD DF - ISR</v>
      </c>
      <c r="AF229" s="383">
        <f t="shared" si="145"/>
        <v>1</v>
      </c>
      <c r="AG229" s="383">
        <f t="shared" si="146"/>
        <v>0</v>
      </c>
      <c r="AH229" s="383">
        <f t="shared" si="147"/>
        <v>0</v>
      </c>
      <c r="AI229" s="383">
        <f t="shared" si="148"/>
        <v>0</v>
      </c>
      <c r="AJ229" s="383">
        <f t="shared" si="149"/>
        <v>1</v>
      </c>
      <c r="AK229" s="383">
        <f t="shared" si="150"/>
        <v>0</v>
      </c>
      <c r="AM229" s="148" t="str">
        <f t="shared" si="151"/>
        <v>Schedulled</v>
      </c>
      <c r="AN229" s="148" t="str">
        <f t="shared" si="152"/>
        <v/>
      </c>
      <c r="AO229" s="156">
        <f t="shared" si="153"/>
        <v>43058.541666666664</v>
      </c>
      <c r="AP229" s="148" t="str">
        <f t="shared" si="154"/>
        <v>11/19/2017 13:00-&gt;Hillel - Field 3</v>
      </c>
      <c r="AQ229" s="374">
        <f t="shared" si="155"/>
        <v>1</v>
      </c>
      <c r="AR229" s="148" t="str">
        <f t="shared" si="156"/>
        <v>ARG1</v>
      </c>
      <c r="AS229" s="148" t="str">
        <f t="shared" si="157"/>
        <v>ISR</v>
      </c>
      <c r="AT229" s="157" t="str">
        <f t="shared" si="158"/>
        <v>ARG1-ISR</v>
      </c>
      <c r="AU229" s="157" t="str">
        <f t="shared" si="159"/>
        <v xml:space="preserve">ARG1-ISR </v>
      </c>
      <c r="AV229" s="157" t="str">
        <f t="shared" si="160"/>
        <v>CHILDREN D FEMALE</v>
      </c>
      <c r="AW229" s="157" t="str">
        <f t="shared" si="161"/>
        <v>Kickball</v>
      </c>
      <c r="AX229" s="376">
        <f t="shared" si="162"/>
        <v>227</v>
      </c>
      <c r="AY229" s="148" t="str">
        <f t="shared" si="163"/>
        <v>CHILD DF - ARG 1-&gt;CHILD DF - ISR</v>
      </c>
      <c r="AZ229" s="148" t="str">
        <f t="shared" si="164"/>
        <v>11/19/2017 13:00-&gt;CHILD DF - ARG 1</v>
      </c>
      <c r="BA229" s="148" t="str">
        <f t="shared" si="165"/>
        <v>11/19/2017 13:00-&gt;CHILD DF - ISR</v>
      </c>
      <c r="BB229" s="374">
        <f t="shared" si="166"/>
        <v>1</v>
      </c>
      <c r="BC229" s="374">
        <f t="shared" si="167"/>
        <v>1</v>
      </c>
      <c r="BD229" s="148" t="str">
        <f t="shared" si="168"/>
        <v>no conflict</v>
      </c>
      <c r="BF229" s="148" t="str">
        <f t="shared" si="169"/>
        <v>11/19/2017 13:00-&gt;CHILD DF - ARG 1</v>
      </c>
      <c r="BG229" s="148" t="str">
        <f t="shared" si="170"/>
        <v>11/19/2017 13:00-&gt;CHILD DF - ISR</v>
      </c>
      <c r="BH229" s="148" t="str">
        <f t="shared" si="171"/>
        <v>11/19/2017 13:00-&gt;Hillel - Field 3</v>
      </c>
      <c r="BI229" s="148" t="str">
        <f t="shared" si="172"/>
        <v>Kickball in Hillel - Field 3 (ARG1-ISR)</v>
      </c>
      <c r="BJ229" s="148" t="str">
        <f t="shared" si="173"/>
        <v>Ch D Female Kickball-- CHILD DF - ARG 1 vs. CHILD DF - ISR</v>
      </c>
      <c r="BK229" s="148" t="str">
        <f t="shared" si="174"/>
        <v>Kickball</v>
      </c>
      <c r="BL229" s="148" t="str">
        <f t="shared" si="175"/>
        <v>CHILD DF - ARG 1</v>
      </c>
      <c r="BM229" s="148" t="str">
        <f t="shared" si="176"/>
        <v>CHILD DF - ISR</v>
      </c>
      <c r="BN229" s="148" t="str">
        <f t="shared" si="177"/>
        <v>Round - 1</v>
      </c>
      <c r="BP229" s="148" t="str">
        <f t="shared" si="178"/>
        <v>no t, f, or sf</v>
      </c>
      <c r="BQ229" s="148" t="str">
        <f t="shared" si="179"/>
        <v/>
      </c>
    </row>
    <row r="230" spans="1:69" ht="15" customHeight="1" x14ac:dyDescent="0.2">
      <c r="A230" s="376">
        <v>228</v>
      </c>
      <c r="B230" s="441" t="s">
        <v>52</v>
      </c>
      <c r="C230" s="441" t="s">
        <v>518</v>
      </c>
      <c r="D230" s="450">
        <v>1</v>
      </c>
      <c r="E230" s="450">
        <v>1</v>
      </c>
      <c r="F230" s="315" t="s">
        <v>770</v>
      </c>
      <c r="G230" s="320">
        <v>43059</v>
      </c>
      <c r="H230" s="318">
        <v>0.71527777777777779</v>
      </c>
      <c r="I230" s="325" t="s">
        <v>770</v>
      </c>
      <c r="J230" s="319" t="s">
        <v>706</v>
      </c>
      <c r="K230" s="441">
        <v>43</v>
      </c>
      <c r="L230" t="s">
        <v>583</v>
      </c>
      <c r="M230">
        <v>43</v>
      </c>
      <c r="N230" t="s">
        <v>589</v>
      </c>
      <c r="O230" s="153" t="str">
        <f>IF(L230&lt;&gt;"",IFERROR(VLOOKUP(B230&amp;L230,Pools!$A$2:$D$130,3,FALSE),""),"")</f>
        <v>Pool B</v>
      </c>
      <c r="P230" s="388">
        <v>30</v>
      </c>
      <c r="Q230" s="388">
        <v>21</v>
      </c>
      <c r="R230" s="306" t="str">
        <f t="shared" si="135"/>
        <v>30-21</v>
      </c>
      <c r="S230" s="153"/>
      <c r="T230" s="148" t="str">
        <f t="shared" si="136"/>
        <v>Completed</v>
      </c>
      <c r="U230" s="153"/>
      <c r="V230" s="153"/>
      <c r="W230" s="387">
        <f t="shared" si="137"/>
        <v>5</v>
      </c>
      <c r="X230" s="387">
        <f t="shared" si="138"/>
        <v>-5</v>
      </c>
      <c r="Y230" s="301">
        <f t="shared" si="139"/>
        <v>2</v>
      </c>
      <c r="Z230" s="301">
        <f t="shared" si="140"/>
        <v>0</v>
      </c>
      <c r="AA230" s="323" t="str">
        <f>CONCATENATE("                x[team1,team2,sport,'",IF(OR(I230="x",I230=""),VLOOKUP('Schedule from TM'!J230,Tables!$P$3:$Q$33,2,FALSE),'Schedule from TM'!I230),",",J230,"','",IF(OR(F230="x",F230=""),VLOOKUP('Schedule from TM'!G230,Tables!$U$3:$V$14,2,FALSE),'Schedule from TM'!F230),",",TEXT(G230,"mm/dd/yyyy"),"','",TEXT(H230,"h:mm:ss AM/PM"),"'].ub=0.0      #",B230)</f>
        <v xml:space="preserve">                x[team1,team2,sport,'21,Hillel - Field 4','22,11/20/2017','5:10:00 PM'].ub=0.0      #Ch D Female Kickball</v>
      </c>
      <c r="AB230" s="301" t="str">
        <f t="shared" si="141"/>
        <v>,,Ch D Female Kickball,Pool B,1,CHILD DF - ARG 1</v>
      </c>
      <c r="AC230" s="153" t="str">
        <f t="shared" si="142"/>
        <v>Ch D Female KickballPool BCHILD DF - ARG 1</v>
      </c>
      <c r="AD230" s="301" t="str">
        <f t="shared" si="143"/>
        <v>,,Ch D Female Kickball,Pool B,1,CHILD DF - VEN 1</v>
      </c>
      <c r="AE230" s="153" t="str">
        <f t="shared" si="144"/>
        <v>Ch D Female KickballPool BCHILD DF - VEN 1</v>
      </c>
      <c r="AF230" s="383">
        <f t="shared" si="145"/>
        <v>1</v>
      </c>
      <c r="AG230" s="383">
        <f t="shared" si="146"/>
        <v>0</v>
      </c>
      <c r="AH230" s="383">
        <f t="shared" si="147"/>
        <v>0</v>
      </c>
      <c r="AI230" s="383">
        <f t="shared" si="148"/>
        <v>0</v>
      </c>
      <c r="AJ230" s="383">
        <f t="shared" si="149"/>
        <v>1</v>
      </c>
      <c r="AK230" s="383">
        <f t="shared" si="150"/>
        <v>0</v>
      </c>
      <c r="AM230" s="148" t="str">
        <f t="shared" si="151"/>
        <v>Schedulled</v>
      </c>
      <c r="AN230" s="148" t="str">
        <f t="shared" si="152"/>
        <v/>
      </c>
      <c r="AO230" s="156">
        <f t="shared" si="153"/>
        <v>43059.715277777781</v>
      </c>
      <c r="AP230" s="148" t="str">
        <f t="shared" si="154"/>
        <v>11/20/2017 17:10-&gt;Hillel - Field 4</v>
      </c>
      <c r="AQ230" s="374">
        <f t="shared" si="155"/>
        <v>1</v>
      </c>
      <c r="AR230" s="148" t="str">
        <f t="shared" si="156"/>
        <v>ARG1</v>
      </c>
      <c r="AS230" s="148" t="str">
        <f t="shared" si="157"/>
        <v>VEN1</v>
      </c>
      <c r="AT230" s="157" t="str">
        <f t="shared" si="158"/>
        <v>ARG1-VEN1</v>
      </c>
      <c r="AU230" s="157" t="str">
        <f t="shared" si="159"/>
        <v xml:space="preserve">ARG1-VEN1 </v>
      </c>
      <c r="AV230" s="157" t="str">
        <f t="shared" si="160"/>
        <v>CHILDREN D FEMALE</v>
      </c>
      <c r="AW230" s="157" t="str">
        <f t="shared" si="161"/>
        <v>Kickball</v>
      </c>
      <c r="AX230" s="376">
        <f t="shared" si="162"/>
        <v>228</v>
      </c>
      <c r="AY230" s="148" t="str">
        <f t="shared" si="163"/>
        <v>CHILD DF - ARG 1-&gt;CHILD DF - VEN 1</v>
      </c>
      <c r="AZ230" s="148" t="str">
        <f t="shared" si="164"/>
        <v>11/20/2017 17:10-&gt;CHILD DF - ARG 1</v>
      </c>
      <c r="BA230" s="148" t="str">
        <f t="shared" si="165"/>
        <v>11/20/2017 17:10-&gt;CHILD DF - VEN 1</v>
      </c>
      <c r="BB230" s="374">
        <f t="shared" si="166"/>
        <v>1</v>
      </c>
      <c r="BC230" s="374">
        <f t="shared" si="167"/>
        <v>1</v>
      </c>
      <c r="BD230" s="148" t="str">
        <f t="shared" si="168"/>
        <v>no conflict</v>
      </c>
      <c r="BF230" s="148" t="str">
        <f t="shared" si="169"/>
        <v>11/20/2017 17:10-&gt;CHILD DF - ARG 1</v>
      </c>
      <c r="BG230" s="148" t="str">
        <f t="shared" si="170"/>
        <v>11/20/2017 17:10-&gt;CHILD DF - VEN 1</v>
      </c>
      <c r="BH230" s="148" t="str">
        <f t="shared" si="171"/>
        <v>11/20/2017 17:10-&gt;Hillel - Field 4</v>
      </c>
      <c r="BI230" s="148" t="str">
        <f t="shared" si="172"/>
        <v>Kickball in Hillel - Field 4 (ARG1-VEN1)</v>
      </c>
      <c r="BJ230" s="148" t="str">
        <f t="shared" si="173"/>
        <v>Ch D Female Kickball-- CHILD DF - ARG 1 vs. CHILD DF - VEN 1</v>
      </c>
      <c r="BK230" s="148" t="str">
        <f t="shared" si="174"/>
        <v>Kickball</v>
      </c>
      <c r="BL230" s="148" t="str">
        <f t="shared" si="175"/>
        <v>CHILD DF - ARG 1</v>
      </c>
      <c r="BM230" s="148" t="str">
        <f t="shared" si="176"/>
        <v>CHILD DF - VEN 1</v>
      </c>
      <c r="BN230" s="148" t="str">
        <f t="shared" si="177"/>
        <v>Round - 1</v>
      </c>
      <c r="BP230" s="148" t="str">
        <f t="shared" si="178"/>
        <v>no t, f, or sf</v>
      </c>
      <c r="BQ230" s="148" t="str">
        <f t="shared" si="179"/>
        <v/>
      </c>
    </row>
    <row r="231" spans="1:69" ht="15" customHeight="1" x14ac:dyDescent="0.2">
      <c r="A231" s="376">
        <v>229</v>
      </c>
      <c r="B231" s="441" t="s">
        <v>52</v>
      </c>
      <c r="C231" s="441" t="s">
        <v>518</v>
      </c>
      <c r="D231" s="450">
        <v>1</v>
      </c>
      <c r="E231" s="450">
        <v>1</v>
      </c>
      <c r="F231" s="315" t="s">
        <v>770</v>
      </c>
      <c r="G231" s="320">
        <v>43059</v>
      </c>
      <c r="H231" s="318">
        <v>0.71527777777777779</v>
      </c>
      <c r="I231" s="325" t="s">
        <v>770</v>
      </c>
      <c r="J231" s="441" t="s">
        <v>704</v>
      </c>
      <c r="K231" s="441">
        <v>43</v>
      </c>
      <c r="L231" t="s">
        <v>588</v>
      </c>
      <c r="M231">
        <v>43</v>
      </c>
      <c r="N231" t="s">
        <v>725</v>
      </c>
      <c r="O231" s="153" t="str">
        <f>IF(L231&lt;&gt;"",IFERROR(VLOOKUP(B231&amp;L231,Pools!$A$2:$D$130,3,FALSE),""),"")</f>
        <v>Pool B</v>
      </c>
      <c r="P231" s="388">
        <v>11</v>
      </c>
      <c r="Q231" s="388">
        <v>1</v>
      </c>
      <c r="R231" s="306" t="str">
        <f t="shared" si="135"/>
        <v>11-1</v>
      </c>
      <c r="S231" s="153"/>
      <c r="T231" s="148" t="str">
        <f t="shared" si="136"/>
        <v>Completed</v>
      </c>
      <c r="U231" s="153"/>
      <c r="V231" s="153"/>
      <c r="W231" s="387">
        <f t="shared" si="137"/>
        <v>5</v>
      </c>
      <c r="X231" s="387">
        <f t="shared" si="138"/>
        <v>-5</v>
      </c>
      <c r="Y231" s="301">
        <f t="shared" si="139"/>
        <v>2</v>
      </c>
      <c r="Z231" s="301">
        <f t="shared" si="140"/>
        <v>0</v>
      </c>
      <c r="AA231" s="323" t="str">
        <f>CONCATENATE("                x[team1,team2,sport,'",IF(OR(I231="x",I231=""),VLOOKUP('Schedule from TM'!J231,Tables!$P$3:$Q$33,2,FALSE),'Schedule from TM'!I231),",",J231,"','",IF(OR(F231="x",F231=""),VLOOKUP('Schedule from TM'!G231,Tables!$U$3:$V$14,2,FALSE),'Schedule from TM'!F231),",",TEXT(G231,"mm/dd/yyyy"),"','",TEXT(H231,"h:mm:ss AM/PM"),"'].ub=0.0      #",B231)</f>
        <v xml:space="preserve">                x[team1,team2,sport,'21,Hillel - Field 2','22,11/20/2017','5:10:00 PM'].ub=0.0      #Ch D Female Kickball</v>
      </c>
      <c r="AB231" s="301" t="str">
        <f t="shared" si="141"/>
        <v>,,Ch D Female Kickball,Pool B,1,CHILD DF - USA 2</v>
      </c>
      <c r="AC231" s="153" t="str">
        <f t="shared" si="142"/>
        <v>Ch D Female KickballPool BCHILD DF - USA 2</v>
      </c>
      <c r="AD231" s="301" t="str">
        <f t="shared" si="143"/>
        <v>,,Ch D Female Kickball,Pool B,1,CHILD DF - ISR</v>
      </c>
      <c r="AE231" s="153" t="str">
        <f t="shared" si="144"/>
        <v>Ch D Female KickballPool BCHILD DF - ISR</v>
      </c>
      <c r="AF231" s="383">
        <f t="shared" si="145"/>
        <v>1</v>
      </c>
      <c r="AG231" s="383">
        <f t="shared" si="146"/>
        <v>0</v>
      </c>
      <c r="AH231" s="383">
        <f t="shared" si="147"/>
        <v>0</v>
      </c>
      <c r="AI231" s="383">
        <f t="shared" si="148"/>
        <v>0</v>
      </c>
      <c r="AJ231" s="383">
        <f t="shared" si="149"/>
        <v>1</v>
      </c>
      <c r="AK231" s="383">
        <f t="shared" si="150"/>
        <v>0</v>
      </c>
      <c r="AM231" s="148" t="str">
        <f t="shared" si="151"/>
        <v>Schedulled</v>
      </c>
      <c r="AN231" s="148" t="str">
        <f t="shared" si="152"/>
        <v/>
      </c>
      <c r="AO231" s="156">
        <f t="shared" si="153"/>
        <v>43059.715277777781</v>
      </c>
      <c r="AP231" s="148" t="str">
        <f t="shared" si="154"/>
        <v>11/20/2017 17:10-&gt;Hillel - Field 2</v>
      </c>
      <c r="AQ231" s="374">
        <f t="shared" si="155"/>
        <v>1</v>
      </c>
      <c r="AR231" s="148" t="str">
        <f t="shared" si="156"/>
        <v>USA2</v>
      </c>
      <c r="AS231" s="148" t="str">
        <f t="shared" si="157"/>
        <v>ISR</v>
      </c>
      <c r="AT231" s="157" t="str">
        <f t="shared" si="158"/>
        <v>USA2-ISR</v>
      </c>
      <c r="AU231" s="157" t="str">
        <f t="shared" si="159"/>
        <v xml:space="preserve">USA2-ISR </v>
      </c>
      <c r="AV231" s="157" t="str">
        <f t="shared" si="160"/>
        <v>CHILDREN D FEMALE</v>
      </c>
      <c r="AW231" s="157" t="str">
        <f t="shared" si="161"/>
        <v>Kickball</v>
      </c>
      <c r="AX231" s="376">
        <f t="shared" si="162"/>
        <v>229</v>
      </c>
      <c r="AY231" s="148" t="str">
        <f t="shared" si="163"/>
        <v>CHILD DF - USA 2-&gt;CHILD DF - ISR</v>
      </c>
      <c r="AZ231" s="148" t="str">
        <f t="shared" si="164"/>
        <v>11/20/2017 17:10-&gt;CHILD DF - USA 2</v>
      </c>
      <c r="BA231" s="148" t="str">
        <f t="shared" si="165"/>
        <v>11/20/2017 17:10-&gt;CHILD DF - ISR</v>
      </c>
      <c r="BB231" s="374">
        <f t="shared" si="166"/>
        <v>1</v>
      </c>
      <c r="BC231" s="374">
        <f t="shared" si="167"/>
        <v>1</v>
      </c>
      <c r="BD231" s="148" t="str">
        <f t="shared" si="168"/>
        <v>no conflict</v>
      </c>
      <c r="BF231" s="148" t="str">
        <f t="shared" si="169"/>
        <v>11/20/2017 17:10-&gt;CHILD DF - USA 2</v>
      </c>
      <c r="BG231" s="148" t="str">
        <f t="shared" si="170"/>
        <v>11/20/2017 17:10-&gt;CHILD DF - ISR</v>
      </c>
      <c r="BH231" s="148" t="str">
        <f t="shared" si="171"/>
        <v>11/20/2017 17:10-&gt;Hillel - Field 2</v>
      </c>
      <c r="BI231" s="148" t="str">
        <f t="shared" si="172"/>
        <v>Kickball in Hillel - Field 2 (USA2-ISR)</v>
      </c>
      <c r="BJ231" s="148" t="str">
        <f t="shared" si="173"/>
        <v>Ch D Female Kickball-- CHILD DF - USA 2 vs. CHILD DF - ISR</v>
      </c>
      <c r="BK231" s="148" t="str">
        <f t="shared" si="174"/>
        <v>Kickball</v>
      </c>
      <c r="BL231" s="148" t="str">
        <f t="shared" si="175"/>
        <v>CHILD DF - USA 2</v>
      </c>
      <c r="BM231" s="148" t="str">
        <f t="shared" si="176"/>
        <v>CHILD DF - ISR</v>
      </c>
      <c r="BN231" s="148" t="str">
        <f t="shared" si="177"/>
        <v>Round - 1</v>
      </c>
      <c r="BP231" s="148" t="str">
        <f t="shared" si="178"/>
        <v>no t, f, or sf</v>
      </c>
      <c r="BQ231" s="148" t="str">
        <f t="shared" si="179"/>
        <v/>
      </c>
    </row>
    <row r="232" spans="1:69" ht="15" customHeight="1" x14ac:dyDescent="0.2">
      <c r="A232" s="376">
        <v>230</v>
      </c>
      <c r="B232" s="441" t="s">
        <v>52</v>
      </c>
      <c r="C232" s="441" t="s">
        <v>518</v>
      </c>
      <c r="D232" s="450">
        <v>1</v>
      </c>
      <c r="E232" s="450">
        <v>1</v>
      </c>
      <c r="F232" s="315" t="s">
        <v>770</v>
      </c>
      <c r="G232" s="320">
        <v>43059</v>
      </c>
      <c r="H232" s="318">
        <v>0.75</v>
      </c>
      <c r="I232" s="325" t="s">
        <v>770</v>
      </c>
      <c r="J232" s="296" t="s">
        <v>706</v>
      </c>
      <c r="K232" s="441">
        <v>43</v>
      </c>
      <c r="L232" t="s">
        <v>587</v>
      </c>
      <c r="M232">
        <v>43</v>
      </c>
      <c r="N232" t="s">
        <v>724</v>
      </c>
      <c r="O232" s="153" t="str">
        <f>IF(L232&lt;&gt;"",IFERROR(VLOOKUP(B232&amp;L232,Pools!$A$2:$D$130,3,FALSE),""),"")</f>
        <v>Pool A</v>
      </c>
      <c r="P232" s="388">
        <v>8</v>
      </c>
      <c r="Q232" s="388">
        <v>6</v>
      </c>
      <c r="R232" s="306" t="str">
        <f t="shared" si="135"/>
        <v>8-6</v>
      </c>
      <c r="S232" s="153"/>
      <c r="T232" s="148" t="str">
        <f t="shared" si="136"/>
        <v>Completed</v>
      </c>
      <c r="U232" s="153"/>
      <c r="V232" s="153"/>
      <c r="W232" s="387">
        <f t="shared" si="137"/>
        <v>2</v>
      </c>
      <c r="X232" s="387">
        <f t="shared" si="138"/>
        <v>-2</v>
      </c>
      <c r="Y232" s="301">
        <f t="shared" si="139"/>
        <v>2</v>
      </c>
      <c r="Z232" s="301">
        <f t="shared" si="140"/>
        <v>0</v>
      </c>
      <c r="AA232" s="323" t="str">
        <f>CONCATENATE("                x[team1,team2,sport,'",IF(OR(I232="x",I232=""),VLOOKUP('Schedule from TM'!J232,Tables!$P$3:$Q$33,2,FALSE),'Schedule from TM'!I232),",",J232,"','",IF(OR(F232="x",F232=""),VLOOKUP('Schedule from TM'!G232,Tables!$U$3:$V$14,2,FALSE),'Schedule from TM'!F232),",",TEXT(G232,"mm/dd/yyyy"),"','",TEXT(H232,"h:mm:ss AM/PM"),"'].ub=0.0      #",B232)</f>
        <v xml:space="preserve">                x[team1,team2,sport,'21,Hillel - Field 4','22,11/20/2017','6:00:00 PM'].ub=0.0      #Ch D Female Kickball</v>
      </c>
      <c r="AB232" s="301" t="str">
        <f t="shared" si="141"/>
        <v>,,Ch D Female Kickball,Pool A,1,CHILD DF - USA 1</v>
      </c>
      <c r="AC232" s="153" t="str">
        <f t="shared" si="142"/>
        <v>Ch D Female KickballPool ACHILD DF - USA 1</v>
      </c>
      <c r="AD232" s="301" t="str">
        <f t="shared" si="143"/>
        <v>,,Ch D Female Kickball,Pool A,1,CHILD DF - MEX</v>
      </c>
      <c r="AE232" s="153" t="str">
        <f t="shared" si="144"/>
        <v>Ch D Female KickballPool ACHILD DF - MEX</v>
      </c>
      <c r="AF232" s="383">
        <f t="shared" si="145"/>
        <v>1</v>
      </c>
      <c r="AG232" s="383">
        <f t="shared" si="146"/>
        <v>0</v>
      </c>
      <c r="AH232" s="383">
        <f t="shared" si="147"/>
        <v>0</v>
      </c>
      <c r="AI232" s="383">
        <f t="shared" si="148"/>
        <v>0</v>
      </c>
      <c r="AJ232" s="383">
        <f t="shared" si="149"/>
        <v>1</v>
      </c>
      <c r="AK232" s="383">
        <f t="shared" si="150"/>
        <v>0</v>
      </c>
      <c r="AM232" s="148" t="str">
        <f t="shared" si="151"/>
        <v>Schedulled</v>
      </c>
      <c r="AN232" s="148" t="str">
        <f t="shared" si="152"/>
        <v/>
      </c>
      <c r="AO232" s="156">
        <f t="shared" si="153"/>
        <v>43059.75</v>
      </c>
      <c r="AP232" s="148" t="str">
        <f t="shared" si="154"/>
        <v>11/20/2017 18:00-&gt;Hillel - Field 4</v>
      </c>
      <c r="AQ232" s="374">
        <f t="shared" si="155"/>
        <v>1</v>
      </c>
      <c r="AR232" s="148" t="str">
        <f t="shared" si="156"/>
        <v>USA1</v>
      </c>
      <c r="AS232" s="148" t="str">
        <f t="shared" si="157"/>
        <v>MEX</v>
      </c>
      <c r="AT232" s="157" t="str">
        <f t="shared" si="158"/>
        <v>USA1-MEX</v>
      </c>
      <c r="AU232" s="157" t="str">
        <f t="shared" si="159"/>
        <v xml:space="preserve">USA1-MEX </v>
      </c>
      <c r="AV232" s="157" t="str">
        <f t="shared" si="160"/>
        <v>CHILDREN D FEMALE</v>
      </c>
      <c r="AW232" s="157" t="str">
        <f t="shared" si="161"/>
        <v>Kickball</v>
      </c>
      <c r="AX232" s="376">
        <f t="shared" si="162"/>
        <v>230</v>
      </c>
      <c r="AY232" s="148" t="str">
        <f t="shared" si="163"/>
        <v>CHILD DF - USA 1-&gt;CHILD DF - MEX</v>
      </c>
      <c r="AZ232" s="148" t="str">
        <f t="shared" si="164"/>
        <v>11/20/2017 18:00-&gt;CHILD DF - USA 1</v>
      </c>
      <c r="BA232" s="148" t="str">
        <f t="shared" si="165"/>
        <v>11/20/2017 18:00-&gt;CHILD DF - MEX</v>
      </c>
      <c r="BB232" s="374">
        <f t="shared" si="166"/>
        <v>1</v>
      </c>
      <c r="BC232" s="374">
        <f t="shared" si="167"/>
        <v>1</v>
      </c>
      <c r="BD232" s="148" t="str">
        <f t="shared" si="168"/>
        <v>no conflict</v>
      </c>
      <c r="BF232" s="148" t="str">
        <f t="shared" si="169"/>
        <v>11/20/2017 18:00-&gt;CHILD DF - USA 1</v>
      </c>
      <c r="BG232" s="148" t="str">
        <f t="shared" si="170"/>
        <v>11/20/2017 18:00-&gt;CHILD DF - MEX</v>
      </c>
      <c r="BH232" s="148" t="str">
        <f t="shared" si="171"/>
        <v>11/20/2017 18:00-&gt;Hillel - Field 4</v>
      </c>
      <c r="BI232" s="148" t="str">
        <f t="shared" si="172"/>
        <v>Kickball in Hillel - Field 4 (USA1-MEX)</v>
      </c>
      <c r="BJ232" s="148" t="str">
        <f t="shared" si="173"/>
        <v>Ch D Female Kickball-- CHILD DF - USA 1 vs. CHILD DF - MEX</v>
      </c>
      <c r="BK232" s="148" t="str">
        <f t="shared" si="174"/>
        <v>Kickball</v>
      </c>
      <c r="BL232" s="148" t="str">
        <f t="shared" si="175"/>
        <v>CHILD DF - USA 1</v>
      </c>
      <c r="BM232" s="148" t="str">
        <f t="shared" si="176"/>
        <v>CHILD DF - MEX</v>
      </c>
      <c r="BN232" s="148" t="str">
        <f t="shared" si="177"/>
        <v>Round - 1</v>
      </c>
      <c r="BP232" s="148" t="str">
        <f t="shared" si="178"/>
        <v>no t, f, or sf</v>
      </c>
      <c r="BQ232" s="148" t="str">
        <f t="shared" si="179"/>
        <v/>
      </c>
    </row>
    <row r="233" spans="1:69" ht="15" customHeight="1" x14ac:dyDescent="0.2">
      <c r="A233" s="376">
        <v>231</v>
      </c>
      <c r="B233" s="444" t="s">
        <v>52</v>
      </c>
      <c r="C233" s="444" t="s">
        <v>518</v>
      </c>
      <c r="D233" s="451">
        <v>1</v>
      </c>
      <c r="E233" s="451">
        <v>1</v>
      </c>
      <c r="F233" s="315" t="s">
        <v>770</v>
      </c>
      <c r="G233" s="445">
        <v>43060</v>
      </c>
      <c r="H233" s="317">
        <v>0.71527777777777779</v>
      </c>
      <c r="I233" s="325" t="s">
        <v>770</v>
      </c>
      <c r="J233" s="444" t="s">
        <v>703</v>
      </c>
      <c r="K233" s="444">
        <v>43</v>
      </c>
      <c r="L233" t="s">
        <v>583</v>
      </c>
      <c r="M233">
        <v>43</v>
      </c>
      <c r="N233" t="s">
        <v>588</v>
      </c>
      <c r="O233" s="153" t="str">
        <f>IF(L233&lt;&gt;"",IFERROR(VLOOKUP(B233&amp;L233,Pools!$A$2:$D$130,3,FALSE),""),"")</f>
        <v>Pool B</v>
      </c>
      <c r="P233" s="388">
        <v>7</v>
      </c>
      <c r="Q233" s="388">
        <v>6</v>
      </c>
      <c r="R233" s="306" t="str">
        <f t="shared" si="135"/>
        <v>7-6</v>
      </c>
      <c r="S233" s="153"/>
      <c r="T233" s="148" t="str">
        <f t="shared" si="136"/>
        <v>Completed</v>
      </c>
      <c r="U233" s="153"/>
      <c r="V233" s="153"/>
      <c r="W233" s="387">
        <f t="shared" si="137"/>
        <v>1</v>
      </c>
      <c r="X233" s="387">
        <f t="shared" si="138"/>
        <v>-1</v>
      </c>
      <c r="Y233" s="301">
        <f t="shared" si="139"/>
        <v>2</v>
      </c>
      <c r="Z233" s="301">
        <f t="shared" si="140"/>
        <v>0</v>
      </c>
      <c r="AA233" s="323" t="str">
        <f>CONCATENATE("                x[team1,team2,sport,'",IF(OR(I233="x",I233=""),VLOOKUP('Schedule from TM'!J233,Tables!$P$3:$Q$33,2,FALSE),'Schedule from TM'!I233),",",J233,"','",IF(OR(F233="x",F233=""),VLOOKUP('Schedule from TM'!G233,Tables!$U$3:$V$14,2,FALSE),'Schedule from TM'!F233),",",TEXT(G233,"mm/dd/yyyy"),"','",TEXT(H233,"h:mm:ss AM/PM"),"'].ub=0.0      #",B233)</f>
        <v xml:space="preserve">                x[team1,team2,sport,'21,Hillel - Field 1','22,11/21/2017','5:10:00 PM'].ub=0.0      #Ch D Female Kickball</v>
      </c>
      <c r="AB233" s="301" t="str">
        <f t="shared" si="141"/>
        <v>,,Ch D Female Kickball,Pool B,1,CHILD DF - ARG 1</v>
      </c>
      <c r="AC233" s="153" t="str">
        <f t="shared" si="142"/>
        <v>Ch D Female KickballPool BCHILD DF - ARG 1</v>
      </c>
      <c r="AD233" s="301" t="str">
        <f t="shared" si="143"/>
        <v>,,Ch D Female Kickball,Pool B,1,CHILD DF - USA 2</v>
      </c>
      <c r="AE233" s="153" t="str">
        <f t="shared" si="144"/>
        <v>Ch D Female KickballPool BCHILD DF - USA 2</v>
      </c>
      <c r="AF233" s="383">
        <f t="shared" si="145"/>
        <v>1</v>
      </c>
      <c r="AG233" s="383">
        <f t="shared" si="146"/>
        <v>0</v>
      </c>
      <c r="AH233" s="383">
        <f t="shared" si="147"/>
        <v>0</v>
      </c>
      <c r="AI233" s="383">
        <f t="shared" si="148"/>
        <v>0</v>
      </c>
      <c r="AJ233" s="383">
        <f t="shared" si="149"/>
        <v>1</v>
      </c>
      <c r="AK233" s="383">
        <f t="shared" si="150"/>
        <v>0</v>
      </c>
      <c r="AM233" s="148" t="str">
        <f t="shared" si="151"/>
        <v>Schedulled</v>
      </c>
      <c r="AN233" s="148" t="str">
        <f t="shared" si="152"/>
        <v/>
      </c>
      <c r="AO233" s="156">
        <f t="shared" si="153"/>
        <v>43060.715277777781</v>
      </c>
      <c r="AP233" s="148" t="str">
        <f t="shared" si="154"/>
        <v>11/21/2017 17:10-&gt;Hillel - Field 1</v>
      </c>
      <c r="AQ233" s="374">
        <f t="shared" si="155"/>
        <v>1</v>
      </c>
      <c r="AR233" s="148" t="str">
        <f t="shared" si="156"/>
        <v>ARG1</v>
      </c>
      <c r="AS233" s="148" t="str">
        <f t="shared" si="157"/>
        <v>USA2</v>
      </c>
      <c r="AT233" s="157" t="str">
        <f t="shared" si="158"/>
        <v>ARG1-USA2</v>
      </c>
      <c r="AU233" s="157" t="str">
        <f t="shared" si="159"/>
        <v xml:space="preserve">ARG1-USA2 </v>
      </c>
      <c r="AV233" s="157" t="str">
        <f t="shared" si="160"/>
        <v>CHILDREN D FEMALE</v>
      </c>
      <c r="AW233" s="157" t="str">
        <f t="shared" si="161"/>
        <v>Kickball</v>
      </c>
      <c r="AX233" s="376">
        <f t="shared" si="162"/>
        <v>231</v>
      </c>
      <c r="AY233" s="148" t="str">
        <f t="shared" si="163"/>
        <v>CHILD DF - ARG 1-&gt;CHILD DF - USA 2</v>
      </c>
      <c r="AZ233" s="148" t="str">
        <f t="shared" si="164"/>
        <v>11/21/2017 17:10-&gt;CHILD DF - ARG 1</v>
      </c>
      <c r="BA233" s="148" t="str">
        <f t="shared" si="165"/>
        <v>11/21/2017 17:10-&gt;CHILD DF - USA 2</v>
      </c>
      <c r="BB233" s="374">
        <f t="shared" si="166"/>
        <v>1</v>
      </c>
      <c r="BC233" s="374">
        <f t="shared" si="167"/>
        <v>1</v>
      </c>
      <c r="BD233" s="148" t="str">
        <f t="shared" si="168"/>
        <v>no conflict</v>
      </c>
      <c r="BF233" s="148" t="str">
        <f t="shared" si="169"/>
        <v>11/21/2017 17:10-&gt;CHILD DF - ARG 1</v>
      </c>
      <c r="BG233" s="148" t="str">
        <f t="shared" si="170"/>
        <v>11/21/2017 17:10-&gt;CHILD DF - USA 2</v>
      </c>
      <c r="BH233" s="148" t="str">
        <f t="shared" si="171"/>
        <v>11/21/2017 17:10-&gt;Hillel - Field 1</v>
      </c>
      <c r="BI233" s="148" t="str">
        <f t="shared" si="172"/>
        <v>Kickball in Hillel - Field 1 (ARG1-USA2)</v>
      </c>
      <c r="BJ233" s="148" t="str">
        <f t="shared" si="173"/>
        <v>Ch D Female Kickball-- CHILD DF - ARG 1 vs. CHILD DF - USA 2</v>
      </c>
      <c r="BK233" s="148" t="str">
        <f t="shared" si="174"/>
        <v>Kickball</v>
      </c>
      <c r="BL233" s="148" t="str">
        <f t="shared" si="175"/>
        <v>CHILD DF - ARG 1</v>
      </c>
      <c r="BM233" s="148" t="str">
        <f t="shared" si="176"/>
        <v>CHILD DF - USA 2</v>
      </c>
      <c r="BN233" s="148" t="str">
        <f t="shared" si="177"/>
        <v>Round - 1</v>
      </c>
      <c r="BP233" s="148" t="str">
        <f t="shared" si="178"/>
        <v>no t, f, or sf</v>
      </c>
      <c r="BQ233" s="148" t="str">
        <f t="shared" si="179"/>
        <v/>
      </c>
    </row>
    <row r="234" spans="1:69" ht="15" customHeight="1" x14ac:dyDescent="0.2">
      <c r="A234" s="376">
        <v>232</v>
      </c>
      <c r="B234" s="441" t="s">
        <v>52</v>
      </c>
      <c r="C234" s="441" t="s">
        <v>518</v>
      </c>
      <c r="D234" s="450">
        <v>1</v>
      </c>
      <c r="E234" s="450">
        <v>1</v>
      </c>
      <c r="F234" s="315" t="s">
        <v>770</v>
      </c>
      <c r="G234" s="320">
        <v>43060</v>
      </c>
      <c r="H234" s="318">
        <v>0.71527777777777779</v>
      </c>
      <c r="I234" s="325" t="s">
        <v>770</v>
      </c>
      <c r="J234" s="441" t="s">
        <v>706</v>
      </c>
      <c r="K234" s="441">
        <v>43</v>
      </c>
      <c r="L234" t="s">
        <v>590</v>
      </c>
      <c r="M234">
        <v>43</v>
      </c>
      <c r="N234" t="s">
        <v>724</v>
      </c>
      <c r="O234" s="153" t="str">
        <f>IF(L234&lt;&gt;"",IFERROR(VLOOKUP(B234&amp;L234,Pools!$A$2:$D$130,3,FALSE),""),"")</f>
        <v>Pool A</v>
      </c>
      <c r="P234" s="388">
        <v>8</v>
      </c>
      <c r="Q234" s="388">
        <v>4</v>
      </c>
      <c r="R234" s="306" t="str">
        <f t="shared" si="135"/>
        <v>8-4</v>
      </c>
      <c r="S234" s="153"/>
      <c r="T234" s="148" t="str">
        <f t="shared" si="136"/>
        <v>Completed</v>
      </c>
      <c r="U234" s="153"/>
      <c r="V234" s="153"/>
      <c r="W234" s="387">
        <f t="shared" si="137"/>
        <v>4</v>
      </c>
      <c r="X234" s="387">
        <f t="shared" si="138"/>
        <v>-4</v>
      </c>
      <c r="Y234" s="301">
        <f t="shared" si="139"/>
        <v>2</v>
      </c>
      <c r="Z234" s="301">
        <f t="shared" si="140"/>
        <v>0</v>
      </c>
      <c r="AA234" s="323" t="str">
        <f>CONCATENATE("                x[team1,team2,sport,'",IF(OR(I234="x",I234=""),VLOOKUP('Schedule from TM'!J234,Tables!$P$3:$Q$33,2,FALSE),'Schedule from TM'!I234),",",J234,"','",IF(OR(F234="x",F234=""),VLOOKUP('Schedule from TM'!G234,Tables!$U$3:$V$14,2,FALSE),'Schedule from TM'!F234),",",TEXT(G234,"mm/dd/yyyy"),"','",TEXT(H234,"h:mm:ss AM/PM"),"'].ub=0.0      #",B234)</f>
        <v xml:space="preserve">                x[team1,team2,sport,'21,Hillel - Field 4','22,11/21/2017','5:10:00 PM'].ub=0.0      #Ch D Female Kickball</v>
      </c>
      <c r="AB234" s="301" t="str">
        <f t="shared" si="141"/>
        <v>,,Ch D Female Kickball,Pool A,1,CHILD DF - VEN 2</v>
      </c>
      <c r="AC234" s="153" t="str">
        <f t="shared" si="142"/>
        <v>Ch D Female KickballPool ACHILD DF - VEN 2</v>
      </c>
      <c r="AD234" s="301" t="str">
        <f t="shared" si="143"/>
        <v>,,Ch D Female Kickball,Pool A,1,CHILD DF - MEX</v>
      </c>
      <c r="AE234" s="153" t="str">
        <f t="shared" si="144"/>
        <v>Ch D Female KickballPool ACHILD DF - MEX</v>
      </c>
      <c r="AF234" s="383">
        <f t="shared" si="145"/>
        <v>1</v>
      </c>
      <c r="AG234" s="383">
        <f t="shared" si="146"/>
        <v>0</v>
      </c>
      <c r="AH234" s="383">
        <f t="shared" si="147"/>
        <v>0</v>
      </c>
      <c r="AI234" s="383">
        <f t="shared" si="148"/>
        <v>0</v>
      </c>
      <c r="AJ234" s="383">
        <f t="shared" si="149"/>
        <v>1</v>
      </c>
      <c r="AK234" s="383">
        <f t="shared" si="150"/>
        <v>0</v>
      </c>
      <c r="AM234" s="148" t="str">
        <f t="shared" si="151"/>
        <v>Schedulled</v>
      </c>
      <c r="AN234" s="148" t="str">
        <f t="shared" si="152"/>
        <v/>
      </c>
      <c r="AO234" s="156">
        <f t="shared" si="153"/>
        <v>43060.715277777781</v>
      </c>
      <c r="AP234" s="148" t="str">
        <f t="shared" si="154"/>
        <v>11/21/2017 17:10-&gt;Hillel - Field 4</v>
      </c>
      <c r="AQ234" s="374">
        <f t="shared" si="155"/>
        <v>1</v>
      </c>
      <c r="AR234" s="148" t="str">
        <f t="shared" si="156"/>
        <v>VEN2</v>
      </c>
      <c r="AS234" s="148" t="str">
        <f t="shared" si="157"/>
        <v>MEX</v>
      </c>
      <c r="AT234" s="157" t="str">
        <f t="shared" si="158"/>
        <v>VEN2-MEX</v>
      </c>
      <c r="AU234" s="157" t="str">
        <f t="shared" si="159"/>
        <v xml:space="preserve">VEN2-MEX </v>
      </c>
      <c r="AV234" s="157" t="str">
        <f t="shared" si="160"/>
        <v>CHILDREN D FEMALE</v>
      </c>
      <c r="AW234" s="157" t="str">
        <f t="shared" si="161"/>
        <v>Kickball</v>
      </c>
      <c r="AX234" s="376">
        <f t="shared" si="162"/>
        <v>232</v>
      </c>
      <c r="AY234" s="148" t="str">
        <f t="shared" si="163"/>
        <v>CHILD DF - VEN 2-&gt;CHILD DF - MEX</v>
      </c>
      <c r="AZ234" s="148" t="str">
        <f t="shared" si="164"/>
        <v>11/21/2017 17:10-&gt;CHILD DF - VEN 2</v>
      </c>
      <c r="BA234" s="148" t="str">
        <f t="shared" si="165"/>
        <v>11/21/2017 17:10-&gt;CHILD DF - MEX</v>
      </c>
      <c r="BB234" s="374">
        <f t="shared" si="166"/>
        <v>1</v>
      </c>
      <c r="BC234" s="374">
        <f t="shared" si="167"/>
        <v>1</v>
      </c>
      <c r="BD234" s="148" t="str">
        <f t="shared" si="168"/>
        <v>no conflict</v>
      </c>
      <c r="BF234" s="148" t="str">
        <f t="shared" si="169"/>
        <v>11/21/2017 17:10-&gt;CHILD DF - VEN 2</v>
      </c>
      <c r="BG234" s="148" t="str">
        <f t="shared" si="170"/>
        <v>11/21/2017 17:10-&gt;CHILD DF - MEX</v>
      </c>
      <c r="BH234" s="148" t="str">
        <f t="shared" si="171"/>
        <v>11/21/2017 17:10-&gt;Hillel - Field 4</v>
      </c>
      <c r="BI234" s="148" t="str">
        <f t="shared" si="172"/>
        <v>Kickball in Hillel - Field 4 (VEN2-MEX)</v>
      </c>
      <c r="BJ234" s="148" t="str">
        <f t="shared" si="173"/>
        <v>Ch D Female Kickball-- CHILD DF - VEN 2 vs. CHILD DF - MEX</v>
      </c>
      <c r="BK234" s="148" t="str">
        <f t="shared" si="174"/>
        <v>Kickball</v>
      </c>
      <c r="BL234" s="148" t="str">
        <f t="shared" si="175"/>
        <v>CHILD DF - VEN 2</v>
      </c>
      <c r="BM234" s="148" t="str">
        <f t="shared" si="176"/>
        <v>CHILD DF - MEX</v>
      </c>
      <c r="BN234" s="148" t="str">
        <f t="shared" si="177"/>
        <v>Round - 1</v>
      </c>
      <c r="BP234" s="148" t="str">
        <f t="shared" si="178"/>
        <v>no t, f, or sf</v>
      </c>
      <c r="BQ234" s="148" t="str">
        <f t="shared" si="179"/>
        <v/>
      </c>
    </row>
    <row r="235" spans="1:69" ht="15" customHeight="1" x14ac:dyDescent="0.2">
      <c r="A235" s="376">
        <v>233</v>
      </c>
      <c r="B235" s="444" t="s">
        <v>52</v>
      </c>
      <c r="C235" s="444" t="s">
        <v>518</v>
      </c>
      <c r="D235" s="451">
        <v>1</v>
      </c>
      <c r="E235" s="451">
        <v>1</v>
      </c>
      <c r="F235" s="315" t="s">
        <v>770</v>
      </c>
      <c r="G235" s="445">
        <v>43062</v>
      </c>
      <c r="H235" s="317">
        <v>0.40277777777777773</v>
      </c>
      <c r="I235" s="325" t="s">
        <v>770</v>
      </c>
      <c r="J235" s="443" t="s">
        <v>704</v>
      </c>
      <c r="K235" s="444">
        <v>43</v>
      </c>
      <c r="L235" t="s">
        <v>586</v>
      </c>
      <c r="M235">
        <v>43</v>
      </c>
      <c r="N235" t="s">
        <v>724</v>
      </c>
      <c r="O235" s="153" t="str">
        <f>IF(L235&lt;&gt;"",IFERROR(VLOOKUP(B235&amp;L235,Pools!$A$2:$D$130,3,FALSE),""),"")</f>
        <v>Pool A</v>
      </c>
      <c r="P235" s="388">
        <v>24</v>
      </c>
      <c r="Q235" s="388">
        <v>12</v>
      </c>
      <c r="R235" s="306" t="str">
        <f t="shared" si="135"/>
        <v>24-12</v>
      </c>
      <c r="S235" s="153"/>
      <c r="T235" s="148" t="str">
        <f t="shared" si="136"/>
        <v>Completed</v>
      </c>
      <c r="U235" s="153"/>
      <c r="V235" s="153"/>
      <c r="W235" s="387">
        <f t="shared" si="137"/>
        <v>5</v>
      </c>
      <c r="X235" s="387">
        <f t="shared" si="138"/>
        <v>-5</v>
      </c>
      <c r="Y235" s="301">
        <f t="shared" si="139"/>
        <v>2</v>
      </c>
      <c r="Z235" s="301">
        <f t="shared" si="140"/>
        <v>0</v>
      </c>
      <c r="AA235" s="323" t="str">
        <f>CONCATENATE("                x[team1,team2,sport,'",IF(OR(I235="x",I235=""),VLOOKUP('Schedule from TM'!J235,Tables!$P$3:$Q$33,2,FALSE),'Schedule from TM'!I235),",",J235,"','",IF(OR(F235="x",F235=""),VLOOKUP('Schedule from TM'!G235,Tables!$U$3:$V$14,2,FALSE),'Schedule from TM'!F235),",",TEXT(G235,"mm/dd/yyyy"),"','",TEXT(H235,"h:mm:ss AM/PM"),"'].ub=0.0      #",B235)</f>
        <v xml:space="preserve">                x[team1,team2,sport,'21,Hillel - Field 2','11,11/23/2017','9:40:00 AM'].ub=0.0      #Ch D Female Kickball</v>
      </c>
      <c r="AB235" s="301" t="str">
        <f t="shared" si="141"/>
        <v>,,Ch D Female Kickball,Pool A,1,CHILD DF - COL 1</v>
      </c>
      <c r="AC235" s="153" t="str">
        <f t="shared" si="142"/>
        <v>Ch D Female KickballPool ACHILD DF - COL 1</v>
      </c>
      <c r="AD235" s="301" t="str">
        <f t="shared" si="143"/>
        <v>,,Ch D Female Kickball,Pool A,1,CHILD DF - MEX</v>
      </c>
      <c r="AE235" s="153" t="str">
        <f t="shared" si="144"/>
        <v>Ch D Female KickballPool ACHILD DF - MEX</v>
      </c>
      <c r="AF235" s="383">
        <f t="shared" si="145"/>
        <v>1</v>
      </c>
      <c r="AG235" s="383">
        <f t="shared" si="146"/>
        <v>0</v>
      </c>
      <c r="AH235" s="383">
        <f t="shared" si="147"/>
        <v>0</v>
      </c>
      <c r="AI235" s="383">
        <f t="shared" si="148"/>
        <v>0</v>
      </c>
      <c r="AJ235" s="383">
        <f t="shared" si="149"/>
        <v>1</v>
      </c>
      <c r="AK235" s="383">
        <f t="shared" si="150"/>
        <v>0</v>
      </c>
      <c r="AM235" s="148" t="str">
        <f t="shared" si="151"/>
        <v>Schedulled</v>
      </c>
      <c r="AN235" s="148" t="str">
        <f t="shared" si="152"/>
        <v/>
      </c>
      <c r="AO235" s="156">
        <f t="shared" si="153"/>
        <v>43062.402777777781</v>
      </c>
      <c r="AP235" s="148" t="str">
        <f t="shared" si="154"/>
        <v>11/23/2017 09:40-&gt;Hillel - Field 2</v>
      </c>
      <c r="AQ235" s="374">
        <f t="shared" si="155"/>
        <v>1</v>
      </c>
      <c r="AR235" s="148" t="str">
        <f t="shared" si="156"/>
        <v>COL1</v>
      </c>
      <c r="AS235" s="148" t="str">
        <f t="shared" si="157"/>
        <v>MEX</v>
      </c>
      <c r="AT235" s="157" t="str">
        <f t="shared" si="158"/>
        <v>COL1-MEX</v>
      </c>
      <c r="AU235" s="157" t="str">
        <f t="shared" si="159"/>
        <v xml:space="preserve">COL1-MEX </v>
      </c>
      <c r="AV235" s="157" t="str">
        <f t="shared" si="160"/>
        <v>CHILDREN D FEMALE</v>
      </c>
      <c r="AW235" s="157" t="str">
        <f t="shared" si="161"/>
        <v>Kickball</v>
      </c>
      <c r="AX235" s="376">
        <f t="shared" si="162"/>
        <v>233</v>
      </c>
      <c r="AY235" s="148" t="str">
        <f t="shared" si="163"/>
        <v>CHILD DF - COL 1-&gt;CHILD DF - MEX</v>
      </c>
      <c r="AZ235" s="148" t="str">
        <f t="shared" si="164"/>
        <v>11/23/2017 09:40-&gt;CHILD DF - COL 1</v>
      </c>
      <c r="BA235" s="148" t="str">
        <f t="shared" si="165"/>
        <v>11/23/2017 09:40-&gt;CHILD DF - MEX</v>
      </c>
      <c r="BB235" s="374">
        <f t="shared" si="166"/>
        <v>1</v>
      </c>
      <c r="BC235" s="374">
        <f t="shared" si="167"/>
        <v>1</v>
      </c>
      <c r="BD235" s="148" t="str">
        <f t="shared" si="168"/>
        <v>no conflict</v>
      </c>
      <c r="BF235" s="148" t="str">
        <f t="shared" si="169"/>
        <v>11/23/2017 09:40-&gt;CHILD DF - COL 1</v>
      </c>
      <c r="BG235" s="148" t="str">
        <f t="shared" si="170"/>
        <v>11/23/2017 09:40-&gt;CHILD DF - MEX</v>
      </c>
      <c r="BH235" s="148" t="str">
        <f t="shared" si="171"/>
        <v>11/23/2017 09:40-&gt;Hillel - Field 2</v>
      </c>
      <c r="BI235" s="148" t="str">
        <f t="shared" si="172"/>
        <v>Kickball in Hillel - Field 2 (COL1-MEX)</v>
      </c>
      <c r="BJ235" s="148" t="str">
        <f t="shared" si="173"/>
        <v>Ch D Female Kickball-- CHILD DF - COL 1 vs. CHILD DF - MEX</v>
      </c>
      <c r="BK235" s="148" t="str">
        <f t="shared" si="174"/>
        <v>Kickball</v>
      </c>
      <c r="BL235" s="148" t="str">
        <f t="shared" si="175"/>
        <v>CHILD DF - COL 1</v>
      </c>
      <c r="BM235" s="148" t="str">
        <f t="shared" si="176"/>
        <v>CHILD DF - MEX</v>
      </c>
      <c r="BN235" s="148" t="str">
        <f t="shared" si="177"/>
        <v>Round - 1</v>
      </c>
      <c r="BP235" s="148" t="str">
        <f t="shared" si="178"/>
        <v>no t, f, or sf</v>
      </c>
      <c r="BQ235" s="148" t="str">
        <f t="shared" si="179"/>
        <v/>
      </c>
    </row>
    <row r="236" spans="1:69" ht="15" customHeight="1" x14ac:dyDescent="0.2">
      <c r="A236" s="376">
        <v>234</v>
      </c>
      <c r="B236" s="441" t="s">
        <v>52</v>
      </c>
      <c r="C236" s="441" t="s">
        <v>518</v>
      </c>
      <c r="D236" s="450">
        <v>1</v>
      </c>
      <c r="E236" s="450">
        <v>1</v>
      </c>
      <c r="F236" s="315" t="s">
        <v>770</v>
      </c>
      <c r="G236" s="320">
        <v>43062</v>
      </c>
      <c r="H236" s="317">
        <v>0.4375</v>
      </c>
      <c r="I236" s="325" t="s">
        <v>770</v>
      </c>
      <c r="J236" s="441" t="s">
        <v>705</v>
      </c>
      <c r="K236" s="441">
        <v>43</v>
      </c>
      <c r="L236" t="s">
        <v>589</v>
      </c>
      <c r="M236">
        <v>43</v>
      </c>
      <c r="N236" t="s">
        <v>725</v>
      </c>
      <c r="O236" s="153" t="str">
        <f>IF(L236&lt;&gt;"",IFERROR(VLOOKUP(B236&amp;L236,Pools!$A$2:$D$130,3,FALSE),""),"")</f>
        <v>Pool B</v>
      </c>
      <c r="P236" s="388">
        <v>6</v>
      </c>
      <c r="Q236" s="388">
        <v>12</v>
      </c>
      <c r="R236" s="306" t="str">
        <f t="shared" si="135"/>
        <v>6-12</v>
      </c>
      <c r="S236" s="153"/>
      <c r="T236" s="148" t="str">
        <f t="shared" si="136"/>
        <v>Completed</v>
      </c>
      <c r="U236" s="153"/>
      <c r="V236" s="153"/>
      <c r="W236" s="387">
        <f t="shared" si="137"/>
        <v>-5</v>
      </c>
      <c r="X236" s="387">
        <f t="shared" si="138"/>
        <v>5</v>
      </c>
      <c r="Y236" s="301">
        <f t="shared" si="139"/>
        <v>0</v>
      </c>
      <c r="Z236" s="301">
        <f t="shared" si="140"/>
        <v>2</v>
      </c>
      <c r="AA236" s="323" t="str">
        <f>CONCATENATE("                x[team1,team2,sport,'",IF(OR(I236="x",I236=""),VLOOKUP('Schedule from TM'!J236,Tables!$P$3:$Q$33,2,FALSE),'Schedule from TM'!I236),",",J236,"','",IF(OR(F236="x",F236=""),VLOOKUP('Schedule from TM'!G236,Tables!$U$3:$V$14,2,FALSE),'Schedule from TM'!F236),",",TEXT(G236,"mm/dd/yyyy"),"','",TEXT(H236,"h:mm:ss AM/PM"),"'].ub=0.0      #",B236)</f>
        <v xml:space="preserve">                x[team1,team2,sport,'21,Hillel - Field 3','11,11/23/2017','10:30:00 AM'].ub=0.0      #Ch D Female Kickball</v>
      </c>
      <c r="AB236" s="301" t="str">
        <f t="shared" si="141"/>
        <v>,,Ch D Female Kickball,Pool B,1,CHILD DF - VEN 1</v>
      </c>
      <c r="AC236" s="153" t="str">
        <f t="shared" si="142"/>
        <v>Ch D Female KickballPool BCHILD DF - VEN 1</v>
      </c>
      <c r="AD236" s="301" t="str">
        <f t="shared" si="143"/>
        <v>,,Ch D Female Kickball,Pool B,1,CHILD DF - ISR</v>
      </c>
      <c r="AE236" s="153" t="str">
        <f t="shared" si="144"/>
        <v>Ch D Female KickballPool BCHILD DF - ISR</v>
      </c>
      <c r="AF236" s="383">
        <f t="shared" si="145"/>
        <v>0</v>
      </c>
      <c r="AG236" s="383">
        <f t="shared" si="146"/>
        <v>1</v>
      </c>
      <c r="AH236" s="383">
        <f t="shared" si="147"/>
        <v>0</v>
      </c>
      <c r="AI236" s="383">
        <f t="shared" si="148"/>
        <v>1</v>
      </c>
      <c r="AJ236" s="383">
        <f t="shared" si="149"/>
        <v>0</v>
      </c>
      <c r="AK236" s="383">
        <f t="shared" si="150"/>
        <v>0</v>
      </c>
      <c r="AM236" s="148" t="str">
        <f t="shared" si="151"/>
        <v>Schedulled</v>
      </c>
      <c r="AN236" s="148" t="str">
        <f t="shared" si="152"/>
        <v/>
      </c>
      <c r="AO236" s="156">
        <f t="shared" si="153"/>
        <v>43062.4375</v>
      </c>
      <c r="AP236" s="148" t="str">
        <f t="shared" si="154"/>
        <v>11/23/2017 10:30-&gt;Hillel - Field 3</v>
      </c>
      <c r="AQ236" s="374">
        <f t="shared" si="155"/>
        <v>1</v>
      </c>
      <c r="AR236" s="148" t="str">
        <f t="shared" si="156"/>
        <v>VEN1</v>
      </c>
      <c r="AS236" s="148" t="str">
        <f t="shared" si="157"/>
        <v>ISR</v>
      </c>
      <c r="AT236" s="157" t="str">
        <f t="shared" si="158"/>
        <v>VEN1-ISR</v>
      </c>
      <c r="AU236" s="157" t="str">
        <f t="shared" si="159"/>
        <v xml:space="preserve">VEN1-ISR </v>
      </c>
      <c r="AV236" s="157" t="str">
        <f t="shared" si="160"/>
        <v>CHILDREN D FEMALE</v>
      </c>
      <c r="AW236" s="157" t="str">
        <f t="shared" si="161"/>
        <v>Kickball</v>
      </c>
      <c r="AX236" s="376">
        <f t="shared" si="162"/>
        <v>234</v>
      </c>
      <c r="AY236" s="148" t="str">
        <f t="shared" si="163"/>
        <v>CHILD DF - VEN 1-&gt;CHILD DF - ISR</v>
      </c>
      <c r="AZ236" s="148" t="str">
        <f t="shared" si="164"/>
        <v>11/23/2017 10:30-&gt;CHILD DF - VEN 1</v>
      </c>
      <c r="BA236" s="148" t="str">
        <f t="shared" si="165"/>
        <v>11/23/2017 10:30-&gt;CHILD DF - ISR</v>
      </c>
      <c r="BB236" s="374">
        <f t="shared" si="166"/>
        <v>1</v>
      </c>
      <c r="BC236" s="374">
        <f t="shared" si="167"/>
        <v>1</v>
      </c>
      <c r="BD236" s="148" t="str">
        <f t="shared" si="168"/>
        <v>no conflict</v>
      </c>
      <c r="BF236" s="148" t="str">
        <f t="shared" si="169"/>
        <v>11/23/2017 10:30-&gt;CHILD DF - VEN 1</v>
      </c>
      <c r="BG236" s="148" t="str">
        <f t="shared" si="170"/>
        <v>11/23/2017 10:30-&gt;CHILD DF - ISR</v>
      </c>
      <c r="BH236" s="148" t="str">
        <f t="shared" si="171"/>
        <v>11/23/2017 10:30-&gt;Hillel - Field 3</v>
      </c>
      <c r="BI236" s="148" t="str">
        <f t="shared" si="172"/>
        <v>Kickball in Hillel - Field 3 (VEN1-ISR)</v>
      </c>
      <c r="BJ236" s="148" t="str">
        <f t="shared" si="173"/>
        <v>Ch D Female Kickball-- CHILD DF - VEN 1 vs. CHILD DF - ISR</v>
      </c>
      <c r="BK236" s="148" t="str">
        <f t="shared" si="174"/>
        <v>Kickball</v>
      </c>
      <c r="BL236" s="148" t="str">
        <f t="shared" si="175"/>
        <v>CHILD DF - VEN 1</v>
      </c>
      <c r="BM236" s="148" t="str">
        <f t="shared" si="176"/>
        <v>CHILD DF - ISR</v>
      </c>
      <c r="BN236" s="148" t="str">
        <f t="shared" si="177"/>
        <v>Round - 1</v>
      </c>
      <c r="BP236" s="148" t="str">
        <f t="shared" si="178"/>
        <v>no t, f, or sf</v>
      </c>
      <c r="BQ236" s="148" t="str">
        <f t="shared" si="179"/>
        <v/>
      </c>
    </row>
    <row r="237" spans="1:69" ht="15" customHeight="1" x14ac:dyDescent="0.2">
      <c r="A237" s="376">
        <v>235</v>
      </c>
      <c r="B237" s="441" t="s">
        <v>52</v>
      </c>
      <c r="C237" s="441" t="s">
        <v>518</v>
      </c>
      <c r="D237" s="450">
        <v>1</v>
      </c>
      <c r="E237" s="450">
        <v>1</v>
      </c>
      <c r="F237" s="315" t="s">
        <v>770</v>
      </c>
      <c r="G237" s="320">
        <v>43062</v>
      </c>
      <c r="H237" s="318">
        <v>0.47222222222222227</v>
      </c>
      <c r="I237" s="325" t="s">
        <v>770</v>
      </c>
      <c r="J237" s="441" t="s">
        <v>706</v>
      </c>
      <c r="K237" s="441">
        <v>43</v>
      </c>
      <c r="L237" t="s">
        <v>587</v>
      </c>
      <c r="M237">
        <v>43</v>
      </c>
      <c r="N237" t="s">
        <v>590</v>
      </c>
      <c r="O237" s="153" t="str">
        <f>IF(L237&lt;&gt;"",IFERROR(VLOOKUP(B237&amp;L237,Pools!$A$2:$D$130,3,FALSE),""),"")</f>
        <v>Pool A</v>
      </c>
      <c r="P237" s="388">
        <v>4</v>
      </c>
      <c r="Q237" s="388">
        <v>3</v>
      </c>
      <c r="R237" s="306" t="str">
        <f t="shared" si="135"/>
        <v>4-3</v>
      </c>
      <c r="S237" s="153"/>
      <c r="T237" s="148" t="str">
        <f t="shared" si="136"/>
        <v>Completed</v>
      </c>
      <c r="U237" s="153"/>
      <c r="V237" s="153"/>
      <c r="W237" s="387">
        <f t="shared" si="137"/>
        <v>1</v>
      </c>
      <c r="X237" s="387">
        <f t="shared" si="138"/>
        <v>-1</v>
      </c>
      <c r="Y237" s="301">
        <f t="shared" si="139"/>
        <v>2</v>
      </c>
      <c r="Z237" s="301">
        <f t="shared" si="140"/>
        <v>0</v>
      </c>
      <c r="AA237" s="323" t="str">
        <f>CONCATENATE("                x[team1,team2,sport,'",IF(OR(I237="x",I237=""),VLOOKUP('Schedule from TM'!J237,Tables!$P$3:$Q$33,2,FALSE),'Schedule from TM'!I237),",",J237,"','",IF(OR(F237="x",F237=""),VLOOKUP('Schedule from TM'!G237,Tables!$U$3:$V$14,2,FALSE),'Schedule from TM'!F237),",",TEXT(G237,"mm/dd/yyyy"),"','",TEXT(H237,"h:mm:ss AM/PM"),"'].ub=0.0      #",B237)</f>
        <v xml:space="preserve">                x[team1,team2,sport,'21,Hillel - Field 4','11,11/23/2017','11:20:00 AM'].ub=0.0      #Ch D Female Kickball</v>
      </c>
      <c r="AB237" s="301" t="str">
        <f t="shared" si="141"/>
        <v>,,Ch D Female Kickball,Pool A,1,CHILD DF - USA 1</v>
      </c>
      <c r="AC237" s="153" t="str">
        <f t="shared" si="142"/>
        <v>Ch D Female KickballPool ACHILD DF - USA 1</v>
      </c>
      <c r="AD237" s="301" t="str">
        <f t="shared" si="143"/>
        <v>,,Ch D Female Kickball,Pool A,1,CHILD DF - VEN 2</v>
      </c>
      <c r="AE237" s="153" t="str">
        <f t="shared" si="144"/>
        <v>Ch D Female KickballPool ACHILD DF - VEN 2</v>
      </c>
      <c r="AF237" s="383">
        <f t="shared" si="145"/>
        <v>1</v>
      </c>
      <c r="AG237" s="383">
        <f t="shared" si="146"/>
        <v>0</v>
      </c>
      <c r="AH237" s="383">
        <f t="shared" si="147"/>
        <v>0</v>
      </c>
      <c r="AI237" s="383">
        <f t="shared" si="148"/>
        <v>0</v>
      </c>
      <c r="AJ237" s="383">
        <f t="shared" si="149"/>
        <v>1</v>
      </c>
      <c r="AK237" s="383">
        <f t="shared" si="150"/>
        <v>0</v>
      </c>
      <c r="AM237" s="148" t="str">
        <f t="shared" si="151"/>
        <v>Schedulled</v>
      </c>
      <c r="AN237" s="148" t="str">
        <f t="shared" si="152"/>
        <v/>
      </c>
      <c r="AO237" s="156">
        <f t="shared" si="153"/>
        <v>43062.472222222219</v>
      </c>
      <c r="AP237" s="148" t="str">
        <f t="shared" si="154"/>
        <v>11/23/2017 11:20-&gt;Hillel - Field 4</v>
      </c>
      <c r="AQ237" s="374">
        <f t="shared" si="155"/>
        <v>1</v>
      </c>
      <c r="AR237" s="148" t="str">
        <f t="shared" si="156"/>
        <v>USA1</v>
      </c>
      <c r="AS237" s="148" t="str">
        <f t="shared" si="157"/>
        <v>VEN2</v>
      </c>
      <c r="AT237" s="157" t="str">
        <f t="shared" si="158"/>
        <v>USA1-VEN2</v>
      </c>
      <c r="AU237" s="157" t="str">
        <f t="shared" si="159"/>
        <v xml:space="preserve">USA1-VEN2 </v>
      </c>
      <c r="AV237" s="157" t="str">
        <f t="shared" si="160"/>
        <v>CHILDREN D FEMALE</v>
      </c>
      <c r="AW237" s="157" t="str">
        <f t="shared" si="161"/>
        <v>Kickball</v>
      </c>
      <c r="AX237" s="376">
        <f t="shared" si="162"/>
        <v>235</v>
      </c>
      <c r="AY237" s="148" t="str">
        <f t="shared" si="163"/>
        <v>CHILD DF - USA 1-&gt;CHILD DF - VEN 2</v>
      </c>
      <c r="AZ237" s="148" t="str">
        <f t="shared" si="164"/>
        <v>11/23/2017 11:20-&gt;CHILD DF - USA 1</v>
      </c>
      <c r="BA237" s="148" t="str">
        <f t="shared" si="165"/>
        <v>11/23/2017 11:20-&gt;CHILD DF - VEN 2</v>
      </c>
      <c r="BB237" s="374">
        <f t="shared" si="166"/>
        <v>1</v>
      </c>
      <c r="BC237" s="374">
        <f t="shared" si="167"/>
        <v>1</v>
      </c>
      <c r="BD237" s="148" t="str">
        <f t="shared" si="168"/>
        <v>no conflict</v>
      </c>
      <c r="BF237" s="148" t="str">
        <f t="shared" si="169"/>
        <v>11/23/2017 11:20-&gt;CHILD DF - USA 1</v>
      </c>
      <c r="BG237" s="148" t="str">
        <f t="shared" si="170"/>
        <v>11/23/2017 11:20-&gt;CHILD DF - VEN 2</v>
      </c>
      <c r="BH237" s="148" t="str">
        <f t="shared" si="171"/>
        <v>11/23/2017 11:20-&gt;Hillel - Field 4</v>
      </c>
      <c r="BI237" s="148" t="str">
        <f t="shared" si="172"/>
        <v>Kickball in Hillel - Field 4 (USA1-VEN2)</v>
      </c>
      <c r="BJ237" s="148" t="str">
        <f t="shared" si="173"/>
        <v>Ch D Female Kickball-- CHILD DF - USA 1 vs. CHILD DF - VEN 2</v>
      </c>
      <c r="BK237" s="148" t="str">
        <f t="shared" si="174"/>
        <v>Kickball</v>
      </c>
      <c r="BL237" s="148" t="str">
        <f t="shared" si="175"/>
        <v>CHILD DF - USA 1</v>
      </c>
      <c r="BM237" s="148" t="str">
        <f t="shared" si="176"/>
        <v>CHILD DF - VEN 2</v>
      </c>
      <c r="BN237" s="148" t="str">
        <f t="shared" si="177"/>
        <v>Round - 1</v>
      </c>
      <c r="BP237" s="148" t="str">
        <f t="shared" si="178"/>
        <v>no t, f, or sf</v>
      </c>
      <c r="BQ237" s="148" t="str">
        <f t="shared" si="179"/>
        <v/>
      </c>
    </row>
    <row r="238" spans="1:69" ht="16" x14ac:dyDescent="0.2">
      <c r="A238" s="376">
        <v>236</v>
      </c>
      <c r="B238" s="441" t="s">
        <v>52</v>
      </c>
      <c r="C238" s="441" t="s">
        <v>518</v>
      </c>
      <c r="D238" s="450">
        <v>1</v>
      </c>
      <c r="E238" s="450">
        <v>1</v>
      </c>
      <c r="F238" s="315" t="s">
        <v>770</v>
      </c>
      <c r="G238" s="320">
        <v>43063</v>
      </c>
      <c r="H238" s="454">
        <v>0.4375</v>
      </c>
      <c r="I238" s="325" t="s">
        <v>770</v>
      </c>
      <c r="J238" s="296" t="s">
        <v>703</v>
      </c>
      <c r="K238" s="441">
        <v>43</v>
      </c>
      <c r="L238" s="433" t="s">
        <v>588</v>
      </c>
      <c r="M238" s="433">
        <v>43</v>
      </c>
      <c r="N238" s="433" t="s">
        <v>589</v>
      </c>
      <c r="O238" s="153" t="str">
        <f>IF(L238&lt;&gt;"",IFERROR(VLOOKUP(B238&amp;L238,Pools!$A$2:$D$130,3,FALSE),""),"")</f>
        <v>Pool B</v>
      </c>
      <c r="P238" s="388">
        <v>10</v>
      </c>
      <c r="Q238" s="388">
        <v>9</v>
      </c>
      <c r="R238" s="306" t="str">
        <f t="shared" si="135"/>
        <v>10-9</v>
      </c>
      <c r="S238" s="153"/>
      <c r="T238" s="148" t="str">
        <f t="shared" si="136"/>
        <v>Completed</v>
      </c>
      <c r="U238" s="153"/>
      <c r="V238" s="153"/>
      <c r="W238" s="387">
        <f t="shared" si="137"/>
        <v>1</v>
      </c>
      <c r="X238" s="387">
        <f t="shared" si="138"/>
        <v>-1</v>
      </c>
      <c r="Y238" s="301">
        <f t="shared" si="139"/>
        <v>2</v>
      </c>
      <c r="Z238" s="301">
        <f t="shared" si="140"/>
        <v>0</v>
      </c>
      <c r="AA238" s="323" t="str">
        <f>CONCATENATE("                x[team1,team2,sport,'",IF(OR(I238="x",I238=""),VLOOKUP('Schedule from TM'!J238,Tables!$P$3:$Q$33,2,FALSE),'Schedule from TM'!I238),",",J238,"','",IF(OR(F238="x",F238=""),VLOOKUP('Schedule from TM'!G238,Tables!$U$3:$V$14,2,FALSE),'Schedule from TM'!F238),",",TEXT(G238,"mm/dd/yyyy"),"','",TEXT(H238,"h:mm:ss AM/PM"),"'].ub=0.0      #",B238)</f>
        <v xml:space="preserve">                x[team1,team2,sport,'21,Hillel - Field 1','11,11/24/2017','10:30:00 AM'].ub=0.0      #Ch D Female Kickball</v>
      </c>
      <c r="AB238" s="301" t="str">
        <f t="shared" si="141"/>
        <v>,,Ch D Female Kickball,Pool B,1,CHILD DF - USA 2</v>
      </c>
      <c r="AC238" s="153" t="str">
        <f t="shared" si="142"/>
        <v>Ch D Female KickballPool BCHILD DF - USA 2</v>
      </c>
      <c r="AD238" s="301" t="str">
        <f t="shared" si="143"/>
        <v>,,Ch D Female Kickball,Pool B,1,CHILD DF - VEN 1</v>
      </c>
      <c r="AE238" s="153" t="str">
        <f t="shared" si="144"/>
        <v>Ch D Female KickballPool BCHILD DF - VEN 1</v>
      </c>
      <c r="AF238" s="383">
        <f t="shared" si="145"/>
        <v>1</v>
      </c>
      <c r="AG238" s="383">
        <f t="shared" si="146"/>
        <v>0</v>
      </c>
      <c r="AH238" s="383">
        <f t="shared" si="147"/>
        <v>0</v>
      </c>
      <c r="AI238" s="383">
        <f t="shared" si="148"/>
        <v>0</v>
      </c>
      <c r="AJ238" s="383">
        <f t="shared" si="149"/>
        <v>1</v>
      </c>
      <c r="AK238" s="383">
        <f t="shared" si="150"/>
        <v>0</v>
      </c>
      <c r="AM238" s="148" t="str">
        <f t="shared" si="151"/>
        <v>Schedulled</v>
      </c>
      <c r="AN238" s="148" t="str">
        <f t="shared" si="152"/>
        <v/>
      </c>
      <c r="AO238" s="156">
        <f t="shared" si="153"/>
        <v>43063.4375</v>
      </c>
      <c r="AP238" s="148" t="str">
        <f t="shared" si="154"/>
        <v>11/24/2017 10:30-&gt;Hillel - Field 1</v>
      </c>
      <c r="AQ238" s="374">
        <f t="shared" si="155"/>
        <v>1</v>
      </c>
      <c r="AR238" s="148" t="str">
        <f t="shared" si="156"/>
        <v>USA2</v>
      </c>
      <c r="AS238" s="148" t="str">
        <f t="shared" si="157"/>
        <v>VEN1</v>
      </c>
      <c r="AT238" s="157" t="str">
        <f t="shared" si="158"/>
        <v>USA2-VEN1</v>
      </c>
      <c r="AU238" s="157" t="str">
        <f t="shared" si="159"/>
        <v xml:space="preserve">USA2-VEN1 </v>
      </c>
      <c r="AV238" s="157" t="str">
        <f t="shared" si="160"/>
        <v>CHILDREN D FEMALE</v>
      </c>
      <c r="AW238" s="157" t="str">
        <f t="shared" si="161"/>
        <v>Kickball</v>
      </c>
      <c r="AX238" s="376">
        <f t="shared" si="162"/>
        <v>236</v>
      </c>
      <c r="AY238" s="148" t="str">
        <f t="shared" si="163"/>
        <v>CHILD DF - USA 2-&gt;CHILD DF - VEN 1</v>
      </c>
      <c r="AZ238" s="148" t="str">
        <f t="shared" si="164"/>
        <v>11/24/2017 10:30-&gt;CHILD DF - USA 2</v>
      </c>
      <c r="BA238" s="148" t="str">
        <f t="shared" si="165"/>
        <v>11/24/2017 10:30-&gt;CHILD DF - VEN 1</v>
      </c>
      <c r="BB238" s="374">
        <f t="shared" si="166"/>
        <v>1</v>
      </c>
      <c r="BC238" s="374">
        <f t="shared" si="167"/>
        <v>1</v>
      </c>
      <c r="BD238" s="148" t="str">
        <f t="shared" si="168"/>
        <v>no conflict</v>
      </c>
      <c r="BF238" s="148" t="str">
        <f t="shared" si="169"/>
        <v>11/24/2017 10:30-&gt;CHILD DF - USA 2</v>
      </c>
      <c r="BG238" s="148" t="str">
        <f t="shared" si="170"/>
        <v>11/24/2017 10:30-&gt;CHILD DF - VEN 1</v>
      </c>
      <c r="BH238" s="148" t="str">
        <f t="shared" si="171"/>
        <v>11/24/2017 10:30-&gt;Hillel - Field 1</v>
      </c>
      <c r="BI238" s="148" t="str">
        <f t="shared" si="172"/>
        <v>Kickball in Hillel - Field 1 (USA2-VEN1)</v>
      </c>
      <c r="BJ238" s="148" t="str">
        <f t="shared" si="173"/>
        <v>Ch D Female Kickball-- CHILD DF - USA 2 vs. CHILD DF - VEN 1</v>
      </c>
      <c r="BK238" s="148" t="str">
        <f t="shared" si="174"/>
        <v>Kickball</v>
      </c>
      <c r="BL238" s="148" t="str">
        <f t="shared" si="175"/>
        <v>CHILD DF - USA 2</v>
      </c>
      <c r="BM238" s="148" t="str">
        <f t="shared" si="176"/>
        <v>CHILD DF - VEN 1</v>
      </c>
      <c r="BN238" s="148" t="str">
        <f t="shared" si="177"/>
        <v>Round - 1</v>
      </c>
      <c r="BP238" s="148" t="str">
        <f t="shared" si="178"/>
        <v>no t, f, or sf</v>
      </c>
      <c r="BQ238" s="148" t="str">
        <f t="shared" si="179"/>
        <v/>
      </c>
    </row>
    <row r="239" spans="1:69" ht="15" customHeight="1" x14ac:dyDescent="0.2">
      <c r="A239" s="376">
        <v>237</v>
      </c>
      <c r="B239" s="444" t="s">
        <v>52</v>
      </c>
      <c r="C239" s="444" t="s">
        <v>518</v>
      </c>
      <c r="D239" s="451">
        <v>1</v>
      </c>
      <c r="E239" s="451">
        <v>1</v>
      </c>
      <c r="F239" s="315" t="s">
        <v>770</v>
      </c>
      <c r="G239" s="445">
        <v>43063</v>
      </c>
      <c r="H239" s="454">
        <v>0.47222222222222227</v>
      </c>
      <c r="I239" s="325" t="s">
        <v>770</v>
      </c>
      <c r="J239" s="444" t="s">
        <v>704</v>
      </c>
      <c r="K239" s="444">
        <v>43</v>
      </c>
      <c r="L239" t="s">
        <v>586</v>
      </c>
      <c r="M239">
        <v>43</v>
      </c>
      <c r="N239" t="s">
        <v>590</v>
      </c>
      <c r="O239" s="153" t="str">
        <f>IF(L239&lt;&gt;"",IFERROR(VLOOKUP(B239&amp;L239,Pools!$A$2:$D$130,3,FALSE),""),"")</f>
        <v>Pool A</v>
      </c>
      <c r="P239" s="388">
        <v>11</v>
      </c>
      <c r="Q239" s="388">
        <v>12</v>
      </c>
      <c r="R239" s="306" t="str">
        <f t="shared" si="135"/>
        <v>11-12</v>
      </c>
      <c r="S239" s="153"/>
      <c r="T239" s="148" t="str">
        <f t="shared" si="136"/>
        <v>Completed</v>
      </c>
      <c r="U239" s="153"/>
      <c r="V239" s="153"/>
      <c r="W239" s="387">
        <f t="shared" si="137"/>
        <v>-1</v>
      </c>
      <c r="X239" s="387">
        <f t="shared" si="138"/>
        <v>1</v>
      </c>
      <c r="Y239" s="301">
        <f t="shared" si="139"/>
        <v>0</v>
      </c>
      <c r="Z239" s="301">
        <f t="shared" si="140"/>
        <v>2</v>
      </c>
      <c r="AA239" s="323" t="str">
        <f>CONCATENATE("                x[team1,team2,sport,'",IF(OR(I239="x",I239=""),VLOOKUP('Schedule from TM'!J239,Tables!$P$3:$Q$33,2,FALSE),'Schedule from TM'!I239),",",J239,"','",IF(OR(F239="x",F239=""),VLOOKUP('Schedule from TM'!G239,Tables!$U$3:$V$14,2,FALSE),'Schedule from TM'!F239),",",TEXT(G239,"mm/dd/yyyy"),"','",TEXT(H239,"h:mm:ss AM/PM"),"'].ub=0.0      #",B239)</f>
        <v xml:space="preserve">                x[team1,team2,sport,'21,Hillel - Field 2','11,11/24/2017','11:20:00 AM'].ub=0.0      #Ch D Female Kickball</v>
      </c>
      <c r="AB239" s="301" t="str">
        <f t="shared" si="141"/>
        <v>,,Ch D Female Kickball,Pool A,1,CHILD DF - COL 1</v>
      </c>
      <c r="AC239" s="153" t="str">
        <f t="shared" si="142"/>
        <v>Ch D Female KickballPool ACHILD DF - COL 1</v>
      </c>
      <c r="AD239" s="301" t="str">
        <f t="shared" si="143"/>
        <v>,,Ch D Female Kickball,Pool A,1,CHILD DF - VEN 2</v>
      </c>
      <c r="AE239" s="153" t="str">
        <f t="shared" si="144"/>
        <v>Ch D Female KickballPool ACHILD DF - VEN 2</v>
      </c>
      <c r="AF239" s="383">
        <f t="shared" si="145"/>
        <v>0</v>
      </c>
      <c r="AG239" s="383">
        <f t="shared" si="146"/>
        <v>1</v>
      </c>
      <c r="AH239" s="383">
        <f t="shared" si="147"/>
        <v>0</v>
      </c>
      <c r="AI239" s="383">
        <f t="shared" si="148"/>
        <v>1</v>
      </c>
      <c r="AJ239" s="383">
        <f t="shared" si="149"/>
        <v>0</v>
      </c>
      <c r="AK239" s="383">
        <f t="shared" si="150"/>
        <v>0</v>
      </c>
      <c r="AM239" s="148" t="str">
        <f t="shared" si="151"/>
        <v>Schedulled</v>
      </c>
      <c r="AN239" s="148" t="str">
        <f t="shared" si="152"/>
        <v/>
      </c>
      <c r="AO239" s="156">
        <f t="shared" si="153"/>
        <v>43063.472222222219</v>
      </c>
      <c r="AP239" s="148" t="str">
        <f t="shared" si="154"/>
        <v>11/24/2017 11:20-&gt;Hillel - Field 2</v>
      </c>
      <c r="AQ239" s="374">
        <f t="shared" si="155"/>
        <v>1</v>
      </c>
      <c r="AR239" s="148" t="str">
        <f t="shared" si="156"/>
        <v>COL1</v>
      </c>
      <c r="AS239" s="148" t="str">
        <f t="shared" si="157"/>
        <v>VEN2</v>
      </c>
      <c r="AT239" s="157" t="str">
        <f t="shared" si="158"/>
        <v>COL1-VEN2</v>
      </c>
      <c r="AU239" s="157" t="str">
        <f t="shared" si="159"/>
        <v xml:space="preserve">COL1-VEN2 </v>
      </c>
      <c r="AV239" s="157" t="str">
        <f t="shared" si="160"/>
        <v>CHILDREN D FEMALE</v>
      </c>
      <c r="AW239" s="157" t="str">
        <f t="shared" si="161"/>
        <v>Kickball</v>
      </c>
      <c r="AX239" s="376">
        <f t="shared" si="162"/>
        <v>237</v>
      </c>
      <c r="AY239" s="148" t="str">
        <f t="shared" si="163"/>
        <v>CHILD DF - COL 1-&gt;CHILD DF - VEN 2</v>
      </c>
      <c r="AZ239" s="148" t="str">
        <f t="shared" si="164"/>
        <v>11/24/2017 11:20-&gt;CHILD DF - COL 1</v>
      </c>
      <c r="BA239" s="148" t="str">
        <f t="shared" si="165"/>
        <v>11/24/2017 11:20-&gt;CHILD DF - VEN 2</v>
      </c>
      <c r="BB239" s="374">
        <f t="shared" si="166"/>
        <v>1</v>
      </c>
      <c r="BC239" s="374">
        <f t="shared" si="167"/>
        <v>1</v>
      </c>
      <c r="BD239" s="148" t="str">
        <f t="shared" si="168"/>
        <v>no conflict</v>
      </c>
      <c r="BF239" s="148" t="str">
        <f t="shared" si="169"/>
        <v>11/24/2017 11:20-&gt;CHILD DF - COL 1</v>
      </c>
      <c r="BG239" s="148" t="str">
        <f t="shared" si="170"/>
        <v>11/24/2017 11:20-&gt;CHILD DF - VEN 2</v>
      </c>
      <c r="BH239" s="148" t="str">
        <f t="shared" si="171"/>
        <v>11/24/2017 11:20-&gt;Hillel - Field 2</v>
      </c>
      <c r="BI239" s="148" t="str">
        <f t="shared" si="172"/>
        <v>Kickball in Hillel - Field 2 (COL1-VEN2)</v>
      </c>
      <c r="BJ239" s="148" t="str">
        <f t="shared" si="173"/>
        <v>Ch D Female Kickball-- CHILD DF - COL 1 vs. CHILD DF - VEN 2</v>
      </c>
      <c r="BK239" s="148" t="str">
        <f t="shared" si="174"/>
        <v>Kickball</v>
      </c>
      <c r="BL239" s="148" t="str">
        <f t="shared" si="175"/>
        <v>CHILD DF - COL 1</v>
      </c>
      <c r="BM239" s="148" t="str">
        <f t="shared" si="176"/>
        <v>CHILD DF - VEN 2</v>
      </c>
      <c r="BN239" s="148" t="str">
        <f t="shared" si="177"/>
        <v>Round - 1</v>
      </c>
      <c r="BP239" s="148" t="str">
        <f t="shared" si="178"/>
        <v>no t, f, or sf</v>
      </c>
      <c r="BQ239" s="148" t="str">
        <f t="shared" si="179"/>
        <v/>
      </c>
    </row>
    <row r="240" spans="1:69" ht="15" customHeight="1" x14ac:dyDescent="0.2">
      <c r="A240" s="376">
        <v>238</v>
      </c>
      <c r="B240" s="319" t="s">
        <v>52</v>
      </c>
      <c r="C240" s="319" t="s">
        <v>518</v>
      </c>
      <c r="D240" s="376">
        <v>1</v>
      </c>
      <c r="E240" s="376">
        <v>1</v>
      </c>
      <c r="F240" s="315" t="s">
        <v>770</v>
      </c>
      <c r="G240" s="320">
        <v>43065</v>
      </c>
      <c r="H240" s="418">
        <v>0.33333333333333331</v>
      </c>
      <c r="I240" s="325" t="s">
        <v>770</v>
      </c>
      <c r="J240" s="296" t="s">
        <v>703</v>
      </c>
      <c r="K240" s="319">
        <v>43</v>
      </c>
      <c r="L240" t="s">
        <v>586</v>
      </c>
      <c r="M240">
        <v>43</v>
      </c>
      <c r="N240" t="s">
        <v>587</v>
      </c>
      <c r="O240" s="153" t="str">
        <f>IF(L240&lt;&gt;"",IFERROR(VLOOKUP(B240&amp;L240,Pools!$A$2:$D$130,3,FALSE),""),"")</f>
        <v>Pool A</v>
      </c>
      <c r="P240" s="388">
        <v>8</v>
      </c>
      <c r="Q240" s="388">
        <v>15</v>
      </c>
      <c r="R240" s="306" t="str">
        <f t="shared" si="135"/>
        <v>8-15</v>
      </c>
      <c r="S240" s="153"/>
      <c r="T240" s="148" t="str">
        <f t="shared" si="136"/>
        <v>Completed</v>
      </c>
      <c r="U240" s="153"/>
      <c r="V240" s="153"/>
      <c r="W240" s="387">
        <f t="shared" si="137"/>
        <v>-5</v>
      </c>
      <c r="X240" s="387">
        <f t="shared" si="138"/>
        <v>5</v>
      </c>
      <c r="Y240" s="301">
        <f t="shared" si="139"/>
        <v>0</v>
      </c>
      <c r="Z240" s="301">
        <f t="shared" si="140"/>
        <v>2</v>
      </c>
      <c r="AA240" s="323" t="str">
        <f>CONCATENATE("                x[team1,team2,sport,'",IF(OR(I240="x",I240=""),VLOOKUP('Schedule from TM'!J240,Tables!$P$3:$Q$33,2,FALSE),'Schedule from TM'!I240),",",J240,"','",IF(OR(F240="x",F240=""),VLOOKUP('Schedule from TM'!G240,Tables!$U$3:$V$14,2,FALSE),'Schedule from TM'!F240),",",TEXT(G240,"mm/dd/yyyy"),"','",TEXT(H240,"h:mm:ss AM/PM"),"'].ub=0.0      #",B240)</f>
        <v xml:space="preserve">                x[team1,team2,sport,'21,Hillel - Field 1','21,11/26/2017','8:00:00 AM'].ub=0.0      #Ch D Female Kickball</v>
      </c>
      <c r="AB240" s="301" t="str">
        <f t="shared" si="141"/>
        <v>,,Ch D Female Kickball,Pool A,1,CHILD DF - COL 1</v>
      </c>
      <c r="AC240" s="153" t="str">
        <f t="shared" si="142"/>
        <v>Ch D Female KickballPool ACHILD DF - COL 1</v>
      </c>
      <c r="AD240" s="301" t="str">
        <f t="shared" si="143"/>
        <v>,,Ch D Female Kickball,Pool A,1,CHILD DF - USA 1</v>
      </c>
      <c r="AE240" s="153" t="str">
        <f t="shared" si="144"/>
        <v>Ch D Female KickballPool ACHILD DF - USA 1</v>
      </c>
      <c r="AF240" s="383">
        <f t="shared" si="145"/>
        <v>0</v>
      </c>
      <c r="AG240" s="383">
        <f t="shared" si="146"/>
        <v>1</v>
      </c>
      <c r="AH240" s="383">
        <f t="shared" si="147"/>
        <v>0</v>
      </c>
      <c r="AI240" s="383">
        <f t="shared" si="148"/>
        <v>1</v>
      </c>
      <c r="AJ240" s="383">
        <f t="shared" si="149"/>
        <v>0</v>
      </c>
      <c r="AK240" s="383">
        <f t="shared" si="150"/>
        <v>0</v>
      </c>
      <c r="AM240" s="148" t="str">
        <f t="shared" si="151"/>
        <v>Schedulled</v>
      </c>
      <c r="AN240" s="148" t="str">
        <f t="shared" si="152"/>
        <v/>
      </c>
      <c r="AO240" s="156">
        <f t="shared" si="153"/>
        <v>43065.333333333336</v>
      </c>
      <c r="AP240" s="148" t="str">
        <f t="shared" si="154"/>
        <v>11/26/2017 08:00-&gt;Hillel - Field 1</v>
      </c>
      <c r="AQ240" s="374">
        <f t="shared" si="155"/>
        <v>1</v>
      </c>
      <c r="AR240" s="148" t="str">
        <f t="shared" si="156"/>
        <v>COL1</v>
      </c>
      <c r="AS240" s="148" t="str">
        <f t="shared" si="157"/>
        <v>USA1</v>
      </c>
      <c r="AT240" s="157" t="str">
        <f t="shared" si="158"/>
        <v>COL1-USA1</v>
      </c>
      <c r="AU240" s="157" t="str">
        <f t="shared" si="159"/>
        <v xml:space="preserve">COL1-USA1 </v>
      </c>
      <c r="AV240" s="157" t="str">
        <f t="shared" si="160"/>
        <v>CHILDREN D FEMALE</v>
      </c>
      <c r="AW240" s="157" t="str">
        <f t="shared" si="161"/>
        <v>Kickball</v>
      </c>
      <c r="AX240" s="376">
        <f t="shared" si="162"/>
        <v>238</v>
      </c>
      <c r="AY240" s="148" t="str">
        <f t="shared" si="163"/>
        <v>CHILD DF - COL 1-&gt;CHILD DF - USA 1</v>
      </c>
      <c r="AZ240" s="148" t="str">
        <f t="shared" si="164"/>
        <v>11/26/2017 08:00-&gt;CHILD DF - COL 1</v>
      </c>
      <c r="BA240" s="148" t="str">
        <f t="shared" si="165"/>
        <v>11/26/2017 08:00-&gt;CHILD DF - USA 1</v>
      </c>
      <c r="BB240" s="374">
        <f t="shared" si="166"/>
        <v>1</v>
      </c>
      <c r="BC240" s="374">
        <f t="shared" si="167"/>
        <v>1</v>
      </c>
      <c r="BD240" s="148" t="str">
        <f t="shared" si="168"/>
        <v>no conflict</v>
      </c>
      <c r="BF240" s="148" t="str">
        <f t="shared" si="169"/>
        <v>11/26/2017 08:00-&gt;CHILD DF - COL 1</v>
      </c>
      <c r="BG240" s="148" t="str">
        <f t="shared" si="170"/>
        <v>11/26/2017 08:00-&gt;CHILD DF - USA 1</v>
      </c>
      <c r="BH240" s="148" t="str">
        <f t="shared" si="171"/>
        <v>11/26/2017 08:00-&gt;Hillel - Field 1</v>
      </c>
      <c r="BI240" s="148" t="str">
        <f t="shared" si="172"/>
        <v>Kickball in Hillel - Field 1 (COL1-USA1)</v>
      </c>
      <c r="BJ240" s="148" t="str">
        <f t="shared" si="173"/>
        <v>Ch D Female Kickball-- CHILD DF - COL 1 vs. CHILD DF - USA 1</v>
      </c>
      <c r="BK240" s="148" t="str">
        <f t="shared" si="174"/>
        <v>Kickball</v>
      </c>
      <c r="BL240" s="148" t="str">
        <f t="shared" si="175"/>
        <v>CHILD DF - COL 1</v>
      </c>
      <c r="BM240" s="148" t="str">
        <f t="shared" si="176"/>
        <v>CHILD DF - USA 1</v>
      </c>
      <c r="BN240" s="148" t="str">
        <f t="shared" si="177"/>
        <v>Round - 1</v>
      </c>
      <c r="BP240" s="148" t="str">
        <f t="shared" si="178"/>
        <v>no t, f, or sf</v>
      </c>
      <c r="BQ240" s="148" t="str">
        <f t="shared" si="179"/>
        <v/>
      </c>
    </row>
    <row r="241" spans="1:69" ht="15" customHeight="1" x14ac:dyDescent="0.2">
      <c r="A241" s="376">
        <v>239</v>
      </c>
      <c r="B241" s="441" t="s">
        <v>48</v>
      </c>
      <c r="C241" s="441" t="s">
        <v>518</v>
      </c>
      <c r="D241" s="450">
        <v>1</v>
      </c>
      <c r="E241" s="450">
        <v>1</v>
      </c>
      <c r="F241" s="315" t="s">
        <v>770</v>
      </c>
      <c r="G241" s="320">
        <v>43058</v>
      </c>
      <c r="H241" s="318">
        <v>0.47222222222222227</v>
      </c>
      <c r="I241" s="325" t="s">
        <v>770</v>
      </c>
      <c r="J241" s="441" t="s">
        <v>694</v>
      </c>
      <c r="K241" s="441">
        <v>43</v>
      </c>
      <c r="L241" t="s">
        <v>588</v>
      </c>
      <c r="M241">
        <v>43</v>
      </c>
      <c r="N241" t="s">
        <v>589</v>
      </c>
      <c r="O241" s="153" t="str">
        <f>IF(L241&lt;&gt;"",IFERROR(VLOOKUP(B241&amp;L241,Pools!$A$2:$D$130,3,FALSE),""),"")</f>
        <v>Pool A</v>
      </c>
      <c r="P241" s="388">
        <v>0</v>
      </c>
      <c r="Q241" s="388">
        <v>5</v>
      </c>
      <c r="R241" s="306" t="str">
        <f t="shared" si="135"/>
        <v>0-5</v>
      </c>
      <c r="S241" s="153"/>
      <c r="T241" s="148" t="str">
        <f t="shared" si="136"/>
        <v>Completed</v>
      </c>
      <c r="U241" s="153"/>
      <c r="V241" s="153"/>
      <c r="W241" s="387">
        <f t="shared" si="137"/>
        <v>-3</v>
      </c>
      <c r="X241" s="387">
        <f t="shared" si="138"/>
        <v>3</v>
      </c>
      <c r="Y241" s="301">
        <f t="shared" si="139"/>
        <v>0</v>
      </c>
      <c r="Z241" s="301">
        <f t="shared" si="140"/>
        <v>2</v>
      </c>
      <c r="AA241" s="323" t="str">
        <f>CONCATENATE("                x[team1,team2,sport,'",IF(OR(I241="x",I241=""),VLOOKUP('Schedule from TM'!J241,Tables!$P$3:$Q$33,2,FALSE),'Schedule from TM'!I241),",",J241,"','",IF(OR(F241="x",F241=""),VLOOKUP('Schedule from TM'!G241,Tables!$U$3:$V$14,2,FALSE),'Schedule from TM'!F241),",",TEXT(G241,"mm/dd/yyyy"),"','",TEXT(H241,"h:mm:ss AM/PM"),"'].ub=0.0      #",B241)</f>
        <v xml:space="preserve">                x[team1,team2,sport,'11,JCC Back Field 4','11,11/19/2017','11:20:00 AM'].ub=0.0      #Ch D Female Mini Soccer</v>
      </c>
      <c r="AB241" s="301" t="str">
        <f t="shared" si="141"/>
        <v>,,Ch D Female Mini Soccer,Pool A,1,CHILD DF - USA 2</v>
      </c>
      <c r="AC241" s="153" t="str">
        <f t="shared" si="142"/>
        <v>Ch D Female Mini SoccerPool ACHILD DF - USA 2</v>
      </c>
      <c r="AD241" s="301" t="str">
        <f t="shared" si="143"/>
        <v>,,Ch D Female Mini Soccer,Pool A,1,CHILD DF - VEN 1</v>
      </c>
      <c r="AE241" s="153" t="str">
        <f t="shared" si="144"/>
        <v>Ch D Female Mini SoccerPool ACHILD DF - VEN 1</v>
      </c>
      <c r="AF241" s="383">
        <f t="shared" si="145"/>
        <v>0</v>
      </c>
      <c r="AG241" s="383">
        <f t="shared" si="146"/>
        <v>1</v>
      </c>
      <c r="AH241" s="383">
        <f t="shared" si="147"/>
        <v>0</v>
      </c>
      <c r="AI241" s="383">
        <f t="shared" si="148"/>
        <v>1</v>
      </c>
      <c r="AJ241" s="383">
        <f t="shared" si="149"/>
        <v>0</v>
      </c>
      <c r="AK241" s="383">
        <f t="shared" si="150"/>
        <v>0</v>
      </c>
      <c r="AM241" s="148" t="str">
        <f t="shared" si="151"/>
        <v>Schedulled</v>
      </c>
      <c r="AN241" s="148" t="str">
        <f t="shared" si="152"/>
        <v/>
      </c>
      <c r="AO241" s="156">
        <f t="shared" si="153"/>
        <v>43058.472222222219</v>
      </c>
      <c r="AP241" s="148" t="str">
        <f t="shared" si="154"/>
        <v>11/19/2017 11:20-&gt;JCC Back Field 4</v>
      </c>
      <c r="AQ241" s="374">
        <f t="shared" si="155"/>
        <v>1</v>
      </c>
      <c r="AR241" s="148" t="str">
        <f t="shared" si="156"/>
        <v>USA2</v>
      </c>
      <c r="AS241" s="148" t="str">
        <f t="shared" si="157"/>
        <v>VEN1</v>
      </c>
      <c r="AT241" s="157" t="str">
        <f t="shared" si="158"/>
        <v>USA2-VEN1</v>
      </c>
      <c r="AU241" s="157" t="str">
        <f t="shared" si="159"/>
        <v xml:space="preserve">USA2-VEN1 </v>
      </c>
      <c r="AV241" s="157" t="str">
        <f t="shared" si="160"/>
        <v>CHILDREN D FEMALE</v>
      </c>
      <c r="AW241" s="157" t="str">
        <f t="shared" si="161"/>
        <v>Soccer</v>
      </c>
      <c r="AX241" s="376">
        <f t="shared" si="162"/>
        <v>239</v>
      </c>
      <c r="AY241" s="148" t="str">
        <f t="shared" si="163"/>
        <v>CHILD DF - USA 2-&gt;CHILD DF - VEN 1</v>
      </c>
      <c r="AZ241" s="148" t="str">
        <f t="shared" si="164"/>
        <v>11/19/2017 11:20-&gt;CHILD DF - USA 2</v>
      </c>
      <c r="BA241" s="148" t="str">
        <f t="shared" si="165"/>
        <v>11/19/2017 11:20-&gt;CHILD DF - VEN 1</v>
      </c>
      <c r="BB241" s="374">
        <f t="shared" si="166"/>
        <v>1</v>
      </c>
      <c r="BC241" s="374">
        <f t="shared" si="167"/>
        <v>1</v>
      </c>
      <c r="BD241" s="148" t="str">
        <f t="shared" si="168"/>
        <v>no conflict</v>
      </c>
      <c r="BF241" s="148" t="str">
        <f t="shared" si="169"/>
        <v>11/19/2017 11:20-&gt;CHILD DF - USA 2</v>
      </c>
      <c r="BG241" s="148" t="str">
        <f t="shared" si="170"/>
        <v>11/19/2017 11:20-&gt;CHILD DF - VEN 1</v>
      </c>
      <c r="BH241" s="148" t="str">
        <f t="shared" si="171"/>
        <v>11/19/2017 11:20-&gt;JCC Back Field 4</v>
      </c>
      <c r="BI241" s="148" t="str">
        <f t="shared" si="172"/>
        <v>Soccer in JCC Back Field 4 (USA2-VEN1)</v>
      </c>
      <c r="BJ241" s="148" t="str">
        <f t="shared" si="173"/>
        <v>Ch D Female Mini Soccer-- CHILD DF - USA 2 vs. CHILD DF - VEN 1</v>
      </c>
      <c r="BK241" s="148" t="str">
        <f t="shared" si="174"/>
        <v>Soccer</v>
      </c>
      <c r="BL241" s="148" t="str">
        <f t="shared" si="175"/>
        <v>CHILD DF - USA 2</v>
      </c>
      <c r="BM241" s="148" t="str">
        <f t="shared" si="176"/>
        <v>CHILD DF - VEN 1</v>
      </c>
      <c r="BN241" s="148" t="str">
        <f t="shared" si="177"/>
        <v>Round - 1</v>
      </c>
      <c r="BP241" s="148" t="str">
        <f t="shared" si="178"/>
        <v>no t, f, or sf</v>
      </c>
      <c r="BQ241" s="148" t="str">
        <f t="shared" si="179"/>
        <v/>
      </c>
    </row>
    <row r="242" spans="1:69" ht="15" customHeight="1" x14ac:dyDescent="0.2">
      <c r="A242" s="376">
        <v>240</v>
      </c>
      <c r="B242" s="315" t="s">
        <v>48</v>
      </c>
      <c r="C242" s="315" t="s">
        <v>518</v>
      </c>
      <c r="D242" s="378">
        <v>1</v>
      </c>
      <c r="E242" s="378">
        <v>1</v>
      </c>
      <c r="F242" s="315" t="s">
        <v>770</v>
      </c>
      <c r="G242" s="316">
        <v>43058</v>
      </c>
      <c r="H242" s="317">
        <v>0.50694444444444442</v>
      </c>
      <c r="I242" s="325" t="s">
        <v>770</v>
      </c>
      <c r="J242" s="315" t="s">
        <v>695</v>
      </c>
      <c r="K242" s="315">
        <v>43</v>
      </c>
      <c r="L242" t="s">
        <v>587</v>
      </c>
      <c r="M242">
        <v>43</v>
      </c>
      <c r="N242" t="s">
        <v>590</v>
      </c>
      <c r="O242" s="153" t="str">
        <f>IF(L242&lt;&gt;"",IFERROR(VLOOKUP(B242&amp;L242,Pools!$A$2:$D$130,3,FALSE),""),"")</f>
        <v>Pool B</v>
      </c>
      <c r="P242" s="388">
        <v>3</v>
      </c>
      <c r="Q242" s="388">
        <v>6</v>
      </c>
      <c r="R242" s="306" t="str">
        <f t="shared" si="135"/>
        <v>3-6</v>
      </c>
      <c r="S242" s="153"/>
      <c r="T242" s="148" t="str">
        <f t="shared" si="136"/>
        <v>Completed</v>
      </c>
      <c r="U242" s="153"/>
      <c r="V242" s="153"/>
      <c r="W242" s="387">
        <f t="shared" si="137"/>
        <v>-3</v>
      </c>
      <c r="X242" s="387">
        <f t="shared" si="138"/>
        <v>3</v>
      </c>
      <c r="Y242" s="301">
        <f t="shared" si="139"/>
        <v>0</v>
      </c>
      <c r="Z242" s="301">
        <f t="shared" si="140"/>
        <v>2</v>
      </c>
      <c r="AA242" s="323" t="str">
        <f>CONCATENATE("                x[team1,team2,sport,'",IF(OR(I242="x",I242=""),VLOOKUP('Schedule from TM'!J242,Tables!$P$3:$Q$33,2,FALSE),'Schedule from TM'!I242),",",J242,"','",IF(OR(F242="x",F242=""),VLOOKUP('Schedule from TM'!G242,Tables!$U$3:$V$14,2,FALSE),'Schedule from TM'!F242),",",TEXT(G242,"mm/dd/yyyy"),"','",TEXT(H242,"h:mm:ss AM/PM"),"'].ub=0.0      #",B242)</f>
        <v xml:space="preserve">                x[team1,team2,sport,'11,JCC Back Field 1','11,11/19/2017','12:10:00 PM'].ub=0.0      #Ch D Female Mini Soccer</v>
      </c>
      <c r="AB242" s="301" t="str">
        <f t="shared" si="141"/>
        <v>,,Ch D Female Mini Soccer,Pool B,1,CHILD DF - USA 1</v>
      </c>
      <c r="AC242" s="153" t="str">
        <f t="shared" si="142"/>
        <v>Ch D Female Mini SoccerPool BCHILD DF - USA 1</v>
      </c>
      <c r="AD242" s="301" t="str">
        <f t="shared" si="143"/>
        <v>,,Ch D Female Mini Soccer,Pool B,1,CHILD DF - VEN 2</v>
      </c>
      <c r="AE242" s="153" t="str">
        <f t="shared" si="144"/>
        <v>Ch D Female Mini SoccerPool BCHILD DF - VEN 2</v>
      </c>
      <c r="AF242" s="383">
        <f t="shared" si="145"/>
        <v>0</v>
      </c>
      <c r="AG242" s="383">
        <f t="shared" si="146"/>
        <v>1</v>
      </c>
      <c r="AH242" s="383">
        <f t="shared" si="147"/>
        <v>0</v>
      </c>
      <c r="AI242" s="383">
        <f t="shared" si="148"/>
        <v>1</v>
      </c>
      <c r="AJ242" s="383">
        <f t="shared" si="149"/>
        <v>0</v>
      </c>
      <c r="AK242" s="383">
        <f t="shared" si="150"/>
        <v>0</v>
      </c>
      <c r="AM242" s="148" t="str">
        <f t="shared" si="151"/>
        <v>Schedulled</v>
      </c>
      <c r="AN242" s="148" t="str">
        <f t="shared" si="152"/>
        <v/>
      </c>
      <c r="AO242" s="156">
        <f t="shared" si="153"/>
        <v>43058.506944444445</v>
      </c>
      <c r="AP242" s="148" t="str">
        <f t="shared" si="154"/>
        <v>11/19/2017 12:10-&gt;JCC Back Field 1</v>
      </c>
      <c r="AQ242" s="374">
        <f t="shared" si="155"/>
        <v>1</v>
      </c>
      <c r="AR242" s="148" t="str">
        <f t="shared" si="156"/>
        <v>USA1</v>
      </c>
      <c r="AS242" s="148" t="str">
        <f t="shared" si="157"/>
        <v>VEN2</v>
      </c>
      <c r="AT242" s="157" t="str">
        <f t="shared" si="158"/>
        <v>USA1-VEN2</v>
      </c>
      <c r="AU242" s="157" t="str">
        <f t="shared" si="159"/>
        <v xml:space="preserve">USA1-VEN2 </v>
      </c>
      <c r="AV242" s="157" t="str">
        <f t="shared" si="160"/>
        <v>CHILDREN D FEMALE</v>
      </c>
      <c r="AW242" s="157" t="str">
        <f t="shared" si="161"/>
        <v>Soccer</v>
      </c>
      <c r="AX242" s="376">
        <f t="shared" si="162"/>
        <v>240</v>
      </c>
      <c r="AY242" s="148" t="str">
        <f t="shared" si="163"/>
        <v>CHILD DF - USA 1-&gt;CHILD DF - VEN 2</v>
      </c>
      <c r="AZ242" s="148" t="str">
        <f t="shared" si="164"/>
        <v>11/19/2017 12:10-&gt;CHILD DF - USA 1</v>
      </c>
      <c r="BA242" s="148" t="str">
        <f t="shared" si="165"/>
        <v>11/19/2017 12:10-&gt;CHILD DF - VEN 2</v>
      </c>
      <c r="BB242" s="374">
        <f t="shared" si="166"/>
        <v>1</v>
      </c>
      <c r="BC242" s="374">
        <f t="shared" si="167"/>
        <v>1</v>
      </c>
      <c r="BD242" s="148" t="str">
        <f t="shared" si="168"/>
        <v>no conflict</v>
      </c>
      <c r="BF242" s="148" t="str">
        <f t="shared" si="169"/>
        <v>11/19/2017 12:10-&gt;CHILD DF - USA 1</v>
      </c>
      <c r="BG242" s="148" t="str">
        <f t="shared" si="170"/>
        <v>11/19/2017 12:10-&gt;CHILD DF - VEN 2</v>
      </c>
      <c r="BH242" s="148" t="str">
        <f t="shared" si="171"/>
        <v>11/19/2017 12:10-&gt;JCC Back Field 1</v>
      </c>
      <c r="BI242" s="148" t="str">
        <f t="shared" si="172"/>
        <v>Soccer in JCC Back Field 1 (USA1-VEN2)</v>
      </c>
      <c r="BJ242" s="148" t="str">
        <f t="shared" si="173"/>
        <v>Ch D Female Mini Soccer-- CHILD DF - USA 1 vs. CHILD DF - VEN 2</v>
      </c>
      <c r="BK242" s="148" t="str">
        <f t="shared" si="174"/>
        <v>Soccer</v>
      </c>
      <c r="BL242" s="148" t="str">
        <f t="shared" si="175"/>
        <v>CHILD DF - USA 1</v>
      </c>
      <c r="BM242" s="148" t="str">
        <f t="shared" si="176"/>
        <v>CHILD DF - VEN 2</v>
      </c>
      <c r="BN242" s="148" t="str">
        <f t="shared" si="177"/>
        <v>Round - 1</v>
      </c>
      <c r="BP242" s="148" t="str">
        <f t="shared" si="178"/>
        <v>no t, f, or sf</v>
      </c>
      <c r="BQ242" s="148" t="str">
        <f t="shared" si="179"/>
        <v/>
      </c>
    </row>
    <row r="243" spans="1:69" ht="15" customHeight="1" x14ac:dyDescent="0.2">
      <c r="A243" s="376">
        <v>241</v>
      </c>
      <c r="B243" s="441" t="s">
        <v>48</v>
      </c>
      <c r="C243" s="441" t="s">
        <v>518</v>
      </c>
      <c r="D243" s="450">
        <v>1</v>
      </c>
      <c r="E243" s="450">
        <v>1</v>
      </c>
      <c r="F243" s="315" t="s">
        <v>770</v>
      </c>
      <c r="G243" s="320">
        <v>43058</v>
      </c>
      <c r="H243" s="317">
        <v>0.57638888888888895</v>
      </c>
      <c r="I243" s="325" t="s">
        <v>770</v>
      </c>
      <c r="J243" s="441" t="s">
        <v>694</v>
      </c>
      <c r="K243" s="441">
        <v>43</v>
      </c>
      <c r="L243" t="s">
        <v>588</v>
      </c>
      <c r="M243">
        <v>43</v>
      </c>
      <c r="N243" t="s">
        <v>724</v>
      </c>
      <c r="O243" s="153" t="str">
        <f>IF(L243&lt;&gt;"",IFERROR(VLOOKUP(B243&amp;L243,Pools!$A$2:$D$130,3,FALSE),""),"")</f>
        <v>Pool A</v>
      </c>
      <c r="P243" s="388">
        <v>1</v>
      </c>
      <c r="Q243" s="388">
        <v>3</v>
      </c>
      <c r="R243" s="306" t="str">
        <f t="shared" si="135"/>
        <v>1-3</v>
      </c>
      <c r="S243" s="153"/>
      <c r="T243" s="148" t="str">
        <f t="shared" si="136"/>
        <v>Completed</v>
      </c>
      <c r="U243" s="153"/>
      <c r="V243" s="153"/>
      <c r="W243" s="387">
        <f t="shared" si="137"/>
        <v>-2</v>
      </c>
      <c r="X243" s="387">
        <f t="shared" si="138"/>
        <v>2</v>
      </c>
      <c r="Y243" s="301">
        <f t="shared" si="139"/>
        <v>0</v>
      </c>
      <c r="Z243" s="301">
        <f t="shared" si="140"/>
        <v>2</v>
      </c>
      <c r="AA243" s="323" t="str">
        <f>CONCATENATE("                x[team1,team2,sport,'",IF(OR(I243="x",I243=""),VLOOKUP('Schedule from TM'!J243,Tables!$P$3:$Q$33,2,FALSE),'Schedule from TM'!I243),",",J243,"','",IF(OR(F243="x",F243=""),VLOOKUP('Schedule from TM'!G243,Tables!$U$3:$V$14,2,FALSE),'Schedule from TM'!F243),",",TEXT(G243,"mm/dd/yyyy"),"','",TEXT(H243,"h:mm:ss AM/PM"),"'].ub=0.0      #",B243)</f>
        <v xml:space="preserve">                x[team1,team2,sport,'11,JCC Back Field 4','11,11/19/2017','1:50:00 PM'].ub=0.0      #Ch D Female Mini Soccer</v>
      </c>
      <c r="AB243" s="301" t="str">
        <f t="shared" si="141"/>
        <v>,,Ch D Female Mini Soccer,Pool A,1,CHILD DF - USA 2</v>
      </c>
      <c r="AC243" s="153" t="str">
        <f t="shared" si="142"/>
        <v>Ch D Female Mini SoccerPool ACHILD DF - USA 2</v>
      </c>
      <c r="AD243" s="301" t="str">
        <f t="shared" si="143"/>
        <v>,,Ch D Female Mini Soccer,Pool A,1,CHILD DF - MEX</v>
      </c>
      <c r="AE243" s="153" t="str">
        <f t="shared" si="144"/>
        <v>Ch D Female Mini SoccerPool ACHILD DF - MEX</v>
      </c>
      <c r="AF243" s="383">
        <f t="shared" si="145"/>
        <v>0</v>
      </c>
      <c r="AG243" s="383">
        <f t="shared" si="146"/>
        <v>1</v>
      </c>
      <c r="AH243" s="383">
        <f t="shared" si="147"/>
        <v>0</v>
      </c>
      <c r="AI243" s="383">
        <f t="shared" si="148"/>
        <v>1</v>
      </c>
      <c r="AJ243" s="383">
        <f t="shared" si="149"/>
        <v>0</v>
      </c>
      <c r="AK243" s="383">
        <f t="shared" si="150"/>
        <v>0</v>
      </c>
      <c r="AM243" s="148" t="str">
        <f t="shared" si="151"/>
        <v>Schedulled</v>
      </c>
      <c r="AN243" s="148" t="str">
        <f t="shared" si="152"/>
        <v/>
      </c>
      <c r="AO243" s="156">
        <f t="shared" si="153"/>
        <v>43058.576388888891</v>
      </c>
      <c r="AP243" s="148" t="str">
        <f t="shared" si="154"/>
        <v>11/19/2017 13:50-&gt;JCC Back Field 4</v>
      </c>
      <c r="AQ243" s="374">
        <f t="shared" si="155"/>
        <v>1</v>
      </c>
      <c r="AR243" s="148" t="str">
        <f t="shared" si="156"/>
        <v>USA2</v>
      </c>
      <c r="AS243" s="148" t="str">
        <f t="shared" si="157"/>
        <v>MEX</v>
      </c>
      <c r="AT243" s="157" t="str">
        <f t="shared" si="158"/>
        <v>USA2-MEX</v>
      </c>
      <c r="AU243" s="157" t="str">
        <f t="shared" si="159"/>
        <v xml:space="preserve">USA2-MEX </v>
      </c>
      <c r="AV243" s="157" t="str">
        <f t="shared" si="160"/>
        <v>CHILDREN D FEMALE</v>
      </c>
      <c r="AW243" s="157" t="str">
        <f t="shared" si="161"/>
        <v>Soccer</v>
      </c>
      <c r="AX243" s="376">
        <f t="shared" si="162"/>
        <v>241</v>
      </c>
      <c r="AY243" s="148" t="str">
        <f t="shared" si="163"/>
        <v>CHILD DF - USA 2-&gt;CHILD DF - MEX</v>
      </c>
      <c r="AZ243" s="148" t="str">
        <f t="shared" si="164"/>
        <v>11/19/2017 13:50-&gt;CHILD DF - USA 2</v>
      </c>
      <c r="BA243" s="148" t="str">
        <f t="shared" si="165"/>
        <v>11/19/2017 13:50-&gt;CHILD DF - MEX</v>
      </c>
      <c r="BB243" s="374">
        <f t="shared" si="166"/>
        <v>1</v>
      </c>
      <c r="BC243" s="374">
        <f t="shared" si="167"/>
        <v>1</v>
      </c>
      <c r="BD243" s="148" t="str">
        <f t="shared" si="168"/>
        <v>no conflict</v>
      </c>
      <c r="BF243" s="148" t="str">
        <f t="shared" si="169"/>
        <v>11/19/2017 13:50-&gt;CHILD DF - USA 2</v>
      </c>
      <c r="BG243" s="148" t="str">
        <f t="shared" si="170"/>
        <v>11/19/2017 13:50-&gt;CHILD DF - MEX</v>
      </c>
      <c r="BH243" s="148" t="str">
        <f t="shared" si="171"/>
        <v>11/19/2017 13:50-&gt;JCC Back Field 4</v>
      </c>
      <c r="BI243" s="148" t="str">
        <f t="shared" si="172"/>
        <v>Soccer in JCC Back Field 4 (USA2-MEX)</v>
      </c>
      <c r="BJ243" s="148" t="str">
        <f t="shared" si="173"/>
        <v>Ch D Female Mini Soccer-- CHILD DF - USA 2 vs. CHILD DF - MEX</v>
      </c>
      <c r="BK243" s="148" t="str">
        <f t="shared" si="174"/>
        <v>Soccer</v>
      </c>
      <c r="BL243" s="148" t="str">
        <f t="shared" si="175"/>
        <v>CHILD DF - USA 2</v>
      </c>
      <c r="BM243" s="148" t="str">
        <f t="shared" si="176"/>
        <v>CHILD DF - MEX</v>
      </c>
      <c r="BN243" s="148" t="str">
        <f t="shared" si="177"/>
        <v>Round - 1</v>
      </c>
      <c r="BP243" s="148" t="str">
        <f t="shared" si="178"/>
        <v>no t, f, or sf</v>
      </c>
      <c r="BQ243" s="148" t="str">
        <f t="shared" si="179"/>
        <v/>
      </c>
    </row>
    <row r="244" spans="1:69" ht="15" customHeight="1" x14ac:dyDescent="0.2">
      <c r="A244" s="376">
        <v>242</v>
      </c>
      <c r="B244" s="444" t="s">
        <v>48</v>
      </c>
      <c r="C244" s="444" t="s">
        <v>518</v>
      </c>
      <c r="D244" s="451">
        <v>1</v>
      </c>
      <c r="E244" s="451">
        <v>1</v>
      </c>
      <c r="F244" s="315" t="s">
        <v>770</v>
      </c>
      <c r="G244" s="445">
        <v>43058</v>
      </c>
      <c r="H244" s="317">
        <v>0.61111111111111105</v>
      </c>
      <c r="I244" s="325" t="s">
        <v>770</v>
      </c>
      <c r="J244" s="444" t="s">
        <v>693</v>
      </c>
      <c r="K244" s="444">
        <v>43</v>
      </c>
      <c r="L244" t="s">
        <v>587</v>
      </c>
      <c r="M244">
        <v>43</v>
      </c>
      <c r="N244" t="s">
        <v>725</v>
      </c>
      <c r="O244" s="153" t="str">
        <f>IF(L244&lt;&gt;"",IFERROR(VLOOKUP(B244&amp;L244,Pools!$A$2:$D$130,3,FALSE),""),"")</f>
        <v>Pool B</v>
      </c>
      <c r="P244" s="388">
        <v>1</v>
      </c>
      <c r="Q244" s="388">
        <v>3</v>
      </c>
      <c r="R244" s="306" t="str">
        <f t="shared" si="135"/>
        <v>1-3</v>
      </c>
      <c r="S244" s="153"/>
      <c r="T244" s="148" t="str">
        <f t="shared" si="136"/>
        <v>Completed</v>
      </c>
      <c r="U244" s="153"/>
      <c r="V244" s="153"/>
      <c r="W244" s="387">
        <f t="shared" si="137"/>
        <v>-2</v>
      </c>
      <c r="X244" s="387">
        <f t="shared" si="138"/>
        <v>2</v>
      </c>
      <c r="Y244" s="301">
        <f t="shared" si="139"/>
        <v>0</v>
      </c>
      <c r="Z244" s="301">
        <f t="shared" si="140"/>
        <v>2</v>
      </c>
      <c r="AA244" s="323" t="str">
        <f>CONCATENATE("                x[team1,team2,sport,'",IF(OR(I244="x",I244=""),VLOOKUP('Schedule from TM'!J244,Tables!$P$3:$Q$33,2,FALSE),'Schedule from TM'!I244),",",J244,"','",IF(OR(F244="x",F244=""),VLOOKUP('Schedule from TM'!G244,Tables!$U$3:$V$14,2,FALSE),'Schedule from TM'!F244),",",TEXT(G244,"mm/dd/yyyy"),"','",TEXT(H244,"h:mm:ss AM/PM"),"'].ub=0.0      #",B244)</f>
        <v xml:space="preserve">                x[team1,team2,sport,'11,JCC Back Field 2','11,11/19/2017','2:40:00 PM'].ub=0.0      #Ch D Female Mini Soccer</v>
      </c>
      <c r="AB244" s="301" t="str">
        <f t="shared" si="141"/>
        <v>,,Ch D Female Mini Soccer,Pool B,1,CHILD DF - USA 1</v>
      </c>
      <c r="AC244" s="153" t="str">
        <f t="shared" si="142"/>
        <v>Ch D Female Mini SoccerPool BCHILD DF - USA 1</v>
      </c>
      <c r="AD244" s="301" t="str">
        <f t="shared" si="143"/>
        <v>,,Ch D Female Mini Soccer,Pool B,1,CHILD DF - ISR</v>
      </c>
      <c r="AE244" s="153" t="str">
        <f t="shared" si="144"/>
        <v>Ch D Female Mini SoccerPool BCHILD DF - ISR</v>
      </c>
      <c r="AF244" s="383">
        <f t="shared" si="145"/>
        <v>0</v>
      </c>
      <c r="AG244" s="383">
        <f t="shared" si="146"/>
        <v>1</v>
      </c>
      <c r="AH244" s="383">
        <f t="shared" si="147"/>
        <v>0</v>
      </c>
      <c r="AI244" s="383">
        <f t="shared" si="148"/>
        <v>1</v>
      </c>
      <c r="AJ244" s="383">
        <f t="shared" si="149"/>
        <v>0</v>
      </c>
      <c r="AK244" s="383">
        <f t="shared" si="150"/>
        <v>0</v>
      </c>
      <c r="AM244" s="148" t="str">
        <f t="shared" si="151"/>
        <v>Schedulled</v>
      </c>
      <c r="AN244" s="148" t="str">
        <f t="shared" si="152"/>
        <v/>
      </c>
      <c r="AO244" s="156">
        <f t="shared" si="153"/>
        <v>43058.611111111109</v>
      </c>
      <c r="AP244" s="148" t="str">
        <f t="shared" si="154"/>
        <v>11/19/2017 14:40-&gt;JCC Back Field 2</v>
      </c>
      <c r="AQ244" s="374">
        <f t="shared" si="155"/>
        <v>1</v>
      </c>
      <c r="AR244" s="148" t="str">
        <f t="shared" si="156"/>
        <v>USA1</v>
      </c>
      <c r="AS244" s="148" t="str">
        <f t="shared" si="157"/>
        <v>ISR</v>
      </c>
      <c r="AT244" s="157" t="str">
        <f t="shared" si="158"/>
        <v>USA1-ISR</v>
      </c>
      <c r="AU244" s="157" t="str">
        <f t="shared" si="159"/>
        <v xml:space="preserve">USA1-ISR </v>
      </c>
      <c r="AV244" s="157" t="str">
        <f t="shared" si="160"/>
        <v>CHILDREN D FEMALE</v>
      </c>
      <c r="AW244" s="157" t="str">
        <f t="shared" si="161"/>
        <v>Soccer</v>
      </c>
      <c r="AX244" s="376">
        <f t="shared" si="162"/>
        <v>242</v>
      </c>
      <c r="AY244" s="148" t="str">
        <f t="shared" si="163"/>
        <v>CHILD DF - USA 1-&gt;CHILD DF - ISR</v>
      </c>
      <c r="AZ244" s="148" t="str">
        <f t="shared" si="164"/>
        <v>11/19/2017 14:40-&gt;CHILD DF - USA 1</v>
      </c>
      <c r="BA244" s="148" t="str">
        <f t="shared" si="165"/>
        <v>11/19/2017 14:40-&gt;CHILD DF - ISR</v>
      </c>
      <c r="BB244" s="374">
        <f t="shared" si="166"/>
        <v>1</v>
      </c>
      <c r="BC244" s="374">
        <f t="shared" si="167"/>
        <v>1</v>
      </c>
      <c r="BD244" s="148" t="str">
        <f t="shared" si="168"/>
        <v>no conflict</v>
      </c>
      <c r="BF244" s="148" t="str">
        <f t="shared" si="169"/>
        <v>11/19/2017 14:40-&gt;CHILD DF - USA 1</v>
      </c>
      <c r="BG244" s="148" t="str">
        <f t="shared" si="170"/>
        <v>11/19/2017 14:40-&gt;CHILD DF - ISR</v>
      </c>
      <c r="BH244" s="148" t="str">
        <f t="shared" si="171"/>
        <v>11/19/2017 14:40-&gt;JCC Back Field 2</v>
      </c>
      <c r="BI244" s="148" t="str">
        <f t="shared" si="172"/>
        <v>Soccer in JCC Back Field 2 (USA1-ISR)</v>
      </c>
      <c r="BJ244" s="148" t="str">
        <f t="shared" si="173"/>
        <v>Ch D Female Mini Soccer-- CHILD DF - USA 1 vs. CHILD DF - ISR</v>
      </c>
      <c r="BK244" s="148" t="str">
        <f t="shared" si="174"/>
        <v>Soccer</v>
      </c>
      <c r="BL244" s="148" t="str">
        <f t="shared" si="175"/>
        <v>CHILD DF - USA 1</v>
      </c>
      <c r="BM244" s="148" t="str">
        <f t="shared" si="176"/>
        <v>CHILD DF - ISR</v>
      </c>
      <c r="BN244" s="148" t="str">
        <f t="shared" si="177"/>
        <v>Round - 1</v>
      </c>
      <c r="BP244" s="148" t="str">
        <f t="shared" si="178"/>
        <v>no t, f, or sf</v>
      </c>
      <c r="BQ244" s="148" t="str">
        <f t="shared" si="179"/>
        <v/>
      </c>
    </row>
    <row r="245" spans="1:69" ht="15" customHeight="1" x14ac:dyDescent="0.2">
      <c r="A245" s="376">
        <v>243</v>
      </c>
      <c r="B245" s="328" t="s">
        <v>48</v>
      </c>
      <c r="C245" s="315" t="s">
        <v>518</v>
      </c>
      <c r="D245" s="378">
        <v>1</v>
      </c>
      <c r="E245" s="378">
        <v>1</v>
      </c>
      <c r="F245" s="315" t="s">
        <v>770</v>
      </c>
      <c r="G245" s="316">
        <v>43059</v>
      </c>
      <c r="H245" s="317">
        <v>0.78472222222222221</v>
      </c>
      <c r="I245" s="325" t="s">
        <v>770</v>
      </c>
      <c r="J245" s="315" t="s">
        <v>694</v>
      </c>
      <c r="K245" s="315">
        <v>43</v>
      </c>
      <c r="L245" t="s">
        <v>586</v>
      </c>
      <c r="M245">
        <v>43</v>
      </c>
      <c r="N245" t="s">
        <v>590</v>
      </c>
      <c r="O245" s="153" t="str">
        <f>IF(L245&lt;&gt;"",IFERROR(VLOOKUP(B245&amp;L245,Pools!$A$2:$D$130,3,FALSE),""),"")</f>
        <v>Pool B</v>
      </c>
      <c r="P245" s="388">
        <v>3</v>
      </c>
      <c r="Q245" s="388">
        <v>0</v>
      </c>
      <c r="R245" s="306" t="str">
        <f t="shared" si="135"/>
        <v>3-0</v>
      </c>
      <c r="S245" s="153"/>
      <c r="T245" s="148" t="str">
        <f t="shared" si="136"/>
        <v>Completed</v>
      </c>
      <c r="U245" s="153"/>
      <c r="V245" s="153"/>
      <c r="W245" s="387">
        <f t="shared" si="137"/>
        <v>3</v>
      </c>
      <c r="X245" s="387">
        <f t="shared" si="138"/>
        <v>-3</v>
      </c>
      <c r="Y245" s="301">
        <f t="shared" si="139"/>
        <v>2</v>
      </c>
      <c r="Z245" s="301">
        <f t="shared" si="140"/>
        <v>0</v>
      </c>
      <c r="AA245" s="323" t="str">
        <f>CONCATENATE("                x[team1,team2,sport,'",IF(OR(I245="x",I245=""),VLOOKUP('Schedule from TM'!J245,Tables!$P$3:$Q$33,2,FALSE),'Schedule from TM'!I245),",",J245,"','",IF(OR(F245="x",F245=""),VLOOKUP('Schedule from TM'!G245,Tables!$U$3:$V$14,2,FALSE),'Schedule from TM'!F245),",",TEXT(G245,"mm/dd/yyyy"),"','",TEXT(H245,"h:mm:ss AM/PM"),"'].ub=0.0      #",B245)</f>
        <v xml:space="preserve">                x[team1,team2,sport,'11,JCC Back Field 4','22,11/20/2017','6:50:00 PM'].ub=0.0      #Ch D Female Mini Soccer</v>
      </c>
      <c r="AB245" s="301" t="str">
        <f t="shared" si="141"/>
        <v>,,Ch D Female Mini Soccer,Pool B,1,CHILD DF - COL 1</v>
      </c>
      <c r="AC245" s="153" t="str">
        <f t="shared" si="142"/>
        <v>Ch D Female Mini SoccerPool BCHILD DF - COL 1</v>
      </c>
      <c r="AD245" s="301" t="str">
        <f t="shared" si="143"/>
        <v>,,Ch D Female Mini Soccer,Pool B,1,CHILD DF - VEN 2</v>
      </c>
      <c r="AE245" s="153" t="str">
        <f t="shared" si="144"/>
        <v>Ch D Female Mini SoccerPool BCHILD DF - VEN 2</v>
      </c>
      <c r="AF245" s="383">
        <f t="shared" si="145"/>
        <v>1</v>
      </c>
      <c r="AG245" s="383">
        <f t="shared" si="146"/>
        <v>0</v>
      </c>
      <c r="AH245" s="383">
        <f t="shared" si="147"/>
        <v>0</v>
      </c>
      <c r="AI245" s="383">
        <f t="shared" si="148"/>
        <v>0</v>
      </c>
      <c r="AJ245" s="383">
        <f t="shared" si="149"/>
        <v>1</v>
      </c>
      <c r="AK245" s="383">
        <f t="shared" si="150"/>
        <v>0</v>
      </c>
      <c r="AM245" s="148" t="str">
        <f t="shared" si="151"/>
        <v>Schedulled</v>
      </c>
      <c r="AN245" s="148" t="str">
        <f t="shared" si="152"/>
        <v/>
      </c>
      <c r="AO245" s="156">
        <f t="shared" si="153"/>
        <v>43059.784722222219</v>
      </c>
      <c r="AP245" s="148" t="str">
        <f t="shared" si="154"/>
        <v>11/20/2017 18:50-&gt;JCC Back Field 4</v>
      </c>
      <c r="AQ245" s="374">
        <f t="shared" si="155"/>
        <v>1</v>
      </c>
      <c r="AR245" s="148" t="str">
        <f t="shared" si="156"/>
        <v>COL1</v>
      </c>
      <c r="AS245" s="148" t="str">
        <f t="shared" si="157"/>
        <v>VEN2</v>
      </c>
      <c r="AT245" s="157" t="str">
        <f t="shared" si="158"/>
        <v>COL1-VEN2</v>
      </c>
      <c r="AU245" s="157" t="str">
        <f t="shared" si="159"/>
        <v xml:space="preserve">COL1-VEN2 </v>
      </c>
      <c r="AV245" s="157" t="str">
        <f t="shared" si="160"/>
        <v>CHILDREN D FEMALE</v>
      </c>
      <c r="AW245" s="157" t="str">
        <f t="shared" si="161"/>
        <v>Soccer</v>
      </c>
      <c r="AX245" s="376">
        <f t="shared" si="162"/>
        <v>243</v>
      </c>
      <c r="AY245" s="148" t="str">
        <f t="shared" si="163"/>
        <v>CHILD DF - COL 1-&gt;CHILD DF - VEN 2</v>
      </c>
      <c r="AZ245" s="148" t="str">
        <f t="shared" si="164"/>
        <v>11/20/2017 18:50-&gt;CHILD DF - COL 1</v>
      </c>
      <c r="BA245" s="148" t="str">
        <f t="shared" si="165"/>
        <v>11/20/2017 18:50-&gt;CHILD DF - VEN 2</v>
      </c>
      <c r="BB245" s="374">
        <f t="shared" si="166"/>
        <v>1</v>
      </c>
      <c r="BC245" s="374">
        <f t="shared" si="167"/>
        <v>1</v>
      </c>
      <c r="BD245" s="148" t="str">
        <f t="shared" si="168"/>
        <v>no conflict</v>
      </c>
      <c r="BF245" s="148" t="str">
        <f t="shared" si="169"/>
        <v>11/20/2017 18:50-&gt;CHILD DF - COL 1</v>
      </c>
      <c r="BG245" s="148" t="str">
        <f t="shared" si="170"/>
        <v>11/20/2017 18:50-&gt;CHILD DF - VEN 2</v>
      </c>
      <c r="BH245" s="148" t="str">
        <f t="shared" si="171"/>
        <v>11/20/2017 18:50-&gt;JCC Back Field 4</v>
      </c>
      <c r="BI245" s="148" t="str">
        <f t="shared" si="172"/>
        <v>Soccer in JCC Back Field 4 (COL1-VEN2)</v>
      </c>
      <c r="BJ245" s="148" t="str">
        <f t="shared" si="173"/>
        <v>Ch D Female Mini Soccer-- CHILD DF - COL 1 vs. CHILD DF - VEN 2</v>
      </c>
      <c r="BK245" s="148" t="str">
        <f t="shared" si="174"/>
        <v>Soccer</v>
      </c>
      <c r="BL245" s="148" t="str">
        <f t="shared" si="175"/>
        <v>CHILD DF - COL 1</v>
      </c>
      <c r="BM245" s="148" t="str">
        <f t="shared" si="176"/>
        <v>CHILD DF - VEN 2</v>
      </c>
      <c r="BN245" s="148" t="str">
        <f t="shared" si="177"/>
        <v>Round - 1</v>
      </c>
      <c r="BP245" s="148" t="str">
        <f t="shared" si="178"/>
        <v>no t, f, or sf</v>
      </c>
      <c r="BQ245" s="148" t="str">
        <f t="shared" si="179"/>
        <v/>
      </c>
    </row>
    <row r="246" spans="1:69" ht="16" x14ac:dyDescent="0.2">
      <c r="A246" s="450">
        <v>244</v>
      </c>
      <c r="B246" s="441" t="s">
        <v>48</v>
      </c>
      <c r="C246" s="441" t="s">
        <v>518</v>
      </c>
      <c r="D246" s="450">
        <v>1</v>
      </c>
      <c r="E246" s="450">
        <v>1</v>
      </c>
      <c r="F246" s="444" t="s">
        <v>770</v>
      </c>
      <c r="G246" s="320">
        <v>43060</v>
      </c>
      <c r="H246" s="318">
        <v>0.78472222222222221</v>
      </c>
      <c r="I246" s="446" t="s">
        <v>770</v>
      </c>
      <c r="J246" s="296" t="s">
        <v>694</v>
      </c>
      <c r="K246" s="441">
        <v>43</v>
      </c>
      <c r="L246" s="433" t="s">
        <v>589</v>
      </c>
      <c r="M246" s="433">
        <v>43</v>
      </c>
      <c r="N246" s="433" t="s">
        <v>724</v>
      </c>
      <c r="O246" s="153" t="str">
        <f>IF(L246&lt;&gt;"",IFERROR(VLOOKUP(B246&amp;L246,Pools!$A$2:$D$130,3,FALSE),""),"")</f>
        <v>Pool A</v>
      </c>
      <c r="P246" s="388">
        <v>5</v>
      </c>
      <c r="Q246" s="388">
        <v>0</v>
      </c>
      <c r="R246" s="306" t="str">
        <f t="shared" si="135"/>
        <v>5-0</v>
      </c>
      <c r="S246" s="153"/>
      <c r="T246" s="148" t="str">
        <f t="shared" si="136"/>
        <v>Completed</v>
      </c>
      <c r="U246" s="153"/>
      <c r="V246" s="153"/>
      <c r="W246" s="387">
        <f t="shared" si="137"/>
        <v>3</v>
      </c>
      <c r="X246" s="387">
        <f t="shared" si="138"/>
        <v>-3</v>
      </c>
      <c r="Y246" s="301">
        <f t="shared" si="139"/>
        <v>2</v>
      </c>
      <c r="Z246" s="301">
        <f t="shared" si="140"/>
        <v>0</v>
      </c>
      <c r="AA246" s="323" t="str">
        <f>CONCATENATE("                x[team1,team2,sport,'",IF(OR(I246="x",I246=""),VLOOKUP('Schedule from TM'!J246,Tables!$P$3:$Q$33,2,FALSE),'Schedule from TM'!I246),",",J246,"','",IF(OR(F246="x",F246=""),VLOOKUP('Schedule from TM'!G246,Tables!$U$3:$V$14,2,FALSE),'Schedule from TM'!F246),",",TEXT(G246,"mm/dd/yyyy"),"','",TEXT(H246,"h:mm:ss AM/PM"),"'].ub=0.0      #",B246)</f>
        <v xml:space="preserve">                x[team1,team2,sport,'11,JCC Back Field 4','22,11/21/2017','6:50:00 PM'].ub=0.0      #Ch D Female Mini Soccer</v>
      </c>
      <c r="AB246" s="301" t="str">
        <f t="shared" si="141"/>
        <v>,,Ch D Female Mini Soccer,Pool A,1,CHILD DF - VEN 1</v>
      </c>
      <c r="AC246" s="153" t="str">
        <f t="shared" si="142"/>
        <v>Ch D Female Mini SoccerPool ACHILD DF - VEN 1</v>
      </c>
      <c r="AD246" s="301" t="str">
        <f t="shared" si="143"/>
        <v>,,Ch D Female Mini Soccer,Pool A,1,CHILD DF - MEX</v>
      </c>
      <c r="AE246" s="153" t="str">
        <f t="shared" si="144"/>
        <v>Ch D Female Mini SoccerPool ACHILD DF - MEX</v>
      </c>
      <c r="AF246" s="383">
        <f t="shared" si="145"/>
        <v>1</v>
      </c>
      <c r="AG246" s="383">
        <f t="shared" si="146"/>
        <v>0</v>
      </c>
      <c r="AH246" s="383">
        <f t="shared" si="147"/>
        <v>0</v>
      </c>
      <c r="AI246" s="383">
        <f t="shared" si="148"/>
        <v>0</v>
      </c>
      <c r="AJ246" s="383">
        <f t="shared" si="149"/>
        <v>1</v>
      </c>
      <c r="AK246" s="383">
        <f t="shared" si="150"/>
        <v>0</v>
      </c>
      <c r="AM246" s="148" t="str">
        <f t="shared" si="151"/>
        <v>Schedulled</v>
      </c>
      <c r="AN246" s="148" t="str">
        <f t="shared" si="152"/>
        <v/>
      </c>
      <c r="AO246" s="156">
        <f t="shared" si="153"/>
        <v>43060.784722222219</v>
      </c>
      <c r="AP246" s="148" t="str">
        <f t="shared" si="154"/>
        <v>11/21/2017 18:50-&gt;JCC Back Field 4</v>
      </c>
      <c r="AQ246" s="374">
        <f t="shared" si="155"/>
        <v>1</v>
      </c>
      <c r="AR246" s="148" t="str">
        <f t="shared" si="156"/>
        <v>VEN1</v>
      </c>
      <c r="AS246" s="148" t="str">
        <f t="shared" si="157"/>
        <v>MEX</v>
      </c>
      <c r="AT246" s="157" t="str">
        <f t="shared" si="158"/>
        <v>VEN1-MEX</v>
      </c>
      <c r="AU246" s="157" t="str">
        <f t="shared" si="159"/>
        <v xml:space="preserve">VEN1-MEX </v>
      </c>
      <c r="AV246" s="157" t="str">
        <f t="shared" si="160"/>
        <v>CHILDREN D FEMALE</v>
      </c>
      <c r="AW246" s="157" t="str">
        <f t="shared" si="161"/>
        <v>Soccer</v>
      </c>
      <c r="AX246" s="450">
        <f t="shared" si="162"/>
        <v>244</v>
      </c>
      <c r="AY246" s="148" t="str">
        <f t="shared" si="163"/>
        <v>CHILD DF - VEN 1-&gt;CHILD DF - MEX</v>
      </c>
      <c r="AZ246" s="148" t="str">
        <f t="shared" si="164"/>
        <v>11/21/2017 18:50-&gt;CHILD DF - VEN 1</v>
      </c>
      <c r="BA246" s="148" t="str">
        <f t="shared" si="165"/>
        <v>11/21/2017 18:50-&gt;CHILD DF - MEX</v>
      </c>
      <c r="BB246" s="374">
        <f t="shared" si="166"/>
        <v>1</v>
      </c>
      <c r="BC246" s="374">
        <f t="shared" si="167"/>
        <v>1</v>
      </c>
      <c r="BD246" s="148" t="str">
        <f t="shared" si="168"/>
        <v>no conflict</v>
      </c>
      <c r="BF246" s="148" t="str">
        <f t="shared" si="169"/>
        <v>11/21/2017 18:50-&gt;CHILD DF - VEN 1</v>
      </c>
      <c r="BG246" s="148" t="str">
        <f t="shared" si="170"/>
        <v>11/21/2017 18:50-&gt;CHILD DF - MEX</v>
      </c>
      <c r="BH246" s="148" t="str">
        <f t="shared" si="171"/>
        <v>11/21/2017 18:50-&gt;JCC Back Field 4</v>
      </c>
      <c r="BI246" s="148" t="str">
        <f t="shared" si="172"/>
        <v>Soccer in JCC Back Field 4 (VEN1-MEX)</v>
      </c>
      <c r="BJ246" s="148" t="str">
        <f t="shared" si="173"/>
        <v>Ch D Female Mini Soccer-- CHILD DF - VEN 1 vs. CHILD DF - MEX</v>
      </c>
      <c r="BK246" s="148" t="str">
        <f t="shared" si="174"/>
        <v>Soccer</v>
      </c>
      <c r="BL246" s="148" t="str">
        <f t="shared" si="175"/>
        <v>CHILD DF - VEN 1</v>
      </c>
      <c r="BM246" s="148" t="str">
        <f t="shared" si="176"/>
        <v>CHILD DF - MEX</v>
      </c>
      <c r="BN246" s="148" t="str">
        <f t="shared" si="177"/>
        <v>Round - 1</v>
      </c>
      <c r="BP246" s="148" t="str">
        <f t="shared" si="178"/>
        <v>no t, f, or sf</v>
      </c>
      <c r="BQ246" s="148" t="str">
        <f t="shared" si="179"/>
        <v/>
      </c>
    </row>
    <row r="247" spans="1:69" ht="16" x14ac:dyDescent="0.2">
      <c r="A247" s="450">
        <v>245</v>
      </c>
      <c r="B247" s="444" t="s">
        <v>48</v>
      </c>
      <c r="C247" s="444" t="s">
        <v>518</v>
      </c>
      <c r="D247" s="451">
        <v>1</v>
      </c>
      <c r="E247" s="451">
        <v>1</v>
      </c>
      <c r="F247" s="444" t="s">
        <v>770</v>
      </c>
      <c r="G247" s="445">
        <v>43062</v>
      </c>
      <c r="H247" s="317">
        <v>0.47222222222222227</v>
      </c>
      <c r="I247" s="446" t="s">
        <v>770</v>
      </c>
      <c r="J247" s="444" t="s">
        <v>695</v>
      </c>
      <c r="K247" s="444">
        <v>43</v>
      </c>
      <c r="L247" s="433" t="s">
        <v>583</v>
      </c>
      <c r="M247" s="433">
        <v>43</v>
      </c>
      <c r="N247" s="433" t="s">
        <v>724</v>
      </c>
      <c r="O247" s="153" t="str">
        <f>IF(L247&lt;&gt;"",IFERROR(VLOOKUP(B247&amp;L247,Pools!$A$2:$D$130,3,FALSE),""),"")</f>
        <v>Pool A</v>
      </c>
      <c r="P247" s="388">
        <v>1</v>
      </c>
      <c r="Q247" s="388">
        <v>0</v>
      </c>
      <c r="R247" s="306" t="str">
        <f t="shared" si="135"/>
        <v>1-0</v>
      </c>
      <c r="S247" s="153"/>
      <c r="T247" s="148" t="str">
        <f t="shared" si="136"/>
        <v>Completed</v>
      </c>
      <c r="U247" s="153"/>
      <c r="V247" s="153"/>
      <c r="W247" s="387">
        <f t="shared" si="137"/>
        <v>1</v>
      </c>
      <c r="X247" s="387">
        <f t="shared" si="138"/>
        <v>-1</v>
      </c>
      <c r="Y247" s="301">
        <f t="shared" si="139"/>
        <v>2</v>
      </c>
      <c r="Z247" s="301">
        <f t="shared" si="140"/>
        <v>0</v>
      </c>
      <c r="AA247" s="323" t="str">
        <f>CONCATENATE("                x[team1,team2,sport,'",IF(OR(I247="x",I247=""),VLOOKUP('Schedule from TM'!J247,Tables!$P$3:$Q$33,2,FALSE),'Schedule from TM'!I247),",",J247,"','",IF(OR(F247="x",F247=""),VLOOKUP('Schedule from TM'!G247,Tables!$U$3:$V$14,2,FALSE),'Schedule from TM'!F247),",",TEXT(G247,"mm/dd/yyyy"),"','",TEXT(H247,"h:mm:ss AM/PM"),"'].ub=0.0      #",B247)</f>
        <v xml:space="preserve">                x[team1,team2,sport,'11,JCC Back Field 1','11,11/23/2017','11:20:00 AM'].ub=0.0      #Ch D Female Mini Soccer</v>
      </c>
      <c r="AB247" s="301" t="str">
        <f t="shared" si="141"/>
        <v>,,Ch D Female Mini Soccer,Pool A,1,CHILD DF - ARG 1</v>
      </c>
      <c r="AC247" s="153" t="str">
        <f t="shared" si="142"/>
        <v>Ch D Female Mini SoccerPool ACHILD DF - ARG 1</v>
      </c>
      <c r="AD247" s="301" t="str">
        <f t="shared" si="143"/>
        <v>,,Ch D Female Mini Soccer,Pool A,1,CHILD DF - MEX</v>
      </c>
      <c r="AE247" s="153" t="str">
        <f t="shared" si="144"/>
        <v>Ch D Female Mini SoccerPool ACHILD DF - MEX</v>
      </c>
      <c r="AF247" s="383">
        <f t="shared" si="145"/>
        <v>1</v>
      </c>
      <c r="AG247" s="383">
        <f t="shared" si="146"/>
        <v>0</v>
      </c>
      <c r="AH247" s="383">
        <f t="shared" si="147"/>
        <v>0</v>
      </c>
      <c r="AI247" s="383">
        <f t="shared" si="148"/>
        <v>0</v>
      </c>
      <c r="AJ247" s="383">
        <f t="shared" si="149"/>
        <v>1</v>
      </c>
      <c r="AK247" s="383">
        <f t="shared" si="150"/>
        <v>0</v>
      </c>
      <c r="AM247" s="148" t="str">
        <f t="shared" si="151"/>
        <v>Schedulled</v>
      </c>
      <c r="AN247" s="148" t="str">
        <f t="shared" si="152"/>
        <v/>
      </c>
      <c r="AO247" s="156">
        <f t="shared" si="153"/>
        <v>43062.472222222219</v>
      </c>
      <c r="AP247" s="148" t="str">
        <f t="shared" si="154"/>
        <v>11/23/2017 11:20-&gt;JCC Back Field 1</v>
      </c>
      <c r="AQ247" s="374">
        <f t="shared" si="155"/>
        <v>1</v>
      </c>
      <c r="AR247" s="148" t="str">
        <f t="shared" si="156"/>
        <v>ARG1</v>
      </c>
      <c r="AS247" s="148" t="str">
        <f t="shared" si="157"/>
        <v>MEX</v>
      </c>
      <c r="AT247" s="157" t="str">
        <f t="shared" si="158"/>
        <v>ARG1-MEX</v>
      </c>
      <c r="AU247" s="157" t="str">
        <f t="shared" si="159"/>
        <v xml:space="preserve">ARG1-MEX </v>
      </c>
      <c r="AV247" s="157" t="str">
        <f t="shared" si="160"/>
        <v>CHILDREN D FEMALE</v>
      </c>
      <c r="AW247" s="157" t="str">
        <f t="shared" si="161"/>
        <v>Soccer</v>
      </c>
      <c r="AX247" s="450">
        <f t="shared" si="162"/>
        <v>245</v>
      </c>
      <c r="AY247" s="148" t="str">
        <f t="shared" si="163"/>
        <v>CHILD DF - ARG 1-&gt;CHILD DF - MEX</v>
      </c>
      <c r="AZ247" s="148" t="str">
        <f t="shared" si="164"/>
        <v>11/23/2017 11:20-&gt;CHILD DF - ARG 1</v>
      </c>
      <c r="BA247" s="148" t="str">
        <f t="shared" si="165"/>
        <v>11/23/2017 11:20-&gt;CHILD DF - MEX</v>
      </c>
      <c r="BB247" s="374">
        <f t="shared" si="166"/>
        <v>1</v>
      </c>
      <c r="BC247" s="374">
        <f t="shared" si="167"/>
        <v>1</v>
      </c>
      <c r="BD247" s="148" t="str">
        <f t="shared" si="168"/>
        <v>no conflict</v>
      </c>
      <c r="BF247" s="148" t="str">
        <f t="shared" si="169"/>
        <v>11/23/2017 11:20-&gt;CHILD DF - ARG 1</v>
      </c>
      <c r="BG247" s="148" t="str">
        <f t="shared" si="170"/>
        <v>11/23/2017 11:20-&gt;CHILD DF - MEX</v>
      </c>
      <c r="BH247" s="148" t="str">
        <f t="shared" si="171"/>
        <v>11/23/2017 11:20-&gt;JCC Back Field 1</v>
      </c>
      <c r="BI247" s="148" t="str">
        <f t="shared" si="172"/>
        <v>Soccer in JCC Back Field 1 (ARG1-MEX)</v>
      </c>
      <c r="BJ247" s="148" t="str">
        <f t="shared" si="173"/>
        <v>Ch D Female Mini Soccer-- CHILD DF - ARG 1 vs. CHILD DF - MEX</v>
      </c>
      <c r="BK247" s="148" t="str">
        <f t="shared" si="174"/>
        <v>Soccer</v>
      </c>
      <c r="BL247" s="148" t="str">
        <f t="shared" si="175"/>
        <v>CHILD DF - ARG 1</v>
      </c>
      <c r="BM247" s="148" t="str">
        <f t="shared" si="176"/>
        <v>CHILD DF - MEX</v>
      </c>
      <c r="BN247" s="148" t="str">
        <f t="shared" si="177"/>
        <v>Round - 1</v>
      </c>
      <c r="BP247" s="148" t="str">
        <f t="shared" si="178"/>
        <v>no t, f, or sf</v>
      </c>
      <c r="BQ247" s="148" t="str">
        <f t="shared" si="179"/>
        <v/>
      </c>
    </row>
    <row r="248" spans="1:69" ht="16" x14ac:dyDescent="0.2">
      <c r="A248" s="376">
        <v>246</v>
      </c>
      <c r="B248" s="444" t="s">
        <v>48</v>
      </c>
      <c r="C248" s="444" t="s">
        <v>518</v>
      </c>
      <c r="D248" s="451">
        <v>1</v>
      </c>
      <c r="E248" s="451">
        <v>1</v>
      </c>
      <c r="F248" s="315" t="s">
        <v>770</v>
      </c>
      <c r="G248" s="445">
        <v>43062</v>
      </c>
      <c r="H248" s="317">
        <v>0.68055555555555547</v>
      </c>
      <c r="I248" s="325" t="s">
        <v>770</v>
      </c>
      <c r="J248" s="443" t="s">
        <v>695</v>
      </c>
      <c r="K248" s="444">
        <v>43</v>
      </c>
      <c r="L248" s="433" t="s">
        <v>586</v>
      </c>
      <c r="M248" s="433">
        <v>43</v>
      </c>
      <c r="N248" s="433" t="s">
        <v>587</v>
      </c>
      <c r="O248" s="153" t="str">
        <f>IF(L248&lt;&gt;"",IFERROR(VLOOKUP(B248&amp;L248,Pools!$A$2:$D$130,3,FALSE),""),"")</f>
        <v>Pool B</v>
      </c>
      <c r="P248" s="388">
        <v>3</v>
      </c>
      <c r="Q248" s="388">
        <v>0</v>
      </c>
      <c r="R248" s="306" t="str">
        <f t="shared" si="135"/>
        <v>3-0</v>
      </c>
      <c r="S248" s="153"/>
      <c r="T248" s="148" t="str">
        <f t="shared" si="136"/>
        <v>Completed</v>
      </c>
      <c r="U248" s="153"/>
      <c r="V248" s="153"/>
      <c r="W248" s="387">
        <f t="shared" si="137"/>
        <v>3</v>
      </c>
      <c r="X248" s="387">
        <f t="shared" si="138"/>
        <v>-3</v>
      </c>
      <c r="Y248" s="301">
        <f t="shared" si="139"/>
        <v>2</v>
      </c>
      <c r="Z248" s="301">
        <f t="shared" si="140"/>
        <v>0</v>
      </c>
      <c r="AA248" s="323" t="str">
        <f>CONCATENATE("                x[team1,team2,sport,'",IF(OR(I248="x",I248=""),VLOOKUP('Schedule from TM'!J248,Tables!$P$3:$Q$33,2,FALSE),'Schedule from TM'!I248),",",J248,"','",IF(OR(F248="x",F248=""),VLOOKUP('Schedule from TM'!G248,Tables!$U$3:$V$14,2,FALSE),'Schedule from TM'!F248),",",TEXT(G248,"mm/dd/yyyy"),"','",TEXT(H248,"h:mm:ss AM/PM"),"'].ub=0.0      #",B248)</f>
        <v xml:space="preserve">                x[team1,team2,sport,'11,JCC Back Field 1','11,11/23/2017','4:20:00 PM'].ub=0.0      #Ch D Female Mini Soccer</v>
      </c>
      <c r="AB248" s="301" t="str">
        <f t="shared" si="141"/>
        <v>,,Ch D Female Mini Soccer,Pool B,1,CHILD DF - COL 1</v>
      </c>
      <c r="AC248" s="153" t="str">
        <f t="shared" si="142"/>
        <v>Ch D Female Mini SoccerPool BCHILD DF - COL 1</v>
      </c>
      <c r="AD248" s="301" t="str">
        <f t="shared" si="143"/>
        <v>,,Ch D Female Mini Soccer,Pool B,1,CHILD DF - USA 1</v>
      </c>
      <c r="AE248" s="153" t="str">
        <f t="shared" si="144"/>
        <v>Ch D Female Mini SoccerPool BCHILD DF - USA 1</v>
      </c>
      <c r="AF248" s="383">
        <f t="shared" si="145"/>
        <v>1</v>
      </c>
      <c r="AG248" s="383">
        <f t="shared" si="146"/>
        <v>0</v>
      </c>
      <c r="AH248" s="383">
        <f t="shared" si="147"/>
        <v>0</v>
      </c>
      <c r="AI248" s="383">
        <f t="shared" si="148"/>
        <v>0</v>
      </c>
      <c r="AJ248" s="383">
        <f t="shared" si="149"/>
        <v>1</v>
      </c>
      <c r="AK248" s="383">
        <f t="shared" si="150"/>
        <v>0</v>
      </c>
      <c r="AM248" s="148" t="str">
        <f t="shared" si="151"/>
        <v>Schedulled</v>
      </c>
      <c r="AN248" s="148" t="str">
        <f t="shared" si="152"/>
        <v/>
      </c>
      <c r="AO248" s="156">
        <f t="shared" si="153"/>
        <v>43062.680555555555</v>
      </c>
      <c r="AP248" s="148" t="str">
        <f t="shared" si="154"/>
        <v>11/23/2017 16:20-&gt;JCC Back Field 1</v>
      </c>
      <c r="AQ248" s="374">
        <f t="shared" si="155"/>
        <v>1</v>
      </c>
      <c r="AR248" s="148" t="str">
        <f t="shared" si="156"/>
        <v>COL1</v>
      </c>
      <c r="AS248" s="148" t="str">
        <f t="shared" si="157"/>
        <v>USA1</v>
      </c>
      <c r="AT248" s="157" t="str">
        <f t="shared" si="158"/>
        <v>COL1-USA1</v>
      </c>
      <c r="AU248" s="157" t="str">
        <f t="shared" si="159"/>
        <v xml:space="preserve">COL1-USA1 </v>
      </c>
      <c r="AV248" s="157" t="str">
        <f t="shared" si="160"/>
        <v>CHILDREN D FEMALE</v>
      </c>
      <c r="AW248" s="157" t="str">
        <f t="shared" si="161"/>
        <v>Soccer</v>
      </c>
      <c r="AX248" s="376">
        <f t="shared" si="162"/>
        <v>246</v>
      </c>
      <c r="AY248" s="148" t="str">
        <f t="shared" si="163"/>
        <v>CHILD DF - COL 1-&gt;CHILD DF - USA 1</v>
      </c>
      <c r="AZ248" s="148" t="str">
        <f t="shared" si="164"/>
        <v>11/23/2017 16:20-&gt;CHILD DF - COL 1</v>
      </c>
      <c r="BA248" s="148" t="str">
        <f t="shared" si="165"/>
        <v>11/23/2017 16:20-&gt;CHILD DF - USA 1</v>
      </c>
      <c r="BB248" s="374">
        <f t="shared" si="166"/>
        <v>1</v>
      </c>
      <c r="BC248" s="374">
        <f t="shared" si="167"/>
        <v>1</v>
      </c>
      <c r="BD248" s="148" t="str">
        <f t="shared" si="168"/>
        <v>no conflict</v>
      </c>
      <c r="BF248" s="148" t="str">
        <f t="shared" si="169"/>
        <v>11/23/2017 16:20-&gt;CHILD DF - COL 1</v>
      </c>
      <c r="BG248" s="148" t="str">
        <f t="shared" si="170"/>
        <v>11/23/2017 16:20-&gt;CHILD DF - USA 1</v>
      </c>
      <c r="BH248" s="148" t="str">
        <f t="shared" si="171"/>
        <v>11/23/2017 16:20-&gt;JCC Back Field 1</v>
      </c>
      <c r="BI248" s="148" t="str">
        <f t="shared" si="172"/>
        <v>Soccer in JCC Back Field 1 (COL1-USA1)</v>
      </c>
      <c r="BJ248" s="148" t="str">
        <f t="shared" si="173"/>
        <v>Ch D Female Mini Soccer-- CHILD DF - COL 1 vs. CHILD DF - USA 1</v>
      </c>
      <c r="BK248" s="148" t="str">
        <f t="shared" si="174"/>
        <v>Soccer</v>
      </c>
      <c r="BL248" s="148" t="str">
        <f t="shared" si="175"/>
        <v>CHILD DF - COL 1</v>
      </c>
      <c r="BM248" s="148" t="str">
        <f t="shared" si="176"/>
        <v>CHILD DF - USA 1</v>
      </c>
      <c r="BN248" s="148" t="str">
        <f t="shared" si="177"/>
        <v>Round - 1</v>
      </c>
      <c r="BP248" s="148" t="str">
        <f t="shared" si="178"/>
        <v>no t, f, or sf</v>
      </c>
      <c r="BQ248" s="148" t="str">
        <f t="shared" si="179"/>
        <v/>
      </c>
    </row>
    <row r="249" spans="1:69" ht="15" customHeight="1" x14ac:dyDescent="0.2">
      <c r="A249" s="376">
        <v>247</v>
      </c>
      <c r="B249" s="444" t="s">
        <v>48</v>
      </c>
      <c r="C249" s="444" t="s">
        <v>518</v>
      </c>
      <c r="D249" s="451">
        <v>1</v>
      </c>
      <c r="E249" s="451">
        <v>1</v>
      </c>
      <c r="F249" s="315" t="s">
        <v>770</v>
      </c>
      <c r="G249" s="445">
        <v>43063</v>
      </c>
      <c r="H249" s="454">
        <v>0.33333333333333331</v>
      </c>
      <c r="I249" s="325" t="s">
        <v>770</v>
      </c>
      <c r="J249" s="319" t="s">
        <v>693</v>
      </c>
      <c r="K249" s="444">
        <v>43</v>
      </c>
      <c r="L249" t="s">
        <v>590</v>
      </c>
      <c r="M249">
        <v>43</v>
      </c>
      <c r="N249" t="s">
        <v>725</v>
      </c>
      <c r="O249" s="153" t="str">
        <f>IF(L249&lt;&gt;"",IFERROR(VLOOKUP(B249&amp;L249,Pools!$A$2:$D$130,3,FALSE),""),"")</f>
        <v>Pool B</v>
      </c>
      <c r="P249" s="388">
        <v>1</v>
      </c>
      <c r="Q249" s="388">
        <v>2</v>
      </c>
      <c r="R249" s="306" t="str">
        <f t="shared" si="135"/>
        <v>1-2</v>
      </c>
      <c r="S249" s="153"/>
      <c r="T249" s="148" t="str">
        <f t="shared" si="136"/>
        <v>Completed</v>
      </c>
      <c r="U249" s="153"/>
      <c r="V249" s="153"/>
      <c r="W249" s="387">
        <f t="shared" si="137"/>
        <v>-1</v>
      </c>
      <c r="X249" s="387">
        <f t="shared" si="138"/>
        <v>1</v>
      </c>
      <c r="Y249" s="301">
        <f t="shared" si="139"/>
        <v>0</v>
      </c>
      <c r="Z249" s="301">
        <f t="shared" si="140"/>
        <v>2</v>
      </c>
      <c r="AA249" s="323" t="str">
        <f>CONCATENATE("                x[team1,team2,sport,'",IF(OR(I249="x",I249=""),VLOOKUP('Schedule from TM'!J249,Tables!$P$3:$Q$33,2,FALSE),'Schedule from TM'!I249),",",J249,"','",IF(OR(F249="x",F249=""),VLOOKUP('Schedule from TM'!G249,Tables!$U$3:$V$14,2,FALSE),'Schedule from TM'!F249),",",TEXT(G249,"mm/dd/yyyy"),"','",TEXT(H249,"h:mm:ss AM/PM"),"'].ub=0.0      #",B249)</f>
        <v xml:space="preserve">                x[team1,team2,sport,'11,JCC Back Field 2','11,11/24/2017','8:00:00 AM'].ub=0.0      #Ch D Female Mini Soccer</v>
      </c>
      <c r="AB249" s="301" t="str">
        <f t="shared" si="141"/>
        <v>,,Ch D Female Mini Soccer,Pool B,1,CHILD DF - VEN 2</v>
      </c>
      <c r="AC249" s="153" t="str">
        <f t="shared" si="142"/>
        <v>Ch D Female Mini SoccerPool BCHILD DF - VEN 2</v>
      </c>
      <c r="AD249" s="301" t="str">
        <f t="shared" si="143"/>
        <v>,,Ch D Female Mini Soccer,Pool B,1,CHILD DF - ISR</v>
      </c>
      <c r="AE249" s="153" t="str">
        <f t="shared" si="144"/>
        <v>Ch D Female Mini SoccerPool BCHILD DF - ISR</v>
      </c>
      <c r="AF249" s="383">
        <f t="shared" si="145"/>
        <v>0</v>
      </c>
      <c r="AG249" s="383">
        <f t="shared" si="146"/>
        <v>1</v>
      </c>
      <c r="AH249" s="383">
        <f t="shared" si="147"/>
        <v>0</v>
      </c>
      <c r="AI249" s="383">
        <f t="shared" si="148"/>
        <v>1</v>
      </c>
      <c r="AJ249" s="383">
        <f t="shared" si="149"/>
        <v>0</v>
      </c>
      <c r="AK249" s="383">
        <f t="shared" si="150"/>
        <v>0</v>
      </c>
      <c r="AM249" s="148" t="str">
        <f t="shared" si="151"/>
        <v>Schedulled</v>
      </c>
      <c r="AN249" s="148" t="str">
        <f t="shared" si="152"/>
        <v/>
      </c>
      <c r="AO249" s="156">
        <f t="shared" si="153"/>
        <v>43063.333333333336</v>
      </c>
      <c r="AP249" s="148" t="str">
        <f t="shared" si="154"/>
        <v>11/24/2017 08:00-&gt;JCC Back Field 2</v>
      </c>
      <c r="AQ249" s="374">
        <f t="shared" si="155"/>
        <v>1</v>
      </c>
      <c r="AR249" s="148" t="str">
        <f t="shared" si="156"/>
        <v>VEN2</v>
      </c>
      <c r="AS249" s="148" t="str">
        <f t="shared" si="157"/>
        <v>ISR</v>
      </c>
      <c r="AT249" s="157" t="str">
        <f t="shared" si="158"/>
        <v>VEN2-ISR</v>
      </c>
      <c r="AU249" s="157" t="str">
        <f t="shared" si="159"/>
        <v xml:space="preserve">VEN2-ISR </v>
      </c>
      <c r="AV249" s="157" t="str">
        <f t="shared" si="160"/>
        <v>CHILDREN D FEMALE</v>
      </c>
      <c r="AW249" s="157" t="str">
        <f t="shared" si="161"/>
        <v>Soccer</v>
      </c>
      <c r="AX249" s="376">
        <f t="shared" si="162"/>
        <v>247</v>
      </c>
      <c r="AY249" s="148" t="str">
        <f t="shared" si="163"/>
        <v>CHILD DF - VEN 2-&gt;CHILD DF - ISR</v>
      </c>
      <c r="AZ249" s="148" t="str">
        <f t="shared" si="164"/>
        <v>11/24/2017 08:00-&gt;CHILD DF - VEN 2</v>
      </c>
      <c r="BA249" s="148" t="str">
        <f t="shared" si="165"/>
        <v>11/24/2017 08:00-&gt;CHILD DF - ISR</v>
      </c>
      <c r="BB249" s="374">
        <f t="shared" si="166"/>
        <v>1</v>
      </c>
      <c r="BC249" s="374">
        <f t="shared" si="167"/>
        <v>1</v>
      </c>
      <c r="BD249" s="148" t="str">
        <f t="shared" si="168"/>
        <v>no conflict</v>
      </c>
      <c r="BF249" s="148" t="str">
        <f t="shared" si="169"/>
        <v>11/24/2017 08:00-&gt;CHILD DF - VEN 2</v>
      </c>
      <c r="BG249" s="148" t="str">
        <f t="shared" si="170"/>
        <v>11/24/2017 08:00-&gt;CHILD DF - ISR</v>
      </c>
      <c r="BH249" s="148" t="str">
        <f t="shared" si="171"/>
        <v>11/24/2017 08:00-&gt;JCC Back Field 2</v>
      </c>
      <c r="BI249" s="148" t="str">
        <f t="shared" si="172"/>
        <v>Soccer in JCC Back Field 2 (VEN2-ISR)</v>
      </c>
      <c r="BJ249" s="148" t="str">
        <f t="shared" si="173"/>
        <v>Ch D Female Mini Soccer-- CHILD DF - VEN 2 vs. CHILD DF - ISR</v>
      </c>
      <c r="BK249" s="148" t="str">
        <f t="shared" si="174"/>
        <v>Soccer</v>
      </c>
      <c r="BL249" s="148" t="str">
        <f t="shared" si="175"/>
        <v>CHILD DF - VEN 2</v>
      </c>
      <c r="BM249" s="148" t="str">
        <f t="shared" si="176"/>
        <v>CHILD DF - ISR</v>
      </c>
      <c r="BN249" s="148" t="str">
        <f t="shared" si="177"/>
        <v>Round - 1</v>
      </c>
      <c r="BP249" s="148" t="str">
        <f t="shared" si="178"/>
        <v>no t, f, or sf</v>
      </c>
      <c r="BQ249" s="148" t="str">
        <f t="shared" si="179"/>
        <v/>
      </c>
    </row>
    <row r="250" spans="1:69" ht="15" customHeight="1" x14ac:dyDescent="0.2">
      <c r="A250" s="376">
        <v>248</v>
      </c>
      <c r="B250" s="315" t="s">
        <v>48</v>
      </c>
      <c r="C250" s="315" t="s">
        <v>518</v>
      </c>
      <c r="D250" s="378">
        <v>1</v>
      </c>
      <c r="E250" s="378">
        <v>1</v>
      </c>
      <c r="F250" s="315" t="s">
        <v>770</v>
      </c>
      <c r="G250" s="316">
        <v>43063</v>
      </c>
      <c r="H250" s="454">
        <v>0.61111111111111105</v>
      </c>
      <c r="I250" s="325" t="s">
        <v>770</v>
      </c>
      <c r="J250" s="315" t="s">
        <v>694</v>
      </c>
      <c r="K250" s="315">
        <v>43</v>
      </c>
      <c r="L250" t="s">
        <v>583</v>
      </c>
      <c r="M250">
        <v>43</v>
      </c>
      <c r="N250" t="s">
        <v>589</v>
      </c>
      <c r="O250" s="153" t="str">
        <f>IF(L250&lt;&gt;"",IFERROR(VLOOKUP(B250&amp;L250,Pools!$A$2:$D$130,3,FALSE),""),"")</f>
        <v>Pool A</v>
      </c>
      <c r="P250" s="388">
        <v>2</v>
      </c>
      <c r="Q250" s="388">
        <v>1</v>
      </c>
      <c r="R250" s="306" t="str">
        <f t="shared" si="135"/>
        <v>2-1</v>
      </c>
      <c r="S250" s="153"/>
      <c r="T250" s="148" t="str">
        <f t="shared" si="136"/>
        <v>Completed</v>
      </c>
      <c r="U250" s="153"/>
      <c r="V250" s="153"/>
      <c r="W250" s="387">
        <f t="shared" si="137"/>
        <v>1</v>
      </c>
      <c r="X250" s="387">
        <f t="shared" si="138"/>
        <v>-1</v>
      </c>
      <c r="Y250" s="301">
        <f t="shared" si="139"/>
        <v>2</v>
      </c>
      <c r="Z250" s="301">
        <f t="shared" si="140"/>
        <v>0</v>
      </c>
      <c r="AA250" s="323" t="str">
        <f>CONCATENATE("                x[team1,team2,sport,'",IF(OR(I250="x",I250=""),VLOOKUP('Schedule from TM'!J250,Tables!$P$3:$Q$33,2,FALSE),'Schedule from TM'!I250),",",J250,"','",IF(OR(F250="x",F250=""),VLOOKUP('Schedule from TM'!G250,Tables!$U$3:$V$14,2,FALSE),'Schedule from TM'!F250),",",TEXT(G250,"mm/dd/yyyy"),"','",TEXT(H250,"h:mm:ss AM/PM"),"'].ub=0.0      #",B250)</f>
        <v xml:space="preserve">                x[team1,team2,sport,'11,JCC Back Field 4','11,11/24/2017','2:40:00 PM'].ub=0.0      #Ch D Female Mini Soccer</v>
      </c>
      <c r="AB250" s="301" t="str">
        <f t="shared" si="141"/>
        <v>,,Ch D Female Mini Soccer,Pool A,1,CHILD DF - ARG 1</v>
      </c>
      <c r="AC250" s="153" t="str">
        <f t="shared" si="142"/>
        <v>Ch D Female Mini SoccerPool ACHILD DF - ARG 1</v>
      </c>
      <c r="AD250" s="301" t="str">
        <f t="shared" si="143"/>
        <v>,,Ch D Female Mini Soccer,Pool A,1,CHILD DF - VEN 1</v>
      </c>
      <c r="AE250" s="153" t="str">
        <f t="shared" si="144"/>
        <v>Ch D Female Mini SoccerPool ACHILD DF - VEN 1</v>
      </c>
      <c r="AF250" s="383">
        <f t="shared" si="145"/>
        <v>1</v>
      </c>
      <c r="AG250" s="383">
        <f t="shared" si="146"/>
        <v>0</v>
      </c>
      <c r="AH250" s="383">
        <f t="shared" si="147"/>
        <v>0</v>
      </c>
      <c r="AI250" s="383">
        <f t="shared" si="148"/>
        <v>0</v>
      </c>
      <c r="AJ250" s="383">
        <f t="shared" si="149"/>
        <v>1</v>
      </c>
      <c r="AK250" s="383">
        <f t="shared" si="150"/>
        <v>0</v>
      </c>
      <c r="AM250" s="148" t="str">
        <f t="shared" si="151"/>
        <v>Schedulled</v>
      </c>
      <c r="AN250" s="148" t="str">
        <f t="shared" si="152"/>
        <v/>
      </c>
      <c r="AO250" s="156">
        <f t="shared" si="153"/>
        <v>43063.611111111109</v>
      </c>
      <c r="AP250" s="148" t="str">
        <f t="shared" si="154"/>
        <v>11/24/2017 14:40-&gt;JCC Back Field 4</v>
      </c>
      <c r="AQ250" s="374">
        <f t="shared" si="155"/>
        <v>1</v>
      </c>
      <c r="AR250" s="148" t="str">
        <f t="shared" si="156"/>
        <v>ARG1</v>
      </c>
      <c r="AS250" s="148" t="str">
        <f t="shared" si="157"/>
        <v>VEN1</v>
      </c>
      <c r="AT250" s="157" t="str">
        <f t="shared" si="158"/>
        <v>ARG1-VEN1</v>
      </c>
      <c r="AU250" s="157" t="str">
        <f t="shared" si="159"/>
        <v xml:space="preserve">ARG1-VEN1 </v>
      </c>
      <c r="AV250" s="157" t="str">
        <f t="shared" si="160"/>
        <v>CHILDREN D FEMALE</v>
      </c>
      <c r="AW250" s="157" t="str">
        <f t="shared" si="161"/>
        <v>Soccer</v>
      </c>
      <c r="AX250" s="376">
        <f t="shared" si="162"/>
        <v>248</v>
      </c>
      <c r="AY250" s="148" t="str">
        <f t="shared" si="163"/>
        <v>CHILD DF - ARG 1-&gt;CHILD DF - VEN 1</v>
      </c>
      <c r="AZ250" s="148" t="str">
        <f t="shared" si="164"/>
        <v>11/24/2017 14:40-&gt;CHILD DF - ARG 1</v>
      </c>
      <c r="BA250" s="148" t="str">
        <f t="shared" si="165"/>
        <v>11/24/2017 14:40-&gt;CHILD DF - VEN 1</v>
      </c>
      <c r="BB250" s="374">
        <f t="shared" si="166"/>
        <v>1</v>
      </c>
      <c r="BC250" s="374">
        <f t="shared" si="167"/>
        <v>1</v>
      </c>
      <c r="BD250" s="148" t="str">
        <f t="shared" si="168"/>
        <v>no conflict</v>
      </c>
      <c r="BF250" s="148" t="str">
        <f t="shared" si="169"/>
        <v>11/24/2017 14:40-&gt;CHILD DF - ARG 1</v>
      </c>
      <c r="BG250" s="148" t="str">
        <f t="shared" si="170"/>
        <v>11/24/2017 14:40-&gt;CHILD DF - VEN 1</v>
      </c>
      <c r="BH250" s="148" t="str">
        <f t="shared" si="171"/>
        <v>11/24/2017 14:40-&gt;JCC Back Field 4</v>
      </c>
      <c r="BI250" s="148" t="str">
        <f t="shared" si="172"/>
        <v>Soccer in JCC Back Field 4 (ARG1-VEN1)</v>
      </c>
      <c r="BJ250" s="148" t="str">
        <f t="shared" si="173"/>
        <v>Ch D Female Mini Soccer-- CHILD DF - ARG 1 vs. CHILD DF - VEN 1</v>
      </c>
      <c r="BK250" s="148" t="str">
        <f t="shared" si="174"/>
        <v>Soccer</v>
      </c>
      <c r="BL250" s="148" t="str">
        <f t="shared" si="175"/>
        <v>CHILD DF - ARG 1</v>
      </c>
      <c r="BM250" s="148" t="str">
        <f t="shared" si="176"/>
        <v>CHILD DF - VEN 1</v>
      </c>
      <c r="BN250" s="148" t="str">
        <f t="shared" si="177"/>
        <v>Round - 1</v>
      </c>
      <c r="BP250" s="148" t="str">
        <f t="shared" si="178"/>
        <v>no t, f, or sf</v>
      </c>
      <c r="BQ250" s="148" t="str">
        <f t="shared" si="179"/>
        <v/>
      </c>
    </row>
    <row r="251" spans="1:69" ht="15" customHeight="1" x14ac:dyDescent="0.2">
      <c r="A251" s="376">
        <v>249</v>
      </c>
      <c r="B251" s="319" t="s">
        <v>48</v>
      </c>
      <c r="C251" s="319" t="s">
        <v>518</v>
      </c>
      <c r="D251" s="376">
        <v>1</v>
      </c>
      <c r="E251" s="376">
        <v>1</v>
      </c>
      <c r="F251" s="315" t="s">
        <v>770</v>
      </c>
      <c r="G251" s="320">
        <v>43063</v>
      </c>
      <c r="H251" s="454">
        <v>0.61111111111111105</v>
      </c>
      <c r="I251" s="325" t="s">
        <v>770</v>
      </c>
      <c r="J251" s="441" t="s">
        <v>692</v>
      </c>
      <c r="K251" s="319">
        <v>43</v>
      </c>
      <c r="L251" t="s">
        <v>586</v>
      </c>
      <c r="M251">
        <v>43</v>
      </c>
      <c r="N251" t="s">
        <v>725</v>
      </c>
      <c r="O251" s="153" t="str">
        <f>IF(L251&lt;&gt;"",IFERROR(VLOOKUP(B251&amp;L251,Pools!$A$2:$D$130,3,FALSE),""),"")</f>
        <v>Pool B</v>
      </c>
      <c r="P251" s="388">
        <v>3</v>
      </c>
      <c r="Q251" s="388">
        <v>1</v>
      </c>
      <c r="R251" s="306" t="str">
        <f t="shared" si="135"/>
        <v>3-1</v>
      </c>
      <c r="S251" s="153"/>
      <c r="T251" s="148" t="str">
        <f t="shared" si="136"/>
        <v>Completed</v>
      </c>
      <c r="U251" s="153"/>
      <c r="V251" s="153"/>
      <c r="W251" s="387">
        <f t="shared" si="137"/>
        <v>2</v>
      </c>
      <c r="X251" s="387">
        <f t="shared" si="138"/>
        <v>-2</v>
      </c>
      <c r="Y251" s="301">
        <f t="shared" si="139"/>
        <v>2</v>
      </c>
      <c r="Z251" s="301">
        <f t="shared" si="140"/>
        <v>0</v>
      </c>
      <c r="AA251" s="323" t="str">
        <f>CONCATENATE("                x[team1,team2,sport,'",IF(OR(I251="x",I251=""),VLOOKUP('Schedule from TM'!J251,Tables!$P$3:$Q$33,2,FALSE),'Schedule from TM'!I251),",",J251,"','",IF(OR(F251="x",F251=""),VLOOKUP('Schedule from TM'!G251,Tables!$U$3:$V$14,2,FALSE),'Schedule from TM'!F251),",",TEXT(G251,"mm/dd/yyyy"),"','",TEXT(H251,"h:mm:ss AM/PM"),"'].ub=0.0      #",B251)</f>
        <v xml:space="preserve">                x[team1,team2,sport,'11,JCC Back Field 3','11,11/24/2017','2:40:00 PM'].ub=0.0      #Ch D Female Mini Soccer</v>
      </c>
      <c r="AB251" s="301" t="str">
        <f t="shared" si="141"/>
        <v>,,Ch D Female Mini Soccer,Pool B,1,CHILD DF - COL 1</v>
      </c>
      <c r="AC251" s="153" t="str">
        <f t="shared" si="142"/>
        <v>Ch D Female Mini SoccerPool BCHILD DF - COL 1</v>
      </c>
      <c r="AD251" s="301" t="str">
        <f t="shared" si="143"/>
        <v>,,Ch D Female Mini Soccer,Pool B,1,CHILD DF - ISR</v>
      </c>
      <c r="AE251" s="153" t="str">
        <f t="shared" si="144"/>
        <v>Ch D Female Mini SoccerPool BCHILD DF - ISR</v>
      </c>
      <c r="AF251" s="383">
        <f t="shared" si="145"/>
        <v>1</v>
      </c>
      <c r="AG251" s="383">
        <f t="shared" si="146"/>
        <v>0</v>
      </c>
      <c r="AH251" s="383">
        <f t="shared" si="147"/>
        <v>0</v>
      </c>
      <c r="AI251" s="383">
        <f t="shared" si="148"/>
        <v>0</v>
      </c>
      <c r="AJ251" s="383">
        <f t="shared" si="149"/>
        <v>1</v>
      </c>
      <c r="AK251" s="383">
        <f t="shared" si="150"/>
        <v>0</v>
      </c>
      <c r="AM251" s="148" t="str">
        <f t="shared" si="151"/>
        <v>Schedulled</v>
      </c>
      <c r="AN251" s="148" t="str">
        <f t="shared" si="152"/>
        <v/>
      </c>
      <c r="AO251" s="156">
        <f t="shared" si="153"/>
        <v>43063.611111111109</v>
      </c>
      <c r="AP251" s="148" t="str">
        <f t="shared" si="154"/>
        <v>11/24/2017 14:40-&gt;JCC Back Field 3</v>
      </c>
      <c r="AQ251" s="374">
        <f t="shared" si="155"/>
        <v>1</v>
      </c>
      <c r="AR251" s="148" t="str">
        <f t="shared" si="156"/>
        <v>COL1</v>
      </c>
      <c r="AS251" s="148" t="str">
        <f t="shared" si="157"/>
        <v>ISR</v>
      </c>
      <c r="AT251" s="157" t="str">
        <f t="shared" si="158"/>
        <v>COL1-ISR</v>
      </c>
      <c r="AU251" s="157" t="str">
        <f t="shared" si="159"/>
        <v xml:space="preserve">COL1-ISR </v>
      </c>
      <c r="AV251" s="157" t="str">
        <f t="shared" si="160"/>
        <v>CHILDREN D FEMALE</v>
      </c>
      <c r="AW251" s="157" t="str">
        <f t="shared" si="161"/>
        <v>Soccer</v>
      </c>
      <c r="AX251" s="376">
        <f t="shared" si="162"/>
        <v>249</v>
      </c>
      <c r="AY251" s="148" t="str">
        <f t="shared" si="163"/>
        <v>CHILD DF - COL 1-&gt;CHILD DF - ISR</v>
      </c>
      <c r="AZ251" s="148" t="str">
        <f t="shared" si="164"/>
        <v>11/24/2017 14:40-&gt;CHILD DF - COL 1</v>
      </c>
      <c r="BA251" s="148" t="str">
        <f t="shared" si="165"/>
        <v>11/24/2017 14:40-&gt;CHILD DF - ISR</v>
      </c>
      <c r="BB251" s="374">
        <f t="shared" si="166"/>
        <v>1</v>
      </c>
      <c r="BC251" s="374">
        <f t="shared" si="167"/>
        <v>1</v>
      </c>
      <c r="BD251" s="148" t="str">
        <f t="shared" si="168"/>
        <v>no conflict</v>
      </c>
      <c r="BF251" s="148" t="str">
        <f t="shared" si="169"/>
        <v>11/24/2017 14:40-&gt;CHILD DF - COL 1</v>
      </c>
      <c r="BG251" s="148" t="str">
        <f t="shared" si="170"/>
        <v>11/24/2017 14:40-&gt;CHILD DF - ISR</v>
      </c>
      <c r="BH251" s="148" t="str">
        <f t="shared" si="171"/>
        <v>11/24/2017 14:40-&gt;JCC Back Field 3</v>
      </c>
      <c r="BI251" s="148" t="str">
        <f t="shared" si="172"/>
        <v>Soccer in JCC Back Field 3 (COL1-ISR)</v>
      </c>
      <c r="BJ251" s="148" t="str">
        <f t="shared" si="173"/>
        <v>Ch D Female Mini Soccer-- CHILD DF - COL 1 vs. CHILD DF - ISR</v>
      </c>
      <c r="BK251" s="148" t="str">
        <f t="shared" si="174"/>
        <v>Soccer</v>
      </c>
      <c r="BL251" s="148" t="str">
        <f t="shared" si="175"/>
        <v>CHILD DF - COL 1</v>
      </c>
      <c r="BM251" s="148" t="str">
        <f t="shared" si="176"/>
        <v>CHILD DF - ISR</v>
      </c>
      <c r="BN251" s="148" t="str">
        <f t="shared" si="177"/>
        <v>Round - 1</v>
      </c>
      <c r="BP251" s="148" t="str">
        <f t="shared" si="178"/>
        <v>no t, f, or sf</v>
      </c>
      <c r="BQ251" s="148" t="str">
        <f t="shared" si="179"/>
        <v/>
      </c>
    </row>
    <row r="252" spans="1:69" ht="15" customHeight="1" x14ac:dyDescent="0.2">
      <c r="A252" s="376">
        <v>250</v>
      </c>
      <c r="B252" s="315" t="s">
        <v>48</v>
      </c>
      <c r="C252" s="315" t="s">
        <v>518</v>
      </c>
      <c r="D252" s="378">
        <v>1</v>
      </c>
      <c r="E252" s="378">
        <v>1</v>
      </c>
      <c r="F252" s="315" t="s">
        <v>770</v>
      </c>
      <c r="G252" s="316">
        <v>43065</v>
      </c>
      <c r="H252" s="454">
        <v>0.36805555555555558</v>
      </c>
      <c r="I252" s="325" t="s">
        <v>770</v>
      </c>
      <c r="J252" s="315" t="s">
        <v>693</v>
      </c>
      <c r="K252" s="315">
        <v>43</v>
      </c>
      <c r="L252" t="s">
        <v>583</v>
      </c>
      <c r="M252">
        <v>43</v>
      </c>
      <c r="N252" t="s">
        <v>588</v>
      </c>
      <c r="O252" s="153" t="str">
        <f>IF(L252&lt;&gt;"",IFERROR(VLOOKUP(B252&amp;L252,Pools!$A$2:$D$130,3,FALSE),""),"")</f>
        <v>Pool A</v>
      </c>
      <c r="P252" s="388">
        <v>3</v>
      </c>
      <c r="Q252" s="388">
        <v>0</v>
      </c>
      <c r="R252" s="306" t="str">
        <f t="shared" si="135"/>
        <v>3-0</v>
      </c>
      <c r="S252" s="153"/>
      <c r="T252" s="148" t="str">
        <f t="shared" si="136"/>
        <v>Completed</v>
      </c>
      <c r="U252" s="153"/>
      <c r="V252" s="153"/>
      <c r="W252" s="387">
        <f t="shared" si="137"/>
        <v>3</v>
      </c>
      <c r="X252" s="387">
        <f t="shared" si="138"/>
        <v>-3</v>
      </c>
      <c r="Y252" s="301">
        <f t="shared" si="139"/>
        <v>2</v>
      </c>
      <c r="Z252" s="301">
        <f t="shared" si="140"/>
        <v>0</v>
      </c>
      <c r="AA252" s="323" t="str">
        <f>CONCATENATE("                x[team1,team2,sport,'",IF(OR(I252="x",I252=""),VLOOKUP('Schedule from TM'!J252,Tables!$P$3:$Q$33,2,FALSE),'Schedule from TM'!I252),",",J252,"','",IF(OR(F252="x",F252=""),VLOOKUP('Schedule from TM'!G252,Tables!$U$3:$V$14,2,FALSE),'Schedule from TM'!F252),",",TEXT(G252,"mm/dd/yyyy"),"','",TEXT(H252,"h:mm:ss AM/PM"),"'].ub=0.0      #",B252)</f>
        <v xml:space="preserve">                x[team1,team2,sport,'11,JCC Back Field 2','21,11/26/2017','8:50:00 AM'].ub=0.0      #Ch D Female Mini Soccer</v>
      </c>
      <c r="AB252" s="301" t="str">
        <f t="shared" si="141"/>
        <v>,,Ch D Female Mini Soccer,Pool A,1,CHILD DF - ARG 1</v>
      </c>
      <c r="AC252" s="153" t="str">
        <f t="shared" si="142"/>
        <v>Ch D Female Mini SoccerPool ACHILD DF - ARG 1</v>
      </c>
      <c r="AD252" s="301" t="str">
        <f t="shared" si="143"/>
        <v>,,Ch D Female Mini Soccer,Pool A,1,CHILD DF - USA 2</v>
      </c>
      <c r="AE252" s="153" t="str">
        <f t="shared" si="144"/>
        <v>Ch D Female Mini SoccerPool ACHILD DF - USA 2</v>
      </c>
      <c r="AF252" s="383">
        <f t="shared" si="145"/>
        <v>1</v>
      </c>
      <c r="AG252" s="383">
        <f t="shared" si="146"/>
        <v>0</v>
      </c>
      <c r="AH252" s="383">
        <f t="shared" si="147"/>
        <v>0</v>
      </c>
      <c r="AI252" s="383">
        <f t="shared" si="148"/>
        <v>0</v>
      </c>
      <c r="AJ252" s="383">
        <f t="shared" si="149"/>
        <v>1</v>
      </c>
      <c r="AK252" s="383">
        <f t="shared" si="150"/>
        <v>0</v>
      </c>
      <c r="AM252" s="148" t="str">
        <f t="shared" si="151"/>
        <v>Schedulled</v>
      </c>
      <c r="AN252" s="148" t="str">
        <f t="shared" si="152"/>
        <v/>
      </c>
      <c r="AO252" s="156">
        <f t="shared" si="153"/>
        <v>43065.368055555555</v>
      </c>
      <c r="AP252" s="148" t="str">
        <f t="shared" si="154"/>
        <v>11/26/2017 08:50-&gt;JCC Back Field 2</v>
      </c>
      <c r="AQ252" s="374">
        <f t="shared" si="155"/>
        <v>1</v>
      </c>
      <c r="AR252" s="148" t="str">
        <f t="shared" si="156"/>
        <v>ARG1</v>
      </c>
      <c r="AS252" s="148" t="str">
        <f t="shared" si="157"/>
        <v>USA2</v>
      </c>
      <c r="AT252" s="157" t="str">
        <f t="shared" si="158"/>
        <v>ARG1-USA2</v>
      </c>
      <c r="AU252" s="157" t="str">
        <f t="shared" si="159"/>
        <v xml:space="preserve">ARG1-USA2 </v>
      </c>
      <c r="AV252" s="157" t="str">
        <f t="shared" si="160"/>
        <v>CHILDREN D FEMALE</v>
      </c>
      <c r="AW252" s="157" t="str">
        <f t="shared" si="161"/>
        <v>Soccer</v>
      </c>
      <c r="AX252" s="376">
        <f t="shared" si="162"/>
        <v>250</v>
      </c>
      <c r="AY252" s="148" t="str">
        <f t="shared" si="163"/>
        <v>CHILD DF - ARG 1-&gt;CHILD DF - USA 2</v>
      </c>
      <c r="AZ252" s="148" t="str">
        <f t="shared" si="164"/>
        <v>11/26/2017 08:50-&gt;CHILD DF - ARG 1</v>
      </c>
      <c r="BA252" s="148" t="str">
        <f t="shared" si="165"/>
        <v>11/26/2017 08:50-&gt;CHILD DF - USA 2</v>
      </c>
      <c r="BB252" s="374">
        <f t="shared" si="166"/>
        <v>1</v>
      </c>
      <c r="BC252" s="374">
        <f t="shared" si="167"/>
        <v>1</v>
      </c>
      <c r="BD252" s="148" t="str">
        <f t="shared" si="168"/>
        <v>no conflict</v>
      </c>
      <c r="BF252" s="148" t="str">
        <f t="shared" si="169"/>
        <v>11/26/2017 08:50-&gt;CHILD DF - ARG 1</v>
      </c>
      <c r="BG252" s="148" t="str">
        <f t="shared" si="170"/>
        <v>11/26/2017 08:50-&gt;CHILD DF - USA 2</v>
      </c>
      <c r="BH252" s="148" t="str">
        <f t="shared" si="171"/>
        <v>11/26/2017 08:50-&gt;JCC Back Field 2</v>
      </c>
      <c r="BI252" s="148" t="str">
        <f t="shared" si="172"/>
        <v>Soccer in JCC Back Field 2 (ARG1-USA2)</v>
      </c>
      <c r="BJ252" s="148" t="str">
        <f t="shared" si="173"/>
        <v>Ch D Female Mini Soccer-- CHILD DF - ARG 1 vs. CHILD DF - USA 2</v>
      </c>
      <c r="BK252" s="148" t="str">
        <f t="shared" si="174"/>
        <v>Soccer</v>
      </c>
      <c r="BL252" s="148" t="str">
        <f t="shared" si="175"/>
        <v>CHILD DF - ARG 1</v>
      </c>
      <c r="BM252" s="148" t="str">
        <f t="shared" si="176"/>
        <v>CHILD DF - USA 2</v>
      </c>
      <c r="BN252" s="148" t="str">
        <f t="shared" si="177"/>
        <v>Round - 1</v>
      </c>
      <c r="BP252" s="148" t="str">
        <f t="shared" si="178"/>
        <v>no t, f, or sf</v>
      </c>
      <c r="BQ252" s="148" t="str">
        <f t="shared" si="179"/>
        <v/>
      </c>
    </row>
    <row r="253" spans="1:69" ht="15" customHeight="1" x14ac:dyDescent="0.2">
      <c r="A253" s="376">
        <v>251</v>
      </c>
      <c r="B253" s="328" t="s">
        <v>520</v>
      </c>
      <c r="C253" s="315" t="s">
        <v>518</v>
      </c>
      <c r="D253" s="378">
        <v>1</v>
      </c>
      <c r="E253" s="378">
        <v>1</v>
      </c>
      <c r="F253" s="315" t="s">
        <v>770</v>
      </c>
      <c r="G253" s="316">
        <v>43058</v>
      </c>
      <c r="H253" s="317">
        <v>0.40277777777777773</v>
      </c>
      <c r="I253" s="325" t="s">
        <v>770</v>
      </c>
      <c r="J253" s="443" t="s">
        <v>701</v>
      </c>
      <c r="K253" s="315">
        <v>43</v>
      </c>
      <c r="L253" t="s">
        <v>587</v>
      </c>
      <c r="M253">
        <v>43</v>
      </c>
      <c r="N253" t="s">
        <v>725</v>
      </c>
      <c r="O253" s="153" t="str">
        <f>IF(L253&lt;&gt;"",IFERROR(VLOOKUP(B253&amp;L253,Pools!$A$2:$D$130,3,FALSE),""),"")</f>
        <v>Pool B</v>
      </c>
      <c r="P253" s="388">
        <v>0</v>
      </c>
      <c r="Q253" s="388">
        <v>2</v>
      </c>
      <c r="R253" s="306" t="str">
        <f t="shared" si="135"/>
        <v>0-2</v>
      </c>
      <c r="S253" s="153"/>
      <c r="T253" s="148" t="str">
        <f t="shared" si="136"/>
        <v>Completed</v>
      </c>
      <c r="U253" s="153"/>
      <c r="V253" s="153"/>
      <c r="W253" s="387">
        <f t="shared" si="137"/>
        <v>-2</v>
      </c>
      <c r="X253" s="387">
        <f t="shared" si="138"/>
        <v>2</v>
      </c>
      <c r="Y253" s="301">
        <f t="shared" si="139"/>
        <v>0</v>
      </c>
      <c r="Z253" s="301">
        <f t="shared" si="140"/>
        <v>2</v>
      </c>
      <c r="AA253" s="323" t="str">
        <f>CONCATENATE("                x[team1,team2,sport,'",IF(OR(I253="x",I253=""),VLOOKUP('Schedule from TM'!J253,Tables!$P$3:$Q$33,2,FALSE),'Schedule from TM'!I253),",",J253,"','",IF(OR(F253="x",F253=""),VLOOKUP('Schedule from TM'!G253,Tables!$U$3:$V$14,2,FALSE),'Schedule from TM'!F253),",",TEXT(G253,"mm/dd/yyyy"),"','",TEXT(H253,"h:mm:ss AM/PM"),"'].ub=0.0      #",B253)</f>
        <v xml:space="preserve">                x[team1,team2,sport,'22,Hillel - Volleyball Out','11,11/19/2017','9:40:00 AM'].ub=0.0      #Ch D Female Volleyball</v>
      </c>
      <c r="AB253" s="301" t="str">
        <f t="shared" si="141"/>
        <v>,,Ch D Female Volleyball,Pool B,1,CHILD DF - USA 1</v>
      </c>
      <c r="AC253" s="153" t="str">
        <f t="shared" si="142"/>
        <v>Ch D Female VolleyballPool BCHILD DF - USA 1</v>
      </c>
      <c r="AD253" s="301" t="str">
        <f t="shared" si="143"/>
        <v>,,Ch D Female Volleyball,Pool B,1,CHILD DF - ISR</v>
      </c>
      <c r="AE253" s="153" t="str">
        <f t="shared" si="144"/>
        <v>Ch D Female VolleyballPool BCHILD DF - ISR</v>
      </c>
      <c r="AF253" s="383">
        <f t="shared" si="145"/>
        <v>0</v>
      </c>
      <c r="AG253" s="383">
        <f t="shared" si="146"/>
        <v>1</v>
      </c>
      <c r="AH253" s="383">
        <f t="shared" si="147"/>
        <v>0</v>
      </c>
      <c r="AI253" s="383">
        <f t="shared" si="148"/>
        <v>1</v>
      </c>
      <c r="AJ253" s="383">
        <f t="shared" si="149"/>
        <v>0</v>
      </c>
      <c r="AK253" s="383">
        <f t="shared" si="150"/>
        <v>0</v>
      </c>
      <c r="AM253" s="148" t="str">
        <f t="shared" si="151"/>
        <v>Schedulled</v>
      </c>
      <c r="AN253" s="148" t="str">
        <f t="shared" si="152"/>
        <v/>
      </c>
      <c r="AO253" s="156">
        <f t="shared" si="153"/>
        <v>43058.402777777781</v>
      </c>
      <c r="AP253" s="148" t="str">
        <f t="shared" si="154"/>
        <v>11/19/2017 09:40-&gt;Hillel - Volleyball Out</v>
      </c>
      <c r="AQ253" s="374">
        <f t="shared" si="155"/>
        <v>1</v>
      </c>
      <c r="AR253" s="148" t="str">
        <f t="shared" si="156"/>
        <v>USA1</v>
      </c>
      <c r="AS253" s="148" t="str">
        <f t="shared" si="157"/>
        <v>ISR</v>
      </c>
      <c r="AT253" s="157" t="str">
        <f t="shared" si="158"/>
        <v>USA1-ISR</v>
      </c>
      <c r="AU253" s="157" t="str">
        <f t="shared" si="159"/>
        <v xml:space="preserve">USA1-ISR </v>
      </c>
      <c r="AV253" s="157" t="str">
        <f t="shared" si="160"/>
        <v>CHILDREN D FEMALE</v>
      </c>
      <c r="AW253" s="157" t="str">
        <f t="shared" si="161"/>
        <v>Volleyball</v>
      </c>
      <c r="AX253" s="376">
        <f t="shared" si="162"/>
        <v>251</v>
      </c>
      <c r="AY253" s="148" t="str">
        <f t="shared" si="163"/>
        <v>CHILD DF - USA 1-&gt;CHILD DF - ISR</v>
      </c>
      <c r="AZ253" s="148" t="str">
        <f t="shared" si="164"/>
        <v>11/19/2017 09:40-&gt;CHILD DF - USA 1</v>
      </c>
      <c r="BA253" s="148" t="str">
        <f t="shared" si="165"/>
        <v>11/19/2017 09:40-&gt;CHILD DF - ISR</v>
      </c>
      <c r="BB253" s="374">
        <f t="shared" si="166"/>
        <v>1</v>
      </c>
      <c r="BC253" s="374">
        <f t="shared" si="167"/>
        <v>1</v>
      </c>
      <c r="BD253" s="148" t="str">
        <f t="shared" si="168"/>
        <v>no conflict</v>
      </c>
      <c r="BF253" s="148" t="str">
        <f t="shared" si="169"/>
        <v>11/19/2017 09:40-&gt;CHILD DF - USA 1</v>
      </c>
      <c r="BG253" s="148" t="str">
        <f t="shared" si="170"/>
        <v>11/19/2017 09:40-&gt;CHILD DF - ISR</v>
      </c>
      <c r="BH253" s="148" t="str">
        <f t="shared" si="171"/>
        <v>11/19/2017 09:40-&gt;Hillel - Volleyball Out</v>
      </c>
      <c r="BI253" s="148" t="str">
        <f t="shared" si="172"/>
        <v>Volleyball in Hillel - Volleyball Out (USA1-ISR)</v>
      </c>
      <c r="BJ253" s="148" t="str">
        <f t="shared" si="173"/>
        <v>Ch D Female Volleyball-- CHILD DF - USA 1 vs. CHILD DF - ISR</v>
      </c>
      <c r="BK253" s="148" t="str">
        <f t="shared" si="174"/>
        <v>Volleyball</v>
      </c>
      <c r="BL253" s="148" t="str">
        <f t="shared" si="175"/>
        <v>CHILD DF - USA 1</v>
      </c>
      <c r="BM253" s="148" t="str">
        <f t="shared" si="176"/>
        <v>CHILD DF - ISR</v>
      </c>
      <c r="BN253" s="148" t="str">
        <f t="shared" si="177"/>
        <v>Round - 1</v>
      </c>
      <c r="BP253" s="148" t="str">
        <f t="shared" si="178"/>
        <v>no t, f, or sf</v>
      </c>
      <c r="BQ253" s="148" t="str">
        <f t="shared" si="179"/>
        <v/>
      </c>
    </row>
    <row r="254" spans="1:69" ht="15" customHeight="1" x14ac:dyDescent="0.2">
      <c r="A254" s="376">
        <v>252</v>
      </c>
      <c r="B254" s="441" t="s">
        <v>520</v>
      </c>
      <c r="C254" s="441" t="s">
        <v>518</v>
      </c>
      <c r="D254" s="450">
        <v>1</v>
      </c>
      <c r="E254" s="450">
        <v>1</v>
      </c>
      <c r="F254" s="315" t="s">
        <v>770</v>
      </c>
      <c r="G254" s="320">
        <v>43058</v>
      </c>
      <c r="H254" s="317">
        <v>0.50694444444444442</v>
      </c>
      <c r="I254" s="325" t="s">
        <v>770</v>
      </c>
      <c r="J254" s="441" t="s">
        <v>701</v>
      </c>
      <c r="K254" s="441">
        <v>43</v>
      </c>
      <c r="L254" t="s">
        <v>586</v>
      </c>
      <c r="M254">
        <v>43</v>
      </c>
      <c r="N254" t="s">
        <v>724</v>
      </c>
      <c r="O254" s="153" t="str">
        <f>IF(L254&lt;&gt;"",IFERROR(VLOOKUP(B254&amp;L254,Pools!$A$2:$D$130,3,FALSE),""),"")</f>
        <v>Pool A</v>
      </c>
      <c r="P254" s="388">
        <v>2</v>
      </c>
      <c r="Q254" s="388">
        <v>0</v>
      </c>
      <c r="R254" s="306" t="str">
        <f t="shared" si="135"/>
        <v>2-0</v>
      </c>
      <c r="S254" s="153"/>
      <c r="T254" s="148" t="str">
        <f t="shared" si="136"/>
        <v>Completed</v>
      </c>
      <c r="U254" s="153"/>
      <c r="V254" s="153"/>
      <c r="W254" s="387">
        <f t="shared" si="137"/>
        <v>2</v>
      </c>
      <c r="X254" s="387">
        <f t="shared" si="138"/>
        <v>-2</v>
      </c>
      <c r="Y254" s="301">
        <f t="shared" si="139"/>
        <v>2</v>
      </c>
      <c r="Z254" s="301">
        <f t="shared" si="140"/>
        <v>0</v>
      </c>
      <c r="AA254" s="323" t="str">
        <f>CONCATENATE("                x[team1,team2,sport,'",IF(OR(I254="x",I254=""),VLOOKUP('Schedule from TM'!J254,Tables!$P$3:$Q$33,2,FALSE),'Schedule from TM'!I254),",",J254,"','",IF(OR(F254="x",F254=""),VLOOKUP('Schedule from TM'!G254,Tables!$U$3:$V$14,2,FALSE),'Schedule from TM'!F254),",",TEXT(G254,"mm/dd/yyyy"),"','",TEXT(H254,"h:mm:ss AM/PM"),"'].ub=0.0      #",B254)</f>
        <v xml:space="preserve">                x[team1,team2,sport,'22,Hillel - Volleyball Out','11,11/19/2017','12:10:00 PM'].ub=0.0      #Ch D Female Volleyball</v>
      </c>
      <c r="AB254" s="301" t="str">
        <f t="shared" si="141"/>
        <v>,,Ch D Female Volleyball,Pool A,1,CHILD DF - COL 1</v>
      </c>
      <c r="AC254" s="153" t="str">
        <f t="shared" si="142"/>
        <v>Ch D Female VolleyballPool ACHILD DF - COL 1</v>
      </c>
      <c r="AD254" s="301" t="str">
        <f t="shared" si="143"/>
        <v>,,Ch D Female Volleyball,Pool A,1,CHILD DF - MEX</v>
      </c>
      <c r="AE254" s="153" t="str">
        <f t="shared" si="144"/>
        <v>Ch D Female VolleyballPool ACHILD DF - MEX</v>
      </c>
      <c r="AF254" s="383">
        <f t="shared" si="145"/>
        <v>1</v>
      </c>
      <c r="AG254" s="383">
        <f t="shared" si="146"/>
        <v>0</v>
      </c>
      <c r="AH254" s="383">
        <f t="shared" si="147"/>
        <v>0</v>
      </c>
      <c r="AI254" s="383">
        <f t="shared" si="148"/>
        <v>0</v>
      </c>
      <c r="AJ254" s="383">
        <f t="shared" si="149"/>
        <v>1</v>
      </c>
      <c r="AK254" s="383">
        <f t="shared" si="150"/>
        <v>0</v>
      </c>
      <c r="AM254" s="148" t="str">
        <f t="shared" si="151"/>
        <v>Schedulled</v>
      </c>
      <c r="AN254" s="148" t="str">
        <f t="shared" si="152"/>
        <v/>
      </c>
      <c r="AO254" s="156">
        <f t="shared" si="153"/>
        <v>43058.506944444445</v>
      </c>
      <c r="AP254" s="148" t="str">
        <f t="shared" si="154"/>
        <v>11/19/2017 12:10-&gt;Hillel - Volleyball Out</v>
      </c>
      <c r="AQ254" s="374">
        <f t="shared" si="155"/>
        <v>1</v>
      </c>
      <c r="AR254" s="148" t="str">
        <f t="shared" si="156"/>
        <v>COL1</v>
      </c>
      <c r="AS254" s="148" t="str">
        <f t="shared" si="157"/>
        <v>MEX</v>
      </c>
      <c r="AT254" s="157" t="str">
        <f t="shared" si="158"/>
        <v>COL1-MEX</v>
      </c>
      <c r="AU254" s="157" t="str">
        <f t="shared" si="159"/>
        <v xml:space="preserve">COL1-MEX </v>
      </c>
      <c r="AV254" s="157" t="str">
        <f t="shared" si="160"/>
        <v>CHILDREN D FEMALE</v>
      </c>
      <c r="AW254" s="157" t="str">
        <f t="shared" si="161"/>
        <v>Volleyball</v>
      </c>
      <c r="AX254" s="376">
        <f t="shared" si="162"/>
        <v>252</v>
      </c>
      <c r="AY254" s="148" t="str">
        <f t="shared" si="163"/>
        <v>CHILD DF - COL 1-&gt;CHILD DF - MEX</v>
      </c>
      <c r="AZ254" s="148" t="str">
        <f t="shared" si="164"/>
        <v>11/19/2017 12:10-&gt;CHILD DF - COL 1</v>
      </c>
      <c r="BA254" s="148" t="str">
        <f t="shared" si="165"/>
        <v>11/19/2017 12:10-&gt;CHILD DF - MEX</v>
      </c>
      <c r="BB254" s="374">
        <f t="shared" si="166"/>
        <v>1</v>
      </c>
      <c r="BC254" s="374">
        <f t="shared" si="167"/>
        <v>1</v>
      </c>
      <c r="BD254" s="148" t="str">
        <f t="shared" si="168"/>
        <v>no conflict</v>
      </c>
      <c r="BF254" s="148" t="str">
        <f t="shared" si="169"/>
        <v>11/19/2017 12:10-&gt;CHILD DF - COL 1</v>
      </c>
      <c r="BG254" s="148" t="str">
        <f t="shared" si="170"/>
        <v>11/19/2017 12:10-&gt;CHILD DF - MEX</v>
      </c>
      <c r="BH254" s="148" t="str">
        <f t="shared" si="171"/>
        <v>11/19/2017 12:10-&gt;Hillel - Volleyball Out</v>
      </c>
      <c r="BI254" s="148" t="str">
        <f t="shared" si="172"/>
        <v>Volleyball in Hillel - Volleyball Out (COL1-MEX)</v>
      </c>
      <c r="BJ254" s="148" t="str">
        <f t="shared" si="173"/>
        <v>Ch D Female Volleyball-- CHILD DF - COL 1 vs. CHILD DF - MEX</v>
      </c>
      <c r="BK254" s="148" t="str">
        <f t="shared" si="174"/>
        <v>Volleyball</v>
      </c>
      <c r="BL254" s="148" t="str">
        <f t="shared" si="175"/>
        <v>CHILD DF - COL 1</v>
      </c>
      <c r="BM254" s="148" t="str">
        <f t="shared" si="176"/>
        <v>CHILD DF - MEX</v>
      </c>
      <c r="BN254" s="148" t="str">
        <f t="shared" si="177"/>
        <v>Round - 1</v>
      </c>
      <c r="BP254" s="148" t="str">
        <f t="shared" si="178"/>
        <v>no t, f, or sf</v>
      </c>
      <c r="BQ254" s="148" t="str">
        <f t="shared" si="179"/>
        <v/>
      </c>
    </row>
    <row r="255" spans="1:69" ht="15" customHeight="1" x14ac:dyDescent="0.2">
      <c r="A255" s="376">
        <v>253</v>
      </c>
      <c r="B255" s="315" t="s">
        <v>520</v>
      </c>
      <c r="C255" s="315" t="s">
        <v>518</v>
      </c>
      <c r="D255" s="378">
        <v>1</v>
      </c>
      <c r="E255" s="378">
        <v>1</v>
      </c>
      <c r="F255" s="315" t="s">
        <v>770</v>
      </c>
      <c r="G255" s="316">
        <v>43058</v>
      </c>
      <c r="H255" s="317">
        <v>0.57638888888888895</v>
      </c>
      <c r="I255" s="325" t="s">
        <v>770</v>
      </c>
      <c r="J255" s="147" t="s">
        <v>701</v>
      </c>
      <c r="K255" s="315">
        <v>43</v>
      </c>
      <c r="L255" t="s">
        <v>586</v>
      </c>
      <c r="M255">
        <v>43</v>
      </c>
      <c r="N255" t="s">
        <v>590</v>
      </c>
      <c r="O255" s="153" t="str">
        <f>IF(L255&lt;&gt;"",IFERROR(VLOOKUP(B255&amp;L255,Pools!$A$2:$D$130,3,FALSE),""),"")</f>
        <v>Pool A</v>
      </c>
      <c r="P255" s="388">
        <v>0</v>
      </c>
      <c r="Q255" s="388">
        <v>2</v>
      </c>
      <c r="R255" s="306" t="str">
        <f t="shared" si="135"/>
        <v>0-2</v>
      </c>
      <c r="S255" s="153"/>
      <c r="T255" s="148" t="str">
        <f t="shared" si="136"/>
        <v>Completed</v>
      </c>
      <c r="U255" s="153"/>
      <c r="V255" s="153"/>
      <c r="W255" s="387">
        <f t="shared" si="137"/>
        <v>-2</v>
      </c>
      <c r="X255" s="387">
        <f t="shared" si="138"/>
        <v>2</v>
      </c>
      <c r="Y255" s="301">
        <f t="shared" si="139"/>
        <v>0</v>
      </c>
      <c r="Z255" s="301">
        <f t="shared" si="140"/>
        <v>2</v>
      </c>
      <c r="AA255" s="323" t="str">
        <f>CONCATENATE("                x[team1,team2,sport,'",IF(OR(I255="x",I255=""),VLOOKUP('Schedule from TM'!J255,Tables!$P$3:$Q$33,2,FALSE),'Schedule from TM'!I255),",",J255,"','",IF(OR(F255="x",F255=""),VLOOKUP('Schedule from TM'!G255,Tables!$U$3:$V$14,2,FALSE),'Schedule from TM'!F255),",",TEXT(G255,"mm/dd/yyyy"),"','",TEXT(H255,"h:mm:ss AM/PM"),"'].ub=0.0      #",B255)</f>
        <v xml:space="preserve">                x[team1,team2,sport,'22,Hillel - Volleyball Out','11,11/19/2017','1:50:00 PM'].ub=0.0      #Ch D Female Volleyball</v>
      </c>
      <c r="AB255" s="301" t="str">
        <f t="shared" si="141"/>
        <v>,,Ch D Female Volleyball,Pool A,1,CHILD DF - COL 1</v>
      </c>
      <c r="AC255" s="153" t="str">
        <f t="shared" si="142"/>
        <v>Ch D Female VolleyballPool ACHILD DF - COL 1</v>
      </c>
      <c r="AD255" s="301" t="str">
        <f t="shared" si="143"/>
        <v>,,Ch D Female Volleyball,Pool A,1,CHILD DF - VEN 2</v>
      </c>
      <c r="AE255" s="153" t="str">
        <f t="shared" si="144"/>
        <v>Ch D Female VolleyballPool ACHILD DF - VEN 2</v>
      </c>
      <c r="AF255" s="383">
        <f t="shared" si="145"/>
        <v>0</v>
      </c>
      <c r="AG255" s="383">
        <f t="shared" si="146"/>
        <v>1</v>
      </c>
      <c r="AH255" s="383">
        <f t="shared" si="147"/>
        <v>0</v>
      </c>
      <c r="AI255" s="383">
        <f t="shared" si="148"/>
        <v>1</v>
      </c>
      <c r="AJ255" s="383">
        <f t="shared" si="149"/>
        <v>0</v>
      </c>
      <c r="AK255" s="383">
        <f t="shared" si="150"/>
        <v>0</v>
      </c>
      <c r="AM255" s="148" t="str">
        <f t="shared" si="151"/>
        <v>Schedulled</v>
      </c>
      <c r="AN255" s="148" t="str">
        <f t="shared" si="152"/>
        <v/>
      </c>
      <c r="AO255" s="156">
        <f t="shared" si="153"/>
        <v>43058.576388888891</v>
      </c>
      <c r="AP255" s="148" t="str">
        <f t="shared" si="154"/>
        <v>11/19/2017 13:50-&gt;Hillel - Volleyball Out</v>
      </c>
      <c r="AQ255" s="374">
        <f t="shared" si="155"/>
        <v>1</v>
      </c>
      <c r="AR255" s="148" t="str">
        <f t="shared" si="156"/>
        <v>COL1</v>
      </c>
      <c r="AS255" s="148" t="str">
        <f t="shared" si="157"/>
        <v>VEN2</v>
      </c>
      <c r="AT255" s="157" t="str">
        <f t="shared" si="158"/>
        <v>COL1-VEN2</v>
      </c>
      <c r="AU255" s="157" t="str">
        <f t="shared" si="159"/>
        <v xml:space="preserve">COL1-VEN2 </v>
      </c>
      <c r="AV255" s="157" t="str">
        <f t="shared" si="160"/>
        <v>CHILDREN D FEMALE</v>
      </c>
      <c r="AW255" s="157" t="str">
        <f t="shared" si="161"/>
        <v>Volleyball</v>
      </c>
      <c r="AX255" s="376">
        <f t="shared" si="162"/>
        <v>253</v>
      </c>
      <c r="AY255" s="148" t="str">
        <f t="shared" si="163"/>
        <v>CHILD DF - COL 1-&gt;CHILD DF - VEN 2</v>
      </c>
      <c r="AZ255" s="148" t="str">
        <f t="shared" si="164"/>
        <v>11/19/2017 13:50-&gt;CHILD DF - COL 1</v>
      </c>
      <c r="BA255" s="148" t="str">
        <f t="shared" si="165"/>
        <v>11/19/2017 13:50-&gt;CHILD DF - VEN 2</v>
      </c>
      <c r="BB255" s="374">
        <f t="shared" si="166"/>
        <v>1</v>
      </c>
      <c r="BC255" s="374">
        <f t="shared" si="167"/>
        <v>1</v>
      </c>
      <c r="BD255" s="148" t="str">
        <f t="shared" si="168"/>
        <v>no conflict</v>
      </c>
      <c r="BF255" s="148" t="str">
        <f t="shared" si="169"/>
        <v>11/19/2017 13:50-&gt;CHILD DF - COL 1</v>
      </c>
      <c r="BG255" s="148" t="str">
        <f t="shared" si="170"/>
        <v>11/19/2017 13:50-&gt;CHILD DF - VEN 2</v>
      </c>
      <c r="BH255" s="148" t="str">
        <f t="shared" si="171"/>
        <v>11/19/2017 13:50-&gt;Hillel - Volleyball Out</v>
      </c>
      <c r="BI255" s="148" t="str">
        <f t="shared" si="172"/>
        <v>Volleyball in Hillel - Volleyball Out (COL1-VEN2)</v>
      </c>
      <c r="BJ255" s="148" t="str">
        <f t="shared" si="173"/>
        <v>Ch D Female Volleyball-- CHILD DF - COL 1 vs. CHILD DF - VEN 2</v>
      </c>
      <c r="BK255" s="148" t="str">
        <f t="shared" si="174"/>
        <v>Volleyball</v>
      </c>
      <c r="BL255" s="148" t="str">
        <f t="shared" si="175"/>
        <v>CHILD DF - COL 1</v>
      </c>
      <c r="BM255" s="148" t="str">
        <f t="shared" si="176"/>
        <v>CHILD DF - VEN 2</v>
      </c>
      <c r="BN255" s="148" t="str">
        <f t="shared" si="177"/>
        <v>Round - 1</v>
      </c>
      <c r="BP255" s="148" t="str">
        <f t="shared" si="178"/>
        <v>no t, f, or sf</v>
      </c>
      <c r="BQ255" s="148" t="str">
        <f t="shared" si="179"/>
        <v/>
      </c>
    </row>
    <row r="256" spans="1:69" ht="15" customHeight="1" x14ac:dyDescent="0.2">
      <c r="A256" s="376">
        <v>254</v>
      </c>
      <c r="B256" s="328" t="s">
        <v>520</v>
      </c>
      <c r="C256" s="444" t="s">
        <v>518</v>
      </c>
      <c r="D256" s="451">
        <v>1</v>
      </c>
      <c r="E256" s="451">
        <v>1</v>
      </c>
      <c r="F256" s="315" t="s">
        <v>770</v>
      </c>
      <c r="G256" s="445">
        <v>43062</v>
      </c>
      <c r="H256" s="317">
        <v>0.36805555555555558</v>
      </c>
      <c r="I256" s="325" t="s">
        <v>770</v>
      </c>
      <c r="J256" s="444" t="s">
        <v>701</v>
      </c>
      <c r="K256" s="444">
        <v>43</v>
      </c>
      <c r="L256" t="s">
        <v>589</v>
      </c>
      <c r="M256">
        <v>43</v>
      </c>
      <c r="N256" t="s">
        <v>725</v>
      </c>
      <c r="O256" s="153" t="str">
        <f>IF(L256&lt;&gt;"",IFERROR(VLOOKUP(B256&amp;L256,Pools!$A$2:$D$130,3,FALSE),""),"")</f>
        <v>Pool B</v>
      </c>
      <c r="P256" s="388">
        <v>0</v>
      </c>
      <c r="Q256" s="388">
        <v>2</v>
      </c>
      <c r="R256" s="306" t="str">
        <f t="shared" si="135"/>
        <v>0-2</v>
      </c>
      <c r="S256" s="153"/>
      <c r="T256" s="148" t="str">
        <f t="shared" si="136"/>
        <v>Completed</v>
      </c>
      <c r="U256" s="153"/>
      <c r="V256" s="153"/>
      <c r="W256" s="387">
        <f t="shared" si="137"/>
        <v>-2</v>
      </c>
      <c r="X256" s="387">
        <f t="shared" si="138"/>
        <v>2</v>
      </c>
      <c r="Y256" s="301">
        <f t="shared" si="139"/>
        <v>0</v>
      </c>
      <c r="Z256" s="301">
        <f t="shared" si="140"/>
        <v>2</v>
      </c>
      <c r="AA256" s="323" t="str">
        <f>CONCATENATE("                x[team1,team2,sport,'",IF(OR(I256="x",I256=""),VLOOKUP('Schedule from TM'!J256,Tables!$P$3:$Q$33,2,FALSE),'Schedule from TM'!I256),",",J256,"','",IF(OR(F256="x",F256=""),VLOOKUP('Schedule from TM'!G256,Tables!$U$3:$V$14,2,FALSE),'Schedule from TM'!F256),",",TEXT(G256,"mm/dd/yyyy"),"','",TEXT(H256,"h:mm:ss AM/PM"),"'].ub=0.0      #",B256)</f>
        <v xml:space="preserve">                x[team1,team2,sport,'22,Hillel - Volleyball Out','11,11/23/2017','8:50:00 AM'].ub=0.0      #Ch D Female Volleyball</v>
      </c>
      <c r="AB256" s="301" t="str">
        <f t="shared" si="141"/>
        <v>,,Ch D Female Volleyball,Pool B,1,CHILD DF - VEN 1</v>
      </c>
      <c r="AC256" s="153" t="str">
        <f t="shared" si="142"/>
        <v>Ch D Female VolleyballPool BCHILD DF - VEN 1</v>
      </c>
      <c r="AD256" s="301" t="str">
        <f t="shared" si="143"/>
        <v>,,Ch D Female Volleyball,Pool B,1,CHILD DF - ISR</v>
      </c>
      <c r="AE256" s="153" t="str">
        <f t="shared" si="144"/>
        <v>Ch D Female VolleyballPool BCHILD DF - ISR</v>
      </c>
      <c r="AF256" s="383">
        <f t="shared" si="145"/>
        <v>0</v>
      </c>
      <c r="AG256" s="383">
        <f t="shared" si="146"/>
        <v>1</v>
      </c>
      <c r="AH256" s="383">
        <f t="shared" si="147"/>
        <v>0</v>
      </c>
      <c r="AI256" s="383">
        <f t="shared" si="148"/>
        <v>1</v>
      </c>
      <c r="AJ256" s="383">
        <f t="shared" si="149"/>
        <v>0</v>
      </c>
      <c r="AK256" s="383">
        <f t="shared" si="150"/>
        <v>0</v>
      </c>
      <c r="AM256" s="148" t="str">
        <f t="shared" si="151"/>
        <v>Schedulled</v>
      </c>
      <c r="AN256" s="148" t="str">
        <f t="shared" si="152"/>
        <v/>
      </c>
      <c r="AO256" s="156">
        <f t="shared" si="153"/>
        <v>43062.368055555555</v>
      </c>
      <c r="AP256" s="148" t="str">
        <f t="shared" si="154"/>
        <v>11/23/2017 08:50-&gt;Hillel - Volleyball Out</v>
      </c>
      <c r="AQ256" s="374">
        <f t="shared" si="155"/>
        <v>1</v>
      </c>
      <c r="AR256" s="148" t="str">
        <f t="shared" si="156"/>
        <v>VEN1</v>
      </c>
      <c r="AS256" s="148" t="str">
        <f t="shared" si="157"/>
        <v>ISR</v>
      </c>
      <c r="AT256" s="157" t="str">
        <f t="shared" si="158"/>
        <v>VEN1-ISR</v>
      </c>
      <c r="AU256" s="157" t="str">
        <f t="shared" si="159"/>
        <v xml:space="preserve">VEN1-ISR </v>
      </c>
      <c r="AV256" s="157" t="str">
        <f t="shared" si="160"/>
        <v>CHILDREN D FEMALE</v>
      </c>
      <c r="AW256" s="157" t="str">
        <f t="shared" si="161"/>
        <v>Volleyball</v>
      </c>
      <c r="AX256" s="376">
        <f t="shared" si="162"/>
        <v>254</v>
      </c>
      <c r="AY256" s="148" t="str">
        <f t="shared" si="163"/>
        <v>CHILD DF - VEN 1-&gt;CHILD DF - ISR</v>
      </c>
      <c r="AZ256" s="148" t="str">
        <f t="shared" si="164"/>
        <v>11/23/2017 08:50-&gt;CHILD DF - VEN 1</v>
      </c>
      <c r="BA256" s="148" t="str">
        <f t="shared" si="165"/>
        <v>11/23/2017 08:50-&gt;CHILD DF - ISR</v>
      </c>
      <c r="BB256" s="374">
        <f t="shared" si="166"/>
        <v>1</v>
      </c>
      <c r="BC256" s="374">
        <f t="shared" si="167"/>
        <v>1</v>
      </c>
      <c r="BD256" s="148" t="str">
        <f t="shared" si="168"/>
        <v>no conflict</v>
      </c>
      <c r="BF256" s="148" t="str">
        <f t="shared" si="169"/>
        <v>11/23/2017 08:50-&gt;CHILD DF - VEN 1</v>
      </c>
      <c r="BG256" s="148" t="str">
        <f t="shared" si="170"/>
        <v>11/23/2017 08:50-&gt;CHILD DF - ISR</v>
      </c>
      <c r="BH256" s="148" t="str">
        <f t="shared" si="171"/>
        <v>11/23/2017 08:50-&gt;Hillel - Volleyball Out</v>
      </c>
      <c r="BI256" s="148" t="str">
        <f t="shared" si="172"/>
        <v>Volleyball in Hillel - Volleyball Out (VEN1-ISR)</v>
      </c>
      <c r="BJ256" s="148" t="str">
        <f t="shared" si="173"/>
        <v>Ch D Female Volleyball-- CHILD DF - VEN 1 vs. CHILD DF - ISR</v>
      </c>
      <c r="BK256" s="148" t="str">
        <f t="shared" si="174"/>
        <v>Volleyball</v>
      </c>
      <c r="BL256" s="148" t="str">
        <f t="shared" si="175"/>
        <v>CHILD DF - VEN 1</v>
      </c>
      <c r="BM256" s="148" t="str">
        <f t="shared" si="176"/>
        <v>CHILD DF - ISR</v>
      </c>
      <c r="BN256" s="148" t="str">
        <f t="shared" si="177"/>
        <v>Round - 1</v>
      </c>
      <c r="BP256" s="148" t="str">
        <f t="shared" si="178"/>
        <v>no t, f, or sf</v>
      </c>
      <c r="BQ256" s="148" t="str">
        <f t="shared" si="179"/>
        <v/>
      </c>
    </row>
    <row r="257" spans="1:69" ht="15" customHeight="1" x14ac:dyDescent="0.2">
      <c r="A257" s="376">
        <v>255</v>
      </c>
      <c r="B257" s="444" t="s">
        <v>520</v>
      </c>
      <c r="C257" s="444" t="s">
        <v>518</v>
      </c>
      <c r="D257" s="451">
        <v>1</v>
      </c>
      <c r="E257" s="451">
        <v>1</v>
      </c>
      <c r="F257" s="315" t="s">
        <v>770</v>
      </c>
      <c r="G257" s="445">
        <v>43062</v>
      </c>
      <c r="H257" s="317">
        <v>0.40277777777777773</v>
      </c>
      <c r="I257" s="325" t="s">
        <v>770</v>
      </c>
      <c r="J257" s="444" t="s">
        <v>701</v>
      </c>
      <c r="K257" s="444">
        <v>43</v>
      </c>
      <c r="L257" s="433" t="s">
        <v>583</v>
      </c>
      <c r="M257" s="433">
        <v>43</v>
      </c>
      <c r="N257" s="433" t="s">
        <v>587</v>
      </c>
      <c r="O257" s="153" t="str">
        <f>IF(L257&lt;&gt;"",IFERROR(VLOOKUP(B257&amp;L257,Pools!$A$2:$D$130,3,FALSE),""),"")</f>
        <v>Pool B</v>
      </c>
      <c r="P257" s="388">
        <v>2</v>
      </c>
      <c r="Q257" s="388">
        <v>1</v>
      </c>
      <c r="R257" s="306" t="str">
        <f t="shared" si="135"/>
        <v>2-1</v>
      </c>
      <c r="S257" s="153"/>
      <c r="T257" s="148" t="str">
        <f t="shared" si="136"/>
        <v>Completed</v>
      </c>
      <c r="U257" s="153"/>
      <c r="V257" s="153"/>
      <c r="W257" s="387">
        <f t="shared" si="137"/>
        <v>1</v>
      </c>
      <c r="X257" s="387">
        <f t="shared" si="138"/>
        <v>-1</v>
      </c>
      <c r="Y257" s="301">
        <f t="shared" si="139"/>
        <v>2</v>
      </c>
      <c r="Z257" s="301">
        <f t="shared" si="140"/>
        <v>0</v>
      </c>
      <c r="AA257" s="323" t="str">
        <f>CONCATENATE("                x[team1,team2,sport,'",IF(OR(I257="x",I257=""),VLOOKUP('Schedule from TM'!J257,Tables!$P$3:$Q$33,2,FALSE),'Schedule from TM'!I257),",",J257,"','",IF(OR(F257="x",F257=""),VLOOKUP('Schedule from TM'!G257,Tables!$U$3:$V$14,2,FALSE),'Schedule from TM'!F257),",",TEXT(G257,"mm/dd/yyyy"),"','",TEXT(H257,"h:mm:ss AM/PM"),"'].ub=0.0      #",B257)</f>
        <v xml:space="preserve">                x[team1,team2,sport,'22,Hillel - Volleyball Out','11,11/23/2017','9:40:00 AM'].ub=0.0      #Ch D Female Volleyball</v>
      </c>
      <c r="AB257" s="301" t="str">
        <f t="shared" si="141"/>
        <v>,,Ch D Female Volleyball,Pool B,1,CHILD DF - ARG 1</v>
      </c>
      <c r="AC257" s="153" t="str">
        <f t="shared" si="142"/>
        <v>Ch D Female VolleyballPool BCHILD DF - ARG 1</v>
      </c>
      <c r="AD257" s="301" t="str">
        <f t="shared" si="143"/>
        <v>,,Ch D Female Volleyball,Pool B,1,CHILD DF - USA 1</v>
      </c>
      <c r="AE257" s="153" t="str">
        <f t="shared" si="144"/>
        <v>Ch D Female VolleyballPool BCHILD DF - USA 1</v>
      </c>
      <c r="AF257" s="383">
        <f t="shared" si="145"/>
        <v>1</v>
      </c>
      <c r="AG257" s="383">
        <f t="shared" si="146"/>
        <v>0</v>
      </c>
      <c r="AH257" s="383">
        <f t="shared" si="147"/>
        <v>0</v>
      </c>
      <c r="AI257" s="383">
        <f t="shared" si="148"/>
        <v>0</v>
      </c>
      <c r="AJ257" s="383">
        <f t="shared" si="149"/>
        <v>1</v>
      </c>
      <c r="AK257" s="383">
        <f t="shared" si="150"/>
        <v>0</v>
      </c>
      <c r="AM257" s="148" t="str">
        <f t="shared" si="151"/>
        <v>Schedulled</v>
      </c>
      <c r="AN257" s="148" t="str">
        <f t="shared" si="152"/>
        <v/>
      </c>
      <c r="AO257" s="156">
        <f t="shared" si="153"/>
        <v>43062.402777777781</v>
      </c>
      <c r="AP257" s="148" t="str">
        <f t="shared" si="154"/>
        <v>11/23/2017 09:40-&gt;Hillel - Volleyball Out</v>
      </c>
      <c r="AQ257" s="374">
        <f t="shared" si="155"/>
        <v>1</v>
      </c>
      <c r="AR257" s="148" t="str">
        <f t="shared" si="156"/>
        <v>ARG1</v>
      </c>
      <c r="AS257" s="148" t="str">
        <f t="shared" si="157"/>
        <v>USA1</v>
      </c>
      <c r="AT257" s="157" t="str">
        <f t="shared" si="158"/>
        <v>ARG1-USA1</v>
      </c>
      <c r="AU257" s="157" t="str">
        <f t="shared" si="159"/>
        <v xml:space="preserve">ARG1-USA1 </v>
      </c>
      <c r="AV257" s="157" t="str">
        <f t="shared" si="160"/>
        <v>CHILDREN D FEMALE</v>
      </c>
      <c r="AW257" s="157" t="str">
        <f t="shared" si="161"/>
        <v>Volleyball</v>
      </c>
      <c r="AX257" s="376">
        <f t="shared" si="162"/>
        <v>255</v>
      </c>
      <c r="AY257" s="148" t="str">
        <f t="shared" si="163"/>
        <v>CHILD DF - ARG 1-&gt;CHILD DF - USA 1</v>
      </c>
      <c r="AZ257" s="148" t="str">
        <f t="shared" si="164"/>
        <v>11/23/2017 09:40-&gt;CHILD DF - ARG 1</v>
      </c>
      <c r="BA257" s="148" t="str">
        <f t="shared" si="165"/>
        <v>11/23/2017 09:40-&gt;CHILD DF - USA 1</v>
      </c>
      <c r="BB257" s="374">
        <f t="shared" si="166"/>
        <v>1</v>
      </c>
      <c r="BC257" s="374">
        <f t="shared" si="167"/>
        <v>1</v>
      </c>
      <c r="BD257" s="148" t="str">
        <f t="shared" si="168"/>
        <v>no conflict</v>
      </c>
      <c r="BF257" s="148" t="str">
        <f t="shared" si="169"/>
        <v>11/23/2017 09:40-&gt;CHILD DF - ARG 1</v>
      </c>
      <c r="BG257" s="148" t="str">
        <f t="shared" si="170"/>
        <v>11/23/2017 09:40-&gt;CHILD DF - USA 1</v>
      </c>
      <c r="BH257" s="148" t="str">
        <f t="shared" si="171"/>
        <v>11/23/2017 09:40-&gt;Hillel - Volleyball Out</v>
      </c>
      <c r="BI257" s="148" t="str">
        <f t="shared" si="172"/>
        <v>Volleyball in Hillel - Volleyball Out (ARG1-USA1)</v>
      </c>
      <c r="BJ257" s="148" t="str">
        <f t="shared" si="173"/>
        <v>Ch D Female Volleyball-- CHILD DF - ARG 1 vs. CHILD DF - USA 1</v>
      </c>
      <c r="BK257" s="148" t="str">
        <f t="shared" si="174"/>
        <v>Volleyball</v>
      </c>
      <c r="BL257" s="148" t="str">
        <f t="shared" si="175"/>
        <v>CHILD DF - ARG 1</v>
      </c>
      <c r="BM257" s="148" t="str">
        <f t="shared" si="176"/>
        <v>CHILD DF - USA 1</v>
      </c>
      <c r="BN257" s="148" t="str">
        <f t="shared" si="177"/>
        <v>Round - 1</v>
      </c>
      <c r="BP257" s="148" t="str">
        <f t="shared" si="178"/>
        <v>no t, f, or sf</v>
      </c>
      <c r="BQ257" s="148" t="str">
        <f t="shared" si="179"/>
        <v/>
      </c>
    </row>
    <row r="258" spans="1:69" ht="15" customHeight="1" x14ac:dyDescent="0.2">
      <c r="A258" s="376">
        <v>256</v>
      </c>
      <c r="B258" s="444" t="s">
        <v>520</v>
      </c>
      <c r="C258" s="315" t="s">
        <v>518</v>
      </c>
      <c r="D258" s="378">
        <v>1</v>
      </c>
      <c r="E258" s="378">
        <v>1</v>
      </c>
      <c r="F258" s="315" t="s">
        <v>770</v>
      </c>
      <c r="G258" s="316">
        <v>43062</v>
      </c>
      <c r="H258" s="317">
        <v>0.54166666666666663</v>
      </c>
      <c r="I258" s="325" t="s">
        <v>770</v>
      </c>
      <c r="J258" s="444" t="s">
        <v>701</v>
      </c>
      <c r="K258" s="444">
        <v>43</v>
      </c>
      <c r="L258" s="433" t="s">
        <v>583</v>
      </c>
      <c r="M258" s="433">
        <v>43</v>
      </c>
      <c r="N258" s="433" t="s">
        <v>725</v>
      </c>
      <c r="O258" s="153" t="str">
        <f>IF(L258&lt;&gt;"",IFERROR(VLOOKUP(B258&amp;L258,Pools!$A$2:$D$130,3,FALSE),""),"")</f>
        <v>Pool B</v>
      </c>
      <c r="P258" s="388">
        <v>2</v>
      </c>
      <c r="Q258" s="388">
        <v>1</v>
      </c>
      <c r="R258" s="306" t="str">
        <f t="shared" si="135"/>
        <v>2-1</v>
      </c>
      <c r="S258" s="153"/>
      <c r="T258" s="148" t="str">
        <f t="shared" si="136"/>
        <v>Completed</v>
      </c>
      <c r="U258" s="153"/>
      <c r="V258" s="153"/>
      <c r="W258" s="387">
        <f t="shared" si="137"/>
        <v>1</v>
      </c>
      <c r="X258" s="387">
        <f t="shared" si="138"/>
        <v>-1</v>
      </c>
      <c r="Y258" s="301">
        <f t="shared" si="139"/>
        <v>2</v>
      </c>
      <c r="Z258" s="301">
        <f t="shared" si="140"/>
        <v>0</v>
      </c>
      <c r="AA258" s="323" t="str">
        <f>CONCATENATE("                x[team1,team2,sport,'",IF(OR(I258="x",I258=""),VLOOKUP('Schedule from TM'!J258,Tables!$P$3:$Q$33,2,FALSE),'Schedule from TM'!I258),",",J258,"','",IF(OR(F258="x",F258=""),VLOOKUP('Schedule from TM'!G258,Tables!$U$3:$V$14,2,FALSE),'Schedule from TM'!F258),",",TEXT(G258,"mm/dd/yyyy"),"','",TEXT(H258,"h:mm:ss AM/PM"),"'].ub=0.0      #",B258)</f>
        <v xml:space="preserve">                x[team1,team2,sport,'22,Hillel - Volleyball Out','11,11/23/2017','1:00:00 PM'].ub=0.0      #Ch D Female Volleyball</v>
      </c>
      <c r="AB258" s="301" t="str">
        <f t="shared" si="141"/>
        <v>,,Ch D Female Volleyball,Pool B,1,CHILD DF - ARG 1</v>
      </c>
      <c r="AC258" s="153" t="str">
        <f t="shared" si="142"/>
        <v>Ch D Female VolleyballPool BCHILD DF - ARG 1</v>
      </c>
      <c r="AD258" s="301" t="str">
        <f t="shared" si="143"/>
        <v>,,Ch D Female Volleyball,Pool B,1,CHILD DF - ISR</v>
      </c>
      <c r="AE258" s="153" t="str">
        <f t="shared" si="144"/>
        <v>Ch D Female VolleyballPool BCHILD DF - ISR</v>
      </c>
      <c r="AF258" s="383">
        <f t="shared" si="145"/>
        <v>1</v>
      </c>
      <c r="AG258" s="383">
        <f t="shared" si="146"/>
        <v>0</v>
      </c>
      <c r="AH258" s="383">
        <f t="shared" si="147"/>
        <v>0</v>
      </c>
      <c r="AI258" s="383">
        <f t="shared" si="148"/>
        <v>0</v>
      </c>
      <c r="AJ258" s="383">
        <f t="shared" si="149"/>
        <v>1</v>
      </c>
      <c r="AK258" s="383">
        <f t="shared" si="150"/>
        <v>0</v>
      </c>
      <c r="AM258" s="148" t="str">
        <f t="shared" si="151"/>
        <v>Schedulled</v>
      </c>
      <c r="AN258" s="148" t="str">
        <f t="shared" si="152"/>
        <v/>
      </c>
      <c r="AO258" s="156">
        <f t="shared" si="153"/>
        <v>43062.541666666664</v>
      </c>
      <c r="AP258" s="148" t="str">
        <f t="shared" si="154"/>
        <v>11/23/2017 13:00-&gt;Hillel - Volleyball Out</v>
      </c>
      <c r="AQ258" s="374">
        <f t="shared" si="155"/>
        <v>1</v>
      </c>
      <c r="AR258" s="148" t="str">
        <f t="shared" si="156"/>
        <v>ARG1</v>
      </c>
      <c r="AS258" s="148" t="str">
        <f t="shared" si="157"/>
        <v>ISR</v>
      </c>
      <c r="AT258" s="157" t="str">
        <f t="shared" si="158"/>
        <v>ARG1-ISR</v>
      </c>
      <c r="AU258" s="157" t="str">
        <f t="shared" si="159"/>
        <v xml:space="preserve">ARG1-ISR </v>
      </c>
      <c r="AV258" s="157" t="str">
        <f t="shared" si="160"/>
        <v>CHILDREN D FEMALE</v>
      </c>
      <c r="AW258" s="157" t="str">
        <f t="shared" si="161"/>
        <v>Volleyball</v>
      </c>
      <c r="AX258" s="376">
        <f t="shared" si="162"/>
        <v>256</v>
      </c>
      <c r="AY258" s="148" t="str">
        <f t="shared" si="163"/>
        <v>CHILD DF - ARG 1-&gt;CHILD DF - ISR</v>
      </c>
      <c r="AZ258" s="148" t="str">
        <f t="shared" si="164"/>
        <v>11/23/2017 13:00-&gt;CHILD DF - ARG 1</v>
      </c>
      <c r="BA258" s="148" t="str">
        <f t="shared" si="165"/>
        <v>11/23/2017 13:00-&gt;CHILD DF - ISR</v>
      </c>
      <c r="BB258" s="374">
        <f t="shared" si="166"/>
        <v>1</v>
      </c>
      <c r="BC258" s="374">
        <f t="shared" si="167"/>
        <v>1</v>
      </c>
      <c r="BD258" s="148" t="str">
        <f t="shared" si="168"/>
        <v>no conflict</v>
      </c>
      <c r="BF258" s="148" t="str">
        <f t="shared" si="169"/>
        <v>11/23/2017 13:00-&gt;CHILD DF - ARG 1</v>
      </c>
      <c r="BG258" s="148" t="str">
        <f t="shared" si="170"/>
        <v>11/23/2017 13:00-&gt;CHILD DF - ISR</v>
      </c>
      <c r="BH258" s="148" t="str">
        <f t="shared" si="171"/>
        <v>11/23/2017 13:00-&gt;Hillel - Volleyball Out</v>
      </c>
      <c r="BI258" s="148" t="str">
        <f t="shared" si="172"/>
        <v>Volleyball in Hillel - Volleyball Out (ARG1-ISR)</v>
      </c>
      <c r="BJ258" s="148" t="str">
        <f t="shared" si="173"/>
        <v>Ch D Female Volleyball-- CHILD DF - ARG 1 vs. CHILD DF - ISR</v>
      </c>
      <c r="BK258" s="148" t="str">
        <f t="shared" si="174"/>
        <v>Volleyball</v>
      </c>
      <c r="BL258" s="148" t="str">
        <f t="shared" si="175"/>
        <v>CHILD DF - ARG 1</v>
      </c>
      <c r="BM258" s="148" t="str">
        <f t="shared" si="176"/>
        <v>CHILD DF - ISR</v>
      </c>
      <c r="BN258" s="148" t="str">
        <f t="shared" si="177"/>
        <v>Round - 1</v>
      </c>
      <c r="BP258" s="148" t="str">
        <f t="shared" si="178"/>
        <v>no t, f, or sf</v>
      </c>
      <c r="BQ258" s="148" t="str">
        <f t="shared" si="179"/>
        <v/>
      </c>
    </row>
    <row r="259" spans="1:69" ht="15" customHeight="1" x14ac:dyDescent="0.2">
      <c r="A259" s="376">
        <v>257</v>
      </c>
      <c r="B259" s="315" t="s">
        <v>520</v>
      </c>
      <c r="C259" s="315" t="s">
        <v>518</v>
      </c>
      <c r="D259" s="378">
        <v>1</v>
      </c>
      <c r="E259" s="378">
        <v>1</v>
      </c>
      <c r="F259" s="315" t="s">
        <v>770</v>
      </c>
      <c r="G259" s="316">
        <v>43062</v>
      </c>
      <c r="H259" s="317">
        <v>0.61111111111111105</v>
      </c>
      <c r="I259" s="325" t="s">
        <v>770</v>
      </c>
      <c r="J259" s="315" t="s">
        <v>701</v>
      </c>
      <c r="K259" s="315">
        <v>43</v>
      </c>
      <c r="L259" t="s">
        <v>588</v>
      </c>
      <c r="M259">
        <v>43</v>
      </c>
      <c r="N259" t="s">
        <v>590</v>
      </c>
      <c r="O259" s="153" t="str">
        <f>IF(L259&lt;&gt;"",IFERROR(VLOOKUP(B259&amp;L259,Pools!$A$2:$D$130,3,FALSE),""),"")</f>
        <v>Pool A</v>
      </c>
      <c r="P259" s="388">
        <v>0</v>
      </c>
      <c r="Q259" s="388">
        <v>2</v>
      </c>
      <c r="R259" s="306" t="str">
        <f t="shared" si="135"/>
        <v>0-2</v>
      </c>
      <c r="S259" s="153"/>
      <c r="T259" s="148" t="str">
        <f t="shared" si="136"/>
        <v>Completed</v>
      </c>
      <c r="U259" s="153"/>
      <c r="V259" s="153"/>
      <c r="W259" s="387">
        <f t="shared" si="137"/>
        <v>-2</v>
      </c>
      <c r="X259" s="387">
        <f t="shared" si="138"/>
        <v>2</v>
      </c>
      <c r="Y259" s="301">
        <f t="shared" si="139"/>
        <v>0</v>
      </c>
      <c r="Z259" s="301">
        <f t="shared" si="140"/>
        <v>2</v>
      </c>
      <c r="AA259" s="323" t="str">
        <f>CONCATENATE("                x[team1,team2,sport,'",IF(OR(I259="x",I259=""),VLOOKUP('Schedule from TM'!J259,Tables!$P$3:$Q$33,2,FALSE),'Schedule from TM'!I259),",",J259,"','",IF(OR(F259="x",F259=""),VLOOKUP('Schedule from TM'!G259,Tables!$U$3:$V$14,2,FALSE),'Schedule from TM'!F259),",",TEXT(G259,"mm/dd/yyyy"),"','",TEXT(H259,"h:mm:ss AM/PM"),"'].ub=0.0      #",B259)</f>
        <v xml:space="preserve">                x[team1,team2,sport,'22,Hillel - Volleyball Out','11,11/23/2017','2:40:00 PM'].ub=0.0      #Ch D Female Volleyball</v>
      </c>
      <c r="AB259" s="301" t="str">
        <f t="shared" si="141"/>
        <v>,,Ch D Female Volleyball,Pool A,1,CHILD DF - USA 2</v>
      </c>
      <c r="AC259" s="153" t="str">
        <f t="shared" si="142"/>
        <v>Ch D Female VolleyballPool ACHILD DF - USA 2</v>
      </c>
      <c r="AD259" s="301" t="str">
        <f t="shared" si="143"/>
        <v>,,Ch D Female Volleyball,Pool A,1,CHILD DF - VEN 2</v>
      </c>
      <c r="AE259" s="153" t="str">
        <f t="shared" si="144"/>
        <v>Ch D Female VolleyballPool ACHILD DF - VEN 2</v>
      </c>
      <c r="AF259" s="383">
        <f t="shared" si="145"/>
        <v>0</v>
      </c>
      <c r="AG259" s="383">
        <f t="shared" si="146"/>
        <v>1</v>
      </c>
      <c r="AH259" s="383">
        <f t="shared" si="147"/>
        <v>0</v>
      </c>
      <c r="AI259" s="383">
        <f t="shared" si="148"/>
        <v>1</v>
      </c>
      <c r="AJ259" s="383">
        <f t="shared" si="149"/>
        <v>0</v>
      </c>
      <c r="AK259" s="383">
        <f t="shared" si="150"/>
        <v>0</v>
      </c>
      <c r="AM259" s="148" t="str">
        <f t="shared" si="151"/>
        <v>Schedulled</v>
      </c>
      <c r="AN259" s="148" t="str">
        <f t="shared" si="152"/>
        <v/>
      </c>
      <c r="AO259" s="156">
        <f t="shared" si="153"/>
        <v>43062.611111111109</v>
      </c>
      <c r="AP259" s="148" t="str">
        <f t="shared" si="154"/>
        <v>11/23/2017 14:40-&gt;Hillel - Volleyball Out</v>
      </c>
      <c r="AQ259" s="374">
        <f t="shared" si="155"/>
        <v>1</v>
      </c>
      <c r="AR259" s="148" t="str">
        <f t="shared" si="156"/>
        <v>USA2</v>
      </c>
      <c r="AS259" s="148" t="str">
        <f t="shared" si="157"/>
        <v>VEN2</v>
      </c>
      <c r="AT259" s="157" t="str">
        <f t="shared" si="158"/>
        <v>USA2-VEN2</v>
      </c>
      <c r="AU259" s="157" t="str">
        <f t="shared" si="159"/>
        <v xml:space="preserve">USA2-VEN2 </v>
      </c>
      <c r="AV259" s="157" t="str">
        <f t="shared" si="160"/>
        <v>CHILDREN D FEMALE</v>
      </c>
      <c r="AW259" s="157" t="str">
        <f t="shared" si="161"/>
        <v>Volleyball</v>
      </c>
      <c r="AX259" s="376">
        <f t="shared" si="162"/>
        <v>257</v>
      </c>
      <c r="AY259" s="148" t="str">
        <f t="shared" si="163"/>
        <v>CHILD DF - USA 2-&gt;CHILD DF - VEN 2</v>
      </c>
      <c r="AZ259" s="148" t="str">
        <f t="shared" si="164"/>
        <v>11/23/2017 14:40-&gt;CHILD DF - USA 2</v>
      </c>
      <c r="BA259" s="148" t="str">
        <f t="shared" si="165"/>
        <v>11/23/2017 14:40-&gt;CHILD DF - VEN 2</v>
      </c>
      <c r="BB259" s="374">
        <f t="shared" si="166"/>
        <v>1</v>
      </c>
      <c r="BC259" s="374">
        <f t="shared" si="167"/>
        <v>1</v>
      </c>
      <c r="BD259" s="148" t="str">
        <f t="shared" si="168"/>
        <v>no conflict</v>
      </c>
      <c r="BF259" s="148" t="str">
        <f t="shared" si="169"/>
        <v>11/23/2017 14:40-&gt;CHILD DF - USA 2</v>
      </c>
      <c r="BG259" s="148" t="str">
        <f t="shared" si="170"/>
        <v>11/23/2017 14:40-&gt;CHILD DF - VEN 2</v>
      </c>
      <c r="BH259" s="148" t="str">
        <f t="shared" si="171"/>
        <v>11/23/2017 14:40-&gt;Hillel - Volleyball Out</v>
      </c>
      <c r="BI259" s="148" t="str">
        <f t="shared" si="172"/>
        <v>Volleyball in Hillel - Volleyball Out (USA2-VEN2)</v>
      </c>
      <c r="BJ259" s="148" t="str">
        <f t="shared" si="173"/>
        <v>Ch D Female Volleyball-- CHILD DF - USA 2 vs. CHILD DF - VEN 2</v>
      </c>
      <c r="BK259" s="148" t="str">
        <f t="shared" si="174"/>
        <v>Volleyball</v>
      </c>
      <c r="BL259" s="148" t="str">
        <f t="shared" si="175"/>
        <v>CHILD DF - USA 2</v>
      </c>
      <c r="BM259" s="148" t="str">
        <f t="shared" si="176"/>
        <v>CHILD DF - VEN 2</v>
      </c>
      <c r="BN259" s="148" t="str">
        <f t="shared" si="177"/>
        <v>Round - 1</v>
      </c>
      <c r="BP259" s="148" t="str">
        <f t="shared" si="178"/>
        <v>no t, f, or sf</v>
      </c>
      <c r="BQ259" s="148" t="str">
        <f t="shared" si="179"/>
        <v/>
      </c>
    </row>
    <row r="260" spans="1:69" ht="15" customHeight="1" x14ac:dyDescent="0.2">
      <c r="A260" s="376">
        <v>258</v>
      </c>
      <c r="B260" s="328" t="s">
        <v>520</v>
      </c>
      <c r="C260" s="315" t="s">
        <v>518</v>
      </c>
      <c r="D260" s="378">
        <v>1</v>
      </c>
      <c r="E260" s="378">
        <v>1</v>
      </c>
      <c r="F260" s="315" t="s">
        <v>770</v>
      </c>
      <c r="G260" s="316">
        <v>43063</v>
      </c>
      <c r="H260" s="454">
        <v>0.54166666666666663</v>
      </c>
      <c r="I260" s="325" t="s">
        <v>770</v>
      </c>
      <c r="J260" s="315" t="s">
        <v>701</v>
      </c>
      <c r="K260" s="315">
        <v>43</v>
      </c>
      <c r="L260" t="s">
        <v>586</v>
      </c>
      <c r="M260">
        <v>43</v>
      </c>
      <c r="N260" t="s">
        <v>588</v>
      </c>
      <c r="O260" s="153" t="str">
        <f>IF(L260&lt;&gt;"",IFERROR(VLOOKUP(B260&amp;L260,Pools!$A$2:$D$130,3,FALSE),""),"")</f>
        <v>Pool A</v>
      </c>
      <c r="P260" s="388">
        <v>2</v>
      </c>
      <c r="Q260" s="388">
        <v>1</v>
      </c>
      <c r="R260" s="306" t="str">
        <f t="shared" si="135"/>
        <v>2-1</v>
      </c>
      <c r="S260" s="153"/>
      <c r="T260" s="148" t="str">
        <f t="shared" si="136"/>
        <v>Completed</v>
      </c>
      <c r="U260" s="153"/>
      <c r="V260" s="153"/>
      <c r="W260" s="387">
        <f t="shared" si="137"/>
        <v>1</v>
      </c>
      <c r="X260" s="387">
        <f t="shared" si="138"/>
        <v>-1</v>
      </c>
      <c r="Y260" s="301">
        <f t="shared" si="139"/>
        <v>2</v>
      </c>
      <c r="Z260" s="301">
        <f t="shared" si="140"/>
        <v>0</v>
      </c>
      <c r="AA260" s="323" t="str">
        <f>CONCATENATE("                x[team1,team2,sport,'",IF(OR(I260="x",I260=""),VLOOKUP('Schedule from TM'!J260,Tables!$P$3:$Q$33,2,FALSE),'Schedule from TM'!I260),",",J260,"','",IF(OR(F260="x",F260=""),VLOOKUP('Schedule from TM'!G260,Tables!$U$3:$V$14,2,FALSE),'Schedule from TM'!F260),",",TEXT(G260,"mm/dd/yyyy"),"','",TEXT(H260,"h:mm:ss AM/PM"),"'].ub=0.0      #",B260)</f>
        <v xml:space="preserve">                x[team1,team2,sport,'22,Hillel - Volleyball Out','11,11/24/2017','1:00:00 PM'].ub=0.0      #Ch D Female Volleyball</v>
      </c>
      <c r="AB260" s="301" t="str">
        <f t="shared" si="141"/>
        <v>,,Ch D Female Volleyball,Pool A,1,CHILD DF - COL 1</v>
      </c>
      <c r="AC260" s="153" t="str">
        <f t="shared" si="142"/>
        <v>Ch D Female VolleyballPool ACHILD DF - COL 1</v>
      </c>
      <c r="AD260" s="301" t="str">
        <f t="shared" si="143"/>
        <v>,,Ch D Female Volleyball,Pool A,1,CHILD DF - USA 2</v>
      </c>
      <c r="AE260" s="153" t="str">
        <f t="shared" si="144"/>
        <v>Ch D Female VolleyballPool ACHILD DF - USA 2</v>
      </c>
      <c r="AF260" s="383">
        <f t="shared" si="145"/>
        <v>1</v>
      </c>
      <c r="AG260" s="383">
        <f t="shared" si="146"/>
        <v>0</v>
      </c>
      <c r="AH260" s="383">
        <f t="shared" si="147"/>
        <v>0</v>
      </c>
      <c r="AI260" s="383">
        <f t="shared" si="148"/>
        <v>0</v>
      </c>
      <c r="AJ260" s="383">
        <f t="shared" si="149"/>
        <v>1</v>
      </c>
      <c r="AK260" s="383">
        <f t="shared" si="150"/>
        <v>0</v>
      </c>
      <c r="AM260" s="148" t="str">
        <f t="shared" si="151"/>
        <v>Schedulled</v>
      </c>
      <c r="AN260" s="148" t="str">
        <f t="shared" si="152"/>
        <v/>
      </c>
      <c r="AO260" s="156">
        <f t="shared" si="153"/>
        <v>43063.541666666664</v>
      </c>
      <c r="AP260" s="148" t="str">
        <f t="shared" si="154"/>
        <v>11/24/2017 13:00-&gt;Hillel - Volleyball Out</v>
      </c>
      <c r="AQ260" s="374">
        <f t="shared" si="155"/>
        <v>1</v>
      </c>
      <c r="AR260" s="148" t="str">
        <f t="shared" si="156"/>
        <v>COL1</v>
      </c>
      <c r="AS260" s="148" t="str">
        <f t="shared" si="157"/>
        <v>USA2</v>
      </c>
      <c r="AT260" s="157" t="str">
        <f t="shared" si="158"/>
        <v>COL1-USA2</v>
      </c>
      <c r="AU260" s="157" t="str">
        <f t="shared" si="159"/>
        <v xml:space="preserve">COL1-USA2 </v>
      </c>
      <c r="AV260" s="157" t="str">
        <f t="shared" si="160"/>
        <v>CHILDREN D FEMALE</v>
      </c>
      <c r="AW260" s="157" t="str">
        <f t="shared" si="161"/>
        <v>Volleyball</v>
      </c>
      <c r="AX260" s="376">
        <f t="shared" si="162"/>
        <v>258</v>
      </c>
      <c r="AY260" s="148" t="str">
        <f t="shared" si="163"/>
        <v>CHILD DF - COL 1-&gt;CHILD DF - USA 2</v>
      </c>
      <c r="AZ260" s="148" t="str">
        <f t="shared" si="164"/>
        <v>11/24/2017 13:00-&gt;CHILD DF - COL 1</v>
      </c>
      <c r="BA260" s="148" t="str">
        <f t="shared" si="165"/>
        <v>11/24/2017 13:00-&gt;CHILD DF - USA 2</v>
      </c>
      <c r="BB260" s="374">
        <f t="shared" si="166"/>
        <v>1</v>
      </c>
      <c r="BC260" s="374">
        <f t="shared" si="167"/>
        <v>1</v>
      </c>
      <c r="BD260" s="148" t="str">
        <f t="shared" si="168"/>
        <v>no conflict</v>
      </c>
      <c r="BF260" s="148" t="str">
        <f t="shared" si="169"/>
        <v>11/24/2017 13:00-&gt;CHILD DF - COL 1</v>
      </c>
      <c r="BG260" s="148" t="str">
        <f t="shared" si="170"/>
        <v>11/24/2017 13:00-&gt;CHILD DF - USA 2</v>
      </c>
      <c r="BH260" s="148" t="str">
        <f t="shared" si="171"/>
        <v>11/24/2017 13:00-&gt;Hillel - Volleyball Out</v>
      </c>
      <c r="BI260" s="148" t="str">
        <f t="shared" si="172"/>
        <v>Volleyball in Hillel - Volleyball Out (COL1-USA2)</v>
      </c>
      <c r="BJ260" s="148" t="str">
        <f t="shared" si="173"/>
        <v>Ch D Female Volleyball-- CHILD DF - COL 1 vs. CHILD DF - USA 2</v>
      </c>
      <c r="BK260" s="148" t="str">
        <f t="shared" si="174"/>
        <v>Volleyball</v>
      </c>
      <c r="BL260" s="148" t="str">
        <f t="shared" si="175"/>
        <v>CHILD DF - COL 1</v>
      </c>
      <c r="BM260" s="148" t="str">
        <f t="shared" si="176"/>
        <v>CHILD DF - USA 2</v>
      </c>
      <c r="BN260" s="148" t="str">
        <f t="shared" si="177"/>
        <v>Round - 1</v>
      </c>
      <c r="BP260" s="148" t="str">
        <f t="shared" si="178"/>
        <v>no t, f, or sf</v>
      </c>
      <c r="BQ260" s="148" t="str">
        <f t="shared" si="179"/>
        <v/>
      </c>
    </row>
    <row r="261" spans="1:69" ht="15" customHeight="1" x14ac:dyDescent="0.2">
      <c r="A261" s="376">
        <v>259</v>
      </c>
      <c r="B261" s="319" t="s">
        <v>520</v>
      </c>
      <c r="C261" s="319" t="s">
        <v>518</v>
      </c>
      <c r="D261" s="376">
        <v>1</v>
      </c>
      <c r="E261" s="376">
        <v>1</v>
      </c>
      <c r="F261" s="315" t="s">
        <v>770</v>
      </c>
      <c r="G261" s="320">
        <v>43063</v>
      </c>
      <c r="H261" s="454">
        <v>0.57638888888888895</v>
      </c>
      <c r="I261" s="325" t="s">
        <v>770</v>
      </c>
      <c r="J261" s="319" t="s">
        <v>701</v>
      </c>
      <c r="K261" s="319">
        <v>43</v>
      </c>
      <c r="L261" t="s">
        <v>590</v>
      </c>
      <c r="M261">
        <v>43</v>
      </c>
      <c r="N261" t="s">
        <v>724</v>
      </c>
      <c r="O261" s="153" t="str">
        <f>IF(L261&lt;&gt;"",IFERROR(VLOOKUP(B261&amp;L261,Pools!$A$2:$D$130,3,FALSE),""),"")</f>
        <v>Pool A</v>
      </c>
      <c r="P261" s="388">
        <v>2</v>
      </c>
      <c r="Q261" s="388">
        <v>0</v>
      </c>
      <c r="R261" s="306" t="str">
        <f t="shared" si="135"/>
        <v>2-0</v>
      </c>
      <c r="S261" s="153"/>
      <c r="T261" s="148" t="str">
        <f t="shared" si="136"/>
        <v>Completed</v>
      </c>
      <c r="U261" s="153"/>
      <c r="V261" s="153"/>
      <c r="W261" s="387">
        <f t="shared" si="137"/>
        <v>2</v>
      </c>
      <c r="X261" s="387">
        <f t="shared" si="138"/>
        <v>-2</v>
      </c>
      <c r="Y261" s="301">
        <f t="shared" si="139"/>
        <v>2</v>
      </c>
      <c r="Z261" s="301">
        <f t="shared" si="140"/>
        <v>0</v>
      </c>
      <c r="AA261" s="323" t="str">
        <f>CONCATENATE("                x[team1,team2,sport,'",IF(OR(I261="x",I261=""),VLOOKUP('Schedule from TM'!J261,Tables!$P$3:$Q$33,2,FALSE),'Schedule from TM'!I261),",",J261,"','",IF(OR(F261="x",F261=""),VLOOKUP('Schedule from TM'!G261,Tables!$U$3:$V$14,2,FALSE),'Schedule from TM'!F261),",",TEXT(G261,"mm/dd/yyyy"),"','",TEXT(H261,"h:mm:ss AM/PM"),"'].ub=0.0      #",B261)</f>
        <v xml:space="preserve">                x[team1,team2,sport,'22,Hillel - Volleyball Out','11,11/24/2017','1:50:00 PM'].ub=0.0      #Ch D Female Volleyball</v>
      </c>
      <c r="AB261" s="301" t="str">
        <f t="shared" si="141"/>
        <v>,,Ch D Female Volleyball,Pool A,1,CHILD DF - VEN 2</v>
      </c>
      <c r="AC261" s="153" t="str">
        <f t="shared" si="142"/>
        <v>Ch D Female VolleyballPool ACHILD DF - VEN 2</v>
      </c>
      <c r="AD261" s="301" t="str">
        <f t="shared" si="143"/>
        <v>,,Ch D Female Volleyball,Pool A,1,CHILD DF - MEX</v>
      </c>
      <c r="AE261" s="153" t="str">
        <f t="shared" si="144"/>
        <v>Ch D Female VolleyballPool ACHILD DF - MEX</v>
      </c>
      <c r="AF261" s="383">
        <f t="shared" si="145"/>
        <v>1</v>
      </c>
      <c r="AG261" s="383">
        <f t="shared" si="146"/>
        <v>0</v>
      </c>
      <c r="AH261" s="383">
        <f t="shared" si="147"/>
        <v>0</v>
      </c>
      <c r="AI261" s="383">
        <f t="shared" si="148"/>
        <v>0</v>
      </c>
      <c r="AJ261" s="383">
        <f t="shared" si="149"/>
        <v>1</v>
      </c>
      <c r="AK261" s="383">
        <f t="shared" si="150"/>
        <v>0</v>
      </c>
      <c r="AM261" s="148" t="str">
        <f t="shared" si="151"/>
        <v>Schedulled</v>
      </c>
      <c r="AN261" s="148" t="str">
        <f t="shared" si="152"/>
        <v/>
      </c>
      <c r="AO261" s="156">
        <f t="shared" si="153"/>
        <v>43063.576388888891</v>
      </c>
      <c r="AP261" s="148" t="str">
        <f t="shared" si="154"/>
        <v>11/24/2017 13:50-&gt;Hillel - Volleyball Out</v>
      </c>
      <c r="AQ261" s="374">
        <f t="shared" si="155"/>
        <v>1</v>
      </c>
      <c r="AR261" s="148" t="str">
        <f t="shared" si="156"/>
        <v>VEN2</v>
      </c>
      <c r="AS261" s="148" t="str">
        <f t="shared" si="157"/>
        <v>MEX</v>
      </c>
      <c r="AT261" s="157" t="str">
        <f t="shared" si="158"/>
        <v>VEN2-MEX</v>
      </c>
      <c r="AU261" s="157" t="str">
        <f t="shared" si="159"/>
        <v xml:space="preserve">VEN2-MEX </v>
      </c>
      <c r="AV261" s="157" t="str">
        <f t="shared" si="160"/>
        <v>CHILDREN D FEMALE</v>
      </c>
      <c r="AW261" s="157" t="str">
        <f t="shared" si="161"/>
        <v>Volleyball</v>
      </c>
      <c r="AX261" s="376">
        <f t="shared" si="162"/>
        <v>259</v>
      </c>
      <c r="AY261" s="148" t="str">
        <f t="shared" si="163"/>
        <v>CHILD DF - VEN 2-&gt;CHILD DF - MEX</v>
      </c>
      <c r="AZ261" s="148" t="str">
        <f t="shared" si="164"/>
        <v>11/24/2017 13:50-&gt;CHILD DF - VEN 2</v>
      </c>
      <c r="BA261" s="148" t="str">
        <f t="shared" si="165"/>
        <v>11/24/2017 13:50-&gt;CHILD DF - MEX</v>
      </c>
      <c r="BB261" s="374">
        <f t="shared" si="166"/>
        <v>1</v>
      </c>
      <c r="BC261" s="374">
        <f t="shared" si="167"/>
        <v>1</v>
      </c>
      <c r="BD261" s="148" t="str">
        <f t="shared" si="168"/>
        <v>no conflict</v>
      </c>
      <c r="BF261" s="148" t="str">
        <f t="shared" si="169"/>
        <v>11/24/2017 13:50-&gt;CHILD DF - VEN 2</v>
      </c>
      <c r="BG261" s="148" t="str">
        <f t="shared" si="170"/>
        <v>11/24/2017 13:50-&gt;CHILD DF - MEX</v>
      </c>
      <c r="BH261" s="148" t="str">
        <f t="shared" si="171"/>
        <v>11/24/2017 13:50-&gt;Hillel - Volleyball Out</v>
      </c>
      <c r="BI261" s="148" t="str">
        <f t="shared" si="172"/>
        <v>Volleyball in Hillel - Volleyball Out (VEN2-MEX)</v>
      </c>
      <c r="BJ261" s="148" t="str">
        <f t="shared" si="173"/>
        <v>Ch D Female Volleyball-- CHILD DF - VEN 2 vs. CHILD DF - MEX</v>
      </c>
      <c r="BK261" s="148" t="str">
        <f t="shared" si="174"/>
        <v>Volleyball</v>
      </c>
      <c r="BL261" s="148" t="str">
        <f t="shared" si="175"/>
        <v>CHILD DF - VEN 2</v>
      </c>
      <c r="BM261" s="148" t="str">
        <f t="shared" si="176"/>
        <v>CHILD DF - MEX</v>
      </c>
      <c r="BN261" s="148" t="str">
        <f t="shared" si="177"/>
        <v>Round - 1</v>
      </c>
      <c r="BP261" s="148" t="str">
        <f t="shared" si="178"/>
        <v>no t, f, or sf</v>
      </c>
      <c r="BQ261" s="148" t="str">
        <f t="shared" si="179"/>
        <v/>
      </c>
    </row>
    <row r="262" spans="1:69" ht="15" customHeight="1" x14ac:dyDescent="0.2">
      <c r="A262" s="376">
        <v>260</v>
      </c>
      <c r="B262" s="441" t="s">
        <v>520</v>
      </c>
      <c r="C262" s="441" t="s">
        <v>518</v>
      </c>
      <c r="D262" s="450">
        <v>1</v>
      </c>
      <c r="E262" s="450">
        <v>1</v>
      </c>
      <c r="F262" s="315" t="s">
        <v>770</v>
      </c>
      <c r="G262" s="320">
        <v>43063</v>
      </c>
      <c r="H262" s="454">
        <v>0.64583333333333337</v>
      </c>
      <c r="I262" s="325" t="s">
        <v>770</v>
      </c>
      <c r="J262" s="441" t="s">
        <v>701</v>
      </c>
      <c r="K262" s="441">
        <v>43</v>
      </c>
      <c r="L262" t="s">
        <v>588</v>
      </c>
      <c r="M262">
        <v>43</v>
      </c>
      <c r="N262" t="s">
        <v>724</v>
      </c>
      <c r="O262" s="153" t="str">
        <f>IF(L262&lt;&gt;"",IFERROR(VLOOKUP(B262&amp;L262,Pools!$A$2:$D$130,3,FALSE),""),"")</f>
        <v>Pool A</v>
      </c>
      <c r="P262" s="388">
        <v>2</v>
      </c>
      <c r="Q262" s="388">
        <v>0</v>
      </c>
      <c r="R262" s="306" t="str">
        <f t="shared" si="135"/>
        <v>2-0</v>
      </c>
      <c r="S262" s="153"/>
      <c r="T262" s="148" t="str">
        <f t="shared" si="136"/>
        <v>Completed</v>
      </c>
      <c r="U262" s="153"/>
      <c r="V262" s="153"/>
      <c r="W262" s="387">
        <f t="shared" si="137"/>
        <v>2</v>
      </c>
      <c r="X262" s="387">
        <f t="shared" si="138"/>
        <v>-2</v>
      </c>
      <c r="Y262" s="301">
        <f t="shared" si="139"/>
        <v>2</v>
      </c>
      <c r="Z262" s="301">
        <f t="shared" si="140"/>
        <v>0</v>
      </c>
      <c r="AA262" s="323" t="str">
        <f>CONCATENATE("                x[team1,team2,sport,'",IF(OR(I262="x",I262=""),VLOOKUP('Schedule from TM'!J262,Tables!$P$3:$Q$33,2,FALSE),'Schedule from TM'!I262),",",J262,"','",IF(OR(F262="x",F262=""),VLOOKUP('Schedule from TM'!G262,Tables!$U$3:$V$14,2,FALSE),'Schedule from TM'!F262),",",TEXT(G262,"mm/dd/yyyy"),"','",TEXT(H262,"h:mm:ss AM/PM"),"'].ub=0.0      #",B262)</f>
        <v xml:space="preserve">                x[team1,team2,sport,'22,Hillel - Volleyball Out','11,11/24/2017','3:30:00 PM'].ub=0.0      #Ch D Female Volleyball</v>
      </c>
      <c r="AB262" s="301" t="str">
        <f t="shared" si="141"/>
        <v>,,Ch D Female Volleyball,Pool A,1,CHILD DF - USA 2</v>
      </c>
      <c r="AC262" s="153" t="str">
        <f t="shared" si="142"/>
        <v>Ch D Female VolleyballPool ACHILD DF - USA 2</v>
      </c>
      <c r="AD262" s="301" t="str">
        <f t="shared" si="143"/>
        <v>,,Ch D Female Volleyball,Pool A,1,CHILD DF - MEX</v>
      </c>
      <c r="AE262" s="153" t="str">
        <f t="shared" si="144"/>
        <v>Ch D Female VolleyballPool ACHILD DF - MEX</v>
      </c>
      <c r="AF262" s="383">
        <f t="shared" si="145"/>
        <v>1</v>
      </c>
      <c r="AG262" s="383">
        <f t="shared" si="146"/>
        <v>0</v>
      </c>
      <c r="AH262" s="383">
        <f t="shared" si="147"/>
        <v>0</v>
      </c>
      <c r="AI262" s="383">
        <f t="shared" si="148"/>
        <v>0</v>
      </c>
      <c r="AJ262" s="383">
        <f t="shared" si="149"/>
        <v>1</v>
      </c>
      <c r="AK262" s="383">
        <f t="shared" si="150"/>
        <v>0</v>
      </c>
      <c r="AM262" s="148" t="str">
        <f t="shared" si="151"/>
        <v>Schedulled</v>
      </c>
      <c r="AN262" s="148" t="str">
        <f t="shared" si="152"/>
        <v/>
      </c>
      <c r="AO262" s="156">
        <f t="shared" si="153"/>
        <v>43063.645833333336</v>
      </c>
      <c r="AP262" s="148" t="str">
        <f t="shared" si="154"/>
        <v>11/24/2017 15:30-&gt;Hillel - Volleyball Out</v>
      </c>
      <c r="AQ262" s="374">
        <f t="shared" si="155"/>
        <v>1</v>
      </c>
      <c r="AR262" s="148" t="str">
        <f t="shared" si="156"/>
        <v>USA2</v>
      </c>
      <c r="AS262" s="148" t="str">
        <f t="shared" si="157"/>
        <v>MEX</v>
      </c>
      <c r="AT262" s="157" t="str">
        <f t="shared" si="158"/>
        <v>USA2-MEX</v>
      </c>
      <c r="AU262" s="157" t="str">
        <f t="shared" si="159"/>
        <v xml:space="preserve">USA2-MEX </v>
      </c>
      <c r="AV262" s="157" t="str">
        <f t="shared" si="160"/>
        <v>CHILDREN D FEMALE</v>
      </c>
      <c r="AW262" s="157" t="str">
        <f t="shared" si="161"/>
        <v>Volleyball</v>
      </c>
      <c r="AX262" s="376">
        <f t="shared" si="162"/>
        <v>260</v>
      </c>
      <c r="AY262" s="148" t="str">
        <f t="shared" si="163"/>
        <v>CHILD DF - USA 2-&gt;CHILD DF - MEX</v>
      </c>
      <c r="AZ262" s="148" t="str">
        <f t="shared" si="164"/>
        <v>11/24/2017 15:30-&gt;CHILD DF - USA 2</v>
      </c>
      <c r="BA262" s="148" t="str">
        <f t="shared" si="165"/>
        <v>11/24/2017 15:30-&gt;CHILD DF - MEX</v>
      </c>
      <c r="BB262" s="374">
        <f t="shared" si="166"/>
        <v>1</v>
      </c>
      <c r="BC262" s="374">
        <f t="shared" si="167"/>
        <v>1</v>
      </c>
      <c r="BD262" s="148" t="str">
        <f t="shared" si="168"/>
        <v>no conflict</v>
      </c>
      <c r="BF262" s="148" t="str">
        <f t="shared" si="169"/>
        <v>11/24/2017 15:30-&gt;CHILD DF - USA 2</v>
      </c>
      <c r="BG262" s="148" t="str">
        <f t="shared" si="170"/>
        <v>11/24/2017 15:30-&gt;CHILD DF - MEX</v>
      </c>
      <c r="BH262" s="148" t="str">
        <f t="shared" si="171"/>
        <v>11/24/2017 15:30-&gt;Hillel - Volleyball Out</v>
      </c>
      <c r="BI262" s="148" t="str">
        <f t="shared" si="172"/>
        <v>Volleyball in Hillel - Volleyball Out (USA2-MEX)</v>
      </c>
      <c r="BJ262" s="148" t="str">
        <f t="shared" si="173"/>
        <v>Ch D Female Volleyball-- CHILD DF - USA 2 vs. CHILD DF - MEX</v>
      </c>
      <c r="BK262" s="148" t="str">
        <f t="shared" si="174"/>
        <v>Volleyball</v>
      </c>
      <c r="BL262" s="148" t="str">
        <f t="shared" si="175"/>
        <v>CHILD DF - USA 2</v>
      </c>
      <c r="BM262" s="148" t="str">
        <f t="shared" si="176"/>
        <v>CHILD DF - MEX</v>
      </c>
      <c r="BN262" s="148" t="str">
        <f t="shared" si="177"/>
        <v>Round - 1</v>
      </c>
      <c r="BP262" s="148" t="str">
        <f t="shared" si="178"/>
        <v>no t, f, or sf</v>
      </c>
      <c r="BQ262" s="148" t="str">
        <f t="shared" si="179"/>
        <v/>
      </c>
    </row>
    <row r="263" spans="1:69" ht="15" customHeight="1" x14ac:dyDescent="0.2">
      <c r="A263" s="376">
        <v>261</v>
      </c>
      <c r="B263" s="319" t="s">
        <v>520</v>
      </c>
      <c r="C263" s="319" t="s">
        <v>518</v>
      </c>
      <c r="D263" s="376">
        <v>1</v>
      </c>
      <c r="E263" s="376">
        <v>1</v>
      </c>
      <c r="F263" s="315" t="s">
        <v>770</v>
      </c>
      <c r="G263" s="320">
        <v>43065</v>
      </c>
      <c r="H263" s="454">
        <v>0.47222222222222227</v>
      </c>
      <c r="I263" s="325" t="s">
        <v>770</v>
      </c>
      <c r="J263" s="319" t="s">
        <v>701</v>
      </c>
      <c r="K263" s="319">
        <v>43</v>
      </c>
      <c r="L263" t="s">
        <v>583</v>
      </c>
      <c r="M263">
        <v>43</v>
      </c>
      <c r="N263" t="s">
        <v>589</v>
      </c>
      <c r="O263" s="153" t="str">
        <f>IF(L263&lt;&gt;"",IFERROR(VLOOKUP(B263&amp;L263,Pools!$A$2:$D$130,3,FALSE),""),"")</f>
        <v>Pool B</v>
      </c>
      <c r="P263" s="388">
        <v>2</v>
      </c>
      <c r="Q263" s="388">
        <v>0</v>
      </c>
      <c r="R263" s="306" t="str">
        <f t="shared" si="135"/>
        <v>2-0</v>
      </c>
      <c r="S263" s="153"/>
      <c r="T263" s="148" t="str">
        <f t="shared" si="136"/>
        <v>Completed</v>
      </c>
      <c r="U263" s="153"/>
      <c r="V263" s="153"/>
      <c r="W263" s="387">
        <f t="shared" si="137"/>
        <v>2</v>
      </c>
      <c r="X263" s="387">
        <f t="shared" si="138"/>
        <v>-2</v>
      </c>
      <c r="Y263" s="301">
        <f t="shared" si="139"/>
        <v>2</v>
      </c>
      <c r="Z263" s="301">
        <f t="shared" si="140"/>
        <v>0</v>
      </c>
      <c r="AA263" s="323" t="str">
        <f>CONCATENATE("                x[team1,team2,sport,'",IF(OR(I263="x",I263=""),VLOOKUP('Schedule from TM'!J263,Tables!$P$3:$Q$33,2,FALSE),'Schedule from TM'!I263),",",J263,"','",IF(OR(F263="x",F263=""),VLOOKUP('Schedule from TM'!G263,Tables!$U$3:$V$14,2,FALSE),'Schedule from TM'!F263),",",TEXT(G263,"mm/dd/yyyy"),"','",TEXT(H263,"h:mm:ss AM/PM"),"'].ub=0.0      #",B263)</f>
        <v xml:space="preserve">                x[team1,team2,sport,'22,Hillel - Volleyball Out','21,11/26/2017','11:20:00 AM'].ub=0.0      #Ch D Female Volleyball</v>
      </c>
      <c r="AB263" s="301" t="str">
        <f t="shared" si="141"/>
        <v>,,Ch D Female Volleyball,Pool B,1,CHILD DF - ARG 1</v>
      </c>
      <c r="AC263" s="153" t="str">
        <f t="shared" si="142"/>
        <v>Ch D Female VolleyballPool BCHILD DF - ARG 1</v>
      </c>
      <c r="AD263" s="301" t="str">
        <f t="shared" si="143"/>
        <v>,,Ch D Female Volleyball,Pool B,1,CHILD DF - VEN 1</v>
      </c>
      <c r="AE263" s="153" t="str">
        <f t="shared" si="144"/>
        <v>Ch D Female VolleyballPool BCHILD DF - VEN 1</v>
      </c>
      <c r="AF263" s="383">
        <f t="shared" si="145"/>
        <v>1</v>
      </c>
      <c r="AG263" s="383">
        <f t="shared" si="146"/>
        <v>0</v>
      </c>
      <c r="AH263" s="383">
        <f t="shared" si="147"/>
        <v>0</v>
      </c>
      <c r="AI263" s="383">
        <f t="shared" si="148"/>
        <v>0</v>
      </c>
      <c r="AJ263" s="383">
        <f t="shared" si="149"/>
        <v>1</v>
      </c>
      <c r="AK263" s="383">
        <f t="shared" si="150"/>
        <v>0</v>
      </c>
      <c r="AM263" s="148" t="str">
        <f t="shared" si="151"/>
        <v>Schedulled</v>
      </c>
      <c r="AN263" s="148" t="str">
        <f t="shared" si="152"/>
        <v/>
      </c>
      <c r="AO263" s="156">
        <f t="shared" si="153"/>
        <v>43065.472222222219</v>
      </c>
      <c r="AP263" s="148" t="str">
        <f t="shared" si="154"/>
        <v>11/26/2017 11:20-&gt;Hillel - Volleyball Out</v>
      </c>
      <c r="AQ263" s="374">
        <f t="shared" si="155"/>
        <v>1</v>
      </c>
      <c r="AR263" s="148" t="str">
        <f t="shared" si="156"/>
        <v>ARG1</v>
      </c>
      <c r="AS263" s="148" t="str">
        <f t="shared" si="157"/>
        <v>VEN1</v>
      </c>
      <c r="AT263" s="157" t="str">
        <f t="shared" si="158"/>
        <v>ARG1-VEN1</v>
      </c>
      <c r="AU263" s="157" t="str">
        <f t="shared" si="159"/>
        <v xml:space="preserve">ARG1-VEN1 </v>
      </c>
      <c r="AV263" s="157" t="str">
        <f t="shared" si="160"/>
        <v>CHILDREN D FEMALE</v>
      </c>
      <c r="AW263" s="157" t="str">
        <f t="shared" si="161"/>
        <v>Volleyball</v>
      </c>
      <c r="AX263" s="376">
        <f t="shared" si="162"/>
        <v>261</v>
      </c>
      <c r="AY263" s="148" t="str">
        <f t="shared" si="163"/>
        <v>CHILD DF - ARG 1-&gt;CHILD DF - VEN 1</v>
      </c>
      <c r="AZ263" s="148" t="str">
        <f t="shared" si="164"/>
        <v>11/26/2017 11:20-&gt;CHILD DF - ARG 1</v>
      </c>
      <c r="BA263" s="148" t="str">
        <f t="shared" si="165"/>
        <v>11/26/2017 11:20-&gt;CHILD DF - VEN 1</v>
      </c>
      <c r="BB263" s="374">
        <f t="shared" si="166"/>
        <v>1</v>
      </c>
      <c r="BC263" s="374">
        <f t="shared" si="167"/>
        <v>1</v>
      </c>
      <c r="BD263" s="148" t="str">
        <f t="shared" si="168"/>
        <v>no conflict</v>
      </c>
      <c r="BF263" s="148" t="str">
        <f t="shared" si="169"/>
        <v>11/26/2017 11:20-&gt;CHILD DF - ARG 1</v>
      </c>
      <c r="BG263" s="148" t="str">
        <f t="shared" si="170"/>
        <v>11/26/2017 11:20-&gt;CHILD DF - VEN 1</v>
      </c>
      <c r="BH263" s="148" t="str">
        <f t="shared" si="171"/>
        <v>11/26/2017 11:20-&gt;Hillel - Volleyball Out</v>
      </c>
      <c r="BI263" s="148" t="str">
        <f t="shared" si="172"/>
        <v>Volleyball in Hillel - Volleyball Out (ARG1-VEN1)</v>
      </c>
      <c r="BJ263" s="148" t="str">
        <f t="shared" si="173"/>
        <v>Ch D Female Volleyball-- CHILD DF - ARG 1 vs. CHILD DF - VEN 1</v>
      </c>
      <c r="BK263" s="148" t="str">
        <f t="shared" si="174"/>
        <v>Volleyball</v>
      </c>
      <c r="BL263" s="148" t="str">
        <f t="shared" si="175"/>
        <v>CHILD DF - ARG 1</v>
      </c>
      <c r="BM263" s="148" t="str">
        <f t="shared" si="176"/>
        <v>CHILD DF - VEN 1</v>
      </c>
      <c r="BN263" s="148" t="str">
        <f t="shared" si="177"/>
        <v>Round - 1</v>
      </c>
      <c r="BP263" s="148" t="str">
        <f t="shared" si="178"/>
        <v>no t, f, or sf</v>
      </c>
      <c r="BQ263" s="148" t="str">
        <f t="shared" si="179"/>
        <v/>
      </c>
    </row>
    <row r="264" spans="1:69" ht="15" customHeight="1" x14ac:dyDescent="0.2">
      <c r="A264" s="376">
        <v>262</v>
      </c>
      <c r="B264" s="319" t="s">
        <v>520</v>
      </c>
      <c r="C264" s="319" t="s">
        <v>518</v>
      </c>
      <c r="D264" s="376">
        <v>1</v>
      </c>
      <c r="E264" s="376">
        <v>1</v>
      </c>
      <c r="F264" s="315" t="s">
        <v>770</v>
      </c>
      <c r="G264" s="320">
        <v>43065</v>
      </c>
      <c r="H264" s="454">
        <v>0.50694444444444442</v>
      </c>
      <c r="I264" s="325" t="s">
        <v>770</v>
      </c>
      <c r="J264" s="296" t="s">
        <v>701</v>
      </c>
      <c r="K264" s="319">
        <v>43</v>
      </c>
      <c r="L264" t="s">
        <v>587</v>
      </c>
      <c r="M264">
        <v>43</v>
      </c>
      <c r="N264" t="s">
        <v>589</v>
      </c>
      <c r="O264" s="153" t="str">
        <f>IF(L264&lt;&gt;"",IFERROR(VLOOKUP(B264&amp;L264,Pools!$A$2:$D$130,3,FALSE),""),"")</f>
        <v>Pool B</v>
      </c>
      <c r="P264" s="388">
        <v>0</v>
      </c>
      <c r="Q264" s="388">
        <v>2</v>
      </c>
      <c r="R264" s="306" t="str">
        <f t="shared" si="135"/>
        <v>0-2</v>
      </c>
      <c r="S264" s="153"/>
      <c r="T264" s="148" t="str">
        <f t="shared" si="136"/>
        <v>Completed</v>
      </c>
      <c r="U264" s="153"/>
      <c r="V264" s="153"/>
      <c r="W264" s="387">
        <f t="shared" si="137"/>
        <v>-2</v>
      </c>
      <c r="X264" s="387">
        <f t="shared" si="138"/>
        <v>2</v>
      </c>
      <c r="Y264" s="301">
        <f t="shared" si="139"/>
        <v>0</v>
      </c>
      <c r="Z264" s="301">
        <f t="shared" si="140"/>
        <v>2</v>
      </c>
      <c r="AA264" s="323" t="str">
        <f>CONCATENATE("                x[team1,team2,sport,'",IF(OR(I264="x",I264=""),VLOOKUP('Schedule from TM'!J264,Tables!$P$3:$Q$33,2,FALSE),'Schedule from TM'!I264),",",J264,"','",IF(OR(F264="x",F264=""),VLOOKUP('Schedule from TM'!G264,Tables!$U$3:$V$14,2,FALSE),'Schedule from TM'!F264),",",TEXT(G264,"mm/dd/yyyy"),"','",TEXT(H264,"h:mm:ss AM/PM"),"'].ub=0.0      #",B264)</f>
        <v xml:space="preserve">                x[team1,team2,sport,'22,Hillel - Volleyball Out','21,11/26/2017','12:10:00 PM'].ub=0.0      #Ch D Female Volleyball</v>
      </c>
      <c r="AB264" s="301" t="str">
        <f t="shared" si="141"/>
        <v>,,Ch D Female Volleyball,Pool B,1,CHILD DF - USA 1</v>
      </c>
      <c r="AC264" s="153" t="str">
        <f t="shared" si="142"/>
        <v>Ch D Female VolleyballPool BCHILD DF - USA 1</v>
      </c>
      <c r="AD264" s="301" t="str">
        <f t="shared" si="143"/>
        <v>,,Ch D Female Volleyball,Pool B,1,CHILD DF - VEN 1</v>
      </c>
      <c r="AE264" s="153" t="str">
        <f t="shared" si="144"/>
        <v>Ch D Female VolleyballPool BCHILD DF - VEN 1</v>
      </c>
      <c r="AF264" s="383">
        <f t="shared" si="145"/>
        <v>0</v>
      </c>
      <c r="AG264" s="383">
        <f t="shared" si="146"/>
        <v>1</v>
      </c>
      <c r="AH264" s="383">
        <f t="shared" si="147"/>
        <v>0</v>
      </c>
      <c r="AI264" s="383">
        <f t="shared" si="148"/>
        <v>1</v>
      </c>
      <c r="AJ264" s="383">
        <f t="shared" si="149"/>
        <v>0</v>
      </c>
      <c r="AK264" s="383">
        <f t="shared" si="150"/>
        <v>0</v>
      </c>
      <c r="AM264" s="148" t="str">
        <f t="shared" si="151"/>
        <v>Schedulled</v>
      </c>
      <c r="AN264" s="148" t="str">
        <f t="shared" si="152"/>
        <v/>
      </c>
      <c r="AO264" s="156">
        <f t="shared" si="153"/>
        <v>43065.506944444445</v>
      </c>
      <c r="AP264" s="148" t="str">
        <f t="shared" si="154"/>
        <v>11/26/2017 12:10-&gt;Hillel - Volleyball Out</v>
      </c>
      <c r="AQ264" s="374">
        <f t="shared" si="155"/>
        <v>1</v>
      </c>
      <c r="AR264" s="148" t="str">
        <f t="shared" si="156"/>
        <v>USA1</v>
      </c>
      <c r="AS264" s="148" t="str">
        <f t="shared" si="157"/>
        <v>VEN1</v>
      </c>
      <c r="AT264" s="157" t="str">
        <f t="shared" si="158"/>
        <v>USA1-VEN1</v>
      </c>
      <c r="AU264" s="157" t="str">
        <f t="shared" si="159"/>
        <v xml:space="preserve">USA1-VEN1 </v>
      </c>
      <c r="AV264" s="157" t="str">
        <f t="shared" si="160"/>
        <v>CHILDREN D FEMALE</v>
      </c>
      <c r="AW264" s="157" t="str">
        <f t="shared" si="161"/>
        <v>Volleyball</v>
      </c>
      <c r="AX264" s="376">
        <f t="shared" si="162"/>
        <v>262</v>
      </c>
      <c r="AY264" s="148" t="str">
        <f t="shared" si="163"/>
        <v>CHILD DF - USA 1-&gt;CHILD DF - VEN 1</v>
      </c>
      <c r="AZ264" s="148" t="str">
        <f t="shared" si="164"/>
        <v>11/26/2017 12:10-&gt;CHILD DF - USA 1</v>
      </c>
      <c r="BA264" s="148" t="str">
        <f t="shared" si="165"/>
        <v>11/26/2017 12:10-&gt;CHILD DF - VEN 1</v>
      </c>
      <c r="BB264" s="374">
        <f t="shared" si="166"/>
        <v>1</v>
      </c>
      <c r="BC264" s="374">
        <f t="shared" si="167"/>
        <v>1</v>
      </c>
      <c r="BD264" s="148" t="str">
        <f t="shared" si="168"/>
        <v>no conflict</v>
      </c>
      <c r="BF264" s="148" t="str">
        <f t="shared" si="169"/>
        <v>11/26/2017 12:10-&gt;CHILD DF - USA 1</v>
      </c>
      <c r="BG264" s="148" t="str">
        <f t="shared" si="170"/>
        <v>11/26/2017 12:10-&gt;CHILD DF - VEN 1</v>
      </c>
      <c r="BH264" s="148" t="str">
        <f t="shared" si="171"/>
        <v>11/26/2017 12:10-&gt;Hillel - Volleyball Out</v>
      </c>
      <c r="BI264" s="148" t="str">
        <f t="shared" si="172"/>
        <v>Volleyball in Hillel - Volleyball Out (USA1-VEN1)</v>
      </c>
      <c r="BJ264" s="148" t="str">
        <f t="shared" si="173"/>
        <v>Ch D Female Volleyball-- CHILD DF - USA 1 vs. CHILD DF - VEN 1</v>
      </c>
      <c r="BK264" s="148" t="str">
        <f t="shared" si="174"/>
        <v>Volleyball</v>
      </c>
      <c r="BL264" s="148" t="str">
        <f t="shared" si="175"/>
        <v>CHILD DF - USA 1</v>
      </c>
      <c r="BM264" s="148" t="str">
        <f t="shared" si="176"/>
        <v>CHILD DF - VEN 1</v>
      </c>
      <c r="BN264" s="148" t="str">
        <f t="shared" si="177"/>
        <v>Round - 1</v>
      </c>
      <c r="BP264" s="148" t="str">
        <f t="shared" si="178"/>
        <v>no t, f, or sf</v>
      </c>
      <c r="BQ264" s="148" t="str">
        <f t="shared" si="179"/>
        <v/>
      </c>
    </row>
    <row r="265" spans="1:69" ht="16" x14ac:dyDescent="0.2">
      <c r="A265" s="376">
        <v>263</v>
      </c>
      <c r="B265" s="433" t="s">
        <v>54</v>
      </c>
      <c r="C265" s="444" t="s">
        <v>518</v>
      </c>
      <c r="D265" s="451">
        <v>1</v>
      </c>
      <c r="E265" s="451">
        <v>1</v>
      </c>
      <c r="F265" s="315" t="s">
        <v>770</v>
      </c>
      <c r="G265" s="445">
        <v>43058</v>
      </c>
      <c r="H265" s="317">
        <v>0.36805555555555558</v>
      </c>
      <c r="I265" s="325" t="s">
        <v>770</v>
      </c>
      <c r="J265" s="444" t="s">
        <v>702</v>
      </c>
      <c r="K265" s="444">
        <v>41</v>
      </c>
      <c r="L265" s="433" t="s">
        <v>600</v>
      </c>
      <c r="M265">
        <v>41</v>
      </c>
      <c r="N265" s="433" t="s">
        <v>599</v>
      </c>
      <c r="O265" s="153" t="str">
        <f>IF(L265&lt;&gt;"",IFERROR(VLOOKUP(B265&amp;L265,Pools!$A$2:$D$130,3,FALSE),""),"")</f>
        <v/>
      </c>
      <c r="P265" s="388">
        <v>10</v>
      </c>
      <c r="Q265" s="388">
        <v>14</v>
      </c>
      <c r="R265" s="306" t="str">
        <f t="shared" si="135"/>
        <v>10-14</v>
      </c>
      <c r="S265" s="153"/>
      <c r="T265" s="148" t="str">
        <f t="shared" si="136"/>
        <v>Completed</v>
      </c>
      <c r="U265" s="153"/>
      <c r="V265" s="153"/>
      <c r="W265" s="387">
        <f t="shared" si="137"/>
        <v>-4</v>
      </c>
      <c r="X265" s="387">
        <f t="shared" si="138"/>
        <v>4</v>
      </c>
      <c r="Y265" s="301">
        <f t="shared" si="139"/>
        <v>0</v>
      </c>
      <c r="Z265" s="301">
        <f t="shared" si="140"/>
        <v>2</v>
      </c>
      <c r="AA265" s="323" t="str">
        <f>CONCATENATE("                x[team1,team2,sport,'",IF(OR(I265="x",I265=""),VLOOKUP('Schedule from TM'!J265,Tables!$P$3:$Q$33,2,FALSE),'Schedule from TM'!I265),",",J265,"','",IF(OR(F265="x",F265=""),VLOOKUP('Schedule from TM'!G265,Tables!$U$3:$V$14,2,FALSE),'Schedule from TM'!F265),",",TEXT(G265,"mm/dd/yyyy"),"','",TEXT(H265,"h:mm:ss AM/PM"),"'].ub=0.0      #",B265)</f>
        <v xml:space="preserve">                x[team1,team2,sport,'22,Hillel - Basketball Out','11,11/19/2017','8:50:00 AM'].ub=0.0      #Ch D Male Basketball</v>
      </c>
      <c r="AB265" s="301" t="str">
        <f t="shared" si="141"/>
        <v>,,Ch D Male Basketball,,1,CHILD DM - ISR 1</v>
      </c>
      <c r="AC265" s="153" t="str">
        <f t="shared" si="142"/>
        <v>Ch D Male BasketballCHILD DM - ISR 1</v>
      </c>
      <c r="AD265" s="301" t="str">
        <f t="shared" si="143"/>
        <v>,,Ch D Male Basketball,,1,CHILD DM - COL 2</v>
      </c>
      <c r="AE265" s="153" t="str">
        <f t="shared" si="144"/>
        <v>Ch D Male BasketballCHILD DM - COL 2</v>
      </c>
      <c r="AF265" s="383">
        <f t="shared" si="145"/>
        <v>0</v>
      </c>
      <c r="AG265" s="383">
        <f t="shared" si="146"/>
        <v>1</v>
      </c>
      <c r="AH265" s="383">
        <f t="shared" si="147"/>
        <v>0</v>
      </c>
      <c r="AI265" s="383">
        <f t="shared" si="148"/>
        <v>1</v>
      </c>
      <c r="AJ265" s="383">
        <f t="shared" si="149"/>
        <v>0</v>
      </c>
      <c r="AK265" s="383">
        <f t="shared" si="150"/>
        <v>0</v>
      </c>
      <c r="AM265" s="148" t="str">
        <f t="shared" si="151"/>
        <v>Schedulled</v>
      </c>
      <c r="AN265" s="148" t="str">
        <f t="shared" si="152"/>
        <v/>
      </c>
      <c r="AO265" s="156">
        <f t="shared" si="153"/>
        <v>43058.368055555555</v>
      </c>
      <c r="AP265" s="148" t="str">
        <f t="shared" si="154"/>
        <v>11/19/2017 08:50-&gt;Hillel - Basketball Out</v>
      </c>
      <c r="AQ265" s="374">
        <f t="shared" si="155"/>
        <v>1</v>
      </c>
      <c r="AR265" s="148" t="str">
        <f t="shared" si="156"/>
        <v>ISR1</v>
      </c>
      <c r="AS265" s="148" t="str">
        <f t="shared" si="157"/>
        <v>COL2</v>
      </c>
      <c r="AT265" s="157" t="str">
        <f t="shared" si="158"/>
        <v>ISR1-COL2</v>
      </c>
      <c r="AU265" s="157" t="str">
        <f t="shared" si="159"/>
        <v xml:space="preserve">ISR1-COL2 </v>
      </c>
      <c r="AV265" s="157" t="str">
        <f t="shared" si="160"/>
        <v>CHILDREN D MALE</v>
      </c>
      <c r="AW265" s="157" t="str">
        <f t="shared" si="161"/>
        <v>Basketball</v>
      </c>
      <c r="AX265" s="376">
        <f t="shared" si="162"/>
        <v>263</v>
      </c>
      <c r="AY265" s="148" t="str">
        <f t="shared" si="163"/>
        <v>CHILD DM - ISR 1-&gt;CHILD DM - COL 2</v>
      </c>
      <c r="AZ265" s="148" t="str">
        <f t="shared" si="164"/>
        <v>11/19/2017 08:50-&gt;CHILD DM - ISR 1</v>
      </c>
      <c r="BA265" s="148" t="str">
        <f t="shared" si="165"/>
        <v>11/19/2017 08:50-&gt;CHILD DM - COL 2</v>
      </c>
      <c r="BB265" s="374">
        <f t="shared" si="166"/>
        <v>1</v>
      </c>
      <c r="BC265" s="374">
        <f t="shared" si="167"/>
        <v>1</v>
      </c>
      <c r="BD265" s="148" t="str">
        <f t="shared" si="168"/>
        <v>no conflict</v>
      </c>
      <c r="BF265" s="148" t="str">
        <f t="shared" si="169"/>
        <v>11/19/2017 08:50-&gt;CHILD DM - ISR 1</v>
      </c>
      <c r="BG265" s="148" t="str">
        <f t="shared" si="170"/>
        <v>11/19/2017 08:50-&gt;CHILD DM - COL 2</v>
      </c>
      <c r="BH265" s="148" t="str">
        <f t="shared" si="171"/>
        <v>11/19/2017 08:50-&gt;Hillel - Basketball Out</v>
      </c>
      <c r="BI265" s="148" t="str">
        <f t="shared" si="172"/>
        <v>Basketball in Hillel - Basketball Out (ISR1-COL2)</v>
      </c>
      <c r="BJ265" s="148" t="str">
        <f t="shared" si="173"/>
        <v>Ch D Male Basketball-- CHILD DM - ISR 1 vs. CHILD DM - COL 2</v>
      </c>
      <c r="BK265" s="148" t="str">
        <f t="shared" si="174"/>
        <v>Basketball</v>
      </c>
      <c r="BL265" s="148" t="str">
        <f t="shared" si="175"/>
        <v>CHILD DM - ISR 1</v>
      </c>
      <c r="BM265" s="148" t="str">
        <f t="shared" si="176"/>
        <v>CHILD DM - COL 2</v>
      </c>
      <c r="BN265" s="148" t="str">
        <f t="shared" si="177"/>
        <v>Round - 1</v>
      </c>
      <c r="BP265" s="148" t="str">
        <f t="shared" si="178"/>
        <v>no t, f, or sf</v>
      </c>
      <c r="BQ265" s="148" t="str">
        <f t="shared" si="179"/>
        <v/>
      </c>
    </row>
    <row r="266" spans="1:69" ht="15" customHeight="1" x14ac:dyDescent="0.2">
      <c r="A266" s="376">
        <v>264</v>
      </c>
      <c r="B266" s="433" t="s">
        <v>54</v>
      </c>
      <c r="C266" s="444" t="s">
        <v>518</v>
      </c>
      <c r="D266" s="451">
        <v>1</v>
      </c>
      <c r="E266" s="451">
        <v>1</v>
      </c>
      <c r="F266" s="315" t="s">
        <v>770</v>
      </c>
      <c r="G266" s="445">
        <v>43058</v>
      </c>
      <c r="H266" s="317">
        <v>0.4375</v>
      </c>
      <c r="I266" s="325" t="s">
        <v>770</v>
      </c>
      <c r="J266" s="444" t="s">
        <v>702</v>
      </c>
      <c r="K266" s="444">
        <v>41</v>
      </c>
      <c r="L266" t="s">
        <v>593</v>
      </c>
      <c r="M266">
        <v>41</v>
      </c>
      <c r="N266" t="s">
        <v>594</v>
      </c>
      <c r="O266" s="153" t="str">
        <f>IF(L266&lt;&gt;"",IFERROR(VLOOKUP(B266&amp;L266,Pools!$A$2:$D$130,3,FALSE),""),"")</f>
        <v/>
      </c>
      <c r="P266" s="388">
        <v>13</v>
      </c>
      <c r="Q266" s="388">
        <v>8</v>
      </c>
      <c r="R266" s="306" t="str">
        <f t="shared" si="135"/>
        <v>13-8</v>
      </c>
      <c r="S266" s="153"/>
      <c r="T266" s="148" t="str">
        <f t="shared" si="136"/>
        <v>Completed</v>
      </c>
      <c r="U266" s="153"/>
      <c r="V266" s="153"/>
      <c r="W266" s="387">
        <f t="shared" si="137"/>
        <v>5</v>
      </c>
      <c r="X266" s="387">
        <f t="shared" si="138"/>
        <v>-5</v>
      </c>
      <c r="Y266" s="301">
        <f t="shared" si="139"/>
        <v>2</v>
      </c>
      <c r="Z266" s="301">
        <f t="shared" si="140"/>
        <v>0</v>
      </c>
      <c r="AA266" s="323" t="str">
        <f>CONCATENATE("                x[team1,team2,sport,'",IF(OR(I266="x",I266=""),VLOOKUP('Schedule from TM'!J266,Tables!$P$3:$Q$33,2,FALSE),'Schedule from TM'!I266),",",J266,"','",IF(OR(F266="x",F266=""),VLOOKUP('Schedule from TM'!G266,Tables!$U$3:$V$14,2,FALSE),'Schedule from TM'!F266),",",TEXT(G266,"mm/dd/yyyy"),"','",TEXT(H266,"h:mm:ss AM/PM"),"'].ub=0.0      #",B266)</f>
        <v xml:space="preserve">                x[team1,team2,sport,'22,Hillel - Basketball Out','11,11/19/2017','10:30:00 AM'].ub=0.0      #Ch D Male Basketball</v>
      </c>
      <c r="AB266" s="301" t="str">
        <f t="shared" si="141"/>
        <v>,,Ch D Male Basketball,,1,CHILD DM - COL 1</v>
      </c>
      <c r="AC266" s="153" t="str">
        <f t="shared" si="142"/>
        <v>Ch D Male BasketballCHILD DM - COL 1</v>
      </c>
      <c r="AD266" s="301" t="str">
        <f t="shared" si="143"/>
        <v>,,Ch D Male Basketball,,1,CHILD DM - PER</v>
      </c>
      <c r="AE266" s="153" t="str">
        <f t="shared" si="144"/>
        <v>Ch D Male BasketballCHILD DM - PER</v>
      </c>
      <c r="AF266" s="383">
        <f t="shared" si="145"/>
        <v>1</v>
      </c>
      <c r="AG266" s="383">
        <f t="shared" si="146"/>
        <v>0</v>
      </c>
      <c r="AH266" s="383">
        <f t="shared" si="147"/>
        <v>0</v>
      </c>
      <c r="AI266" s="383">
        <f t="shared" si="148"/>
        <v>0</v>
      </c>
      <c r="AJ266" s="383">
        <f t="shared" si="149"/>
        <v>1</v>
      </c>
      <c r="AK266" s="383">
        <f t="shared" si="150"/>
        <v>0</v>
      </c>
      <c r="AM266" s="148" t="str">
        <f t="shared" si="151"/>
        <v>Schedulled</v>
      </c>
      <c r="AN266" s="148" t="str">
        <f t="shared" si="152"/>
        <v/>
      </c>
      <c r="AO266" s="156">
        <f t="shared" si="153"/>
        <v>43058.4375</v>
      </c>
      <c r="AP266" s="148" t="str">
        <f t="shared" si="154"/>
        <v>11/19/2017 10:30-&gt;Hillel - Basketball Out</v>
      </c>
      <c r="AQ266" s="374">
        <f t="shared" si="155"/>
        <v>1</v>
      </c>
      <c r="AR266" s="148" t="str">
        <f t="shared" si="156"/>
        <v>COL1</v>
      </c>
      <c r="AS266" s="148" t="str">
        <f t="shared" si="157"/>
        <v>PER</v>
      </c>
      <c r="AT266" s="157" t="str">
        <f t="shared" si="158"/>
        <v>COL1-PER</v>
      </c>
      <c r="AU266" s="157" t="str">
        <f t="shared" si="159"/>
        <v xml:space="preserve">COL1-PER </v>
      </c>
      <c r="AV266" s="157" t="str">
        <f t="shared" si="160"/>
        <v>CHILDREN D MALE</v>
      </c>
      <c r="AW266" s="157" t="str">
        <f t="shared" si="161"/>
        <v>Basketball</v>
      </c>
      <c r="AX266" s="376">
        <f t="shared" si="162"/>
        <v>264</v>
      </c>
      <c r="AY266" s="148" t="str">
        <f t="shared" si="163"/>
        <v>CHILD DM - COL 1-&gt;CHILD DM - PER</v>
      </c>
      <c r="AZ266" s="148" t="str">
        <f t="shared" si="164"/>
        <v>11/19/2017 10:30-&gt;CHILD DM - COL 1</v>
      </c>
      <c r="BA266" s="148" t="str">
        <f t="shared" si="165"/>
        <v>11/19/2017 10:30-&gt;CHILD DM - PER</v>
      </c>
      <c r="BB266" s="374">
        <f t="shared" si="166"/>
        <v>1</v>
      </c>
      <c r="BC266" s="374">
        <f t="shared" si="167"/>
        <v>1</v>
      </c>
      <c r="BD266" s="148" t="str">
        <f t="shared" si="168"/>
        <v>no conflict</v>
      </c>
      <c r="BF266" s="148" t="str">
        <f t="shared" si="169"/>
        <v>11/19/2017 10:30-&gt;CHILD DM - COL 1</v>
      </c>
      <c r="BG266" s="148" t="str">
        <f t="shared" si="170"/>
        <v>11/19/2017 10:30-&gt;CHILD DM - PER</v>
      </c>
      <c r="BH266" s="148" t="str">
        <f t="shared" si="171"/>
        <v>11/19/2017 10:30-&gt;Hillel - Basketball Out</v>
      </c>
      <c r="BI266" s="148" t="str">
        <f t="shared" si="172"/>
        <v>Basketball in Hillel - Basketball Out (COL1-PER)</v>
      </c>
      <c r="BJ266" s="148" t="str">
        <f t="shared" si="173"/>
        <v>Ch D Male Basketball-- CHILD DM - COL 1 vs. CHILD DM - PER</v>
      </c>
      <c r="BK266" s="148" t="str">
        <f t="shared" si="174"/>
        <v>Basketball</v>
      </c>
      <c r="BL266" s="148" t="str">
        <f t="shared" si="175"/>
        <v>CHILD DM - COL 1</v>
      </c>
      <c r="BM266" s="148" t="str">
        <f t="shared" si="176"/>
        <v>CHILD DM - PER</v>
      </c>
      <c r="BN266" s="148" t="str">
        <f t="shared" si="177"/>
        <v>Round - 1</v>
      </c>
      <c r="BP266" s="148" t="str">
        <f t="shared" si="178"/>
        <v>no t, f, or sf</v>
      </c>
      <c r="BQ266" s="148" t="str">
        <f t="shared" si="179"/>
        <v/>
      </c>
    </row>
    <row r="267" spans="1:69" ht="15" customHeight="1" x14ac:dyDescent="0.2">
      <c r="A267" s="376">
        <v>265</v>
      </c>
      <c r="B267" s="433" t="s">
        <v>54</v>
      </c>
      <c r="C267" s="315" t="s">
        <v>518</v>
      </c>
      <c r="D267" s="378">
        <v>1</v>
      </c>
      <c r="E267" s="378">
        <v>1</v>
      </c>
      <c r="F267" s="315" t="s">
        <v>770</v>
      </c>
      <c r="G267" s="316">
        <v>43058</v>
      </c>
      <c r="H267" s="317">
        <v>0.50694444444444442</v>
      </c>
      <c r="I267" s="325" t="s">
        <v>770</v>
      </c>
      <c r="J267" s="444" t="s">
        <v>702</v>
      </c>
      <c r="K267" s="315">
        <v>41</v>
      </c>
      <c r="L267" t="s">
        <v>597</v>
      </c>
      <c r="M267">
        <v>41</v>
      </c>
      <c r="N267" t="s">
        <v>599</v>
      </c>
      <c r="O267" s="153" t="str">
        <f>IF(L267&lt;&gt;"",IFERROR(VLOOKUP(B267&amp;L267,Pools!$A$2:$D$130,3,FALSE),""),"")</f>
        <v/>
      </c>
      <c r="P267" s="388">
        <v>8</v>
      </c>
      <c r="Q267" s="388">
        <v>27</v>
      </c>
      <c r="R267" s="306" t="str">
        <f t="shared" ref="R267:R330" si="180">P267&amp;"-"&amp;Q267</f>
        <v>8-27</v>
      </c>
      <c r="S267" s="153"/>
      <c r="T267" s="148" t="str">
        <f t="shared" ref="T267:T330" si="181">IF(AND(P267&lt;&gt;"",Q267&lt;&gt;""),"Completed","Pending")</f>
        <v>Completed</v>
      </c>
      <c r="U267" s="153"/>
      <c r="V267" s="153"/>
      <c r="W267" s="387">
        <f t="shared" ref="W267:W330" si="182">IF(AW267="Basketball",(IF(P267-Q267&gt;15,15,IF(P267-Q267&lt;-15,-15,(P267-Q267)))),IF(AW267="Soccer",(IF(P267-Q267&gt;3,3,IF(P267-Q267&lt;-3,-3,(P267-Q267)))),IF(AW267="Kickball",(IF(P267-Q267&gt;5,5,IF(P267-Q267&lt;-5,-5,(P267-Q267)))),IF(AW267="Flag Football",(IF(P267-Q267&gt;21,21,IF(P267-Q267&lt;-21,-21,(P267-Q267)))),P267-Q267))))</f>
        <v>-15</v>
      </c>
      <c r="X267" s="387">
        <f t="shared" ref="X267:X330" si="183">IF(AW267="Basketball",(IF(Q267-P267&gt;15,15,IF(Q267-P267&lt;-15,-15,(Q267-P267)))),IF(AW267="Soccer",(IF(Q267-P267&gt;3,3,IF(Q267-P267&lt;-3,-3,(Q267-P267)))),IF(AW267="Kickball",(IF(Q267-P267&gt;5,5,IF(Q267-P267&lt;-5,-5,(Q267-P267)))),IF(AW267="Flag Football",(IF(Q267-P267&gt;21,21,IF(Q267-P267&lt;-21,-21,(Q267-P267)))),Q267-P267))))</f>
        <v>15</v>
      </c>
      <c r="Y267" s="301">
        <f t="shared" ref="Y267:Y330" si="184">IF(T267="Completed",(IF(P267&gt;Q267,2,IF(P267=Q267,1,IF(P267&lt;Q267,0)))),"X")</f>
        <v>0</v>
      </c>
      <c r="Z267" s="301">
        <f t="shared" ref="Z267:Z330" si="185">IF(T267="Completed",(IF(Q267&gt;P267,2,IF(Q267=P267,1,IF(Q267&lt;P267,0)))),"X")</f>
        <v>2</v>
      </c>
      <c r="AA267" s="323" t="str">
        <f>CONCATENATE("                x[team1,team2,sport,'",IF(OR(I267="x",I267=""),VLOOKUP('Schedule from TM'!J267,Tables!$P$3:$Q$33,2,FALSE),'Schedule from TM'!I267),",",J267,"','",IF(OR(F267="x",F267=""),VLOOKUP('Schedule from TM'!G267,Tables!$U$3:$V$14,2,FALSE),'Schedule from TM'!F267),",",TEXT(G267,"mm/dd/yyyy"),"','",TEXT(H267,"h:mm:ss AM/PM"),"'].ub=0.0      #",B267)</f>
        <v xml:space="preserve">                x[team1,team2,sport,'22,Hillel - Basketball Out','11,11/19/2017','12:10:00 PM'].ub=0.0      #Ch D Male Basketball</v>
      </c>
      <c r="AB267" s="301" t="str">
        <f t="shared" ref="AB267:AB330" si="186">",,"&amp;B267&amp;","&amp;O267&amp;",1,"&amp;L267</f>
        <v>,,Ch D Male Basketball,,1,CHILD DM - VEN 1</v>
      </c>
      <c r="AC267" s="153" t="str">
        <f t="shared" ref="AC267:AC330" si="187">B267&amp;O267&amp;L267</f>
        <v>Ch D Male BasketballCHILD DM - VEN 1</v>
      </c>
      <c r="AD267" s="301" t="str">
        <f t="shared" ref="AD267:AD330" si="188">",,"&amp;B267&amp;","&amp;O267&amp;",1,"&amp;N267</f>
        <v>,,Ch D Male Basketball,,1,CHILD DM - COL 2</v>
      </c>
      <c r="AE267" s="153" t="str">
        <f t="shared" ref="AE267:AE330" si="189">B267&amp;O267&amp;N267</f>
        <v>Ch D Male BasketballCHILD DM - COL 2</v>
      </c>
      <c r="AF267" s="383">
        <f t="shared" ref="AF267:AF330" si="190">IF(Y267=2,1,0)</f>
        <v>0</v>
      </c>
      <c r="AG267" s="383">
        <f t="shared" ref="AG267:AG330" si="191">IF(Y267=0,1,0)</f>
        <v>1</v>
      </c>
      <c r="AH267" s="383">
        <f t="shared" ref="AH267:AH330" si="192">IF(Y267=1,1,0)</f>
        <v>0</v>
      </c>
      <c r="AI267" s="383">
        <f t="shared" ref="AI267:AI330" si="193">IF(Z267=2,1,0)</f>
        <v>1</v>
      </c>
      <c r="AJ267" s="383">
        <f t="shared" ref="AJ267:AJ330" si="194">IF(Z267=0,1,0)</f>
        <v>0</v>
      </c>
      <c r="AK267" s="383">
        <f t="shared" ref="AK267:AK330" si="195">IF(Z267=1,1,0)</f>
        <v>0</v>
      </c>
      <c r="AM267" s="148" t="str">
        <f t="shared" ref="AM267:AM330" si="196">IF(G267&amp;H267&amp;J267&lt;&gt;"","Schedulled","Not Schedulled")</f>
        <v>Schedulled</v>
      </c>
      <c r="AN267" s="148" t="str">
        <f t="shared" ref="AN267:AN330" si="197">IF(AND(AM267="schedulled",L267&amp;N267=""),"Schedulled no team","")</f>
        <v/>
      </c>
      <c r="AO267" s="156">
        <f t="shared" ref="AO267:AO330" si="198">G267+H267</f>
        <v>43058.506944444445</v>
      </c>
      <c r="AP267" s="148" t="str">
        <f t="shared" ref="AP267:AP330" si="199">TEXT(AO267,"MM/DD/YYYY HH:MM")&amp;"-&gt;"&amp;J267</f>
        <v>11/19/2017 12:10-&gt;Hillel - Basketball Out</v>
      </c>
      <c r="AQ267" s="374">
        <f t="shared" ref="AQ267:AQ330" si="200">IF(AM267="not schedulled", 0,COUNTIF($AP$11:$AP$1051,AP267))</f>
        <v>1</v>
      </c>
      <c r="AR267" s="148" t="str">
        <f t="shared" ref="AR267:AR330" si="201">IFERROR(VLOOKUP(L267,teams_table,3,FALSE),"")</f>
        <v>VEN1</v>
      </c>
      <c r="AS267" s="148" t="str">
        <f t="shared" ref="AS267:AS330" si="202">IFERROR(VLOOKUP(N267,teams_table,3,FALSE),"")</f>
        <v>COL2</v>
      </c>
      <c r="AT267" s="157" t="str">
        <f t="shared" ref="AT267:AT330" si="203">IF(AR267&amp;AS267&lt;&gt;"",AR267&amp;"-"&amp;AS267,"")</f>
        <v>VEN1-COL2</v>
      </c>
      <c r="AU267" s="157" t="str">
        <f t="shared" ref="AU267:AU330" si="204">IF(AT267="","",AT267&amp;" ")&amp;IF(C267="final",AW267&amp;" Final","")&amp;IF(C267="semi-final",AW267&amp;" Semi-Final","")&amp;IF(C267="Tournament",AW267&amp;" Tournament","")</f>
        <v xml:space="preserve">VEN1-COL2 </v>
      </c>
      <c r="AV267" s="157" t="str">
        <f t="shared" ref="AV267:AV330" si="205">IFERROR(VLOOKUP(B267,events_table,2,FALSE),"")</f>
        <v>CHILDREN D MALE</v>
      </c>
      <c r="AW267" s="157" t="str">
        <f t="shared" ref="AW267:AW330" si="206">IFERROR(VLOOKUP(B267,events_table,3,0),"")</f>
        <v>Basketball</v>
      </c>
      <c r="AX267" s="376">
        <f t="shared" ref="AX267:AX330" si="207">A267</f>
        <v>265</v>
      </c>
      <c r="AY267" s="148" t="str">
        <f t="shared" ref="AY267:AY330" si="208">L267&amp;"-&gt;"&amp;N267</f>
        <v>CHILD DM - VEN 1-&gt;CHILD DM - COL 2</v>
      </c>
      <c r="AZ267" s="148" t="str">
        <f t="shared" ref="AZ267:AZ330" si="209">TEXT(AO267,"MM/DD/YYYY HH:MM")&amp;"-&gt;"&amp;L267</f>
        <v>11/19/2017 12:10-&gt;CHILD DM - VEN 1</v>
      </c>
      <c r="BA267" s="148" t="str">
        <f t="shared" ref="BA267:BA330" si="210">TEXT(AO267,"MM/DD/YYYY HH:MM")&amp;"-&gt;"&amp;N267</f>
        <v>11/19/2017 12:10-&gt;CHILD DM - COL 2</v>
      </c>
      <c r="BB267" s="374">
        <f t="shared" ref="BB267:BB330" si="211">IF(OR(AM267="not schedulled",AN267="schedulled no team"),0,COUNTIF($AZ$11:$BA$1051,AZ267))</f>
        <v>1</v>
      </c>
      <c r="BC267" s="374">
        <f t="shared" ref="BC267:BC330" si="212">IF(OR(AM267="not schedulled",AN267="schedulled no team"),0,COUNTIF($AZ$11:$BA$1051,BA267))</f>
        <v>1</v>
      </c>
      <c r="BD267" s="148" t="str">
        <f t="shared" ref="BD267:BD330" si="213">IF(OR(BB267&gt;1,BC267&gt;1),"conflict","no conflict")</f>
        <v>no conflict</v>
      </c>
      <c r="BF267" s="148" t="str">
        <f t="shared" ref="BF267:BF330" si="214">TEXT(AO267,"MM/DD/YYYY HH:MM")&amp;"-&gt;"&amp;L267</f>
        <v>11/19/2017 12:10-&gt;CHILD DM - VEN 1</v>
      </c>
      <c r="BG267" s="148" t="str">
        <f t="shared" ref="BG267:BG330" si="215">TEXT(AO267,"MM/DD/YYYY HH:MM")&amp;"-&gt;"&amp;N267</f>
        <v>11/19/2017 12:10-&gt;CHILD DM - COL 2</v>
      </c>
      <c r="BH267" s="148" t="str">
        <f t="shared" ref="BH267:BH330" si="216">TEXT(AO267,"MM/DD/YYYY HH:MM")&amp;"-&gt;"&amp;J267</f>
        <v>11/19/2017 12:10-&gt;Hillel - Basketball Out</v>
      </c>
      <c r="BI267" s="148" t="str">
        <f t="shared" ref="BI267:BI330" si="217">AW267&amp; " in "&amp;J267 &amp;" ("&amp;AT267&amp;")"</f>
        <v>Basketball in Hillel - Basketball Out (VEN1-COL2)</v>
      </c>
      <c r="BJ267" s="148" t="str">
        <f t="shared" ref="BJ267:BJ330" si="218">B267 &amp;"-- " &amp;L267&amp;" vs. "&amp;N267</f>
        <v>Ch D Male Basketball-- CHILD DM - VEN 1 vs. CHILD DM - COL 2</v>
      </c>
      <c r="BK267" s="148" t="str">
        <f t="shared" ref="BK267:BK330" si="219">AW267</f>
        <v>Basketball</v>
      </c>
      <c r="BL267" s="148" t="str">
        <f t="shared" ref="BL267:BL330" si="220">L267</f>
        <v>CHILD DM - VEN 1</v>
      </c>
      <c r="BM267" s="148" t="str">
        <f t="shared" ref="BM267:BM330" si="221">N267</f>
        <v>CHILD DM - COL 2</v>
      </c>
      <c r="BN267" s="148" t="str">
        <f t="shared" ref="BN267:BN330" si="222">C267</f>
        <v>Round - 1</v>
      </c>
      <c r="BP267" s="148" t="str">
        <f t="shared" ref="BP267:BP330" si="223">IF(OR(NOT(ISERR(SEARCH("final",C267))),NOT(ISERR(SEARCH("tournament",C267)))),TEXT(AO267,"MM/DD/YYYY HH:MM")&amp;"-&gt;"&amp;AV267,IF(B267="","no game","no t, f, or sf"))</f>
        <v>no t, f, or sf</v>
      </c>
      <c r="BQ267" s="148" t="str">
        <f t="shared" ref="BQ267:BQ330" si="224">IF(BP267&lt;&gt;"no t, f, or sf",AW267&amp;" "&amp;C267&amp;" in "&amp;J267,"")</f>
        <v/>
      </c>
    </row>
    <row r="268" spans="1:69" ht="15" customHeight="1" x14ac:dyDescent="0.2">
      <c r="A268" s="376">
        <v>266</v>
      </c>
      <c r="B268" s="433" t="s">
        <v>54</v>
      </c>
      <c r="C268" s="444" t="s">
        <v>518</v>
      </c>
      <c r="D268" s="451">
        <v>1</v>
      </c>
      <c r="E268" s="451">
        <v>1</v>
      </c>
      <c r="F268" s="315" t="s">
        <v>770</v>
      </c>
      <c r="G268" s="445">
        <v>43058</v>
      </c>
      <c r="H268" s="317">
        <v>0.54166666666666663</v>
      </c>
      <c r="I268" s="325" t="s">
        <v>770</v>
      </c>
      <c r="J268" s="444" t="s">
        <v>702</v>
      </c>
      <c r="K268" s="444">
        <v>41</v>
      </c>
      <c r="L268" t="s">
        <v>598</v>
      </c>
      <c r="M268">
        <v>41</v>
      </c>
      <c r="N268" t="s">
        <v>601</v>
      </c>
      <c r="O268" s="153" t="str">
        <f>IF(L268&lt;&gt;"",IFERROR(VLOOKUP(B268&amp;L268,Pools!$A$2:$D$130,3,FALSE),""),"")</f>
        <v/>
      </c>
      <c r="P268" s="388">
        <v>11</v>
      </c>
      <c r="Q268" s="388">
        <v>16</v>
      </c>
      <c r="R268" s="306" t="str">
        <f t="shared" si="180"/>
        <v>11-16</v>
      </c>
      <c r="S268" s="153"/>
      <c r="T268" s="148" t="str">
        <f t="shared" si="181"/>
        <v>Completed</v>
      </c>
      <c r="U268" s="153"/>
      <c r="V268" s="153"/>
      <c r="W268" s="387">
        <f t="shared" si="182"/>
        <v>-5</v>
      </c>
      <c r="X268" s="387">
        <f t="shared" si="183"/>
        <v>5</v>
      </c>
      <c r="Y268" s="301">
        <f t="shared" si="184"/>
        <v>0</v>
      </c>
      <c r="Z268" s="301">
        <f t="shared" si="185"/>
        <v>2</v>
      </c>
      <c r="AA268" s="323" t="str">
        <f>CONCATENATE("                x[team1,team2,sport,'",IF(OR(I268="x",I268=""),VLOOKUP('Schedule from TM'!J268,Tables!$P$3:$Q$33,2,FALSE),'Schedule from TM'!I268),",",J268,"','",IF(OR(F268="x",F268=""),VLOOKUP('Schedule from TM'!G268,Tables!$U$3:$V$14,2,FALSE),'Schedule from TM'!F268),",",TEXT(G268,"mm/dd/yyyy"),"','",TEXT(H268,"h:mm:ss AM/PM"),"'].ub=0.0      #",B268)</f>
        <v xml:space="preserve">                x[team1,team2,sport,'22,Hillel - Basketball Out','11,11/19/2017','1:00:00 PM'].ub=0.0      #Ch D Male Basketball</v>
      </c>
      <c r="AB268" s="301" t="str">
        <f t="shared" si="186"/>
        <v>,,Ch D Male Basketball,,1,CHILD DM - ARG 2</v>
      </c>
      <c r="AC268" s="153" t="str">
        <f t="shared" si="187"/>
        <v>Ch D Male BasketballCHILD DM - ARG 2</v>
      </c>
      <c r="AD268" s="301" t="str">
        <f t="shared" si="188"/>
        <v>,,Ch D Male Basketball,,1,CHILD DM - MEX</v>
      </c>
      <c r="AE268" s="153" t="str">
        <f t="shared" si="189"/>
        <v>Ch D Male BasketballCHILD DM - MEX</v>
      </c>
      <c r="AF268" s="383">
        <f t="shared" si="190"/>
        <v>0</v>
      </c>
      <c r="AG268" s="383">
        <f t="shared" si="191"/>
        <v>1</v>
      </c>
      <c r="AH268" s="383">
        <f t="shared" si="192"/>
        <v>0</v>
      </c>
      <c r="AI268" s="383">
        <f t="shared" si="193"/>
        <v>1</v>
      </c>
      <c r="AJ268" s="383">
        <f t="shared" si="194"/>
        <v>0</v>
      </c>
      <c r="AK268" s="383">
        <f t="shared" si="195"/>
        <v>0</v>
      </c>
      <c r="AM268" s="148" t="str">
        <f t="shared" si="196"/>
        <v>Schedulled</v>
      </c>
      <c r="AN268" s="148" t="str">
        <f t="shared" si="197"/>
        <v/>
      </c>
      <c r="AO268" s="156">
        <f t="shared" si="198"/>
        <v>43058.541666666664</v>
      </c>
      <c r="AP268" s="148" t="str">
        <f t="shared" si="199"/>
        <v>11/19/2017 13:00-&gt;Hillel - Basketball Out</v>
      </c>
      <c r="AQ268" s="374">
        <f t="shared" si="200"/>
        <v>1</v>
      </c>
      <c r="AR268" s="148" t="str">
        <f t="shared" si="201"/>
        <v>ARG2</v>
      </c>
      <c r="AS268" s="148" t="str">
        <f t="shared" si="202"/>
        <v>MEX</v>
      </c>
      <c r="AT268" s="157" t="str">
        <f t="shared" si="203"/>
        <v>ARG2-MEX</v>
      </c>
      <c r="AU268" s="157" t="str">
        <f t="shared" si="204"/>
        <v xml:space="preserve">ARG2-MEX </v>
      </c>
      <c r="AV268" s="157" t="str">
        <f t="shared" si="205"/>
        <v>CHILDREN D MALE</v>
      </c>
      <c r="AW268" s="157" t="str">
        <f t="shared" si="206"/>
        <v>Basketball</v>
      </c>
      <c r="AX268" s="376">
        <f t="shared" si="207"/>
        <v>266</v>
      </c>
      <c r="AY268" s="148" t="str">
        <f t="shared" si="208"/>
        <v>CHILD DM - ARG 2-&gt;CHILD DM - MEX</v>
      </c>
      <c r="AZ268" s="148" t="str">
        <f t="shared" si="209"/>
        <v>11/19/2017 13:00-&gt;CHILD DM - ARG 2</v>
      </c>
      <c r="BA268" s="148" t="str">
        <f t="shared" si="210"/>
        <v>11/19/2017 13:00-&gt;CHILD DM - MEX</v>
      </c>
      <c r="BB268" s="374">
        <f t="shared" si="211"/>
        <v>1</v>
      </c>
      <c r="BC268" s="374">
        <f t="shared" si="212"/>
        <v>1</v>
      </c>
      <c r="BD268" s="148" t="str">
        <f t="shared" si="213"/>
        <v>no conflict</v>
      </c>
      <c r="BF268" s="148" t="str">
        <f t="shared" si="214"/>
        <v>11/19/2017 13:00-&gt;CHILD DM - ARG 2</v>
      </c>
      <c r="BG268" s="148" t="str">
        <f t="shared" si="215"/>
        <v>11/19/2017 13:00-&gt;CHILD DM - MEX</v>
      </c>
      <c r="BH268" s="148" t="str">
        <f t="shared" si="216"/>
        <v>11/19/2017 13:00-&gt;Hillel - Basketball Out</v>
      </c>
      <c r="BI268" s="148" t="str">
        <f t="shared" si="217"/>
        <v>Basketball in Hillel - Basketball Out (ARG2-MEX)</v>
      </c>
      <c r="BJ268" s="148" t="str">
        <f t="shared" si="218"/>
        <v>Ch D Male Basketball-- CHILD DM - ARG 2 vs. CHILD DM - MEX</v>
      </c>
      <c r="BK268" s="148" t="str">
        <f t="shared" si="219"/>
        <v>Basketball</v>
      </c>
      <c r="BL268" s="148" t="str">
        <f t="shared" si="220"/>
        <v>CHILD DM - ARG 2</v>
      </c>
      <c r="BM268" s="148" t="str">
        <f t="shared" si="221"/>
        <v>CHILD DM - MEX</v>
      </c>
      <c r="BN268" s="148" t="str">
        <f t="shared" si="222"/>
        <v>Round - 1</v>
      </c>
      <c r="BP268" s="148" t="str">
        <f t="shared" si="223"/>
        <v>no t, f, or sf</v>
      </c>
      <c r="BQ268" s="148" t="str">
        <f t="shared" si="224"/>
        <v/>
      </c>
    </row>
    <row r="269" spans="1:69" ht="15" customHeight="1" x14ac:dyDescent="0.2">
      <c r="A269" s="376">
        <v>267</v>
      </c>
      <c r="B269" s="433" t="s">
        <v>54</v>
      </c>
      <c r="C269" s="315" t="s">
        <v>518</v>
      </c>
      <c r="D269" s="378">
        <v>1</v>
      </c>
      <c r="E269" s="378">
        <v>1</v>
      </c>
      <c r="F269" s="315" t="s">
        <v>770</v>
      </c>
      <c r="G269" s="316">
        <v>43058</v>
      </c>
      <c r="H269" s="317">
        <v>0.64583333333333337</v>
      </c>
      <c r="I269" s="325" t="s">
        <v>770</v>
      </c>
      <c r="J269" s="315" t="s">
        <v>702</v>
      </c>
      <c r="K269" s="315">
        <v>41</v>
      </c>
      <c r="L269" t="s">
        <v>595</v>
      </c>
      <c r="M269">
        <v>41</v>
      </c>
      <c r="N269" t="s">
        <v>601</v>
      </c>
      <c r="O269" s="153" t="str">
        <f>IF(L269&lt;&gt;"",IFERROR(VLOOKUP(B269&amp;L269,Pools!$A$2:$D$130,3,FALSE),""),"")</f>
        <v/>
      </c>
      <c r="P269" s="388">
        <v>26</v>
      </c>
      <c r="Q269" s="388">
        <v>6</v>
      </c>
      <c r="R269" s="306" t="str">
        <f t="shared" si="180"/>
        <v>26-6</v>
      </c>
      <c r="S269" s="153"/>
      <c r="T269" s="148" t="str">
        <f t="shared" si="181"/>
        <v>Completed</v>
      </c>
      <c r="U269" s="153"/>
      <c r="V269" s="153"/>
      <c r="W269" s="387">
        <f t="shared" si="182"/>
        <v>15</v>
      </c>
      <c r="X269" s="387">
        <f t="shared" si="183"/>
        <v>-15</v>
      </c>
      <c r="Y269" s="301">
        <f t="shared" si="184"/>
        <v>2</v>
      </c>
      <c r="Z269" s="301">
        <f t="shared" si="185"/>
        <v>0</v>
      </c>
      <c r="AA269" s="323" t="str">
        <f>CONCATENATE("                x[team1,team2,sport,'",IF(OR(I269="x",I269=""),VLOOKUP('Schedule from TM'!J269,Tables!$P$3:$Q$33,2,FALSE),'Schedule from TM'!I269),",",J269,"','",IF(OR(F269="x",F269=""),VLOOKUP('Schedule from TM'!G269,Tables!$U$3:$V$14,2,FALSE),'Schedule from TM'!F269),",",TEXT(G269,"mm/dd/yyyy"),"','",TEXT(H269,"h:mm:ss AM/PM"),"'].ub=0.0      #",B269)</f>
        <v xml:space="preserve">                x[team1,team2,sport,'22,Hillel - Basketball Out','11,11/19/2017','3:30:00 PM'].ub=0.0      #Ch D Male Basketball</v>
      </c>
      <c r="AB269" s="301" t="str">
        <f t="shared" si="186"/>
        <v>,,Ch D Male Basketball,,1,CHILD DM - USA 1</v>
      </c>
      <c r="AC269" s="153" t="str">
        <f t="shared" si="187"/>
        <v>Ch D Male BasketballCHILD DM - USA 1</v>
      </c>
      <c r="AD269" s="301" t="str">
        <f t="shared" si="188"/>
        <v>,,Ch D Male Basketball,,1,CHILD DM - MEX</v>
      </c>
      <c r="AE269" s="153" t="str">
        <f t="shared" si="189"/>
        <v>Ch D Male BasketballCHILD DM - MEX</v>
      </c>
      <c r="AF269" s="383">
        <f t="shared" si="190"/>
        <v>1</v>
      </c>
      <c r="AG269" s="383">
        <f t="shared" si="191"/>
        <v>0</v>
      </c>
      <c r="AH269" s="383">
        <f t="shared" si="192"/>
        <v>0</v>
      </c>
      <c r="AI269" s="383">
        <f t="shared" si="193"/>
        <v>0</v>
      </c>
      <c r="AJ269" s="383">
        <f t="shared" si="194"/>
        <v>1</v>
      </c>
      <c r="AK269" s="383">
        <f t="shared" si="195"/>
        <v>0</v>
      </c>
      <c r="AM269" s="148" t="str">
        <f t="shared" si="196"/>
        <v>Schedulled</v>
      </c>
      <c r="AN269" s="148" t="str">
        <f t="shared" si="197"/>
        <v/>
      </c>
      <c r="AO269" s="156">
        <f t="shared" si="198"/>
        <v>43058.645833333336</v>
      </c>
      <c r="AP269" s="148" t="str">
        <f t="shared" si="199"/>
        <v>11/19/2017 15:30-&gt;Hillel - Basketball Out</v>
      </c>
      <c r="AQ269" s="374">
        <f t="shared" si="200"/>
        <v>1</v>
      </c>
      <c r="AR269" s="148" t="str">
        <f t="shared" si="201"/>
        <v>USA1</v>
      </c>
      <c r="AS269" s="148" t="str">
        <f t="shared" si="202"/>
        <v>MEX</v>
      </c>
      <c r="AT269" s="157" t="str">
        <f t="shared" si="203"/>
        <v>USA1-MEX</v>
      </c>
      <c r="AU269" s="157" t="str">
        <f t="shared" si="204"/>
        <v xml:space="preserve">USA1-MEX </v>
      </c>
      <c r="AV269" s="157" t="str">
        <f t="shared" si="205"/>
        <v>CHILDREN D MALE</v>
      </c>
      <c r="AW269" s="157" t="str">
        <f t="shared" si="206"/>
        <v>Basketball</v>
      </c>
      <c r="AX269" s="376">
        <f t="shared" si="207"/>
        <v>267</v>
      </c>
      <c r="AY269" s="148" t="str">
        <f t="shared" si="208"/>
        <v>CHILD DM - USA 1-&gt;CHILD DM - MEX</v>
      </c>
      <c r="AZ269" s="148" t="str">
        <f t="shared" si="209"/>
        <v>11/19/2017 15:30-&gt;CHILD DM - USA 1</v>
      </c>
      <c r="BA269" s="148" t="str">
        <f t="shared" si="210"/>
        <v>11/19/2017 15:30-&gt;CHILD DM - MEX</v>
      </c>
      <c r="BB269" s="374">
        <f t="shared" si="211"/>
        <v>1</v>
      </c>
      <c r="BC269" s="374">
        <f t="shared" si="212"/>
        <v>1</v>
      </c>
      <c r="BD269" s="148" t="str">
        <f t="shared" si="213"/>
        <v>no conflict</v>
      </c>
      <c r="BF269" s="148" t="str">
        <f t="shared" si="214"/>
        <v>11/19/2017 15:30-&gt;CHILD DM - USA 1</v>
      </c>
      <c r="BG269" s="148" t="str">
        <f t="shared" si="215"/>
        <v>11/19/2017 15:30-&gt;CHILD DM - MEX</v>
      </c>
      <c r="BH269" s="148" t="str">
        <f t="shared" si="216"/>
        <v>11/19/2017 15:30-&gt;Hillel - Basketball Out</v>
      </c>
      <c r="BI269" s="148" t="str">
        <f t="shared" si="217"/>
        <v>Basketball in Hillel - Basketball Out (USA1-MEX)</v>
      </c>
      <c r="BJ269" s="148" t="str">
        <f t="shared" si="218"/>
        <v>Ch D Male Basketball-- CHILD DM - USA 1 vs. CHILD DM - MEX</v>
      </c>
      <c r="BK269" s="148" t="str">
        <f t="shared" si="219"/>
        <v>Basketball</v>
      </c>
      <c r="BL269" s="148" t="str">
        <f t="shared" si="220"/>
        <v>CHILD DM - USA 1</v>
      </c>
      <c r="BM269" s="148" t="str">
        <f t="shared" si="221"/>
        <v>CHILD DM - MEX</v>
      </c>
      <c r="BN269" s="148" t="str">
        <f t="shared" si="222"/>
        <v>Round - 1</v>
      </c>
      <c r="BP269" s="148" t="str">
        <f t="shared" si="223"/>
        <v>no t, f, or sf</v>
      </c>
      <c r="BQ269" s="148" t="str">
        <f t="shared" si="224"/>
        <v/>
      </c>
    </row>
    <row r="270" spans="1:69" ht="15" customHeight="1" x14ac:dyDescent="0.2">
      <c r="A270" s="376">
        <v>268</v>
      </c>
      <c r="B270" s="433" t="s">
        <v>54</v>
      </c>
      <c r="C270" s="315" t="s">
        <v>518</v>
      </c>
      <c r="D270" s="378">
        <v>1</v>
      </c>
      <c r="E270" s="378">
        <v>1</v>
      </c>
      <c r="F270" s="315" t="s">
        <v>770</v>
      </c>
      <c r="G270" s="316">
        <v>43062</v>
      </c>
      <c r="H270" s="317">
        <v>0.4375</v>
      </c>
      <c r="I270" s="325" t="s">
        <v>770</v>
      </c>
      <c r="J270" s="444" t="s">
        <v>702</v>
      </c>
      <c r="K270" s="444">
        <v>41</v>
      </c>
      <c r="L270" s="433" t="s">
        <v>592</v>
      </c>
      <c r="M270">
        <v>41</v>
      </c>
      <c r="N270" s="433" t="s">
        <v>602</v>
      </c>
      <c r="O270" s="153" t="str">
        <f>IF(L270&lt;&gt;"",IFERROR(VLOOKUP(B270&amp;L270,Pools!$A$2:$D$130,3,FALSE),""),"")</f>
        <v/>
      </c>
      <c r="P270" s="388">
        <v>16</v>
      </c>
      <c r="Q270" s="388">
        <v>8</v>
      </c>
      <c r="R270" s="306" t="str">
        <f t="shared" si="180"/>
        <v>16-8</v>
      </c>
      <c r="S270" s="153"/>
      <c r="T270" s="148" t="str">
        <f t="shared" si="181"/>
        <v>Completed</v>
      </c>
      <c r="U270" s="153"/>
      <c r="V270" s="153"/>
      <c r="W270" s="387">
        <f t="shared" si="182"/>
        <v>8</v>
      </c>
      <c r="X270" s="387">
        <f t="shared" si="183"/>
        <v>-8</v>
      </c>
      <c r="Y270" s="301">
        <f t="shared" si="184"/>
        <v>2</v>
      </c>
      <c r="Z270" s="301">
        <f t="shared" si="185"/>
        <v>0</v>
      </c>
      <c r="AA270" s="323" t="str">
        <f>CONCATENATE("                x[team1,team2,sport,'",IF(OR(I270="x",I270=""),VLOOKUP('Schedule from TM'!J270,Tables!$P$3:$Q$33,2,FALSE),'Schedule from TM'!I270),",",J270,"','",IF(OR(F270="x",F270=""),VLOOKUP('Schedule from TM'!G270,Tables!$U$3:$V$14,2,FALSE),'Schedule from TM'!F270),",",TEXT(G270,"mm/dd/yyyy"),"','",TEXT(H270,"h:mm:ss AM/PM"),"'].ub=0.0      #",B270)</f>
        <v xml:space="preserve">                x[team1,team2,sport,'22,Hillel - Basketball Out','11,11/23/2017','10:30:00 AM'].ub=0.0      #Ch D Male Basketball</v>
      </c>
      <c r="AB270" s="301" t="str">
        <f t="shared" si="186"/>
        <v>,,Ch D Male Basketball,,1,CHILD DM - ARG 1</v>
      </c>
      <c r="AC270" s="153" t="str">
        <f t="shared" si="187"/>
        <v>Ch D Male BasketballCHILD DM - ARG 1</v>
      </c>
      <c r="AD270" s="301" t="str">
        <f t="shared" si="188"/>
        <v>,,Ch D Male Basketball,,1,CHILD DM - VEN 2</v>
      </c>
      <c r="AE270" s="153" t="str">
        <f t="shared" si="189"/>
        <v>Ch D Male BasketballCHILD DM - VEN 2</v>
      </c>
      <c r="AF270" s="383">
        <f t="shared" si="190"/>
        <v>1</v>
      </c>
      <c r="AG270" s="383">
        <f t="shared" si="191"/>
        <v>0</v>
      </c>
      <c r="AH270" s="383">
        <f t="shared" si="192"/>
        <v>0</v>
      </c>
      <c r="AI270" s="383">
        <f t="shared" si="193"/>
        <v>0</v>
      </c>
      <c r="AJ270" s="383">
        <f t="shared" si="194"/>
        <v>1</v>
      </c>
      <c r="AK270" s="383">
        <f t="shared" si="195"/>
        <v>0</v>
      </c>
      <c r="AM270" s="148" t="str">
        <f t="shared" si="196"/>
        <v>Schedulled</v>
      </c>
      <c r="AN270" s="148" t="str">
        <f t="shared" si="197"/>
        <v/>
      </c>
      <c r="AO270" s="156">
        <f t="shared" si="198"/>
        <v>43062.4375</v>
      </c>
      <c r="AP270" s="148" t="str">
        <f t="shared" si="199"/>
        <v>11/23/2017 10:30-&gt;Hillel - Basketball Out</v>
      </c>
      <c r="AQ270" s="374">
        <f t="shared" si="200"/>
        <v>1</v>
      </c>
      <c r="AR270" s="148" t="str">
        <f t="shared" si="201"/>
        <v>ARG1</v>
      </c>
      <c r="AS270" s="148" t="str">
        <f t="shared" si="202"/>
        <v>VEN2</v>
      </c>
      <c r="AT270" s="157" t="str">
        <f t="shared" si="203"/>
        <v>ARG1-VEN2</v>
      </c>
      <c r="AU270" s="157" t="str">
        <f t="shared" si="204"/>
        <v xml:space="preserve">ARG1-VEN2 </v>
      </c>
      <c r="AV270" s="157" t="str">
        <f t="shared" si="205"/>
        <v>CHILDREN D MALE</v>
      </c>
      <c r="AW270" s="157" t="str">
        <f t="shared" si="206"/>
        <v>Basketball</v>
      </c>
      <c r="AX270" s="376">
        <f t="shared" si="207"/>
        <v>268</v>
      </c>
      <c r="AY270" s="148" t="str">
        <f t="shared" si="208"/>
        <v>CHILD DM - ARG 1-&gt;CHILD DM - VEN 2</v>
      </c>
      <c r="AZ270" s="148" t="str">
        <f t="shared" si="209"/>
        <v>11/23/2017 10:30-&gt;CHILD DM - ARG 1</v>
      </c>
      <c r="BA270" s="148" t="str">
        <f t="shared" si="210"/>
        <v>11/23/2017 10:30-&gt;CHILD DM - VEN 2</v>
      </c>
      <c r="BB270" s="374">
        <f t="shared" si="211"/>
        <v>1</v>
      </c>
      <c r="BC270" s="374">
        <f t="shared" si="212"/>
        <v>1</v>
      </c>
      <c r="BD270" s="148" t="str">
        <f t="shared" si="213"/>
        <v>no conflict</v>
      </c>
      <c r="BF270" s="148" t="str">
        <f t="shared" si="214"/>
        <v>11/23/2017 10:30-&gt;CHILD DM - ARG 1</v>
      </c>
      <c r="BG270" s="148" t="str">
        <f t="shared" si="215"/>
        <v>11/23/2017 10:30-&gt;CHILD DM - VEN 2</v>
      </c>
      <c r="BH270" s="148" t="str">
        <f t="shared" si="216"/>
        <v>11/23/2017 10:30-&gt;Hillel - Basketball Out</v>
      </c>
      <c r="BI270" s="148" t="str">
        <f t="shared" si="217"/>
        <v>Basketball in Hillel - Basketball Out (ARG1-VEN2)</v>
      </c>
      <c r="BJ270" s="148" t="str">
        <f t="shared" si="218"/>
        <v>Ch D Male Basketball-- CHILD DM - ARG 1 vs. CHILD DM - VEN 2</v>
      </c>
      <c r="BK270" s="148" t="str">
        <f t="shared" si="219"/>
        <v>Basketball</v>
      </c>
      <c r="BL270" s="148" t="str">
        <f t="shared" si="220"/>
        <v>CHILD DM - ARG 1</v>
      </c>
      <c r="BM270" s="148" t="str">
        <f t="shared" si="221"/>
        <v>CHILD DM - VEN 2</v>
      </c>
      <c r="BN270" s="148" t="str">
        <f t="shared" si="222"/>
        <v>Round - 1</v>
      </c>
      <c r="BP270" s="148" t="str">
        <f t="shared" si="223"/>
        <v>no t, f, or sf</v>
      </c>
      <c r="BQ270" s="148" t="str">
        <f t="shared" si="224"/>
        <v/>
      </c>
    </row>
    <row r="271" spans="1:69" ht="15" customHeight="1" x14ac:dyDescent="0.2">
      <c r="A271" s="376">
        <v>269</v>
      </c>
      <c r="B271" s="433" t="s">
        <v>54</v>
      </c>
      <c r="C271" s="315" t="s">
        <v>518</v>
      </c>
      <c r="D271" s="378">
        <v>1</v>
      </c>
      <c r="E271" s="378">
        <v>1</v>
      </c>
      <c r="F271" s="315" t="s">
        <v>770</v>
      </c>
      <c r="G271" s="316">
        <v>43062</v>
      </c>
      <c r="H271" s="317">
        <v>0.47222222222222227</v>
      </c>
      <c r="I271" s="325" t="s">
        <v>770</v>
      </c>
      <c r="J271" s="443" t="s">
        <v>702</v>
      </c>
      <c r="K271" s="444">
        <v>41</v>
      </c>
      <c r="L271" s="433" t="s">
        <v>600</v>
      </c>
      <c r="M271">
        <v>41</v>
      </c>
      <c r="N271" s="433" t="s">
        <v>595</v>
      </c>
      <c r="O271" s="153" t="str">
        <f>IF(L271&lt;&gt;"",IFERROR(VLOOKUP(B271&amp;L271,Pools!$A$2:$D$130,3,FALSE),""),"")</f>
        <v/>
      </c>
      <c r="P271" s="388">
        <v>9</v>
      </c>
      <c r="Q271" s="388">
        <v>16</v>
      </c>
      <c r="R271" s="306" t="str">
        <f t="shared" si="180"/>
        <v>9-16</v>
      </c>
      <c r="S271" s="153"/>
      <c r="T271" s="148" t="str">
        <f t="shared" si="181"/>
        <v>Completed</v>
      </c>
      <c r="U271" s="153"/>
      <c r="V271" s="153"/>
      <c r="W271" s="387">
        <f t="shared" si="182"/>
        <v>-7</v>
      </c>
      <c r="X271" s="387">
        <f t="shared" si="183"/>
        <v>7</v>
      </c>
      <c r="Y271" s="301">
        <f t="shared" si="184"/>
        <v>0</v>
      </c>
      <c r="Z271" s="301">
        <f t="shared" si="185"/>
        <v>2</v>
      </c>
      <c r="AA271" s="323" t="str">
        <f>CONCATENATE("                x[team1,team2,sport,'",IF(OR(I271="x",I271=""),VLOOKUP('Schedule from TM'!J271,Tables!$P$3:$Q$33,2,FALSE),'Schedule from TM'!I271),",",J271,"','",IF(OR(F271="x",F271=""),VLOOKUP('Schedule from TM'!G271,Tables!$U$3:$V$14,2,FALSE),'Schedule from TM'!F271),",",TEXT(G271,"mm/dd/yyyy"),"','",TEXT(H271,"h:mm:ss AM/PM"),"'].ub=0.0      #",B271)</f>
        <v xml:space="preserve">                x[team1,team2,sport,'22,Hillel - Basketball Out','11,11/23/2017','11:20:00 AM'].ub=0.0      #Ch D Male Basketball</v>
      </c>
      <c r="AB271" s="301" t="str">
        <f t="shared" si="186"/>
        <v>,,Ch D Male Basketball,,1,CHILD DM - ISR 1</v>
      </c>
      <c r="AC271" s="153" t="str">
        <f t="shared" si="187"/>
        <v>Ch D Male BasketballCHILD DM - ISR 1</v>
      </c>
      <c r="AD271" s="301" t="str">
        <f t="shared" si="188"/>
        <v>,,Ch D Male Basketball,,1,CHILD DM - USA 1</v>
      </c>
      <c r="AE271" s="153" t="str">
        <f t="shared" si="189"/>
        <v>Ch D Male BasketballCHILD DM - USA 1</v>
      </c>
      <c r="AF271" s="383">
        <f t="shared" si="190"/>
        <v>0</v>
      </c>
      <c r="AG271" s="383">
        <f t="shared" si="191"/>
        <v>1</v>
      </c>
      <c r="AH271" s="383">
        <f t="shared" si="192"/>
        <v>0</v>
      </c>
      <c r="AI271" s="383">
        <f t="shared" si="193"/>
        <v>1</v>
      </c>
      <c r="AJ271" s="383">
        <f t="shared" si="194"/>
        <v>0</v>
      </c>
      <c r="AK271" s="383">
        <f t="shared" si="195"/>
        <v>0</v>
      </c>
      <c r="AM271" s="148" t="str">
        <f t="shared" si="196"/>
        <v>Schedulled</v>
      </c>
      <c r="AN271" s="148" t="str">
        <f t="shared" si="197"/>
        <v/>
      </c>
      <c r="AO271" s="156">
        <f t="shared" si="198"/>
        <v>43062.472222222219</v>
      </c>
      <c r="AP271" s="148" t="str">
        <f t="shared" si="199"/>
        <v>11/23/2017 11:20-&gt;Hillel - Basketball Out</v>
      </c>
      <c r="AQ271" s="374">
        <f t="shared" si="200"/>
        <v>1</v>
      </c>
      <c r="AR271" s="148" t="str">
        <f t="shared" si="201"/>
        <v>ISR1</v>
      </c>
      <c r="AS271" s="148" t="str">
        <f t="shared" si="202"/>
        <v>USA1</v>
      </c>
      <c r="AT271" s="157" t="str">
        <f t="shared" si="203"/>
        <v>ISR1-USA1</v>
      </c>
      <c r="AU271" s="157" t="str">
        <f t="shared" si="204"/>
        <v xml:space="preserve">ISR1-USA1 </v>
      </c>
      <c r="AV271" s="157" t="str">
        <f t="shared" si="205"/>
        <v>CHILDREN D MALE</v>
      </c>
      <c r="AW271" s="157" t="str">
        <f t="shared" si="206"/>
        <v>Basketball</v>
      </c>
      <c r="AX271" s="376">
        <f t="shared" si="207"/>
        <v>269</v>
      </c>
      <c r="AY271" s="148" t="str">
        <f t="shared" si="208"/>
        <v>CHILD DM - ISR 1-&gt;CHILD DM - USA 1</v>
      </c>
      <c r="AZ271" s="148" t="str">
        <f t="shared" si="209"/>
        <v>11/23/2017 11:20-&gt;CHILD DM - ISR 1</v>
      </c>
      <c r="BA271" s="148" t="str">
        <f t="shared" si="210"/>
        <v>11/23/2017 11:20-&gt;CHILD DM - USA 1</v>
      </c>
      <c r="BB271" s="374">
        <f t="shared" si="211"/>
        <v>1</v>
      </c>
      <c r="BC271" s="374">
        <f t="shared" si="212"/>
        <v>1</v>
      </c>
      <c r="BD271" s="148" t="str">
        <f t="shared" si="213"/>
        <v>no conflict</v>
      </c>
      <c r="BF271" s="148" t="str">
        <f t="shared" si="214"/>
        <v>11/23/2017 11:20-&gt;CHILD DM - ISR 1</v>
      </c>
      <c r="BG271" s="148" t="str">
        <f t="shared" si="215"/>
        <v>11/23/2017 11:20-&gt;CHILD DM - USA 1</v>
      </c>
      <c r="BH271" s="148" t="str">
        <f t="shared" si="216"/>
        <v>11/23/2017 11:20-&gt;Hillel - Basketball Out</v>
      </c>
      <c r="BI271" s="148" t="str">
        <f t="shared" si="217"/>
        <v>Basketball in Hillel - Basketball Out (ISR1-USA1)</v>
      </c>
      <c r="BJ271" s="148" t="str">
        <f t="shared" si="218"/>
        <v>Ch D Male Basketball-- CHILD DM - ISR 1 vs. CHILD DM - USA 1</v>
      </c>
      <c r="BK271" s="148" t="str">
        <f t="shared" si="219"/>
        <v>Basketball</v>
      </c>
      <c r="BL271" s="148" t="str">
        <f t="shared" si="220"/>
        <v>CHILD DM - ISR 1</v>
      </c>
      <c r="BM271" s="148" t="str">
        <f t="shared" si="221"/>
        <v>CHILD DM - USA 1</v>
      </c>
      <c r="BN271" s="148" t="str">
        <f t="shared" si="222"/>
        <v>Round - 1</v>
      </c>
      <c r="BP271" s="148" t="str">
        <f t="shared" si="223"/>
        <v>no t, f, or sf</v>
      </c>
      <c r="BQ271" s="148" t="str">
        <f t="shared" si="224"/>
        <v/>
      </c>
    </row>
    <row r="272" spans="1:69" ht="15" customHeight="1" x14ac:dyDescent="0.2">
      <c r="A272" s="376">
        <v>270</v>
      </c>
      <c r="B272" s="444" t="s">
        <v>54</v>
      </c>
      <c r="C272" s="444" t="s">
        <v>518</v>
      </c>
      <c r="D272" s="451">
        <v>1</v>
      </c>
      <c r="E272" s="451">
        <v>1</v>
      </c>
      <c r="F272" s="315" t="s">
        <v>770</v>
      </c>
      <c r="G272" s="445">
        <v>43062</v>
      </c>
      <c r="H272" s="317">
        <v>0.50694444444444442</v>
      </c>
      <c r="I272" s="325" t="s">
        <v>770</v>
      </c>
      <c r="J272" s="444" t="s">
        <v>702</v>
      </c>
      <c r="K272" s="315">
        <v>41</v>
      </c>
      <c r="L272" t="s">
        <v>593</v>
      </c>
      <c r="M272">
        <v>41</v>
      </c>
      <c r="N272" t="s">
        <v>598</v>
      </c>
      <c r="O272" s="153" t="str">
        <f>IF(L272&lt;&gt;"",IFERROR(VLOOKUP(B272&amp;L272,Pools!$A$2:$D$130,3,FALSE),""),"")</f>
        <v/>
      </c>
      <c r="P272" s="388">
        <v>16</v>
      </c>
      <c r="Q272" s="388">
        <v>7</v>
      </c>
      <c r="R272" s="306" t="str">
        <f t="shared" si="180"/>
        <v>16-7</v>
      </c>
      <c r="S272" s="153"/>
      <c r="T272" s="148" t="str">
        <f t="shared" si="181"/>
        <v>Completed</v>
      </c>
      <c r="U272" s="153"/>
      <c r="V272" s="153"/>
      <c r="W272" s="387">
        <f t="shared" si="182"/>
        <v>9</v>
      </c>
      <c r="X272" s="387">
        <f t="shared" si="183"/>
        <v>-9</v>
      </c>
      <c r="Y272" s="301">
        <f t="shared" si="184"/>
        <v>2</v>
      </c>
      <c r="Z272" s="301">
        <f t="shared" si="185"/>
        <v>0</v>
      </c>
      <c r="AA272" s="323" t="str">
        <f>CONCATENATE("                x[team1,team2,sport,'",IF(OR(I272="x",I272=""),VLOOKUP('Schedule from TM'!J272,Tables!$P$3:$Q$33,2,FALSE),'Schedule from TM'!I272),",",J272,"','",IF(OR(F272="x",F272=""),VLOOKUP('Schedule from TM'!G272,Tables!$U$3:$V$14,2,FALSE),'Schedule from TM'!F272),",",TEXT(G272,"mm/dd/yyyy"),"','",TEXT(H272,"h:mm:ss AM/PM"),"'].ub=0.0      #",B272)</f>
        <v xml:space="preserve">                x[team1,team2,sport,'22,Hillel - Basketball Out','11,11/23/2017','12:10:00 PM'].ub=0.0      #Ch D Male Basketball</v>
      </c>
      <c r="AB272" s="301" t="str">
        <f t="shared" si="186"/>
        <v>,,Ch D Male Basketball,,1,CHILD DM - COL 1</v>
      </c>
      <c r="AC272" s="153" t="str">
        <f t="shared" si="187"/>
        <v>Ch D Male BasketballCHILD DM - COL 1</v>
      </c>
      <c r="AD272" s="301" t="str">
        <f t="shared" si="188"/>
        <v>,,Ch D Male Basketball,,1,CHILD DM - ARG 2</v>
      </c>
      <c r="AE272" s="153" t="str">
        <f t="shared" si="189"/>
        <v>Ch D Male BasketballCHILD DM - ARG 2</v>
      </c>
      <c r="AF272" s="383">
        <f t="shared" si="190"/>
        <v>1</v>
      </c>
      <c r="AG272" s="383">
        <f t="shared" si="191"/>
        <v>0</v>
      </c>
      <c r="AH272" s="383">
        <f t="shared" si="192"/>
        <v>0</v>
      </c>
      <c r="AI272" s="383">
        <f t="shared" si="193"/>
        <v>0</v>
      </c>
      <c r="AJ272" s="383">
        <f t="shared" si="194"/>
        <v>1</v>
      </c>
      <c r="AK272" s="383">
        <f t="shared" si="195"/>
        <v>0</v>
      </c>
      <c r="AM272" s="148" t="str">
        <f t="shared" si="196"/>
        <v>Schedulled</v>
      </c>
      <c r="AN272" s="148" t="str">
        <f t="shared" si="197"/>
        <v/>
      </c>
      <c r="AO272" s="156">
        <f t="shared" si="198"/>
        <v>43062.506944444445</v>
      </c>
      <c r="AP272" s="148" t="str">
        <f t="shared" si="199"/>
        <v>11/23/2017 12:10-&gt;Hillel - Basketball Out</v>
      </c>
      <c r="AQ272" s="374">
        <f t="shared" si="200"/>
        <v>1</v>
      </c>
      <c r="AR272" s="148" t="str">
        <f t="shared" si="201"/>
        <v>COL1</v>
      </c>
      <c r="AS272" s="148" t="str">
        <f t="shared" si="202"/>
        <v>ARG2</v>
      </c>
      <c r="AT272" s="157" t="str">
        <f t="shared" si="203"/>
        <v>COL1-ARG2</v>
      </c>
      <c r="AU272" s="157" t="str">
        <f t="shared" si="204"/>
        <v xml:space="preserve">COL1-ARG2 </v>
      </c>
      <c r="AV272" s="157" t="str">
        <f t="shared" si="205"/>
        <v>CHILDREN D MALE</v>
      </c>
      <c r="AW272" s="157" t="str">
        <f t="shared" si="206"/>
        <v>Basketball</v>
      </c>
      <c r="AX272" s="376">
        <f t="shared" si="207"/>
        <v>270</v>
      </c>
      <c r="AY272" s="148" t="str">
        <f t="shared" si="208"/>
        <v>CHILD DM - COL 1-&gt;CHILD DM - ARG 2</v>
      </c>
      <c r="AZ272" s="148" t="str">
        <f t="shared" si="209"/>
        <v>11/23/2017 12:10-&gt;CHILD DM - COL 1</v>
      </c>
      <c r="BA272" s="148" t="str">
        <f t="shared" si="210"/>
        <v>11/23/2017 12:10-&gt;CHILD DM - ARG 2</v>
      </c>
      <c r="BB272" s="374">
        <f t="shared" si="211"/>
        <v>1</v>
      </c>
      <c r="BC272" s="374">
        <f t="shared" si="212"/>
        <v>1</v>
      </c>
      <c r="BD272" s="148" t="str">
        <f t="shared" si="213"/>
        <v>no conflict</v>
      </c>
      <c r="BF272" s="148" t="str">
        <f t="shared" si="214"/>
        <v>11/23/2017 12:10-&gt;CHILD DM - COL 1</v>
      </c>
      <c r="BG272" s="148" t="str">
        <f t="shared" si="215"/>
        <v>11/23/2017 12:10-&gt;CHILD DM - ARG 2</v>
      </c>
      <c r="BH272" s="148" t="str">
        <f t="shared" si="216"/>
        <v>11/23/2017 12:10-&gt;Hillel - Basketball Out</v>
      </c>
      <c r="BI272" s="148" t="str">
        <f t="shared" si="217"/>
        <v>Basketball in Hillel - Basketball Out (COL1-ARG2)</v>
      </c>
      <c r="BJ272" s="148" t="str">
        <f t="shared" si="218"/>
        <v>Ch D Male Basketball-- CHILD DM - COL 1 vs. CHILD DM - ARG 2</v>
      </c>
      <c r="BK272" s="148" t="str">
        <f t="shared" si="219"/>
        <v>Basketball</v>
      </c>
      <c r="BL272" s="148" t="str">
        <f t="shared" si="220"/>
        <v>CHILD DM - COL 1</v>
      </c>
      <c r="BM272" s="148" t="str">
        <f t="shared" si="221"/>
        <v>CHILD DM - ARG 2</v>
      </c>
      <c r="BN272" s="148" t="str">
        <f t="shared" si="222"/>
        <v>Round - 1</v>
      </c>
      <c r="BP272" s="148" t="str">
        <f t="shared" si="223"/>
        <v>no t, f, or sf</v>
      </c>
      <c r="BQ272" s="148" t="str">
        <f t="shared" si="224"/>
        <v/>
      </c>
    </row>
    <row r="273" spans="1:69" ht="15" customHeight="1" x14ac:dyDescent="0.2">
      <c r="A273" s="376">
        <v>271</v>
      </c>
      <c r="B273" s="433" t="s">
        <v>54</v>
      </c>
      <c r="C273" s="444" t="s">
        <v>518</v>
      </c>
      <c r="D273" s="451">
        <v>1</v>
      </c>
      <c r="E273" s="451">
        <v>1</v>
      </c>
      <c r="F273" s="315" t="s">
        <v>770</v>
      </c>
      <c r="G273" s="445">
        <v>43063</v>
      </c>
      <c r="H273" s="454">
        <v>0.36805555555555558</v>
      </c>
      <c r="I273" s="325" t="s">
        <v>770</v>
      </c>
      <c r="J273" s="443" t="s">
        <v>696</v>
      </c>
      <c r="K273" s="315">
        <v>41</v>
      </c>
      <c r="L273" t="s">
        <v>602</v>
      </c>
      <c r="M273">
        <v>41</v>
      </c>
      <c r="N273" t="s">
        <v>600</v>
      </c>
      <c r="O273" s="153" t="str">
        <f>IF(L273&lt;&gt;"",IFERROR(VLOOKUP(B273&amp;L273,Pools!$A$2:$D$130,3,FALSE),""),"")</f>
        <v/>
      </c>
      <c r="P273" s="388">
        <v>21</v>
      </c>
      <c r="Q273" s="388">
        <v>18</v>
      </c>
      <c r="R273" s="306" t="str">
        <f t="shared" si="180"/>
        <v>21-18</v>
      </c>
      <c r="S273" s="153"/>
      <c r="T273" s="148" t="str">
        <f t="shared" si="181"/>
        <v>Completed</v>
      </c>
      <c r="U273" s="153"/>
      <c r="V273" s="153"/>
      <c r="W273" s="387">
        <f t="shared" si="182"/>
        <v>3</v>
      </c>
      <c r="X273" s="387">
        <f t="shared" si="183"/>
        <v>-3</v>
      </c>
      <c r="Y273" s="301">
        <f t="shared" si="184"/>
        <v>2</v>
      </c>
      <c r="Z273" s="301">
        <f t="shared" si="185"/>
        <v>0</v>
      </c>
      <c r="AA273" s="323" t="str">
        <f>CONCATENATE("                x[team1,team2,sport,'",IF(OR(I273="x",I273=""),VLOOKUP('Schedule from TM'!J273,Tables!$P$3:$Q$33,2,FALSE),'Schedule from TM'!I273),",",J273,"','",IF(OR(F273="x",F273=""),VLOOKUP('Schedule from TM'!G273,Tables!$U$3:$V$14,2,FALSE),'Schedule from TM'!F273),",",TEXT(G273,"mm/dd/yyyy"),"','",TEXT(H273,"h:mm:ss AM/PM"),"'].ub=0.0      #",B273)</f>
        <v xml:space="preserve">                x[team1,team2,sport,'11,JCC Gym North','11,11/24/2017','8:50:00 AM'].ub=0.0      #Ch D Male Basketball</v>
      </c>
      <c r="AB273" s="301" t="str">
        <f t="shared" si="186"/>
        <v>,,Ch D Male Basketball,,1,CHILD DM - VEN 2</v>
      </c>
      <c r="AC273" s="153" t="str">
        <f t="shared" si="187"/>
        <v>Ch D Male BasketballCHILD DM - VEN 2</v>
      </c>
      <c r="AD273" s="301" t="str">
        <f t="shared" si="188"/>
        <v>,,Ch D Male Basketball,,1,CHILD DM - ISR 1</v>
      </c>
      <c r="AE273" s="153" t="str">
        <f t="shared" si="189"/>
        <v>Ch D Male BasketballCHILD DM - ISR 1</v>
      </c>
      <c r="AF273" s="383">
        <f t="shared" si="190"/>
        <v>1</v>
      </c>
      <c r="AG273" s="383">
        <f t="shared" si="191"/>
        <v>0</v>
      </c>
      <c r="AH273" s="383">
        <f t="shared" si="192"/>
        <v>0</v>
      </c>
      <c r="AI273" s="383">
        <f t="shared" si="193"/>
        <v>0</v>
      </c>
      <c r="AJ273" s="383">
        <f t="shared" si="194"/>
        <v>1</v>
      </c>
      <c r="AK273" s="383">
        <f t="shared" si="195"/>
        <v>0</v>
      </c>
      <c r="AM273" s="148" t="str">
        <f t="shared" si="196"/>
        <v>Schedulled</v>
      </c>
      <c r="AN273" s="148" t="str">
        <f t="shared" si="197"/>
        <v/>
      </c>
      <c r="AO273" s="156">
        <f t="shared" si="198"/>
        <v>43063.368055555555</v>
      </c>
      <c r="AP273" s="148" t="str">
        <f t="shared" si="199"/>
        <v>11/24/2017 08:50-&gt;JCC Gym North</v>
      </c>
      <c r="AQ273" s="374">
        <f t="shared" si="200"/>
        <v>1</v>
      </c>
      <c r="AR273" s="148" t="str">
        <f t="shared" si="201"/>
        <v>VEN2</v>
      </c>
      <c r="AS273" s="148" t="str">
        <f t="shared" si="202"/>
        <v>ISR1</v>
      </c>
      <c r="AT273" s="157" t="str">
        <f t="shared" si="203"/>
        <v>VEN2-ISR1</v>
      </c>
      <c r="AU273" s="157" t="str">
        <f t="shared" si="204"/>
        <v xml:space="preserve">VEN2-ISR1 </v>
      </c>
      <c r="AV273" s="157" t="str">
        <f t="shared" si="205"/>
        <v>CHILDREN D MALE</v>
      </c>
      <c r="AW273" s="157" t="str">
        <f t="shared" si="206"/>
        <v>Basketball</v>
      </c>
      <c r="AX273" s="376">
        <f t="shared" si="207"/>
        <v>271</v>
      </c>
      <c r="AY273" s="148" t="str">
        <f t="shared" si="208"/>
        <v>CHILD DM - VEN 2-&gt;CHILD DM - ISR 1</v>
      </c>
      <c r="AZ273" s="148" t="str">
        <f t="shared" si="209"/>
        <v>11/24/2017 08:50-&gt;CHILD DM - VEN 2</v>
      </c>
      <c r="BA273" s="148" t="str">
        <f t="shared" si="210"/>
        <v>11/24/2017 08:50-&gt;CHILD DM - ISR 1</v>
      </c>
      <c r="BB273" s="374">
        <f t="shared" si="211"/>
        <v>1</v>
      </c>
      <c r="BC273" s="374">
        <f t="shared" si="212"/>
        <v>1</v>
      </c>
      <c r="BD273" s="148" t="str">
        <f t="shared" si="213"/>
        <v>no conflict</v>
      </c>
      <c r="BF273" s="148" t="str">
        <f t="shared" si="214"/>
        <v>11/24/2017 08:50-&gt;CHILD DM - VEN 2</v>
      </c>
      <c r="BG273" s="148" t="str">
        <f t="shared" si="215"/>
        <v>11/24/2017 08:50-&gt;CHILD DM - ISR 1</v>
      </c>
      <c r="BH273" s="148" t="str">
        <f t="shared" si="216"/>
        <v>11/24/2017 08:50-&gt;JCC Gym North</v>
      </c>
      <c r="BI273" s="148" t="str">
        <f t="shared" si="217"/>
        <v>Basketball in JCC Gym North (VEN2-ISR1)</v>
      </c>
      <c r="BJ273" s="148" t="str">
        <f t="shared" si="218"/>
        <v>Ch D Male Basketball-- CHILD DM - VEN 2 vs. CHILD DM - ISR 1</v>
      </c>
      <c r="BK273" s="148" t="str">
        <f t="shared" si="219"/>
        <v>Basketball</v>
      </c>
      <c r="BL273" s="148" t="str">
        <f t="shared" si="220"/>
        <v>CHILD DM - VEN 2</v>
      </c>
      <c r="BM273" s="148" t="str">
        <f t="shared" si="221"/>
        <v>CHILD DM - ISR 1</v>
      </c>
      <c r="BN273" s="148" t="str">
        <f t="shared" si="222"/>
        <v>Round - 1</v>
      </c>
      <c r="BP273" s="148" t="str">
        <f t="shared" si="223"/>
        <v>no t, f, or sf</v>
      </c>
      <c r="BQ273" s="148" t="str">
        <f t="shared" si="224"/>
        <v/>
      </c>
    </row>
    <row r="274" spans="1:69" ht="15" customHeight="1" x14ac:dyDescent="0.2">
      <c r="A274" s="376">
        <v>272</v>
      </c>
      <c r="B274" s="433" t="s">
        <v>54</v>
      </c>
      <c r="C274" s="444" t="s">
        <v>518</v>
      </c>
      <c r="D274" s="451">
        <v>1</v>
      </c>
      <c r="E274" s="451">
        <v>1</v>
      </c>
      <c r="F274" s="315" t="s">
        <v>770</v>
      </c>
      <c r="G274" s="445">
        <v>43063</v>
      </c>
      <c r="H274" s="454">
        <v>0.40277777777777773</v>
      </c>
      <c r="I274" s="325" t="s">
        <v>770</v>
      </c>
      <c r="J274" s="443" t="s">
        <v>709</v>
      </c>
      <c r="K274" s="315">
        <v>41</v>
      </c>
      <c r="L274" t="s">
        <v>598</v>
      </c>
      <c r="M274">
        <v>41</v>
      </c>
      <c r="N274" t="s">
        <v>595</v>
      </c>
      <c r="O274" s="153" t="str">
        <f>IF(L274&lt;&gt;"",IFERROR(VLOOKUP(B274&amp;L274,Pools!$A$2:$D$130,3,FALSE),""),"")</f>
        <v/>
      </c>
      <c r="P274" s="388">
        <v>4</v>
      </c>
      <c r="Q274" s="388">
        <v>24</v>
      </c>
      <c r="R274" s="306" t="str">
        <f t="shared" si="180"/>
        <v>4-24</v>
      </c>
      <c r="S274" s="153"/>
      <c r="T274" s="148" t="str">
        <f t="shared" si="181"/>
        <v>Completed</v>
      </c>
      <c r="U274" s="153"/>
      <c r="V274" s="153"/>
      <c r="W274" s="387">
        <f t="shared" si="182"/>
        <v>-15</v>
      </c>
      <c r="X274" s="387">
        <f t="shared" si="183"/>
        <v>15</v>
      </c>
      <c r="Y274" s="301">
        <f t="shared" si="184"/>
        <v>0</v>
      </c>
      <c r="Z274" s="301">
        <f t="shared" si="185"/>
        <v>2</v>
      </c>
      <c r="AA274" s="323" t="str">
        <f>CONCATENATE("                x[team1,team2,sport,'",IF(OR(I274="x",I274=""),VLOOKUP('Schedule from TM'!J274,Tables!$P$3:$Q$33,2,FALSE),'Schedule from TM'!I274),",",J274,"','",IF(OR(F274="x",F274=""),VLOOKUP('Schedule from TM'!G274,Tables!$U$3:$V$14,2,FALSE),'Schedule from TM'!F274),",",TEXT(G274,"mm/dd/yyyy"),"','",TEXT(H274,"h:mm:ss AM/PM"),"'].ub=0.0      #",B274)</f>
        <v xml:space="preserve">                x[team1,team2,sport,'11,JCC Basketball Out 2','11,11/24/2017','9:40:00 AM'].ub=0.0      #Ch D Male Basketball</v>
      </c>
      <c r="AB274" s="301" t="str">
        <f t="shared" si="186"/>
        <v>,,Ch D Male Basketball,,1,CHILD DM - ARG 2</v>
      </c>
      <c r="AC274" s="153" t="str">
        <f t="shared" si="187"/>
        <v>Ch D Male BasketballCHILD DM - ARG 2</v>
      </c>
      <c r="AD274" s="301" t="str">
        <f t="shared" si="188"/>
        <v>,,Ch D Male Basketball,,1,CHILD DM - USA 1</v>
      </c>
      <c r="AE274" s="153" t="str">
        <f t="shared" si="189"/>
        <v>Ch D Male BasketballCHILD DM - USA 1</v>
      </c>
      <c r="AF274" s="383">
        <f t="shared" si="190"/>
        <v>0</v>
      </c>
      <c r="AG274" s="383">
        <f t="shared" si="191"/>
        <v>1</v>
      </c>
      <c r="AH274" s="383">
        <f t="shared" si="192"/>
        <v>0</v>
      </c>
      <c r="AI274" s="383">
        <f t="shared" si="193"/>
        <v>1</v>
      </c>
      <c r="AJ274" s="383">
        <f t="shared" si="194"/>
        <v>0</v>
      </c>
      <c r="AK274" s="383">
        <f t="shared" si="195"/>
        <v>0</v>
      </c>
      <c r="AM274" s="148" t="str">
        <f t="shared" si="196"/>
        <v>Schedulled</v>
      </c>
      <c r="AN274" s="148" t="str">
        <f t="shared" si="197"/>
        <v/>
      </c>
      <c r="AO274" s="156">
        <f t="shared" si="198"/>
        <v>43063.402777777781</v>
      </c>
      <c r="AP274" s="148" t="str">
        <f t="shared" si="199"/>
        <v>11/24/2017 09:40-&gt;JCC Basketball Out 2</v>
      </c>
      <c r="AQ274" s="374">
        <f t="shared" si="200"/>
        <v>1</v>
      </c>
      <c r="AR274" s="148" t="str">
        <f t="shared" si="201"/>
        <v>ARG2</v>
      </c>
      <c r="AS274" s="148" t="str">
        <f t="shared" si="202"/>
        <v>USA1</v>
      </c>
      <c r="AT274" s="157" t="str">
        <f t="shared" si="203"/>
        <v>ARG2-USA1</v>
      </c>
      <c r="AU274" s="157" t="str">
        <f t="shared" si="204"/>
        <v xml:space="preserve">ARG2-USA1 </v>
      </c>
      <c r="AV274" s="157" t="str">
        <f t="shared" si="205"/>
        <v>CHILDREN D MALE</v>
      </c>
      <c r="AW274" s="157" t="str">
        <f t="shared" si="206"/>
        <v>Basketball</v>
      </c>
      <c r="AX274" s="376">
        <f t="shared" si="207"/>
        <v>272</v>
      </c>
      <c r="AY274" s="148" t="str">
        <f t="shared" si="208"/>
        <v>CHILD DM - ARG 2-&gt;CHILD DM - USA 1</v>
      </c>
      <c r="AZ274" s="148" t="str">
        <f t="shared" si="209"/>
        <v>11/24/2017 09:40-&gt;CHILD DM - ARG 2</v>
      </c>
      <c r="BA274" s="148" t="str">
        <f t="shared" si="210"/>
        <v>11/24/2017 09:40-&gt;CHILD DM - USA 1</v>
      </c>
      <c r="BB274" s="374">
        <f t="shared" si="211"/>
        <v>1</v>
      </c>
      <c r="BC274" s="374">
        <f t="shared" si="212"/>
        <v>1</v>
      </c>
      <c r="BD274" s="148" t="str">
        <f t="shared" si="213"/>
        <v>no conflict</v>
      </c>
      <c r="BF274" s="148" t="str">
        <f t="shared" si="214"/>
        <v>11/24/2017 09:40-&gt;CHILD DM - ARG 2</v>
      </c>
      <c r="BG274" s="148" t="str">
        <f t="shared" si="215"/>
        <v>11/24/2017 09:40-&gt;CHILD DM - USA 1</v>
      </c>
      <c r="BH274" s="148" t="str">
        <f t="shared" si="216"/>
        <v>11/24/2017 09:40-&gt;JCC Basketball Out 2</v>
      </c>
      <c r="BI274" s="148" t="str">
        <f t="shared" si="217"/>
        <v>Basketball in JCC Basketball Out 2 (ARG2-USA1)</v>
      </c>
      <c r="BJ274" s="148" t="str">
        <f t="shared" si="218"/>
        <v>Ch D Male Basketball-- CHILD DM - ARG 2 vs. CHILD DM - USA 1</v>
      </c>
      <c r="BK274" s="148" t="str">
        <f t="shared" si="219"/>
        <v>Basketball</v>
      </c>
      <c r="BL274" s="148" t="str">
        <f t="shared" si="220"/>
        <v>CHILD DM - ARG 2</v>
      </c>
      <c r="BM274" s="148" t="str">
        <f t="shared" si="221"/>
        <v>CHILD DM - USA 1</v>
      </c>
      <c r="BN274" s="148" t="str">
        <f t="shared" si="222"/>
        <v>Round - 1</v>
      </c>
      <c r="BP274" s="148" t="str">
        <f t="shared" si="223"/>
        <v>no t, f, or sf</v>
      </c>
      <c r="BQ274" s="148" t="str">
        <f t="shared" si="224"/>
        <v/>
      </c>
    </row>
    <row r="275" spans="1:69" ht="15" customHeight="1" x14ac:dyDescent="0.2">
      <c r="A275" s="376">
        <v>273</v>
      </c>
      <c r="B275" s="433" t="s">
        <v>54</v>
      </c>
      <c r="C275" s="444" t="s">
        <v>518</v>
      </c>
      <c r="D275" s="451">
        <v>1</v>
      </c>
      <c r="E275" s="451">
        <v>1</v>
      </c>
      <c r="F275" s="315" t="s">
        <v>770</v>
      </c>
      <c r="G275" s="445">
        <v>43063</v>
      </c>
      <c r="H275" s="454">
        <v>0.4375</v>
      </c>
      <c r="I275" s="325" t="s">
        <v>770</v>
      </c>
      <c r="J275" s="443" t="s">
        <v>709</v>
      </c>
      <c r="K275" s="315">
        <v>41</v>
      </c>
      <c r="L275" t="s">
        <v>597</v>
      </c>
      <c r="M275">
        <v>41</v>
      </c>
      <c r="N275" t="s">
        <v>594</v>
      </c>
      <c r="O275" s="153" t="str">
        <f>IF(L275&lt;&gt;"",IFERROR(VLOOKUP(B275&amp;L275,Pools!$A$2:$D$130,3,FALSE),""),"")</f>
        <v/>
      </c>
      <c r="P275" s="388">
        <v>6</v>
      </c>
      <c r="Q275" s="388">
        <v>14</v>
      </c>
      <c r="R275" s="306" t="str">
        <f t="shared" si="180"/>
        <v>6-14</v>
      </c>
      <c r="S275" s="153"/>
      <c r="T275" s="148" t="str">
        <f t="shared" si="181"/>
        <v>Completed</v>
      </c>
      <c r="U275" s="153"/>
      <c r="V275" s="153"/>
      <c r="W275" s="387">
        <f t="shared" si="182"/>
        <v>-8</v>
      </c>
      <c r="X275" s="387">
        <f t="shared" si="183"/>
        <v>8</v>
      </c>
      <c r="Y275" s="301">
        <f t="shared" si="184"/>
        <v>0</v>
      </c>
      <c r="Z275" s="301">
        <f t="shared" si="185"/>
        <v>2</v>
      </c>
      <c r="AA275" s="323" t="str">
        <f>CONCATENATE("                x[team1,team2,sport,'",IF(OR(I275="x",I275=""),VLOOKUP('Schedule from TM'!J275,Tables!$P$3:$Q$33,2,FALSE),'Schedule from TM'!I275),",",J275,"','",IF(OR(F275="x",F275=""),VLOOKUP('Schedule from TM'!G275,Tables!$U$3:$V$14,2,FALSE),'Schedule from TM'!F275),",",TEXT(G275,"mm/dd/yyyy"),"','",TEXT(H275,"h:mm:ss AM/PM"),"'].ub=0.0      #",B275)</f>
        <v xml:space="preserve">                x[team1,team2,sport,'11,JCC Basketball Out 2','11,11/24/2017','10:30:00 AM'].ub=0.0      #Ch D Male Basketball</v>
      </c>
      <c r="AB275" s="301" t="str">
        <f t="shared" si="186"/>
        <v>,,Ch D Male Basketball,,1,CHILD DM - VEN 1</v>
      </c>
      <c r="AC275" s="153" t="str">
        <f t="shared" si="187"/>
        <v>Ch D Male BasketballCHILD DM - VEN 1</v>
      </c>
      <c r="AD275" s="301" t="str">
        <f t="shared" si="188"/>
        <v>,,Ch D Male Basketball,,1,CHILD DM - PER</v>
      </c>
      <c r="AE275" s="153" t="str">
        <f t="shared" si="189"/>
        <v>Ch D Male BasketballCHILD DM - PER</v>
      </c>
      <c r="AF275" s="383">
        <f t="shared" si="190"/>
        <v>0</v>
      </c>
      <c r="AG275" s="383">
        <f t="shared" si="191"/>
        <v>1</v>
      </c>
      <c r="AH275" s="383">
        <f t="shared" si="192"/>
        <v>0</v>
      </c>
      <c r="AI275" s="383">
        <f t="shared" si="193"/>
        <v>1</v>
      </c>
      <c r="AJ275" s="383">
        <f t="shared" si="194"/>
        <v>0</v>
      </c>
      <c r="AK275" s="383">
        <f t="shared" si="195"/>
        <v>0</v>
      </c>
      <c r="AM275" s="148" t="str">
        <f t="shared" si="196"/>
        <v>Schedulled</v>
      </c>
      <c r="AN275" s="148" t="str">
        <f t="shared" si="197"/>
        <v/>
      </c>
      <c r="AO275" s="156">
        <f t="shared" si="198"/>
        <v>43063.4375</v>
      </c>
      <c r="AP275" s="148" t="str">
        <f t="shared" si="199"/>
        <v>11/24/2017 10:30-&gt;JCC Basketball Out 2</v>
      </c>
      <c r="AQ275" s="374">
        <f t="shared" si="200"/>
        <v>1</v>
      </c>
      <c r="AR275" s="148" t="str">
        <f t="shared" si="201"/>
        <v>VEN1</v>
      </c>
      <c r="AS275" s="148" t="str">
        <f t="shared" si="202"/>
        <v>PER</v>
      </c>
      <c r="AT275" s="157" t="str">
        <f t="shared" si="203"/>
        <v>VEN1-PER</v>
      </c>
      <c r="AU275" s="157" t="str">
        <f t="shared" si="204"/>
        <v xml:space="preserve">VEN1-PER </v>
      </c>
      <c r="AV275" s="157" t="str">
        <f t="shared" si="205"/>
        <v>CHILDREN D MALE</v>
      </c>
      <c r="AW275" s="157" t="str">
        <f t="shared" si="206"/>
        <v>Basketball</v>
      </c>
      <c r="AX275" s="376">
        <f t="shared" si="207"/>
        <v>273</v>
      </c>
      <c r="AY275" s="148" t="str">
        <f t="shared" si="208"/>
        <v>CHILD DM - VEN 1-&gt;CHILD DM - PER</v>
      </c>
      <c r="AZ275" s="148" t="str">
        <f t="shared" si="209"/>
        <v>11/24/2017 10:30-&gt;CHILD DM - VEN 1</v>
      </c>
      <c r="BA275" s="148" t="str">
        <f t="shared" si="210"/>
        <v>11/24/2017 10:30-&gt;CHILD DM - PER</v>
      </c>
      <c r="BB275" s="374">
        <f t="shared" si="211"/>
        <v>1</v>
      </c>
      <c r="BC275" s="374">
        <f t="shared" si="212"/>
        <v>1</v>
      </c>
      <c r="BD275" s="148" t="str">
        <f t="shared" si="213"/>
        <v>no conflict</v>
      </c>
      <c r="BF275" s="148" t="str">
        <f t="shared" si="214"/>
        <v>11/24/2017 10:30-&gt;CHILD DM - VEN 1</v>
      </c>
      <c r="BG275" s="148" t="str">
        <f t="shared" si="215"/>
        <v>11/24/2017 10:30-&gt;CHILD DM - PER</v>
      </c>
      <c r="BH275" s="148" t="str">
        <f t="shared" si="216"/>
        <v>11/24/2017 10:30-&gt;JCC Basketball Out 2</v>
      </c>
      <c r="BI275" s="148" t="str">
        <f t="shared" si="217"/>
        <v>Basketball in JCC Basketball Out 2 (VEN1-PER)</v>
      </c>
      <c r="BJ275" s="148" t="str">
        <f t="shared" si="218"/>
        <v>Ch D Male Basketball-- CHILD DM - VEN 1 vs. CHILD DM - PER</v>
      </c>
      <c r="BK275" s="148" t="str">
        <f t="shared" si="219"/>
        <v>Basketball</v>
      </c>
      <c r="BL275" s="148" t="str">
        <f t="shared" si="220"/>
        <v>CHILD DM - VEN 1</v>
      </c>
      <c r="BM275" s="148" t="str">
        <f t="shared" si="221"/>
        <v>CHILD DM - PER</v>
      </c>
      <c r="BN275" s="148" t="str">
        <f t="shared" si="222"/>
        <v>Round - 1</v>
      </c>
      <c r="BP275" s="148" t="str">
        <f t="shared" si="223"/>
        <v>no t, f, or sf</v>
      </c>
      <c r="BQ275" s="148" t="str">
        <f t="shared" si="224"/>
        <v/>
      </c>
    </row>
    <row r="276" spans="1:69" ht="15" customHeight="1" x14ac:dyDescent="0.2">
      <c r="A276" s="376">
        <v>274</v>
      </c>
      <c r="B276" s="433" t="s">
        <v>54</v>
      </c>
      <c r="C276" s="444" t="s">
        <v>518</v>
      </c>
      <c r="D276" s="451">
        <v>1</v>
      </c>
      <c r="E276" s="451">
        <v>1</v>
      </c>
      <c r="F276" s="315" t="s">
        <v>770</v>
      </c>
      <c r="G276" s="445">
        <v>43063</v>
      </c>
      <c r="H276" s="454">
        <v>0.33333333333333331</v>
      </c>
      <c r="I276" s="325" t="s">
        <v>770</v>
      </c>
      <c r="J276" s="443" t="s">
        <v>696</v>
      </c>
      <c r="K276" s="315">
        <v>41</v>
      </c>
      <c r="L276" t="s">
        <v>592</v>
      </c>
      <c r="M276">
        <v>41</v>
      </c>
      <c r="N276" t="s">
        <v>601</v>
      </c>
      <c r="O276" s="153" t="str">
        <f>IF(L276&lt;&gt;"",IFERROR(VLOOKUP(B276&amp;L276,Pools!$A$2:$D$130,3,FALSE),""),"")</f>
        <v/>
      </c>
      <c r="P276" s="388">
        <v>22</v>
      </c>
      <c r="Q276" s="388">
        <v>7</v>
      </c>
      <c r="R276" s="306" t="str">
        <f t="shared" si="180"/>
        <v>22-7</v>
      </c>
      <c r="S276" s="153"/>
      <c r="T276" s="148" t="str">
        <f t="shared" si="181"/>
        <v>Completed</v>
      </c>
      <c r="U276" s="153"/>
      <c r="V276" s="153"/>
      <c r="W276" s="387">
        <f t="shared" si="182"/>
        <v>15</v>
      </c>
      <c r="X276" s="387">
        <f t="shared" si="183"/>
        <v>-15</v>
      </c>
      <c r="Y276" s="301">
        <f t="shared" si="184"/>
        <v>2</v>
      </c>
      <c r="Z276" s="301">
        <f t="shared" si="185"/>
        <v>0</v>
      </c>
      <c r="AA276" s="323" t="str">
        <f>CONCATENATE("                x[team1,team2,sport,'",IF(OR(I276="x",I276=""),VLOOKUP('Schedule from TM'!J276,Tables!$P$3:$Q$33,2,FALSE),'Schedule from TM'!I276),",",J276,"','",IF(OR(F276="x",F276=""),VLOOKUP('Schedule from TM'!G276,Tables!$U$3:$V$14,2,FALSE),'Schedule from TM'!F276),",",TEXT(G276,"mm/dd/yyyy"),"','",TEXT(H276,"h:mm:ss AM/PM"),"'].ub=0.0      #",B276)</f>
        <v xml:space="preserve">                x[team1,team2,sport,'11,JCC Gym North','11,11/24/2017','8:00:00 AM'].ub=0.0      #Ch D Male Basketball</v>
      </c>
      <c r="AB276" s="301" t="str">
        <f t="shared" si="186"/>
        <v>,,Ch D Male Basketball,,1,CHILD DM - ARG 1</v>
      </c>
      <c r="AC276" s="153" t="str">
        <f t="shared" si="187"/>
        <v>Ch D Male BasketballCHILD DM - ARG 1</v>
      </c>
      <c r="AD276" s="301" t="str">
        <f t="shared" si="188"/>
        <v>,,Ch D Male Basketball,,1,CHILD DM - MEX</v>
      </c>
      <c r="AE276" s="153" t="str">
        <f t="shared" si="189"/>
        <v>Ch D Male BasketballCHILD DM - MEX</v>
      </c>
      <c r="AF276" s="383">
        <f t="shared" si="190"/>
        <v>1</v>
      </c>
      <c r="AG276" s="383">
        <f t="shared" si="191"/>
        <v>0</v>
      </c>
      <c r="AH276" s="383">
        <f t="shared" si="192"/>
        <v>0</v>
      </c>
      <c r="AI276" s="383">
        <f t="shared" si="193"/>
        <v>0</v>
      </c>
      <c r="AJ276" s="383">
        <f t="shared" si="194"/>
        <v>1</v>
      </c>
      <c r="AK276" s="383">
        <f t="shared" si="195"/>
        <v>0</v>
      </c>
      <c r="AM276" s="148" t="str">
        <f t="shared" si="196"/>
        <v>Schedulled</v>
      </c>
      <c r="AN276" s="148" t="str">
        <f t="shared" si="197"/>
        <v/>
      </c>
      <c r="AO276" s="156">
        <f t="shared" si="198"/>
        <v>43063.333333333336</v>
      </c>
      <c r="AP276" s="148" t="str">
        <f t="shared" si="199"/>
        <v>11/24/2017 08:00-&gt;JCC Gym North</v>
      </c>
      <c r="AQ276" s="374">
        <f t="shared" si="200"/>
        <v>1</v>
      </c>
      <c r="AR276" s="148" t="str">
        <f t="shared" si="201"/>
        <v>ARG1</v>
      </c>
      <c r="AS276" s="148" t="str">
        <f t="shared" si="202"/>
        <v>MEX</v>
      </c>
      <c r="AT276" s="157" t="str">
        <f t="shared" si="203"/>
        <v>ARG1-MEX</v>
      </c>
      <c r="AU276" s="157" t="str">
        <f t="shared" si="204"/>
        <v xml:space="preserve">ARG1-MEX </v>
      </c>
      <c r="AV276" s="157" t="str">
        <f t="shared" si="205"/>
        <v>CHILDREN D MALE</v>
      </c>
      <c r="AW276" s="157" t="str">
        <f t="shared" si="206"/>
        <v>Basketball</v>
      </c>
      <c r="AX276" s="376">
        <f t="shared" si="207"/>
        <v>274</v>
      </c>
      <c r="AY276" s="148" t="str">
        <f t="shared" si="208"/>
        <v>CHILD DM - ARG 1-&gt;CHILD DM - MEX</v>
      </c>
      <c r="AZ276" s="148" t="str">
        <f t="shared" si="209"/>
        <v>11/24/2017 08:00-&gt;CHILD DM - ARG 1</v>
      </c>
      <c r="BA276" s="148" t="str">
        <f t="shared" si="210"/>
        <v>11/24/2017 08:00-&gt;CHILD DM - MEX</v>
      </c>
      <c r="BB276" s="374">
        <f t="shared" si="211"/>
        <v>1</v>
      </c>
      <c r="BC276" s="374">
        <f t="shared" si="212"/>
        <v>1</v>
      </c>
      <c r="BD276" s="148" t="str">
        <f t="shared" si="213"/>
        <v>no conflict</v>
      </c>
      <c r="BF276" s="148" t="str">
        <f t="shared" si="214"/>
        <v>11/24/2017 08:00-&gt;CHILD DM - ARG 1</v>
      </c>
      <c r="BG276" s="148" t="str">
        <f t="shared" si="215"/>
        <v>11/24/2017 08:00-&gt;CHILD DM - MEX</v>
      </c>
      <c r="BH276" s="148" t="str">
        <f t="shared" si="216"/>
        <v>11/24/2017 08:00-&gt;JCC Gym North</v>
      </c>
      <c r="BI276" s="148" t="str">
        <f t="shared" si="217"/>
        <v>Basketball in JCC Gym North (ARG1-MEX)</v>
      </c>
      <c r="BJ276" s="148" t="str">
        <f t="shared" si="218"/>
        <v>Ch D Male Basketball-- CHILD DM - ARG 1 vs. CHILD DM - MEX</v>
      </c>
      <c r="BK276" s="148" t="str">
        <f t="shared" si="219"/>
        <v>Basketball</v>
      </c>
      <c r="BL276" s="148" t="str">
        <f t="shared" si="220"/>
        <v>CHILD DM - ARG 1</v>
      </c>
      <c r="BM276" s="148" t="str">
        <f t="shared" si="221"/>
        <v>CHILD DM - MEX</v>
      </c>
      <c r="BN276" s="148" t="str">
        <f t="shared" si="222"/>
        <v>Round - 1</v>
      </c>
      <c r="BP276" s="148" t="str">
        <f t="shared" si="223"/>
        <v>no t, f, or sf</v>
      </c>
      <c r="BQ276" s="148" t="str">
        <f t="shared" si="224"/>
        <v/>
      </c>
    </row>
    <row r="277" spans="1:69" ht="15" customHeight="1" x14ac:dyDescent="0.2">
      <c r="A277" s="376">
        <v>275</v>
      </c>
      <c r="B277" s="433" t="s">
        <v>54</v>
      </c>
      <c r="C277" s="444" t="s">
        <v>518</v>
      </c>
      <c r="D277" s="451">
        <v>1</v>
      </c>
      <c r="E277" s="451">
        <v>1</v>
      </c>
      <c r="F277" s="315" t="s">
        <v>770</v>
      </c>
      <c r="G277" s="445">
        <v>43063</v>
      </c>
      <c r="H277" s="454">
        <v>0.40277777777777773</v>
      </c>
      <c r="I277" s="325" t="s">
        <v>770</v>
      </c>
      <c r="J277" s="444" t="s">
        <v>702</v>
      </c>
      <c r="K277" s="315">
        <v>41</v>
      </c>
      <c r="L277" t="s">
        <v>599</v>
      </c>
      <c r="M277">
        <v>41</v>
      </c>
      <c r="N277" t="s">
        <v>594</v>
      </c>
      <c r="O277" s="153" t="str">
        <f>IF(L277&lt;&gt;"",IFERROR(VLOOKUP(B277&amp;L277,Pools!$A$2:$D$130,3,FALSE),""),"")</f>
        <v/>
      </c>
      <c r="P277" s="388">
        <v>25</v>
      </c>
      <c r="Q277" s="388">
        <v>26</v>
      </c>
      <c r="R277" s="306" t="str">
        <f t="shared" si="180"/>
        <v>25-26</v>
      </c>
      <c r="S277" s="153"/>
      <c r="T277" s="148" t="str">
        <f t="shared" si="181"/>
        <v>Completed</v>
      </c>
      <c r="U277" s="153"/>
      <c r="V277" s="153"/>
      <c r="W277" s="387">
        <f t="shared" si="182"/>
        <v>-1</v>
      </c>
      <c r="X277" s="387">
        <f t="shared" si="183"/>
        <v>1</v>
      </c>
      <c r="Y277" s="301">
        <f t="shared" si="184"/>
        <v>0</v>
      </c>
      <c r="Z277" s="301">
        <f t="shared" si="185"/>
        <v>2</v>
      </c>
      <c r="AA277" s="323" t="str">
        <f>CONCATENATE("                x[team1,team2,sport,'",IF(OR(I277="x",I277=""),VLOOKUP('Schedule from TM'!J277,Tables!$P$3:$Q$33,2,FALSE),'Schedule from TM'!I277),",",J277,"','",IF(OR(F277="x",F277=""),VLOOKUP('Schedule from TM'!G277,Tables!$U$3:$V$14,2,FALSE),'Schedule from TM'!F277),",",TEXT(G277,"mm/dd/yyyy"),"','",TEXT(H277,"h:mm:ss AM/PM"),"'].ub=0.0      #",B277)</f>
        <v xml:space="preserve">                x[team1,team2,sport,'22,Hillel - Basketball Out','11,11/24/2017','9:40:00 AM'].ub=0.0      #Ch D Male Basketball</v>
      </c>
      <c r="AB277" s="301" t="str">
        <f t="shared" si="186"/>
        <v>,,Ch D Male Basketball,,1,CHILD DM - COL 2</v>
      </c>
      <c r="AC277" s="153" t="str">
        <f t="shared" si="187"/>
        <v>Ch D Male BasketballCHILD DM - COL 2</v>
      </c>
      <c r="AD277" s="301" t="str">
        <f t="shared" si="188"/>
        <v>,,Ch D Male Basketball,,1,CHILD DM - PER</v>
      </c>
      <c r="AE277" s="153" t="str">
        <f t="shared" si="189"/>
        <v>Ch D Male BasketballCHILD DM - PER</v>
      </c>
      <c r="AF277" s="383">
        <f t="shared" si="190"/>
        <v>0</v>
      </c>
      <c r="AG277" s="383">
        <f t="shared" si="191"/>
        <v>1</v>
      </c>
      <c r="AH277" s="383">
        <f t="shared" si="192"/>
        <v>0</v>
      </c>
      <c r="AI277" s="383">
        <f t="shared" si="193"/>
        <v>1</v>
      </c>
      <c r="AJ277" s="383">
        <f t="shared" si="194"/>
        <v>0</v>
      </c>
      <c r="AK277" s="383">
        <f t="shared" si="195"/>
        <v>0</v>
      </c>
      <c r="AM277" s="148" t="str">
        <f t="shared" si="196"/>
        <v>Schedulled</v>
      </c>
      <c r="AN277" s="148" t="str">
        <f t="shared" si="197"/>
        <v/>
      </c>
      <c r="AO277" s="156">
        <f t="shared" si="198"/>
        <v>43063.402777777781</v>
      </c>
      <c r="AP277" s="148" t="str">
        <f t="shared" si="199"/>
        <v>11/24/2017 09:40-&gt;Hillel - Basketball Out</v>
      </c>
      <c r="AQ277" s="374">
        <f t="shared" si="200"/>
        <v>1</v>
      </c>
      <c r="AR277" s="148" t="str">
        <f t="shared" si="201"/>
        <v>COL2</v>
      </c>
      <c r="AS277" s="148" t="str">
        <f t="shared" si="202"/>
        <v>PER</v>
      </c>
      <c r="AT277" s="157" t="str">
        <f t="shared" si="203"/>
        <v>COL2-PER</v>
      </c>
      <c r="AU277" s="157" t="str">
        <f t="shared" si="204"/>
        <v xml:space="preserve">COL2-PER </v>
      </c>
      <c r="AV277" s="157" t="str">
        <f t="shared" si="205"/>
        <v>CHILDREN D MALE</v>
      </c>
      <c r="AW277" s="157" t="str">
        <f t="shared" si="206"/>
        <v>Basketball</v>
      </c>
      <c r="AX277" s="376">
        <f t="shared" si="207"/>
        <v>275</v>
      </c>
      <c r="AY277" s="148" t="str">
        <f t="shared" si="208"/>
        <v>CHILD DM - COL 2-&gt;CHILD DM - PER</v>
      </c>
      <c r="AZ277" s="148" t="str">
        <f t="shared" si="209"/>
        <v>11/24/2017 09:40-&gt;CHILD DM - COL 2</v>
      </c>
      <c r="BA277" s="148" t="str">
        <f t="shared" si="210"/>
        <v>11/24/2017 09:40-&gt;CHILD DM - PER</v>
      </c>
      <c r="BB277" s="374">
        <f t="shared" si="211"/>
        <v>1</v>
      </c>
      <c r="BC277" s="374">
        <f t="shared" si="212"/>
        <v>1</v>
      </c>
      <c r="BD277" s="148" t="str">
        <f t="shared" si="213"/>
        <v>no conflict</v>
      </c>
      <c r="BF277" s="148" t="str">
        <f t="shared" si="214"/>
        <v>11/24/2017 09:40-&gt;CHILD DM - COL 2</v>
      </c>
      <c r="BG277" s="148" t="str">
        <f t="shared" si="215"/>
        <v>11/24/2017 09:40-&gt;CHILD DM - PER</v>
      </c>
      <c r="BH277" s="148" t="str">
        <f t="shared" si="216"/>
        <v>11/24/2017 09:40-&gt;Hillel - Basketball Out</v>
      </c>
      <c r="BI277" s="148" t="str">
        <f t="shared" si="217"/>
        <v>Basketball in Hillel - Basketball Out (COL2-PER)</v>
      </c>
      <c r="BJ277" s="148" t="str">
        <f t="shared" si="218"/>
        <v>Ch D Male Basketball-- CHILD DM - COL 2 vs. CHILD DM - PER</v>
      </c>
      <c r="BK277" s="148" t="str">
        <f t="shared" si="219"/>
        <v>Basketball</v>
      </c>
      <c r="BL277" s="148" t="str">
        <f t="shared" si="220"/>
        <v>CHILD DM - COL 2</v>
      </c>
      <c r="BM277" s="148" t="str">
        <f t="shared" si="221"/>
        <v>CHILD DM - PER</v>
      </c>
      <c r="BN277" s="148" t="str">
        <f t="shared" si="222"/>
        <v>Round - 1</v>
      </c>
      <c r="BP277" s="148" t="str">
        <f t="shared" si="223"/>
        <v>no t, f, or sf</v>
      </c>
      <c r="BQ277" s="148" t="str">
        <f t="shared" si="224"/>
        <v/>
      </c>
    </row>
    <row r="278" spans="1:69" ht="15" customHeight="1" x14ac:dyDescent="0.2">
      <c r="A278" s="376">
        <v>276</v>
      </c>
      <c r="B278" s="444" t="s">
        <v>54</v>
      </c>
      <c r="C278" s="444" t="s">
        <v>518</v>
      </c>
      <c r="D278" s="451">
        <v>1</v>
      </c>
      <c r="E278" s="451">
        <v>1</v>
      </c>
      <c r="F278" s="315" t="s">
        <v>770</v>
      </c>
      <c r="G278" s="445">
        <v>43063</v>
      </c>
      <c r="H278" s="454">
        <v>0.54166666666666663</v>
      </c>
      <c r="I278" s="325" t="s">
        <v>770</v>
      </c>
      <c r="J278" s="444" t="s">
        <v>702</v>
      </c>
      <c r="K278" s="315">
        <v>41</v>
      </c>
      <c r="L278" t="s">
        <v>592</v>
      </c>
      <c r="M278">
        <v>41</v>
      </c>
      <c r="N278" t="s">
        <v>597</v>
      </c>
      <c r="O278" s="153" t="str">
        <f>IF(L278&lt;&gt;"",IFERROR(VLOOKUP(B278&amp;L278,Pools!$A$2:$D$130,3,FALSE),""),"")</f>
        <v/>
      </c>
      <c r="P278" s="388">
        <v>25</v>
      </c>
      <c r="Q278" s="388">
        <v>4</v>
      </c>
      <c r="R278" s="306" t="str">
        <f t="shared" si="180"/>
        <v>25-4</v>
      </c>
      <c r="S278" s="153"/>
      <c r="T278" s="148" t="str">
        <f t="shared" si="181"/>
        <v>Completed</v>
      </c>
      <c r="U278" s="153"/>
      <c r="V278" s="153"/>
      <c r="W278" s="387">
        <f t="shared" si="182"/>
        <v>15</v>
      </c>
      <c r="X278" s="387">
        <f t="shared" si="183"/>
        <v>-15</v>
      </c>
      <c r="Y278" s="301">
        <f t="shared" si="184"/>
        <v>2</v>
      </c>
      <c r="Z278" s="301">
        <f t="shared" si="185"/>
        <v>0</v>
      </c>
      <c r="AA278" s="323" t="str">
        <f>CONCATENATE("                x[team1,team2,sport,'",IF(OR(I278="x",I278=""),VLOOKUP('Schedule from TM'!J278,Tables!$P$3:$Q$33,2,FALSE),'Schedule from TM'!I278),",",J278,"','",IF(OR(F278="x",F278=""),VLOOKUP('Schedule from TM'!G278,Tables!$U$3:$V$14,2,FALSE),'Schedule from TM'!F278),",",TEXT(G278,"mm/dd/yyyy"),"','",TEXT(H278,"h:mm:ss AM/PM"),"'].ub=0.0      #",B278)</f>
        <v xml:space="preserve">                x[team1,team2,sport,'22,Hillel - Basketball Out','11,11/24/2017','1:00:00 PM'].ub=0.0      #Ch D Male Basketball</v>
      </c>
      <c r="AB278" s="301" t="str">
        <f t="shared" si="186"/>
        <v>,,Ch D Male Basketball,,1,CHILD DM - ARG 1</v>
      </c>
      <c r="AC278" s="153" t="str">
        <f t="shared" si="187"/>
        <v>Ch D Male BasketballCHILD DM - ARG 1</v>
      </c>
      <c r="AD278" s="301" t="str">
        <f t="shared" si="188"/>
        <v>,,Ch D Male Basketball,,1,CHILD DM - VEN 1</v>
      </c>
      <c r="AE278" s="153" t="str">
        <f t="shared" si="189"/>
        <v>Ch D Male BasketballCHILD DM - VEN 1</v>
      </c>
      <c r="AF278" s="383">
        <f t="shared" si="190"/>
        <v>1</v>
      </c>
      <c r="AG278" s="383">
        <f t="shared" si="191"/>
        <v>0</v>
      </c>
      <c r="AH278" s="383">
        <f t="shared" si="192"/>
        <v>0</v>
      </c>
      <c r="AI278" s="383">
        <f t="shared" si="193"/>
        <v>0</v>
      </c>
      <c r="AJ278" s="383">
        <f t="shared" si="194"/>
        <v>1</v>
      </c>
      <c r="AK278" s="383">
        <f t="shared" si="195"/>
        <v>0</v>
      </c>
      <c r="AM278" s="148" t="str">
        <f t="shared" si="196"/>
        <v>Schedulled</v>
      </c>
      <c r="AN278" s="148" t="str">
        <f t="shared" si="197"/>
        <v/>
      </c>
      <c r="AO278" s="156">
        <f t="shared" si="198"/>
        <v>43063.541666666664</v>
      </c>
      <c r="AP278" s="148" t="str">
        <f t="shared" si="199"/>
        <v>11/24/2017 13:00-&gt;Hillel - Basketball Out</v>
      </c>
      <c r="AQ278" s="374">
        <f t="shared" si="200"/>
        <v>1</v>
      </c>
      <c r="AR278" s="148" t="str">
        <f t="shared" si="201"/>
        <v>ARG1</v>
      </c>
      <c r="AS278" s="148" t="str">
        <f t="shared" si="202"/>
        <v>VEN1</v>
      </c>
      <c r="AT278" s="157" t="str">
        <f t="shared" si="203"/>
        <v>ARG1-VEN1</v>
      </c>
      <c r="AU278" s="157" t="str">
        <f t="shared" si="204"/>
        <v xml:space="preserve">ARG1-VEN1 </v>
      </c>
      <c r="AV278" s="157" t="str">
        <f t="shared" si="205"/>
        <v>CHILDREN D MALE</v>
      </c>
      <c r="AW278" s="157" t="str">
        <f t="shared" si="206"/>
        <v>Basketball</v>
      </c>
      <c r="AX278" s="376">
        <f t="shared" si="207"/>
        <v>276</v>
      </c>
      <c r="AY278" s="148" t="str">
        <f t="shared" si="208"/>
        <v>CHILD DM - ARG 1-&gt;CHILD DM - VEN 1</v>
      </c>
      <c r="AZ278" s="148" t="str">
        <f t="shared" si="209"/>
        <v>11/24/2017 13:00-&gt;CHILD DM - ARG 1</v>
      </c>
      <c r="BA278" s="148" t="str">
        <f t="shared" si="210"/>
        <v>11/24/2017 13:00-&gt;CHILD DM - VEN 1</v>
      </c>
      <c r="BB278" s="374">
        <f t="shared" si="211"/>
        <v>1</v>
      </c>
      <c r="BC278" s="374">
        <f t="shared" si="212"/>
        <v>1</v>
      </c>
      <c r="BD278" s="148" t="str">
        <f t="shared" si="213"/>
        <v>no conflict</v>
      </c>
      <c r="BF278" s="148" t="str">
        <f t="shared" si="214"/>
        <v>11/24/2017 13:00-&gt;CHILD DM - ARG 1</v>
      </c>
      <c r="BG278" s="148" t="str">
        <f t="shared" si="215"/>
        <v>11/24/2017 13:00-&gt;CHILD DM - VEN 1</v>
      </c>
      <c r="BH278" s="148" t="str">
        <f t="shared" si="216"/>
        <v>11/24/2017 13:00-&gt;Hillel - Basketball Out</v>
      </c>
      <c r="BI278" s="148" t="str">
        <f t="shared" si="217"/>
        <v>Basketball in Hillel - Basketball Out (ARG1-VEN1)</v>
      </c>
      <c r="BJ278" s="148" t="str">
        <f t="shared" si="218"/>
        <v>Ch D Male Basketball-- CHILD DM - ARG 1 vs. CHILD DM - VEN 1</v>
      </c>
      <c r="BK278" s="148" t="str">
        <f t="shared" si="219"/>
        <v>Basketball</v>
      </c>
      <c r="BL278" s="148" t="str">
        <f t="shared" si="220"/>
        <v>CHILD DM - ARG 1</v>
      </c>
      <c r="BM278" s="148" t="str">
        <f t="shared" si="221"/>
        <v>CHILD DM - VEN 1</v>
      </c>
      <c r="BN278" s="148" t="str">
        <f t="shared" si="222"/>
        <v>Round - 1</v>
      </c>
      <c r="BP278" s="148" t="str">
        <f t="shared" si="223"/>
        <v>no t, f, or sf</v>
      </c>
      <c r="BQ278" s="148" t="str">
        <f t="shared" si="224"/>
        <v/>
      </c>
    </row>
    <row r="279" spans="1:69" ht="15" customHeight="1" x14ac:dyDescent="0.2">
      <c r="A279" s="376">
        <v>277</v>
      </c>
      <c r="B279" s="444" t="s">
        <v>54</v>
      </c>
      <c r="C279" s="444" t="s">
        <v>518</v>
      </c>
      <c r="D279" s="451">
        <v>1</v>
      </c>
      <c r="E279" s="451">
        <v>1</v>
      </c>
      <c r="F279" s="315" t="s">
        <v>770</v>
      </c>
      <c r="G279" s="445">
        <v>43063</v>
      </c>
      <c r="H279" s="454">
        <v>0.57638888888888895</v>
      </c>
      <c r="I279" s="325" t="s">
        <v>770</v>
      </c>
      <c r="J279" s="444" t="s">
        <v>702</v>
      </c>
      <c r="K279" s="315">
        <v>41</v>
      </c>
      <c r="L279" t="s">
        <v>593</v>
      </c>
      <c r="M279">
        <v>41</v>
      </c>
      <c r="N279" t="s">
        <v>602</v>
      </c>
      <c r="O279" s="153" t="str">
        <f>IF(L279&lt;&gt;"",IFERROR(VLOOKUP(B279&amp;L279,Pools!$A$2:$D$130,3,FALSE),""),"")</f>
        <v/>
      </c>
      <c r="P279" s="388">
        <v>8</v>
      </c>
      <c r="Q279" s="388">
        <v>15</v>
      </c>
      <c r="R279" s="306" t="str">
        <f t="shared" si="180"/>
        <v>8-15</v>
      </c>
      <c r="S279" s="153"/>
      <c r="T279" s="148" t="str">
        <f t="shared" si="181"/>
        <v>Completed</v>
      </c>
      <c r="U279" s="153"/>
      <c r="V279" s="153"/>
      <c r="W279" s="387">
        <f t="shared" si="182"/>
        <v>-7</v>
      </c>
      <c r="X279" s="387">
        <f t="shared" si="183"/>
        <v>7</v>
      </c>
      <c r="Y279" s="301">
        <f t="shared" si="184"/>
        <v>0</v>
      </c>
      <c r="Z279" s="301">
        <f t="shared" si="185"/>
        <v>2</v>
      </c>
      <c r="AA279" s="323" t="str">
        <f>CONCATENATE("                x[team1,team2,sport,'",IF(OR(I279="x",I279=""),VLOOKUP('Schedule from TM'!J279,Tables!$P$3:$Q$33,2,FALSE),'Schedule from TM'!I279),",",J279,"','",IF(OR(F279="x",F279=""),VLOOKUP('Schedule from TM'!G279,Tables!$U$3:$V$14,2,FALSE),'Schedule from TM'!F279),",",TEXT(G279,"mm/dd/yyyy"),"','",TEXT(H279,"h:mm:ss AM/PM"),"'].ub=0.0      #",B279)</f>
        <v xml:space="preserve">                x[team1,team2,sport,'22,Hillel - Basketball Out','11,11/24/2017','1:50:00 PM'].ub=0.0      #Ch D Male Basketball</v>
      </c>
      <c r="AB279" s="301" t="str">
        <f t="shared" si="186"/>
        <v>,,Ch D Male Basketball,,1,CHILD DM - COL 1</v>
      </c>
      <c r="AC279" s="153" t="str">
        <f t="shared" si="187"/>
        <v>Ch D Male BasketballCHILD DM - COL 1</v>
      </c>
      <c r="AD279" s="301" t="str">
        <f t="shared" si="188"/>
        <v>,,Ch D Male Basketball,,1,CHILD DM - VEN 2</v>
      </c>
      <c r="AE279" s="153" t="str">
        <f t="shared" si="189"/>
        <v>Ch D Male BasketballCHILD DM - VEN 2</v>
      </c>
      <c r="AF279" s="383">
        <f t="shared" si="190"/>
        <v>0</v>
      </c>
      <c r="AG279" s="383">
        <f t="shared" si="191"/>
        <v>1</v>
      </c>
      <c r="AH279" s="383">
        <f t="shared" si="192"/>
        <v>0</v>
      </c>
      <c r="AI279" s="383">
        <f t="shared" si="193"/>
        <v>1</v>
      </c>
      <c r="AJ279" s="383">
        <f t="shared" si="194"/>
        <v>0</v>
      </c>
      <c r="AK279" s="383">
        <f t="shared" si="195"/>
        <v>0</v>
      </c>
      <c r="AM279" s="148" t="str">
        <f t="shared" si="196"/>
        <v>Schedulled</v>
      </c>
      <c r="AN279" s="148" t="str">
        <f t="shared" si="197"/>
        <v/>
      </c>
      <c r="AO279" s="156">
        <f t="shared" si="198"/>
        <v>43063.576388888891</v>
      </c>
      <c r="AP279" s="148" t="str">
        <f t="shared" si="199"/>
        <v>11/24/2017 13:50-&gt;Hillel - Basketball Out</v>
      </c>
      <c r="AQ279" s="374">
        <f t="shared" si="200"/>
        <v>1</v>
      </c>
      <c r="AR279" s="148" t="str">
        <f t="shared" si="201"/>
        <v>COL1</v>
      </c>
      <c r="AS279" s="148" t="str">
        <f t="shared" si="202"/>
        <v>VEN2</v>
      </c>
      <c r="AT279" s="157" t="str">
        <f t="shared" si="203"/>
        <v>COL1-VEN2</v>
      </c>
      <c r="AU279" s="157" t="str">
        <f t="shared" si="204"/>
        <v xml:space="preserve">COL1-VEN2 </v>
      </c>
      <c r="AV279" s="157" t="str">
        <f t="shared" si="205"/>
        <v>CHILDREN D MALE</v>
      </c>
      <c r="AW279" s="157" t="str">
        <f t="shared" si="206"/>
        <v>Basketball</v>
      </c>
      <c r="AX279" s="376">
        <f t="shared" si="207"/>
        <v>277</v>
      </c>
      <c r="AY279" s="148" t="str">
        <f t="shared" si="208"/>
        <v>CHILD DM - COL 1-&gt;CHILD DM - VEN 2</v>
      </c>
      <c r="AZ279" s="148" t="str">
        <f t="shared" si="209"/>
        <v>11/24/2017 13:50-&gt;CHILD DM - COL 1</v>
      </c>
      <c r="BA279" s="148" t="str">
        <f t="shared" si="210"/>
        <v>11/24/2017 13:50-&gt;CHILD DM - VEN 2</v>
      </c>
      <c r="BB279" s="374">
        <f t="shared" si="211"/>
        <v>1</v>
      </c>
      <c r="BC279" s="374">
        <f t="shared" si="212"/>
        <v>1</v>
      </c>
      <c r="BD279" s="148" t="str">
        <f t="shared" si="213"/>
        <v>no conflict</v>
      </c>
      <c r="BF279" s="148" t="str">
        <f t="shared" si="214"/>
        <v>11/24/2017 13:50-&gt;CHILD DM - COL 1</v>
      </c>
      <c r="BG279" s="148" t="str">
        <f t="shared" si="215"/>
        <v>11/24/2017 13:50-&gt;CHILD DM - VEN 2</v>
      </c>
      <c r="BH279" s="148" t="str">
        <f t="shared" si="216"/>
        <v>11/24/2017 13:50-&gt;Hillel - Basketball Out</v>
      </c>
      <c r="BI279" s="148" t="str">
        <f t="shared" si="217"/>
        <v>Basketball in Hillel - Basketball Out (COL1-VEN2)</v>
      </c>
      <c r="BJ279" s="148" t="str">
        <f t="shared" si="218"/>
        <v>Ch D Male Basketball-- CHILD DM - COL 1 vs. CHILD DM - VEN 2</v>
      </c>
      <c r="BK279" s="148" t="str">
        <f t="shared" si="219"/>
        <v>Basketball</v>
      </c>
      <c r="BL279" s="148" t="str">
        <f t="shared" si="220"/>
        <v>CHILD DM - COL 1</v>
      </c>
      <c r="BM279" s="148" t="str">
        <f t="shared" si="221"/>
        <v>CHILD DM - VEN 2</v>
      </c>
      <c r="BN279" s="148" t="str">
        <f t="shared" si="222"/>
        <v>Round - 1</v>
      </c>
      <c r="BP279" s="148" t="str">
        <f t="shared" si="223"/>
        <v>no t, f, or sf</v>
      </c>
      <c r="BQ279" s="148" t="str">
        <f t="shared" si="224"/>
        <v/>
      </c>
    </row>
    <row r="280" spans="1:69" ht="15" customHeight="1" x14ac:dyDescent="0.2">
      <c r="A280" s="376">
        <v>278</v>
      </c>
      <c r="B280" s="433" t="s">
        <v>55</v>
      </c>
      <c r="C280" s="444" t="s">
        <v>518</v>
      </c>
      <c r="D280" s="451">
        <v>1</v>
      </c>
      <c r="E280" s="451">
        <v>1</v>
      </c>
      <c r="F280" s="315" t="s">
        <v>770</v>
      </c>
      <c r="G280" s="445">
        <v>43058</v>
      </c>
      <c r="H280" s="317">
        <v>0.57638888888888895</v>
      </c>
      <c r="I280" s="325" t="s">
        <v>770</v>
      </c>
      <c r="J280" s="444" t="s">
        <v>706</v>
      </c>
      <c r="K280" s="315">
        <v>41</v>
      </c>
      <c r="L280" t="s">
        <v>592</v>
      </c>
      <c r="M280">
        <v>41</v>
      </c>
      <c r="N280" t="s">
        <v>595</v>
      </c>
      <c r="O280" s="153" t="str">
        <f>IF(L280&lt;&gt;"",IFERROR(VLOOKUP(B280&amp;L280,Pools!$A$2:$D$130,3,FALSE),""),"")</f>
        <v/>
      </c>
      <c r="P280" s="388">
        <v>6</v>
      </c>
      <c r="Q280" s="388">
        <v>28</v>
      </c>
      <c r="R280" s="306" t="str">
        <f t="shared" si="180"/>
        <v>6-28</v>
      </c>
      <c r="S280" s="153"/>
      <c r="T280" s="148" t="str">
        <f t="shared" si="181"/>
        <v>Completed</v>
      </c>
      <c r="U280" s="153"/>
      <c r="V280" s="153"/>
      <c r="W280" s="387">
        <f t="shared" si="182"/>
        <v>-21</v>
      </c>
      <c r="X280" s="387">
        <f t="shared" si="183"/>
        <v>21</v>
      </c>
      <c r="Y280" s="301">
        <f t="shared" si="184"/>
        <v>0</v>
      </c>
      <c r="Z280" s="301">
        <f t="shared" si="185"/>
        <v>2</v>
      </c>
      <c r="AA280" s="323" t="str">
        <f>CONCATENATE("                x[team1,team2,sport,'",IF(OR(I280="x",I280=""),VLOOKUP('Schedule from TM'!J280,Tables!$P$3:$Q$33,2,FALSE),'Schedule from TM'!I280),",",J280,"','",IF(OR(F280="x",F280=""),VLOOKUP('Schedule from TM'!G280,Tables!$U$3:$V$14,2,FALSE),'Schedule from TM'!F280),",",TEXT(G280,"mm/dd/yyyy"),"','",TEXT(H280,"h:mm:ss AM/PM"),"'].ub=0.0      #",B280)</f>
        <v xml:space="preserve">                x[team1,team2,sport,'21,Hillel - Field 4','11,11/19/2017','1:50:00 PM'].ub=0.0      #Ch D Male Flag Football</v>
      </c>
      <c r="AB280" s="301" t="str">
        <f t="shared" si="186"/>
        <v>,,Ch D Male Flag Football,,1,CHILD DM - ARG 1</v>
      </c>
      <c r="AC280" s="153" t="str">
        <f t="shared" si="187"/>
        <v>Ch D Male Flag FootballCHILD DM - ARG 1</v>
      </c>
      <c r="AD280" s="301" t="str">
        <f t="shared" si="188"/>
        <v>,,Ch D Male Flag Football,,1,CHILD DM - USA 1</v>
      </c>
      <c r="AE280" s="153" t="str">
        <f t="shared" si="189"/>
        <v>Ch D Male Flag FootballCHILD DM - USA 1</v>
      </c>
      <c r="AF280" s="383">
        <f t="shared" si="190"/>
        <v>0</v>
      </c>
      <c r="AG280" s="383">
        <f t="shared" si="191"/>
        <v>1</v>
      </c>
      <c r="AH280" s="383">
        <f t="shared" si="192"/>
        <v>0</v>
      </c>
      <c r="AI280" s="383">
        <f t="shared" si="193"/>
        <v>1</v>
      </c>
      <c r="AJ280" s="383">
        <f t="shared" si="194"/>
        <v>0</v>
      </c>
      <c r="AK280" s="383">
        <f t="shared" si="195"/>
        <v>0</v>
      </c>
      <c r="AM280" s="148" t="str">
        <f t="shared" si="196"/>
        <v>Schedulled</v>
      </c>
      <c r="AN280" s="148" t="str">
        <f t="shared" si="197"/>
        <v/>
      </c>
      <c r="AO280" s="156">
        <f t="shared" si="198"/>
        <v>43058.576388888891</v>
      </c>
      <c r="AP280" s="148" t="str">
        <f t="shared" si="199"/>
        <v>11/19/2017 13:50-&gt;Hillel - Field 4</v>
      </c>
      <c r="AQ280" s="374">
        <f t="shared" si="200"/>
        <v>1</v>
      </c>
      <c r="AR280" s="148" t="str">
        <f t="shared" si="201"/>
        <v>ARG1</v>
      </c>
      <c r="AS280" s="148" t="str">
        <f t="shared" si="202"/>
        <v>USA1</v>
      </c>
      <c r="AT280" s="157" t="str">
        <f t="shared" si="203"/>
        <v>ARG1-USA1</v>
      </c>
      <c r="AU280" s="157" t="str">
        <f t="shared" si="204"/>
        <v xml:space="preserve">ARG1-USA1 </v>
      </c>
      <c r="AV280" s="157" t="str">
        <f t="shared" si="205"/>
        <v>CHILDREN D MALE</v>
      </c>
      <c r="AW280" s="157" t="str">
        <f t="shared" si="206"/>
        <v>Flag Football</v>
      </c>
      <c r="AX280" s="376">
        <f t="shared" si="207"/>
        <v>278</v>
      </c>
      <c r="AY280" s="148" t="str">
        <f t="shared" si="208"/>
        <v>CHILD DM - ARG 1-&gt;CHILD DM - USA 1</v>
      </c>
      <c r="AZ280" s="148" t="str">
        <f t="shared" si="209"/>
        <v>11/19/2017 13:50-&gt;CHILD DM - ARG 1</v>
      </c>
      <c r="BA280" s="148" t="str">
        <f t="shared" si="210"/>
        <v>11/19/2017 13:50-&gt;CHILD DM - USA 1</v>
      </c>
      <c r="BB280" s="374">
        <f t="shared" si="211"/>
        <v>1</v>
      </c>
      <c r="BC280" s="374">
        <f t="shared" si="212"/>
        <v>1</v>
      </c>
      <c r="BD280" s="148" t="str">
        <f t="shared" si="213"/>
        <v>no conflict</v>
      </c>
      <c r="BF280" s="148" t="str">
        <f t="shared" si="214"/>
        <v>11/19/2017 13:50-&gt;CHILD DM - ARG 1</v>
      </c>
      <c r="BG280" s="148" t="str">
        <f t="shared" si="215"/>
        <v>11/19/2017 13:50-&gt;CHILD DM - USA 1</v>
      </c>
      <c r="BH280" s="148" t="str">
        <f t="shared" si="216"/>
        <v>11/19/2017 13:50-&gt;Hillel - Field 4</v>
      </c>
      <c r="BI280" s="148" t="str">
        <f t="shared" si="217"/>
        <v>Flag Football in Hillel - Field 4 (ARG1-USA1)</v>
      </c>
      <c r="BJ280" s="148" t="str">
        <f t="shared" si="218"/>
        <v>Ch D Male Flag Football-- CHILD DM - ARG 1 vs. CHILD DM - USA 1</v>
      </c>
      <c r="BK280" s="148" t="str">
        <f t="shared" si="219"/>
        <v>Flag Football</v>
      </c>
      <c r="BL280" s="148" t="str">
        <f t="shared" si="220"/>
        <v>CHILD DM - ARG 1</v>
      </c>
      <c r="BM280" s="148" t="str">
        <f t="shared" si="221"/>
        <v>CHILD DM - USA 1</v>
      </c>
      <c r="BN280" s="148" t="str">
        <f t="shared" si="222"/>
        <v>Round - 1</v>
      </c>
      <c r="BP280" s="148" t="str">
        <f t="shared" si="223"/>
        <v>no t, f, or sf</v>
      </c>
      <c r="BQ280" s="148" t="str">
        <f t="shared" si="224"/>
        <v/>
      </c>
    </row>
    <row r="281" spans="1:69" ht="15" customHeight="1" x14ac:dyDescent="0.2">
      <c r="A281" s="376">
        <v>279</v>
      </c>
      <c r="B281" s="444" t="s">
        <v>55</v>
      </c>
      <c r="C281" s="444" t="s">
        <v>518</v>
      </c>
      <c r="D281" s="451">
        <v>1</v>
      </c>
      <c r="E281" s="451">
        <v>1</v>
      </c>
      <c r="F281" s="315" t="s">
        <v>770</v>
      </c>
      <c r="G281" s="445">
        <v>43058</v>
      </c>
      <c r="H281" s="317">
        <v>0.61111111111111105</v>
      </c>
      <c r="I281" s="325" t="s">
        <v>770</v>
      </c>
      <c r="J281" s="444" t="s">
        <v>704</v>
      </c>
      <c r="K281" s="315">
        <v>41</v>
      </c>
      <c r="L281" t="s">
        <v>593</v>
      </c>
      <c r="M281">
        <v>41</v>
      </c>
      <c r="N281" t="s">
        <v>602</v>
      </c>
      <c r="O281" s="153" t="str">
        <f>IF(L281&lt;&gt;"",IFERROR(VLOOKUP(B281&amp;L281,Pools!$A$2:$D$130,3,FALSE),""),"")</f>
        <v/>
      </c>
      <c r="P281" s="388">
        <v>13</v>
      </c>
      <c r="Q281" s="388">
        <v>7</v>
      </c>
      <c r="R281" s="306" t="str">
        <f t="shared" si="180"/>
        <v>13-7</v>
      </c>
      <c r="S281" s="153"/>
      <c r="T281" s="148" t="str">
        <f t="shared" si="181"/>
        <v>Completed</v>
      </c>
      <c r="U281" s="153"/>
      <c r="V281" s="153"/>
      <c r="W281" s="387">
        <f t="shared" si="182"/>
        <v>6</v>
      </c>
      <c r="X281" s="387">
        <f t="shared" si="183"/>
        <v>-6</v>
      </c>
      <c r="Y281" s="301">
        <f t="shared" si="184"/>
        <v>2</v>
      </c>
      <c r="Z281" s="301">
        <f t="shared" si="185"/>
        <v>0</v>
      </c>
      <c r="AA281" s="323" t="str">
        <f>CONCATENATE("                x[team1,team2,sport,'",IF(OR(I281="x",I281=""),VLOOKUP('Schedule from TM'!J281,Tables!$P$3:$Q$33,2,FALSE),'Schedule from TM'!I281),",",J281,"','",IF(OR(F281="x",F281=""),VLOOKUP('Schedule from TM'!G281,Tables!$U$3:$V$14,2,FALSE),'Schedule from TM'!F281),",",TEXT(G281,"mm/dd/yyyy"),"','",TEXT(H281,"h:mm:ss AM/PM"),"'].ub=0.0      #",B281)</f>
        <v xml:space="preserve">                x[team1,team2,sport,'21,Hillel - Field 2','11,11/19/2017','2:40:00 PM'].ub=0.0      #Ch D Male Flag Football</v>
      </c>
      <c r="AB281" s="301" t="str">
        <f t="shared" si="186"/>
        <v>,,Ch D Male Flag Football,,1,CHILD DM - COL 1</v>
      </c>
      <c r="AC281" s="153" t="str">
        <f t="shared" si="187"/>
        <v>Ch D Male Flag FootballCHILD DM - COL 1</v>
      </c>
      <c r="AD281" s="301" t="str">
        <f t="shared" si="188"/>
        <v>,,Ch D Male Flag Football,,1,CHILD DM - VEN 2</v>
      </c>
      <c r="AE281" s="153" t="str">
        <f t="shared" si="189"/>
        <v>Ch D Male Flag FootballCHILD DM - VEN 2</v>
      </c>
      <c r="AF281" s="383">
        <f t="shared" si="190"/>
        <v>1</v>
      </c>
      <c r="AG281" s="383">
        <f t="shared" si="191"/>
        <v>0</v>
      </c>
      <c r="AH281" s="383">
        <f t="shared" si="192"/>
        <v>0</v>
      </c>
      <c r="AI281" s="383">
        <f t="shared" si="193"/>
        <v>0</v>
      </c>
      <c r="AJ281" s="383">
        <f t="shared" si="194"/>
        <v>1</v>
      </c>
      <c r="AK281" s="383">
        <f t="shared" si="195"/>
        <v>0</v>
      </c>
      <c r="AM281" s="148" t="str">
        <f t="shared" si="196"/>
        <v>Schedulled</v>
      </c>
      <c r="AN281" s="148" t="str">
        <f t="shared" si="197"/>
        <v/>
      </c>
      <c r="AO281" s="156">
        <f t="shared" si="198"/>
        <v>43058.611111111109</v>
      </c>
      <c r="AP281" s="148" t="str">
        <f t="shared" si="199"/>
        <v>11/19/2017 14:40-&gt;Hillel - Field 2</v>
      </c>
      <c r="AQ281" s="374">
        <f t="shared" si="200"/>
        <v>1</v>
      </c>
      <c r="AR281" s="148" t="str">
        <f t="shared" si="201"/>
        <v>COL1</v>
      </c>
      <c r="AS281" s="148" t="str">
        <f t="shared" si="202"/>
        <v>VEN2</v>
      </c>
      <c r="AT281" s="157" t="str">
        <f t="shared" si="203"/>
        <v>COL1-VEN2</v>
      </c>
      <c r="AU281" s="157" t="str">
        <f t="shared" si="204"/>
        <v xml:space="preserve">COL1-VEN2 </v>
      </c>
      <c r="AV281" s="157" t="str">
        <f t="shared" si="205"/>
        <v>CHILDREN D MALE</v>
      </c>
      <c r="AW281" s="157" t="str">
        <f t="shared" si="206"/>
        <v>Flag Football</v>
      </c>
      <c r="AX281" s="376">
        <f t="shared" si="207"/>
        <v>279</v>
      </c>
      <c r="AY281" s="148" t="str">
        <f t="shared" si="208"/>
        <v>CHILD DM - COL 1-&gt;CHILD DM - VEN 2</v>
      </c>
      <c r="AZ281" s="148" t="str">
        <f t="shared" si="209"/>
        <v>11/19/2017 14:40-&gt;CHILD DM - COL 1</v>
      </c>
      <c r="BA281" s="148" t="str">
        <f t="shared" si="210"/>
        <v>11/19/2017 14:40-&gt;CHILD DM - VEN 2</v>
      </c>
      <c r="BB281" s="374">
        <f t="shared" si="211"/>
        <v>1</v>
      </c>
      <c r="BC281" s="374">
        <f t="shared" si="212"/>
        <v>1</v>
      </c>
      <c r="BD281" s="148" t="str">
        <f t="shared" si="213"/>
        <v>no conflict</v>
      </c>
      <c r="BF281" s="148" t="str">
        <f t="shared" si="214"/>
        <v>11/19/2017 14:40-&gt;CHILD DM - COL 1</v>
      </c>
      <c r="BG281" s="148" t="str">
        <f t="shared" si="215"/>
        <v>11/19/2017 14:40-&gt;CHILD DM - VEN 2</v>
      </c>
      <c r="BH281" s="148" t="str">
        <f t="shared" si="216"/>
        <v>11/19/2017 14:40-&gt;Hillel - Field 2</v>
      </c>
      <c r="BI281" s="148" t="str">
        <f t="shared" si="217"/>
        <v>Flag Football in Hillel - Field 2 (COL1-VEN2)</v>
      </c>
      <c r="BJ281" s="148" t="str">
        <f t="shared" si="218"/>
        <v>Ch D Male Flag Football-- CHILD DM - COL 1 vs. CHILD DM - VEN 2</v>
      </c>
      <c r="BK281" s="148" t="str">
        <f t="shared" si="219"/>
        <v>Flag Football</v>
      </c>
      <c r="BL281" s="148" t="str">
        <f t="shared" si="220"/>
        <v>CHILD DM - COL 1</v>
      </c>
      <c r="BM281" s="148" t="str">
        <f t="shared" si="221"/>
        <v>CHILD DM - VEN 2</v>
      </c>
      <c r="BN281" s="148" t="str">
        <f t="shared" si="222"/>
        <v>Round - 1</v>
      </c>
      <c r="BP281" s="148" t="str">
        <f t="shared" si="223"/>
        <v>no t, f, or sf</v>
      </c>
      <c r="BQ281" s="148" t="str">
        <f t="shared" si="224"/>
        <v/>
      </c>
    </row>
    <row r="282" spans="1:69" ht="15" customHeight="1" x14ac:dyDescent="0.2">
      <c r="A282" s="376">
        <v>280</v>
      </c>
      <c r="B282" s="433" t="s">
        <v>55</v>
      </c>
      <c r="C282" s="315" t="s">
        <v>518</v>
      </c>
      <c r="D282" s="378">
        <v>1</v>
      </c>
      <c r="E282" s="378">
        <v>1</v>
      </c>
      <c r="F282" s="315" t="s">
        <v>770</v>
      </c>
      <c r="G282" s="316">
        <v>43058</v>
      </c>
      <c r="H282" s="317">
        <v>0.61111111111111105</v>
      </c>
      <c r="I282" s="325" t="s">
        <v>770</v>
      </c>
      <c r="J282" s="315" t="s">
        <v>706</v>
      </c>
      <c r="K282" s="315">
        <v>41</v>
      </c>
      <c r="L282" t="s">
        <v>598</v>
      </c>
      <c r="M282">
        <v>41</v>
      </c>
      <c r="N282" t="s">
        <v>600</v>
      </c>
      <c r="O282" s="153" t="str">
        <f>IF(L282&lt;&gt;"",IFERROR(VLOOKUP(B282&amp;L282,Pools!$A$2:$D$130,3,FALSE),""),"")</f>
        <v/>
      </c>
      <c r="P282" s="388">
        <v>19</v>
      </c>
      <c r="Q282" s="388">
        <v>13</v>
      </c>
      <c r="R282" s="306" t="str">
        <f t="shared" si="180"/>
        <v>19-13</v>
      </c>
      <c r="S282" s="153"/>
      <c r="T282" s="148" t="str">
        <f t="shared" si="181"/>
        <v>Completed</v>
      </c>
      <c r="U282" s="153"/>
      <c r="V282" s="153"/>
      <c r="W282" s="387">
        <f t="shared" si="182"/>
        <v>6</v>
      </c>
      <c r="X282" s="387">
        <f t="shared" si="183"/>
        <v>-6</v>
      </c>
      <c r="Y282" s="301">
        <f t="shared" si="184"/>
        <v>2</v>
      </c>
      <c r="Z282" s="301">
        <f t="shared" si="185"/>
        <v>0</v>
      </c>
      <c r="AA282" s="323" t="str">
        <f>CONCATENATE("                x[team1,team2,sport,'",IF(OR(I282="x",I282=""),VLOOKUP('Schedule from TM'!J282,Tables!$P$3:$Q$33,2,FALSE),'Schedule from TM'!I282),",",J282,"','",IF(OR(F282="x",F282=""),VLOOKUP('Schedule from TM'!G282,Tables!$U$3:$V$14,2,FALSE),'Schedule from TM'!F282),",",TEXT(G282,"mm/dd/yyyy"),"','",TEXT(H282,"h:mm:ss AM/PM"),"'].ub=0.0      #",B282)</f>
        <v xml:space="preserve">                x[team1,team2,sport,'21,Hillel - Field 4','11,11/19/2017','2:40:00 PM'].ub=0.0      #Ch D Male Flag Football</v>
      </c>
      <c r="AB282" s="301" t="str">
        <f t="shared" si="186"/>
        <v>,,Ch D Male Flag Football,,1,CHILD DM - ARG 2</v>
      </c>
      <c r="AC282" s="153" t="str">
        <f t="shared" si="187"/>
        <v>Ch D Male Flag FootballCHILD DM - ARG 2</v>
      </c>
      <c r="AD282" s="301" t="str">
        <f t="shared" si="188"/>
        <v>,,Ch D Male Flag Football,,1,CHILD DM - ISR 1</v>
      </c>
      <c r="AE282" s="153" t="str">
        <f t="shared" si="189"/>
        <v>Ch D Male Flag FootballCHILD DM - ISR 1</v>
      </c>
      <c r="AF282" s="383">
        <f t="shared" si="190"/>
        <v>1</v>
      </c>
      <c r="AG282" s="383">
        <f t="shared" si="191"/>
        <v>0</v>
      </c>
      <c r="AH282" s="383">
        <f t="shared" si="192"/>
        <v>0</v>
      </c>
      <c r="AI282" s="383">
        <f t="shared" si="193"/>
        <v>0</v>
      </c>
      <c r="AJ282" s="383">
        <f t="shared" si="194"/>
        <v>1</v>
      </c>
      <c r="AK282" s="383">
        <f t="shared" si="195"/>
        <v>0</v>
      </c>
      <c r="AM282" s="148" t="str">
        <f t="shared" si="196"/>
        <v>Schedulled</v>
      </c>
      <c r="AN282" s="148" t="str">
        <f t="shared" si="197"/>
        <v/>
      </c>
      <c r="AO282" s="156">
        <f t="shared" si="198"/>
        <v>43058.611111111109</v>
      </c>
      <c r="AP282" s="148" t="str">
        <f t="shared" si="199"/>
        <v>11/19/2017 14:40-&gt;Hillel - Field 4</v>
      </c>
      <c r="AQ282" s="374">
        <f t="shared" si="200"/>
        <v>1</v>
      </c>
      <c r="AR282" s="148" t="str">
        <f t="shared" si="201"/>
        <v>ARG2</v>
      </c>
      <c r="AS282" s="148" t="str">
        <f t="shared" si="202"/>
        <v>ISR1</v>
      </c>
      <c r="AT282" s="157" t="str">
        <f t="shared" si="203"/>
        <v>ARG2-ISR1</v>
      </c>
      <c r="AU282" s="157" t="str">
        <f t="shared" si="204"/>
        <v xml:space="preserve">ARG2-ISR1 </v>
      </c>
      <c r="AV282" s="157" t="str">
        <f t="shared" si="205"/>
        <v>CHILDREN D MALE</v>
      </c>
      <c r="AW282" s="157" t="str">
        <f t="shared" si="206"/>
        <v>Flag Football</v>
      </c>
      <c r="AX282" s="376">
        <f t="shared" si="207"/>
        <v>280</v>
      </c>
      <c r="AY282" s="148" t="str">
        <f t="shared" si="208"/>
        <v>CHILD DM - ARG 2-&gt;CHILD DM - ISR 1</v>
      </c>
      <c r="AZ282" s="148" t="str">
        <f t="shared" si="209"/>
        <v>11/19/2017 14:40-&gt;CHILD DM - ARG 2</v>
      </c>
      <c r="BA282" s="148" t="str">
        <f t="shared" si="210"/>
        <v>11/19/2017 14:40-&gt;CHILD DM - ISR 1</v>
      </c>
      <c r="BB282" s="374">
        <f t="shared" si="211"/>
        <v>1</v>
      </c>
      <c r="BC282" s="374">
        <f t="shared" si="212"/>
        <v>1</v>
      </c>
      <c r="BD282" s="148" t="str">
        <f t="shared" si="213"/>
        <v>no conflict</v>
      </c>
      <c r="BF282" s="148" t="str">
        <f t="shared" si="214"/>
        <v>11/19/2017 14:40-&gt;CHILD DM - ARG 2</v>
      </c>
      <c r="BG282" s="148" t="str">
        <f t="shared" si="215"/>
        <v>11/19/2017 14:40-&gt;CHILD DM - ISR 1</v>
      </c>
      <c r="BH282" s="148" t="str">
        <f t="shared" si="216"/>
        <v>11/19/2017 14:40-&gt;Hillel - Field 4</v>
      </c>
      <c r="BI282" s="148" t="str">
        <f t="shared" si="217"/>
        <v>Flag Football in Hillel - Field 4 (ARG2-ISR1)</v>
      </c>
      <c r="BJ282" s="148" t="str">
        <f t="shared" si="218"/>
        <v>Ch D Male Flag Football-- CHILD DM - ARG 2 vs. CHILD DM - ISR 1</v>
      </c>
      <c r="BK282" s="148" t="str">
        <f t="shared" si="219"/>
        <v>Flag Football</v>
      </c>
      <c r="BL282" s="148" t="str">
        <f t="shared" si="220"/>
        <v>CHILD DM - ARG 2</v>
      </c>
      <c r="BM282" s="148" t="str">
        <f t="shared" si="221"/>
        <v>CHILD DM - ISR 1</v>
      </c>
      <c r="BN282" s="148" t="str">
        <f t="shared" si="222"/>
        <v>Round - 1</v>
      </c>
      <c r="BP282" s="148" t="str">
        <f t="shared" si="223"/>
        <v>no t, f, or sf</v>
      </c>
      <c r="BQ282" s="148" t="str">
        <f t="shared" si="224"/>
        <v/>
      </c>
    </row>
    <row r="283" spans="1:69" ht="15" customHeight="1" x14ac:dyDescent="0.2">
      <c r="A283" s="376">
        <v>281</v>
      </c>
      <c r="B283" s="433" t="s">
        <v>55</v>
      </c>
      <c r="C283" s="444" t="s">
        <v>518</v>
      </c>
      <c r="D283" s="451">
        <v>1</v>
      </c>
      <c r="E283" s="451">
        <v>1</v>
      </c>
      <c r="F283" s="315" t="s">
        <v>770</v>
      </c>
      <c r="G283" s="445">
        <v>43058</v>
      </c>
      <c r="H283" s="317">
        <v>0.64583333333333337</v>
      </c>
      <c r="I283" s="325" t="s">
        <v>770</v>
      </c>
      <c r="J283" s="444" t="s">
        <v>706</v>
      </c>
      <c r="K283" s="444">
        <v>41</v>
      </c>
      <c r="L283" t="s">
        <v>592</v>
      </c>
      <c r="M283">
        <v>41</v>
      </c>
      <c r="N283" t="s">
        <v>594</v>
      </c>
      <c r="O283" s="153" t="str">
        <f>IF(L283&lt;&gt;"",IFERROR(VLOOKUP(B283&amp;L283,Pools!$A$2:$D$130,3,FALSE),""),"")</f>
        <v/>
      </c>
      <c r="P283" s="388">
        <v>14</v>
      </c>
      <c r="Q283" s="388">
        <v>15</v>
      </c>
      <c r="R283" s="306" t="str">
        <f t="shared" si="180"/>
        <v>14-15</v>
      </c>
      <c r="S283" s="153"/>
      <c r="T283" s="148" t="str">
        <f t="shared" si="181"/>
        <v>Completed</v>
      </c>
      <c r="U283" s="153"/>
      <c r="V283" s="153"/>
      <c r="W283" s="387">
        <f t="shared" si="182"/>
        <v>-1</v>
      </c>
      <c r="X283" s="387">
        <f t="shared" si="183"/>
        <v>1</v>
      </c>
      <c r="Y283" s="301">
        <f t="shared" si="184"/>
        <v>0</v>
      </c>
      <c r="Z283" s="301">
        <f t="shared" si="185"/>
        <v>2</v>
      </c>
      <c r="AA283" s="323" t="str">
        <f>CONCATENATE("                x[team1,team2,sport,'",IF(OR(I283="x",I283=""),VLOOKUP('Schedule from TM'!J283,Tables!$P$3:$Q$33,2,FALSE),'Schedule from TM'!I283),",",J283,"','",IF(OR(F283="x",F283=""),VLOOKUP('Schedule from TM'!G283,Tables!$U$3:$V$14,2,FALSE),'Schedule from TM'!F283),",",TEXT(G283,"mm/dd/yyyy"),"','",TEXT(H283,"h:mm:ss AM/PM"),"'].ub=0.0      #",B283)</f>
        <v xml:space="preserve">                x[team1,team2,sport,'21,Hillel - Field 4','11,11/19/2017','3:30:00 PM'].ub=0.0      #Ch D Male Flag Football</v>
      </c>
      <c r="AB283" s="301" t="str">
        <f t="shared" si="186"/>
        <v>,,Ch D Male Flag Football,,1,CHILD DM - ARG 1</v>
      </c>
      <c r="AC283" s="153" t="str">
        <f t="shared" si="187"/>
        <v>Ch D Male Flag FootballCHILD DM - ARG 1</v>
      </c>
      <c r="AD283" s="301" t="str">
        <f t="shared" si="188"/>
        <v>,,Ch D Male Flag Football,,1,CHILD DM - PER</v>
      </c>
      <c r="AE283" s="153" t="str">
        <f t="shared" si="189"/>
        <v>Ch D Male Flag FootballCHILD DM - PER</v>
      </c>
      <c r="AF283" s="383">
        <f t="shared" si="190"/>
        <v>0</v>
      </c>
      <c r="AG283" s="383">
        <f t="shared" si="191"/>
        <v>1</v>
      </c>
      <c r="AH283" s="383">
        <f t="shared" si="192"/>
        <v>0</v>
      </c>
      <c r="AI283" s="383">
        <f t="shared" si="193"/>
        <v>1</v>
      </c>
      <c r="AJ283" s="383">
        <f t="shared" si="194"/>
        <v>0</v>
      </c>
      <c r="AK283" s="383">
        <f t="shared" si="195"/>
        <v>0</v>
      </c>
      <c r="AM283" s="148" t="str">
        <f t="shared" si="196"/>
        <v>Schedulled</v>
      </c>
      <c r="AN283" s="148" t="str">
        <f t="shared" si="197"/>
        <v/>
      </c>
      <c r="AO283" s="156">
        <f t="shared" si="198"/>
        <v>43058.645833333336</v>
      </c>
      <c r="AP283" s="148" t="str">
        <f t="shared" si="199"/>
        <v>11/19/2017 15:30-&gt;Hillel - Field 4</v>
      </c>
      <c r="AQ283" s="374">
        <f t="shared" si="200"/>
        <v>1</v>
      </c>
      <c r="AR283" s="148" t="str">
        <f t="shared" si="201"/>
        <v>ARG1</v>
      </c>
      <c r="AS283" s="148" t="str">
        <f t="shared" si="202"/>
        <v>PER</v>
      </c>
      <c r="AT283" s="157" t="str">
        <f t="shared" si="203"/>
        <v>ARG1-PER</v>
      </c>
      <c r="AU283" s="157" t="str">
        <f t="shared" si="204"/>
        <v xml:space="preserve">ARG1-PER </v>
      </c>
      <c r="AV283" s="157" t="str">
        <f t="shared" si="205"/>
        <v>CHILDREN D MALE</v>
      </c>
      <c r="AW283" s="157" t="str">
        <f t="shared" si="206"/>
        <v>Flag Football</v>
      </c>
      <c r="AX283" s="376">
        <f t="shared" si="207"/>
        <v>281</v>
      </c>
      <c r="AY283" s="148" t="str">
        <f t="shared" si="208"/>
        <v>CHILD DM - ARG 1-&gt;CHILD DM - PER</v>
      </c>
      <c r="AZ283" s="148" t="str">
        <f t="shared" si="209"/>
        <v>11/19/2017 15:30-&gt;CHILD DM - ARG 1</v>
      </c>
      <c r="BA283" s="148" t="str">
        <f t="shared" si="210"/>
        <v>11/19/2017 15:30-&gt;CHILD DM - PER</v>
      </c>
      <c r="BB283" s="374">
        <f t="shared" si="211"/>
        <v>1</v>
      </c>
      <c r="BC283" s="374">
        <f t="shared" si="212"/>
        <v>1</v>
      </c>
      <c r="BD283" s="148" t="str">
        <f t="shared" si="213"/>
        <v>no conflict</v>
      </c>
      <c r="BF283" s="148" t="str">
        <f t="shared" si="214"/>
        <v>11/19/2017 15:30-&gt;CHILD DM - ARG 1</v>
      </c>
      <c r="BG283" s="148" t="str">
        <f t="shared" si="215"/>
        <v>11/19/2017 15:30-&gt;CHILD DM - PER</v>
      </c>
      <c r="BH283" s="148" t="str">
        <f t="shared" si="216"/>
        <v>11/19/2017 15:30-&gt;Hillel - Field 4</v>
      </c>
      <c r="BI283" s="148" t="str">
        <f t="shared" si="217"/>
        <v>Flag Football in Hillel - Field 4 (ARG1-PER)</v>
      </c>
      <c r="BJ283" s="148" t="str">
        <f t="shared" si="218"/>
        <v>Ch D Male Flag Football-- CHILD DM - ARG 1 vs. CHILD DM - PER</v>
      </c>
      <c r="BK283" s="148" t="str">
        <f t="shared" si="219"/>
        <v>Flag Football</v>
      </c>
      <c r="BL283" s="148" t="str">
        <f t="shared" si="220"/>
        <v>CHILD DM - ARG 1</v>
      </c>
      <c r="BM283" s="148" t="str">
        <f t="shared" si="221"/>
        <v>CHILD DM - PER</v>
      </c>
      <c r="BN283" s="148" t="str">
        <f t="shared" si="222"/>
        <v>Round - 1</v>
      </c>
      <c r="BP283" s="148" t="str">
        <f t="shared" si="223"/>
        <v>no t, f, or sf</v>
      </c>
      <c r="BQ283" s="148" t="str">
        <f t="shared" si="224"/>
        <v/>
      </c>
    </row>
    <row r="284" spans="1:69" ht="15" customHeight="1" x14ac:dyDescent="0.2">
      <c r="A284" s="376">
        <v>282</v>
      </c>
      <c r="B284" s="444" t="s">
        <v>55</v>
      </c>
      <c r="C284" s="444" t="s">
        <v>518</v>
      </c>
      <c r="D284" s="451">
        <v>1</v>
      </c>
      <c r="E284" s="451">
        <v>1</v>
      </c>
      <c r="F284" s="315" t="s">
        <v>770</v>
      </c>
      <c r="G284" s="445">
        <v>43058</v>
      </c>
      <c r="H284" s="317">
        <v>0.71527777777777779</v>
      </c>
      <c r="I284" s="325" t="s">
        <v>770</v>
      </c>
      <c r="J284" s="444" t="s">
        <v>705</v>
      </c>
      <c r="K284" s="444">
        <v>41</v>
      </c>
      <c r="L284" t="s">
        <v>593</v>
      </c>
      <c r="M284">
        <v>41</v>
      </c>
      <c r="N284" t="s">
        <v>595</v>
      </c>
      <c r="O284" s="153" t="str">
        <f>IF(L284&lt;&gt;"",IFERROR(VLOOKUP(B284&amp;L284,Pools!$A$2:$D$130,3,FALSE),""),"")</f>
        <v/>
      </c>
      <c r="P284" s="388">
        <v>13</v>
      </c>
      <c r="Q284" s="388">
        <v>6</v>
      </c>
      <c r="R284" s="306" t="str">
        <f t="shared" si="180"/>
        <v>13-6</v>
      </c>
      <c r="S284" s="153"/>
      <c r="T284" s="148" t="str">
        <f t="shared" si="181"/>
        <v>Completed</v>
      </c>
      <c r="U284" s="153"/>
      <c r="V284" s="153"/>
      <c r="W284" s="387">
        <f t="shared" si="182"/>
        <v>7</v>
      </c>
      <c r="X284" s="387">
        <f t="shared" si="183"/>
        <v>-7</v>
      </c>
      <c r="Y284" s="301">
        <f t="shared" si="184"/>
        <v>2</v>
      </c>
      <c r="Z284" s="301">
        <f t="shared" si="185"/>
        <v>0</v>
      </c>
      <c r="AA284" s="323" t="str">
        <f>CONCATENATE("                x[team1,team2,sport,'",IF(OR(I284="x",I284=""),VLOOKUP('Schedule from TM'!J284,Tables!$P$3:$Q$33,2,FALSE),'Schedule from TM'!I284),",",J284,"','",IF(OR(F284="x",F284=""),VLOOKUP('Schedule from TM'!G284,Tables!$U$3:$V$14,2,FALSE),'Schedule from TM'!F284),",",TEXT(G284,"mm/dd/yyyy"),"','",TEXT(H284,"h:mm:ss AM/PM"),"'].ub=0.0      #",B284)</f>
        <v xml:space="preserve">                x[team1,team2,sport,'21,Hillel - Field 3','11,11/19/2017','5:10:00 PM'].ub=0.0      #Ch D Male Flag Football</v>
      </c>
      <c r="AB284" s="301" t="str">
        <f t="shared" si="186"/>
        <v>,,Ch D Male Flag Football,,1,CHILD DM - COL 1</v>
      </c>
      <c r="AC284" s="153" t="str">
        <f t="shared" si="187"/>
        <v>Ch D Male Flag FootballCHILD DM - COL 1</v>
      </c>
      <c r="AD284" s="301" t="str">
        <f t="shared" si="188"/>
        <v>,,Ch D Male Flag Football,,1,CHILD DM - USA 1</v>
      </c>
      <c r="AE284" s="153" t="str">
        <f t="shared" si="189"/>
        <v>Ch D Male Flag FootballCHILD DM - USA 1</v>
      </c>
      <c r="AF284" s="383">
        <f t="shared" si="190"/>
        <v>1</v>
      </c>
      <c r="AG284" s="383">
        <f t="shared" si="191"/>
        <v>0</v>
      </c>
      <c r="AH284" s="383">
        <f t="shared" si="192"/>
        <v>0</v>
      </c>
      <c r="AI284" s="383">
        <f t="shared" si="193"/>
        <v>0</v>
      </c>
      <c r="AJ284" s="383">
        <f t="shared" si="194"/>
        <v>1</v>
      </c>
      <c r="AK284" s="383">
        <f t="shared" si="195"/>
        <v>0</v>
      </c>
      <c r="AM284" s="148" t="str">
        <f t="shared" si="196"/>
        <v>Schedulled</v>
      </c>
      <c r="AN284" s="148" t="str">
        <f t="shared" si="197"/>
        <v/>
      </c>
      <c r="AO284" s="156">
        <f t="shared" si="198"/>
        <v>43058.715277777781</v>
      </c>
      <c r="AP284" s="148" t="str">
        <f t="shared" si="199"/>
        <v>11/19/2017 17:10-&gt;Hillel - Field 3</v>
      </c>
      <c r="AQ284" s="374">
        <f t="shared" si="200"/>
        <v>1</v>
      </c>
      <c r="AR284" s="148" t="str">
        <f t="shared" si="201"/>
        <v>COL1</v>
      </c>
      <c r="AS284" s="148" t="str">
        <f t="shared" si="202"/>
        <v>USA1</v>
      </c>
      <c r="AT284" s="157" t="str">
        <f t="shared" si="203"/>
        <v>COL1-USA1</v>
      </c>
      <c r="AU284" s="157" t="str">
        <f t="shared" si="204"/>
        <v xml:space="preserve">COL1-USA1 </v>
      </c>
      <c r="AV284" s="157" t="str">
        <f t="shared" si="205"/>
        <v>CHILDREN D MALE</v>
      </c>
      <c r="AW284" s="157" t="str">
        <f t="shared" si="206"/>
        <v>Flag Football</v>
      </c>
      <c r="AX284" s="376">
        <f t="shared" si="207"/>
        <v>282</v>
      </c>
      <c r="AY284" s="148" t="str">
        <f t="shared" si="208"/>
        <v>CHILD DM - COL 1-&gt;CHILD DM - USA 1</v>
      </c>
      <c r="AZ284" s="148" t="str">
        <f t="shared" si="209"/>
        <v>11/19/2017 17:10-&gt;CHILD DM - COL 1</v>
      </c>
      <c r="BA284" s="148" t="str">
        <f t="shared" si="210"/>
        <v>11/19/2017 17:10-&gt;CHILD DM - USA 1</v>
      </c>
      <c r="BB284" s="374">
        <f t="shared" si="211"/>
        <v>1</v>
      </c>
      <c r="BC284" s="374">
        <f t="shared" si="212"/>
        <v>1</v>
      </c>
      <c r="BD284" s="148" t="str">
        <f t="shared" si="213"/>
        <v>no conflict</v>
      </c>
      <c r="BF284" s="148" t="str">
        <f t="shared" si="214"/>
        <v>11/19/2017 17:10-&gt;CHILD DM - COL 1</v>
      </c>
      <c r="BG284" s="148" t="str">
        <f t="shared" si="215"/>
        <v>11/19/2017 17:10-&gt;CHILD DM - USA 1</v>
      </c>
      <c r="BH284" s="148" t="str">
        <f t="shared" si="216"/>
        <v>11/19/2017 17:10-&gt;Hillel - Field 3</v>
      </c>
      <c r="BI284" s="148" t="str">
        <f t="shared" si="217"/>
        <v>Flag Football in Hillel - Field 3 (COL1-USA1)</v>
      </c>
      <c r="BJ284" s="148" t="str">
        <f t="shared" si="218"/>
        <v>Ch D Male Flag Football-- CHILD DM - COL 1 vs. CHILD DM - USA 1</v>
      </c>
      <c r="BK284" s="148" t="str">
        <f t="shared" si="219"/>
        <v>Flag Football</v>
      </c>
      <c r="BL284" s="148" t="str">
        <f t="shared" si="220"/>
        <v>CHILD DM - COL 1</v>
      </c>
      <c r="BM284" s="148" t="str">
        <f t="shared" si="221"/>
        <v>CHILD DM - USA 1</v>
      </c>
      <c r="BN284" s="148" t="str">
        <f t="shared" si="222"/>
        <v>Round - 1</v>
      </c>
      <c r="BP284" s="148" t="str">
        <f t="shared" si="223"/>
        <v>no t, f, or sf</v>
      </c>
      <c r="BQ284" s="148" t="str">
        <f t="shared" si="224"/>
        <v/>
      </c>
    </row>
    <row r="285" spans="1:69" ht="15" customHeight="1" x14ac:dyDescent="0.2">
      <c r="A285" s="376">
        <v>283</v>
      </c>
      <c r="B285" s="433" t="s">
        <v>55</v>
      </c>
      <c r="C285" s="444" t="s">
        <v>518</v>
      </c>
      <c r="D285" s="451">
        <v>1</v>
      </c>
      <c r="E285" s="451">
        <v>1</v>
      </c>
      <c r="F285" s="315" t="s">
        <v>770</v>
      </c>
      <c r="G285" s="445">
        <v>43058</v>
      </c>
      <c r="H285" s="317">
        <v>0.75</v>
      </c>
      <c r="I285" s="325" t="s">
        <v>770</v>
      </c>
      <c r="J285" s="444" t="s">
        <v>706</v>
      </c>
      <c r="K285" s="444">
        <v>41</v>
      </c>
      <c r="L285" t="s">
        <v>597</v>
      </c>
      <c r="M285">
        <v>41</v>
      </c>
      <c r="N285" t="s">
        <v>599</v>
      </c>
      <c r="O285" s="153" t="str">
        <f>IF(L285&lt;&gt;"",IFERROR(VLOOKUP(B285&amp;L285,Pools!$A$2:$D$130,3,FALSE),""),"")</f>
        <v/>
      </c>
      <c r="P285" s="388">
        <v>19</v>
      </c>
      <c r="Q285" s="388">
        <v>18</v>
      </c>
      <c r="R285" s="306" t="str">
        <f t="shared" si="180"/>
        <v>19-18</v>
      </c>
      <c r="S285" s="153"/>
      <c r="T285" s="148" t="str">
        <f t="shared" si="181"/>
        <v>Completed</v>
      </c>
      <c r="U285" s="153"/>
      <c r="V285" s="153"/>
      <c r="W285" s="387">
        <f t="shared" si="182"/>
        <v>1</v>
      </c>
      <c r="X285" s="387">
        <f t="shared" si="183"/>
        <v>-1</v>
      </c>
      <c r="Y285" s="301">
        <f t="shared" si="184"/>
        <v>2</v>
      </c>
      <c r="Z285" s="301">
        <f t="shared" si="185"/>
        <v>0</v>
      </c>
      <c r="AA285" s="323" t="str">
        <f>CONCATENATE("                x[team1,team2,sport,'",IF(OR(I285="x",I285=""),VLOOKUP('Schedule from TM'!J285,Tables!$P$3:$Q$33,2,FALSE),'Schedule from TM'!I285),",",J285,"','",IF(OR(F285="x",F285=""),VLOOKUP('Schedule from TM'!G285,Tables!$U$3:$V$14,2,FALSE),'Schedule from TM'!F285),",",TEXT(G285,"mm/dd/yyyy"),"','",TEXT(H285,"h:mm:ss AM/PM"),"'].ub=0.0      #",B285)</f>
        <v xml:space="preserve">                x[team1,team2,sport,'21,Hillel - Field 4','11,11/19/2017','6:00:00 PM'].ub=0.0      #Ch D Male Flag Football</v>
      </c>
      <c r="AB285" s="301" t="str">
        <f t="shared" si="186"/>
        <v>,,Ch D Male Flag Football,,1,CHILD DM - VEN 1</v>
      </c>
      <c r="AC285" s="153" t="str">
        <f t="shared" si="187"/>
        <v>Ch D Male Flag FootballCHILD DM - VEN 1</v>
      </c>
      <c r="AD285" s="301" t="str">
        <f t="shared" si="188"/>
        <v>,,Ch D Male Flag Football,,1,CHILD DM - COL 2</v>
      </c>
      <c r="AE285" s="153" t="str">
        <f t="shared" si="189"/>
        <v>Ch D Male Flag FootballCHILD DM - COL 2</v>
      </c>
      <c r="AF285" s="383">
        <f t="shared" si="190"/>
        <v>1</v>
      </c>
      <c r="AG285" s="383">
        <f t="shared" si="191"/>
        <v>0</v>
      </c>
      <c r="AH285" s="383">
        <f t="shared" si="192"/>
        <v>0</v>
      </c>
      <c r="AI285" s="383">
        <f t="shared" si="193"/>
        <v>0</v>
      </c>
      <c r="AJ285" s="383">
        <f t="shared" si="194"/>
        <v>1</v>
      </c>
      <c r="AK285" s="383">
        <f t="shared" si="195"/>
        <v>0</v>
      </c>
      <c r="AM285" s="148" t="str">
        <f t="shared" si="196"/>
        <v>Schedulled</v>
      </c>
      <c r="AN285" s="148" t="str">
        <f t="shared" si="197"/>
        <v/>
      </c>
      <c r="AO285" s="156">
        <f t="shared" si="198"/>
        <v>43058.75</v>
      </c>
      <c r="AP285" s="148" t="str">
        <f t="shared" si="199"/>
        <v>11/19/2017 18:00-&gt;Hillel - Field 4</v>
      </c>
      <c r="AQ285" s="374">
        <f t="shared" si="200"/>
        <v>1</v>
      </c>
      <c r="AR285" s="148" t="str">
        <f t="shared" si="201"/>
        <v>VEN1</v>
      </c>
      <c r="AS285" s="148" t="str">
        <f t="shared" si="202"/>
        <v>COL2</v>
      </c>
      <c r="AT285" s="157" t="str">
        <f t="shared" si="203"/>
        <v>VEN1-COL2</v>
      </c>
      <c r="AU285" s="157" t="str">
        <f t="shared" si="204"/>
        <v xml:space="preserve">VEN1-COL2 </v>
      </c>
      <c r="AV285" s="157" t="str">
        <f t="shared" si="205"/>
        <v>CHILDREN D MALE</v>
      </c>
      <c r="AW285" s="157" t="str">
        <f t="shared" si="206"/>
        <v>Flag Football</v>
      </c>
      <c r="AX285" s="376">
        <f t="shared" si="207"/>
        <v>283</v>
      </c>
      <c r="AY285" s="148" t="str">
        <f t="shared" si="208"/>
        <v>CHILD DM - VEN 1-&gt;CHILD DM - COL 2</v>
      </c>
      <c r="AZ285" s="148" t="str">
        <f t="shared" si="209"/>
        <v>11/19/2017 18:00-&gt;CHILD DM - VEN 1</v>
      </c>
      <c r="BA285" s="148" t="str">
        <f t="shared" si="210"/>
        <v>11/19/2017 18:00-&gt;CHILD DM - COL 2</v>
      </c>
      <c r="BB285" s="374">
        <f t="shared" si="211"/>
        <v>1</v>
      </c>
      <c r="BC285" s="374">
        <f t="shared" si="212"/>
        <v>1</v>
      </c>
      <c r="BD285" s="148" t="str">
        <f t="shared" si="213"/>
        <v>no conflict</v>
      </c>
      <c r="BF285" s="148" t="str">
        <f t="shared" si="214"/>
        <v>11/19/2017 18:00-&gt;CHILD DM - VEN 1</v>
      </c>
      <c r="BG285" s="148" t="str">
        <f t="shared" si="215"/>
        <v>11/19/2017 18:00-&gt;CHILD DM - COL 2</v>
      </c>
      <c r="BH285" s="148" t="str">
        <f t="shared" si="216"/>
        <v>11/19/2017 18:00-&gt;Hillel - Field 4</v>
      </c>
      <c r="BI285" s="148" t="str">
        <f t="shared" si="217"/>
        <v>Flag Football in Hillel - Field 4 (VEN1-COL2)</v>
      </c>
      <c r="BJ285" s="148" t="str">
        <f t="shared" si="218"/>
        <v>Ch D Male Flag Football-- CHILD DM - VEN 1 vs. CHILD DM - COL 2</v>
      </c>
      <c r="BK285" s="148" t="str">
        <f t="shared" si="219"/>
        <v>Flag Football</v>
      </c>
      <c r="BL285" s="148" t="str">
        <f t="shared" si="220"/>
        <v>CHILD DM - VEN 1</v>
      </c>
      <c r="BM285" s="148" t="str">
        <f t="shared" si="221"/>
        <v>CHILD DM - COL 2</v>
      </c>
      <c r="BN285" s="148" t="str">
        <f t="shared" si="222"/>
        <v>Round - 1</v>
      </c>
      <c r="BP285" s="148" t="str">
        <f t="shared" si="223"/>
        <v>no t, f, or sf</v>
      </c>
      <c r="BQ285" s="148" t="str">
        <f t="shared" si="224"/>
        <v/>
      </c>
    </row>
    <row r="286" spans="1:69" ht="15" customHeight="1" x14ac:dyDescent="0.2">
      <c r="A286" s="376">
        <v>284</v>
      </c>
      <c r="B286" s="433" t="s">
        <v>55</v>
      </c>
      <c r="C286" s="315" t="s">
        <v>518</v>
      </c>
      <c r="D286" s="378">
        <v>1</v>
      </c>
      <c r="E286" s="378">
        <v>1</v>
      </c>
      <c r="F286" s="315" t="s">
        <v>770</v>
      </c>
      <c r="G286" s="316">
        <v>43058</v>
      </c>
      <c r="H286" s="317">
        <v>0.78472222222222221</v>
      </c>
      <c r="I286" s="325" t="s">
        <v>770</v>
      </c>
      <c r="J286" s="315" t="s">
        <v>703</v>
      </c>
      <c r="K286" s="315">
        <v>41</v>
      </c>
      <c r="L286" t="s">
        <v>602</v>
      </c>
      <c r="M286">
        <v>41</v>
      </c>
      <c r="N286" t="s">
        <v>594</v>
      </c>
      <c r="O286" s="153" t="str">
        <f>IF(L286&lt;&gt;"",IFERROR(VLOOKUP(B286&amp;L286,Pools!$A$2:$D$130,3,FALSE),""),"")</f>
        <v/>
      </c>
      <c r="P286" s="388">
        <v>16</v>
      </c>
      <c r="Q286" s="388">
        <v>8</v>
      </c>
      <c r="R286" s="306" t="str">
        <f t="shared" si="180"/>
        <v>16-8</v>
      </c>
      <c r="S286" s="153"/>
      <c r="T286" s="148" t="str">
        <f t="shared" si="181"/>
        <v>Completed</v>
      </c>
      <c r="U286" s="153"/>
      <c r="V286" s="153"/>
      <c r="W286" s="387">
        <f t="shared" si="182"/>
        <v>8</v>
      </c>
      <c r="X286" s="387">
        <f t="shared" si="183"/>
        <v>-8</v>
      </c>
      <c r="Y286" s="301">
        <f t="shared" si="184"/>
        <v>2</v>
      </c>
      <c r="Z286" s="301">
        <f t="shared" si="185"/>
        <v>0</v>
      </c>
      <c r="AA286" s="323" t="str">
        <f>CONCATENATE("                x[team1,team2,sport,'",IF(OR(I286="x",I286=""),VLOOKUP('Schedule from TM'!J286,Tables!$P$3:$Q$33,2,FALSE),'Schedule from TM'!I286),",",J286,"','",IF(OR(F286="x",F286=""),VLOOKUP('Schedule from TM'!G286,Tables!$U$3:$V$14,2,FALSE),'Schedule from TM'!F286),",",TEXT(G286,"mm/dd/yyyy"),"','",TEXT(H286,"h:mm:ss AM/PM"),"'].ub=0.0      #",B286)</f>
        <v xml:space="preserve">                x[team1,team2,sport,'21,Hillel - Field 1','11,11/19/2017','6:50:00 PM'].ub=0.0      #Ch D Male Flag Football</v>
      </c>
      <c r="AB286" s="301" t="str">
        <f t="shared" si="186"/>
        <v>,,Ch D Male Flag Football,,1,CHILD DM - VEN 2</v>
      </c>
      <c r="AC286" s="153" t="str">
        <f t="shared" si="187"/>
        <v>Ch D Male Flag FootballCHILD DM - VEN 2</v>
      </c>
      <c r="AD286" s="301" t="str">
        <f t="shared" si="188"/>
        <v>,,Ch D Male Flag Football,,1,CHILD DM - PER</v>
      </c>
      <c r="AE286" s="153" t="str">
        <f t="shared" si="189"/>
        <v>Ch D Male Flag FootballCHILD DM - PER</v>
      </c>
      <c r="AF286" s="383">
        <f t="shared" si="190"/>
        <v>1</v>
      </c>
      <c r="AG286" s="383">
        <f t="shared" si="191"/>
        <v>0</v>
      </c>
      <c r="AH286" s="383">
        <f t="shared" si="192"/>
        <v>0</v>
      </c>
      <c r="AI286" s="383">
        <f t="shared" si="193"/>
        <v>0</v>
      </c>
      <c r="AJ286" s="383">
        <f t="shared" si="194"/>
        <v>1</v>
      </c>
      <c r="AK286" s="383">
        <f t="shared" si="195"/>
        <v>0</v>
      </c>
      <c r="AM286" s="148" t="str">
        <f t="shared" si="196"/>
        <v>Schedulled</v>
      </c>
      <c r="AN286" s="148" t="str">
        <f t="shared" si="197"/>
        <v/>
      </c>
      <c r="AO286" s="156">
        <f t="shared" si="198"/>
        <v>43058.784722222219</v>
      </c>
      <c r="AP286" s="148" t="str">
        <f t="shared" si="199"/>
        <v>11/19/2017 18:50-&gt;Hillel - Field 1</v>
      </c>
      <c r="AQ286" s="374">
        <f t="shared" si="200"/>
        <v>1</v>
      </c>
      <c r="AR286" s="148" t="str">
        <f t="shared" si="201"/>
        <v>VEN2</v>
      </c>
      <c r="AS286" s="148" t="str">
        <f t="shared" si="202"/>
        <v>PER</v>
      </c>
      <c r="AT286" s="157" t="str">
        <f t="shared" si="203"/>
        <v>VEN2-PER</v>
      </c>
      <c r="AU286" s="157" t="str">
        <f t="shared" si="204"/>
        <v xml:space="preserve">VEN2-PER </v>
      </c>
      <c r="AV286" s="157" t="str">
        <f t="shared" si="205"/>
        <v>CHILDREN D MALE</v>
      </c>
      <c r="AW286" s="157" t="str">
        <f t="shared" si="206"/>
        <v>Flag Football</v>
      </c>
      <c r="AX286" s="376">
        <f t="shared" si="207"/>
        <v>284</v>
      </c>
      <c r="AY286" s="148" t="str">
        <f t="shared" si="208"/>
        <v>CHILD DM - VEN 2-&gt;CHILD DM - PER</v>
      </c>
      <c r="AZ286" s="148" t="str">
        <f t="shared" si="209"/>
        <v>11/19/2017 18:50-&gt;CHILD DM - VEN 2</v>
      </c>
      <c r="BA286" s="148" t="str">
        <f t="shared" si="210"/>
        <v>11/19/2017 18:50-&gt;CHILD DM - PER</v>
      </c>
      <c r="BB286" s="374">
        <f t="shared" si="211"/>
        <v>1</v>
      </c>
      <c r="BC286" s="374">
        <f t="shared" si="212"/>
        <v>1</v>
      </c>
      <c r="BD286" s="148" t="str">
        <f t="shared" si="213"/>
        <v>no conflict</v>
      </c>
      <c r="BF286" s="148" t="str">
        <f t="shared" si="214"/>
        <v>11/19/2017 18:50-&gt;CHILD DM - VEN 2</v>
      </c>
      <c r="BG286" s="148" t="str">
        <f t="shared" si="215"/>
        <v>11/19/2017 18:50-&gt;CHILD DM - PER</v>
      </c>
      <c r="BH286" s="148" t="str">
        <f t="shared" si="216"/>
        <v>11/19/2017 18:50-&gt;Hillel - Field 1</v>
      </c>
      <c r="BI286" s="148" t="str">
        <f t="shared" si="217"/>
        <v>Flag Football in Hillel - Field 1 (VEN2-PER)</v>
      </c>
      <c r="BJ286" s="148" t="str">
        <f t="shared" si="218"/>
        <v>Ch D Male Flag Football-- CHILD DM - VEN 2 vs. CHILD DM - PER</v>
      </c>
      <c r="BK286" s="148" t="str">
        <f t="shared" si="219"/>
        <v>Flag Football</v>
      </c>
      <c r="BL286" s="148" t="str">
        <f t="shared" si="220"/>
        <v>CHILD DM - VEN 2</v>
      </c>
      <c r="BM286" s="148" t="str">
        <f t="shared" si="221"/>
        <v>CHILD DM - PER</v>
      </c>
      <c r="BN286" s="148" t="str">
        <f t="shared" si="222"/>
        <v>Round - 1</v>
      </c>
      <c r="BP286" s="148" t="str">
        <f t="shared" si="223"/>
        <v>no t, f, or sf</v>
      </c>
      <c r="BQ286" s="148" t="str">
        <f t="shared" si="224"/>
        <v/>
      </c>
    </row>
    <row r="287" spans="1:69" ht="15" customHeight="1" x14ac:dyDescent="0.2">
      <c r="A287" s="376">
        <v>285</v>
      </c>
      <c r="B287" s="433" t="s">
        <v>55</v>
      </c>
      <c r="C287" s="444" t="s">
        <v>518</v>
      </c>
      <c r="D287" s="451">
        <v>1</v>
      </c>
      <c r="E287" s="451">
        <v>1</v>
      </c>
      <c r="F287" s="315" t="s">
        <v>770</v>
      </c>
      <c r="G287" s="445">
        <v>43059</v>
      </c>
      <c r="H287" s="317">
        <v>0.78472222222222221</v>
      </c>
      <c r="I287" s="325" t="s">
        <v>770</v>
      </c>
      <c r="J287" s="444" t="s">
        <v>703</v>
      </c>
      <c r="K287" s="444">
        <v>41</v>
      </c>
      <c r="L287" t="s">
        <v>598</v>
      </c>
      <c r="M287">
        <v>41</v>
      </c>
      <c r="N287" t="s">
        <v>599</v>
      </c>
      <c r="O287" s="153" t="str">
        <f>IF(L287&lt;&gt;"",IFERROR(VLOOKUP(B287&amp;L287,Pools!$A$2:$D$130,3,FALSE),""),"")</f>
        <v/>
      </c>
      <c r="P287" s="388">
        <v>6</v>
      </c>
      <c r="Q287" s="388">
        <v>20</v>
      </c>
      <c r="R287" s="306" t="str">
        <f t="shared" si="180"/>
        <v>6-20</v>
      </c>
      <c r="S287" s="153"/>
      <c r="T287" s="148" t="str">
        <f t="shared" si="181"/>
        <v>Completed</v>
      </c>
      <c r="U287" s="153"/>
      <c r="V287" s="153"/>
      <c r="W287" s="387">
        <f t="shared" si="182"/>
        <v>-14</v>
      </c>
      <c r="X287" s="387">
        <f t="shared" si="183"/>
        <v>14</v>
      </c>
      <c r="Y287" s="301">
        <f t="shared" si="184"/>
        <v>0</v>
      </c>
      <c r="Z287" s="301">
        <f t="shared" si="185"/>
        <v>2</v>
      </c>
      <c r="AA287" s="323" t="str">
        <f>CONCATENATE("                x[team1,team2,sport,'",IF(OR(I287="x",I287=""),VLOOKUP('Schedule from TM'!J287,Tables!$P$3:$Q$33,2,FALSE),'Schedule from TM'!I287),",",J287,"','",IF(OR(F287="x",F287=""),VLOOKUP('Schedule from TM'!G287,Tables!$U$3:$V$14,2,FALSE),'Schedule from TM'!F287),",",TEXT(G287,"mm/dd/yyyy"),"','",TEXT(H287,"h:mm:ss AM/PM"),"'].ub=0.0      #",B287)</f>
        <v xml:space="preserve">                x[team1,team2,sport,'21,Hillel - Field 1','22,11/20/2017','6:50:00 PM'].ub=0.0      #Ch D Male Flag Football</v>
      </c>
      <c r="AB287" s="301" t="str">
        <f t="shared" si="186"/>
        <v>,,Ch D Male Flag Football,,1,CHILD DM - ARG 2</v>
      </c>
      <c r="AC287" s="153" t="str">
        <f t="shared" si="187"/>
        <v>Ch D Male Flag FootballCHILD DM - ARG 2</v>
      </c>
      <c r="AD287" s="301" t="str">
        <f t="shared" si="188"/>
        <v>,,Ch D Male Flag Football,,1,CHILD DM - COL 2</v>
      </c>
      <c r="AE287" s="153" t="str">
        <f t="shared" si="189"/>
        <v>Ch D Male Flag FootballCHILD DM - COL 2</v>
      </c>
      <c r="AF287" s="383">
        <f t="shared" si="190"/>
        <v>0</v>
      </c>
      <c r="AG287" s="383">
        <f t="shared" si="191"/>
        <v>1</v>
      </c>
      <c r="AH287" s="383">
        <f t="shared" si="192"/>
        <v>0</v>
      </c>
      <c r="AI287" s="383">
        <f t="shared" si="193"/>
        <v>1</v>
      </c>
      <c r="AJ287" s="383">
        <f t="shared" si="194"/>
        <v>0</v>
      </c>
      <c r="AK287" s="383">
        <f t="shared" si="195"/>
        <v>0</v>
      </c>
      <c r="AM287" s="148" t="str">
        <f t="shared" si="196"/>
        <v>Schedulled</v>
      </c>
      <c r="AN287" s="148" t="str">
        <f t="shared" si="197"/>
        <v/>
      </c>
      <c r="AO287" s="156">
        <f t="shared" si="198"/>
        <v>43059.784722222219</v>
      </c>
      <c r="AP287" s="148" t="str">
        <f t="shared" si="199"/>
        <v>11/20/2017 18:50-&gt;Hillel - Field 1</v>
      </c>
      <c r="AQ287" s="374">
        <f t="shared" si="200"/>
        <v>1</v>
      </c>
      <c r="AR287" s="148" t="str">
        <f t="shared" si="201"/>
        <v>ARG2</v>
      </c>
      <c r="AS287" s="148" t="str">
        <f t="shared" si="202"/>
        <v>COL2</v>
      </c>
      <c r="AT287" s="157" t="str">
        <f t="shared" si="203"/>
        <v>ARG2-COL2</v>
      </c>
      <c r="AU287" s="157" t="str">
        <f t="shared" si="204"/>
        <v xml:space="preserve">ARG2-COL2 </v>
      </c>
      <c r="AV287" s="157" t="str">
        <f t="shared" si="205"/>
        <v>CHILDREN D MALE</v>
      </c>
      <c r="AW287" s="157" t="str">
        <f t="shared" si="206"/>
        <v>Flag Football</v>
      </c>
      <c r="AX287" s="376">
        <f t="shared" si="207"/>
        <v>285</v>
      </c>
      <c r="AY287" s="148" t="str">
        <f t="shared" si="208"/>
        <v>CHILD DM - ARG 2-&gt;CHILD DM - COL 2</v>
      </c>
      <c r="AZ287" s="148" t="str">
        <f t="shared" si="209"/>
        <v>11/20/2017 18:50-&gt;CHILD DM - ARG 2</v>
      </c>
      <c r="BA287" s="148" t="str">
        <f t="shared" si="210"/>
        <v>11/20/2017 18:50-&gt;CHILD DM - COL 2</v>
      </c>
      <c r="BB287" s="374">
        <f t="shared" si="211"/>
        <v>1</v>
      </c>
      <c r="BC287" s="374">
        <f t="shared" si="212"/>
        <v>1</v>
      </c>
      <c r="BD287" s="148" t="str">
        <f t="shared" si="213"/>
        <v>no conflict</v>
      </c>
      <c r="BF287" s="148" t="str">
        <f t="shared" si="214"/>
        <v>11/20/2017 18:50-&gt;CHILD DM - ARG 2</v>
      </c>
      <c r="BG287" s="148" t="str">
        <f t="shared" si="215"/>
        <v>11/20/2017 18:50-&gt;CHILD DM - COL 2</v>
      </c>
      <c r="BH287" s="148" t="str">
        <f t="shared" si="216"/>
        <v>11/20/2017 18:50-&gt;Hillel - Field 1</v>
      </c>
      <c r="BI287" s="148" t="str">
        <f t="shared" si="217"/>
        <v>Flag Football in Hillel - Field 1 (ARG2-COL2)</v>
      </c>
      <c r="BJ287" s="148" t="str">
        <f t="shared" si="218"/>
        <v>Ch D Male Flag Football-- CHILD DM - ARG 2 vs. CHILD DM - COL 2</v>
      </c>
      <c r="BK287" s="148" t="str">
        <f t="shared" si="219"/>
        <v>Flag Football</v>
      </c>
      <c r="BL287" s="148" t="str">
        <f t="shared" si="220"/>
        <v>CHILD DM - ARG 2</v>
      </c>
      <c r="BM287" s="148" t="str">
        <f t="shared" si="221"/>
        <v>CHILD DM - COL 2</v>
      </c>
      <c r="BN287" s="148" t="str">
        <f t="shared" si="222"/>
        <v>Round - 1</v>
      </c>
      <c r="BP287" s="148" t="str">
        <f t="shared" si="223"/>
        <v>no t, f, or sf</v>
      </c>
      <c r="BQ287" s="148" t="str">
        <f t="shared" si="224"/>
        <v/>
      </c>
    </row>
    <row r="288" spans="1:69" ht="15" customHeight="1" x14ac:dyDescent="0.2">
      <c r="A288" s="376">
        <v>286</v>
      </c>
      <c r="B288" s="315" t="s">
        <v>55</v>
      </c>
      <c r="C288" s="315" t="s">
        <v>518</v>
      </c>
      <c r="D288" s="378">
        <v>1</v>
      </c>
      <c r="E288" s="378">
        <v>1</v>
      </c>
      <c r="F288" s="315" t="s">
        <v>770</v>
      </c>
      <c r="G288" s="316">
        <v>43059</v>
      </c>
      <c r="H288" s="317">
        <v>0.78472222222222221</v>
      </c>
      <c r="I288" s="325" t="s">
        <v>770</v>
      </c>
      <c r="J288" s="444" t="s">
        <v>706</v>
      </c>
      <c r="K288" s="315">
        <v>41</v>
      </c>
      <c r="L288" t="s">
        <v>600</v>
      </c>
      <c r="M288">
        <v>41</v>
      </c>
      <c r="N288" t="s">
        <v>594</v>
      </c>
      <c r="O288" s="153" t="str">
        <f>IF(L288&lt;&gt;"",IFERROR(VLOOKUP(B288&amp;L288,Pools!$A$2:$D$130,3,FALSE),""),"")</f>
        <v/>
      </c>
      <c r="P288" s="388">
        <v>0</v>
      </c>
      <c r="Q288" s="388">
        <v>13</v>
      </c>
      <c r="R288" s="306" t="str">
        <f t="shared" si="180"/>
        <v>0-13</v>
      </c>
      <c r="S288" s="153"/>
      <c r="T288" s="148" t="str">
        <f t="shared" si="181"/>
        <v>Completed</v>
      </c>
      <c r="U288" s="153"/>
      <c r="V288" s="153"/>
      <c r="W288" s="387">
        <f t="shared" si="182"/>
        <v>-13</v>
      </c>
      <c r="X288" s="387">
        <f t="shared" si="183"/>
        <v>13</v>
      </c>
      <c r="Y288" s="301">
        <f t="shared" si="184"/>
        <v>0</v>
      </c>
      <c r="Z288" s="301">
        <f t="shared" si="185"/>
        <v>2</v>
      </c>
      <c r="AA288" s="323" t="str">
        <f>CONCATENATE("                x[team1,team2,sport,'",IF(OR(I288="x",I288=""),VLOOKUP('Schedule from TM'!J288,Tables!$P$3:$Q$33,2,FALSE),'Schedule from TM'!I288),",",J288,"','",IF(OR(F288="x",F288=""),VLOOKUP('Schedule from TM'!G288,Tables!$U$3:$V$14,2,FALSE),'Schedule from TM'!F288),",",TEXT(G288,"mm/dd/yyyy"),"','",TEXT(H288,"h:mm:ss AM/PM"),"'].ub=0.0      #",B288)</f>
        <v xml:space="preserve">                x[team1,team2,sport,'21,Hillel - Field 4','22,11/20/2017','6:50:00 PM'].ub=0.0      #Ch D Male Flag Football</v>
      </c>
      <c r="AB288" s="301" t="str">
        <f t="shared" si="186"/>
        <v>,,Ch D Male Flag Football,,1,CHILD DM - ISR 1</v>
      </c>
      <c r="AC288" s="153" t="str">
        <f t="shared" si="187"/>
        <v>Ch D Male Flag FootballCHILD DM - ISR 1</v>
      </c>
      <c r="AD288" s="301" t="str">
        <f t="shared" si="188"/>
        <v>,,Ch D Male Flag Football,,1,CHILD DM - PER</v>
      </c>
      <c r="AE288" s="153" t="str">
        <f t="shared" si="189"/>
        <v>Ch D Male Flag FootballCHILD DM - PER</v>
      </c>
      <c r="AF288" s="383">
        <f t="shared" si="190"/>
        <v>0</v>
      </c>
      <c r="AG288" s="383">
        <f t="shared" si="191"/>
        <v>1</v>
      </c>
      <c r="AH288" s="383">
        <f t="shared" si="192"/>
        <v>0</v>
      </c>
      <c r="AI288" s="383">
        <f t="shared" si="193"/>
        <v>1</v>
      </c>
      <c r="AJ288" s="383">
        <f t="shared" si="194"/>
        <v>0</v>
      </c>
      <c r="AK288" s="383">
        <f t="shared" si="195"/>
        <v>0</v>
      </c>
      <c r="AM288" s="148" t="str">
        <f t="shared" si="196"/>
        <v>Schedulled</v>
      </c>
      <c r="AN288" s="148" t="str">
        <f t="shared" si="197"/>
        <v/>
      </c>
      <c r="AO288" s="156">
        <f t="shared" si="198"/>
        <v>43059.784722222219</v>
      </c>
      <c r="AP288" s="148" t="str">
        <f t="shared" si="199"/>
        <v>11/20/2017 18:50-&gt;Hillel - Field 4</v>
      </c>
      <c r="AQ288" s="374">
        <f t="shared" si="200"/>
        <v>1</v>
      </c>
      <c r="AR288" s="148" t="str">
        <f t="shared" si="201"/>
        <v>ISR1</v>
      </c>
      <c r="AS288" s="148" t="str">
        <f t="shared" si="202"/>
        <v>PER</v>
      </c>
      <c r="AT288" s="157" t="str">
        <f t="shared" si="203"/>
        <v>ISR1-PER</v>
      </c>
      <c r="AU288" s="157" t="str">
        <f t="shared" si="204"/>
        <v xml:space="preserve">ISR1-PER </v>
      </c>
      <c r="AV288" s="157" t="str">
        <f t="shared" si="205"/>
        <v>CHILDREN D MALE</v>
      </c>
      <c r="AW288" s="157" t="str">
        <f t="shared" si="206"/>
        <v>Flag Football</v>
      </c>
      <c r="AX288" s="376">
        <f t="shared" si="207"/>
        <v>286</v>
      </c>
      <c r="AY288" s="148" t="str">
        <f t="shared" si="208"/>
        <v>CHILD DM - ISR 1-&gt;CHILD DM - PER</v>
      </c>
      <c r="AZ288" s="148" t="str">
        <f t="shared" si="209"/>
        <v>11/20/2017 18:50-&gt;CHILD DM - ISR 1</v>
      </c>
      <c r="BA288" s="148" t="str">
        <f t="shared" si="210"/>
        <v>11/20/2017 18:50-&gt;CHILD DM - PER</v>
      </c>
      <c r="BB288" s="374">
        <f t="shared" si="211"/>
        <v>1</v>
      </c>
      <c r="BC288" s="374">
        <f t="shared" si="212"/>
        <v>1</v>
      </c>
      <c r="BD288" s="148" t="str">
        <f t="shared" si="213"/>
        <v>no conflict</v>
      </c>
      <c r="BF288" s="148" t="str">
        <f t="shared" si="214"/>
        <v>11/20/2017 18:50-&gt;CHILD DM - ISR 1</v>
      </c>
      <c r="BG288" s="148" t="str">
        <f t="shared" si="215"/>
        <v>11/20/2017 18:50-&gt;CHILD DM - PER</v>
      </c>
      <c r="BH288" s="148" t="str">
        <f t="shared" si="216"/>
        <v>11/20/2017 18:50-&gt;Hillel - Field 4</v>
      </c>
      <c r="BI288" s="148" t="str">
        <f t="shared" si="217"/>
        <v>Flag Football in Hillel - Field 4 (ISR1-PER)</v>
      </c>
      <c r="BJ288" s="148" t="str">
        <f t="shared" si="218"/>
        <v>Ch D Male Flag Football-- CHILD DM - ISR 1 vs. CHILD DM - PER</v>
      </c>
      <c r="BK288" s="148" t="str">
        <f t="shared" si="219"/>
        <v>Flag Football</v>
      </c>
      <c r="BL288" s="148" t="str">
        <f t="shared" si="220"/>
        <v>CHILD DM - ISR 1</v>
      </c>
      <c r="BM288" s="148" t="str">
        <f t="shared" si="221"/>
        <v>CHILD DM - PER</v>
      </c>
      <c r="BN288" s="148" t="str">
        <f t="shared" si="222"/>
        <v>Round - 1</v>
      </c>
      <c r="BP288" s="148" t="str">
        <f t="shared" si="223"/>
        <v>no t, f, or sf</v>
      </c>
      <c r="BQ288" s="148" t="str">
        <f t="shared" si="224"/>
        <v/>
      </c>
    </row>
    <row r="289" spans="1:69" ht="15" customHeight="1" x14ac:dyDescent="0.2">
      <c r="A289" s="376">
        <v>287</v>
      </c>
      <c r="B289" s="433" t="s">
        <v>55</v>
      </c>
      <c r="C289" s="444" t="s">
        <v>518</v>
      </c>
      <c r="D289" s="451">
        <v>1</v>
      </c>
      <c r="E289" s="451">
        <v>1</v>
      </c>
      <c r="F289" s="315" t="s">
        <v>770</v>
      </c>
      <c r="G289" s="445">
        <v>43060</v>
      </c>
      <c r="H289" s="317">
        <v>0.78472222222222221</v>
      </c>
      <c r="I289" s="325" t="s">
        <v>770</v>
      </c>
      <c r="J289" s="444" t="s">
        <v>704</v>
      </c>
      <c r="K289" s="444">
        <v>41</v>
      </c>
      <c r="L289" t="s">
        <v>597</v>
      </c>
      <c r="M289">
        <v>41</v>
      </c>
      <c r="N289" t="s">
        <v>601</v>
      </c>
      <c r="O289" s="153" t="str">
        <f>IF(L289&lt;&gt;"",IFERROR(VLOOKUP(B289&amp;L289,Pools!$A$2:$D$130,3,FALSE),""),"")</f>
        <v/>
      </c>
      <c r="P289" s="388">
        <v>0</v>
      </c>
      <c r="Q289" s="388">
        <v>37</v>
      </c>
      <c r="R289" s="306" t="str">
        <f t="shared" si="180"/>
        <v>0-37</v>
      </c>
      <c r="S289" s="153"/>
      <c r="T289" s="148" t="str">
        <f t="shared" si="181"/>
        <v>Completed</v>
      </c>
      <c r="U289" s="153"/>
      <c r="V289" s="153"/>
      <c r="W289" s="387">
        <f t="shared" si="182"/>
        <v>-21</v>
      </c>
      <c r="X289" s="387">
        <f t="shared" si="183"/>
        <v>21</v>
      </c>
      <c r="Y289" s="301">
        <f t="shared" si="184"/>
        <v>0</v>
      </c>
      <c r="Z289" s="301">
        <f t="shared" si="185"/>
        <v>2</v>
      </c>
      <c r="AA289" s="323" t="str">
        <f>CONCATENATE("                x[team1,team2,sport,'",IF(OR(I289="x",I289=""),VLOOKUP('Schedule from TM'!J289,Tables!$P$3:$Q$33,2,FALSE),'Schedule from TM'!I289),",",J289,"','",IF(OR(F289="x",F289=""),VLOOKUP('Schedule from TM'!G289,Tables!$U$3:$V$14,2,FALSE),'Schedule from TM'!F289),",",TEXT(G289,"mm/dd/yyyy"),"','",TEXT(H289,"h:mm:ss AM/PM"),"'].ub=0.0      #",B289)</f>
        <v xml:space="preserve">                x[team1,team2,sport,'21,Hillel - Field 2','22,11/21/2017','6:50:00 PM'].ub=0.0      #Ch D Male Flag Football</v>
      </c>
      <c r="AB289" s="301" t="str">
        <f t="shared" si="186"/>
        <v>,,Ch D Male Flag Football,,1,CHILD DM - VEN 1</v>
      </c>
      <c r="AC289" s="153" t="str">
        <f t="shared" si="187"/>
        <v>Ch D Male Flag FootballCHILD DM - VEN 1</v>
      </c>
      <c r="AD289" s="301" t="str">
        <f t="shared" si="188"/>
        <v>,,Ch D Male Flag Football,,1,CHILD DM - MEX</v>
      </c>
      <c r="AE289" s="153" t="str">
        <f t="shared" si="189"/>
        <v>Ch D Male Flag FootballCHILD DM - MEX</v>
      </c>
      <c r="AF289" s="383">
        <f t="shared" si="190"/>
        <v>0</v>
      </c>
      <c r="AG289" s="383">
        <f t="shared" si="191"/>
        <v>1</v>
      </c>
      <c r="AH289" s="383">
        <f t="shared" si="192"/>
        <v>0</v>
      </c>
      <c r="AI289" s="383">
        <f t="shared" si="193"/>
        <v>1</v>
      </c>
      <c r="AJ289" s="383">
        <f t="shared" si="194"/>
        <v>0</v>
      </c>
      <c r="AK289" s="383">
        <f t="shared" si="195"/>
        <v>0</v>
      </c>
      <c r="AM289" s="148" t="str">
        <f t="shared" si="196"/>
        <v>Schedulled</v>
      </c>
      <c r="AN289" s="148" t="str">
        <f t="shared" si="197"/>
        <v/>
      </c>
      <c r="AO289" s="156">
        <f t="shared" si="198"/>
        <v>43060.784722222219</v>
      </c>
      <c r="AP289" s="148" t="str">
        <f t="shared" si="199"/>
        <v>11/21/2017 18:50-&gt;Hillel - Field 2</v>
      </c>
      <c r="AQ289" s="374">
        <f t="shared" si="200"/>
        <v>1</v>
      </c>
      <c r="AR289" s="148" t="str">
        <f t="shared" si="201"/>
        <v>VEN1</v>
      </c>
      <c r="AS289" s="148" t="str">
        <f t="shared" si="202"/>
        <v>MEX</v>
      </c>
      <c r="AT289" s="157" t="str">
        <f t="shared" si="203"/>
        <v>VEN1-MEX</v>
      </c>
      <c r="AU289" s="157" t="str">
        <f t="shared" si="204"/>
        <v xml:space="preserve">VEN1-MEX </v>
      </c>
      <c r="AV289" s="157" t="str">
        <f t="shared" si="205"/>
        <v>CHILDREN D MALE</v>
      </c>
      <c r="AW289" s="157" t="str">
        <f t="shared" si="206"/>
        <v>Flag Football</v>
      </c>
      <c r="AX289" s="376">
        <f t="shared" si="207"/>
        <v>287</v>
      </c>
      <c r="AY289" s="148" t="str">
        <f t="shared" si="208"/>
        <v>CHILD DM - VEN 1-&gt;CHILD DM - MEX</v>
      </c>
      <c r="AZ289" s="148" t="str">
        <f t="shared" si="209"/>
        <v>11/21/2017 18:50-&gt;CHILD DM - VEN 1</v>
      </c>
      <c r="BA289" s="148" t="str">
        <f t="shared" si="210"/>
        <v>11/21/2017 18:50-&gt;CHILD DM - MEX</v>
      </c>
      <c r="BB289" s="374">
        <f t="shared" si="211"/>
        <v>1</v>
      </c>
      <c r="BC289" s="374">
        <f t="shared" si="212"/>
        <v>1</v>
      </c>
      <c r="BD289" s="148" t="str">
        <f t="shared" si="213"/>
        <v>no conflict</v>
      </c>
      <c r="BF289" s="148" t="str">
        <f t="shared" si="214"/>
        <v>11/21/2017 18:50-&gt;CHILD DM - VEN 1</v>
      </c>
      <c r="BG289" s="148" t="str">
        <f t="shared" si="215"/>
        <v>11/21/2017 18:50-&gt;CHILD DM - MEX</v>
      </c>
      <c r="BH289" s="148" t="str">
        <f t="shared" si="216"/>
        <v>11/21/2017 18:50-&gt;Hillel - Field 2</v>
      </c>
      <c r="BI289" s="148" t="str">
        <f t="shared" si="217"/>
        <v>Flag Football in Hillel - Field 2 (VEN1-MEX)</v>
      </c>
      <c r="BJ289" s="148" t="str">
        <f t="shared" si="218"/>
        <v>Ch D Male Flag Football-- CHILD DM - VEN 1 vs. CHILD DM - MEX</v>
      </c>
      <c r="BK289" s="148" t="str">
        <f t="shared" si="219"/>
        <v>Flag Football</v>
      </c>
      <c r="BL289" s="148" t="str">
        <f t="shared" si="220"/>
        <v>CHILD DM - VEN 1</v>
      </c>
      <c r="BM289" s="148" t="str">
        <f t="shared" si="221"/>
        <v>CHILD DM - MEX</v>
      </c>
      <c r="BN289" s="148" t="str">
        <f t="shared" si="222"/>
        <v>Round - 1</v>
      </c>
      <c r="BP289" s="148" t="str">
        <f t="shared" si="223"/>
        <v>no t, f, or sf</v>
      </c>
      <c r="BQ289" s="148" t="str">
        <f t="shared" si="224"/>
        <v/>
      </c>
    </row>
    <row r="290" spans="1:69" ht="15" customHeight="1" x14ac:dyDescent="0.2">
      <c r="A290" s="376">
        <v>288</v>
      </c>
      <c r="B290" s="444" t="s">
        <v>55</v>
      </c>
      <c r="C290" s="444" t="s">
        <v>518</v>
      </c>
      <c r="D290" s="451">
        <v>1</v>
      </c>
      <c r="E290" s="451">
        <v>1</v>
      </c>
      <c r="F290" s="315" t="s">
        <v>770</v>
      </c>
      <c r="G290" s="445">
        <v>43060</v>
      </c>
      <c r="H290" s="317">
        <v>0.78472222222222221</v>
      </c>
      <c r="I290" s="325" t="s">
        <v>770</v>
      </c>
      <c r="J290" s="444" t="s">
        <v>705</v>
      </c>
      <c r="K290" s="444">
        <v>41</v>
      </c>
      <c r="L290" t="s">
        <v>593</v>
      </c>
      <c r="M290">
        <v>41</v>
      </c>
      <c r="N290" t="s">
        <v>600</v>
      </c>
      <c r="O290" s="153" t="str">
        <f>IF(L290&lt;&gt;"",IFERROR(VLOOKUP(B290&amp;L290,Pools!$A$2:$D$130,3,FALSE),""),"")</f>
        <v/>
      </c>
      <c r="P290" s="388">
        <v>6</v>
      </c>
      <c r="Q290" s="388">
        <v>0</v>
      </c>
      <c r="R290" s="306" t="str">
        <f t="shared" si="180"/>
        <v>6-0</v>
      </c>
      <c r="S290" s="153"/>
      <c r="T290" s="148" t="str">
        <f t="shared" si="181"/>
        <v>Completed</v>
      </c>
      <c r="U290" s="153"/>
      <c r="V290" s="153"/>
      <c r="W290" s="387">
        <f t="shared" si="182"/>
        <v>6</v>
      </c>
      <c r="X290" s="387">
        <f t="shared" si="183"/>
        <v>-6</v>
      </c>
      <c r="Y290" s="301">
        <f t="shared" si="184"/>
        <v>2</v>
      </c>
      <c r="Z290" s="301">
        <f t="shared" si="185"/>
        <v>0</v>
      </c>
      <c r="AA290" s="323" t="str">
        <f>CONCATENATE("                x[team1,team2,sport,'",IF(OR(I290="x",I290=""),VLOOKUP('Schedule from TM'!J290,Tables!$P$3:$Q$33,2,FALSE),'Schedule from TM'!I290),",",J290,"','",IF(OR(F290="x",F290=""),VLOOKUP('Schedule from TM'!G290,Tables!$U$3:$V$14,2,FALSE),'Schedule from TM'!F290),",",TEXT(G290,"mm/dd/yyyy"),"','",TEXT(H290,"h:mm:ss AM/PM"),"'].ub=0.0      #",B290)</f>
        <v xml:space="preserve">                x[team1,team2,sport,'21,Hillel - Field 3','22,11/21/2017','6:50:00 PM'].ub=0.0      #Ch D Male Flag Football</v>
      </c>
      <c r="AB290" s="301" t="str">
        <f t="shared" si="186"/>
        <v>,,Ch D Male Flag Football,,1,CHILD DM - COL 1</v>
      </c>
      <c r="AC290" s="153" t="str">
        <f t="shared" si="187"/>
        <v>Ch D Male Flag FootballCHILD DM - COL 1</v>
      </c>
      <c r="AD290" s="301" t="str">
        <f t="shared" si="188"/>
        <v>,,Ch D Male Flag Football,,1,CHILD DM - ISR 1</v>
      </c>
      <c r="AE290" s="153" t="str">
        <f t="shared" si="189"/>
        <v>Ch D Male Flag FootballCHILD DM - ISR 1</v>
      </c>
      <c r="AF290" s="383">
        <f t="shared" si="190"/>
        <v>1</v>
      </c>
      <c r="AG290" s="383">
        <f t="shared" si="191"/>
        <v>0</v>
      </c>
      <c r="AH290" s="383">
        <f t="shared" si="192"/>
        <v>0</v>
      </c>
      <c r="AI290" s="383">
        <f t="shared" si="193"/>
        <v>0</v>
      </c>
      <c r="AJ290" s="383">
        <f t="shared" si="194"/>
        <v>1</v>
      </c>
      <c r="AK290" s="383">
        <f t="shared" si="195"/>
        <v>0</v>
      </c>
      <c r="AM290" s="148" t="str">
        <f t="shared" si="196"/>
        <v>Schedulled</v>
      </c>
      <c r="AN290" s="148" t="str">
        <f t="shared" si="197"/>
        <v/>
      </c>
      <c r="AO290" s="156">
        <f t="shared" si="198"/>
        <v>43060.784722222219</v>
      </c>
      <c r="AP290" s="148" t="str">
        <f t="shared" si="199"/>
        <v>11/21/2017 18:50-&gt;Hillel - Field 3</v>
      </c>
      <c r="AQ290" s="374">
        <f t="shared" si="200"/>
        <v>1</v>
      </c>
      <c r="AR290" s="148" t="str">
        <f t="shared" si="201"/>
        <v>COL1</v>
      </c>
      <c r="AS290" s="148" t="str">
        <f t="shared" si="202"/>
        <v>ISR1</v>
      </c>
      <c r="AT290" s="157" t="str">
        <f t="shared" si="203"/>
        <v>COL1-ISR1</v>
      </c>
      <c r="AU290" s="157" t="str">
        <f t="shared" si="204"/>
        <v xml:space="preserve">COL1-ISR1 </v>
      </c>
      <c r="AV290" s="157" t="str">
        <f t="shared" si="205"/>
        <v>CHILDREN D MALE</v>
      </c>
      <c r="AW290" s="157" t="str">
        <f t="shared" si="206"/>
        <v>Flag Football</v>
      </c>
      <c r="AX290" s="376">
        <f t="shared" si="207"/>
        <v>288</v>
      </c>
      <c r="AY290" s="148" t="str">
        <f t="shared" si="208"/>
        <v>CHILD DM - COL 1-&gt;CHILD DM - ISR 1</v>
      </c>
      <c r="AZ290" s="148" t="str">
        <f t="shared" si="209"/>
        <v>11/21/2017 18:50-&gt;CHILD DM - COL 1</v>
      </c>
      <c r="BA290" s="148" t="str">
        <f t="shared" si="210"/>
        <v>11/21/2017 18:50-&gt;CHILD DM - ISR 1</v>
      </c>
      <c r="BB290" s="374">
        <f t="shared" si="211"/>
        <v>1</v>
      </c>
      <c r="BC290" s="374">
        <f t="shared" si="212"/>
        <v>1</v>
      </c>
      <c r="BD290" s="148" t="str">
        <f t="shared" si="213"/>
        <v>no conflict</v>
      </c>
      <c r="BF290" s="148" t="str">
        <f t="shared" si="214"/>
        <v>11/21/2017 18:50-&gt;CHILD DM - COL 1</v>
      </c>
      <c r="BG290" s="148" t="str">
        <f t="shared" si="215"/>
        <v>11/21/2017 18:50-&gt;CHILD DM - ISR 1</v>
      </c>
      <c r="BH290" s="148" t="str">
        <f t="shared" si="216"/>
        <v>11/21/2017 18:50-&gt;Hillel - Field 3</v>
      </c>
      <c r="BI290" s="148" t="str">
        <f t="shared" si="217"/>
        <v>Flag Football in Hillel - Field 3 (COL1-ISR1)</v>
      </c>
      <c r="BJ290" s="148" t="str">
        <f t="shared" si="218"/>
        <v>Ch D Male Flag Football-- CHILD DM - COL 1 vs. CHILD DM - ISR 1</v>
      </c>
      <c r="BK290" s="148" t="str">
        <f t="shared" si="219"/>
        <v>Flag Football</v>
      </c>
      <c r="BL290" s="148" t="str">
        <f t="shared" si="220"/>
        <v>CHILD DM - COL 1</v>
      </c>
      <c r="BM290" s="148" t="str">
        <f t="shared" si="221"/>
        <v>CHILD DM - ISR 1</v>
      </c>
      <c r="BN290" s="148" t="str">
        <f t="shared" si="222"/>
        <v>Round - 1</v>
      </c>
      <c r="BP290" s="148" t="str">
        <f t="shared" si="223"/>
        <v>no t, f, or sf</v>
      </c>
      <c r="BQ290" s="148" t="str">
        <f t="shared" si="224"/>
        <v/>
      </c>
    </row>
    <row r="291" spans="1:69" ht="15" customHeight="1" x14ac:dyDescent="0.2">
      <c r="A291" s="376">
        <v>289</v>
      </c>
      <c r="B291" s="433" t="s">
        <v>55</v>
      </c>
      <c r="C291" s="444" t="s">
        <v>518</v>
      </c>
      <c r="D291" s="451">
        <v>1</v>
      </c>
      <c r="E291" s="451">
        <v>1</v>
      </c>
      <c r="F291" s="315" t="s">
        <v>770</v>
      </c>
      <c r="G291" s="445">
        <v>43062</v>
      </c>
      <c r="H291" s="317">
        <v>0.61111111111111105</v>
      </c>
      <c r="I291" s="325" t="s">
        <v>770</v>
      </c>
      <c r="J291" s="444" t="s">
        <v>706</v>
      </c>
      <c r="K291" s="444">
        <v>41</v>
      </c>
      <c r="L291" t="s">
        <v>599</v>
      </c>
      <c r="M291">
        <v>41</v>
      </c>
      <c r="N291" t="s">
        <v>601</v>
      </c>
      <c r="O291" s="153" t="str">
        <f>IF(L291&lt;&gt;"",IFERROR(VLOOKUP(B291&amp;L291,Pools!$A$2:$D$130,3,FALSE),""),"")</f>
        <v/>
      </c>
      <c r="P291" s="388">
        <v>26</v>
      </c>
      <c r="Q291" s="388">
        <v>12</v>
      </c>
      <c r="R291" s="306" t="str">
        <f t="shared" si="180"/>
        <v>26-12</v>
      </c>
      <c r="S291" s="153"/>
      <c r="T291" s="148" t="str">
        <f t="shared" si="181"/>
        <v>Completed</v>
      </c>
      <c r="U291" s="153"/>
      <c r="V291" s="153"/>
      <c r="W291" s="387">
        <f t="shared" si="182"/>
        <v>14</v>
      </c>
      <c r="X291" s="387">
        <f t="shared" si="183"/>
        <v>-14</v>
      </c>
      <c r="Y291" s="301">
        <f t="shared" si="184"/>
        <v>2</v>
      </c>
      <c r="Z291" s="301">
        <f t="shared" si="185"/>
        <v>0</v>
      </c>
      <c r="AA291" s="323" t="str">
        <f>CONCATENATE("                x[team1,team2,sport,'",IF(OR(I291="x",I291=""),VLOOKUP('Schedule from TM'!J291,Tables!$P$3:$Q$33,2,FALSE),'Schedule from TM'!I291),",",J291,"','",IF(OR(F291="x",F291=""),VLOOKUP('Schedule from TM'!G291,Tables!$U$3:$V$14,2,FALSE),'Schedule from TM'!F291),",",TEXT(G291,"mm/dd/yyyy"),"','",TEXT(H291,"h:mm:ss AM/PM"),"'].ub=0.0      #",B291)</f>
        <v xml:space="preserve">                x[team1,team2,sport,'21,Hillel - Field 4','11,11/23/2017','2:40:00 PM'].ub=0.0      #Ch D Male Flag Football</v>
      </c>
      <c r="AB291" s="301" t="str">
        <f t="shared" si="186"/>
        <v>,,Ch D Male Flag Football,,1,CHILD DM - COL 2</v>
      </c>
      <c r="AC291" s="153" t="str">
        <f t="shared" si="187"/>
        <v>Ch D Male Flag FootballCHILD DM - COL 2</v>
      </c>
      <c r="AD291" s="301" t="str">
        <f t="shared" si="188"/>
        <v>,,Ch D Male Flag Football,,1,CHILD DM - MEX</v>
      </c>
      <c r="AE291" s="153" t="str">
        <f t="shared" si="189"/>
        <v>Ch D Male Flag FootballCHILD DM - MEX</v>
      </c>
      <c r="AF291" s="383">
        <f t="shared" si="190"/>
        <v>1</v>
      </c>
      <c r="AG291" s="383">
        <f t="shared" si="191"/>
        <v>0</v>
      </c>
      <c r="AH291" s="383">
        <f t="shared" si="192"/>
        <v>0</v>
      </c>
      <c r="AI291" s="383">
        <f t="shared" si="193"/>
        <v>0</v>
      </c>
      <c r="AJ291" s="383">
        <f t="shared" si="194"/>
        <v>1</v>
      </c>
      <c r="AK291" s="383">
        <f t="shared" si="195"/>
        <v>0</v>
      </c>
      <c r="AM291" s="148" t="str">
        <f t="shared" si="196"/>
        <v>Schedulled</v>
      </c>
      <c r="AN291" s="148" t="str">
        <f t="shared" si="197"/>
        <v/>
      </c>
      <c r="AO291" s="156">
        <f t="shared" si="198"/>
        <v>43062.611111111109</v>
      </c>
      <c r="AP291" s="148" t="str">
        <f t="shared" si="199"/>
        <v>11/23/2017 14:40-&gt;Hillel - Field 4</v>
      </c>
      <c r="AQ291" s="374">
        <f t="shared" si="200"/>
        <v>1</v>
      </c>
      <c r="AR291" s="148" t="str">
        <f t="shared" si="201"/>
        <v>COL2</v>
      </c>
      <c r="AS291" s="148" t="str">
        <f t="shared" si="202"/>
        <v>MEX</v>
      </c>
      <c r="AT291" s="157" t="str">
        <f t="shared" si="203"/>
        <v>COL2-MEX</v>
      </c>
      <c r="AU291" s="157" t="str">
        <f t="shared" si="204"/>
        <v xml:space="preserve">COL2-MEX </v>
      </c>
      <c r="AV291" s="157" t="str">
        <f t="shared" si="205"/>
        <v>CHILDREN D MALE</v>
      </c>
      <c r="AW291" s="157" t="str">
        <f t="shared" si="206"/>
        <v>Flag Football</v>
      </c>
      <c r="AX291" s="376">
        <f t="shared" si="207"/>
        <v>289</v>
      </c>
      <c r="AY291" s="148" t="str">
        <f t="shared" si="208"/>
        <v>CHILD DM - COL 2-&gt;CHILD DM - MEX</v>
      </c>
      <c r="AZ291" s="148" t="str">
        <f t="shared" si="209"/>
        <v>11/23/2017 14:40-&gt;CHILD DM - COL 2</v>
      </c>
      <c r="BA291" s="148" t="str">
        <f t="shared" si="210"/>
        <v>11/23/2017 14:40-&gt;CHILD DM - MEX</v>
      </c>
      <c r="BB291" s="374">
        <f t="shared" si="211"/>
        <v>1</v>
      </c>
      <c r="BC291" s="374">
        <f t="shared" si="212"/>
        <v>1</v>
      </c>
      <c r="BD291" s="148" t="str">
        <f t="shared" si="213"/>
        <v>no conflict</v>
      </c>
      <c r="BF291" s="148" t="str">
        <f t="shared" si="214"/>
        <v>11/23/2017 14:40-&gt;CHILD DM - COL 2</v>
      </c>
      <c r="BG291" s="148" t="str">
        <f t="shared" si="215"/>
        <v>11/23/2017 14:40-&gt;CHILD DM - MEX</v>
      </c>
      <c r="BH291" s="148" t="str">
        <f t="shared" si="216"/>
        <v>11/23/2017 14:40-&gt;Hillel - Field 4</v>
      </c>
      <c r="BI291" s="148" t="str">
        <f t="shared" si="217"/>
        <v>Flag Football in Hillel - Field 4 (COL2-MEX)</v>
      </c>
      <c r="BJ291" s="148" t="str">
        <f t="shared" si="218"/>
        <v>Ch D Male Flag Football-- CHILD DM - COL 2 vs. CHILD DM - MEX</v>
      </c>
      <c r="BK291" s="148" t="str">
        <f t="shared" si="219"/>
        <v>Flag Football</v>
      </c>
      <c r="BL291" s="148" t="str">
        <f t="shared" si="220"/>
        <v>CHILD DM - COL 2</v>
      </c>
      <c r="BM291" s="148" t="str">
        <f t="shared" si="221"/>
        <v>CHILD DM - MEX</v>
      </c>
      <c r="BN291" s="148" t="str">
        <f t="shared" si="222"/>
        <v>Round - 1</v>
      </c>
      <c r="BP291" s="148" t="str">
        <f t="shared" si="223"/>
        <v>no t, f, or sf</v>
      </c>
      <c r="BQ291" s="148" t="str">
        <f t="shared" si="224"/>
        <v/>
      </c>
    </row>
    <row r="292" spans="1:69" ht="15" customHeight="1" x14ac:dyDescent="0.2">
      <c r="A292" s="376">
        <v>290</v>
      </c>
      <c r="B292" s="433" t="s">
        <v>55</v>
      </c>
      <c r="C292" s="315" t="s">
        <v>518</v>
      </c>
      <c r="D292" s="378">
        <v>1</v>
      </c>
      <c r="E292" s="378">
        <v>1</v>
      </c>
      <c r="F292" s="315" t="s">
        <v>770</v>
      </c>
      <c r="G292" s="316">
        <v>43062</v>
      </c>
      <c r="H292" s="317">
        <v>0.68055555555555547</v>
      </c>
      <c r="I292" s="325" t="s">
        <v>770</v>
      </c>
      <c r="J292" s="315" t="s">
        <v>703</v>
      </c>
      <c r="K292" s="315">
        <v>41</v>
      </c>
      <c r="L292" t="s">
        <v>602</v>
      </c>
      <c r="M292">
        <v>41</v>
      </c>
      <c r="N292" t="s">
        <v>598</v>
      </c>
      <c r="O292" s="153" t="str">
        <f>IF(L292&lt;&gt;"",IFERROR(VLOOKUP(B292&amp;L292,Pools!$A$2:$D$130,3,FALSE),""),"")</f>
        <v/>
      </c>
      <c r="P292" s="388">
        <v>27</v>
      </c>
      <c r="Q292" s="388">
        <v>12</v>
      </c>
      <c r="R292" s="306" t="str">
        <f t="shared" si="180"/>
        <v>27-12</v>
      </c>
      <c r="S292" s="153"/>
      <c r="T292" s="148" t="str">
        <f t="shared" si="181"/>
        <v>Completed</v>
      </c>
      <c r="U292" s="153"/>
      <c r="V292" s="153"/>
      <c r="W292" s="387">
        <f t="shared" si="182"/>
        <v>15</v>
      </c>
      <c r="X292" s="387">
        <f t="shared" si="183"/>
        <v>-15</v>
      </c>
      <c r="Y292" s="301">
        <f t="shared" si="184"/>
        <v>2</v>
      </c>
      <c r="Z292" s="301">
        <f t="shared" si="185"/>
        <v>0</v>
      </c>
      <c r="AA292" s="323" t="str">
        <f>CONCATENATE("                x[team1,team2,sport,'",IF(OR(I292="x",I292=""),VLOOKUP('Schedule from TM'!J292,Tables!$P$3:$Q$33,2,FALSE),'Schedule from TM'!I292),",",J292,"','",IF(OR(F292="x",F292=""),VLOOKUP('Schedule from TM'!G292,Tables!$U$3:$V$14,2,FALSE),'Schedule from TM'!F292),",",TEXT(G292,"mm/dd/yyyy"),"','",TEXT(H292,"h:mm:ss AM/PM"),"'].ub=0.0      #",B292)</f>
        <v xml:space="preserve">                x[team1,team2,sport,'21,Hillel - Field 1','11,11/23/2017','4:20:00 PM'].ub=0.0      #Ch D Male Flag Football</v>
      </c>
      <c r="AB292" s="301" t="str">
        <f t="shared" si="186"/>
        <v>,,Ch D Male Flag Football,,1,CHILD DM - VEN 2</v>
      </c>
      <c r="AC292" s="153" t="str">
        <f t="shared" si="187"/>
        <v>Ch D Male Flag FootballCHILD DM - VEN 2</v>
      </c>
      <c r="AD292" s="301" t="str">
        <f t="shared" si="188"/>
        <v>,,Ch D Male Flag Football,,1,CHILD DM - ARG 2</v>
      </c>
      <c r="AE292" s="153" t="str">
        <f t="shared" si="189"/>
        <v>Ch D Male Flag FootballCHILD DM - ARG 2</v>
      </c>
      <c r="AF292" s="383">
        <f t="shared" si="190"/>
        <v>1</v>
      </c>
      <c r="AG292" s="383">
        <f t="shared" si="191"/>
        <v>0</v>
      </c>
      <c r="AH292" s="383">
        <f t="shared" si="192"/>
        <v>0</v>
      </c>
      <c r="AI292" s="383">
        <f t="shared" si="193"/>
        <v>0</v>
      </c>
      <c r="AJ292" s="383">
        <f t="shared" si="194"/>
        <v>1</v>
      </c>
      <c r="AK292" s="383">
        <f t="shared" si="195"/>
        <v>0</v>
      </c>
      <c r="AM292" s="148" t="str">
        <f t="shared" si="196"/>
        <v>Schedulled</v>
      </c>
      <c r="AN292" s="148" t="str">
        <f t="shared" si="197"/>
        <v/>
      </c>
      <c r="AO292" s="156">
        <f t="shared" si="198"/>
        <v>43062.680555555555</v>
      </c>
      <c r="AP292" s="148" t="str">
        <f t="shared" si="199"/>
        <v>11/23/2017 16:20-&gt;Hillel - Field 1</v>
      </c>
      <c r="AQ292" s="374">
        <f t="shared" si="200"/>
        <v>1</v>
      </c>
      <c r="AR292" s="148" t="str">
        <f t="shared" si="201"/>
        <v>VEN2</v>
      </c>
      <c r="AS292" s="148" t="str">
        <f t="shared" si="202"/>
        <v>ARG2</v>
      </c>
      <c r="AT292" s="157" t="str">
        <f t="shared" si="203"/>
        <v>VEN2-ARG2</v>
      </c>
      <c r="AU292" s="157" t="str">
        <f t="shared" si="204"/>
        <v xml:space="preserve">VEN2-ARG2 </v>
      </c>
      <c r="AV292" s="157" t="str">
        <f t="shared" si="205"/>
        <v>CHILDREN D MALE</v>
      </c>
      <c r="AW292" s="157" t="str">
        <f t="shared" si="206"/>
        <v>Flag Football</v>
      </c>
      <c r="AX292" s="376">
        <f t="shared" si="207"/>
        <v>290</v>
      </c>
      <c r="AY292" s="148" t="str">
        <f t="shared" si="208"/>
        <v>CHILD DM - VEN 2-&gt;CHILD DM - ARG 2</v>
      </c>
      <c r="AZ292" s="148" t="str">
        <f t="shared" si="209"/>
        <v>11/23/2017 16:20-&gt;CHILD DM - VEN 2</v>
      </c>
      <c r="BA292" s="148" t="str">
        <f t="shared" si="210"/>
        <v>11/23/2017 16:20-&gt;CHILD DM - ARG 2</v>
      </c>
      <c r="BB292" s="374">
        <f t="shared" si="211"/>
        <v>1</v>
      </c>
      <c r="BC292" s="374">
        <f t="shared" si="212"/>
        <v>1</v>
      </c>
      <c r="BD292" s="148" t="str">
        <f t="shared" si="213"/>
        <v>no conflict</v>
      </c>
      <c r="BF292" s="148" t="str">
        <f t="shared" si="214"/>
        <v>11/23/2017 16:20-&gt;CHILD DM - VEN 2</v>
      </c>
      <c r="BG292" s="148" t="str">
        <f t="shared" si="215"/>
        <v>11/23/2017 16:20-&gt;CHILD DM - ARG 2</v>
      </c>
      <c r="BH292" s="148" t="str">
        <f t="shared" si="216"/>
        <v>11/23/2017 16:20-&gt;Hillel - Field 1</v>
      </c>
      <c r="BI292" s="148" t="str">
        <f t="shared" si="217"/>
        <v>Flag Football in Hillel - Field 1 (VEN2-ARG2)</v>
      </c>
      <c r="BJ292" s="148" t="str">
        <f t="shared" si="218"/>
        <v>Ch D Male Flag Football-- CHILD DM - VEN 2 vs. CHILD DM - ARG 2</v>
      </c>
      <c r="BK292" s="148" t="str">
        <f t="shared" si="219"/>
        <v>Flag Football</v>
      </c>
      <c r="BL292" s="148" t="str">
        <f t="shared" si="220"/>
        <v>CHILD DM - VEN 2</v>
      </c>
      <c r="BM292" s="148" t="str">
        <f t="shared" si="221"/>
        <v>CHILD DM - ARG 2</v>
      </c>
      <c r="BN292" s="148" t="str">
        <f t="shared" si="222"/>
        <v>Round - 1</v>
      </c>
      <c r="BP292" s="148" t="str">
        <f t="shared" si="223"/>
        <v>no t, f, or sf</v>
      </c>
      <c r="BQ292" s="148" t="str">
        <f t="shared" si="224"/>
        <v/>
      </c>
    </row>
    <row r="293" spans="1:69" ht="15" customHeight="1" x14ac:dyDescent="0.2">
      <c r="A293" s="376">
        <v>291</v>
      </c>
      <c r="B293" s="433" t="s">
        <v>55</v>
      </c>
      <c r="C293" s="444" t="s">
        <v>518</v>
      </c>
      <c r="D293" s="451">
        <v>1</v>
      </c>
      <c r="E293" s="451">
        <v>1</v>
      </c>
      <c r="F293" s="315" t="s">
        <v>770</v>
      </c>
      <c r="G293" s="445">
        <v>43063</v>
      </c>
      <c r="H293" s="454">
        <v>0.57638888888888895</v>
      </c>
      <c r="I293" s="325" t="s">
        <v>770</v>
      </c>
      <c r="J293" s="444" t="s">
        <v>706</v>
      </c>
      <c r="K293" s="444">
        <v>41</v>
      </c>
      <c r="L293" s="433" t="s">
        <v>595</v>
      </c>
      <c r="M293">
        <v>41</v>
      </c>
      <c r="N293" s="433" t="s">
        <v>601</v>
      </c>
      <c r="O293" s="153" t="str">
        <f>IF(L293&lt;&gt;"",IFERROR(VLOOKUP(B293&amp;L293,Pools!$A$2:$D$130,3,FALSE),""),"")</f>
        <v/>
      </c>
      <c r="P293" s="388">
        <v>13</v>
      </c>
      <c r="Q293" s="388">
        <v>18</v>
      </c>
      <c r="R293" s="306" t="str">
        <f t="shared" si="180"/>
        <v>13-18</v>
      </c>
      <c r="S293" s="153"/>
      <c r="T293" s="148" t="str">
        <f t="shared" si="181"/>
        <v>Completed</v>
      </c>
      <c r="U293" s="153"/>
      <c r="V293" s="153"/>
      <c r="W293" s="387">
        <f t="shared" si="182"/>
        <v>-5</v>
      </c>
      <c r="X293" s="387">
        <f t="shared" si="183"/>
        <v>5</v>
      </c>
      <c r="Y293" s="301">
        <f t="shared" si="184"/>
        <v>0</v>
      </c>
      <c r="Z293" s="301">
        <f t="shared" si="185"/>
        <v>2</v>
      </c>
      <c r="AA293" s="323" t="str">
        <f>CONCATENATE("                x[team1,team2,sport,'",IF(OR(I293="x",I293=""),VLOOKUP('Schedule from TM'!J293,Tables!$P$3:$Q$33,2,FALSE),'Schedule from TM'!I293),",",J293,"','",IF(OR(F293="x",F293=""),VLOOKUP('Schedule from TM'!G293,Tables!$U$3:$V$14,2,FALSE),'Schedule from TM'!F293),",",TEXT(G293,"mm/dd/yyyy"),"','",TEXT(H293,"h:mm:ss AM/PM"),"'].ub=0.0      #",B293)</f>
        <v xml:space="preserve">                x[team1,team2,sport,'21,Hillel - Field 4','11,11/24/2017','1:50:00 PM'].ub=0.0      #Ch D Male Flag Football</v>
      </c>
      <c r="AB293" s="301" t="str">
        <f t="shared" si="186"/>
        <v>,,Ch D Male Flag Football,,1,CHILD DM - USA 1</v>
      </c>
      <c r="AC293" s="153" t="str">
        <f t="shared" si="187"/>
        <v>Ch D Male Flag FootballCHILD DM - USA 1</v>
      </c>
      <c r="AD293" s="301" t="str">
        <f t="shared" si="188"/>
        <v>,,Ch D Male Flag Football,,1,CHILD DM - MEX</v>
      </c>
      <c r="AE293" s="153" t="str">
        <f t="shared" si="189"/>
        <v>Ch D Male Flag FootballCHILD DM - MEX</v>
      </c>
      <c r="AF293" s="383">
        <f t="shared" si="190"/>
        <v>0</v>
      </c>
      <c r="AG293" s="383">
        <f t="shared" si="191"/>
        <v>1</v>
      </c>
      <c r="AH293" s="383">
        <f t="shared" si="192"/>
        <v>0</v>
      </c>
      <c r="AI293" s="383">
        <f t="shared" si="193"/>
        <v>1</v>
      </c>
      <c r="AJ293" s="383">
        <f t="shared" si="194"/>
        <v>0</v>
      </c>
      <c r="AK293" s="383">
        <f t="shared" si="195"/>
        <v>0</v>
      </c>
      <c r="AM293" s="148" t="str">
        <f t="shared" si="196"/>
        <v>Schedulled</v>
      </c>
      <c r="AN293" s="148" t="str">
        <f t="shared" si="197"/>
        <v/>
      </c>
      <c r="AO293" s="156">
        <f t="shared" si="198"/>
        <v>43063.576388888891</v>
      </c>
      <c r="AP293" s="148" t="str">
        <f t="shared" si="199"/>
        <v>11/24/2017 13:50-&gt;Hillel - Field 4</v>
      </c>
      <c r="AQ293" s="374">
        <f t="shared" si="200"/>
        <v>1</v>
      </c>
      <c r="AR293" s="148" t="str">
        <f t="shared" si="201"/>
        <v>USA1</v>
      </c>
      <c r="AS293" s="148" t="str">
        <f t="shared" si="202"/>
        <v>MEX</v>
      </c>
      <c r="AT293" s="157" t="str">
        <f t="shared" si="203"/>
        <v>USA1-MEX</v>
      </c>
      <c r="AU293" s="157" t="str">
        <f t="shared" si="204"/>
        <v xml:space="preserve">USA1-MEX </v>
      </c>
      <c r="AV293" s="157" t="str">
        <f t="shared" si="205"/>
        <v>CHILDREN D MALE</v>
      </c>
      <c r="AW293" s="157" t="str">
        <f t="shared" si="206"/>
        <v>Flag Football</v>
      </c>
      <c r="AX293" s="376">
        <f t="shared" si="207"/>
        <v>291</v>
      </c>
      <c r="AY293" s="148" t="str">
        <f t="shared" si="208"/>
        <v>CHILD DM - USA 1-&gt;CHILD DM - MEX</v>
      </c>
      <c r="AZ293" s="148" t="str">
        <f t="shared" si="209"/>
        <v>11/24/2017 13:50-&gt;CHILD DM - USA 1</v>
      </c>
      <c r="BA293" s="148" t="str">
        <f t="shared" si="210"/>
        <v>11/24/2017 13:50-&gt;CHILD DM - MEX</v>
      </c>
      <c r="BB293" s="374">
        <f t="shared" si="211"/>
        <v>1</v>
      </c>
      <c r="BC293" s="374">
        <f t="shared" si="212"/>
        <v>1</v>
      </c>
      <c r="BD293" s="148" t="str">
        <f t="shared" si="213"/>
        <v>no conflict</v>
      </c>
      <c r="BF293" s="148" t="str">
        <f t="shared" si="214"/>
        <v>11/24/2017 13:50-&gt;CHILD DM - USA 1</v>
      </c>
      <c r="BG293" s="148" t="str">
        <f t="shared" si="215"/>
        <v>11/24/2017 13:50-&gt;CHILD DM - MEX</v>
      </c>
      <c r="BH293" s="148" t="str">
        <f t="shared" si="216"/>
        <v>11/24/2017 13:50-&gt;Hillel - Field 4</v>
      </c>
      <c r="BI293" s="148" t="str">
        <f t="shared" si="217"/>
        <v>Flag Football in Hillel - Field 4 (USA1-MEX)</v>
      </c>
      <c r="BJ293" s="148" t="str">
        <f t="shared" si="218"/>
        <v>Ch D Male Flag Football-- CHILD DM - USA 1 vs. CHILD DM - MEX</v>
      </c>
      <c r="BK293" s="148" t="str">
        <f t="shared" si="219"/>
        <v>Flag Football</v>
      </c>
      <c r="BL293" s="148" t="str">
        <f t="shared" si="220"/>
        <v>CHILD DM - USA 1</v>
      </c>
      <c r="BM293" s="148" t="str">
        <f t="shared" si="221"/>
        <v>CHILD DM - MEX</v>
      </c>
      <c r="BN293" s="148" t="str">
        <f t="shared" si="222"/>
        <v>Round - 1</v>
      </c>
      <c r="BP293" s="148" t="str">
        <f t="shared" si="223"/>
        <v>no t, f, or sf</v>
      </c>
      <c r="BQ293" s="148" t="str">
        <f t="shared" si="224"/>
        <v/>
      </c>
    </row>
    <row r="294" spans="1:69" ht="15" customHeight="1" x14ac:dyDescent="0.2">
      <c r="A294" s="376">
        <v>292</v>
      </c>
      <c r="B294" s="433" t="s">
        <v>55</v>
      </c>
      <c r="C294" s="315" t="s">
        <v>518</v>
      </c>
      <c r="D294" s="378">
        <v>1</v>
      </c>
      <c r="E294" s="378">
        <v>1</v>
      </c>
      <c r="F294" s="315" t="s">
        <v>770</v>
      </c>
      <c r="G294" s="316">
        <v>43063</v>
      </c>
      <c r="H294" s="417">
        <v>0.61111111111111105</v>
      </c>
      <c r="I294" s="325" t="s">
        <v>770</v>
      </c>
      <c r="J294" s="444" t="s">
        <v>705</v>
      </c>
      <c r="K294" s="444">
        <v>41</v>
      </c>
      <c r="L294" s="433" t="s">
        <v>592</v>
      </c>
      <c r="M294">
        <v>41</v>
      </c>
      <c r="N294" s="433" t="s">
        <v>597</v>
      </c>
      <c r="O294" s="153" t="str">
        <f>IF(L294&lt;&gt;"",IFERROR(VLOOKUP(B294&amp;L294,Pools!$A$2:$D$130,3,FALSE),""),"")</f>
        <v/>
      </c>
      <c r="P294" s="388">
        <v>34</v>
      </c>
      <c r="Q294" s="388">
        <v>12</v>
      </c>
      <c r="R294" s="306" t="str">
        <f t="shared" si="180"/>
        <v>34-12</v>
      </c>
      <c r="S294" s="153"/>
      <c r="T294" s="148" t="str">
        <f t="shared" si="181"/>
        <v>Completed</v>
      </c>
      <c r="U294" s="153"/>
      <c r="V294" s="153"/>
      <c r="W294" s="387">
        <f t="shared" si="182"/>
        <v>21</v>
      </c>
      <c r="X294" s="387">
        <f t="shared" si="183"/>
        <v>-21</v>
      </c>
      <c r="Y294" s="301">
        <f t="shared" si="184"/>
        <v>2</v>
      </c>
      <c r="Z294" s="301">
        <f t="shared" si="185"/>
        <v>0</v>
      </c>
      <c r="AA294" s="323" t="str">
        <f>CONCATENATE("                x[team1,team2,sport,'",IF(OR(I294="x",I294=""),VLOOKUP('Schedule from TM'!J294,Tables!$P$3:$Q$33,2,FALSE),'Schedule from TM'!I294),",",J294,"','",IF(OR(F294="x",F294=""),VLOOKUP('Schedule from TM'!G294,Tables!$U$3:$V$14,2,FALSE),'Schedule from TM'!F294),",",TEXT(G294,"mm/dd/yyyy"),"','",TEXT(H294,"h:mm:ss AM/PM"),"'].ub=0.0      #",B294)</f>
        <v xml:space="preserve">                x[team1,team2,sport,'21,Hillel - Field 3','11,11/24/2017','2:40:00 PM'].ub=0.0      #Ch D Male Flag Football</v>
      </c>
      <c r="AB294" s="301" t="str">
        <f t="shared" si="186"/>
        <v>,,Ch D Male Flag Football,,1,CHILD DM - ARG 1</v>
      </c>
      <c r="AC294" s="153" t="str">
        <f t="shared" si="187"/>
        <v>Ch D Male Flag FootballCHILD DM - ARG 1</v>
      </c>
      <c r="AD294" s="301" t="str">
        <f t="shared" si="188"/>
        <v>,,Ch D Male Flag Football,,1,CHILD DM - VEN 1</v>
      </c>
      <c r="AE294" s="153" t="str">
        <f t="shared" si="189"/>
        <v>Ch D Male Flag FootballCHILD DM - VEN 1</v>
      </c>
      <c r="AF294" s="383">
        <f t="shared" si="190"/>
        <v>1</v>
      </c>
      <c r="AG294" s="383">
        <f t="shared" si="191"/>
        <v>0</v>
      </c>
      <c r="AH294" s="383">
        <f t="shared" si="192"/>
        <v>0</v>
      </c>
      <c r="AI294" s="383">
        <f t="shared" si="193"/>
        <v>0</v>
      </c>
      <c r="AJ294" s="383">
        <f t="shared" si="194"/>
        <v>1</v>
      </c>
      <c r="AK294" s="383">
        <f t="shared" si="195"/>
        <v>0</v>
      </c>
      <c r="AM294" s="148" t="str">
        <f t="shared" si="196"/>
        <v>Schedulled</v>
      </c>
      <c r="AN294" s="148" t="str">
        <f t="shared" si="197"/>
        <v/>
      </c>
      <c r="AO294" s="156">
        <f t="shared" si="198"/>
        <v>43063.611111111109</v>
      </c>
      <c r="AP294" s="148" t="str">
        <f t="shared" si="199"/>
        <v>11/24/2017 14:40-&gt;Hillel - Field 3</v>
      </c>
      <c r="AQ294" s="374">
        <f t="shared" si="200"/>
        <v>1</v>
      </c>
      <c r="AR294" s="148" t="str">
        <f t="shared" si="201"/>
        <v>ARG1</v>
      </c>
      <c r="AS294" s="148" t="str">
        <f t="shared" si="202"/>
        <v>VEN1</v>
      </c>
      <c r="AT294" s="157" t="str">
        <f t="shared" si="203"/>
        <v>ARG1-VEN1</v>
      </c>
      <c r="AU294" s="157" t="str">
        <f t="shared" si="204"/>
        <v xml:space="preserve">ARG1-VEN1 </v>
      </c>
      <c r="AV294" s="157" t="str">
        <f t="shared" si="205"/>
        <v>CHILDREN D MALE</v>
      </c>
      <c r="AW294" s="157" t="str">
        <f t="shared" si="206"/>
        <v>Flag Football</v>
      </c>
      <c r="AX294" s="376">
        <f t="shared" si="207"/>
        <v>292</v>
      </c>
      <c r="AY294" s="148" t="str">
        <f t="shared" si="208"/>
        <v>CHILD DM - ARG 1-&gt;CHILD DM - VEN 1</v>
      </c>
      <c r="AZ294" s="148" t="str">
        <f t="shared" si="209"/>
        <v>11/24/2017 14:40-&gt;CHILD DM - ARG 1</v>
      </c>
      <c r="BA294" s="148" t="str">
        <f t="shared" si="210"/>
        <v>11/24/2017 14:40-&gt;CHILD DM - VEN 1</v>
      </c>
      <c r="BB294" s="374">
        <f t="shared" si="211"/>
        <v>1</v>
      </c>
      <c r="BC294" s="374">
        <f t="shared" si="212"/>
        <v>1</v>
      </c>
      <c r="BD294" s="148" t="str">
        <f t="shared" si="213"/>
        <v>no conflict</v>
      </c>
      <c r="BF294" s="148" t="str">
        <f t="shared" si="214"/>
        <v>11/24/2017 14:40-&gt;CHILD DM - ARG 1</v>
      </c>
      <c r="BG294" s="148" t="str">
        <f t="shared" si="215"/>
        <v>11/24/2017 14:40-&gt;CHILD DM - VEN 1</v>
      </c>
      <c r="BH294" s="148" t="str">
        <f t="shared" si="216"/>
        <v>11/24/2017 14:40-&gt;Hillel - Field 3</v>
      </c>
      <c r="BI294" s="148" t="str">
        <f t="shared" si="217"/>
        <v>Flag Football in Hillel - Field 3 (ARG1-VEN1)</v>
      </c>
      <c r="BJ294" s="148" t="str">
        <f t="shared" si="218"/>
        <v>Ch D Male Flag Football-- CHILD DM - ARG 1 vs. CHILD DM - VEN 1</v>
      </c>
      <c r="BK294" s="148" t="str">
        <f t="shared" si="219"/>
        <v>Flag Football</v>
      </c>
      <c r="BL294" s="148" t="str">
        <f t="shared" si="220"/>
        <v>CHILD DM - ARG 1</v>
      </c>
      <c r="BM294" s="148" t="str">
        <f t="shared" si="221"/>
        <v>CHILD DM - VEN 1</v>
      </c>
      <c r="BN294" s="148" t="str">
        <f t="shared" si="222"/>
        <v>Round - 1</v>
      </c>
      <c r="BP294" s="148" t="str">
        <f t="shared" si="223"/>
        <v>no t, f, or sf</v>
      </c>
      <c r="BQ294" s="148" t="str">
        <f t="shared" si="224"/>
        <v/>
      </c>
    </row>
    <row r="295" spans="1:69" ht="15" customHeight="1" x14ac:dyDescent="0.2">
      <c r="A295" s="376">
        <v>293</v>
      </c>
      <c r="B295" s="444" t="s">
        <v>57</v>
      </c>
      <c r="C295" s="444" t="s">
        <v>518</v>
      </c>
      <c r="D295" s="451">
        <v>1</v>
      </c>
      <c r="E295" s="451">
        <v>1</v>
      </c>
      <c r="F295" s="315" t="s">
        <v>770</v>
      </c>
      <c r="G295" s="445">
        <v>43058</v>
      </c>
      <c r="H295" s="317">
        <v>0.4375</v>
      </c>
      <c r="I295" s="325" t="s">
        <v>770</v>
      </c>
      <c r="J295" s="443" t="s">
        <v>704</v>
      </c>
      <c r="K295" s="444">
        <v>41</v>
      </c>
      <c r="L295" t="s">
        <v>600</v>
      </c>
      <c r="M295">
        <v>41</v>
      </c>
      <c r="N295" t="s">
        <v>601</v>
      </c>
      <c r="O295" s="153" t="str">
        <f>IF(L295&lt;&gt;"",IFERROR(VLOOKUP(B295&amp;L295,Pools!$A$2:$D$130,3,FALSE),""),"")</f>
        <v/>
      </c>
      <c r="P295" s="388">
        <v>5</v>
      </c>
      <c r="Q295" s="388">
        <v>6</v>
      </c>
      <c r="R295" s="306" t="str">
        <f t="shared" si="180"/>
        <v>5-6</v>
      </c>
      <c r="S295" s="153"/>
      <c r="T295" s="148" t="str">
        <f t="shared" si="181"/>
        <v>Completed</v>
      </c>
      <c r="U295" s="153"/>
      <c r="V295" s="153"/>
      <c r="W295" s="387">
        <f t="shared" si="182"/>
        <v>-1</v>
      </c>
      <c r="X295" s="387">
        <f t="shared" si="183"/>
        <v>1</v>
      </c>
      <c r="Y295" s="301">
        <f t="shared" si="184"/>
        <v>0</v>
      </c>
      <c r="Z295" s="301">
        <f t="shared" si="185"/>
        <v>2</v>
      </c>
      <c r="AA295" s="323" t="str">
        <f>CONCATENATE("                x[team1,team2,sport,'",IF(OR(I295="x",I295=""),VLOOKUP('Schedule from TM'!J295,Tables!$P$3:$Q$33,2,FALSE),'Schedule from TM'!I295),",",J295,"','",IF(OR(F295="x",F295=""),VLOOKUP('Schedule from TM'!G295,Tables!$U$3:$V$14,2,FALSE),'Schedule from TM'!F295),",",TEXT(G295,"mm/dd/yyyy"),"','",TEXT(H295,"h:mm:ss AM/PM"),"'].ub=0.0      #",B295)</f>
        <v xml:space="preserve">                x[team1,team2,sport,'21,Hillel - Field 2','11,11/19/2017','10:30:00 AM'].ub=0.0      #Ch D Male Kickball</v>
      </c>
      <c r="AB295" s="301" t="str">
        <f t="shared" si="186"/>
        <v>,,Ch D Male Kickball,,1,CHILD DM - ISR 1</v>
      </c>
      <c r="AC295" s="153" t="str">
        <f t="shared" si="187"/>
        <v>Ch D Male KickballCHILD DM - ISR 1</v>
      </c>
      <c r="AD295" s="301" t="str">
        <f t="shared" si="188"/>
        <v>,,Ch D Male Kickball,,1,CHILD DM - MEX</v>
      </c>
      <c r="AE295" s="153" t="str">
        <f t="shared" si="189"/>
        <v>Ch D Male KickballCHILD DM - MEX</v>
      </c>
      <c r="AF295" s="383">
        <f t="shared" si="190"/>
        <v>0</v>
      </c>
      <c r="AG295" s="383">
        <f t="shared" si="191"/>
        <v>1</v>
      </c>
      <c r="AH295" s="383">
        <f t="shared" si="192"/>
        <v>0</v>
      </c>
      <c r="AI295" s="383">
        <f t="shared" si="193"/>
        <v>1</v>
      </c>
      <c r="AJ295" s="383">
        <f t="shared" si="194"/>
        <v>0</v>
      </c>
      <c r="AK295" s="383">
        <f t="shared" si="195"/>
        <v>0</v>
      </c>
      <c r="AM295" s="148" t="str">
        <f t="shared" si="196"/>
        <v>Schedulled</v>
      </c>
      <c r="AN295" s="148" t="str">
        <f t="shared" si="197"/>
        <v/>
      </c>
      <c r="AO295" s="156">
        <f t="shared" si="198"/>
        <v>43058.4375</v>
      </c>
      <c r="AP295" s="148" t="str">
        <f t="shared" si="199"/>
        <v>11/19/2017 10:30-&gt;Hillel - Field 2</v>
      </c>
      <c r="AQ295" s="374">
        <f t="shared" si="200"/>
        <v>1</v>
      </c>
      <c r="AR295" s="148" t="str">
        <f t="shared" si="201"/>
        <v>ISR1</v>
      </c>
      <c r="AS295" s="148" t="str">
        <f t="shared" si="202"/>
        <v>MEX</v>
      </c>
      <c r="AT295" s="157" t="str">
        <f t="shared" si="203"/>
        <v>ISR1-MEX</v>
      </c>
      <c r="AU295" s="157" t="str">
        <f t="shared" si="204"/>
        <v xml:space="preserve">ISR1-MEX </v>
      </c>
      <c r="AV295" s="157" t="str">
        <f t="shared" si="205"/>
        <v>CHILDREN D MALE</v>
      </c>
      <c r="AW295" s="157" t="str">
        <f t="shared" si="206"/>
        <v>Kickball</v>
      </c>
      <c r="AX295" s="376">
        <f t="shared" si="207"/>
        <v>293</v>
      </c>
      <c r="AY295" s="148" t="str">
        <f t="shared" si="208"/>
        <v>CHILD DM - ISR 1-&gt;CHILD DM - MEX</v>
      </c>
      <c r="AZ295" s="148" t="str">
        <f t="shared" si="209"/>
        <v>11/19/2017 10:30-&gt;CHILD DM - ISR 1</v>
      </c>
      <c r="BA295" s="148" t="str">
        <f t="shared" si="210"/>
        <v>11/19/2017 10:30-&gt;CHILD DM - MEX</v>
      </c>
      <c r="BB295" s="374">
        <f t="shared" si="211"/>
        <v>1</v>
      </c>
      <c r="BC295" s="374">
        <f t="shared" si="212"/>
        <v>1</v>
      </c>
      <c r="BD295" s="148" t="str">
        <f t="shared" si="213"/>
        <v>no conflict</v>
      </c>
      <c r="BF295" s="148" t="str">
        <f t="shared" si="214"/>
        <v>11/19/2017 10:30-&gt;CHILD DM - ISR 1</v>
      </c>
      <c r="BG295" s="148" t="str">
        <f t="shared" si="215"/>
        <v>11/19/2017 10:30-&gt;CHILD DM - MEX</v>
      </c>
      <c r="BH295" s="148" t="str">
        <f t="shared" si="216"/>
        <v>11/19/2017 10:30-&gt;Hillel - Field 2</v>
      </c>
      <c r="BI295" s="148" t="str">
        <f t="shared" si="217"/>
        <v>Kickball in Hillel - Field 2 (ISR1-MEX)</v>
      </c>
      <c r="BJ295" s="148" t="str">
        <f t="shared" si="218"/>
        <v>Ch D Male Kickball-- CHILD DM - ISR 1 vs. CHILD DM - MEX</v>
      </c>
      <c r="BK295" s="148" t="str">
        <f t="shared" si="219"/>
        <v>Kickball</v>
      </c>
      <c r="BL295" s="148" t="str">
        <f t="shared" si="220"/>
        <v>CHILD DM - ISR 1</v>
      </c>
      <c r="BM295" s="148" t="str">
        <f t="shared" si="221"/>
        <v>CHILD DM - MEX</v>
      </c>
      <c r="BN295" s="148" t="str">
        <f t="shared" si="222"/>
        <v>Round - 1</v>
      </c>
      <c r="BP295" s="148" t="str">
        <f t="shared" si="223"/>
        <v>no t, f, or sf</v>
      </c>
      <c r="BQ295" s="148" t="str">
        <f t="shared" si="224"/>
        <v/>
      </c>
    </row>
    <row r="296" spans="1:69" ht="15" customHeight="1" x14ac:dyDescent="0.2">
      <c r="A296" s="376">
        <v>294</v>
      </c>
      <c r="B296" s="433" t="s">
        <v>57</v>
      </c>
      <c r="C296" s="315" t="s">
        <v>518</v>
      </c>
      <c r="D296" s="378">
        <v>1</v>
      </c>
      <c r="E296" s="378">
        <v>1</v>
      </c>
      <c r="F296" s="315" t="s">
        <v>770</v>
      </c>
      <c r="G296" s="316">
        <v>43058</v>
      </c>
      <c r="H296" s="317">
        <v>0.47222222222222227</v>
      </c>
      <c r="I296" s="325" t="s">
        <v>770</v>
      </c>
      <c r="J296" s="315" t="s">
        <v>706</v>
      </c>
      <c r="K296" s="315">
        <v>41</v>
      </c>
      <c r="L296" t="s">
        <v>592</v>
      </c>
      <c r="M296">
        <v>41</v>
      </c>
      <c r="N296" t="s">
        <v>595</v>
      </c>
      <c r="O296" s="153" t="str">
        <f>IF(L296&lt;&gt;"",IFERROR(VLOOKUP(B296&amp;L296,Pools!$A$2:$D$130,3,FALSE),""),"")</f>
        <v/>
      </c>
      <c r="P296" s="388">
        <v>6</v>
      </c>
      <c r="Q296" s="388">
        <v>6</v>
      </c>
      <c r="R296" s="306" t="str">
        <f t="shared" si="180"/>
        <v>6-6</v>
      </c>
      <c r="S296" s="153"/>
      <c r="T296" s="148" t="str">
        <f t="shared" si="181"/>
        <v>Completed</v>
      </c>
      <c r="U296" s="153"/>
      <c r="V296" s="153"/>
      <c r="W296" s="387">
        <f t="shared" si="182"/>
        <v>0</v>
      </c>
      <c r="X296" s="387">
        <f t="shared" si="183"/>
        <v>0</v>
      </c>
      <c r="Y296" s="301">
        <f t="shared" si="184"/>
        <v>1</v>
      </c>
      <c r="Z296" s="301">
        <f t="shared" si="185"/>
        <v>1</v>
      </c>
      <c r="AA296" s="323" t="str">
        <f>CONCATENATE("                x[team1,team2,sport,'",IF(OR(I296="x",I296=""),VLOOKUP('Schedule from TM'!J296,Tables!$P$3:$Q$33,2,FALSE),'Schedule from TM'!I296),",",J296,"','",IF(OR(F296="x",F296=""),VLOOKUP('Schedule from TM'!G296,Tables!$U$3:$V$14,2,FALSE),'Schedule from TM'!F296),",",TEXT(G296,"mm/dd/yyyy"),"','",TEXT(H296,"h:mm:ss AM/PM"),"'].ub=0.0      #",B296)</f>
        <v xml:space="preserve">                x[team1,team2,sport,'21,Hillel - Field 4','11,11/19/2017','11:20:00 AM'].ub=0.0      #Ch D Male Kickball</v>
      </c>
      <c r="AB296" s="301" t="str">
        <f t="shared" si="186"/>
        <v>,,Ch D Male Kickball,,1,CHILD DM - ARG 1</v>
      </c>
      <c r="AC296" s="153" t="str">
        <f t="shared" si="187"/>
        <v>Ch D Male KickballCHILD DM - ARG 1</v>
      </c>
      <c r="AD296" s="301" t="str">
        <f t="shared" si="188"/>
        <v>,,Ch D Male Kickball,,1,CHILD DM - USA 1</v>
      </c>
      <c r="AE296" s="153" t="str">
        <f t="shared" si="189"/>
        <v>Ch D Male KickballCHILD DM - USA 1</v>
      </c>
      <c r="AF296" s="383">
        <f t="shared" si="190"/>
        <v>0</v>
      </c>
      <c r="AG296" s="383">
        <f t="shared" si="191"/>
        <v>0</v>
      </c>
      <c r="AH296" s="383">
        <f t="shared" si="192"/>
        <v>1</v>
      </c>
      <c r="AI296" s="383">
        <f t="shared" si="193"/>
        <v>0</v>
      </c>
      <c r="AJ296" s="383">
        <f t="shared" si="194"/>
        <v>0</v>
      </c>
      <c r="AK296" s="383">
        <f t="shared" si="195"/>
        <v>1</v>
      </c>
      <c r="AM296" s="148" t="str">
        <f t="shared" si="196"/>
        <v>Schedulled</v>
      </c>
      <c r="AN296" s="148" t="str">
        <f t="shared" si="197"/>
        <v/>
      </c>
      <c r="AO296" s="156">
        <f t="shared" si="198"/>
        <v>43058.472222222219</v>
      </c>
      <c r="AP296" s="148" t="str">
        <f t="shared" si="199"/>
        <v>11/19/2017 11:20-&gt;Hillel - Field 4</v>
      </c>
      <c r="AQ296" s="374">
        <f t="shared" si="200"/>
        <v>1</v>
      </c>
      <c r="AR296" s="148" t="str">
        <f t="shared" si="201"/>
        <v>ARG1</v>
      </c>
      <c r="AS296" s="148" t="str">
        <f t="shared" si="202"/>
        <v>USA1</v>
      </c>
      <c r="AT296" s="157" t="str">
        <f t="shared" si="203"/>
        <v>ARG1-USA1</v>
      </c>
      <c r="AU296" s="157" t="str">
        <f t="shared" si="204"/>
        <v xml:space="preserve">ARG1-USA1 </v>
      </c>
      <c r="AV296" s="157" t="str">
        <f t="shared" si="205"/>
        <v>CHILDREN D MALE</v>
      </c>
      <c r="AW296" s="157" t="str">
        <f t="shared" si="206"/>
        <v>Kickball</v>
      </c>
      <c r="AX296" s="376">
        <f t="shared" si="207"/>
        <v>294</v>
      </c>
      <c r="AY296" s="148" t="str">
        <f t="shared" si="208"/>
        <v>CHILD DM - ARG 1-&gt;CHILD DM - USA 1</v>
      </c>
      <c r="AZ296" s="148" t="str">
        <f t="shared" si="209"/>
        <v>11/19/2017 11:20-&gt;CHILD DM - ARG 1</v>
      </c>
      <c r="BA296" s="148" t="str">
        <f t="shared" si="210"/>
        <v>11/19/2017 11:20-&gt;CHILD DM - USA 1</v>
      </c>
      <c r="BB296" s="374">
        <f t="shared" si="211"/>
        <v>1</v>
      </c>
      <c r="BC296" s="374">
        <f t="shared" si="212"/>
        <v>1</v>
      </c>
      <c r="BD296" s="148" t="str">
        <f t="shared" si="213"/>
        <v>no conflict</v>
      </c>
      <c r="BF296" s="148" t="str">
        <f t="shared" si="214"/>
        <v>11/19/2017 11:20-&gt;CHILD DM - ARG 1</v>
      </c>
      <c r="BG296" s="148" t="str">
        <f t="shared" si="215"/>
        <v>11/19/2017 11:20-&gt;CHILD DM - USA 1</v>
      </c>
      <c r="BH296" s="148" t="str">
        <f t="shared" si="216"/>
        <v>11/19/2017 11:20-&gt;Hillel - Field 4</v>
      </c>
      <c r="BI296" s="148" t="str">
        <f t="shared" si="217"/>
        <v>Kickball in Hillel - Field 4 (ARG1-USA1)</v>
      </c>
      <c r="BJ296" s="148" t="str">
        <f t="shared" si="218"/>
        <v>Ch D Male Kickball-- CHILD DM - ARG 1 vs. CHILD DM - USA 1</v>
      </c>
      <c r="BK296" s="148" t="str">
        <f t="shared" si="219"/>
        <v>Kickball</v>
      </c>
      <c r="BL296" s="148" t="str">
        <f t="shared" si="220"/>
        <v>CHILD DM - ARG 1</v>
      </c>
      <c r="BM296" s="148" t="str">
        <f t="shared" si="221"/>
        <v>CHILD DM - USA 1</v>
      </c>
      <c r="BN296" s="148" t="str">
        <f t="shared" si="222"/>
        <v>Round - 1</v>
      </c>
      <c r="BP296" s="148" t="str">
        <f t="shared" si="223"/>
        <v>no t, f, or sf</v>
      </c>
      <c r="BQ296" s="148" t="str">
        <f t="shared" si="224"/>
        <v/>
      </c>
    </row>
    <row r="297" spans="1:69" ht="15" customHeight="1" x14ac:dyDescent="0.2">
      <c r="A297" s="376">
        <v>295</v>
      </c>
      <c r="B297" s="444" t="s">
        <v>57</v>
      </c>
      <c r="C297" s="444" t="s">
        <v>518</v>
      </c>
      <c r="D297" s="451">
        <v>1</v>
      </c>
      <c r="E297" s="451">
        <v>1</v>
      </c>
      <c r="F297" s="315" t="s">
        <v>770</v>
      </c>
      <c r="G297" s="445">
        <v>43058</v>
      </c>
      <c r="H297" s="317">
        <v>0.50694444444444442</v>
      </c>
      <c r="I297" s="325" t="s">
        <v>770</v>
      </c>
      <c r="J297" s="444" t="s">
        <v>704</v>
      </c>
      <c r="K297" s="444">
        <v>41</v>
      </c>
      <c r="L297" t="s">
        <v>593</v>
      </c>
      <c r="M297">
        <v>41</v>
      </c>
      <c r="N297" t="s">
        <v>602</v>
      </c>
      <c r="O297" s="153" t="str">
        <f>IF(L297&lt;&gt;"",IFERROR(VLOOKUP(B297&amp;L297,Pools!$A$2:$D$130,3,FALSE),""),"")</f>
        <v/>
      </c>
      <c r="P297" s="388">
        <v>7</v>
      </c>
      <c r="Q297" s="388">
        <v>2</v>
      </c>
      <c r="R297" s="306" t="str">
        <f t="shared" si="180"/>
        <v>7-2</v>
      </c>
      <c r="S297" s="153"/>
      <c r="T297" s="148" t="str">
        <f t="shared" si="181"/>
        <v>Completed</v>
      </c>
      <c r="U297" s="153"/>
      <c r="V297" s="153"/>
      <c r="W297" s="387">
        <f t="shared" si="182"/>
        <v>5</v>
      </c>
      <c r="X297" s="387">
        <f t="shared" si="183"/>
        <v>-5</v>
      </c>
      <c r="Y297" s="301">
        <f t="shared" si="184"/>
        <v>2</v>
      </c>
      <c r="Z297" s="301">
        <f t="shared" si="185"/>
        <v>0</v>
      </c>
      <c r="AA297" s="323" t="str">
        <f>CONCATENATE("                x[team1,team2,sport,'",IF(OR(I297="x",I297=""),VLOOKUP('Schedule from TM'!J297,Tables!$P$3:$Q$33,2,FALSE),'Schedule from TM'!I297),",",J297,"','",IF(OR(F297="x",F297=""),VLOOKUP('Schedule from TM'!G297,Tables!$U$3:$V$14,2,FALSE),'Schedule from TM'!F297),",",TEXT(G297,"mm/dd/yyyy"),"','",TEXT(H297,"h:mm:ss AM/PM"),"'].ub=0.0      #",B297)</f>
        <v xml:space="preserve">                x[team1,team2,sport,'21,Hillel - Field 2','11,11/19/2017','12:10:00 PM'].ub=0.0      #Ch D Male Kickball</v>
      </c>
      <c r="AB297" s="301" t="str">
        <f t="shared" si="186"/>
        <v>,,Ch D Male Kickball,,1,CHILD DM - COL 1</v>
      </c>
      <c r="AC297" s="153" t="str">
        <f t="shared" si="187"/>
        <v>Ch D Male KickballCHILD DM - COL 1</v>
      </c>
      <c r="AD297" s="301" t="str">
        <f t="shared" si="188"/>
        <v>,,Ch D Male Kickball,,1,CHILD DM - VEN 2</v>
      </c>
      <c r="AE297" s="153" t="str">
        <f t="shared" si="189"/>
        <v>Ch D Male KickballCHILD DM - VEN 2</v>
      </c>
      <c r="AF297" s="383">
        <f t="shared" si="190"/>
        <v>1</v>
      </c>
      <c r="AG297" s="383">
        <f t="shared" si="191"/>
        <v>0</v>
      </c>
      <c r="AH297" s="383">
        <f t="shared" si="192"/>
        <v>0</v>
      </c>
      <c r="AI297" s="383">
        <f t="shared" si="193"/>
        <v>0</v>
      </c>
      <c r="AJ297" s="383">
        <f t="shared" si="194"/>
        <v>1</v>
      </c>
      <c r="AK297" s="383">
        <f t="shared" si="195"/>
        <v>0</v>
      </c>
      <c r="AM297" s="148" t="str">
        <f t="shared" si="196"/>
        <v>Schedulled</v>
      </c>
      <c r="AN297" s="148" t="str">
        <f t="shared" si="197"/>
        <v/>
      </c>
      <c r="AO297" s="156">
        <f t="shared" si="198"/>
        <v>43058.506944444445</v>
      </c>
      <c r="AP297" s="148" t="str">
        <f t="shared" si="199"/>
        <v>11/19/2017 12:10-&gt;Hillel - Field 2</v>
      </c>
      <c r="AQ297" s="374">
        <f t="shared" si="200"/>
        <v>1</v>
      </c>
      <c r="AR297" s="148" t="str">
        <f t="shared" si="201"/>
        <v>COL1</v>
      </c>
      <c r="AS297" s="148" t="str">
        <f t="shared" si="202"/>
        <v>VEN2</v>
      </c>
      <c r="AT297" s="157" t="str">
        <f t="shared" si="203"/>
        <v>COL1-VEN2</v>
      </c>
      <c r="AU297" s="157" t="str">
        <f t="shared" si="204"/>
        <v xml:space="preserve">COL1-VEN2 </v>
      </c>
      <c r="AV297" s="157" t="str">
        <f t="shared" si="205"/>
        <v>CHILDREN D MALE</v>
      </c>
      <c r="AW297" s="157" t="str">
        <f t="shared" si="206"/>
        <v>Kickball</v>
      </c>
      <c r="AX297" s="376">
        <f t="shared" si="207"/>
        <v>295</v>
      </c>
      <c r="AY297" s="148" t="str">
        <f t="shared" si="208"/>
        <v>CHILD DM - COL 1-&gt;CHILD DM - VEN 2</v>
      </c>
      <c r="AZ297" s="148" t="str">
        <f t="shared" si="209"/>
        <v>11/19/2017 12:10-&gt;CHILD DM - COL 1</v>
      </c>
      <c r="BA297" s="148" t="str">
        <f t="shared" si="210"/>
        <v>11/19/2017 12:10-&gt;CHILD DM - VEN 2</v>
      </c>
      <c r="BB297" s="374">
        <f t="shared" si="211"/>
        <v>1</v>
      </c>
      <c r="BC297" s="374">
        <f t="shared" si="212"/>
        <v>1</v>
      </c>
      <c r="BD297" s="148" t="str">
        <f t="shared" si="213"/>
        <v>no conflict</v>
      </c>
      <c r="BF297" s="148" t="str">
        <f t="shared" si="214"/>
        <v>11/19/2017 12:10-&gt;CHILD DM - COL 1</v>
      </c>
      <c r="BG297" s="148" t="str">
        <f t="shared" si="215"/>
        <v>11/19/2017 12:10-&gt;CHILD DM - VEN 2</v>
      </c>
      <c r="BH297" s="148" t="str">
        <f t="shared" si="216"/>
        <v>11/19/2017 12:10-&gt;Hillel - Field 2</v>
      </c>
      <c r="BI297" s="148" t="str">
        <f t="shared" si="217"/>
        <v>Kickball in Hillel - Field 2 (COL1-VEN2)</v>
      </c>
      <c r="BJ297" s="148" t="str">
        <f t="shared" si="218"/>
        <v>Ch D Male Kickball-- CHILD DM - COL 1 vs. CHILD DM - VEN 2</v>
      </c>
      <c r="BK297" s="148" t="str">
        <f t="shared" si="219"/>
        <v>Kickball</v>
      </c>
      <c r="BL297" s="148" t="str">
        <f t="shared" si="220"/>
        <v>CHILD DM - COL 1</v>
      </c>
      <c r="BM297" s="148" t="str">
        <f t="shared" si="221"/>
        <v>CHILD DM - VEN 2</v>
      </c>
      <c r="BN297" s="148" t="str">
        <f t="shared" si="222"/>
        <v>Round - 1</v>
      </c>
      <c r="BP297" s="148" t="str">
        <f t="shared" si="223"/>
        <v>no t, f, or sf</v>
      </c>
      <c r="BQ297" s="148" t="str">
        <f t="shared" si="224"/>
        <v/>
      </c>
    </row>
    <row r="298" spans="1:69" ht="15" customHeight="1" x14ac:dyDescent="0.2">
      <c r="A298" s="376">
        <v>296</v>
      </c>
      <c r="B298" s="433" t="s">
        <v>57</v>
      </c>
      <c r="C298" s="315" t="s">
        <v>518</v>
      </c>
      <c r="D298" s="378">
        <v>1</v>
      </c>
      <c r="E298" s="378">
        <v>1</v>
      </c>
      <c r="F298" s="315" t="s">
        <v>770</v>
      </c>
      <c r="G298" s="316">
        <v>43059</v>
      </c>
      <c r="H298" s="317">
        <v>0.71527777777777779</v>
      </c>
      <c r="I298" s="325" t="s">
        <v>770</v>
      </c>
      <c r="J298" s="315" t="s">
        <v>703</v>
      </c>
      <c r="K298" s="315">
        <v>41</v>
      </c>
      <c r="L298" t="s">
        <v>601</v>
      </c>
      <c r="M298">
        <v>41</v>
      </c>
      <c r="N298" t="s">
        <v>594</v>
      </c>
      <c r="O298" s="153" t="str">
        <f>IF(L298&lt;&gt;"",IFERROR(VLOOKUP(B298&amp;L298,Pools!$A$2:$D$130,3,FALSE),""),"")</f>
        <v/>
      </c>
      <c r="P298" s="388">
        <v>3</v>
      </c>
      <c r="Q298" s="388">
        <v>4</v>
      </c>
      <c r="R298" s="306" t="str">
        <f t="shared" si="180"/>
        <v>3-4</v>
      </c>
      <c r="S298" s="153"/>
      <c r="T298" s="148" t="str">
        <f t="shared" si="181"/>
        <v>Completed</v>
      </c>
      <c r="U298" s="153"/>
      <c r="V298" s="153"/>
      <c r="W298" s="387">
        <f t="shared" si="182"/>
        <v>-1</v>
      </c>
      <c r="X298" s="387">
        <f t="shared" si="183"/>
        <v>1</v>
      </c>
      <c r="Y298" s="301">
        <f t="shared" si="184"/>
        <v>0</v>
      </c>
      <c r="Z298" s="301">
        <f t="shared" si="185"/>
        <v>2</v>
      </c>
      <c r="AA298" s="323" t="str">
        <f>CONCATENATE("                x[team1,team2,sport,'",IF(OR(I298="x",I298=""),VLOOKUP('Schedule from TM'!J298,Tables!$P$3:$Q$33,2,FALSE),'Schedule from TM'!I298),",",J298,"','",IF(OR(F298="x",F298=""),VLOOKUP('Schedule from TM'!G298,Tables!$U$3:$V$14,2,FALSE),'Schedule from TM'!F298),",",TEXT(G298,"mm/dd/yyyy"),"','",TEXT(H298,"h:mm:ss AM/PM"),"'].ub=0.0      #",B298)</f>
        <v xml:space="preserve">                x[team1,team2,sport,'21,Hillel - Field 1','22,11/20/2017','5:10:00 PM'].ub=0.0      #Ch D Male Kickball</v>
      </c>
      <c r="AB298" s="301" t="str">
        <f t="shared" si="186"/>
        <v>,,Ch D Male Kickball,,1,CHILD DM - MEX</v>
      </c>
      <c r="AC298" s="153" t="str">
        <f t="shared" si="187"/>
        <v>Ch D Male KickballCHILD DM - MEX</v>
      </c>
      <c r="AD298" s="301" t="str">
        <f t="shared" si="188"/>
        <v>,,Ch D Male Kickball,,1,CHILD DM - PER</v>
      </c>
      <c r="AE298" s="153" t="str">
        <f t="shared" si="189"/>
        <v>Ch D Male KickballCHILD DM - PER</v>
      </c>
      <c r="AF298" s="383">
        <f t="shared" si="190"/>
        <v>0</v>
      </c>
      <c r="AG298" s="383">
        <f t="shared" si="191"/>
        <v>1</v>
      </c>
      <c r="AH298" s="383">
        <f t="shared" si="192"/>
        <v>0</v>
      </c>
      <c r="AI298" s="383">
        <f t="shared" si="193"/>
        <v>1</v>
      </c>
      <c r="AJ298" s="383">
        <f t="shared" si="194"/>
        <v>0</v>
      </c>
      <c r="AK298" s="383">
        <f t="shared" si="195"/>
        <v>0</v>
      </c>
      <c r="AM298" s="148" t="str">
        <f t="shared" si="196"/>
        <v>Schedulled</v>
      </c>
      <c r="AN298" s="148" t="str">
        <f t="shared" si="197"/>
        <v/>
      </c>
      <c r="AO298" s="156">
        <f t="shared" si="198"/>
        <v>43059.715277777781</v>
      </c>
      <c r="AP298" s="148" t="str">
        <f t="shared" si="199"/>
        <v>11/20/2017 17:10-&gt;Hillel - Field 1</v>
      </c>
      <c r="AQ298" s="374">
        <f t="shared" si="200"/>
        <v>1</v>
      </c>
      <c r="AR298" s="148" t="str">
        <f t="shared" si="201"/>
        <v>MEX</v>
      </c>
      <c r="AS298" s="148" t="str">
        <f t="shared" si="202"/>
        <v>PER</v>
      </c>
      <c r="AT298" s="157" t="str">
        <f t="shared" si="203"/>
        <v>MEX-PER</v>
      </c>
      <c r="AU298" s="157" t="str">
        <f t="shared" si="204"/>
        <v xml:space="preserve">MEX-PER </v>
      </c>
      <c r="AV298" s="157" t="str">
        <f t="shared" si="205"/>
        <v>CHILDREN D MALE</v>
      </c>
      <c r="AW298" s="157" t="str">
        <f t="shared" si="206"/>
        <v>Kickball</v>
      </c>
      <c r="AX298" s="376">
        <f t="shared" si="207"/>
        <v>296</v>
      </c>
      <c r="AY298" s="148" t="str">
        <f t="shared" si="208"/>
        <v>CHILD DM - MEX-&gt;CHILD DM - PER</v>
      </c>
      <c r="AZ298" s="148" t="str">
        <f t="shared" si="209"/>
        <v>11/20/2017 17:10-&gt;CHILD DM - MEX</v>
      </c>
      <c r="BA298" s="148" t="str">
        <f t="shared" si="210"/>
        <v>11/20/2017 17:10-&gt;CHILD DM - PER</v>
      </c>
      <c r="BB298" s="374">
        <f t="shared" si="211"/>
        <v>1</v>
      </c>
      <c r="BC298" s="374">
        <f t="shared" si="212"/>
        <v>1</v>
      </c>
      <c r="BD298" s="148" t="str">
        <f t="shared" si="213"/>
        <v>no conflict</v>
      </c>
      <c r="BF298" s="148" t="str">
        <f t="shared" si="214"/>
        <v>11/20/2017 17:10-&gt;CHILD DM - MEX</v>
      </c>
      <c r="BG298" s="148" t="str">
        <f t="shared" si="215"/>
        <v>11/20/2017 17:10-&gt;CHILD DM - PER</v>
      </c>
      <c r="BH298" s="148" t="str">
        <f t="shared" si="216"/>
        <v>11/20/2017 17:10-&gt;Hillel - Field 1</v>
      </c>
      <c r="BI298" s="148" t="str">
        <f t="shared" si="217"/>
        <v>Kickball in Hillel - Field 1 (MEX-PER)</v>
      </c>
      <c r="BJ298" s="148" t="str">
        <f t="shared" si="218"/>
        <v>Ch D Male Kickball-- CHILD DM - MEX vs. CHILD DM - PER</v>
      </c>
      <c r="BK298" s="148" t="str">
        <f t="shared" si="219"/>
        <v>Kickball</v>
      </c>
      <c r="BL298" s="148" t="str">
        <f t="shared" si="220"/>
        <v>CHILD DM - MEX</v>
      </c>
      <c r="BM298" s="148" t="str">
        <f t="shared" si="221"/>
        <v>CHILD DM - PER</v>
      </c>
      <c r="BN298" s="148" t="str">
        <f t="shared" si="222"/>
        <v>Round - 1</v>
      </c>
      <c r="BP298" s="148" t="str">
        <f t="shared" si="223"/>
        <v>no t, f, or sf</v>
      </c>
      <c r="BQ298" s="148" t="str">
        <f t="shared" si="224"/>
        <v/>
      </c>
    </row>
    <row r="299" spans="1:69" ht="15" customHeight="1" x14ac:dyDescent="0.2">
      <c r="A299" s="376">
        <v>297</v>
      </c>
      <c r="B299" s="433" t="s">
        <v>57</v>
      </c>
      <c r="C299" s="315" t="s">
        <v>518</v>
      </c>
      <c r="D299" s="378">
        <v>1</v>
      </c>
      <c r="E299" s="378">
        <v>1</v>
      </c>
      <c r="F299" s="315" t="s">
        <v>770</v>
      </c>
      <c r="G299" s="316">
        <v>43060</v>
      </c>
      <c r="H299" s="317">
        <v>0.71527777777777779</v>
      </c>
      <c r="I299" s="325" t="s">
        <v>770</v>
      </c>
      <c r="J299" s="315" t="s">
        <v>705</v>
      </c>
      <c r="K299" s="315">
        <v>41</v>
      </c>
      <c r="L299" t="s">
        <v>592</v>
      </c>
      <c r="M299">
        <v>41</v>
      </c>
      <c r="N299" t="s">
        <v>593</v>
      </c>
      <c r="O299" s="153" t="str">
        <f>IF(L299&lt;&gt;"",IFERROR(VLOOKUP(B299&amp;L299,Pools!$A$2:$D$130,3,FALSE),""),"")</f>
        <v/>
      </c>
      <c r="P299" s="388">
        <v>11</v>
      </c>
      <c r="Q299" s="388">
        <v>4</v>
      </c>
      <c r="R299" s="306" t="str">
        <f t="shared" si="180"/>
        <v>11-4</v>
      </c>
      <c r="S299" s="153"/>
      <c r="T299" s="148" t="str">
        <f t="shared" si="181"/>
        <v>Completed</v>
      </c>
      <c r="U299" s="153"/>
      <c r="V299" s="153"/>
      <c r="W299" s="387">
        <f t="shared" si="182"/>
        <v>5</v>
      </c>
      <c r="X299" s="387">
        <f t="shared" si="183"/>
        <v>-5</v>
      </c>
      <c r="Y299" s="301">
        <f t="shared" si="184"/>
        <v>2</v>
      </c>
      <c r="Z299" s="301">
        <f t="shared" si="185"/>
        <v>0</v>
      </c>
      <c r="AA299" s="323" t="str">
        <f>CONCATENATE("                x[team1,team2,sport,'",IF(OR(I299="x",I299=""),VLOOKUP('Schedule from TM'!J299,Tables!$P$3:$Q$33,2,FALSE),'Schedule from TM'!I299),",",J299,"','",IF(OR(F299="x",F299=""),VLOOKUP('Schedule from TM'!G299,Tables!$U$3:$V$14,2,FALSE),'Schedule from TM'!F299),",",TEXT(G299,"mm/dd/yyyy"),"','",TEXT(H299,"h:mm:ss AM/PM"),"'].ub=0.0      #",B299)</f>
        <v xml:space="preserve">                x[team1,team2,sport,'21,Hillel - Field 3','22,11/21/2017','5:10:00 PM'].ub=0.0      #Ch D Male Kickball</v>
      </c>
      <c r="AB299" s="301" t="str">
        <f t="shared" si="186"/>
        <v>,,Ch D Male Kickball,,1,CHILD DM - ARG 1</v>
      </c>
      <c r="AC299" s="153" t="str">
        <f t="shared" si="187"/>
        <v>Ch D Male KickballCHILD DM - ARG 1</v>
      </c>
      <c r="AD299" s="301" t="str">
        <f t="shared" si="188"/>
        <v>,,Ch D Male Kickball,,1,CHILD DM - COL 1</v>
      </c>
      <c r="AE299" s="153" t="str">
        <f t="shared" si="189"/>
        <v>Ch D Male KickballCHILD DM - COL 1</v>
      </c>
      <c r="AF299" s="383">
        <f t="shared" si="190"/>
        <v>1</v>
      </c>
      <c r="AG299" s="383">
        <f t="shared" si="191"/>
        <v>0</v>
      </c>
      <c r="AH299" s="383">
        <f t="shared" si="192"/>
        <v>0</v>
      </c>
      <c r="AI299" s="383">
        <f t="shared" si="193"/>
        <v>0</v>
      </c>
      <c r="AJ299" s="383">
        <f t="shared" si="194"/>
        <v>1</v>
      </c>
      <c r="AK299" s="383">
        <f t="shared" si="195"/>
        <v>0</v>
      </c>
      <c r="AM299" s="148" t="str">
        <f t="shared" si="196"/>
        <v>Schedulled</v>
      </c>
      <c r="AN299" s="148" t="str">
        <f t="shared" si="197"/>
        <v/>
      </c>
      <c r="AO299" s="156">
        <f t="shared" si="198"/>
        <v>43060.715277777781</v>
      </c>
      <c r="AP299" s="148" t="str">
        <f t="shared" si="199"/>
        <v>11/21/2017 17:10-&gt;Hillel - Field 3</v>
      </c>
      <c r="AQ299" s="374">
        <f t="shared" si="200"/>
        <v>1</v>
      </c>
      <c r="AR299" s="148" t="str">
        <f t="shared" si="201"/>
        <v>ARG1</v>
      </c>
      <c r="AS299" s="148" t="str">
        <f t="shared" si="202"/>
        <v>COL1</v>
      </c>
      <c r="AT299" s="157" t="str">
        <f t="shared" si="203"/>
        <v>ARG1-COL1</v>
      </c>
      <c r="AU299" s="157" t="str">
        <f t="shared" si="204"/>
        <v xml:space="preserve">ARG1-COL1 </v>
      </c>
      <c r="AV299" s="157" t="str">
        <f t="shared" si="205"/>
        <v>CHILDREN D MALE</v>
      </c>
      <c r="AW299" s="157" t="str">
        <f t="shared" si="206"/>
        <v>Kickball</v>
      </c>
      <c r="AX299" s="376">
        <f t="shared" si="207"/>
        <v>297</v>
      </c>
      <c r="AY299" s="148" t="str">
        <f t="shared" si="208"/>
        <v>CHILD DM - ARG 1-&gt;CHILD DM - COL 1</v>
      </c>
      <c r="AZ299" s="148" t="str">
        <f t="shared" si="209"/>
        <v>11/21/2017 17:10-&gt;CHILD DM - ARG 1</v>
      </c>
      <c r="BA299" s="148" t="str">
        <f t="shared" si="210"/>
        <v>11/21/2017 17:10-&gt;CHILD DM - COL 1</v>
      </c>
      <c r="BB299" s="374">
        <f t="shared" si="211"/>
        <v>1</v>
      </c>
      <c r="BC299" s="374">
        <f t="shared" si="212"/>
        <v>1</v>
      </c>
      <c r="BD299" s="148" t="str">
        <f t="shared" si="213"/>
        <v>no conflict</v>
      </c>
      <c r="BF299" s="148" t="str">
        <f t="shared" si="214"/>
        <v>11/21/2017 17:10-&gt;CHILD DM - ARG 1</v>
      </c>
      <c r="BG299" s="148" t="str">
        <f t="shared" si="215"/>
        <v>11/21/2017 17:10-&gt;CHILD DM - COL 1</v>
      </c>
      <c r="BH299" s="148" t="str">
        <f t="shared" si="216"/>
        <v>11/21/2017 17:10-&gt;Hillel - Field 3</v>
      </c>
      <c r="BI299" s="148" t="str">
        <f t="shared" si="217"/>
        <v>Kickball in Hillel - Field 3 (ARG1-COL1)</v>
      </c>
      <c r="BJ299" s="148" t="str">
        <f t="shared" si="218"/>
        <v>Ch D Male Kickball-- CHILD DM - ARG 1 vs. CHILD DM - COL 1</v>
      </c>
      <c r="BK299" s="148" t="str">
        <f t="shared" si="219"/>
        <v>Kickball</v>
      </c>
      <c r="BL299" s="148" t="str">
        <f t="shared" si="220"/>
        <v>CHILD DM - ARG 1</v>
      </c>
      <c r="BM299" s="148" t="str">
        <f t="shared" si="221"/>
        <v>CHILD DM - COL 1</v>
      </c>
      <c r="BN299" s="148" t="str">
        <f t="shared" si="222"/>
        <v>Round - 1</v>
      </c>
      <c r="BP299" s="148" t="str">
        <f t="shared" si="223"/>
        <v>no t, f, or sf</v>
      </c>
      <c r="BQ299" s="148" t="str">
        <f t="shared" si="224"/>
        <v/>
      </c>
    </row>
    <row r="300" spans="1:69" ht="15" customHeight="1" x14ac:dyDescent="0.2">
      <c r="A300" s="376">
        <v>298</v>
      </c>
      <c r="B300" s="433" t="s">
        <v>57</v>
      </c>
      <c r="C300" s="444" t="s">
        <v>518</v>
      </c>
      <c r="D300" s="451">
        <v>1</v>
      </c>
      <c r="E300" s="451">
        <v>1</v>
      </c>
      <c r="F300" s="315" t="s">
        <v>770</v>
      </c>
      <c r="G300" s="445">
        <v>43060</v>
      </c>
      <c r="H300" s="317">
        <v>0.75</v>
      </c>
      <c r="I300" s="325" t="s">
        <v>770</v>
      </c>
      <c r="J300" s="444" t="s">
        <v>706</v>
      </c>
      <c r="K300" s="444">
        <v>41</v>
      </c>
      <c r="L300" t="s">
        <v>598</v>
      </c>
      <c r="M300">
        <v>41</v>
      </c>
      <c r="N300" t="s">
        <v>599</v>
      </c>
      <c r="O300" s="153" t="str">
        <f>IF(L300&lt;&gt;"",IFERROR(VLOOKUP(B300&amp;L300,Pools!$A$2:$D$130,3,FALSE),""),"")</f>
        <v/>
      </c>
      <c r="P300" s="388">
        <v>6</v>
      </c>
      <c r="Q300" s="388">
        <v>2</v>
      </c>
      <c r="R300" s="306" t="str">
        <f t="shared" si="180"/>
        <v>6-2</v>
      </c>
      <c r="S300" s="153"/>
      <c r="T300" s="148" t="str">
        <f t="shared" si="181"/>
        <v>Completed</v>
      </c>
      <c r="U300" s="153"/>
      <c r="V300" s="153"/>
      <c r="W300" s="387">
        <f t="shared" si="182"/>
        <v>4</v>
      </c>
      <c r="X300" s="387">
        <f t="shared" si="183"/>
        <v>-4</v>
      </c>
      <c r="Y300" s="301">
        <f t="shared" si="184"/>
        <v>2</v>
      </c>
      <c r="Z300" s="301">
        <f t="shared" si="185"/>
        <v>0</v>
      </c>
      <c r="AA300" s="323" t="str">
        <f>CONCATENATE("                x[team1,team2,sport,'",IF(OR(I300="x",I300=""),VLOOKUP('Schedule from TM'!J300,Tables!$P$3:$Q$33,2,FALSE),'Schedule from TM'!I300),",",J300,"','",IF(OR(F300="x",F300=""),VLOOKUP('Schedule from TM'!G300,Tables!$U$3:$V$14,2,FALSE),'Schedule from TM'!F300),",",TEXT(G300,"mm/dd/yyyy"),"','",TEXT(H300,"h:mm:ss AM/PM"),"'].ub=0.0      #",B300)</f>
        <v xml:space="preserve">                x[team1,team2,sport,'21,Hillel - Field 4','22,11/21/2017','6:00:00 PM'].ub=0.0      #Ch D Male Kickball</v>
      </c>
      <c r="AB300" s="301" t="str">
        <f t="shared" si="186"/>
        <v>,,Ch D Male Kickball,,1,CHILD DM - ARG 2</v>
      </c>
      <c r="AC300" s="153" t="str">
        <f t="shared" si="187"/>
        <v>Ch D Male KickballCHILD DM - ARG 2</v>
      </c>
      <c r="AD300" s="301" t="str">
        <f t="shared" si="188"/>
        <v>,,Ch D Male Kickball,,1,CHILD DM - COL 2</v>
      </c>
      <c r="AE300" s="153" t="str">
        <f t="shared" si="189"/>
        <v>Ch D Male KickballCHILD DM - COL 2</v>
      </c>
      <c r="AF300" s="383">
        <f t="shared" si="190"/>
        <v>1</v>
      </c>
      <c r="AG300" s="383">
        <f t="shared" si="191"/>
        <v>0</v>
      </c>
      <c r="AH300" s="383">
        <f t="shared" si="192"/>
        <v>0</v>
      </c>
      <c r="AI300" s="383">
        <f t="shared" si="193"/>
        <v>0</v>
      </c>
      <c r="AJ300" s="383">
        <f t="shared" si="194"/>
        <v>1</v>
      </c>
      <c r="AK300" s="383">
        <f t="shared" si="195"/>
        <v>0</v>
      </c>
      <c r="AM300" s="148" t="str">
        <f t="shared" si="196"/>
        <v>Schedulled</v>
      </c>
      <c r="AN300" s="148" t="str">
        <f t="shared" si="197"/>
        <v/>
      </c>
      <c r="AO300" s="156">
        <f t="shared" si="198"/>
        <v>43060.75</v>
      </c>
      <c r="AP300" s="148" t="str">
        <f t="shared" si="199"/>
        <v>11/21/2017 18:00-&gt;Hillel - Field 4</v>
      </c>
      <c r="AQ300" s="374">
        <f t="shared" si="200"/>
        <v>1</v>
      </c>
      <c r="AR300" s="148" t="str">
        <f t="shared" si="201"/>
        <v>ARG2</v>
      </c>
      <c r="AS300" s="148" t="str">
        <f t="shared" si="202"/>
        <v>COL2</v>
      </c>
      <c r="AT300" s="157" t="str">
        <f t="shared" si="203"/>
        <v>ARG2-COL2</v>
      </c>
      <c r="AU300" s="157" t="str">
        <f t="shared" si="204"/>
        <v xml:space="preserve">ARG2-COL2 </v>
      </c>
      <c r="AV300" s="157" t="str">
        <f t="shared" si="205"/>
        <v>CHILDREN D MALE</v>
      </c>
      <c r="AW300" s="157" t="str">
        <f t="shared" si="206"/>
        <v>Kickball</v>
      </c>
      <c r="AX300" s="376">
        <f t="shared" si="207"/>
        <v>298</v>
      </c>
      <c r="AY300" s="148" t="str">
        <f t="shared" si="208"/>
        <v>CHILD DM - ARG 2-&gt;CHILD DM - COL 2</v>
      </c>
      <c r="AZ300" s="148" t="str">
        <f t="shared" si="209"/>
        <v>11/21/2017 18:00-&gt;CHILD DM - ARG 2</v>
      </c>
      <c r="BA300" s="148" t="str">
        <f t="shared" si="210"/>
        <v>11/21/2017 18:00-&gt;CHILD DM - COL 2</v>
      </c>
      <c r="BB300" s="374">
        <f t="shared" si="211"/>
        <v>1</v>
      </c>
      <c r="BC300" s="374">
        <f t="shared" si="212"/>
        <v>1</v>
      </c>
      <c r="BD300" s="148" t="str">
        <f t="shared" si="213"/>
        <v>no conflict</v>
      </c>
      <c r="BF300" s="148" t="str">
        <f t="shared" si="214"/>
        <v>11/21/2017 18:00-&gt;CHILD DM - ARG 2</v>
      </c>
      <c r="BG300" s="148" t="str">
        <f t="shared" si="215"/>
        <v>11/21/2017 18:00-&gt;CHILD DM - COL 2</v>
      </c>
      <c r="BH300" s="148" t="str">
        <f t="shared" si="216"/>
        <v>11/21/2017 18:00-&gt;Hillel - Field 4</v>
      </c>
      <c r="BI300" s="148" t="str">
        <f t="shared" si="217"/>
        <v>Kickball in Hillel - Field 4 (ARG2-COL2)</v>
      </c>
      <c r="BJ300" s="148" t="str">
        <f t="shared" si="218"/>
        <v>Ch D Male Kickball-- CHILD DM - ARG 2 vs. CHILD DM - COL 2</v>
      </c>
      <c r="BK300" s="148" t="str">
        <f t="shared" si="219"/>
        <v>Kickball</v>
      </c>
      <c r="BL300" s="148" t="str">
        <f t="shared" si="220"/>
        <v>CHILD DM - ARG 2</v>
      </c>
      <c r="BM300" s="148" t="str">
        <f t="shared" si="221"/>
        <v>CHILD DM - COL 2</v>
      </c>
      <c r="BN300" s="148" t="str">
        <f t="shared" si="222"/>
        <v>Round - 1</v>
      </c>
      <c r="BP300" s="148" t="str">
        <f t="shared" si="223"/>
        <v>no t, f, or sf</v>
      </c>
      <c r="BQ300" s="148" t="str">
        <f t="shared" si="224"/>
        <v/>
      </c>
    </row>
    <row r="301" spans="1:69" ht="15" customHeight="1" x14ac:dyDescent="0.2">
      <c r="A301" s="376">
        <v>299</v>
      </c>
      <c r="B301" s="433" t="s">
        <v>57</v>
      </c>
      <c r="C301" s="315" t="s">
        <v>518</v>
      </c>
      <c r="D301" s="378">
        <v>1</v>
      </c>
      <c r="E301" s="378">
        <v>1</v>
      </c>
      <c r="F301" s="315" t="s">
        <v>770</v>
      </c>
      <c r="G301" s="316">
        <v>43061</v>
      </c>
      <c r="H301" s="317">
        <v>0.68055555555555547</v>
      </c>
      <c r="I301" s="325" t="s">
        <v>770</v>
      </c>
      <c r="J301" s="315" t="s">
        <v>703</v>
      </c>
      <c r="K301" s="315">
        <v>41</v>
      </c>
      <c r="L301" t="s">
        <v>602</v>
      </c>
      <c r="M301">
        <v>41</v>
      </c>
      <c r="N301" t="s">
        <v>595</v>
      </c>
      <c r="O301" s="153" t="str">
        <f>IF(L301&lt;&gt;"",IFERROR(VLOOKUP(B301&amp;L301,Pools!$A$2:$D$130,3,FALSE),""),"")</f>
        <v/>
      </c>
      <c r="P301" s="388">
        <v>8</v>
      </c>
      <c r="Q301" s="388">
        <v>0</v>
      </c>
      <c r="R301" s="306" t="str">
        <f t="shared" si="180"/>
        <v>8-0</v>
      </c>
      <c r="S301" s="153"/>
      <c r="T301" s="148" t="str">
        <f t="shared" si="181"/>
        <v>Completed</v>
      </c>
      <c r="U301" s="153"/>
      <c r="V301" s="153"/>
      <c r="W301" s="387">
        <f t="shared" si="182"/>
        <v>5</v>
      </c>
      <c r="X301" s="387">
        <f t="shared" si="183"/>
        <v>-5</v>
      </c>
      <c r="Y301" s="301">
        <f t="shared" si="184"/>
        <v>2</v>
      </c>
      <c r="Z301" s="301">
        <f t="shared" si="185"/>
        <v>0</v>
      </c>
      <c r="AA301" s="323" t="str">
        <f>CONCATENATE("                x[team1,team2,sport,'",IF(OR(I301="x",I301=""),VLOOKUP('Schedule from TM'!J301,Tables!$P$3:$Q$33,2,FALSE),'Schedule from TM'!I301),",",J301,"','",IF(OR(F301="x",F301=""),VLOOKUP('Schedule from TM'!G301,Tables!$U$3:$V$14,2,FALSE),'Schedule from TM'!F301),",",TEXT(G301,"mm/dd/yyyy"),"','",TEXT(H301,"h:mm:ss AM/PM"),"'].ub=0.0      #",B301)</f>
        <v xml:space="preserve">                x[team1,team2,sport,'21,Hillel - Field 1','22,11/22/2017','4:20:00 PM'].ub=0.0      #Ch D Male Kickball</v>
      </c>
      <c r="AB301" s="301" t="str">
        <f t="shared" si="186"/>
        <v>,,Ch D Male Kickball,,1,CHILD DM - VEN 2</v>
      </c>
      <c r="AC301" s="153" t="str">
        <f t="shared" si="187"/>
        <v>Ch D Male KickballCHILD DM - VEN 2</v>
      </c>
      <c r="AD301" s="301" t="str">
        <f t="shared" si="188"/>
        <v>,,Ch D Male Kickball,,1,CHILD DM - USA 1</v>
      </c>
      <c r="AE301" s="153" t="str">
        <f t="shared" si="189"/>
        <v>Ch D Male KickballCHILD DM - USA 1</v>
      </c>
      <c r="AF301" s="383">
        <f t="shared" si="190"/>
        <v>1</v>
      </c>
      <c r="AG301" s="383">
        <f t="shared" si="191"/>
        <v>0</v>
      </c>
      <c r="AH301" s="383">
        <f t="shared" si="192"/>
        <v>0</v>
      </c>
      <c r="AI301" s="383">
        <f t="shared" si="193"/>
        <v>0</v>
      </c>
      <c r="AJ301" s="383">
        <f t="shared" si="194"/>
        <v>1</v>
      </c>
      <c r="AK301" s="383">
        <f t="shared" si="195"/>
        <v>0</v>
      </c>
      <c r="AM301" s="148" t="str">
        <f t="shared" si="196"/>
        <v>Schedulled</v>
      </c>
      <c r="AN301" s="148" t="str">
        <f t="shared" si="197"/>
        <v/>
      </c>
      <c r="AO301" s="156">
        <f t="shared" si="198"/>
        <v>43061.680555555555</v>
      </c>
      <c r="AP301" s="148" t="str">
        <f t="shared" si="199"/>
        <v>11/22/2017 16:20-&gt;Hillel - Field 1</v>
      </c>
      <c r="AQ301" s="374">
        <f t="shared" si="200"/>
        <v>1</v>
      </c>
      <c r="AR301" s="148" t="str">
        <f t="shared" si="201"/>
        <v>VEN2</v>
      </c>
      <c r="AS301" s="148" t="str">
        <f t="shared" si="202"/>
        <v>USA1</v>
      </c>
      <c r="AT301" s="157" t="str">
        <f t="shared" si="203"/>
        <v>VEN2-USA1</v>
      </c>
      <c r="AU301" s="157" t="str">
        <f t="shared" si="204"/>
        <v xml:space="preserve">VEN2-USA1 </v>
      </c>
      <c r="AV301" s="157" t="str">
        <f t="shared" si="205"/>
        <v>CHILDREN D MALE</v>
      </c>
      <c r="AW301" s="157" t="str">
        <f t="shared" si="206"/>
        <v>Kickball</v>
      </c>
      <c r="AX301" s="376">
        <f t="shared" si="207"/>
        <v>299</v>
      </c>
      <c r="AY301" s="148" t="str">
        <f t="shared" si="208"/>
        <v>CHILD DM - VEN 2-&gt;CHILD DM - USA 1</v>
      </c>
      <c r="AZ301" s="148" t="str">
        <f t="shared" si="209"/>
        <v>11/22/2017 16:20-&gt;CHILD DM - VEN 2</v>
      </c>
      <c r="BA301" s="148" t="str">
        <f t="shared" si="210"/>
        <v>11/22/2017 16:20-&gt;CHILD DM - USA 1</v>
      </c>
      <c r="BB301" s="374">
        <f t="shared" si="211"/>
        <v>1</v>
      </c>
      <c r="BC301" s="374">
        <f t="shared" si="212"/>
        <v>1</v>
      </c>
      <c r="BD301" s="148" t="str">
        <f t="shared" si="213"/>
        <v>no conflict</v>
      </c>
      <c r="BF301" s="148" t="str">
        <f t="shared" si="214"/>
        <v>11/22/2017 16:20-&gt;CHILD DM - VEN 2</v>
      </c>
      <c r="BG301" s="148" t="str">
        <f t="shared" si="215"/>
        <v>11/22/2017 16:20-&gt;CHILD DM - USA 1</v>
      </c>
      <c r="BH301" s="148" t="str">
        <f t="shared" si="216"/>
        <v>11/22/2017 16:20-&gt;Hillel - Field 1</v>
      </c>
      <c r="BI301" s="148" t="str">
        <f t="shared" si="217"/>
        <v>Kickball in Hillel - Field 1 (VEN2-USA1)</v>
      </c>
      <c r="BJ301" s="148" t="str">
        <f t="shared" si="218"/>
        <v>Ch D Male Kickball-- CHILD DM - VEN 2 vs. CHILD DM - USA 1</v>
      </c>
      <c r="BK301" s="148" t="str">
        <f t="shared" si="219"/>
        <v>Kickball</v>
      </c>
      <c r="BL301" s="148" t="str">
        <f t="shared" si="220"/>
        <v>CHILD DM - VEN 2</v>
      </c>
      <c r="BM301" s="148" t="str">
        <f t="shared" si="221"/>
        <v>CHILD DM - USA 1</v>
      </c>
      <c r="BN301" s="148" t="str">
        <f t="shared" si="222"/>
        <v>Round - 1</v>
      </c>
      <c r="BP301" s="148" t="str">
        <f t="shared" si="223"/>
        <v>no t, f, or sf</v>
      </c>
      <c r="BQ301" s="148" t="str">
        <f t="shared" si="224"/>
        <v/>
      </c>
    </row>
    <row r="302" spans="1:69" ht="15" customHeight="1" x14ac:dyDescent="0.2">
      <c r="A302" s="376">
        <v>300</v>
      </c>
      <c r="B302" s="433" t="s">
        <v>57</v>
      </c>
      <c r="C302" s="315" t="s">
        <v>518</v>
      </c>
      <c r="D302" s="378">
        <v>1</v>
      </c>
      <c r="E302" s="378">
        <v>1</v>
      </c>
      <c r="F302" s="315" t="s">
        <v>770</v>
      </c>
      <c r="G302" s="316">
        <v>43061</v>
      </c>
      <c r="H302" s="317">
        <v>0.71527777777777779</v>
      </c>
      <c r="I302" s="325" t="s">
        <v>770</v>
      </c>
      <c r="J302" s="147" t="s">
        <v>706</v>
      </c>
      <c r="K302" s="315">
        <v>41</v>
      </c>
      <c r="L302" t="s">
        <v>597</v>
      </c>
      <c r="M302">
        <v>41</v>
      </c>
      <c r="N302" t="s">
        <v>600</v>
      </c>
      <c r="O302" s="153" t="str">
        <f>IF(L302&lt;&gt;"",IFERROR(VLOOKUP(B302&amp;L302,Pools!$A$2:$D$130,3,FALSE),""),"")</f>
        <v/>
      </c>
      <c r="P302" s="388">
        <v>7</v>
      </c>
      <c r="Q302" s="388">
        <v>5</v>
      </c>
      <c r="R302" s="306" t="str">
        <f t="shared" si="180"/>
        <v>7-5</v>
      </c>
      <c r="S302" s="153"/>
      <c r="T302" s="148" t="str">
        <f t="shared" si="181"/>
        <v>Completed</v>
      </c>
      <c r="U302" s="153"/>
      <c r="V302" s="153"/>
      <c r="W302" s="387">
        <f t="shared" si="182"/>
        <v>2</v>
      </c>
      <c r="X302" s="387">
        <f t="shared" si="183"/>
        <v>-2</v>
      </c>
      <c r="Y302" s="301">
        <f t="shared" si="184"/>
        <v>2</v>
      </c>
      <c r="Z302" s="301">
        <f t="shared" si="185"/>
        <v>0</v>
      </c>
      <c r="AA302" s="323" t="str">
        <f>CONCATENATE("                x[team1,team2,sport,'",IF(OR(I302="x",I302=""),VLOOKUP('Schedule from TM'!J302,Tables!$P$3:$Q$33,2,FALSE),'Schedule from TM'!I302),",",J302,"','",IF(OR(F302="x",F302=""),VLOOKUP('Schedule from TM'!G302,Tables!$U$3:$V$14,2,FALSE),'Schedule from TM'!F302),",",TEXT(G302,"mm/dd/yyyy"),"','",TEXT(H302,"h:mm:ss AM/PM"),"'].ub=0.0      #",B302)</f>
        <v xml:space="preserve">                x[team1,team2,sport,'21,Hillel - Field 4','22,11/22/2017','5:10:00 PM'].ub=0.0      #Ch D Male Kickball</v>
      </c>
      <c r="AB302" s="301" t="str">
        <f t="shared" si="186"/>
        <v>,,Ch D Male Kickball,,1,CHILD DM - VEN 1</v>
      </c>
      <c r="AC302" s="153" t="str">
        <f t="shared" si="187"/>
        <v>Ch D Male KickballCHILD DM - VEN 1</v>
      </c>
      <c r="AD302" s="301" t="str">
        <f t="shared" si="188"/>
        <v>,,Ch D Male Kickball,,1,CHILD DM - ISR 1</v>
      </c>
      <c r="AE302" s="153" t="str">
        <f t="shared" si="189"/>
        <v>Ch D Male KickballCHILD DM - ISR 1</v>
      </c>
      <c r="AF302" s="383">
        <f t="shared" si="190"/>
        <v>1</v>
      </c>
      <c r="AG302" s="383">
        <f t="shared" si="191"/>
        <v>0</v>
      </c>
      <c r="AH302" s="383">
        <f t="shared" si="192"/>
        <v>0</v>
      </c>
      <c r="AI302" s="383">
        <f t="shared" si="193"/>
        <v>0</v>
      </c>
      <c r="AJ302" s="383">
        <f t="shared" si="194"/>
        <v>1</v>
      </c>
      <c r="AK302" s="383">
        <f t="shared" si="195"/>
        <v>0</v>
      </c>
      <c r="AM302" s="148" t="str">
        <f t="shared" si="196"/>
        <v>Schedulled</v>
      </c>
      <c r="AN302" s="148" t="str">
        <f t="shared" si="197"/>
        <v/>
      </c>
      <c r="AO302" s="156">
        <f t="shared" si="198"/>
        <v>43061.715277777781</v>
      </c>
      <c r="AP302" s="148" t="str">
        <f t="shared" si="199"/>
        <v>11/22/2017 17:10-&gt;Hillel - Field 4</v>
      </c>
      <c r="AQ302" s="374">
        <f t="shared" si="200"/>
        <v>1</v>
      </c>
      <c r="AR302" s="148" t="str">
        <f t="shared" si="201"/>
        <v>VEN1</v>
      </c>
      <c r="AS302" s="148" t="str">
        <f t="shared" si="202"/>
        <v>ISR1</v>
      </c>
      <c r="AT302" s="157" t="str">
        <f t="shared" si="203"/>
        <v>VEN1-ISR1</v>
      </c>
      <c r="AU302" s="157" t="str">
        <f t="shared" si="204"/>
        <v xml:space="preserve">VEN1-ISR1 </v>
      </c>
      <c r="AV302" s="157" t="str">
        <f t="shared" si="205"/>
        <v>CHILDREN D MALE</v>
      </c>
      <c r="AW302" s="157" t="str">
        <f t="shared" si="206"/>
        <v>Kickball</v>
      </c>
      <c r="AX302" s="376">
        <f t="shared" si="207"/>
        <v>300</v>
      </c>
      <c r="AY302" s="148" t="str">
        <f t="shared" si="208"/>
        <v>CHILD DM - VEN 1-&gt;CHILD DM - ISR 1</v>
      </c>
      <c r="AZ302" s="148" t="str">
        <f t="shared" si="209"/>
        <v>11/22/2017 17:10-&gt;CHILD DM - VEN 1</v>
      </c>
      <c r="BA302" s="148" t="str">
        <f t="shared" si="210"/>
        <v>11/22/2017 17:10-&gt;CHILD DM - ISR 1</v>
      </c>
      <c r="BB302" s="374">
        <f t="shared" si="211"/>
        <v>1</v>
      </c>
      <c r="BC302" s="374">
        <f t="shared" si="212"/>
        <v>1</v>
      </c>
      <c r="BD302" s="148" t="str">
        <f t="shared" si="213"/>
        <v>no conflict</v>
      </c>
      <c r="BF302" s="148" t="str">
        <f t="shared" si="214"/>
        <v>11/22/2017 17:10-&gt;CHILD DM - VEN 1</v>
      </c>
      <c r="BG302" s="148" t="str">
        <f t="shared" si="215"/>
        <v>11/22/2017 17:10-&gt;CHILD DM - ISR 1</v>
      </c>
      <c r="BH302" s="148" t="str">
        <f t="shared" si="216"/>
        <v>11/22/2017 17:10-&gt;Hillel - Field 4</v>
      </c>
      <c r="BI302" s="148" t="str">
        <f t="shared" si="217"/>
        <v>Kickball in Hillel - Field 4 (VEN1-ISR1)</v>
      </c>
      <c r="BJ302" s="148" t="str">
        <f t="shared" si="218"/>
        <v>Ch D Male Kickball-- CHILD DM - VEN 1 vs. CHILD DM - ISR 1</v>
      </c>
      <c r="BK302" s="148" t="str">
        <f t="shared" si="219"/>
        <v>Kickball</v>
      </c>
      <c r="BL302" s="148" t="str">
        <f t="shared" si="220"/>
        <v>CHILD DM - VEN 1</v>
      </c>
      <c r="BM302" s="148" t="str">
        <f t="shared" si="221"/>
        <v>CHILD DM - ISR 1</v>
      </c>
      <c r="BN302" s="148" t="str">
        <f t="shared" si="222"/>
        <v>Round - 1</v>
      </c>
      <c r="BP302" s="148" t="str">
        <f t="shared" si="223"/>
        <v>no t, f, or sf</v>
      </c>
      <c r="BQ302" s="148" t="str">
        <f t="shared" si="224"/>
        <v/>
      </c>
    </row>
    <row r="303" spans="1:69" ht="15" customHeight="1" x14ac:dyDescent="0.2">
      <c r="A303" s="376">
        <v>301</v>
      </c>
      <c r="B303" s="433" t="s">
        <v>57</v>
      </c>
      <c r="C303" s="315" t="s">
        <v>518</v>
      </c>
      <c r="D303" s="378">
        <v>1</v>
      </c>
      <c r="E303" s="378">
        <v>1</v>
      </c>
      <c r="F303" s="315" t="s">
        <v>770</v>
      </c>
      <c r="G303" s="316">
        <v>43062</v>
      </c>
      <c r="H303" s="317">
        <v>0.47222222222222227</v>
      </c>
      <c r="I303" s="325" t="s">
        <v>770</v>
      </c>
      <c r="J303" s="444" t="s">
        <v>703</v>
      </c>
      <c r="K303" s="315">
        <v>41</v>
      </c>
      <c r="L303" t="s">
        <v>599</v>
      </c>
      <c r="M303">
        <v>41</v>
      </c>
      <c r="N303" t="s">
        <v>601</v>
      </c>
      <c r="O303" s="153" t="str">
        <f>IF(L303&lt;&gt;"",IFERROR(VLOOKUP(B303&amp;L303,Pools!$A$2:$D$130,3,FALSE),""),"")</f>
        <v/>
      </c>
      <c r="P303" s="388">
        <v>4</v>
      </c>
      <c r="Q303" s="388">
        <v>12</v>
      </c>
      <c r="R303" s="306" t="str">
        <f t="shared" si="180"/>
        <v>4-12</v>
      </c>
      <c r="S303" s="153"/>
      <c r="T303" s="148" t="str">
        <f t="shared" si="181"/>
        <v>Completed</v>
      </c>
      <c r="U303" s="153"/>
      <c r="V303" s="153"/>
      <c r="W303" s="387">
        <f t="shared" si="182"/>
        <v>-5</v>
      </c>
      <c r="X303" s="387">
        <f t="shared" si="183"/>
        <v>5</v>
      </c>
      <c r="Y303" s="301">
        <f t="shared" si="184"/>
        <v>0</v>
      </c>
      <c r="Z303" s="301">
        <f t="shared" si="185"/>
        <v>2</v>
      </c>
      <c r="AA303" s="323" t="str">
        <f>CONCATENATE("                x[team1,team2,sport,'",IF(OR(I303="x",I303=""),VLOOKUP('Schedule from TM'!J303,Tables!$P$3:$Q$33,2,FALSE),'Schedule from TM'!I303),",",J303,"','",IF(OR(F303="x",F303=""),VLOOKUP('Schedule from TM'!G303,Tables!$U$3:$V$14,2,FALSE),'Schedule from TM'!F303),",",TEXT(G303,"mm/dd/yyyy"),"','",TEXT(H303,"h:mm:ss AM/PM"),"'].ub=0.0      #",B303)</f>
        <v xml:space="preserve">                x[team1,team2,sport,'21,Hillel - Field 1','11,11/23/2017','11:20:00 AM'].ub=0.0      #Ch D Male Kickball</v>
      </c>
      <c r="AB303" s="301" t="str">
        <f t="shared" si="186"/>
        <v>,,Ch D Male Kickball,,1,CHILD DM - COL 2</v>
      </c>
      <c r="AC303" s="153" t="str">
        <f t="shared" si="187"/>
        <v>Ch D Male KickballCHILD DM - COL 2</v>
      </c>
      <c r="AD303" s="301" t="str">
        <f t="shared" si="188"/>
        <v>,,Ch D Male Kickball,,1,CHILD DM - MEX</v>
      </c>
      <c r="AE303" s="153" t="str">
        <f t="shared" si="189"/>
        <v>Ch D Male KickballCHILD DM - MEX</v>
      </c>
      <c r="AF303" s="383">
        <f t="shared" si="190"/>
        <v>0</v>
      </c>
      <c r="AG303" s="383">
        <f t="shared" si="191"/>
        <v>1</v>
      </c>
      <c r="AH303" s="383">
        <f t="shared" si="192"/>
        <v>0</v>
      </c>
      <c r="AI303" s="383">
        <f t="shared" si="193"/>
        <v>1</v>
      </c>
      <c r="AJ303" s="383">
        <f t="shared" si="194"/>
        <v>0</v>
      </c>
      <c r="AK303" s="383">
        <f t="shared" si="195"/>
        <v>0</v>
      </c>
      <c r="AM303" s="148" t="str">
        <f t="shared" si="196"/>
        <v>Schedulled</v>
      </c>
      <c r="AN303" s="148" t="str">
        <f t="shared" si="197"/>
        <v/>
      </c>
      <c r="AO303" s="156">
        <f t="shared" si="198"/>
        <v>43062.472222222219</v>
      </c>
      <c r="AP303" s="148" t="str">
        <f t="shared" si="199"/>
        <v>11/23/2017 11:20-&gt;Hillel - Field 1</v>
      </c>
      <c r="AQ303" s="374">
        <f t="shared" si="200"/>
        <v>1</v>
      </c>
      <c r="AR303" s="148" t="str">
        <f t="shared" si="201"/>
        <v>COL2</v>
      </c>
      <c r="AS303" s="148" t="str">
        <f t="shared" si="202"/>
        <v>MEX</v>
      </c>
      <c r="AT303" s="157" t="str">
        <f t="shared" si="203"/>
        <v>COL2-MEX</v>
      </c>
      <c r="AU303" s="157" t="str">
        <f t="shared" si="204"/>
        <v xml:space="preserve">COL2-MEX </v>
      </c>
      <c r="AV303" s="157" t="str">
        <f t="shared" si="205"/>
        <v>CHILDREN D MALE</v>
      </c>
      <c r="AW303" s="157" t="str">
        <f t="shared" si="206"/>
        <v>Kickball</v>
      </c>
      <c r="AX303" s="376">
        <f t="shared" si="207"/>
        <v>301</v>
      </c>
      <c r="AY303" s="148" t="str">
        <f t="shared" si="208"/>
        <v>CHILD DM - COL 2-&gt;CHILD DM - MEX</v>
      </c>
      <c r="AZ303" s="148" t="str">
        <f t="shared" si="209"/>
        <v>11/23/2017 11:20-&gt;CHILD DM - COL 2</v>
      </c>
      <c r="BA303" s="148" t="str">
        <f t="shared" si="210"/>
        <v>11/23/2017 11:20-&gt;CHILD DM - MEX</v>
      </c>
      <c r="BB303" s="374">
        <f t="shared" si="211"/>
        <v>1</v>
      </c>
      <c r="BC303" s="374">
        <f t="shared" si="212"/>
        <v>1</v>
      </c>
      <c r="BD303" s="148" t="str">
        <f t="shared" si="213"/>
        <v>no conflict</v>
      </c>
      <c r="BF303" s="148" t="str">
        <f t="shared" si="214"/>
        <v>11/23/2017 11:20-&gt;CHILD DM - COL 2</v>
      </c>
      <c r="BG303" s="148" t="str">
        <f t="shared" si="215"/>
        <v>11/23/2017 11:20-&gt;CHILD DM - MEX</v>
      </c>
      <c r="BH303" s="148" t="str">
        <f t="shared" si="216"/>
        <v>11/23/2017 11:20-&gt;Hillel - Field 1</v>
      </c>
      <c r="BI303" s="148" t="str">
        <f t="shared" si="217"/>
        <v>Kickball in Hillel - Field 1 (COL2-MEX)</v>
      </c>
      <c r="BJ303" s="148" t="str">
        <f t="shared" si="218"/>
        <v>Ch D Male Kickball-- CHILD DM - COL 2 vs. CHILD DM - MEX</v>
      </c>
      <c r="BK303" s="148" t="str">
        <f t="shared" si="219"/>
        <v>Kickball</v>
      </c>
      <c r="BL303" s="148" t="str">
        <f t="shared" si="220"/>
        <v>CHILD DM - COL 2</v>
      </c>
      <c r="BM303" s="148" t="str">
        <f t="shared" si="221"/>
        <v>CHILD DM - MEX</v>
      </c>
      <c r="BN303" s="148" t="str">
        <f t="shared" si="222"/>
        <v>Round - 1</v>
      </c>
      <c r="BP303" s="148" t="str">
        <f t="shared" si="223"/>
        <v>no t, f, or sf</v>
      </c>
      <c r="BQ303" s="148" t="str">
        <f t="shared" si="224"/>
        <v/>
      </c>
    </row>
    <row r="304" spans="1:69" ht="15" customHeight="1" x14ac:dyDescent="0.2">
      <c r="A304" s="376">
        <v>302</v>
      </c>
      <c r="B304" s="315" t="s">
        <v>57</v>
      </c>
      <c r="C304" s="315" t="s">
        <v>518</v>
      </c>
      <c r="D304" s="378">
        <v>1</v>
      </c>
      <c r="E304" s="378">
        <v>1</v>
      </c>
      <c r="F304" s="315" t="s">
        <v>770</v>
      </c>
      <c r="G304" s="316">
        <v>43062</v>
      </c>
      <c r="H304" s="317">
        <v>0.50694444444444442</v>
      </c>
      <c r="I304" s="325" t="s">
        <v>770</v>
      </c>
      <c r="J304" s="315" t="s">
        <v>704</v>
      </c>
      <c r="K304" s="315">
        <v>41</v>
      </c>
      <c r="L304" t="s">
        <v>597</v>
      </c>
      <c r="M304">
        <v>41</v>
      </c>
      <c r="N304" t="s">
        <v>594</v>
      </c>
      <c r="O304" s="153" t="str">
        <f>IF(L304&lt;&gt;"",IFERROR(VLOOKUP(B304&amp;L304,Pools!$A$2:$D$130,3,FALSE),""),"")</f>
        <v/>
      </c>
      <c r="P304" s="388">
        <v>11</v>
      </c>
      <c r="Q304" s="388">
        <v>12</v>
      </c>
      <c r="R304" s="306" t="str">
        <f t="shared" si="180"/>
        <v>11-12</v>
      </c>
      <c r="S304" s="153"/>
      <c r="T304" s="148" t="str">
        <f t="shared" si="181"/>
        <v>Completed</v>
      </c>
      <c r="U304" s="153"/>
      <c r="V304" s="153"/>
      <c r="W304" s="387">
        <f t="shared" si="182"/>
        <v>-1</v>
      </c>
      <c r="X304" s="387">
        <f t="shared" si="183"/>
        <v>1</v>
      </c>
      <c r="Y304" s="301">
        <f t="shared" si="184"/>
        <v>0</v>
      </c>
      <c r="Z304" s="301">
        <f t="shared" si="185"/>
        <v>2</v>
      </c>
      <c r="AA304" s="323" t="str">
        <f>CONCATENATE("                x[team1,team2,sport,'",IF(OR(I304="x",I304=""),VLOOKUP('Schedule from TM'!J304,Tables!$P$3:$Q$33,2,FALSE),'Schedule from TM'!I304),",",J304,"','",IF(OR(F304="x",F304=""),VLOOKUP('Schedule from TM'!G304,Tables!$U$3:$V$14,2,FALSE),'Schedule from TM'!F304),",",TEXT(G304,"mm/dd/yyyy"),"','",TEXT(H304,"h:mm:ss AM/PM"),"'].ub=0.0      #",B304)</f>
        <v xml:space="preserve">                x[team1,team2,sport,'21,Hillel - Field 2','11,11/23/2017','12:10:00 PM'].ub=0.0      #Ch D Male Kickball</v>
      </c>
      <c r="AB304" s="301" t="str">
        <f t="shared" si="186"/>
        <v>,,Ch D Male Kickball,,1,CHILD DM - VEN 1</v>
      </c>
      <c r="AC304" s="153" t="str">
        <f t="shared" si="187"/>
        <v>Ch D Male KickballCHILD DM - VEN 1</v>
      </c>
      <c r="AD304" s="301" t="str">
        <f t="shared" si="188"/>
        <v>,,Ch D Male Kickball,,1,CHILD DM - PER</v>
      </c>
      <c r="AE304" s="153" t="str">
        <f t="shared" si="189"/>
        <v>Ch D Male KickballCHILD DM - PER</v>
      </c>
      <c r="AF304" s="383">
        <f t="shared" si="190"/>
        <v>0</v>
      </c>
      <c r="AG304" s="383">
        <f t="shared" si="191"/>
        <v>1</v>
      </c>
      <c r="AH304" s="383">
        <f t="shared" si="192"/>
        <v>0</v>
      </c>
      <c r="AI304" s="383">
        <f t="shared" si="193"/>
        <v>1</v>
      </c>
      <c r="AJ304" s="383">
        <f t="shared" si="194"/>
        <v>0</v>
      </c>
      <c r="AK304" s="383">
        <f t="shared" si="195"/>
        <v>0</v>
      </c>
      <c r="AM304" s="148" t="str">
        <f t="shared" si="196"/>
        <v>Schedulled</v>
      </c>
      <c r="AN304" s="148" t="str">
        <f t="shared" si="197"/>
        <v/>
      </c>
      <c r="AO304" s="156">
        <f t="shared" si="198"/>
        <v>43062.506944444445</v>
      </c>
      <c r="AP304" s="148" t="str">
        <f t="shared" si="199"/>
        <v>11/23/2017 12:10-&gt;Hillel - Field 2</v>
      </c>
      <c r="AQ304" s="374">
        <f t="shared" si="200"/>
        <v>1</v>
      </c>
      <c r="AR304" s="148" t="str">
        <f t="shared" si="201"/>
        <v>VEN1</v>
      </c>
      <c r="AS304" s="148" t="str">
        <f t="shared" si="202"/>
        <v>PER</v>
      </c>
      <c r="AT304" s="157" t="str">
        <f t="shared" si="203"/>
        <v>VEN1-PER</v>
      </c>
      <c r="AU304" s="157" t="str">
        <f t="shared" si="204"/>
        <v xml:space="preserve">VEN1-PER </v>
      </c>
      <c r="AV304" s="157" t="str">
        <f t="shared" si="205"/>
        <v>CHILDREN D MALE</v>
      </c>
      <c r="AW304" s="157" t="str">
        <f t="shared" si="206"/>
        <v>Kickball</v>
      </c>
      <c r="AX304" s="376">
        <f t="shared" si="207"/>
        <v>302</v>
      </c>
      <c r="AY304" s="148" t="str">
        <f t="shared" si="208"/>
        <v>CHILD DM - VEN 1-&gt;CHILD DM - PER</v>
      </c>
      <c r="AZ304" s="148" t="str">
        <f t="shared" si="209"/>
        <v>11/23/2017 12:10-&gt;CHILD DM - VEN 1</v>
      </c>
      <c r="BA304" s="148" t="str">
        <f t="shared" si="210"/>
        <v>11/23/2017 12:10-&gt;CHILD DM - PER</v>
      </c>
      <c r="BB304" s="374">
        <f t="shared" si="211"/>
        <v>1</v>
      </c>
      <c r="BC304" s="374">
        <f t="shared" si="212"/>
        <v>1</v>
      </c>
      <c r="BD304" s="148" t="str">
        <f t="shared" si="213"/>
        <v>no conflict</v>
      </c>
      <c r="BF304" s="148" t="str">
        <f t="shared" si="214"/>
        <v>11/23/2017 12:10-&gt;CHILD DM - VEN 1</v>
      </c>
      <c r="BG304" s="148" t="str">
        <f t="shared" si="215"/>
        <v>11/23/2017 12:10-&gt;CHILD DM - PER</v>
      </c>
      <c r="BH304" s="148" t="str">
        <f t="shared" si="216"/>
        <v>11/23/2017 12:10-&gt;Hillel - Field 2</v>
      </c>
      <c r="BI304" s="148" t="str">
        <f t="shared" si="217"/>
        <v>Kickball in Hillel - Field 2 (VEN1-PER)</v>
      </c>
      <c r="BJ304" s="148" t="str">
        <f t="shared" si="218"/>
        <v>Ch D Male Kickball-- CHILD DM - VEN 1 vs. CHILD DM - PER</v>
      </c>
      <c r="BK304" s="148" t="str">
        <f t="shared" si="219"/>
        <v>Kickball</v>
      </c>
      <c r="BL304" s="148" t="str">
        <f t="shared" si="220"/>
        <v>CHILD DM - VEN 1</v>
      </c>
      <c r="BM304" s="148" t="str">
        <f t="shared" si="221"/>
        <v>CHILD DM - PER</v>
      </c>
      <c r="BN304" s="148" t="str">
        <f t="shared" si="222"/>
        <v>Round - 1</v>
      </c>
      <c r="BP304" s="148" t="str">
        <f t="shared" si="223"/>
        <v>no t, f, or sf</v>
      </c>
      <c r="BQ304" s="148" t="str">
        <f t="shared" si="224"/>
        <v/>
      </c>
    </row>
    <row r="305" spans="1:69" ht="15" customHeight="1" x14ac:dyDescent="0.2">
      <c r="A305" s="376">
        <v>303</v>
      </c>
      <c r="B305" s="433" t="s">
        <v>57</v>
      </c>
      <c r="C305" s="444" t="s">
        <v>518</v>
      </c>
      <c r="D305" s="451">
        <v>1</v>
      </c>
      <c r="E305" s="451">
        <v>1</v>
      </c>
      <c r="F305" s="315" t="s">
        <v>770</v>
      </c>
      <c r="G305" s="445">
        <v>43063</v>
      </c>
      <c r="H305" s="417">
        <v>0.33333333333333331</v>
      </c>
      <c r="I305" s="325" t="s">
        <v>770</v>
      </c>
      <c r="J305" s="444" t="s">
        <v>705</v>
      </c>
      <c r="K305" s="444">
        <v>41</v>
      </c>
      <c r="L305" t="s">
        <v>599</v>
      </c>
      <c r="M305">
        <v>41</v>
      </c>
      <c r="N305" t="s">
        <v>594</v>
      </c>
      <c r="O305" s="153" t="str">
        <f>IF(L305&lt;&gt;"",IFERROR(VLOOKUP(B305&amp;L305,Pools!$A$2:$D$130,3,FALSE),""),"")</f>
        <v/>
      </c>
      <c r="P305" s="388">
        <v>3</v>
      </c>
      <c r="Q305" s="388">
        <v>10</v>
      </c>
      <c r="R305" s="306" t="str">
        <f t="shared" si="180"/>
        <v>3-10</v>
      </c>
      <c r="S305" s="153"/>
      <c r="T305" s="148" t="str">
        <f t="shared" si="181"/>
        <v>Completed</v>
      </c>
      <c r="U305" s="153"/>
      <c r="V305" s="153"/>
      <c r="W305" s="387">
        <f t="shared" si="182"/>
        <v>-5</v>
      </c>
      <c r="X305" s="387">
        <f t="shared" si="183"/>
        <v>5</v>
      </c>
      <c r="Y305" s="301">
        <f t="shared" si="184"/>
        <v>0</v>
      </c>
      <c r="Z305" s="301">
        <f t="shared" si="185"/>
        <v>2</v>
      </c>
      <c r="AA305" s="323" t="str">
        <f>CONCATENATE("                x[team1,team2,sport,'",IF(OR(I305="x",I305=""),VLOOKUP('Schedule from TM'!J305,Tables!$P$3:$Q$33,2,FALSE),'Schedule from TM'!I305),",",J305,"','",IF(OR(F305="x",F305=""),VLOOKUP('Schedule from TM'!G305,Tables!$U$3:$V$14,2,FALSE),'Schedule from TM'!F305),",",TEXT(G305,"mm/dd/yyyy"),"','",TEXT(H305,"h:mm:ss AM/PM"),"'].ub=0.0      #",B305)</f>
        <v xml:space="preserve">                x[team1,team2,sport,'21,Hillel - Field 3','11,11/24/2017','8:00:00 AM'].ub=0.0      #Ch D Male Kickball</v>
      </c>
      <c r="AB305" s="301" t="str">
        <f t="shared" si="186"/>
        <v>,,Ch D Male Kickball,,1,CHILD DM - COL 2</v>
      </c>
      <c r="AC305" s="153" t="str">
        <f t="shared" si="187"/>
        <v>Ch D Male KickballCHILD DM - COL 2</v>
      </c>
      <c r="AD305" s="301" t="str">
        <f t="shared" si="188"/>
        <v>,,Ch D Male Kickball,,1,CHILD DM - PER</v>
      </c>
      <c r="AE305" s="153" t="str">
        <f t="shared" si="189"/>
        <v>Ch D Male KickballCHILD DM - PER</v>
      </c>
      <c r="AF305" s="383">
        <f t="shared" si="190"/>
        <v>0</v>
      </c>
      <c r="AG305" s="383">
        <f t="shared" si="191"/>
        <v>1</v>
      </c>
      <c r="AH305" s="383">
        <f t="shared" si="192"/>
        <v>0</v>
      </c>
      <c r="AI305" s="383">
        <f t="shared" si="193"/>
        <v>1</v>
      </c>
      <c r="AJ305" s="383">
        <f t="shared" si="194"/>
        <v>0</v>
      </c>
      <c r="AK305" s="383">
        <f t="shared" si="195"/>
        <v>0</v>
      </c>
      <c r="AM305" s="148" t="str">
        <f t="shared" si="196"/>
        <v>Schedulled</v>
      </c>
      <c r="AN305" s="148" t="str">
        <f t="shared" si="197"/>
        <v/>
      </c>
      <c r="AO305" s="156">
        <f t="shared" si="198"/>
        <v>43063.333333333336</v>
      </c>
      <c r="AP305" s="148" t="str">
        <f t="shared" si="199"/>
        <v>11/24/2017 08:00-&gt;Hillel - Field 3</v>
      </c>
      <c r="AQ305" s="374">
        <f t="shared" si="200"/>
        <v>1</v>
      </c>
      <c r="AR305" s="148" t="str">
        <f t="shared" si="201"/>
        <v>COL2</v>
      </c>
      <c r="AS305" s="148" t="str">
        <f t="shared" si="202"/>
        <v>PER</v>
      </c>
      <c r="AT305" s="157" t="str">
        <f t="shared" si="203"/>
        <v>COL2-PER</v>
      </c>
      <c r="AU305" s="157" t="str">
        <f t="shared" si="204"/>
        <v xml:space="preserve">COL2-PER </v>
      </c>
      <c r="AV305" s="157" t="str">
        <f t="shared" si="205"/>
        <v>CHILDREN D MALE</v>
      </c>
      <c r="AW305" s="157" t="str">
        <f t="shared" si="206"/>
        <v>Kickball</v>
      </c>
      <c r="AX305" s="376">
        <f t="shared" si="207"/>
        <v>303</v>
      </c>
      <c r="AY305" s="148" t="str">
        <f t="shared" si="208"/>
        <v>CHILD DM - COL 2-&gt;CHILD DM - PER</v>
      </c>
      <c r="AZ305" s="148" t="str">
        <f t="shared" si="209"/>
        <v>11/24/2017 08:00-&gt;CHILD DM - COL 2</v>
      </c>
      <c r="BA305" s="148" t="str">
        <f t="shared" si="210"/>
        <v>11/24/2017 08:00-&gt;CHILD DM - PER</v>
      </c>
      <c r="BB305" s="374">
        <f t="shared" si="211"/>
        <v>1</v>
      </c>
      <c r="BC305" s="374">
        <f t="shared" si="212"/>
        <v>1</v>
      </c>
      <c r="BD305" s="148" t="str">
        <f t="shared" si="213"/>
        <v>no conflict</v>
      </c>
      <c r="BF305" s="148" t="str">
        <f t="shared" si="214"/>
        <v>11/24/2017 08:00-&gt;CHILD DM - COL 2</v>
      </c>
      <c r="BG305" s="148" t="str">
        <f t="shared" si="215"/>
        <v>11/24/2017 08:00-&gt;CHILD DM - PER</v>
      </c>
      <c r="BH305" s="148" t="str">
        <f t="shared" si="216"/>
        <v>11/24/2017 08:00-&gt;Hillel - Field 3</v>
      </c>
      <c r="BI305" s="148" t="str">
        <f t="shared" si="217"/>
        <v>Kickball in Hillel - Field 3 (COL2-PER)</v>
      </c>
      <c r="BJ305" s="148" t="str">
        <f t="shared" si="218"/>
        <v>Ch D Male Kickball-- CHILD DM - COL 2 vs. CHILD DM - PER</v>
      </c>
      <c r="BK305" s="148" t="str">
        <f t="shared" si="219"/>
        <v>Kickball</v>
      </c>
      <c r="BL305" s="148" t="str">
        <f t="shared" si="220"/>
        <v>CHILD DM - COL 2</v>
      </c>
      <c r="BM305" s="148" t="str">
        <f t="shared" si="221"/>
        <v>CHILD DM - PER</v>
      </c>
      <c r="BN305" s="148" t="str">
        <f t="shared" si="222"/>
        <v>Round - 1</v>
      </c>
      <c r="BP305" s="148" t="str">
        <f t="shared" si="223"/>
        <v>no t, f, or sf</v>
      </c>
      <c r="BQ305" s="148" t="str">
        <f t="shared" si="224"/>
        <v/>
      </c>
    </row>
    <row r="306" spans="1:69" ht="16" x14ac:dyDescent="0.2">
      <c r="A306" s="450">
        <v>304</v>
      </c>
      <c r="B306" s="433" t="s">
        <v>57</v>
      </c>
      <c r="C306" s="444" t="s">
        <v>518</v>
      </c>
      <c r="D306" s="451">
        <v>1</v>
      </c>
      <c r="E306" s="451">
        <v>1</v>
      </c>
      <c r="F306" s="444" t="s">
        <v>770</v>
      </c>
      <c r="G306" s="445">
        <v>43063</v>
      </c>
      <c r="H306" s="454">
        <v>0.36805555555555558</v>
      </c>
      <c r="I306" s="446" t="s">
        <v>770</v>
      </c>
      <c r="J306" s="444" t="s">
        <v>703</v>
      </c>
      <c r="K306" s="444">
        <v>41</v>
      </c>
      <c r="L306" s="433" t="s">
        <v>597</v>
      </c>
      <c r="M306" s="433">
        <v>41</v>
      </c>
      <c r="N306" s="433" t="s">
        <v>598</v>
      </c>
      <c r="O306" s="153" t="str">
        <f>IF(L306&lt;&gt;"",IFERROR(VLOOKUP(B306&amp;L306,Pools!$A$2:$D$130,3,FALSE),""),"")</f>
        <v/>
      </c>
      <c r="P306" s="388">
        <v>10</v>
      </c>
      <c r="Q306" s="388">
        <v>8</v>
      </c>
      <c r="R306" s="306" t="str">
        <f t="shared" si="180"/>
        <v>10-8</v>
      </c>
      <c r="S306" s="153"/>
      <c r="T306" s="148" t="str">
        <f t="shared" si="181"/>
        <v>Completed</v>
      </c>
      <c r="U306" s="153"/>
      <c r="V306" s="153"/>
      <c r="W306" s="387">
        <f t="shared" si="182"/>
        <v>2</v>
      </c>
      <c r="X306" s="387">
        <f t="shared" si="183"/>
        <v>-2</v>
      </c>
      <c r="Y306" s="301">
        <f t="shared" si="184"/>
        <v>2</v>
      </c>
      <c r="Z306" s="301">
        <f t="shared" si="185"/>
        <v>0</v>
      </c>
      <c r="AA306" s="323" t="str">
        <f>CONCATENATE("                x[team1,team2,sport,'",IF(OR(I306="x",I306=""),VLOOKUP('Schedule from TM'!J306,Tables!$P$3:$Q$33,2,FALSE),'Schedule from TM'!I306),",",J306,"','",IF(OR(F306="x",F306=""),VLOOKUP('Schedule from TM'!G306,Tables!$U$3:$V$14,2,FALSE),'Schedule from TM'!F306),",",TEXT(G306,"mm/dd/yyyy"),"','",TEXT(H306,"h:mm:ss AM/PM"),"'].ub=0.0      #",B306)</f>
        <v xml:space="preserve">                x[team1,team2,sport,'21,Hillel - Field 1','11,11/24/2017','8:50:00 AM'].ub=0.0      #Ch D Male Kickball</v>
      </c>
      <c r="AB306" s="301" t="str">
        <f t="shared" si="186"/>
        <v>,,Ch D Male Kickball,,1,CHILD DM - VEN 1</v>
      </c>
      <c r="AC306" s="153" t="str">
        <f t="shared" si="187"/>
        <v>Ch D Male KickballCHILD DM - VEN 1</v>
      </c>
      <c r="AD306" s="301" t="str">
        <f t="shared" si="188"/>
        <v>,,Ch D Male Kickball,,1,CHILD DM - ARG 2</v>
      </c>
      <c r="AE306" s="153" t="str">
        <f t="shared" si="189"/>
        <v>Ch D Male KickballCHILD DM - ARG 2</v>
      </c>
      <c r="AF306" s="383">
        <f t="shared" si="190"/>
        <v>1</v>
      </c>
      <c r="AG306" s="383">
        <f t="shared" si="191"/>
        <v>0</v>
      </c>
      <c r="AH306" s="383">
        <f t="shared" si="192"/>
        <v>0</v>
      </c>
      <c r="AI306" s="383">
        <f t="shared" si="193"/>
        <v>0</v>
      </c>
      <c r="AJ306" s="383">
        <f t="shared" si="194"/>
        <v>1</v>
      </c>
      <c r="AK306" s="383">
        <f t="shared" si="195"/>
        <v>0</v>
      </c>
      <c r="AM306" s="148" t="str">
        <f t="shared" si="196"/>
        <v>Schedulled</v>
      </c>
      <c r="AN306" s="148" t="str">
        <f t="shared" si="197"/>
        <v/>
      </c>
      <c r="AO306" s="156">
        <f t="shared" si="198"/>
        <v>43063.368055555555</v>
      </c>
      <c r="AP306" s="148" t="str">
        <f t="shared" si="199"/>
        <v>11/24/2017 08:50-&gt;Hillel - Field 1</v>
      </c>
      <c r="AQ306" s="374">
        <f t="shared" si="200"/>
        <v>1</v>
      </c>
      <c r="AR306" s="148" t="str">
        <f t="shared" si="201"/>
        <v>VEN1</v>
      </c>
      <c r="AS306" s="148" t="str">
        <f t="shared" si="202"/>
        <v>ARG2</v>
      </c>
      <c r="AT306" s="157" t="str">
        <f t="shared" si="203"/>
        <v>VEN1-ARG2</v>
      </c>
      <c r="AU306" s="157" t="str">
        <f t="shared" si="204"/>
        <v xml:space="preserve">VEN1-ARG2 </v>
      </c>
      <c r="AV306" s="157" t="str">
        <f t="shared" si="205"/>
        <v>CHILDREN D MALE</v>
      </c>
      <c r="AW306" s="157" t="str">
        <f t="shared" si="206"/>
        <v>Kickball</v>
      </c>
      <c r="AX306" s="450">
        <f t="shared" si="207"/>
        <v>304</v>
      </c>
      <c r="AY306" s="148" t="str">
        <f t="shared" si="208"/>
        <v>CHILD DM - VEN 1-&gt;CHILD DM - ARG 2</v>
      </c>
      <c r="AZ306" s="148" t="str">
        <f t="shared" si="209"/>
        <v>11/24/2017 08:50-&gt;CHILD DM - VEN 1</v>
      </c>
      <c r="BA306" s="148" t="str">
        <f t="shared" si="210"/>
        <v>11/24/2017 08:50-&gt;CHILD DM - ARG 2</v>
      </c>
      <c r="BB306" s="374">
        <f t="shared" si="211"/>
        <v>1</v>
      </c>
      <c r="BC306" s="374">
        <f t="shared" si="212"/>
        <v>1</v>
      </c>
      <c r="BD306" s="148" t="str">
        <f t="shared" si="213"/>
        <v>no conflict</v>
      </c>
      <c r="BF306" s="148" t="str">
        <f t="shared" si="214"/>
        <v>11/24/2017 08:50-&gt;CHILD DM - VEN 1</v>
      </c>
      <c r="BG306" s="148" t="str">
        <f t="shared" si="215"/>
        <v>11/24/2017 08:50-&gt;CHILD DM - ARG 2</v>
      </c>
      <c r="BH306" s="148" t="str">
        <f t="shared" si="216"/>
        <v>11/24/2017 08:50-&gt;Hillel - Field 1</v>
      </c>
      <c r="BI306" s="148" t="str">
        <f t="shared" si="217"/>
        <v>Kickball in Hillel - Field 1 (VEN1-ARG2)</v>
      </c>
      <c r="BJ306" s="148" t="str">
        <f t="shared" si="218"/>
        <v>Ch D Male Kickball-- CHILD DM - VEN 1 vs. CHILD DM - ARG 2</v>
      </c>
      <c r="BK306" s="148" t="str">
        <f t="shared" si="219"/>
        <v>Kickball</v>
      </c>
      <c r="BL306" s="148" t="str">
        <f t="shared" si="220"/>
        <v>CHILD DM - VEN 1</v>
      </c>
      <c r="BM306" s="148" t="str">
        <f t="shared" si="221"/>
        <v>CHILD DM - ARG 2</v>
      </c>
      <c r="BN306" s="148" t="str">
        <f t="shared" si="222"/>
        <v>Round - 1</v>
      </c>
      <c r="BP306" s="148" t="str">
        <f t="shared" si="223"/>
        <v>no t, f, or sf</v>
      </c>
      <c r="BQ306" s="148" t="str">
        <f t="shared" si="224"/>
        <v/>
      </c>
    </row>
    <row r="307" spans="1:69" ht="15" customHeight="1" x14ac:dyDescent="0.2">
      <c r="A307" s="376">
        <v>305</v>
      </c>
      <c r="B307" s="433" t="s">
        <v>57</v>
      </c>
      <c r="C307" s="444" t="s">
        <v>518</v>
      </c>
      <c r="D307" s="451">
        <v>1</v>
      </c>
      <c r="E307" s="451">
        <v>1</v>
      </c>
      <c r="F307" s="315" t="s">
        <v>770</v>
      </c>
      <c r="G307" s="445">
        <v>43063</v>
      </c>
      <c r="H307" s="417">
        <v>0.40277777777777773</v>
      </c>
      <c r="I307" s="325" t="s">
        <v>770</v>
      </c>
      <c r="J307" s="443" t="s">
        <v>704</v>
      </c>
      <c r="K307" s="444">
        <v>41</v>
      </c>
      <c r="L307" s="433" t="s">
        <v>592</v>
      </c>
      <c r="M307" s="433">
        <v>41</v>
      </c>
      <c r="N307" s="433" t="s">
        <v>600</v>
      </c>
      <c r="O307" s="153" t="str">
        <f>IF(L307&lt;&gt;"",IFERROR(VLOOKUP(B307&amp;L307,Pools!$A$2:$D$130,3,FALSE),""),"")</f>
        <v/>
      </c>
      <c r="P307" s="388">
        <v>12</v>
      </c>
      <c r="Q307" s="388">
        <v>3</v>
      </c>
      <c r="R307" s="306" t="str">
        <f t="shared" si="180"/>
        <v>12-3</v>
      </c>
      <c r="S307" s="153"/>
      <c r="T307" s="148" t="str">
        <f t="shared" si="181"/>
        <v>Completed</v>
      </c>
      <c r="U307" s="153"/>
      <c r="V307" s="153"/>
      <c r="W307" s="387">
        <f t="shared" si="182"/>
        <v>5</v>
      </c>
      <c r="X307" s="387">
        <f t="shared" si="183"/>
        <v>-5</v>
      </c>
      <c r="Y307" s="301">
        <f t="shared" si="184"/>
        <v>2</v>
      </c>
      <c r="Z307" s="301">
        <f t="shared" si="185"/>
        <v>0</v>
      </c>
      <c r="AA307" s="323" t="str">
        <f>CONCATENATE("                x[team1,team2,sport,'",IF(OR(I307="x",I307=""),VLOOKUP('Schedule from TM'!J307,Tables!$P$3:$Q$33,2,FALSE),'Schedule from TM'!I307),",",J307,"','",IF(OR(F307="x",F307=""),VLOOKUP('Schedule from TM'!G307,Tables!$U$3:$V$14,2,FALSE),'Schedule from TM'!F307),",",TEXT(G307,"mm/dd/yyyy"),"','",TEXT(H307,"h:mm:ss AM/PM"),"'].ub=0.0      #",B307)</f>
        <v xml:space="preserve">                x[team1,team2,sport,'21,Hillel - Field 2','11,11/24/2017','9:40:00 AM'].ub=0.0      #Ch D Male Kickball</v>
      </c>
      <c r="AB307" s="301" t="str">
        <f t="shared" si="186"/>
        <v>,,Ch D Male Kickball,,1,CHILD DM - ARG 1</v>
      </c>
      <c r="AC307" s="153" t="str">
        <f t="shared" si="187"/>
        <v>Ch D Male KickballCHILD DM - ARG 1</v>
      </c>
      <c r="AD307" s="301" t="str">
        <f t="shared" si="188"/>
        <v>,,Ch D Male Kickball,,1,CHILD DM - ISR 1</v>
      </c>
      <c r="AE307" s="153" t="str">
        <f t="shared" si="189"/>
        <v>Ch D Male KickballCHILD DM - ISR 1</v>
      </c>
      <c r="AF307" s="383">
        <f t="shared" si="190"/>
        <v>1</v>
      </c>
      <c r="AG307" s="383">
        <f t="shared" si="191"/>
        <v>0</v>
      </c>
      <c r="AH307" s="383">
        <f t="shared" si="192"/>
        <v>0</v>
      </c>
      <c r="AI307" s="383">
        <f t="shared" si="193"/>
        <v>0</v>
      </c>
      <c r="AJ307" s="383">
        <f t="shared" si="194"/>
        <v>1</v>
      </c>
      <c r="AK307" s="383">
        <f t="shared" si="195"/>
        <v>0</v>
      </c>
      <c r="AM307" s="148" t="str">
        <f t="shared" si="196"/>
        <v>Schedulled</v>
      </c>
      <c r="AN307" s="148" t="str">
        <f t="shared" si="197"/>
        <v/>
      </c>
      <c r="AO307" s="156">
        <f t="shared" si="198"/>
        <v>43063.402777777781</v>
      </c>
      <c r="AP307" s="148" t="str">
        <f t="shared" si="199"/>
        <v>11/24/2017 09:40-&gt;Hillel - Field 2</v>
      </c>
      <c r="AQ307" s="374">
        <f t="shared" si="200"/>
        <v>1</v>
      </c>
      <c r="AR307" s="148" t="str">
        <f t="shared" si="201"/>
        <v>ARG1</v>
      </c>
      <c r="AS307" s="148" t="str">
        <f t="shared" si="202"/>
        <v>ISR1</v>
      </c>
      <c r="AT307" s="157" t="str">
        <f t="shared" si="203"/>
        <v>ARG1-ISR1</v>
      </c>
      <c r="AU307" s="157" t="str">
        <f t="shared" si="204"/>
        <v xml:space="preserve">ARG1-ISR1 </v>
      </c>
      <c r="AV307" s="157" t="str">
        <f t="shared" si="205"/>
        <v>CHILDREN D MALE</v>
      </c>
      <c r="AW307" s="157" t="str">
        <f t="shared" si="206"/>
        <v>Kickball</v>
      </c>
      <c r="AX307" s="376">
        <f t="shared" si="207"/>
        <v>305</v>
      </c>
      <c r="AY307" s="148" t="str">
        <f t="shared" si="208"/>
        <v>CHILD DM - ARG 1-&gt;CHILD DM - ISR 1</v>
      </c>
      <c r="AZ307" s="148" t="str">
        <f t="shared" si="209"/>
        <v>11/24/2017 09:40-&gt;CHILD DM - ARG 1</v>
      </c>
      <c r="BA307" s="148" t="str">
        <f t="shared" si="210"/>
        <v>11/24/2017 09:40-&gt;CHILD DM - ISR 1</v>
      </c>
      <c r="BB307" s="374">
        <f t="shared" si="211"/>
        <v>1</v>
      </c>
      <c r="BC307" s="374">
        <f t="shared" si="212"/>
        <v>1</v>
      </c>
      <c r="BD307" s="148" t="str">
        <f t="shared" si="213"/>
        <v>no conflict</v>
      </c>
      <c r="BF307" s="148" t="str">
        <f t="shared" si="214"/>
        <v>11/24/2017 09:40-&gt;CHILD DM - ARG 1</v>
      </c>
      <c r="BG307" s="148" t="str">
        <f t="shared" si="215"/>
        <v>11/24/2017 09:40-&gt;CHILD DM - ISR 1</v>
      </c>
      <c r="BH307" s="148" t="str">
        <f t="shared" si="216"/>
        <v>11/24/2017 09:40-&gt;Hillel - Field 2</v>
      </c>
      <c r="BI307" s="148" t="str">
        <f t="shared" si="217"/>
        <v>Kickball in Hillel - Field 2 (ARG1-ISR1)</v>
      </c>
      <c r="BJ307" s="148" t="str">
        <f t="shared" si="218"/>
        <v>Ch D Male Kickball-- CHILD DM - ARG 1 vs. CHILD DM - ISR 1</v>
      </c>
      <c r="BK307" s="148" t="str">
        <f t="shared" si="219"/>
        <v>Kickball</v>
      </c>
      <c r="BL307" s="148" t="str">
        <f t="shared" si="220"/>
        <v>CHILD DM - ARG 1</v>
      </c>
      <c r="BM307" s="148" t="str">
        <f t="shared" si="221"/>
        <v>CHILD DM - ISR 1</v>
      </c>
      <c r="BN307" s="148" t="str">
        <f t="shared" si="222"/>
        <v>Round - 1</v>
      </c>
      <c r="BP307" s="148" t="str">
        <f t="shared" si="223"/>
        <v>no t, f, or sf</v>
      </c>
      <c r="BQ307" s="148" t="str">
        <f t="shared" si="224"/>
        <v/>
      </c>
    </row>
    <row r="308" spans="1:69" ht="15" customHeight="1" x14ac:dyDescent="0.2">
      <c r="A308" s="376">
        <v>306</v>
      </c>
      <c r="B308" s="444" t="s">
        <v>57</v>
      </c>
      <c r="C308" s="315" t="s">
        <v>518</v>
      </c>
      <c r="D308" s="378">
        <v>1</v>
      </c>
      <c r="E308" s="378">
        <v>1</v>
      </c>
      <c r="F308" s="315" t="s">
        <v>770</v>
      </c>
      <c r="G308" s="316">
        <v>43063</v>
      </c>
      <c r="H308" s="418">
        <v>0.4375</v>
      </c>
      <c r="I308" s="325" t="s">
        <v>770</v>
      </c>
      <c r="J308" s="444" t="s">
        <v>706</v>
      </c>
      <c r="K308" s="315">
        <v>41</v>
      </c>
      <c r="L308" t="s">
        <v>593</v>
      </c>
      <c r="M308">
        <v>41</v>
      </c>
      <c r="N308" t="s">
        <v>595</v>
      </c>
      <c r="O308" s="153" t="str">
        <f>IF(L308&lt;&gt;"",IFERROR(VLOOKUP(B308&amp;L308,Pools!$A$2:$D$130,3,FALSE),""),"")</f>
        <v/>
      </c>
      <c r="P308" s="388">
        <v>2</v>
      </c>
      <c r="Q308" s="388">
        <v>1</v>
      </c>
      <c r="R308" s="306" t="str">
        <f t="shared" si="180"/>
        <v>2-1</v>
      </c>
      <c r="S308" s="153"/>
      <c r="T308" s="148" t="str">
        <f t="shared" si="181"/>
        <v>Completed</v>
      </c>
      <c r="U308" s="153"/>
      <c r="V308" s="153"/>
      <c r="W308" s="387">
        <f t="shared" si="182"/>
        <v>1</v>
      </c>
      <c r="X308" s="387">
        <f t="shared" si="183"/>
        <v>-1</v>
      </c>
      <c r="Y308" s="301">
        <f t="shared" si="184"/>
        <v>2</v>
      </c>
      <c r="Z308" s="301">
        <f t="shared" si="185"/>
        <v>0</v>
      </c>
      <c r="AA308" s="323" t="str">
        <f>CONCATENATE("                x[team1,team2,sport,'",IF(OR(I308="x",I308=""),VLOOKUP('Schedule from TM'!J308,Tables!$P$3:$Q$33,2,FALSE),'Schedule from TM'!I308),",",J308,"','",IF(OR(F308="x",F308=""),VLOOKUP('Schedule from TM'!G308,Tables!$U$3:$V$14,2,FALSE),'Schedule from TM'!F308),",",TEXT(G308,"mm/dd/yyyy"),"','",TEXT(H308,"h:mm:ss AM/PM"),"'].ub=0.0      #",B308)</f>
        <v xml:space="preserve">                x[team1,team2,sport,'21,Hillel - Field 4','11,11/24/2017','10:30:00 AM'].ub=0.0      #Ch D Male Kickball</v>
      </c>
      <c r="AB308" s="301" t="str">
        <f t="shared" si="186"/>
        <v>,,Ch D Male Kickball,,1,CHILD DM - COL 1</v>
      </c>
      <c r="AC308" s="153" t="str">
        <f t="shared" si="187"/>
        <v>Ch D Male KickballCHILD DM - COL 1</v>
      </c>
      <c r="AD308" s="301" t="str">
        <f t="shared" si="188"/>
        <v>,,Ch D Male Kickball,,1,CHILD DM - USA 1</v>
      </c>
      <c r="AE308" s="153" t="str">
        <f t="shared" si="189"/>
        <v>Ch D Male KickballCHILD DM - USA 1</v>
      </c>
      <c r="AF308" s="383">
        <f t="shared" si="190"/>
        <v>1</v>
      </c>
      <c r="AG308" s="383">
        <f t="shared" si="191"/>
        <v>0</v>
      </c>
      <c r="AH308" s="383">
        <f t="shared" si="192"/>
        <v>0</v>
      </c>
      <c r="AI308" s="383">
        <f t="shared" si="193"/>
        <v>0</v>
      </c>
      <c r="AJ308" s="383">
        <f t="shared" si="194"/>
        <v>1</v>
      </c>
      <c r="AK308" s="383">
        <f t="shared" si="195"/>
        <v>0</v>
      </c>
      <c r="AM308" s="148" t="str">
        <f t="shared" si="196"/>
        <v>Schedulled</v>
      </c>
      <c r="AN308" s="148" t="str">
        <f t="shared" si="197"/>
        <v/>
      </c>
      <c r="AO308" s="156">
        <f t="shared" si="198"/>
        <v>43063.4375</v>
      </c>
      <c r="AP308" s="148" t="str">
        <f t="shared" si="199"/>
        <v>11/24/2017 10:30-&gt;Hillel - Field 4</v>
      </c>
      <c r="AQ308" s="374">
        <f t="shared" si="200"/>
        <v>1</v>
      </c>
      <c r="AR308" s="148" t="str">
        <f t="shared" si="201"/>
        <v>COL1</v>
      </c>
      <c r="AS308" s="148" t="str">
        <f t="shared" si="202"/>
        <v>USA1</v>
      </c>
      <c r="AT308" s="157" t="str">
        <f t="shared" si="203"/>
        <v>COL1-USA1</v>
      </c>
      <c r="AU308" s="157" t="str">
        <f t="shared" si="204"/>
        <v xml:space="preserve">COL1-USA1 </v>
      </c>
      <c r="AV308" s="157" t="str">
        <f t="shared" si="205"/>
        <v>CHILDREN D MALE</v>
      </c>
      <c r="AW308" s="157" t="str">
        <f t="shared" si="206"/>
        <v>Kickball</v>
      </c>
      <c r="AX308" s="376">
        <f t="shared" si="207"/>
        <v>306</v>
      </c>
      <c r="AY308" s="148" t="str">
        <f t="shared" si="208"/>
        <v>CHILD DM - COL 1-&gt;CHILD DM - USA 1</v>
      </c>
      <c r="AZ308" s="148" t="str">
        <f t="shared" si="209"/>
        <v>11/24/2017 10:30-&gt;CHILD DM - COL 1</v>
      </c>
      <c r="BA308" s="148" t="str">
        <f t="shared" si="210"/>
        <v>11/24/2017 10:30-&gt;CHILD DM - USA 1</v>
      </c>
      <c r="BB308" s="374">
        <f t="shared" si="211"/>
        <v>1</v>
      </c>
      <c r="BC308" s="374">
        <f t="shared" si="212"/>
        <v>1</v>
      </c>
      <c r="BD308" s="148" t="str">
        <f t="shared" si="213"/>
        <v>no conflict</v>
      </c>
      <c r="BF308" s="148" t="str">
        <f t="shared" si="214"/>
        <v>11/24/2017 10:30-&gt;CHILD DM - COL 1</v>
      </c>
      <c r="BG308" s="148" t="str">
        <f t="shared" si="215"/>
        <v>11/24/2017 10:30-&gt;CHILD DM - USA 1</v>
      </c>
      <c r="BH308" s="148" t="str">
        <f t="shared" si="216"/>
        <v>11/24/2017 10:30-&gt;Hillel - Field 4</v>
      </c>
      <c r="BI308" s="148" t="str">
        <f t="shared" si="217"/>
        <v>Kickball in Hillel - Field 4 (COL1-USA1)</v>
      </c>
      <c r="BJ308" s="148" t="str">
        <f t="shared" si="218"/>
        <v>Ch D Male Kickball-- CHILD DM - COL 1 vs. CHILD DM - USA 1</v>
      </c>
      <c r="BK308" s="148" t="str">
        <f t="shared" si="219"/>
        <v>Kickball</v>
      </c>
      <c r="BL308" s="148" t="str">
        <f t="shared" si="220"/>
        <v>CHILD DM - COL 1</v>
      </c>
      <c r="BM308" s="148" t="str">
        <f t="shared" si="221"/>
        <v>CHILD DM - USA 1</v>
      </c>
      <c r="BN308" s="148" t="str">
        <f t="shared" si="222"/>
        <v>Round - 1</v>
      </c>
      <c r="BP308" s="148" t="str">
        <f t="shared" si="223"/>
        <v>no t, f, or sf</v>
      </c>
      <c r="BQ308" s="148" t="str">
        <f t="shared" si="224"/>
        <v/>
      </c>
    </row>
    <row r="309" spans="1:69" ht="15" customHeight="1" x14ac:dyDescent="0.2">
      <c r="A309" s="376">
        <v>307</v>
      </c>
      <c r="B309" s="433" t="s">
        <v>57</v>
      </c>
      <c r="C309" s="444" t="s">
        <v>518</v>
      </c>
      <c r="D309" s="451">
        <v>1</v>
      </c>
      <c r="E309" s="451">
        <v>1</v>
      </c>
      <c r="F309" s="315" t="s">
        <v>770</v>
      </c>
      <c r="G309" s="445">
        <v>43063</v>
      </c>
      <c r="H309" s="454">
        <v>0.4375</v>
      </c>
      <c r="I309" s="325" t="s">
        <v>770</v>
      </c>
      <c r="J309" s="443" t="s">
        <v>705</v>
      </c>
      <c r="K309" s="444">
        <v>41</v>
      </c>
      <c r="L309" t="s">
        <v>602</v>
      </c>
      <c r="M309">
        <v>41</v>
      </c>
      <c r="N309" t="s">
        <v>598</v>
      </c>
      <c r="O309" s="153" t="str">
        <f>IF(L309&lt;&gt;"",IFERROR(VLOOKUP(B309&amp;L309,Pools!$A$2:$D$130,3,FALSE),""),"")</f>
        <v/>
      </c>
      <c r="P309" s="388">
        <v>12</v>
      </c>
      <c r="Q309" s="388">
        <v>4</v>
      </c>
      <c r="R309" s="306" t="str">
        <f t="shared" si="180"/>
        <v>12-4</v>
      </c>
      <c r="S309" s="153"/>
      <c r="T309" s="148" t="str">
        <f t="shared" si="181"/>
        <v>Completed</v>
      </c>
      <c r="U309" s="153"/>
      <c r="V309" s="153"/>
      <c r="W309" s="387">
        <f t="shared" si="182"/>
        <v>5</v>
      </c>
      <c r="X309" s="387">
        <f t="shared" si="183"/>
        <v>-5</v>
      </c>
      <c r="Y309" s="301">
        <f t="shared" si="184"/>
        <v>2</v>
      </c>
      <c r="Z309" s="301">
        <f t="shared" si="185"/>
        <v>0</v>
      </c>
      <c r="AA309" s="323" t="str">
        <f>CONCATENATE("                x[team1,team2,sport,'",IF(OR(I309="x",I309=""),VLOOKUP('Schedule from TM'!J309,Tables!$P$3:$Q$33,2,FALSE),'Schedule from TM'!I309),",",J309,"','",IF(OR(F309="x",F309=""),VLOOKUP('Schedule from TM'!G309,Tables!$U$3:$V$14,2,FALSE),'Schedule from TM'!F309),",",TEXT(G309,"mm/dd/yyyy"),"','",TEXT(H309,"h:mm:ss AM/PM"),"'].ub=0.0      #",B309)</f>
        <v xml:space="preserve">                x[team1,team2,sport,'21,Hillel - Field 3','11,11/24/2017','10:30:00 AM'].ub=0.0      #Ch D Male Kickball</v>
      </c>
      <c r="AB309" s="301" t="str">
        <f t="shared" si="186"/>
        <v>,,Ch D Male Kickball,,1,CHILD DM - VEN 2</v>
      </c>
      <c r="AC309" s="153" t="str">
        <f t="shared" si="187"/>
        <v>Ch D Male KickballCHILD DM - VEN 2</v>
      </c>
      <c r="AD309" s="301" t="str">
        <f t="shared" si="188"/>
        <v>,,Ch D Male Kickball,,1,CHILD DM - ARG 2</v>
      </c>
      <c r="AE309" s="153" t="str">
        <f t="shared" si="189"/>
        <v>Ch D Male KickballCHILD DM - ARG 2</v>
      </c>
      <c r="AF309" s="383">
        <f t="shared" si="190"/>
        <v>1</v>
      </c>
      <c r="AG309" s="383">
        <f t="shared" si="191"/>
        <v>0</v>
      </c>
      <c r="AH309" s="383">
        <f t="shared" si="192"/>
        <v>0</v>
      </c>
      <c r="AI309" s="383">
        <f t="shared" si="193"/>
        <v>0</v>
      </c>
      <c r="AJ309" s="383">
        <f t="shared" si="194"/>
        <v>1</v>
      </c>
      <c r="AK309" s="383">
        <f t="shared" si="195"/>
        <v>0</v>
      </c>
      <c r="AM309" s="148" t="str">
        <f t="shared" si="196"/>
        <v>Schedulled</v>
      </c>
      <c r="AN309" s="148" t="str">
        <f t="shared" si="197"/>
        <v/>
      </c>
      <c r="AO309" s="156">
        <f t="shared" si="198"/>
        <v>43063.4375</v>
      </c>
      <c r="AP309" s="148" t="str">
        <f t="shared" si="199"/>
        <v>11/24/2017 10:30-&gt;Hillel - Field 3</v>
      </c>
      <c r="AQ309" s="374">
        <f t="shared" si="200"/>
        <v>1</v>
      </c>
      <c r="AR309" s="148" t="str">
        <f t="shared" si="201"/>
        <v>VEN2</v>
      </c>
      <c r="AS309" s="148" t="str">
        <f t="shared" si="202"/>
        <v>ARG2</v>
      </c>
      <c r="AT309" s="157" t="str">
        <f t="shared" si="203"/>
        <v>VEN2-ARG2</v>
      </c>
      <c r="AU309" s="157" t="str">
        <f t="shared" si="204"/>
        <v xml:space="preserve">VEN2-ARG2 </v>
      </c>
      <c r="AV309" s="157" t="str">
        <f t="shared" si="205"/>
        <v>CHILDREN D MALE</v>
      </c>
      <c r="AW309" s="157" t="str">
        <f t="shared" si="206"/>
        <v>Kickball</v>
      </c>
      <c r="AX309" s="376">
        <f t="shared" si="207"/>
        <v>307</v>
      </c>
      <c r="AY309" s="148" t="str">
        <f t="shared" si="208"/>
        <v>CHILD DM - VEN 2-&gt;CHILD DM - ARG 2</v>
      </c>
      <c r="AZ309" s="148" t="str">
        <f t="shared" si="209"/>
        <v>11/24/2017 10:30-&gt;CHILD DM - VEN 2</v>
      </c>
      <c r="BA309" s="148" t="str">
        <f t="shared" si="210"/>
        <v>11/24/2017 10:30-&gt;CHILD DM - ARG 2</v>
      </c>
      <c r="BB309" s="374">
        <f t="shared" si="211"/>
        <v>1</v>
      </c>
      <c r="BC309" s="374">
        <f t="shared" si="212"/>
        <v>1</v>
      </c>
      <c r="BD309" s="148" t="str">
        <f t="shared" si="213"/>
        <v>no conflict</v>
      </c>
      <c r="BF309" s="148" t="str">
        <f t="shared" si="214"/>
        <v>11/24/2017 10:30-&gt;CHILD DM - VEN 2</v>
      </c>
      <c r="BG309" s="148" t="str">
        <f t="shared" si="215"/>
        <v>11/24/2017 10:30-&gt;CHILD DM - ARG 2</v>
      </c>
      <c r="BH309" s="148" t="str">
        <f t="shared" si="216"/>
        <v>11/24/2017 10:30-&gt;Hillel - Field 3</v>
      </c>
      <c r="BI309" s="148" t="str">
        <f t="shared" si="217"/>
        <v>Kickball in Hillel - Field 3 (VEN2-ARG2)</v>
      </c>
      <c r="BJ309" s="148" t="str">
        <f t="shared" si="218"/>
        <v>Ch D Male Kickball-- CHILD DM - VEN 2 vs. CHILD DM - ARG 2</v>
      </c>
      <c r="BK309" s="148" t="str">
        <f t="shared" si="219"/>
        <v>Kickball</v>
      </c>
      <c r="BL309" s="148" t="str">
        <f t="shared" si="220"/>
        <v>CHILD DM - VEN 2</v>
      </c>
      <c r="BM309" s="148" t="str">
        <f t="shared" si="221"/>
        <v>CHILD DM - ARG 2</v>
      </c>
      <c r="BN309" s="148" t="str">
        <f t="shared" si="222"/>
        <v>Round - 1</v>
      </c>
      <c r="BP309" s="148" t="str">
        <f t="shared" si="223"/>
        <v>no t, f, or sf</v>
      </c>
      <c r="BQ309" s="148" t="str">
        <f t="shared" si="224"/>
        <v/>
      </c>
    </row>
    <row r="310" spans="1:69" ht="15" customHeight="1" x14ac:dyDescent="0.2">
      <c r="A310" s="376">
        <v>308</v>
      </c>
      <c r="B310" s="433" t="s">
        <v>53</v>
      </c>
      <c r="C310" s="315" t="s">
        <v>518</v>
      </c>
      <c r="D310" s="378">
        <v>1</v>
      </c>
      <c r="E310" s="378">
        <v>1</v>
      </c>
      <c r="F310" s="315" t="s">
        <v>770</v>
      </c>
      <c r="G310" s="316">
        <v>43058</v>
      </c>
      <c r="H310" s="317">
        <v>0.57638888888888895</v>
      </c>
      <c r="I310" s="325" t="s">
        <v>770</v>
      </c>
      <c r="J310" s="444" t="s">
        <v>695</v>
      </c>
      <c r="K310" s="315">
        <v>41</v>
      </c>
      <c r="L310" t="s">
        <v>597</v>
      </c>
      <c r="M310">
        <v>41</v>
      </c>
      <c r="N310" t="s">
        <v>594</v>
      </c>
      <c r="O310" s="153" t="str">
        <f>IF(L310&lt;&gt;"",IFERROR(VLOOKUP(B310&amp;L310,Pools!$A$2:$D$130,3,FALSE),""),"")</f>
        <v/>
      </c>
      <c r="P310" s="388">
        <v>0</v>
      </c>
      <c r="Q310" s="388">
        <v>1</v>
      </c>
      <c r="R310" s="306" t="str">
        <f t="shared" si="180"/>
        <v>0-1</v>
      </c>
      <c r="S310" s="153"/>
      <c r="T310" s="148" t="str">
        <f t="shared" si="181"/>
        <v>Completed</v>
      </c>
      <c r="U310" s="153"/>
      <c r="V310" s="153"/>
      <c r="W310" s="387">
        <f t="shared" si="182"/>
        <v>-1</v>
      </c>
      <c r="X310" s="387">
        <f t="shared" si="183"/>
        <v>1</v>
      </c>
      <c r="Y310" s="301">
        <f t="shared" si="184"/>
        <v>0</v>
      </c>
      <c r="Z310" s="301">
        <f t="shared" si="185"/>
        <v>2</v>
      </c>
      <c r="AA310" s="323" t="str">
        <f>CONCATENATE("                x[team1,team2,sport,'",IF(OR(I310="x",I310=""),VLOOKUP('Schedule from TM'!J310,Tables!$P$3:$Q$33,2,FALSE),'Schedule from TM'!I310),",",J310,"','",IF(OR(F310="x",F310=""),VLOOKUP('Schedule from TM'!G310,Tables!$U$3:$V$14,2,FALSE),'Schedule from TM'!F310),",",TEXT(G310,"mm/dd/yyyy"),"','",TEXT(H310,"h:mm:ss AM/PM"),"'].ub=0.0      #",B310)</f>
        <v xml:space="preserve">                x[team1,team2,sport,'11,JCC Back Field 1','11,11/19/2017','1:50:00 PM'].ub=0.0      #Ch D Male Mini Soccer</v>
      </c>
      <c r="AB310" s="301" t="str">
        <f t="shared" si="186"/>
        <v>,,Ch D Male Mini Soccer,,1,CHILD DM - VEN 1</v>
      </c>
      <c r="AC310" s="153" t="str">
        <f t="shared" si="187"/>
        <v>Ch D Male Mini SoccerCHILD DM - VEN 1</v>
      </c>
      <c r="AD310" s="301" t="str">
        <f t="shared" si="188"/>
        <v>,,Ch D Male Mini Soccer,,1,CHILD DM - PER</v>
      </c>
      <c r="AE310" s="153" t="str">
        <f t="shared" si="189"/>
        <v>Ch D Male Mini SoccerCHILD DM - PER</v>
      </c>
      <c r="AF310" s="383">
        <f t="shared" si="190"/>
        <v>0</v>
      </c>
      <c r="AG310" s="383">
        <f t="shared" si="191"/>
        <v>1</v>
      </c>
      <c r="AH310" s="383">
        <f t="shared" si="192"/>
        <v>0</v>
      </c>
      <c r="AI310" s="383">
        <f t="shared" si="193"/>
        <v>1</v>
      </c>
      <c r="AJ310" s="383">
        <f t="shared" si="194"/>
        <v>0</v>
      </c>
      <c r="AK310" s="383">
        <f t="shared" si="195"/>
        <v>0</v>
      </c>
      <c r="AM310" s="148" t="str">
        <f t="shared" si="196"/>
        <v>Schedulled</v>
      </c>
      <c r="AN310" s="148" t="str">
        <f t="shared" si="197"/>
        <v/>
      </c>
      <c r="AO310" s="156">
        <f t="shared" si="198"/>
        <v>43058.576388888891</v>
      </c>
      <c r="AP310" s="148" t="str">
        <f t="shared" si="199"/>
        <v>11/19/2017 13:50-&gt;JCC Back Field 1</v>
      </c>
      <c r="AQ310" s="374">
        <f t="shared" si="200"/>
        <v>1</v>
      </c>
      <c r="AR310" s="148" t="str">
        <f t="shared" si="201"/>
        <v>VEN1</v>
      </c>
      <c r="AS310" s="148" t="str">
        <f t="shared" si="202"/>
        <v>PER</v>
      </c>
      <c r="AT310" s="157" t="str">
        <f t="shared" si="203"/>
        <v>VEN1-PER</v>
      </c>
      <c r="AU310" s="157" t="str">
        <f t="shared" si="204"/>
        <v xml:space="preserve">VEN1-PER </v>
      </c>
      <c r="AV310" s="157" t="str">
        <f t="shared" si="205"/>
        <v>CHILDREN D MALE</v>
      </c>
      <c r="AW310" s="157" t="str">
        <f t="shared" si="206"/>
        <v>Soccer</v>
      </c>
      <c r="AX310" s="376">
        <f t="shared" si="207"/>
        <v>308</v>
      </c>
      <c r="AY310" s="148" t="str">
        <f t="shared" si="208"/>
        <v>CHILD DM - VEN 1-&gt;CHILD DM - PER</v>
      </c>
      <c r="AZ310" s="148" t="str">
        <f t="shared" si="209"/>
        <v>11/19/2017 13:50-&gt;CHILD DM - VEN 1</v>
      </c>
      <c r="BA310" s="148" t="str">
        <f t="shared" si="210"/>
        <v>11/19/2017 13:50-&gt;CHILD DM - PER</v>
      </c>
      <c r="BB310" s="374">
        <f t="shared" si="211"/>
        <v>1</v>
      </c>
      <c r="BC310" s="374">
        <f t="shared" si="212"/>
        <v>1</v>
      </c>
      <c r="BD310" s="148" t="str">
        <f t="shared" si="213"/>
        <v>no conflict</v>
      </c>
      <c r="BF310" s="148" t="str">
        <f t="shared" si="214"/>
        <v>11/19/2017 13:50-&gt;CHILD DM - VEN 1</v>
      </c>
      <c r="BG310" s="148" t="str">
        <f t="shared" si="215"/>
        <v>11/19/2017 13:50-&gt;CHILD DM - PER</v>
      </c>
      <c r="BH310" s="148" t="str">
        <f t="shared" si="216"/>
        <v>11/19/2017 13:50-&gt;JCC Back Field 1</v>
      </c>
      <c r="BI310" s="148" t="str">
        <f t="shared" si="217"/>
        <v>Soccer in JCC Back Field 1 (VEN1-PER)</v>
      </c>
      <c r="BJ310" s="148" t="str">
        <f t="shared" si="218"/>
        <v>Ch D Male Mini Soccer-- CHILD DM - VEN 1 vs. CHILD DM - PER</v>
      </c>
      <c r="BK310" s="148" t="str">
        <f t="shared" si="219"/>
        <v>Soccer</v>
      </c>
      <c r="BL310" s="148" t="str">
        <f t="shared" si="220"/>
        <v>CHILD DM - VEN 1</v>
      </c>
      <c r="BM310" s="148" t="str">
        <f t="shared" si="221"/>
        <v>CHILD DM - PER</v>
      </c>
      <c r="BN310" s="148" t="str">
        <f t="shared" si="222"/>
        <v>Round - 1</v>
      </c>
      <c r="BP310" s="148" t="str">
        <f t="shared" si="223"/>
        <v>no t, f, or sf</v>
      </c>
      <c r="BQ310" s="148" t="str">
        <f t="shared" si="224"/>
        <v/>
      </c>
    </row>
    <row r="311" spans="1:69" ht="15" customHeight="1" x14ac:dyDescent="0.2">
      <c r="A311" s="376">
        <v>309</v>
      </c>
      <c r="B311" s="433" t="s">
        <v>53</v>
      </c>
      <c r="C311" s="315" t="s">
        <v>518</v>
      </c>
      <c r="D311" s="378">
        <v>1</v>
      </c>
      <c r="E311" s="378">
        <v>1</v>
      </c>
      <c r="F311" s="315" t="s">
        <v>770</v>
      </c>
      <c r="G311" s="316">
        <v>43058</v>
      </c>
      <c r="H311" s="317">
        <v>0.68055555555555547</v>
      </c>
      <c r="I311" s="325" t="s">
        <v>770</v>
      </c>
      <c r="J311" s="315" t="s">
        <v>692</v>
      </c>
      <c r="K311" s="315">
        <v>41</v>
      </c>
      <c r="L311" t="s">
        <v>602</v>
      </c>
      <c r="M311">
        <v>41</v>
      </c>
      <c r="N311" t="s">
        <v>598</v>
      </c>
      <c r="O311" s="153" t="str">
        <f>IF(L311&lt;&gt;"",IFERROR(VLOOKUP(B311&amp;L311,Pools!$A$2:$D$130,3,FALSE),""),"")</f>
        <v/>
      </c>
      <c r="P311" s="388">
        <v>5</v>
      </c>
      <c r="Q311" s="388">
        <v>1</v>
      </c>
      <c r="R311" s="306" t="str">
        <f t="shared" si="180"/>
        <v>5-1</v>
      </c>
      <c r="S311" s="153"/>
      <c r="T311" s="148" t="str">
        <f t="shared" si="181"/>
        <v>Completed</v>
      </c>
      <c r="U311" s="153"/>
      <c r="V311" s="153"/>
      <c r="W311" s="387">
        <f t="shared" si="182"/>
        <v>3</v>
      </c>
      <c r="X311" s="387">
        <f t="shared" si="183"/>
        <v>-3</v>
      </c>
      <c r="Y311" s="301">
        <f t="shared" si="184"/>
        <v>2</v>
      </c>
      <c r="Z311" s="301">
        <f t="shared" si="185"/>
        <v>0</v>
      </c>
      <c r="AA311" s="323" t="str">
        <f>CONCATENATE("                x[team1,team2,sport,'",IF(OR(I311="x",I311=""),VLOOKUP('Schedule from TM'!J311,Tables!$P$3:$Q$33,2,FALSE),'Schedule from TM'!I311),",",J311,"','",IF(OR(F311="x",F311=""),VLOOKUP('Schedule from TM'!G311,Tables!$U$3:$V$14,2,FALSE),'Schedule from TM'!F311),",",TEXT(G311,"mm/dd/yyyy"),"','",TEXT(H311,"h:mm:ss AM/PM"),"'].ub=0.0      #",B311)</f>
        <v xml:space="preserve">                x[team1,team2,sport,'11,JCC Back Field 3','11,11/19/2017','4:20:00 PM'].ub=0.0      #Ch D Male Mini Soccer</v>
      </c>
      <c r="AB311" s="301" t="str">
        <f t="shared" si="186"/>
        <v>,,Ch D Male Mini Soccer,,1,CHILD DM - VEN 2</v>
      </c>
      <c r="AC311" s="153" t="str">
        <f t="shared" si="187"/>
        <v>Ch D Male Mini SoccerCHILD DM - VEN 2</v>
      </c>
      <c r="AD311" s="301" t="str">
        <f t="shared" si="188"/>
        <v>,,Ch D Male Mini Soccer,,1,CHILD DM - ARG 2</v>
      </c>
      <c r="AE311" s="153" t="str">
        <f t="shared" si="189"/>
        <v>Ch D Male Mini SoccerCHILD DM - ARG 2</v>
      </c>
      <c r="AF311" s="383">
        <f t="shared" si="190"/>
        <v>1</v>
      </c>
      <c r="AG311" s="383">
        <f t="shared" si="191"/>
        <v>0</v>
      </c>
      <c r="AH311" s="383">
        <f t="shared" si="192"/>
        <v>0</v>
      </c>
      <c r="AI311" s="383">
        <f t="shared" si="193"/>
        <v>0</v>
      </c>
      <c r="AJ311" s="383">
        <f t="shared" si="194"/>
        <v>1</v>
      </c>
      <c r="AK311" s="383">
        <f t="shared" si="195"/>
        <v>0</v>
      </c>
      <c r="AM311" s="148" t="str">
        <f t="shared" si="196"/>
        <v>Schedulled</v>
      </c>
      <c r="AN311" s="148" t="str">
        <f t="shared" si="197"/>
        <v/>
      </c>
      <c r="AO311" s="156">
        <f t="shared" si="198"/>
        <v>43058.680555555555</v>
      </c>
      <c r="AP311" s="148" t="str">
        <f t="shared" si="199"/>
        <v>11/19/2017 16:20-&gt;JCC Back Field 3</v>
      </c>
      <c r="AQ311" s="374">
        <f t="shared" si="200"/>
        <v>1</v>
      </c>
      <c r="AR311" s="148" t="str">
        <f t="shared" si="201"/>
        <v>VEN2</v>
      </c>
      <c r="AS311" s="148" t="str">
        <f t="shared" si="202"/>
        <v>ARG2</v>
      </c>
      <c r="AT311" s="157" t="str">
        <f t="shared" si="203"/>
        <v>VEN2-ARG2</v>
      </c>
      <c r="AU311" s="157" t="str">
        <f t="shared" si="204"/>
        <v xml:space="preserve">VEN2-ARG2 </v>
      </c>
      <c r="AV311" s="157" t="str">
        <f t="shared" si="205"/>
        <v>CHILDREN D MALE</v>
      </c>
      <c r="AW311" s="157" t="str">
        <f t="shared" si="206"/>
        <v>Soccer</v>
      </c>
      <c r="AX311" s="376">
        <f t="shared" si="207"/>
        <v>309</v>
      </c>
      <c r="AY311" s="148" t="str">
        <f t="shared" si="208"/>
        <v>CHILD DM - VEN 2-&gt;CHILD DM - ARG 2</v>
      </c>
      <c r="AZ311" s="148" t="str">
        <f t="shared" si="209"/>
        <v>11/19/2017 16:20-&gt;CHILD DM - VEN 2</v>
      </c>
      <c r="BA311" s="148" t="str">
        <f t="shared" si="210"/>
        <v>11/19/2017 16:20-&gt;CHILD DM - ARG 2</v>
      </c>
      <c r="BB311" s="374">
        <f t="shared" si="211"/>
        <v>1</v>
      </c>
      <c r="BC311" s="374">
        <f t="shared" si="212"/>
        <v>1</v>
      </c>
      <c r="BD311" s="148" t="str">
        <f t="shared" si="213"/>
        <v>no conflict</v>
      </c>
      <c r="BF311" s="148" t="str">
        <f t="shared" si="214"/>
        <v>11/19/2017 16:20-&gt;CHILD DM - VEN 2</v>
      </c>
      <c r="BG311" s="148" t="str">
        <f t="shared" si="215"/>
        <v>11/19/2017 16:20-&gt;CHILD DM - ARG 2</v>
      </c>
      <c r="BH311" s="148" t="str">
        <f t="shared" si="216"/>
        <v>11/19/2017 16:20-&gt;JCC Back Field 3</v>
      </c>
      <c r="BI311" s="148" t="str">
        <f t="shared" si="217"/>
        <v>Soccer in JCC Back Field 3 (VEN2-ARG2)</v>
      </c>
      <c r="BJ311" s="148" t="str">
        <f t="shared" si="218"/>
        <v>Ch D Male Mini Soccer-- CHILD DM - VEN 2 vs. CHILD DM - ARG 2</v>
      </c>
      <c r="BK311" s="148" t="str">
        <f t="shared" si="219"/>
        <v>Soccer</v>
      </c>
      <c r="BL311" s="148" t="str">
        <f t="shared" si="220"/>
        <v>CHILD DM - VEN 2</v>
      </c>
      <c r="BM311" s="148" t="str">
        <f t="shared" si="221"/>
        <v>CHILD DM - ARG 2</v>
      </c>
      <c r="BN311" s="148" t="str">
        <f t="shared" si="222"/>
        <v>Round - 1</v>
      </c>
      <c r="BP311" s="148" t="str">
        <f t="shared" si="223"/>
        <v>no t, f, or sf</v>
      </c>
      <c r="BQ311" s="148" t="str">
        <f t="shared" si="224"/>
        <v/>
      </c>
    </row>
    <row r="312" spans="1:69" ht="15" customHeight="1" x14ac:dyDescent="0.2">
      <c r="A312" s="376">
        <v>310</v>
      </c>
      <c r="B312" s="433" t="s">
        <v>53</v>
      </c>
      <c r="C312" s="315" t="s">
        <v>518</v>
      </c>
      <c r="D312" s="378">
        <v>1</v>
      </c>
      <c r="E312" s="378">
        <v>1</v>
      </c>
      <c r="F312" s="315" t="s">
        <v>770</v>
      </c>
      <c r="G312" s="316">
        <v>43059</v>
      </c>
      <c r="H312" s="317">
        <v>0.71527777777777779</v>
      </c>
      <c r="I312" s="325" t="s">
        <v>770</v>
      </c>
      <c r="J312" s="315" t="s">
        <v>693</v>
      </c>
      <c r="K312" s="315">
        <v>41</v>
      </c>
      <c r="L312" t="s">
        <v>598</v>
      </c>
      <c r="M312">
        <v>41</v>
      </c>
      <c r="N312" t="s">
        <v>599</v>
      </c>
      <c r="O312" s="153" t="str">
        <f>IF(L312&lt;&gt;"",IFERROR(VLOOKUP(B312&amp;L312,Pools!$A$2:$D$130,3,FALSE),""),"")</f>
        <v/>
      </c>
      <c r="P312" s="388">
        <v>2</v>
      </c>
      <c r="Q312" s="388">
        <v>0</v>
      </c>
      <c r="R312" s="306" t="str">
        <f t="shared" si="180"/>
        <v>2-0</v>
      </c>
      <c r="S312" s="153"/>
      <c r="T312" s="148" t="str">
        <f t="shared" si="181"/>
        <v>Completed</v>
      </c>
      <c r="U312" s="153"/>
      <c r="V312" s="153"/>
      <c r="W312" s="387">
        <f t="shared" si="182"/>
        <v>2</v>
      </c>
      <c r="X312" s="387">
        <f t="shared" si="183"/>
        <v>-2</v>
      </c>
      <c r="Y312" s="301">
        <f t="shared" si="184"/>
        <v>2</v>
      </c>
      <c r="Z312" s="301">
        <f t="shared" si="185"/>
        <v>0</v>
      </c>
      <c r="AA312" s="323" t="str">
        <f>CONCATENATE("                x[team1,team2,sport,'",IF(OR(I312="x",I312=""),VLOOKUP('Schedule from TM'!J312,Tables!$P$3:$Q$33,2,FALSE),'Schedule from TM'!I312),",",J312,"','",IF(OR(F312="x",F312=""),VLOOKUP('Schedule from TM'!G312,Tables!$U$3:$V$14,2,FALSE),'Schedule from TM'!F312),",",TEXT(G312,"mm/dd/yyyy"),"','",TEXT(H312,"h:mm:ss AM/PM"),"'].ub=0.0      #",B312)</f>
        <v xml:space="preserve">                x[team1,team2,sport,'11,JCC Back Field 2','22,11/20/2017','5:10:00 PM'].ub=0.0      #Ch D Male Mini Soccer</v>
      </c>
      <c r="AB312" s="301" t="str">
        <f t="shared" si="186"/>
        <v>,,Ch D Male Mini Soccer,,1,CHILD DM - ARG 2</v>
      </c>
      <c r="AC312" s="153" t="str">
        <f t="shared" si="187"/>
        <v>Ch D Male Mini SoccerCHILD DM - ARG 2</v>
      </c>
      <c r="AD312" s="301" t="str">
        <f t="shared" si="188"/>
        <v>,,Ch D Male Mini Soccer,,1,CHILD DM - COL 2</v>
      </c>
      <c r="AE312" s="153" t="str">
        <f t="shared" si="189"/>
        <v>Ch D Male Mini SoccerCHILD DM - COL 2</v>
      </c>
      <c r="AF312" s="383">
        <f t="shared" si="190"/>
        <v>1</v>
      </c>
      <c r="AG312" s="383">
        <f t="shared" si="191"/>
        <v>0</v>
      </c>
      <c r="AH312" s="383">
        <f t="shared" si="192"/>
        <v>0</v>
      </c>
      <c r="AI312" s="383">
        <f t="shared" si="193"/>
        <v>0</v>
      </c>
      <c r="AJ312" s="383">
        <f t="shared" si="194"/>
        <v>1</v>
      </c>
      <c r="AK312" s="383">
        <f t="shared" si="195"/>
        <v>0</v>
      </c>
      <c r="AM312" s="148" t="str">
        <f t="shared" si="196"/>
        <v>Schedulled</v>
      </c>
      <c r="AN312" s="148" t="str">
        <f t="shared" si="197"/>
        <v/>
      </c>
      <c r="AO312" s="156">
        <f t="shared" si="198"/>
        <v>43059.715277777781</v>
      </c>
      <c r="AP312" s="148" t="str">
        <f t="shared" si="199"/>
        <v>11/20/2017 17:10-&gt;JCC Back Field 2</v>
      </c>
      <c r="AQ312" s="374">
        <f t="shared" si="200"/>
        <v>1</v>
      </c>
      <c r="AR312" s="148" t="str">
        <f t="shared" si="201"/>
        <v>ARG2</v>
      </c>
      <c r="AS312" s="148" t="str">
        <f t="shared" si="202"/>
        <v>COL2</v>
      </c>
      <c r="AT312" s="157" t="str">
        <f t="shared" si="203"/>
        <v>ARG2-COL2</v>
      </c>
      <c r="AU312" s="157" t="str">
        <f t="shared" si="204"/>
        <v xml:space="preserve">ARG2-COL2 </v>
      </c>
      <c r="AV312" s="157" t="str">
        <f t="shared" si="205"/>
        <v>CHILDREN D MALE</v>
      </c>
      <c r="AW312" s="157" t="str">
        <f t="shared" si="206"/>
        <v>Soccer</v>
      </c>
      <c r="AX312" s="376">
        <f t="shared" si="207"/>
        <v>310</v>
      </c>
      <c r="AY312" s="148" t="str">
        <f t="shared" si="208"/>
        <v>CHILD DM - ARG 2-&gt;CHILD DM - COL 2</v>
      </c>
      <c r="AZ312" s="148" t="str">
        <f t="shared" si="209"/>
        <v>11/20/2017 17:10-&gt;CHILD DM - ARG 2</v>
      </c>
      <c r="BA312" s="148" t="str">
        <f t="shared" si="210"/>
        <v>11/20/2017 17:10-&gt;CHILD DM - COL 2</v>
      </c>
      <c r="BB312" s="374">
        <f t="shared" si="211"/>
        <v>1</v>
      </c>
      <c r="BC312" s="374">
        <f t="shared" si="212"/>
        <v>1</v>
      </c>
      <c r="BD312" s="148" t="str">
        <f t="shared" si="213"/>
        <v>no conflict</v>
      </c>
      <c r="BF312" s="148" t="str">
        <f t="shared" si="214"/>
        <v>11/20/2017 17:10-&gt;CHILD DM - ARG 2</v>
      </c>
      <c r="BG312" s="148" t="str">
        <f t="shared" si="215"/>
        <v>11/20/2017 17:10-&gt;CHILD DM - COL 2</v>
      </c>
      <c r="BH312" s="148" t="str">
        <f t="shared" si="216"/>
        <v>11/20/2017 17:10-&gt;JCC Back Field 2</v>
      </c>
      <c r="BI312" s="148" t="str">
        <f t="shared" si="217"/>
        <v>Soccer in JCC Back Field 2 (ARG2-COL2)</v>
      </c>
      <c r="BJ312" s="148" t="str">
        <f t="shared" si="218"/>
        <v>Ch D Male Mini Soccer-- CHILD DM - ARG 2 vs. CHILD DM - COL 2</v>
      </c>
      <c r="BK312" s="148" t="str">
        <f t="shared" si="219"/>
        <v>Soccer</v>
      </c>
      <c r="BL312" s="148" t="str">
        <f t="shared" si="220"/>
        <v>CHILD DM - ARG 2</v>
      </c>
      <c r="BM312" s="148" t="str">
        <f t="shared" si="221"/>
        <v>CHILD DM - COL 2</v>
      </c>
      <c r="BN312" s="148" t="str">
        <f t="shared" si="222"/>
        <v>Round - 1</v>
      </c>
      <c r="BP312" s="148" t="str">
        <f t="shared" si="223"/>
        <v>no t, f, or sf</v>
      </c>
      <c r="BQ312" s="148" t="str">
        <f t="shared" si="224"/>
        <v/>
      </c>
    </row>
    <row r="313" spans="1:69" ht="15" customHeight="1" x14ac:dyDescent="0.2">
      <c r="A313" s="376">
        <v>311</v>
      </c>
      <c r="B313" s="433" t="s">
        <v>53</v>
      </c>
      <c r="C313" s="315" t="s">
        <v>518</v>
      </c>
      <c r="D313" s="378">
        <v>1</v>
      </c>
      <c r="E313" s="378">
        <v>1</v>
      </c>
      <c r="F313" s="315" t="s">
        <v>770</v>
      </c>
      <c r="G313" s="316">
        <v>43060</v>
      </c>
      <c r="H313" s="317">
        <v>0.68055555555555547</v>
      </c>
      <c r="I313" s="325" t="s">
        <v>770</v>
      </c>
      <c r="J313" s="315" t="s">
        <v>693</v>
      </c>
      <c r="K313" s="315">
        <v>41</v>
      </c>
      <c r="L313" t="s">
        <v>597</v>
      </c>
      <c r="M313">
        <v>41</v>
      </c>
      <c r="N313" t="s">
        <v>600</v>
      </c>
      <c r="O313" s="153" t="str">
        <f>IF(L313&lt;&gt;"",IFERROR(VLOOKUP(B313&amp;L313,Pools!$A$2:$D$130,3,FALSE),""),"")</f>
        <v/>
      </c>
      <c r="P313" s="388">
        <v>4</v>
      </c>
      <c r="Q313" s="388">
        <v>0</v>
      </c>
      <c r="R313" s="306" t="str">
        <f t="shared" si="180"/>
        <v>4-0</v>
      </c>
      <c r="S313" s="153"/>
      <c r="T313" s="148" t="str">
        <f t="shared" si="181"/>
        <v>Completed</v>
      </c>
      <c r="U313" s="153"/>
      <c r="V313" s="153"/>
      <c r="W313" s="387">
        <f t="shared" si="182"/>
        <v>3</v>
      </c>
      <c r="X313" s="387">
        <f t="shared" si="183"/>
        <v>-3</v>
      </c>
      <c r="Y313" s="301">
        <f t="shared" si="184"/>
        <v>2</v>
      </c>
      <c r="Z313" s="301">
        <f t="shared" si="185"/>
        <v>0</v>
      </c>
      <c r="AA313" s="323" t="str">
        <f>CONCATENATE("                x[team1,team2,sport,'",IF(OR(I313="x",I313=""),VLOOKUP('Schedule from TM'!J313,Tables!$P$3:$Q$33,2,FALSE),'Schedule from TM'!I313),",",J313,"','",IF(OR(F313="x",F313=""),VLOOKUP('Schedule from TM'!G313,Tables!$U$3:$V$14,2,FALSE),'Schedule from TM'!F313),",",TEXT(G313,"mm/dd/yyyy"),"','",TEXT(H313,"h:mm:ss AM/PM"),"'].ub=0.0      #",B313)</f>
        <v xml:space="preserve">                x[team1,team2,sport,'11,JCC Back Field 2','22,11/21/2017','4:20:00 PM'].ub=0.0      #Ch D Male Mini Soccer</v>
      </c>
      <c r="AB313" s="301" t="str">
        <f t="shared" si="186"/>
        <v>,,Ch D Male Mini Soccer,,1,CHILD DM - VEN 1</v>
      </c>
      <c r="AC313" s="153" t="str">
        <f t="shared" si="187"/>
        <v>Ch D Male Mini SoccerCHILD DM - VEN 1</v>
      </c>
      <c r="AD313" s="301" t="str">
        <f t="shared" si="188"/>
        <v>,,Ch D Male Mini Soccer,,1,CHILD DM - ISR 1</v>
      </c>
      <c r="AE313" s="153" t="str">
        <f t="shared" si="189"/>
        <v>Ch D Male Mini SoccerCHILD DM - ISR 1</v>
      </c>
      <c r="AF313" s="383">
        <f t="shared" si="190"/>
        <v>1</v>
      </c>
      <c r="AG313" s="383">
        <f t="shared" si="191"/>
        <v>0</v>
      </c>
      <c r="AH313" s="383">
        <f t="shared" si="192"/>
        <v>0</v>
      </c>
      <c r="AI313" s="383">
        <f t="shared" si="193"/>
        <v>0</v>
      </c>
      <c r="AJ313" s="383">
        <f t="shared" si="194"/>
        <v>1</v>
      </c>
      <c r="AK313" s="383">
        <f t="shared" si="195"/>
        <v>0</v>
      </c>
      <c r="AM313" s="148" t="str">
        <f t="shared" si="196"/>
        <v>Schedulled</v>
      </c>
      <c r="AN313" s="148" t="str">
        <f t="shared" si="197"/>
        <v/>
      </c>
      <c r="AO313" s="156">
        <f t="shared" si="198"/>
        <v>43060.680555555555</v>
      </c>
      <c r="AP313" s="148" t="str">
        <f t="shared" si="199"/>
        <v>11/21/2017 16:20-&gt;JCC Back Field 2</v>
      </c>
      <c r="AQ313" s="374">
        <f t="shared" si="200"/>
        <v>1</v>
      </c>
      <c r="AR313" s="148" t="str">
        <f t="shared" si="201"/>
        <v>VEN1</v>
      </c>
      <c r="AS313" s="148" t="str">
        <f t="shared" si="202"/>
        <v>ISR1</v>
      </c>
      <c r="AT313" s="157" t="str">
        <f t="shared" si="203"/>
        <v>VEN1-ISR1</v>
      </c>
      <c r="AU313" s="157" t="str">
        <f t="shared" si="204"/>
        <v xml:space="preserve">VEN1-ISR1 </v>
      </c>
      <c r="AV313" s="157" t="str">
        <f t="shared" si="205"/>
        <v>CHILDREN D MALE</v>
      </c>
      <c r="AW313" s="157" t="str">
        <f t="shared" si="206"/>
        <v>Soccer</v>
      </c>
      <c r="AX313" s="376">
        <f t="shared" si="207"/>
        <v>311</v>
      </c>
      <c r="AY313" s="148" t="str">
        <f t="shared" si="208"/>
        <v>CHILD DM - VEN 1-&gt;CHILD DM - ISR 1</v>
      </c>
      <c r="AZ313" s="148" t="str">
        <f t="shared" si="209"/>
        <v>11/21/2017 16:20-&gt;CHILD DM - VEN 1</v>
      </c>
      <c r="BA313" s="148" t="str">
        <f t="shared" si="210"/>
        <v>11/21/2017 16:20-&gt;CHILD DM - ISR 1</v>
      </c>
      <c r="BB313" s="374">
        <f t="shared" si="211"/>
        <v>1</v>
      </c>
      <c r="BC313" s="374">
        <f t="shared" si="212"/>
        <v>1</v>
      </c>
      <c r="BD313" s="148" t="str">
        <f t="shared" si="213"/>
        <v>no conflict</v>
      </c>
      <c r="BF313" s="148" t="str">
        <f t="shared" si="214"/>
        <v>11/21/2017 16:20-&gt;CHILD DM - VEN 1</v>
      </c>
      <c r="BG313" s="148" t="str">
        <f t="shared" si="215"/>
        <v>11/21/2017 16:20-&gt;CHILD DM - ISR 1</v>
      </c>
      <c r="BH313" s="148" t="str">
        <f t="shared" si="216"/>
        <v>11/21/2017 16:20-&gt;JCC Back Field 2</v>
      </c>
      <c r="BI313" s="148" t="str">
        <f t="shared" si="217"/>
        <v>Soccer in JCC Back Field 2 (VEN1-ISR1)</v>
      </c>
      <c r="BJ313" s="148" t="str">
        <f t="shared" si="218"/>
        <v>Ch D Male Mini Soccer-- CHILD DM - VEN 1 vs. CHILD DM - ISR 1</v>
      </c>
      <c r="BK313" s="148" t="str">
        <f t="shared" si="219"/>
        <v>Soccer</v>
      </c>
      <c r="BL313" s="148" t="str">
        <f t="shared" si="220"/>
        <v>CHILD DM - VEN 1</v>
      </c>
      <c r="BM313" s="148" t="str">
        <f t="shared" si="221"/>
        <v>CHILD DM - ISR 1</v>
      </c>
      <c r="BN313" s="148" t="str">
        <f t="shared" si="222"/>
        <v>Round - 1</v>
      </c>
      <c r="BP313" s="148" t="str">
        <f t="shared" si="223"/>
        <v>no t, f, or sf</v>
      </c>
      <c r="BQ313" s="148" t="str">
        <f t="shared" si="224"/>
        <v/>
      </c>
    </row>
    <row r="314" spans="1:69" ht="15" customHeight="1" x14ac:dyDescent="0.2">
      <c r="A314" s="376">
        <v>312</v>
      </c>
      <c r="B314" s="433" t="s">
        <v>53</v>
      </c>
      <c r="C314" s="315" t="s">
        <v>518</v>
      </c>
      <c r="D314" s="378">
        <v>1</v>
      </c>
      <c r="E314" s="378">
        <v>1</v>
      </c>
      <c r="F314" s="315" t="s">
        <v>770</v>
      </c>
      <c r="G314" s="316">
        <v>43060</v>
      </c>
      <c r="H314" s="317">
        <v>0.68055555555555547</v>
      </c>
      <c r="I314" s="325" t="s">
        <v>770</v>
      </c>
      <c r="J314" s="315" t="s">
        <v>695</v>
      </c>
      <c r="K314" s="315">
        <v>41</v>
      </c>
      <c r="L314" t="s">
        <v>595</v>
      </c>
      <c r="M314">
        <v>41</v>
      </c>
      <c r="N314" t="s">
        <v>594</v>
      </c>
      <c r="O314" s="153" t="str">
        <f>IF(L314&lt;&gt;"",IFERROR(VLOOKUP(B314&amp;L314,Pools!$A$2:$D$130,3,FALSE),""),"")</f>
        <v/>
      </c>
      <c r="P314" s="388">
        <v>2</v>
      </c>
      <c r="Q314" s="388">
        <v>3</v>
      </c>
      <c r="R314" s="306" t="str">
        <f t="shared" si="180"/>
        <v>2-3</v>
      </c>
      <c r="S314" s="153"/>
      <c r="T314" s="148" t="str">
        <f t="shared" si="181"/>
        <v>Completed</v>
      </c>
      <c r="U314" s="153"/>
      <c r="V314" s="153"/>
      <c r="W314" s="387">
        <f t="shared" si="182"/>
        <v>-1</v>
      </c>
      <c r="X314" s="387">
        <f t="shared" si="183"/>
        <v>1</v>
      </c>
      <c r="Y314" s="301">
        <f t="shared" si="184"/>
        <v>0</v>
      </c>
      <c r="Z314" s="301">
        <f t="shared" si="185"/>
        <v>2</v>
      </c>
      <c r="AA314" s="323" t="str">
        <f>CONCATENATE("                x[team1,team2,sport,'",IF(OR(I314="x",I314=""),VLOOKUP('Schedule from TM'!J314,Tables!$P$3:$Q$33,2,FALSE),'Schedule from TM'!I314),",",J314,"','",IF(OR(F314="x",F314=""),VLOOKUP('Schedule from TM'!G314,Tables!$U$3:$V$14,2,FALSE),'Schedule from TM'!F314),",",TEXT(G314,"mm/dd/yyyy"),"','",TEXT(H314,"h:mm:ss AM/PM"),"'].ub=0.0      #",B314)</f>
        <v xml:space="preserve">                x[team1,team2,sport,'11,JCC Back Field 1','22,11/21/2017','4:20:00 PM'].ub=0.0      #Ch D Male Mini Soccer</v>
      </c>
      <c r="AB314" s="301" t="str">
        <f t="shared" si="186"/>
        <v>,,Ch D Male Mini Soccer,,1,CHILD DM - USA 1</v>
      </c>
      <c r="AC314" s="153" t="str">
        <f t="shared" si="187"/>
        <v>Ch D Male Mini SoccerCHILD DM - USA 1</v>
      </c>
      <c r="AD314" s="301" t="str">
        <f t="shared" si="188"/>
        <v>,,Ch D Male Mini Soccer,,1,CHILD DM - PER</v>
      </c>
      <c r="AE314" s="153" t="str">
        <f t="shared" si="189"/>
        <v>Ch D Male Mini SoccerCHILD DM - PER</v>
      </c>
      <c r="AF314" s="383">
        <f t="shared" si="190"/>
        <v>0</v>
      </c>
      <c r="AG314" s="383">
        <f t="shared" si="191"/>
        <v>1</v>
      </c>
      <c r="AH314" s="383">
        <f t="shared" si="192"/>
        <v>0</v>
      </c>
      <c r="AI314" s="383">
        <f t="shared" si="193"/>
        <v>1</v>
      </c>
      <c r="AJ314" s="383">
        <f t="shared" si="194"/>
        <v>0</v>
      </c>
      <c r="AK314" s="383">
        <f t="shared" si="195"/>
        <v>0</v>
      </c>
      <c r="AM314" s="148" t="str">
        <f t="shared" si="196"/>
        <v>Schedulled</v>
      </c>
      <c r="AN314" s="148" t="str">
        <f t="shared" si="197"/>
        <v/>
      </c>
      <c r="AO314" s="156">
        <f t="shared" si="198"/>
        <v>43060.680555555555</v>
      </c>
      <c r="AP314" s="148" t="str">
        <f t="shared" si="199"/>
        <v>11/21/2017 16:20-&gt;JCC Back Field 1</v>
      </c>
      <c r="AQ314" s="374">
        <f t="shared" si="200"/>
        <v>1</v>
      </c>
      <c r="AR314" s="148" t="str">
        <f t="shared" si="201"/>
        <v>USA1</v>
      </c>
      <c r="AS314" s="148" t="str">
        <f t="shared" si="202"/>
        <v>PER</v>
      </c>
      <c r="AT314" s="157" t="str">
        <f t="shared" si="203"/>
        <v>USA1-PER</v>
      </c>
      <c r="AU314" s="157" t="str">
        <f t="shared" si="204"/>
        <v xml:space="preserve">USA1-PER </v>
      </c>
      <c r="AV314" s="157" t="str">
        <f t="shared" si="205"/>
        <v>CHILDREN D MALE</v>
      </c>
      <c r="AW314" s="157" t="str">
        <f t="shared" si="206"/>
        <v>Soccer</v>
      </c>
      <c r="AX314" s="376">
        <f t="shared" si="207"/>
        <v>312</v>
      </c>
      <c r="AY314" s="148" t="str">
        <f t="shared" si="208"/>
        <v>CHILD DM - USA 1-&gt;CHILD DM - PER</v>
      </c>
      <c r="AZ314" s="148" t="str">
        <f t="shared" si="209"/>
        <v>11/21/2017 16:20-&gt;CHILD DM - USA 1</v>
      </c>
      <c r="BA314" s="148" t="str">
        <f t="shared" si="210"/>
        <v>11/21/2017 16:20-&gt;CHILD DM - PER</v>
      </c>
      <c r="BB314" s="374">
        <f t="shared" si="211"/>
        <v>1</v>
      </c>
      <c r="BC314" s="374">
        <f t="shared" si="212"/>
        <v>1</v>
      </c>
      <c r="BD314" s="148" t="str">
        <f t="shared" si="213"/>
        <v>no conflict</v>
      </c>
      <c r="BF314" s="148" t="str">
        <f t="shared" si="214"/>
        <v>11/21/2017 16:20-&gt;CHILD DM - USA 1</v>
      </c>
      <c r="BG314" s="148" t="str">
        <f t="shared" si="215"/>
        <v>11/21/2017 16:20-&gt;CHILD DM - PER</v>
      </c>
      <c r="BH314" s="148" t="str">
        <f t="shared" si="216"/>
        <v>11/21/2017 16:20-&gt;JCC Back Field 1</v>
      </c>
      <c r="BI314" s="148" t="str">
        <f t="shared" si="217"/>
        <v>Soccer in JCC Back Field 1 (USA1-PER)</v>
      </c>
      <c r="BJ314" s="148" t="str">
        <f t="shared" si="218"/>
        <v>Ch D Male Mini Soccer-- CHILD DM - USA 1 vs. CHILD DM - PER</v>
      </c>
      <c r="BK314" s="148" t="str">
        <f t="shared" si="219"/>
        <v>Soccer</v>
      </c>
      <c r="BL314" s="148" t="str">
        <f t="shared" si="220"/>
        <v>CHILD DM - USA 1</v>
      </c>
      <c r="BM314" s="148" t="str">
        <f t="shared" si="221"/>
        <v>CHILD DM - PER</v>
      </c>
      <c r="BN314" s="148" t="str">
        <f t="shared" si="222"/>
        <v>Round - 1</v>
      </c>
      <c r="BP314" s="148" t="str">
        <f t="shared" si="223"/>
        <v>no t, f, or sf</v>
      </c>
      <c r="BQ314" s="148" t="str">
        <f t="shared" si="224"/>
        <v/>
      </c>
    </row>
    <row r="315" spans="1:69" ht="15" customHeight="1" x14ac:dyDescent="0.2">
      <c r="A315" s="376">
        <v>313</v>
      </c>
      <c r="B315" s="433" t="s">
        <v>53</v>
      </c>
      <c r="C315" s="315" t="s">
        <v>518</v>
      </c>
      <c r="D315" s="378">
        <v>1</v>
      </c>
      <c r="E315" s="378">
        <v>1</v>
      </c>
      <c r="F315" s="315" t="s">
        <v>770</v>
      </c>
      <c r="G315" s="316">
        <v>43061</v>
      </c>
      <c r="H315" s="317">
        <v>0.75</v>
      </c>
      <c r="I315" s="325" t="s">
        <v>770</v>
      </c>
      <c r="J315" s="315" t="s">
        <v>692</v>
      </c>
      <c r="K315" s="315">
        <v>41</v>
      </c>
      <c r="L315" t="s">
        <v>592</v>
      </c>
      <c r="M315">
        <v>41</v>
      </c>
      <c r="N315" t="s">
        <v>602</v>
      </c>
      <c r="O315" s="153" t="str">
        <f>IF(L315&lt;&gt;"",IFERROR(VLOOKUP(B315&amp;L315,Pools!$A$2:$D$130,3,FALSE),""),"")</f>
        <v/>
      </c>
      <c r="P315" s="388">
        <v>2</v>
      </c>
      <c r="Q315" s="388">
        <v>1</v>
      </c>
      <c r="R315" s="306" t="str">
        <f t="shared" si="180"/>
        <v>2-1</v>
      </c>
      <c r="S315" s="153"/>
      <c r="T315" s="148" t="str">
        <f t="shared" si="181"/>
        <v>Completed</v>
      </c>
      <c r="U315" s="153"/>
      <c r="V315" s="153"/>
      <c r="W315" s="387">
        <f t="shared" si="182"/>
        <v>1</v>
      </c>
      <c r="X315" s="387">
        <f t="shared" si="183"/>
        <v>-1</v>
      </c>
      <c r="Y315" s="301">
        <f t="shared" si="184"/>
        <v>2</v>
      </c>
      <c r="Z315" s="301">
        <f t="shared" si="185"/>
        <v>0</v>
      </c>
      <c r="AA315" s="323" t="str">
        <f>CONCATENATE("                x[team1,team2,sport,'",IF(OR(I315="x",I315=""),VLOOKUP('Schedule from TM'!J315,Tables!$P$3:$Q$33,2,FALSE),'Schedule from TM'!I315),",",J315,"','",IF(OR(F315="x",F315=""),VLOOKUP('Schedule from TM'!G315,Tables!$U$3:$V$14,2,FALSE),'Schedule from TM'!F315),",",TEXT(G315,"mm/dd/yyyy"),"','",TEXT(H315,"h:mm:ss AM/PM"),"'].ub=0.0      #",B315)</f>
        <v xml:space="preserve">                x[team1,team2,sport,'11,JCC Back Field 3','22,11/22/2017','6:00:00 PM'].ub=0.0      #Ch D Male Mini Soccer</v>
      </c>
      <c r="AB315" s="301" t="str">
        <f t="shared" si="186"/>
        <v>,,Ch D Male Mini Soccer,,1,CHILD DM - ARG 1</v>
      </c>
      <c r="AC315" s="153" t="str">
        <f t="shared" si="187"/>
        <v>Ch D Male Mini SoccerCHILD DM - ARG 1</v>
      </c>
      <c r="AD315" s="301" t="str">
        <f t="shared" si="188"/>
        <v>,,Ch D Male Mini Soccer,,1,CHILD DM - VEN 2</v>
      </c>
      <c r="AE315" s="153" t="str">
        <f t="shared" si="189"/>
        <v>Ch D Male Mini SoccerCHILD DM - VEN 2</v>
      </c>
      <c r="AF315" s="383">
        <f t="shared" si="190"/>
        <v>1</v>
      </c>
      <c r="AG315" s="383">
        <f t="shared" si="191"/>
        <v>0</v>
      </c>
      <c r="AH315" s="383">
        <f t="shared" si="192"/>
        <v>0</v>
      </c>
      <c r="AI315" s="383">
        <f t="shared" si="193"/>
        <v>0</v>
      </c>
      <c r="AJ315" s="383">
        <f t="shared" si="194"/>
        <v>1</v>
      </c>
      <c r="AK315" s="383">
        <f t="shared" si="195"/>
        <v>0</v>
      </c>
      <c r="AM315" s="148" t="str">
        <f t="shared" si="196"/>
        <v>Schedulled</v>
      </c>
      <c r="AN315" s="148" t="str">
        <f t="shared" si="197"/>
        <v/>
      </c>
      <c r="AO315" s="156">
        <f t="shared" si="198"/>
        <v>43061.75</v>
      </c>
      <c r="AP315" s="148" t="str">
        <f t="shared" si="199"/>
        <v>11/22/2017 18:00-&gt;JCC Back Field 3</v>
      </c>
      <c r="AQ315" s="374">
        <f t="shared" si="200"/>
        <v>1</v>
      </c>
      <c r="AR315" s="148" t="str">
        <f t="shared" si="201"/>
        <v>ARG1</v>
      </c>
      <c r="AS315" s="148" t="str">
        <f t="shared" si="202"/>
        <v>VEN2</v>
      </c>
      <c r="AT315" s="157" t="str">
        <f t="shared" si="203"/>
        <v>ARG1-VEN2</v>
      </c>
      <c r="AU315" s="157" t="str">
        <f t="shared" si="204"/>
        <v xml:space="preserve">ARG1-VEN2 </v>
      </c>
      <c r="AV315" s="157" t="str">
        <f t="shared" si="205"/>
        <v>CHILDREN D MALE</v>
      </c>
      <c r="AW315" s="157" t="str">
        <f t="shared" si="206"/>
        <v>Soccer</v>
      </c>
      <c r="AX315" s="376">
        <f t="shared" si="207"/>
        <v>313</v>
      </c>
      <c r="AY315" s="148" t="str">
        <f t="shared" si="208"/>
        <v>CHILD DM - ARG 1-&gt;CHILD DM - VEN 2</v>
      </c>
      <c r="AZ315" s="148" t="str">
        <f t="shared" si="209"/>
        <v>11/22/2017 18:00-&gt;CHILD DM - ARG 1</v>
      </c>
      <c r="BA315" s="148" t="str">
        <f t="shared" si="210"/>
        <v>11/22/2017 18:00-&gt;CHILD DM - VEN 2</v>
      </c>
      <c r="BB315" s="374">
        <f t="shared" si="211"/>
        <v>1</v>
      </c>
      <c r="BC315" s="374">
        <f t="shared" si="212"/>
        <v>1</v>
      </c>
      <c r="BD315" s="148" t="str">
        <f t="shared" si="213"/>
        <v>no conflict</v>
      </c>
      <c r="BF315" s="148" t="str">
        <f t="shared" si="214"/>
        <v>11/22/2017 18:00-&gt;CHILD DM - ARG 1</v>
      </c>
      <c r="BG315" s="148" t="str">
        <f t="shared" si="215"/>
        <v>11/22/2017 18:00-&gt;CHILD DM - VEN 2</v>
      </c>
      <c r="BH315" s="148" t="str">
        <f t="shared" si="216"/>
        <v>11/22/2017 18:00-&gt;JCC Back Field 3</v>
      </c>
      <c r="BI315" s="148" t="str">
        <f t="shared" si="217"/>
        <v>Soccer in JCC Back Field 3 (ARG1-VEN2)</v>
      </c>
      <c r="BJ315" s="148" t="str">
        <f t="shared" si="218"/>
        <v>Ch D Male Mini Soccer-- CHILD DM - ARG 1 vs. CHILD DM - VEN 2</v>
      </c>
      <c r="BK315" s="148" t="str">
        <f t="shared" si="219"/>
        <v>Soccer</v>
      </c>
      <c r="BL315" s="148" t="str">
        <f t="shared" si="220"/>
        <v>CHILD DM - ARG 1</v>
      </c>
      <c r="BM315" s="148" t="str">
        <f t="shared" si="221"/>
        <v>CHILD DM - VEN 2</v>
      </c>
      <c r="BN315" s="148" t="str">
        <f t="shared" si="222"/>
        <v>Round - 1</v>
      </c>
      <c r="BP315" s="148" t="str">
        <f t="shared" si="223"/>
        <v>no t, f, or sf</v>
      </c>
      <c r="BQ315" s="148" t="str">
        <f t="shared" si="224"/>
        <v/>
      </c>
    </row>
    <row r="316" spans="1:69" ht="15" customHeight="1" x14ac:dyDescent="0.2">
      <c r="A316" s="376">
        <v>314</v>
      </c>
      <c r="B316" s="433" t="s">
        <v>53</v>
      </c>
      <c r="C316" s="444" t="s">
        <v>518</v>
      </c>
      <c r="D316" s="451">
        <v>1</v>
      </c>
      <c r="E316" s="451">
        <v>1</v>
      </c>
      <c r="F316" s="315" t="s">
        <v>770</v>
      </c>
      <c r="G316" s="445">
        <v>43061</v>
      </c>
      <c r="H316" s="317">
        <v>0.71527777777777779</v>
      </c>
      <c r="I316" s="325" t="s">
        <v>770</v>
      </c>
      <c r="J316" s="444" t="s">
        <v>695</v>
      </c>
      <c r="K316" s="444">
        <v>41</v>
      </c>
      <c r="L316" t="s">
        <v>599</v>
      </c>
      <c r="M316">
        <v>41</v>
      </c>
      <c r="N316" t="s">
        <v>595</v>
      </c>
      <c r="O316" s="153" t="str">
        <f>IF(L316&lt;&gt;"",IFERROR(VLOOKUP(B316&amp;L316,Pools!$A$2:$D$130,3,FALSE),""),"")</f>
        <v/>
      </c>
      <c r="P316" s="388">
        <v>2</v>
      </c>
      <c r="Q316" s="388">
        <v>0</v>
      </c>
      <c r="R316" s="306" t="str">
        <f t="shared" si="180"/>
        <v>2-0</v>
      </c>
      <c r="S316" s="153"/>
      <c r="T316" s="148" t="str">
        <f t="shared" si="181"/>
        <v>Completed</v>
      </c>
      <c r="U316" s="153"/>
      <c r="V316" s="153"/>
      <c r="W316" s="387">
        <f t="shared" si="182"/>
        <v>2</v>
      </c>
      <c r="X316" s="387">
        <f t="shared" si="183"/>
        <v>-2</v>
      </c>
      <c r="Y316" s="301">
        <f t="shared" si="184"/>
        <v>2</v>
      </c>
      <c r="Z316" s="301">
        <f t="shared" si="185"/>
        <v>0</v>
      </c>
      <c r="AA316" s="323" t="str">
        <f>CONCATENATE("                x[team1,team2,sport,'",IF(OR(I316="x",I316=""),VLOOKUP('Schedule from TM'!J316,Tables!$P$3:$Q$33,2,FALSE),'Schedule from TM'!I316),",",J316,"','",IF(OR(F316="x",F316=""),VLOOKUP('Schedule from TM'!G316,Tables!$U$3:$V$14,2,FALSE),'Schedule from TM'!F316),",",TEXT(G316,"mm/dd/yyyy"),"','",TEXT(H316,"h:mm:ss AM/PM"),"'].ub=0.0      #",B316)</f>
        <v xml:space="preserve">                x[team1,team2,sport,'11,JCC Back Field 1','22,11/22/2017','5:10:00 PM'].ub=0.0      #Ch D Male Mini Soccer</v>
      </c>
      <c r="AB316" s="301" t="str">
        <f t="shared" si="186"/>
        <v>,,Ch D Male Mini Soccer,,1,CHILD DM - COL 2</v>
      </c>
      <c r="AC316" s="153" t="str">
        <f t="shared" si="187"/>
        <v>Ch D Male Mini SoccerCHILD DM - COL 2</v>
      </c>
      <c r="AD316" s="301" t="str">
        <f t="shared" si="188"/>
        <v>,,Ch D Male Mini Soccer,,1,CHILD DM - USA 1</v>
      </c>
      <c r="AE316" s="153" t="str">
        <f t="shared" si="189"/>
        <v>Ch D Male Mini SoccerCHILD DM - USA 1</v>
      </c>
      <c r="AF316" s="383">
        <f t="shared" si="190"/>
        <v>1</v>
      </c>
      <c r="AG316" s="383">
        <f t="shared" si="191"/>
        <v>0</v>
      </c>
      <c r="AH316" s="383">
        <f t="shared" si="192"/>
        <v>0</v>
      </c>
      <c r="AI316" s="383">
        <f t="shared" si="193"/>
        <v>0</v>
      </c>
      <c r="AJ316" s="383">
        <f t="shared" si="194"/>
        <v>1</v>
      </c>
      <c r="AK316" s="383">
        <f t="shared" si="195"/>
        <v>0</v>
      </c>
      <c r="AM316" s="148" t="str">
        <f t="shared" si="196"/>
        <v>Schedulled</v>
      </c>
      <c r="AN316" s="148" t="str">
        <f t="shared" si="197"/>
        <v/>
      </c>
      <c r="AO316" s="156">
        <f t="shared" si="198"/>
        <v>43061.715277777781</v>
      </c>
      <c r="AP316" s="148" t="str">
        <f t="shared" si="199"/>
        <v>11/22/2017 17:10-&gt;JCC Back Field 1</v>
      </c>
      <c r="AQ316" s="374">
        <f t="shared" si="200"/>
        <v>1</v>
      </c>
      <c r="AR316" s="148" t="str">
        <f t="shared" si="201"/>
        <v>COL2</v>
      </c>
      <c r="AS316" s="148" t="str">
        <f t="shared" si="202"/>
        <v>USA1</v>
      </c>
      <c r="AT316" s="157" t="str">
        <f t="shared" si="203"/>
        <v>COL2-USA1</v>
      </c>
      <c r="AU316" s="157" t="str">
        <f t="shared" si="204"/>
        <v xml:space="preserve">COL2-USA1 </v>
      </c>
      <c r="AV316" s="157" t="str">
        <f t="shared" si="205"/>
        <v>CHILDREN D MALE</v>
      </c>
      <c r="AW316" s="157" t="str">
        <f t="shared" si="206"/>
        <v>Soccer</v>
      </c>
      <c r="AX316" s="376">
        <f t="shared" si="207"/>
        <v>314</v>
      </c>
      <c r="AY316" s="148" t="str">
        <f t="shared" si="208"/>
        <v>CHILD DM - COL 2-&gt;CHILD DM - USA 1</v>
      </c>
      <c r="AZ316" s="148" t="str">
        <f t="shared" si="209"/>
        <v>11/22/2017 17:10-&gt;CHILD DM - COL 2</v>
      </c>
      <c r="BA316" s="148" t="str">
        <f t="shared" si="210"/>
        <v>11/22/2017 17:10-&gt;CHILD DM - USA 1</v>
      </c>
      <c r="BB316" s="374">
        <f t="shared" si="211"/>
        <v>1</v>
      </c>
      <c r="BC316" s="374">
        <f t="shared" si="212"/>
        <v>1</v>
      </c>
      <c r="BD316" s="148" t="str">
        <f t="shared" si="213"/>
        <v>no conflict</v>
      </c>
      <c r="BF316" s="148" t="str">
        <f t="shared" si="214"/>
        <v>11/22/2017 17:10-&gt;CHILD DM - COL 2</v>
      </c>
      <c r="BG316" s="148" t="str">
        <f t="shared" si="215"/>
        <v>11/22/2017 17:10-&gt;CHILD DM - USA 1</v>
      </c>
      <c r="BH316" s="148" t="str">
        <f t="shared" si="216"/>
        <v>11/22/2017 17:10-&gt;JCC Back Field 1</v>
      </c>
      <c r="BI316" s="148" t="str">
        <f t="shared" si="217"/>
        <v>Soccer in JCC Back Field 1 (COL2-USA1)</v>
      </c>
      <c r="BJ316" s="148" t="str">
        <f t="shared" si="218"/>
        <v>Ch D Male Mini Soccer-- CHILD DM - COL 2 vs. CHILD DM - USA 1</v>
      </c>
      <c r="BK316" s="148" t="str">
        <f t="shared" si="219"/>
        <v>Soccer</v>
      </c>
      <c r="BL316" s="148" t="str">
        <f t="shared" si="220"/>
        <v>CHILD DM - COL 2</v>
      </c>
      <c r="BM316" s="148" t="str">
        <f t="shared" si="221"/>
        <v>CHILD DM - USA 1</v>
      </c>
      <c r="BN316" s="148" t="str">
        <f t="shared" si="222"/>
        <v>Round - 1</v>
      </c>
      <c r="BP316" s="148" t="str">
        <f t="shared" si="223"/>
        <v>no t, f, or sf</v>
      </c>
      <c r="BQ316" s="148" t="str">
        <f t="shared" si="224"/>
        <v/>
      </c>
    </row>
    <row r="317" spans="1:69" ht="15" customHeight="1" x14ac:dyDescent="0.2">
      <c r="A317" s="376">
        <v>315</v>
      </c>
      <c r="B317" s="433" t="s">
        <v>53</v>
      </c>
      <c r="C317" s="444" t="s">
        <v>518</v>
      </c>
      <c r="D317" s="451">
        <v>1</v>
      </c>
      <c r="E317" s="451">
        <v>1</v>
      </c>
      <c r="F317" s="315" t="s">
        <v>770</v>
      </c>
      <c r="G317" s="445">
        <v>43062</v>
      </c>
      <c r="H317" s="317">
        <v>0.36805555555555558</v>
      </c>
      <c r="I317" s="325" t="s">
        <v>770</v>
      </c>
      <c r="J317" s="444" t="s">
        <v>695</v>
      </c>
      <c r="K317" s="444">
        <v>41</v>
      </c>
      <c r="L317" t="s">
        <v>592</v>
      </c>
      <c r="M317">
        <v>41</v>
      </c>
      <c r="N317" t="s">
        <v>599</v>
      </c>
      <c r="O317" s="153" t="str">
        <f>IF(L317&lt;&gt;"",IFERROR(VLOOKUP(B317&amp;L317,Pools!$A$2:$D$130,3,FALSE),""),"")</f>
        <v/>
      </c>
      <c r="P317" s="388">
        <v>2</v>
      </c>
      <c r="Q317" s="388">
        <v>1</v>
      </c>
      <c r="R317" s="306" t="str">
        <f t="shared" si="180"/>
        <v>2-1</v>
      </c>
      <c r="S317" s="153"/>
      <c r="T317" s="148" t="str">
        <f t="shared" si="181"/>
        <v>Completed</v>
      </c>
      <c r="U317" s="153"/>
      <c r="V317" s="153"/>
      <c r="W317" s="387">
        <f t="shared" si="182"/>
        <v>1</v>
      </c>
      <c r="X317" s="387">
        <f t="shared" si="183"/>
        <v>-1</v>
      </c>
      <c r="Y317" s="301">
        <f t="shared" si="184"/>
        <v>2</v>
      </c>
      <c r="Z317" s="301">
        <f t="shared" si="185"/>
        <v>0</v>
      </c>
      <c r="AA317" s="323" t="str">
        <f>CONCATENATE("                x[team1,team2,sport,'",IF(OR(I317="x",I317=""),VLOOKUP('Schedule from TM'!J317,Tables!$P$3:$Q$33,2,FALSE),'Schedule from TM'!I317),",",J317,"','",IF(OR(F317="x",F317=""),VLOOKUP('Schedule from TM'!G317,Tables!$U$3:$V$14,2,FALSE),'Schedule from TM'!F317),",",TEXT(G317,"mm/dd/yyyy"),"','",TEXT(H317,"h:mm:ss AM/PM"),"'].ub=0.0      #",B317)</f>
        <v xml:space="preserve">                x[team1,team2,sport,'11,JCC Back Field 1','11,11/23/2017','8:50:00 AM'].ub=0.0      #Ch D Male Mini Soccer</v>
      </c>
      <c r="AB317" s="301" t="str">
        <f t="shared" si="186"/>
        <v>,,Ch D Male Mini Soccer,,1,CHILD DM - ARG 1</v>
      </c>
      <c r="AC317" s="153" t="str">
        <f t="shared" si="187"/>
        <v>Ch D Male Mini SoccerCHILD DM - ARG 1</v>
      </c>
      <c r="AD317" s="301" t="str">
        <f t="shared" si="188"/>
        <v>,,Ch D Male Mini Soccer,,1,CHILD DM - COL 2</v>
      </c>
      <c r="AE317" s="153" t="str">
        <f t="shared" si="189"/>
        <v>Ch D Male Mini SoccerCHILD DM - COL 2</v>
      </c>
      <c r="AF317" s="383">
        <f t="shared" si="190"/>
        <v>1</v>
      </c>
      <c r="AG317" s="383">
        <f t="shared" si="191"/>
        <v>0</v>
      </c>
      <c r="AH317" s="383">
        <f t="shared" si="192"/>
        <v>0</v>
      </c>
      <c r="AI317" s="383">
        <f t="shared" si="193"/>
        <v>0</v>
      </c>
      <c r="AJ317" s="383">
        <f t="shared" si="194"/>
        <v>1</v>
      </c>
      <c r="AK317" s="383">
        <f t="shared" si="195"/>
        <v>0</v>
      </c>
      <c r="AM317" s="148" t="str">
        <f t="shared" si="196"/>
        <v>Schedulled</v>
      </c>
      <c r="AN317" s="148" t="str">
        <f t="shared" si="197"/>
        <v/>
      </c>
      <c r="AO317" s="156">
        <f t="shared" si="198"/>
        <v>43062.368055555555</v>
      </c>
      <c r="AP317" s="148" t="str">
        <f t="shared" si="199"/>
        <v>11/23/2017 08:50-&gt;JCC Back Field 1</v>
      </c>
      <c r="AQ317" s="374">
        <f t="shared" si="200"/>
        <v>1</v>
      </c>
      <c r="AR317" s="148" t="str">
        <f t="shared" si="201"/>
        <v>ARG1</v>
      </c>
      <c r="AS317" s="148" t="str">
        <f t="shared" si="202"/>
        <v>COL2</v>
      </c>
      <c r="AT317" s="157" t="str">
        <f t="shared" si="203"/>
        <v>ARG1-COL2</v>
      </c>
      <c r="AU317" s="157" t="str">
        <f t="shared" si="204"/>
        <v xml:space="preserve">ARG1-COL2 </v>
      </c>
      <c r="AV317" s="157" t="str">
        <f t="shared" si="205"/>
        <v>CHILDREN D MALE</v>
      </c>
      <c r="AW317" s="157" t="str">
        <f t="shared" si="206"/>
        <v>Soccer</v>
      </c>
      <c r="AX317" s="376">
        <f t="shared" si="207"/>
        <v>315</v>
      </c>
      <c r="AY317" s="148" t="str">
        <f t="shared" si="208"/>
        <v>CHILD DM - ARG 1-&gt;CHILD DM - COL 2</v>
      </c>
      <c r="AZ317" s="148" t="str">
        <f t="shared" si="209"/>
        <v>11/23/2017 08:50-&gt;CHILD DM - ARG 1</v>
      </c>
      <c r="BA317" s="148" t="str">
        <f t="shared" si="210"/>
        <v>11/23/2017 08:50-&gt;CHILD DM - COL 2</v>
      </c>
      <c r="BB317" s="374">
        <f t="shared" si="211"/>
        <v>1</v>
      </c>
      <c r="BC317" s="374">
        <f t="shared" si="212"/>
        <v>1</v>
      </c>
      <c r="BD317" s="148" t="str">
        <f t="shared" si="213"/>
        <v>no conflict</v>
      </c>
      <c r="BF317" s="148" t="str">
        <f t="shared" si="214"/>
        <v>11/23/2017 08:50-&gt;CHILD DM - ARG 1</v>
      </c>
      <c r="BG317" s="148" t="str">
        <f t="shared" si="215"/>
        <v>11/23/2017 08:50-&gt;CHILD DM - COL 2</v>
      </c>
      <c r="BH317" s="148" t="str">
        <f t="shared" si="216"/>
        <v>11/23/2017 08:50-&gt;JCC Back Field 1</v>
      </c>
      <c r="BI317" s="148" t="str">
        <f t="shared" si="217"/>
        <v>Soccer in JCC Back Field 1 (ARG1-COL2)</v>
      </c>
      <c r="BJ317" s="148" t="str">
        <f t="shared" si="218"/>
        <v>Ch D Male Mini Soccer-- CHILD DM - ARG 1 vs. CHILD DM - COL 2</v>
      </c>
      <c r="BK317" s="148" t="str">
        <f t="shared" si="219"/>
        <v>Soccer</v>
      </c>
      <c r="BL317" s="148" t="str">
        <f t="shared" si="220"/>
        <v>CHILD DM - ARG 1</v>
      </c>
      <c r="BM317" s="148" t="str">
        <f t="shared" si="221"/>
        <v>CHILD DM - COL 2</v>
      </c>
      <c r="BN317" s="148" t="str">
        <f t="shared" si="222"/>
        <v>Round - 1</v>
      </c>
      <c r="BP317" s="148" t="str">
        <f t="shared" si="223"/>
        <v>no t, f, or sf</v>
      </c>
      <c r="BQ317" s="148" t="str">
        <f t="shared" si="224"/>
        <v/>
      </c>
    </row>
    <row r="318" spans="1:69" ht="15" customHeight="1" x14ac:dyDescent="0.2">
      <c r="A318" s="376">
        <v>316</v>
      </c>
      <c r="B318" s="433" t="s">
        <v>53</v>
      </c>
      <c r="C318" s="444" t="s">
        <v>518</v>
      </c>
      <c r="D318" s="451">
        <v>1</v>
      </c>
      <c r="E318" s="451">
        <v>1</v>
      </c>
      <c r="F318" s="315" t="s">
        <v>770</v>
      </c>
      <c r="G318" s="445">
        <v>43062</v>
      </c>
      <c r="H318" s="317">
        <v>0.36805555555555558</v>
      </c>
      <c r="I318" s="325" t="s">
        <v>770</v>
      </c>
      <c r="J318" s="444" t="s">
        <v>692</v>
      </c>
      <c r="K318" s="444">
        <v>41</v>
      </c>
      <c r="L318" s="433" t="s">
        <v>595</v>
      </c>
      <c r="M318" s="433">
        <v>41</v>
      </c>
      <c r="N318" s="433" t="s">
        <v>601</v>
      </c>
      <c r="O318" s="153" t="str">
        <f>IF(L318&lt;&gt;"",IFERROR(VLOOKUP(B318&amp;L318,Pools!$A$2:$D$130,3,FALSE),""),"")</f>
        <v/>
      </c>
      <c r="P318" s="388">
        <v>4</v>
      </c>
      <c r="Q318" s="388">
        <v>8</v>
      </c>
      <c r="R318" s="306" t="str">
        <f t="shared" si="180"/>
        <v>4-8</v>
      </c>
      <c r="S318" s="153"/>
      <c r="T318" s="148" t="str">
        <f t="shared" si="181"/>
        <v>Completed</v>
      </c>
      <c r="U318" s="153"/>
      <c r="V318" s="153"/>
      <c r="W318" s="387">
        <f t="shared" si="182"/>
        <v>-3</v>
      </c>
      <c r="X318" s="387">
        <f t="shared" si="183"/>
        <v>3</v>
      </c>
      <c r="Y318" s="301">
        <f t="shared" si="184"/>
        <v>0</v>
      </c>
      <c r="Z318" s="301">
        <f t="shared" si="185"/>
        <v>2</v>
      </c>
      <c r="AA318" s="323" t="str">
        <f>CONCATENATE("                x[team1,team2,sport,'",IF(OR(I318="x",I318=""),VLOOKUP('Schedule from TM'!J318,Tables!$P$3:$Q$33,2,FALSE),'Schedule from TM'!I318),",",J318,"','",IF(OR(F318="x",F318=""),VLOOKUP('Schedule from TM'!G318,Tables!$U$3:$V$14,2,FALSE),'Schedule from TM'!F318),",",TEXT(G318,"mm/dd/yyyy"),"','",TEXT(H318,"h:mm:ss AM/PM"),"'].ub=0.0      #",B318)</f>
        <v xml:space="preserve">                x[team1,team2,sport,'11,JCC Back Field 3','11,11/23/2017','8:50:00 AM'].ub=0.0      #Ch D Male Mini Soccer</v>
      </c>
      <c r="AB318" s="301" t="str">
        <f t="shared" si="186"/>
        <v>,,Ch D Male Mini Soccer,,1,CHILD DM - USA 1</v>
      </c>
      <c r="AC318" s="153" t="str">
        <f t="shared" si="187"/>
        <v>Ch D Male Mini SoccerCHILD DM - USA 1</v>
      </c>
      <c r="AD318" s="301" t="str">
        <f t="shared" si="188"/>
        <v>,,Ch D Male Mini Soccer,,1,CHILD DM - MEX</v>
      </c>
      <c r="AE318" s="153" t="str">
        <f t="shared" si="189"/>
        <v>Ch D Male Mini SoccerCHILD DM - MEX</v>
      </c>
      <c r="AF318" s="383">
        <f t="shared" si="190"/>
        <v>0</v>
      </c>
      <c r="AG318" s="383">
        <f t="shared" si="191"/>
        <v>1</v>
      </c>
      <c r="AH318" s="383">
        <f t="shared" si="192"/>
        <v>0</v>
      </c>
      <c r="AI318" s="383">
        <f t="shared" si="193"/>
        <v>1</v>
      </c>
      <c r="AJ318" s="383">
        <f t="shared" si="194"/>
        <v>0</v>
      </c>
      <c r="AK318" s="383">
        <f t="shared" si="195"/>
        <v>0</v>
      </c>
      <c r="AM318" s="148" t="str">
        <f t="shared" si="196"/>
        <v>Schedulled</v>
      </c>
      <c r="AN318" s="148" t="str">
        <f t="shared" si="197"/>
        <v/>
      </c>
      <c r="AO318" s="156">
        <f t="shared" si="198"/>
        <v>43062.368055555555</v>
      </c>
      <c r="AP318" s="148" t="str">
        <f t="shared" si="199"/>
        <v>11/23/2017 08:50-&gt;JCC Back Field 3</v>
      </c>
      <c r="AQ318" s="374">
        <f t="shared" si="200"/>
        <v>1</v>
      </c>
      <c r="AR318" s="148" t="str">
        <f t="shared" si="201"/>
        <v>USA1</v>
      </c>
      <c r="AS318" s="148" t="str">
        <f t="shared" si="202"/>
        <v>MEX</v>
      </c>
      <c r="AT318" s="157" t="str">
        <f t="shared" si="203"/>
        <v>USA1-MEX</v>
      </c>
      <c r="AU318" s="157" t="str">
        <f t="shared" si="204"/>
        <v xml:space="preserve">USA1-MEX </v>
      </c>
      <c r="AV318" s="157" t="str">
        <f t="shared" si="205"/>
        <v>CHILDREN D MALE</v>
      </c>
      <c r="AW318" s="157" t="str">
        <f t="shared" si="206"/>
        <v>Soccer</v>
      </c>
      <c r="AX318" s="376">
        <f t="shared" si="207"/>
        <v>316</v>
      </c>
      <c r="AY318" s="148" t="str">
        <f t="shared" si="208"/>
        <v>CHILD DM - USA 1-&gt;CHILD DM - MEX</v>
      </c>
      <c r="AZ318" s="148" t="str">
        <f t="shared" si="209"/>
        <v>11/23/2017 08:50-&gt;CHILD DM - USA 1</v>
      </c>
      <c r="BA318" s="148" t="str">
        <f t="shared" si="210"/>
        <v>11/23/2017 08:50-&gt;CHILD DM - MEX</v>
      </c>
      <c r="BB318" s="374">
        <f t="shared" si="211"/>
        <v>1</v>
      </c>
      <c r="BC318" s="374">
        <f t="shared" si="212"/>
        <v>1</v>
      </c>
      <c r="BD318" s="148" t="str">
        <f t="shared" si="213"/>
        <v>no conflict</v>
      </c>
      <c r="BF318" s="148" t="str">
        <f t="shared" si="214"/>
        <v>11/23/2017 08:50-&gt;CHILD DM - USA 1</v>
      </c>
      <c r="BG318" s="148" t="str">
        <f t="shared" si="215"/>
        <v>11/23/2017 08:50-&gt;CHILD DM - MEX</v>
      </c>
      <c r="BH318" s="148" t="str">
        <f t="shared" si="216"/>
        <v>11/23/2017 08:50-&gt;JCC Back Field 3</v>
      </c>
      <c r="BI318" s="148" t="str">
        <f t="shared" si="217"/>
        <v>Soccer in JCC Back Field 3 (USA1-MEX)</v>
      </c>
      <c r="BJ318" s="148" t="str">
        <f t="shared" si="218"/>
        <v>Ch D Male Mini Soccer-- CHILD DM - USA 1 vs. CHILD DM - MEX</v>
      </c>
      <c r="BK318" s="148" t="str">
        <f t="shared" si="219"/>
        <v>Soccer</v>
      </c>
      <c r="BL318" s="148" t="str">
        <f t="shared" si="220"/>
        <v>CHILD DM - USA 1</v>
      </c>
      <c r="BM318" s="148" t="str">
        <f t="shared" si="221"/>
        <v>CHILD DM - MEX</v>
      </c>
      <c r="BN318" s="148" t="str">
        <f t="shared" si="222"/>
        <v>Round - 1</v>
      </c>
      <c r="BP318" s="148" t="str">
        <f t="shared" si="223"/>
        <v>no t, f, or sf</v>
      </c>
      <c r="BQ318" s="148" t="str">
        <f t="shared" si="224"/>
        <v/>
      </c>
    </row>
    <row r="319" spans="1:69" ht="15" customHeight="1" x14ac:dyDescent="0.2">
      <c r="A319" s="376">
        <v>317</v>
      </c>
      <c r="B319" s="444" t="s">
        <v>53</v>
      </c>
      <c r="C319" s="444" t="s">
        <v>518</v>
      </c>
      <c r="D319" s="451">
        <v>1</v>
      </c>
      <c r="E319" s="451">
        <v>1</v>
      </c>
      <c r="F319" s="315" t="s">
        <v>770</v>
      </c>
      <c r="G319" s="445">
        <v>43062</v>
      </c>
      <c r="H319" s="317">
        <v>0.4375</v>
      </c>
      <c r="I319" s="325" t="s">
        <v>770</v>
      </c>
      <c r="J319" s="443" t="s">
        <v>695</v>
      </c>
      <c r="K319" s="444">
        <v>41</v>
      </c>
      <c r="L319" s="433" t="s">
        <v>593</v>
      </c>
      <c r="M319">
        <v>41</v>
      </c>
      <c r="N319" s="433" t="s">
        <v>598</v>
      </c>
      <c r="O319" s="153" t="str">
        <f>IF(L319&lt;&gt;"",IFERROR(VLOOKUP(B319&amp;L319,Pools!$A$2:$D$130,3,FALSE),""),"")</f>
        <v/>
      </c>
      <c r="P319" s="388">
        <v>0</v>
      </c>
      <c r="Q319" s="388">
        <v>3</v>
      </c>
      <c r="R319" s="306" t="str">
        <f t="shared" si="180"/>
        <v>0-3</v>
      </c>
      <c r="S319" s="153"/>
      <c r="T319" s="148" t="str">
        <f t="shared" si="181"/>
        <v>Completed</v>
      </c>
      <c r="U319" s="153"/>
      <c r="V319" s="153"/>
      <c r="W319" s="387">
        <f t="shared" si="182"/>
        <v>-3</v>
      </c>
      <c r="X319" s="387">
        <f t="shared" si="183"/>
        <v>3</v>
      </c>
      <c r="Y319" s="301">
        <f t="shared" si="184"/>
        <v>0</v>
      </c>
      <c r="Z319" s="301">
        <f t="shared" si="185"/>
        <v>2</v>
      </c>
      <c r="AA319" s="323" t="str">
        <f>CONCATENATE("                x[team1,team2,sport,'",IF(OR(I319="x",I319=""),VLOOKUP('Schedule from TM'!J319,Tables!$P$3:$Q$33,2,FALSE),'Schedule from TM'!I319),",",J319,"','",IF(OR(F319="x",F319=""),VLOOKUP('Schedule from TM'!G319,Tables!$U$3:$V$14,2,FALSE),'Schedule from TM'!F319),",",TEXT(G319,"mm/dd/yyyy"),"','",TEXT(H319,"h:mm:ss AM/PM"),"'].ub=0.0      #",B319)</f>
        <v xml:space="preserve">                x[team1,team2,sport,'11,JCC Back Field 1','11,11/23/2017','10:30:00 AM'].ub=0.0      #Ch D Male Mini Soccer</v>
      </c>
      <c r="AB319" s="301" t="str">
        <f t="shared" si="186"/>
        <v>,,Ch D Male Mini Soccer,,1,CHILD DM - COL 1</v>
      </c>
      <c r="AC319" s="153" t="str">
        <f t="shared" si="187"/>
        <v>Ch D Male Mini SoccerCHILD DM - COL 1</v>
      </c>
      <c r="AD319" s="301" t="str">
        <f t="shared" si="188"/>
        <v>,,Ch D Male Mini Soccer,,1,CHILD DM - ARG 2</v>
      </c>
      <c r="AE319" s="153" t="str">
        <f t="shared" si="189"/>
        <v>Ch D Male Mini SoccerCHILD DM - ARG 2</v>
      </c>
      <c r="AF319" s="383">
        <f t="shared" si="190"/>
        <v>0</v>
      </c>
      <c r="AG319" s="383">
        <f t="shared" si="191"/>
        <v>1</v>
      </c>
      <c r="AH319" s="383">
        <f t="shared" si="192"/>
        <v>0</v>
      </c>
      <c r="AI319" s="383">
        <f t="shared" si="193"/>
        <v>1</v>
      </c>
      <c r="AJ319" s="383">
        <f t="shared" si="194"/>
        <v>0</v>
      </c>
      <c r="AK319" s="383">
        <f t="shared" si="195"/>
        <v>0</v>
      </c>
      <c r="AM319" s="148" t="str">
        <f t="shared" si="196"/>
        <v>Schedulled</v>
      </c>
      <c r="AN319" s="148" t="str">
        <f t="shared" si="197"/>
        <v/>
      </c>
      <c r="AO319" s="156">
        <f t="shared" si="198"/>
        <v>43062.4375</v>
      </c>
      <c r="AP319" s="148" t="str">
        <f t="shared" si="199"/>
        <v>11/23/2017 10:30-&gt;JCC Back Field 1</v>
      </c>
      <c r="AQ319" s="374">
        <f t="shared" si="200"/>
        <v>1</v>
      </c>
      <c r="AR319" s="148" t="str">
        <f t="shared" si="201"/>
        <v>COL1</v>
      </c>
      <c r="AS319" s="148" t="str">
        <f t="shared" si="202"/>
        <v>ARG2</v>
      </c>
      <c r="AT319" s="157" t="str">
        <f t="shared" si="203"/>
        <v>COL1-ARG2</v>
      </c>
      <c r="AU319" s="157" t="str">
        <f t="shared" si="204"/>
        <v xml:space="preserve">COL1-ARG2 </v>
      </c>
      <c r="AV319" s="157" t="str">
        <f t="shared" si="205"/>
        <v>CHILDREN D MALE</v>
      </c>
      <c r="AW319" s="157" t="str">
        <f t="shared" si="206"/>
        <v>Soccer</v>
      </c>
      <c r="AX319" s="376">
        <f t="shared" si="207"/>
        <v>317</v>
      </c>
      <c r="AY319" s="148" t="str">
        <f t="shared" si="208"/>
        <v>CHILD DM - COL 1-&gt;CHILD DM - ARG 2</v>
      </c>
      <c r="AZ319" s="148" t="str">
        <f t="shared" si="209"/>
        <v>11/23/2017 10:30-&gt;CHILD DM - COL 1</v>
      </c>
      <c r="BA319" s="148" t="str">
        <f t="shared" si="210"/>
        <v>11/23/2017 10:30-&gt;CHILD DM - ARG 2</v>
      </c>
      <c r="BB319" s="374">
        <f t="shared" si="211"/>
        <v>1</v>
      </c>
      <c r="BC319" s="374">
        <f t="shared" si="212"/>
        <v>1</v>
      </c>
      <c r="BD319" s="148" t="str">
        <f t="shared" si="213"/>
        <v>no conflict</v>
      </c>
      <c r="BF319" s="148" t="str">
        <f t="shared" si="214"/>
        <v>11/23/2017 10:30-&gt;CHILD DM - COL 1</v>
      </c>
      <c r="BG319" s="148" t="str">
        <f t="shared" si="215"/>
        <v>11/23/2017 10:30-&gt;CHILD DM - ARG 2</v>
      </c>
      <c r="BH319" s="148" t="str">
        <f t="shared" si="216"/>
        <v>11/23/2017 10:30-&gt;JCC Back Field 1</v>
      </c>
      <c r="BI319" s="148" t="str">
        <f t="shared" si="217"/>
        <v>Soccer in JCC Back Field 1 (COL1-ARG2)</v>
      </c>
      <c r="BJ319" s="148" t="str">
        <f t="shared" si="218"/>
        <v>Ch D Male Mini Soccer-- CHILD DM - COL 1 vs. CHILD DM - ARG 2</v>
      </c>
      <c r="BK319" s="148" t="str">
        <f t="shared" si="219"/>
        <v>Soccer</v>
      </c>
      <c r="BL319" s="148" t="str">
        <f t="shared" si="220"/>
        <v>CHILD DM - COL 1</v>
      </c>
      <c r="BM319" s="148" t="str">
        <f t="shared" si="221"/>
        <v>CHILD DM - ARG 2</v>
      </c>
      <c r="BN319" s="148" t="str">
        <f t="shared" si="222"/>
        <v>Round - 1</v>
      </c>
      <c r="BP319" s="148" t="str">
        <f t="shared" si="223"/>
        <v>no t, f, or sf</v>
      </c>
      <c r="BQ319" s="148" t="str">
        <f t="shared" si="224"/>
        <v/>
      </c>
    </row>
    <row r="320" spans="1:69" ht="15" customHeight="1" x14ac:dyDescent="0.2">
      <c r="A320" s="376">
        <v>318</v>
      </c>
      <c r="B320" s="433" t="s">
        <v>53</v>
      </c>
      <c r="C320" s="444" t="s">
        <v>518</v>
      </c>
      <c r="D320" s="451">
        <v>1</v>
      </c>
      <c r="E320" s="451">
        <v>1</v>
      </c>
      <c r="F320" s="315" t="s">
        <v>770</v>
      </c>
      <c r="G320" s="445">
        <v>43062</v>
      </c>
      <c r="H320" s="317">
        <v>0.57638888888888895</v>
      </c>
      <c r="I320" s="325" t="s">
        <v>770</v>
      </c>
      <c r="J320" s="443" t="s">
        <v>694</v>
      </c>
      <c r="K320" s="444">
        <v>41</v>
      </c>
      <c r="L320" s="433" t="s">
        <v>593</v>
      </c>
      <c r="M320">
        <v>41</v>
      </c>
      <c r="N320" s="433" t="s">
        <v>594</v>
      </c>
      <c r="O320" s="153" t="str">
        <f>IF(L320&lt;&gt;"",IFERROR(VLOOKUP(B320&amp;L320,Pools!$A$2:$D$130,3,FALSE),""),"")</f>
        <v/>
      </c>
      <c r="P320" s="388">
        <v>2</v>
      </c>
      <c r="Q320" s="388">
        <v>3</v>
      </c>
      <c r="R320" s="306" t="str">
        <f t="shared" si="180"/>
        <v>2-3</v>
      </c>
      <c r="S320" s="153"/>
      <c r="T320" s="148" t="str">
        <f t="shared" si="181"/>
        <v>Completed</v>
      </c>
      <c r="U320" s="153"/>
      <c r="V320" s="153"/>
      <c r="W320" s="387">
        <f t="shared" si="182"/>
        <v>-1</v>
      </c>
      <c r="X320" s="387">
        <f t="shared" si="183"/>
        <v>1</v>
      </c>
      <c r="Y320" s="301">
        <f t="shared" si="184"/>
        <v>0</v>
      </c>
      <c r="Z320" s="301">
        <f t="shared" si="185"/>
        <v>2</v>
      </c>
      <c r="AA320" s="323" t="str">
        <f>CONCATENATE("                x[team1,team2,sport,'",IF(OR(I320="x",I320=""),VLOOKUP('Schedule from TM'!J320,Tables!$P$3:$Q$33,2,FALSE),'Schedule from TM'!I320),",",J320,"','",IF(OR(F320="x",F320=""),VLOOKUP('Schedule from TM'!G320,Tables!$U$3:$V$14,2,FALSE),'Schedule from TM'!F320),",",TEXT(G320,"mm/dd/yyyy"),"','",TEXT(H320,"h:mm:ss AM/PM"),"'].ub=0.0      #",B320)</f>
        <v xml:space="preserve">                x[team1,team2,sport,'11,JCC Back Field 4','11,11/23/2017','1:50:00 PM'].ub=0.0      #Ch D Male Mini Soccer</v>
      </c>
      <c r="AB320" s="301" t="str">
        <f t="shared" si="186"/>
        <v>,,Ch D Male Mini Soccer,,1,CHILD DM - COL 1</v>
      </c>
      <c r="AC320" s="153" t="str">
        <f t="shared" si="187"/>
        <v>Ch D Male Mini SoccerCHILD DM - COL 1</v>
      </c>
      <c r="AD320" s="301" t="str">
        <f t="shared" si="188"/>
        <v>,,Ch D Male Mini Soccer,,1,CHILD DM - PER</v>
      </c>
      <c r="AE320" s="153" t="str">
        <f t="shared" si="189"/>
        <v>Ch D Male Mini SoccerCHILD DM - PER</v>
      </c>
      <c r="AF320" s="383">
        <f t="shared" si="190"/>
        <v>0</v>
      </c>
      <c r="AG320" s="383">
        <f t="shared" si="191"/>
        <v>1</v>
      </c>
      <c r="AH320" s="383">
        <f t="shared" si="192"/>
        <v>0</v>
      </c>
      <c r="AI320" s="383">
        <f t="shared" si="193"/>
        <v>1</v>
      </c>
      <c r="AJ320" s="383">
        <f t="shared" si="194"/>
        <v>0</v>
      </c>
      <c r="AK320" s="383">
        <f t="shared" si="195"/>
        <v>0</v>
      </c>
      <c r="AM320" s="148" t="str">
        <f t="shared" si="196"/>
        <v>Schedulled</v>
      </c>
      <c r="AN320" s="148" t="str">
        <f t="shared" si="197"/>
        <v/>
      </c>
      <c r="AO320" s="156">
        <f t="shared" si="198"/>
        <v>43062.576388888891</v>
      </c>
      <c r="AP320" s="148" t="str">
        <f t="shared" si="199"/>
        <v>11/23/2017 13:50-&gt;JCC Back Field 4</v>
      </c>
      <c r="AQ320" s="374">
        <f t="shared" si="200"/>
        <v>1</v>
      </c>
      <c r="AR320" s="148" t="str">
        <f t="shared" si="201"/>
        <v>COL1</v>
      </c>
      <c r="AS320" s="148" t="str">
        <f t="shared" si="202"/>
        <v>PER</v>
      </c>
      <c r="AT320" s="157" t="str">
        <f t="shared" si="203"/>
        <v>COL1-PER</v>
      </c>
      <c r="AU320" s="157" t="str">
        <f t="shared" si="204"/>
        <v xml:space="preserve">COL1-PER </v>
      </c>
      <c r="AV320" s="157" t="str">
        <f t="shared" si="205"/>
        <v>CHILDREN D MALE</v>
      </c>
      <c r="AW320" s="157" t="str">
        <f t="shared" si="206"/>
        <v>Soccer</v>
      </c>
      <c r="AX320" s="376">
        <f t="shared" si="207"/>
        <v>318</v>
      </c>
      <c r="AY320" s="148" t="str">
        <f t="shared" si="208"/>
        <v>CHILD DM - COL 1-&gt;CHILD DM - PER</v>
      </c>
      <c r="AZ320" s="148" t="str">
        <f t="shared" si="209"/>
        <v>11/23/2017 13:50-&gt;CHILD DM - COL 1</v>
      </c>
      <c r="BA320" s="148" t="str">
        <f t="shared" si="210"/>
        <v>11/23/2017 13:50-&gt;CHILD DM - PER</v>
      </c>
      <c r="BB320" s="374">
        <f t="shared" si="211"/>
        <v>1</v>
      </c>
      <c r="BC320" s="374">
        <f t="shared" si="212"/>
        <v>1</v>
      </c>
      <c r="BD320" s="148" t="str">
        <f t="shared" si="213"/>
        <v>no conflict</v>
      </c>
      <c r="BF320" s="148" t="str">
        <f t="shared" si="214"/>
        <v>11/23/2017 13:50-&gt;CHILD DM - COL 1</v>
      </c>
      <c r="BG320" s="148" t="str">
        <f t="shared" si="215"/>
        <v>11/23/2017 13:50-&gt;CHILD DM - PER</v>
      </c>
      <c r="BH320" s="148" t="str">
        <f t="shared" si="216"/>
        <v>11/23/2017 13:50-&gt;JCC Back Field 4</v>
      </c>
      <c r="BI320" s="148" t="str">
        <f t="shared" si="217"/>
        <v>Soccer in JCC Back Field 4 (COL1-PER)</v>
      </c>
      <c r="BJ320" s="148" t="str">
        <f t="shared" si="218"/>
        <v>Ch D Male Mini Soccer-- CHILD DM - COL 1 vs. CHILD DM - PER</v>
      </c>
      <c r="BK320" s="148" t="str">
        <f t="shared" si="219"/>
        <v>Soccer</v>
      </c>
      <c r="BL320" s="148" t="str">
        <f t="shared" si="220"/>
        <v>CHILD DM - COL 1</v>
      </c>
      <c r="BM320" s="148" t="str">
        <f t="shared" si="221"/>
        <v>CHILD DM - PER</v>
      </c>
      <c r="BN320" s="148" t="str">
        <f t="shared" si="222"/>
        <v>Round - 1</v>
      </c>
      <c r="BP320" s="148" t="str">
        <f t="shared" si="223"/>
        <v>no t, f, or sf</v>
      </c>
      <c r="BQ320" s="148" t="str">
        <f t="shared" si="224"/>
        <v/>
      </c>
    </row>
    <row r="321" spans="1:83" ht="15" customHeight="1" x14ac:dyDescent="0.2">
      <c r="A321" s="376">
        <v>319</v>
      </c>
      <c r="B321" s="441" t="s">
        <v>53</v>
      </c>
      <c r="C321" s="441" t="s">
        <v>518</v>
      </c>
      <c r="D321" s="450">
        <v>1</v>
      </c>
      <c r="E321" s="450">
        <v>1</v>
      </c>
      <c r="F321" s="315" t="s">
        <v>770</v>
      </c>
      <c r="G321" s="320">
        <v>43062</v>
      </c>
      <c r="H321" s="317">
        <v>0.57638888888888895</v>
      </c>
      <c r="I321" s="325" t="s">
        <v>770</v>
      </c>
      <c r="J321" s="441" t="s">
        <v>693</v>
      </c>
      <c r="K321" s="441">
        <v>41</v>
      </c>
      <c r="L321" t="s">
        <v>592</v>
      </c>
      <c r="M321">
        <v>41</v>
      </c>
      <c r="N321" t="s">
        <v>597</v>
      </c>
      <c r="O321" s="153" t="str">
        <f>IF(L321&lt;&gt;"",IFERROR(VLOOKUP(B321&amp;L321,Pools!$A$2:$D$130,3,FALSE),""),"")</f>
        <v/>
      </c>
      <c r="P321" s="388">
        <v>3</v>
      </c>
      <c r="Q321" s="388">
        <v>2</v>
      </c>
      <c r="R321" s="306" t="str">
        <f t="shared" si="180"/>
        <v>3-2</v>
      </c>
      <c r="S321" s="153"/>
      <c r="T321" s="148" t="str">
        <f t="shared" si="181"/>
        <v>Completed</v>
      </c>
      <c r="U321" s="153"/>
      <c r="V321" s="153"/>
      <c r="W321" s="387">
        <f t="shared" si="182"/>
        <v>1</v>
      </c>
      <c r="X321" s="387">
        <f t="shared" si="183"/>
        <v>-1</v>
      </c>
      <c r="Y321" s="301">
        <f t="shared" si="184"/>
        <v>2</v>
      </c>
      <c r="Z321" s="301">
        <f t="shared" si="185"/>
        <v>0</v>
      </c>
      <c r="AA321" s="323" t="str">
        <f>CONCATENATE("                x[team1,team2,sport,'",IF(OR(I321="x",I321=""),VLOOKUP('Schedule from TM'!J321,Tables!$P$3:$Q$33,2,FALSE),'Schedule from TM'!I321),",",J321,"','",IF(OR(F321="x",F321=""),VLOOKUP('Schedule from TM'!G321,Tables!$U$3:$V$14,2,FALSE),'Schedule from TM'!F321),",",TEXT(G321,"mm/dd/yyyy"),"','",TEXT(H321,"h:mm:ss AM/PM"),"'].ub=0.0      #",B321)</f>
        <v xml:space="preserve">                x[team1,team2,sport,'11,JCC Back Field 2','11,11/23/2017','1:50:00 PM'].ub=0.0      #Ch D Male Mini Soccer</v>
      </c>
      <c r="AB321" s="301" t="str">
        <f t="shared" si="186"/>
        <v>,,Ch D Male Mini Soccer,,1,CHILD DM - ARG 1</v>
      </c>
      <c r="AC321" s="153" t="str">
        <f t="shared" si="187"/>
        <v>Ch D Male Mini SoccerCHILD DM - ARG 1</v>
      </c>
      <c r="AD321" s="301" t="str">
        <f t="shared" si="188"/>
        <v>,,Ch D Male Mini Soccer,,1,CHILD DM - VEN 1</v>
      </c>
      <c r="AE321" s="153" t="str">
        <f t="shared" si="189"/>
        <v>Ch D Male Mini SoccerCHILD DM - VEN 1</v>
      </c>
      <c r="AF321" s="383">
        <f t="shared" si="190"/>
        <v>1</v>
      </c>
      <c r="AG321" s="383">
        <f t="shared" si="191"/>
        <v>0</v>
      </c>
      <c r="AH321" s="383">
        <f t="shared" si="192"/>
        <v>0</v>
      </c>
      <c r="AI321" s="383">
        <f t="shared" si="193"/>
        <v>0</v>
      </c>
      <c r="AJ321" s="383">
        <f t="shared" si="194"/>
        <v>1</v>
      </c>
      <c r="AK321" s="383">
        <f t="shared" si="195"/>
        <v>0</v>
      </c>
      <c r="AM321" s="148" t="str">
        <f t="shared" si="196"/>
        <v>Schedulled</v>
      </c>
      <c r="AN321" s="148" t="str">
        <f t="shared" si="197"/>
        <v/>
      </c>
      <c r="AO321" s="156">
        <f t="shared" si="198"/>
        <v>43062.576388888891</v>
      </c>
      <c r="AP321" s="148" t="str">
        <f t="shared" si="199"/>
        <v>11/23/2017 13:50-&gt;JCC Back Field 2</v>
      </c>
      <c r="AQ321" s="374">
        <f t="shared" si="200"/>
        <v>1</v>
      </c>
      <c r="AR321" s="148" t="str">
        <f t="shared" si="201"/>
        <v>ARG1</v>
      </c>
      <c r="AS321" s="148" t="str">
        <f t="shared" si="202"/>
        <v>VEN1</v>
      </c>
      <c r="AT321" s="157" t="str">
        <f t="shared" si="203"/>
        <v>ARG1-VEN1</v>
      </c>
      <c r="AU321" s="157" t="str">
        <f t="shared" si="204"/>
        <v xml:space="preserve">ARG1-VEN1 </v>
      </c>
      <c r="AV321" s="157" t="str">
        <f t="shared" si="205"/>
        <v>CHILDREN D MALE</v>
      </c>
      <c r="AW321" s="157" t="str">
        <f t="shared" si="206"/>
        <v>Soccer</v>
      </c>
      <c r="AX321" s="376">
        <f t="shared" si="207"/>
        <v>319</v>
      </c>
      <c r="AY321" s="148" t="str">
        <f t="shared" si="208"/>
        <v>CHILD DM - ARG 1-&gt;CHILD DM - VEN 1</v>
      </c>
      <c r="AZ321" s="148" t="str">
        <f t="shared" si="209"/>
        <v>11/23/2017 13:50-&gt;CHILD DM - ARG 1</v>
      </c>
      <c r="BA321" s="148" t="str">
        <f t="shared" si="210"/>
        <v>11/23/2017 13:50-&gt;CHILD DM - VEN 1</v>
      </c>
      <c r="BB321" s="374">
        <f t="shared" si="211"/>
        <v>1</v>
      </c>
      <c r="BC321" s="374">
        <f t="shared" si="212"/>
        <v>1</v>
      </c>
      <c r="BD321" s="148" t="str">
        <f t="shared" si="213"/>
        <v>no conflict</v>
      </c>
      <c r="BF321" s="148" t="str">
        <f t="shared" si="214"/>
        <v>11/23/2017 13:50-&gt;CHILD DM - ARG 1</v>
      </c>
      <c r="BG321" s="148" t="str">
        <f t="shared" si="215"/>
        <v>11/23/2017 13:50-&gt;CHILD DM - VEN 1</v>
      </c>
      <c r="BH321" s="148" t="str">
        <f t="shared" si="216"/>
        <v>11/23/2017 13:50-&gt;JCC Back Field 2</v>
      </c>
      <c r="BI321" s="148" t="str">
        <f t="shared" si="217"/>
        <v>Soccer in JCC Back Field 2 (ARG1-VEN1)</v>
      </c>
      <c r="BJ321" s="148" t="str">
        <f t="shared" si="218"/>
        <v>Ch D Male Mini Soccer-- CHILD DM - ARG 1 vs. CHILD DM - VEN 1</v>
      </c>
      <c r="BK321" s="148" t="str">
        <f t="shared" si="219"/>
        <v>Soccer</v>
      </c>
      <c r="BL321" s="148" t="str">
        <f t="shared" si="220"/>
        <v>CHILD DM - ARG 1</v>
      </c>
      <c r="BM321" s="148" t="str">
        <f t="shared" si="221"/>
        <v>CHILD DM - VEN 1</v>
      </c>
      <c r="BN321" s="148" t="str">
        <f t="shared" si="222"/>
        <v>Round - 1</v>
      </c>
      <c r="BP321" s="148" t="str">
        <f t="shared" si="223"/>
        <v>no t, f, or sf</v>
      </c>
      <c r="BQ321" s="148" t="str">
        <f t="shared" si="224"/>
        <v/>
      </c>
    </row>
    <row r="322" spans="1:83" ht="15" customHeight="1" x14ac:dyDescent="0.2">
      <c r="A322" s="376">
        <v>320</v>
      </c>
      <c r="B322" t="s">
        <v>53</v>
      </c>
      <c r="C322" s="315" t="s">
        <v>518</v>
      </c>
      <c r="D322" s="378">
        <v>1</v>
      </c>
      <c r="E322" s="378">
        <v>1</v>
      </c>
      <c r="F322" s="315" t="s">
        <v>770</v>
      </c>
      <c r="G322" s="316">
        <v>43063</v>
      </c>
      <c r="H322" s="454">
        <v>0.33333333333333331</v>
      </c>
      <c r="I322" s="325" t="s">
        <v>770</v>
      </c>
      <c r="J322" s="315" t="s">
        <v>694</v>
      </c>
      <c r="K322" s="315">
        <v>41</v>
      </c>
      <c r="L322" t="s">
        <v>602</v>
      </c>
      <c r="M322">
        <v>41</v>
      </c>
      <c r="N322" t="s">
        <v>600</v>
      </c>
      <c r="O322" s="153" t="str">
        <f>IF(L322&lt;&gt;"",IFERROR(VLOOKUP(B322&amp;L322,Pools!$A$2:$D$130,3,FALSE),""),"")</f>
        <v/>
      </c>
      <c r="P322" s="388">
        <v>6</v>
      </c>
      <c r="Q322" s="388">
        <v>0</v>
      </c>
      <c r="R322" s="306" t="str">
        <f t="shared" si="180"/>
        <v>6-0</v>
      </c>
      <c r="S322" s="153"/>
      <c r="T322" s="148" t="str">
        <f t="shared" si="181"/>
        <v>Completed</v>
      </c>
      <c r="U322" s="153"/>
      <c r="V322" s="153"/>
      <c r="W322" s="387">
        <f t="shared" si="182"/>
        <v>3</v>
      </c>
      <c r="X322" s="387">
        <f t="shared" si="183"/>
        <v>-3</v>
      </c>
      <c r="Y322" s="301">
        <f t="shared" si="184"/>
        <v>2</v>
      </c>
      <c r="Z322" s="301">
        <f t="shared" si="185"/>
        <v>0</v>
      </c>
      <c r="AA322" s="323" t="str">
        <f>CONCATENATE("                x[team1,team2,sport,'",IF(OR(I322="x",I322=""),VLOOKUP('Schedule from TM'!J322,Tables!$P$3:$Q$33,2,FALSE),'Schedule from TM'!I322),",",J322,"','",IF(OR(F322="x",F322=""),VLOOKUP('Schedule from TM'!G322,Tables!$U$3:$V$14,2,FALSE),'Schedule from TM'!F322),",",TEXT(G322,"mm/dd/yyyy"),"','",TEXT(H322,"h:mm:ss AM/PM"),"'].ub=0.0      #",B322)</f>
        <v xml:space="preserve">                x[team1,team2,sport,'11,JCC Back Field 4','11,11/24/2017','8:00:00 AM'].ub=0.0      #Ch D Male Mini Soccer</v>
      </c>
      <c r="AB322" s="301" t="str">
        <f t="shared" si="186"/>
        <v>,,Ch D Male Mini Soccer,,1,CHILD DM - VEN 2</v>
      </c>
      <c r="AC322" s="153" t="str">
        <f t="shared" si="187"/>
        <v>Ch D Male Mini SoccerCHILD DM - VEN 2</v>
      </c>
      <c r="AD322" s="301" t="str">
        <f t="shared" si="188"/>
        <v>,,Ch D Male Mini Soccer,,1,CHILD DM - ISR 1</v>
      </c>
      <c r="AE322" s="153" t="str">
        <f t="shared" si="189"/>
        <v>Ch D Male Mini SoccerCHILD DM - ISR 1</v>
      </c>
      <c r="AF322" s="383">
        <f t="shared" si="190"/>
        <v>1</v>
      </c>
      <c r="AG322" s="383">
        <f t="shared" si="191"/>
        <v>0</v>
      </c>
      <c r="AH322" s="383">
        <f t="shared" si="192"/>
        <v>0</v>
      </c>
      <c r="AI322" s="383">
        <f t="shared" si="193"/>
        <v>0</v>
      </c>
      <c r="AJ322" s="383">
        <f t="shared" si="194"/>
        <v>1</v>
      </c>
      <c r="AK322" s="383">
        <f t="shared" si="195"/>
        <v>0</v>
      </c>
      <c r="AM322" s="148" t="str">
        <f t="shared" si="196"/>
        <v>Schedulled</v>
      </c>
      <c r="AN322" s="148" t="str">
        <f t="shared" si="197"/>
        <v/>
      </c>
      <c r="AO322" s="156">
        <f t="shared" si="198"/>
        <v>43063.333333333336</v>
      </c>
      <c r="AP322" s="148" t="str">
        <f t="shared" si="199"/>
        <v>11/24/2017 08:00-&gt;JCC Back Field 4</v>
      </c>
      <c r="AQ322" s="374">
        <f t="shared" si="200"/>
        <v>1</v>
      </c>
      <c r="AR322" s="148" t="str">
        <f t="shared" si="201"/>
        <v>VEN2</v>
      </c>
      <c r="AS322" s="148" t="str">
        <f t="shared" si="202"/>
        <v>ISR1</v>
      </c>
      <c r="AT322" s="157" t="str">
        <f t="shared" si="203"/>
        <v>VEN2-ISR1</v>
      </c>
      <c r="AU322" s="157" t="str">
        <f t="shared" si="204"/>
        <v xml:space="preserve">VEN2-ISR1 </v>
      </c>
      <c r="AV322" s="157" t="str">
        <f t="shared" si="205"/>
        <v>CHILDREN D MALE</v>
      </c>
      <c r="AW322" s="157" t="str">
        <f t="shared" si="206"/>
        <v>Soccer</v>
      </c>
      <c r="AX322" s="376">
        <f t="shared" si="207"/>
        <v>320</v>
      </c>
      <c r="AY322" s="148" t="str">
        <f t="shared" si="208"/>
        <v>CHILD DM - VEN 2-&gt;CHILD DM - ISR 1</v>
      </c>
      <c r="AZ322" s="148" t="str">
        <f t="shared" si="209"/>
        <v>11/24/2017 08:00-&gt;CHILD DM - VEN 2</v>
      </c>
      <c r="BA322" s="148" t="str">
        <f t="shared" si="210"/>
        <v>11/24/2017 08:00-&gt;CHILD DM - ISR 1</v>
      </c>
      <c r="BB322" s="374">
        <f t="shared" si="211"/>
        <v>1</v>
      </c>
      <c r="BC322" s="374">
        <f t="shared" si="212"/>
        <v>1</v>
      </c>
      <c r="BD322" s="148" t="str">
        <f t="shared" si="213"/>
        <v>no conflict</v>
      </c>
      <c r="BF322" s="148" t="str">
        <f t="shared" si="214"/>
        <v>11/24/2017 08:00-&gt;CHILD DM - VEN 2</v>
      </c>
      <c r="BG322" s="148" t="str">
        <f t="shared" si="215"/>
        <v>11/24/2017 08:00-&gt;CHILD DM - ISR 1</v>
      </c>
      <c r="BH322" s="148" t="str">
        <f t="shared" si="216"/>
        <v>11/24/2017 08:00-&gt;JCC Back Field 4</v>
      </c>
      <c r="BI322" s="148" t="str">
        <f t="shared" si="217"/>
        <v>Soccer in JCC Back Field 4 (VEN2-ISR1)</v>
      </c>
      <c r="BJ322" s="148" t="str">
        <f t="shared" si="218"/>
        <v>Ch D Male Mini Soccer-- CHILD DM - VEN 2 vs. CHILD DM - ISR 1</v>
      </c>
      <c r="BK322" s="148" t="str">
        <f t="shared" si="219"/>
        <v>Soccer</v>
      </c>
      <c r="BL322" s="148" t="str">
        <f t="shared" si="220"/>
        <v>CHILD DM - VEN 2</v>
      </c>
      <c r="BM322" s="148" t="str">
        <f t="shared" si="221"/>
        <v>CHILD DM - ISR 1</v>
      </c>
      <c r="BN322" s="148" t="str">
        <f t="shared" si="222"/>
        <v>Round - 1</v>
      </c>
      <c r="BP322" s="148" t="str">
        <f t="shared" si="223"/>
        <v>no t, f, or sf</v>
      </c>
      <c r="BQ322" s="148" t="str">
        <f t="shared" si="224"/>
        <v/>
      </c>
    </row>
    <row r="323" spans="1:83" ht="15" customHeight="1" x14ac:dyDescent="0.2">
      <c r="A323" s="376">
        <v>321</v>
      </c>
      <c r="B323" t="s">
        <v>53</v>
      </c>
      <c r="C323" s="315" t="s">
        <v>518</v>
      </c>
      <c r="D323" s="378">
        <v>1</v>
      </c>
      <c r="E323" s="378">
        <v>1</v>
      </c>
      <c r="F323" s="315" t="s">
        <v>770</v>
      </c>
      <c r="G323" s="316">
        <v>43063</v>
      </c>
      <c r="H323" s="454">
        <v>0.36805555555555558</v>
      </c>
      <c r="I323" s="325" t="s">
        <v>770</v>
      </c>
      <c r="J323" s="443" t="s">
        <v>694</v>
      </c>
      <c r="K323" s="315">
        <v>41</v>
      </c>
      <c r="L323" t="s">
        <v>593</v>
      </c>
      <c r="M323">
        <v>41</v>
      </c>
      <c r="N323" t="s">
        <v>601</v>
      </c>
      <c r="O323" s="153" t="str">
        <f>IF(L323&lt;&gt;"",IFERROR(VLOOKUP(B323&amp;L323,Pools!$A$2:$D$130,3,FALSE),""),"")</f>
        <v/>
      </c>
      <c r="P323" s="388">
        <v>1</v>
      </c>
      <c r="Q323" s="388">
        <v>4</v>
      </c>
      <c r="R323" s="306" t="str">
        <f t="shared" si="180"/>
        <v>1-4</v>
      </c>
      <c r="S323" s="153"/>
      <c r="T323" s="148" t="str">
        <f t="shared" si="181"/>
        <v>Completed</v>
      </c>
      <c r="U323" s="153"/>
      <c r="V323" s="153"/>
      <c r="W323" s="387">
        <f t="shared" si="182"/>
        <v>-3</v>
      </c>
      <c r="X323" s="387">
        <f t="shared" si="183"/>
        <v>3</v>
      </c>
      <c r="Y323" s="301">
        <f t="shared" si="184"/>
        <v>0</v>
      </c>
      <c r="Z323" s="301">
        <f t="shared" si="185"/>
        <v>2</v>
      </c>
      <c r="AA323" s="323" t="str">
        <f>CONCATENATE("                x[team1,team2,sport,'",IF(OR(I323="x",I323=""),VLOOKUP('Schedule from TM'!J323,Tables!$P$3:$Q$33,2,FALSE),'Schedule from TM'!I323),",",J323,"','",IF(OR(F323="x",F323=""),VLOOKUP('Schedule from TM'!G323,Tables!$U$3:$V$14,2,FALSE),'Schedule from TM'!F323),",",TEXT(G323,"mm/dd/yyyy"),"','",TEXT(H323,"h:mm:ss AM/PM"),"'].ub=0.0      #",B323)</f>
        <v xml:space="preserve">                x[team1,team2,sport,'11,JCC Back Field 4','11,11/24/2017','8:50:00 AM'].ub=0.0      #Ch D Male Mini Soccer</v>
      </c>
      <c r="AB323" s="301" t="str">
        <f t="shared" si="186"/>
        <v>,,Ch D Male Mini Soccer,,1,CHILD DM - COL 1</v>
      </c>
      <c r="AC323" s="153" t="str">
        <f t="shared" si="187"/>
        <v>Ch D Male Mini SoccerCHILD DM - COL 1</v>
      </c>
      <c r="AD323" s="301" t="str">
        <f t="shared" si="188"/>
        <v>,,Ch D Male Mini Soccer,,1,CHILD DM - MEX</v>
      </c>
      <c r="AE323" s="153" t="str">
        <f t="shared" si="189"/>
        <v>Ch D Male Mini SoccerCHILD DM - MEX</v>
      </c>
      <c r="AF323" s="383">
        <f t="shared" si="190"/>
        <v>0</v>
      </c>
      <c r="AG323" s="383">
        <f t="shared" si="191"/>
        <v>1</v>
      </c>
      <c r="AH323" s="383">
        <f t="shared" si="192"/>
        <v>0</v>
      </c>
      <c r="AI323" s="383">
        <f t="shared" si="193"/>
        <v>1</v>
      </c>
      <c r="AJ323" s="383">
        <f t="shared" si="194"/>
        <v>0</v>
      </c>
      <c r="AK323" s="383">
        <f t="shared" si="195"/>
        <v>0</v>
      </c>
      <c r="AM323" s="148" t="str">
        <f t="shared" si="196"/>
        <v>Schedulled</v>
      </c>
      <c r="AN323" s="148" t="str">
        <f t="shared" si="197"/>
        <v/>
      </c>
      <c r="AO323" s="156">
        <f t="shared" si="198"/>
        <v>43063.368055555555</v>
      </c>
      <c r="AP323" s="148" t="str">
        <f t="shared" si="199"/>
        <v>11/24/2017 08:50-&gt;JCC Back Field 4</v>
      </c>
      <c r="AQ323" s="374">
        <f t="shared" si="200"/>
        <v>1</v>
      </c>
      <c r="AR323" s="148" t="str">
        <f t="shared" si="201"/>
        <v>COL1</v>
      </c>
      <c r="AS323" s="148" t="str">
        <f t="shared" si="202"/>
        <v>MEX</v>
      </c>
      <c r="AT323" s="157" t="str">
        <f t="shared" si="203"/>
        <v>COL1-MEX</v>
      </c>
      <c r="AU323" s="157" t="str">
        <f t="shared" si="204"/>
        <v xml:space="preserve">COL1-MEX </v>
      </c>
      <c r="AV323" s="157" t="str">
        <f t="shared" si="205"/>
        <v>CHILDREN D MALE</v>
      </c>
      <c r="AW323" s="157" t="str">
        <f t="shared" si="206"/>
        <v>Soccer</v>
      </c>
      <c r="AX323" s="376">
        <f t="shared" si="207"/>
        <v>321</v>
      </c>
      <c r="AY323" s="148" t="str">
        <f t="shared" si="208"/>
        <v>CHILD DM - COL 1-&gt;CHILD DM - MEX</v>
      </c>
      <c r="AZ323" s="148" t="str">
        <f t="shared" si="209"/>
        <v>11/24/2017 08:50-&gt;CHILD DM - COL 1</v>
      </c>
      <c r="BA323" s="148" t="str">
        <f t="shared" si="210"/>
        <v>11/24/2017 08:50-&gt;CHILD DM - MEX</v>
      </c>
      <c r="BB323" s="374">
        <f t="shared" si="211"/>
        <v>1</v>
      </c>
      <c r="BC323" s="374">
        <f t="shared" si="212"/>
        <v>1</v>
      </c>
      <c r="BD323" s="148" t="str">
        <f t="shared" si="213"/>
        <v>no conflict</v>
      </c>
      <c r="BF323" s="148" t="str">
        <f t="shared" si="214"/>
        <v>11/24/2017 08:50-&gt;CHILD DM - COL 1</v>
      </c>
      <c r="BG323" s="148" t="str">
        <f t="shared" si="215"/>
        <v>11/24/2017 08:50-&gt;CHILD DM - MEX</v>
      </c>
      <c r="BH323" s="148" t="str">
        <f t="shared" si="216"/>
        <v>11/24/2017 08:50-&gt;JCC Back Field 4</v>
      </c>
      <c r="BI323" s="148" t="str">
        <f t="shared" si="217"/>
        <v>Soccer in JCC Back Field 4 (COL1-MEX)</v>
      </c>
      <c r="BJ323" s="148" t="str">
        <f t="shared" si="218"/>
        <v>Ch D Male Mini Soccer-- CHILD DM - COL 1 vs. CHILD DM - MEX</v>
      </c>
      <c r="BK323" s="148" t="str">
        <f t="shared" si="219"/>
        <v>Soccer</v>
      </c>
      <c r="BL323" s="148" t="str">
        <f t="shared" si="220"/>
        <v>CHILD DM - COL 1</v>
      </c>
      <c r="BM323" s="148" t="str">
        <f t="shared" si="221"/>
        <v>CHILD DM - MEX</v>
      </c>
      <c r="BN323" s="148" t="str">
        <f t="shared" si="222"/>
        <v>Round - 1</v>
      </c>
      <c r="BP323" s="148" t="str">
        <f t="shared" si="223"/>
        <v>no t, f, or sf</v>
      </c>
      <c r="BQ323" s="148" t="str">
        <f t="shared" si="224"/>
        <v/>
      </c>
    </row>
    <row r="324" spans="1:83" ht="15" customHeight="1" x14ac:dyDescent="0.2">
      <c r="A324" s="376">
        <v>322</v>
      </c>
      <c r="B324" s="444" t="s">
        <v>53</v>
      </c>
      <c r="C324" s="315" t="s">
        <v>518</v>
      </c>
      <c r="D324" s="378">
        <v>1</v>
      </c>
      <c r="E324" s="378">
        <v>1</v>
      </c>
      <c r="F324" s="315" t="s">
        <v>770</v>
      </c>
      <c r="G324" s="316">
        <v>43063</v>
      </c>
      <c r="H324" s="454">
        <v>0.47222222222222227</v>
      </c>
      <c r="I324" s="325" t="s">
        <v>770</v>
      </c>
      <c r="J324" s="443" t="s">
        <v>694</v>
      </c>
      <c r="K324" s="315">
        <v>41</v>
      </c>
      <c r="L324" t="s">
        <v>600</v>
      </c>
      <c r="M324">
        <v>41</v>
      </c>
      <c r="N324" t="s">
        <v>601</v>
      </c>
      <c r="O324" s="153" t="str">
        <f>IF(L324&lt;&gt;"",IFERROR(VLOOKUP(B324&amp;L324,Pools!$A$2:$D$130,3,FALSE),""),"")</f>
        <v/>
      </c>
      <c r="P324" s="388">
        <v>0</v>
      </c>
      <c r="Q324" s="388">
        <v>7</v>
      </c>
      <c r="R324" s="306" t="str">
        <f t="shared" si="180"/>
        <v>0-7</v>
      </c>
      <c r="S324" s="153"/>
      <c r="T324" s="148" t="str">
        <f t="shared" si="181"/>
        <v>Completed</v>
      </c>
      <c r="U324" s="153"/>
      <c r="V324" s="153"/>
      <c r="W324" s="387">
        <f t="shared" si="182"/>
        <v>-3</v>
      </c>
      <c r="X324" s="387">
        <f t="shared" si="183"/>
        <v>3</v>
      </c>
      <c r="Y324" s="301">
        <f t="shared" si="184"/>
        <v>0</v>
      </c>
      <c r="Z324" s="301">
        <f t="shared" si="185"/>
        <v>2</v>
      </c>
      <c r="AA324" s="323" t="str">
        <f>CONCATENATE("                x[team1,team2,sport,'",IF(OR(I324="x",I324=""),VLOOKUP('Schedule from TM'!J324,Tables!$P$3:$Q$33,2,FALSE),'Schedule from TM'!I324),",",J324,"','",IF(OR(F324="x",F324=""),VLOOKUP('Schedule from TM'!G324,Tables!$U$3:$V$14,2,FALSE),'Schedule from TM'!F324),",",TEXT(G324,"mm/dd/yyyy"),"','",TEXT(H324,"h:mm:ss AM/PM"),"'].ub=0.0      #",B324)</f>
        <v xml:space="preserve">                x[team1,team2,sport,'11,JCC Back Field 4','11,11/24/2017','11:20:00 AM'].ub=0.0      #Ch D Male Mini Soccer</v>
      </c>
      <c r="AB324" s="301" t="str">
        <f t="shared" si="186"/>
        <v>,,Ch D Male Mini Soccer,,1,CHILD DM - ISR 1</v>
      </c>
      <c r="AC324" s="153" t="str">
        <f t="shared" si="187"/>
        <v>Ch D Male Mini SoccerCHILD DM - ISR 1</v>
      </c>
      <c r="AD324" s="301" t="str">
        <f t="shared" si="188"/>
        <v>,,Ch D Male Mini Soccer,,1,CHILD DM - MEX</v>
      </c>
      <c r="AE324" s="153" t="str">
        <f t="shared" si="189"/>
        <v>Ch D Male Mini SoccerCHILD DM - MEX</v>
      </c>
      <c r="AF324" s="383">
        <f t="shared" si="190"/>
        <v>0</v>
      </c>
      <c r="AG324" s="383">
        <f t="shared" si="191"/>
        <v>1</v>
      </c>
      <c r="AH324" s="383">
        <f t="shared" si="192"/>
        <v>0</v>
      </c>
      <c r="AI324" s="383">
        <f t="shared" si="193"/>
        <v>1</v>
      </c>
      <c r="AJ324" s="383">
        <f t="shared" si="194"/>
        <v>0</v>
      </c>
      <c r="AK324" s="383">
        <f t="shared" si="195"/>
        <v>0</v>
      </c>
      <c r="AM324" s="148" t="str">
        <f t="shared" si="196"/>
        <v>Schedulled</v>
      </c>
      <c r="AN324" s="148" t="str">
        <f t="shared" si="197"/>
        <v/>
      </c>
      <c r="AO324" s="156">
        <f t="shared" si="198"/>
        <v>43063.472222222219</v>
      </c>
      <c r="AP324" s="148" t="str">
        <f t="shared" si="199"/>
        <v>11/24/2017 11:20-&gt;JCC Back Field 4</v>
      </c>
      <c r="AQ324" s="374">
        <f t="shared" si="200"/>
        <v>1</v>
      </c>
      <c r="AR324" s="148" t="str">
        <f t="shared" si="201"/>
        <v>ISR1</v>
      </c>
      <c r="AS324" s="148" t="str">
        <f t="shared" si="202"/>
        <v>MEX</v>
      </c>
      <c r="AT324" s="157" t="str">
        <f t="shared" si="203"/>
        <v>ISR1-MEX</v>
      </c>
      <c r="AU324" s="157" t="str">
        <f t="shared" si="204"/>
        <v xml:space="preserve">ISR1-MEX </v>
      </c>
      <c r="AV324" s="157" t="str">
        <f t="shared" si="205"/>
        <v>CHILDREN D MALE</v>
      </c>
      <c r="AW324" s="157" t="str">
        <f t="shared" si="206"/>
        <v>Soccer</v>
      </c>
      <c r="AX324" s="376">
        <f t="shared" si="207"/>
        <v>322</v>
      </c>
      <c r="AY324" s="148" t="str">
        <f t="shared" si="208"/>
        <v>CHILD DM - ISR 1-&gt;CHILD DM - MEX</v>
      </c>
      <c r="AZ324" s="148" t="str">
        <f t="shared" si="209"/>
        <v>11/24/2017 11:20-&gt;CHILD DM - ISR 1</v>
      </c>
      <c r="BA324" s="148" t="str">
        <f t="shared" si="210"/>
        <v>11/24/2017 11:20-&gt;CHILD DM - MEX</v>
      </c>
      <c r="BB324" s="374">
        <f t="shared" si="211"/>
        <v>1</v>
      </c>
      <c r="BC324" s="374">
        <f t="shared" si="212"/>
        <v>1</v>
      </c>
      <c r="BD324" s="148" t="str">
        <f t="shared" si="213"/>
        <v>no conflict</v>
      </c>
      <c r="BF324" s="148" t="str">
        <f t="shared" si="214"/>
        <v>11/24/2017 11:20-&gt;CHILD DM - ISR 1</v>
      </c>
      <c r="BG324" s="148" t="str">
        <f t="shared" si="215"/>
        <v>11/24/2017 11:20-&gt;CHILD DM - MEX</v>
      </c>
      <c r="BH324" s="148" t="str">
        <f t="shared" si="216"/>
        <v>11/24/2017 11:20-&gt;JCC Back Field 4</v>
      </c>
      <c r="BI324" s="148" t="str">
        <f t="shared" si="217"/>
        <v>Soccer in JCC Back Field 4 (ISR1-MEX)</v>
      </c>
      <c r="BJ324" s="148" t="str">
        <f t="shared" si="218"/>
        <v>Ch D Male Mini Soccer-- CHILD DM - ISR 1 vs. CHILD DM - MEX</v>
      </c>
      <c r="BK324" s="148" t="str">
        <f t="shared" si="219"/>
        <v>Soccer</v>
      </c>
      <c r="BL324" s="148" t="str">
        <f t="shared" si="220"/>
        <v>CHILD DM - ISR 1</v>
      </c>
      <c r="BM324" s="148" t="str">
        <f t="shared" si="221"/>
        <v>CHILD DM - MEX</v>
      </c>
      <c r="BN324" s="148" t="str">
        <f t="shared" si="222"/>
        <v>Round - 1</v>
      </c>
      <c r="BP324" s="148" t="str">
        <f t="shared" si="223"/>
        <v>no t, f, or sf</v>
      </c>
      <c r="BQ324" s="148" t="str">
        <f t="shared" si="224"/>
        <v/>
      </c>
    </row>
    <row r="325" spans="1:83" ht="15" customHeight="1" x14ac:dyDescent="0.2">
      <c r="A325" s="376">
        <v>323</v>
      </c>
      <c r="B325" s="444" t="s">
        <v>59</v>
      </c>
      <c r="C325" s="315" t="s">
        <v>518</v>
      </c>
      <c r="D325" s="378">
        <v>1</v>
      </c>
      <c r="E325" s="378">
        <v>1</v>
      </c>
      <c r="F325" s="315" t="s">
        <v>770</v>
      </c>
      <c r="G325" s="316">
        <v>43058</v>
      </c>
      <c r="H325" s="317">
        <v>0.57638888888888895</v>
      </c>
      <c r="I325" s="325" t="s">
        <v>770</v>
      </c>
      <c r="J325" s="315" t="s">
        <v>707</v>
      </c>
      <c r="K325" s="315">
        <v>53</v>
      </c>
      <c r="L325" s="444" t="s">
        <v>605</v>
      </c>
      <c r="M325" s="444">
        <v>53</v>
      </c>
      <c r="N325" s="444" t="s">
        <v>608</v>
      </c>
      <c r="O325" s="153" t="str">
        <f>IF(L325&lt;&gt;"",IFERROR(VLOOKUP(B325&amp;L325,Pools!$A$2:$D$130,3,FALSE),""),"")</f>
        <v/>
      </c>
      <c r="P325" s="388">
        <v>0</v>
      </c>
      <c r="Q325" s="388">
        <v>20</v>
      </c>
      <c r="R325" s="306" t="str">
        <f t="shared" si="180"/>
        <v>0-20</v>
      </c>
      <c r="S325" s="153"/>
      <c r="T325" s="148" t="str">
        <f t="shared" si="181"/>
        <v>Completed</v>
      </c>
      <c r="U325" s="153"/>
      <c r="V325" s="153"/>
      <c r="W325" s="387">
        <f t="shared" si="182"/>
        <v>-15</v>
      </c>
      <c r="X325" s="387">
        <f t="shared" si="183"/>
        <v>15</v>
      </c>
      <c r="Y325" s="301">
        <f t="shared" si="184"/>
        <v>0</v>
      </c>
      <c r="Z325" s="301">
        <f t="shared" si="185"/>
        <v>2</v>
      </c>
      <c r="AA325" s="323" t="str">
        <f>CONCATENATE("                x[team1,team2,sport,'",IF(OR(I325="x",I325=""),VLOOKUP('Schedule from TM'!J325,Tables!$P$3:$Q$33,2,FALSE),'Schedule from TM'!I325),",",J325,"','",IF(OR(F325="x",F325=""),VLOOKUP('Schedule from TM'!G325,Tables!$U$3:$V$14,2,FALSE),'Schedule from TM'!F325),",",TEXT(G325,"mm/dd/yyyy"),"','",TEXT(H325,"h:mm:ss AM/PM"),"'].ub=0.0      #",B325)</f>
        <v xml:space="preserve">                x[team1,team2,sport,'21,Hillel - Gym Basketball','11,11/19/2017','1:50:00 PM'].ub=0.0      #Ch E Female Basketball</v>
      </c>
      <c r="AB325" s="301" t="str">
        <f t="shared" si="186"/>
        <v>,,Ch E Female Basketball,,1,CHILD EF - ARG 1</v>
      </c>
      <c r="AC325" s="153" t="str">
        <f t="shared" si="187"/>
        <v>Ch E Female BasketballCHILD EF - ARG 1</v>
      </c>
      <c r="AD325" s="301" t="str">
        <f t="shared" si="188"/>
        <v>,,Ch E Female Basketball,,1,CHILD EF - MEX</v>
      </c>
      <c r="AE325" s="153" t="str">
        <f t="shared" si="189"/>
        <v>Ch E Female BasketballCHILD EF - MEX</v>
      </c>
      <c r="AF325" s="383">
        <f t="shared" si="190"/>
        <v>0</v>
      </c>
      <c r="AG325" s="383">
        <f t="shared" si="191"/>
        <v>1</v>
      </c>
      <c r="AH325" s="383">
        <f t="shared" si="192"/>
        <v>0</v>
      </c>
      <c r="AI325" s="383">
        <f t="shared" si="193"/>
        <v>1</v>
      </c>
      <c r="AJ325" s="383">
        <f t="shared" si="194"/>
        <v>0</v>
      </c>
      <c r="AK325" s="383">
        <f t="shared" si="195"/>
        <v>0</v>
      </c>
      <c r="AM325" s="148" t="str">
        <f t="shared" si="196"/>
        <v>Schedulled</v>
      </c>
      <c r="AN325" s="148" t="str">
        <f t="shared" si="197"/>
        <v/>
      </c>
      <c r="AO325" s="156">
        <f t="shared" si="198"/>
        <v>43058.576388888891</v>
      </c>
      <c r="AP325" s="148" t="str">
        <f t="shared" si="199"/>
        <v>11/19/2017 13:50-&gt;Hillel - Gym Basketball</v>
      </c>
      <c r="AQ325" s="374">
        <f t="shared" si="200"/>
        <v>1</v>
      </c>
      <c r="AR325" s="148" t="str">
        <f t="shared" si="201"/>
        <v>ARG1</v>
      </c>
      <c r="AS325" s="148" t="str">
        <f t="shared" si="202"/>
        <v>MEX</v>
      </c>
      <c r="AT325" s="157" t="str">
        <f t="shared" si="203"/>
        <v>ARG1-MEX</v>
      </c>
      <c r="AU325" s="157" t="str">
        <f t="shared" si="204"/>
        <v xml:space="preserve">ARG1-MEX </v>
      </c>
      <c r="AV325" s="157" t="str">
        <f t="shared" si="205"/>
        <v>CHILDREN E FEMALE</v>
      </c>
      <c r="AW325" s="157" t="str">
        <f t="shared" si="206"/>
        <v>Basketball</v>
      </c>
      <c r="AX325" s="376">
        <f t="shared" si="207"/>
        <v>323</v>
      </c>
      <c r="AY325" s="148" t="str">
        <f t="shared" si="208"/>
        <v>CHILD EF - ARG 1-&gt;CHILD EF - MEX</v>
      </c>
      <c r="AZ325" s="148" t="str">
        <f t="shared" si="209"/>
        <v>11/19/2017 13:50-&gt;CHILD EF - ARG 1</v>
      </c>
      <c r="BA325" s="148" t="str">
        <f t="shared" si="210"/>
        <v>11/19/2017 13:50-&gt;CHILD EF - MEX</v>
      </c>
      <c r="BB325" s="374">
        <f t="shared" si="211"/>
        <v>1</v>
      </c>
      <c r="BC325" s="374">
        <f t="shared" si="212"/>
        <v>1</v>
      </c>
      <c r="BD325" s="148" t="str">
        <f t="shared" si="213"/>
        <v>no conflict</v>
      </c>
      <c r="BF325" s="148" t="str">
        <f t="shared" si="214"/>
        <v>11/19/2017 13:50-&gt;CHILD EF - ARG 1</v>
      </c>
      <c r="BG325" s="148" t="str">
        <f t="shared" si="215"/>
        <v>11/19/2017 13:50-&gt;CHILD EF - MEX</v>
      </c>
      <c r="BH325" s="148" t="str">
        <f t="shared" si="216"/>
        <v>11/19/2017 13:50-&gt;Hillel - Gym Basketball</v>
      </c>
      <c r="BI325" s="148" t="str">
        <f t="shared" si="217"/>
        <v>Basketball in Hillel - Gym Basketball (ARG1-MEX)</v>
      </c>
      <c r="BJ325" s="148" t="str">
        <f t="shared" si="218"/>
        <v>Ch E Female Basketball-- CHILD EF - ARG 1 vs. CHILD EF - MEX</v>
      </c>
      <c r="BK325" s="148" t="str">
        <f t="shared" si="219"/>
        <v>Basketball</v>
      </c>
      <c r="BL325" s="148" t="str">
        <f t="shared" si="220"/>
        <v>CHILD EF - ARG 1</v>
      </c>
      <c r="BM325" s="148" t="str">
        <f t="shared" si="221"/>
        <v>CHILD EF - MEX</v>
      </c>
      <c r="BN325" s="148" t="str">
        <f t="shared" si="222"/>
        <v>Round - 1</v>
      </c>
      <c r="BP325" s="148" t="str">
        <f t="shared" si="223"/>
        <v>no t, f, or sf</v>
      </c>
      <c r="BQ325" s="148" t="str">
        <f t="shared" si="224"/>
        <v/>
      </c>
    </row>
    <row r="326" spans="1:83" ht="15" customHeight="1" x14ac:dyDescent="0.2">
      <c r="A326" s="376">
        <v>324</v>
      </c>
      <c r="B326" s="444" t="s">
        <v>59</v>
      </c>
      <c r="C326" s="315" t="s">
        <v>518</v>
      </c>
      <c r="D326" s="378">
        <v>1</v>
      </c>
      <c r="E326" s="378">
        <v>1</v>
      </c>
      <c r="F326" s="315" t="s">
        <v>770</v>
      </c>
      <c r="G326" s="316">
        <v>43058</v>
      </c>
      <c r="H326" s="317">
        <v>0.57638888888888895</v>
      </c>
      <c r="I326" s="325" t="s">
        <v>770</v>
      </c>
      <c r="J326" s="443" t="s">
        <v>702</v>
      </c>
      <c r="K326" s="315">
        <v>53</v>
      </c>
      <c r="L326" s="444" t="s">
        <v>606</v>
      </c>
      <c r="M326" s="444">
        <v>53</v>
      </c>
      <c r="N326" s="444" t="s">
        <v>607</v>
      </c>
      <c r="O326" s="153" t="str">
        <f>IF(L326&lt;&gt;"",IFERROR(VLOOKUP(B326&amp;L326,Pools!$A$2:$D$130,3,FALSE),""),"")</f>
        <v/>
      </c>
      <c r="P326" s="388">
        <v>4</v>
      </c>
      <c r="Q326" s="388">
        <v>5</v>
      </c>
      <c r="R326" s="306" t="str">
        <f t="shared" si="180"/>
        <v>4-5</v>
      </c>
      <c r="S326" s="153"/>
      <c r="T326" s="148" t="str">
        <f t="shared" si="181"/>
        <v>Completed</v>
      </c>
      <c r="U326" s="153"/>
      <c r="V326" s="153"/>
      <c r="W326" s="387">
        <f t="shared" si="182"/>
        <v>-1</v>
      </c>
      <c r="X326" s="387">
        <f t="shared" si="183"/>
        <v>1</v>
      </c>
      <c r="Y326" s="301">
        <f t="shared" si="184"/>
        <v>0</v>
      </c>
      <c r="Z326" s="301">
        <f t="shared" si="185"/>
        <v>2</v>
      </c>
      <c r="AA326" s="323" t="str">
        <f>CONCATENATE("                x[team1,team2,sport,'",IF(OR(I326="x",I326=""),VLOOKUP('Schedule from TM'!J326,Tables!$P$3:$Q$33,2,FALSE),'Schedule from TM'!I326),",",J326,"','",IF(OR(F326="x",F326=""),VLOOKUP('Schedule from TM'!G326,Tables!$U$3:$V$14,2,FALSE),'Schedule from TM'!F326),",",TEXT(G326,"mm/dd/yyyy"),"','",TEXT(H326,"h:mm:ss AM/PM"),"'].ub=0.0      #",B326)</f>
        <v xml:space="preserve">                x[team1,team2,sport,'22,Hillel - Basketball Out','11,11/19/2017','1:50:00 PM'].ub=0.0      #Ch E Female Basketball</v>
      </c>
      <c r="AB326" s="301" t="str">
        <f t="shared" si="186"/>
        <v>,,Ch E Female Basketball,,1,CHILD EF - COL 1</v>
      </c>
      <c r="AC326" s="153" t="str">
        <f t="shared" si="187"/>
        <v>Ch E Female BasketballCHILD EF - COL 1</v>
      </c>
      <c r="AD326" s="301" t="str">
        <f t="shared" si="188"/>
        <v>,,Ch E Female Basketball,,1,CHILD EF - ISR 1</v>
      </c>
      <c r="AE326" s="153" t="str">
        <f t="shared" si="189"/>
        <v>Ch E Female BasketballCHILD EF - ISR 1</v>
      </c>
      <c r="AF326" s="383">
        <f t="shared" si="190"/>
        <v>0</v>
      </c>
      <c r="AG326" s="383">
        <f t="shared" si="191"/>
        <v>1</v>
      </c>
      <c r="AH326" s="383">
        <f t="shared" si="192"/>
        <v>0</v>
      </c>
      <c r="AI326" s="383">
        <f t="shared" si="193"/>
        <v>1</v>
      </c>
      <c r="AJ326" s="383">
        <f t="shared" si="194"/>
        <v>0</v>
      </c>
      <c r="AK326" s="383">
        <f t="shared" si="195"/>
        <v>0</v>
      </c>
      <c r="AM326" s="148" t="str">
        <f t="shared" si="196"/>
        <v>Schedulled</v>
      </c>
      <c r="AN326" s="148" t="str">
        <f t="shared" si="197"/>
        <v/>
      </c>
      <c r="AO326" s="156">
        <f t="shared" si="198"/>
        <v>43058.576388888891</v>
      </c>
      <c r="AP326" s="148" t="str">
        <f t="shared" si="199"/>
        <v>11/19/2017 13:50-&gt;Hillel - Basketball Out</v>
      </c>
      <c r="AQ326" s="374">
        <f t="shared" si="200"/>
        <v>1</v>
      </c>
      <c r="AR326" s="148" t="str">
        <f t="shared" si="201"/>
        <v>COL1</v>
      </c>
      <c r="AS326" s="148" t="str">
        <f t="shared" si="202"/>
        <v>ISR1</v>
      </c>
      <c r="AT326" s="157" t="str">
        <f t="shared" si="203"/>
        <v>COL1-ISR1</v>
      </c>
      <c r="AU326" s="157" t="str">
        <f t="shared" si="204"/>
        <v xml:space="preserve">COL1-ISR1 </v>
      </c>
      <c r="AV326" s="157" t="str">
        <f t="shared" si="205"/>
        <v>CHILDREN E FEMALE</v>
      </c>
      <c r="AW326" s="157" t="str">
        <f t="shared" si="206"/>
        <v>Basketball</v>
      </c>
      <c r="AX326" s="376">
        <f t="shared" si="207"/>
        <v>324</v>
      </c>
      <c r="AY326" s="148" t="str">
        <f t="shared" si="208"/>
        <v>CHILD EF - COL 1-&gt;CHILD EF - ISR 1</v>
      </c>
      <c r="AZ326" s="148" t="str">
        <f t="shared" si="209"/>
        <v>11/19/2017 13:50-&gt;CHILD EF - COL 1</v>
      </c>
      <c r="BA326" s="148" t="str">
        <f t="shared" si="210"/>
        <v>11/19/2017 13:50-&gt;CHILD EF - ISR 1</v>
      </c>
      <c r="BB326" s="374">
        <f t="shared" si="211"/>
        <v>1</v>
      </c>
      <c r="BC326" s="374">
        <f t="shared" si="212"/>
        <v>1</v>
      </c>
      <c r="BD326" s="148" t="str">
        <f t="shared" si="213"/>
        <v>no conflict</v>
      </c>
      <c r="BF326" s="148" t="str">
        <f t="shared" si="214"/>
        <v>11/19/2017 13:50-&gt;CHILD EF - COL 1</v>
      </c>
      <c r="BG326" s="148" t="str">
        <f t="shared" si="215"/>
        <v>11/19/2017 13:50-&gt;CHILD EF - ISR 1</v>
      </c>
      <c r="BH326" s="148" t="str">
        <f t="shared" si="216"/>
        <v>11/19/2017 13:50-&gt;Hillel - Basketball Out</v>
      </c>
      <c r="BI326" s="148" t="str">
        <f t="shared" si="217"/>
        <v>Basketball in Hillel - Basketball Out (COL1-ISR1)</v>
      </c>
      <c r="BJ326" s="148" t="str">
        <f t="shared" si="218"/>
        <v>Ch E Female Basketball-- CHILD EF - COL 1 vs. CHILD EF - ISR 1</v>
      </c>
      <c r="BK326" s="148" t="str">
        <f t="shared" si="219"/>
        <v>Basketball</v>
      </c>
      <c r="BL326" s="148" t="str">
        <f t="shared" si="220"/>
        <v>CHILD EF - COL 1</v>
      </c>
      <c r="BM326" s="148" t="str">
        <f t="shared" si="221"/>
        <v>CHILD EF - ISR 1</v>
      </c>
      <c r="BN326" s="148" t="str">
        <f t="shared" si="222"/>
        <v>Round - 1</v>
      </c>
      <c r="BP326" s="148" t="str">
        <f t="shared" si="223"/>
        <v>no t, f, or sf</v>
      </c>
      <c r="BQ326" s="148" t="str">
        <f t="shared" si="224"/>
        <v/>
      </c>
    </row>
    <row r="327" spans="1:83" ht="15" customHeight="1" x14ac:dyDescent="0.2">
      <c r="A327" s="376">
        <v>325</v>
      </c>
      <c r="B327" s="441" t="s">
        <v>59</v>
      </c>
      <c r="C327" s="441" t="s">
        <v>518</v>
      </c>
      <c r="D327" s="450">
        <v>1</v>
      </c>
      <c r="E327" s="450">
        <v>1</v>
      </c>
      <c r="F327" s="315" t="s">
        <v>770</v>
      </c>
      <c r="G327" s="320">
        <v>43058</v>
      </c>
      <c r="H327" s="317">
        <v>0.61111111111111105</v>
      </c>
      <c r="I327" s="325" t="s">
        <v>770</v>
      </c>
      <c r="J327" s="441" t="s">
        <v>702</v>
      </c>
      <c r="K327" s="441">
        <v>53</v>
      </c>
      <c r="L327" s="441" t="s">
        <v>611</v>
      </c>
      <c r="M327" s="441">
        <v>53</v>
      </c>
      <c r="N327" s="441" t="s">
        <v>609</v>
      </c>
      <c r="O327" s="153" t="str">
        <f>IF(L327&lt;&gt;"",IFERROR(VLOOKUP(B327&amp;L327,Pools!$A$2:$D$130,3,FALSE),""),"")</f>
        <v/>
      </c>
      <c r="P327" s="388">
        <v>4</v>
      </c>
      <c r="Q327" s="388">
        <v>7</v>
      </c>
      <c r="R327" s="306" t="str">
        <f t="shared" si="180"/>
        <v>4-7</v>
      </c>
      <c r="S327" s="153"/>
      <c r="T327" s="148" t="str">
        <f t="shared" si="181"/>
        <v>Completed</v>
      </c>
      <c r="U327" s="153"/>
      <c r="V327" s="153"/>
      <c r="W327" s="387">
        <f t="shared" si="182"/>
        <v>-3</v>
      </c>
      <c r="X327" s="387">
        <f t="shared" si="183"/>
        <v>3</v>
      </c>
      <c r="Y327" s="301">
        <f t="shared" si="184"/>
        <v>0</v>
      </c>
      <c r="Z327" s="301">
        <f t="shared" si="185"/>
        <v>2</v>
      </c>
      <c r="AA327" s="323" t="str">
        <f>CONCATENATE("                x[team1,team2,sport,'",IF(OR(I327="x",I327=""),VLOOKUP('Schedule from TM'!J327,Tables!$P$3:$Q$33,2,FALSE),'Schedule from TM'!I327),",",J327,"','",IF(OR(F327="x",F327=""),VLOOKUP('Schedule from TM'!G327,Tables!$U$3:$V$14,2,FALSE),'Schedule from TM'!F327),",",TEXT(G327,"mm/dd/yyyy"),"','",TEXT(H327,"h:mm:ss AM/PM"),"'].ub=0.0      #",B327)</f>
        <v xml:space="preserve">                x[team1,team2,sport,'22,Hillel - Basketball Out','11,11/19/2017','2:40:00 PM'].ub=0.0      #Ch E Female Basketball</v>
      </c>
      <c r="AB327" s="301" t="str">
        <f t="shared" si="186"/>
        <v>,,Ch E Female Basketball,,1,CHILD EF - COL 2</v>
      </c>
      <c r="AC327" s="153" t="str">
        <f t="shared" si="187"/>
        <v>Ch E Female BasketballCHILD EF - COL 2</v>
      </c>
      <c r="AD327" s="301" t="str">
        <f t="shared" si="188"/>
        <v>,,Ch E Female Basketball,,1,CHILD EF - USA 1</v>
      </c>
      <c r="AE327" s="153" t="str">
        <f t="shared" si="189"/>
        <v>Ch E Female BasketballCHILD EF - USA 1</v>
      </c>
      <c r="AF327" s="383">
        <f t="shared" si="190"/>
        <v>0</v>
      </c>
      <c r="AG327" s="383">
        <f t="shared" si="191"/>
        <v>1</v>
      </c>
      <c r="AH327" s="383">
        <f t="shared" si="192"/>
        <v>0</v>
      </c>
      <c r="AI327" s="383">
        <f t="shared" si="193"/>
        <v>1</v>
      </c>
      <c r="AJ327" s="383">
        <f t="shared" si="194"/>
        <v>0</v>
      </c>
      <c r="AK327" s="383">
        <f t="shared" si="195"/>
        <v>0</v>
      </c>
      <c r="AM327" s="148" t="str">
        <f t="shared" si="196"/>
        <v>Schedulled</v>
      </c>
      <c r="AN327" s="148" t="str">
        <f t="shared" si="197"/>
        <v/>
      </c>
      <c r="AO327" s="156">
        <f t="shared" si="198"/>
        <v>43058.611111111109</v>
      </c>
      <c r="AP327" s="148" t="str">
        <f t="shared" si="199"/>
        <v>11/19/2017 14:40-&gt;Hillel - Basketball Out</v>
      </c>
      <c r="AQ327" s="374">
        <f t="shared" si="200"/>
        <v>1</v>
      </c>
      <c r="AR327" s="148" t="str">
        <f t="shared" si="201"/>
        <v>COL2</v>
      </c>
      <c r="AS327" s="148" t="str">
        <f t="shared" si="202"/>
        <v>USA1</v>
      </c>
      <c r="AT327" s="157" t="str">
        <f t="shared" si="203"/>
        <v>COL2-USA1</v>
      </c>
      <c r="AU327" s="157" t="str">
        <f t="shared" si="204"/>
        <v xml:space="preserve">COL2-USA1 </v>
      </c>
      <c r="AV327" s="157" t="str">
        <f t="shared" si="205"/>
        <v>CHILDREN E FEMALE</v>
      </c>
      <c r="AW327" s="157" t="str">
        <f t="shared" si="206"/>
        <v>Basketball</v>
      </c>
      <c r="AX327" s="376">
        <f t="shared" si="207"/>
        <v>325</v>
      </c>
      <c r="AY327" s="148" t="str">
        <f t="shared" si="208"/>
        <v>CHILD EF - COL 2-&gt;CHILD EF - USA 1</v>
      </c>
      <c r="AZ327" s="148" t="str">
        <f t="shared" si="209"/>
        <v>11/19/2017 14:40-&gt;CHILD EF - COL 2</v>
      </c>
      <c r="BA327" s="148" t="str">
        <f t="shared" si="210"/>
        <v>11/19/2017 14:40-&gt;CHILD EF - USA 1</v>
      </c>
      <c r="BB327" s="374">
        <f t="shared" si="211"/>
        <v>1</v>
      </c>
      <c r="BC327" s="374">
        <f t="shared" si="212"/>
        <v>1</v>
      </c>
      <c r="BD327" s="148" t="str">
        <f t="shared" si="213"/>
        <v>no conflict</v>
      </c>
      <c r="BF327" s="148" t="str">
        <f t="shared" si="214"/>
        <v>11/19/2017 14:40-&gt;CHILD EF - COL 2</v>
      </c>
      <c r="BG327" s="148" t="str">
        <f t="shared" si="215"/>
        <v>11/19/2017 14:40-&gt;CHILD EF - USA 1</v>
      </c>
      <c r="BH327" s="148" t="str">
        <f t="shared" si="216"/>
        <v>11/19/2017 14:40-&gt;Hillel - Basketball Out</v>
      </c>
      <c r="BI327" s="148" t="str">
        <f t="shared" si="217"/>
        <v>Basketball in Hillel - Basketball Out (COL2-USA1)</v>
      </c>
      <c r="BJ327" s="148" t="str">
        <f t="shared" si="218"/>
        <v>Ch E Female Basketball-- CHILD EF - COL 2 vs. CHILD EF - USA 1</v>
      </c>
      <c r="BK327" s="148" t="str">
        <f t="shared" si="219"/>
        <v>Basketball</v>
      </c>
      <c r="BL327" s="148" t="str">
        <f t="shared" si="220"/>
        <v>CHILD EF - COL 2</v>
      </c>
      <c r="BM327" s="148" t="str">
        <f t="shared" si="221"/>
        <v>CHILD EF - USA 1</v>
      </c>
      <c r="BN327" s="148" t="str">
        <f t="shared" si="222"/>
        <v>Round - 1</v>
      </c>
      <c r="BP327" s="148" t="str">
        <f t="shared" si="223"/>
        <v>no t, f, or sf</v>
      </c>
      <c r="BQ327" s="148" t="str">
        <f t="shared" si="224"/>
        <v/>
      </c>
    </row>
    <row r="328" spans="1:83" ht="15" customHeight="1" x14ac:dyDescent="0.2">
      <c r="A328" s="376">
        <v>326</v>
      </c>
      <c r="B328" s="328" t="s">
        <v>59</v>
      </c>
      <c r="C328" s="315" t="s">
        <v>518</v>
      </c>
      <c r="D328" s="378">
        <v>1</v>
      </c>
      <c r="E328" s="378">
        <v>1</v>
      </c>
      <c r="F328" s="315" t="s">
        <v>770</v>
      </c>
      <c r="G328" s="316">
        <v>43058</v>
      </c>
      <c r="H328" s="317">
        <v>0.75</v>
      </c>
      <c r="I328" s="325" t="s">
        <v>770</v>
      </c>
      <c r="J328" s="315" t="s">
        <v>707</v>
      </c>
      <c r="K328" s="315">
        <v>53</v>
      </c>
      <c r="L328" s="441" t="s">
        <v>611</v>
      </c>
      <c r="M328" s="444">
        <v>53</v>
      </c>
      <c r="N328" s="441" t="s">
        <v>612</v>
      </c>
      <c r="O328" s="153" t="str">
        <f>IF(L328&lt;&gt;"",IFERROR(VLOOKUP(B328&amp;L328,Pools!$A$2:$D$130,3,FALSE),""),"")</f>
        <v/>
      </c>
      <c r="P328" s="388">
        <v>10</v>
      </c>
      <c r="Q328" s="388">
        <v>24</v>
      </c>
      <c r="R328" s="306" t="str">
        <f t="shared" si="180"/>
        <v>10-24</v>
      </c>
      <c r="S328" s="153"/>
      <c r="T328" s="148" t="str">
        <f t="shared" si="181"/>
        <v>Completed</v>
      </c>
      <c r="U328" s="153"/>
      <c r="V328" s="153"/>
      <c r="W328" s="387">
        <f t="shared" si="182"/>
        <v>-14</v>
      </c>
      <c r="X328" s="387">
        <f t="shared" si="183"/>
        <v>14</v>
      </c>
      <c r="Y328" s="301">
        <f t="shared" si="184"/>
        <v>0</v>
      </c>
      <c r="Z328" s="301">
        <f t="shared" si="185"/>
        <v>2</v>
      </c>
      <c r="AA328" s="323" t="str">
        <f>CONCATENATE("                x[team1,team2,sport,'",IF(OR(I328="x",I328=""),VLOOKUP('Schedule from TM'!J328,Tables!$P$3:$Q$33,2,FALSE),'Schedule from TM'!I328),",",J328,"','",IF(OR(F328="x",F328=""),VLOOKUP('Schedule from TM'!G328,Tables!$U$3:$V$14,2,FALSE),'Schedule from TM'!F328),",",TEXT(G328,"mm/dd/yyyy"),"','",TEXT(H328,"h:mm:ss AM/PM"),"'].ub=0.0      #",B328)</f>
        <v xml:space="preserve">                x[team1,team2,sport,'21,Hillel - Gym Basketball','11,11/19/2017','6:00:00 PM'].ub=0.0      #Ch E Female Basketball</v>
      </c>
      <c r="AB328" s="301" t="str">
        <f t="shared" si="186"/>
        <v>,,Ch E Female Basketball,,1,CHILD EF - COL 2</v>
      </c>
      <c r="AC328" s="153" t="str">
        <f t="shared" si="187"/>
        <v>Ch E Female BasketballCHILD EF - COL 2</v>
      </c>
      <c r="AD328" s="301" t="str">
        <f t="shared" si="188"/>
        <v>,,Ch E Female Basketball,,1,CHILD EF - PER</v>
      </c>
      <c r="AE328" s="153" t="str">
        <f t="shared" si="189"/>
        <v>Ch E Female BasketballCHILD EF - PER</v>
      </c>
      <c r="AF328" s="383">
        <f t="shared" si="190"/>
        <v>0</v>
      </c>
      <c r="AG328" s="383">
        <f t="shared" si="191"/>
        <v>1</v>
      </c>
      <c r="AH328" s="383">
        <f t="shared" si="192"/>
        <v>0</v>
      </c>
      <c r="AI328" s="383">
        <f t="shared" si="193"/>
        <v>1</v>
      </c>
      <c r="AJ328" s="383">
        <f t="shared" si="194"/>
        <v>0</v>
      </c>
      <c r="AK328" s="383">
        <f t="shared" si="195"/>
        <v>0</v>
      </c>
      <c r="AM328" s="148" t="str">
        <f t="shared" si="196"/>
        <v>Schedulled</v>
      </c>
      <c r="AN328" s="148" t="str">
        <f t="shared" si="197"/>
        <v/>
      </c>
      <c r="AO328" s="156">
        <f t="shared" si="198"/>
        <v>43058.75</v>
      </c>
      <c r="AP328" s="148" t="str">
        <f t="shared" si="199"/>
        <v>11/19/2017 18:00-&gt;Hillel - Gym Basketball</v>
      </c>
      <c r="AQ328" s="374">
        <f t="shared" si="200"/>
        <v>1</v>
      </c>
      <c r="AR328" s="148" t="str">
        <f t="shared" si="201"/>
        <v>COL2</v>
      </c>
      <c r="AS328" s="148" t="str">
        <f t="shared" si="202"/>
        <v>PER</v>
      </c>
      <c r="AT328" s="157" t="str">
        <f t="shared" si="203"/>
        <v>COL2-PER</v>
      </c>
      <c r="AU328" s="157" t="str">
        <f t="shared" si="204"/>
        <v xml:space="preserve">COL2-PER </v>
      </c>
      <c r="AV328" s="157" t="str">
        <f t="shared" si="205"/>
        <v>CHILDREN E FEMALE</v>
      </c>
      <c r="AW328" s="157" t="str">
        <f t="shared" si="206"/>
        <v>Basketball</v>
      </c>
      <c r="AX328" s="376">
        <f t="shared" si="207"/>
        <v>326</v>
      </c>
      <c r="AY328" s="148" t="str">
        <f t="shared" si="208"/>
        <v>CHILD EF - COL 2-&gt;CHILD EF - PER</v>
      </c>
      <c r="AZ328" s="148" t="str">
        <f t="shared" si="209"/>
        <v>11/19/2017 18:00-&gt;CHILD EF - COL 2</v>
      </c>
      <c r="BA328" s="148" t="str">
        <f t="shared" si="210"/>
        <v>11/19/2017 18:00-&gt;CHILD EF - PER</v>
      </c>
      <c r="BB328" s="374">
        <f t="shared" si="211"/>
        <v>1</v>
      </c>
      <c r="BC328" s="374">
        <f t="shared" si="212"/>
        <v>1</v>
      </c>
      <c r="BD328" s="148" t="str">
        <f t="shared" si="213"/>
        <v>no conflict</v>
      </c>
      <c r="BF328" s="148" t="str">
        <f t="shared" si="214"/>
        <v>11/19/2017 18:00-&gt;CHILD EF - COL 2</v>
      </c>
      <c r="BG328" s="148" t="str">
        <f t="shared" si="215"/>
        <v>11/19/2017 18:00-&gt;CHILD EF - PER</v>
      </c>
      <c r="BH328" s="148" t="str">
        <f t="shared" si="216"/>
        <v>11/19/2017 18:00-&gt;Hillel - Gym Basketball</v>
      </c>
      <c r="BI328" s="148" t="str">
        <f t="shared" si="217"/>
        <v>Basketball in Hillel - Gym Basketball (COL2-PER)</v>
      </c>
      <c r="BJ328" s="148" t="str">
        <f t="shared" si="218"/>
        <v>Ch E Female Basketball-- CHILD EF - COL 2 vs. CHILD EF - PER</v>
      </c>
      <c r="BK328" s="148" t="str">
        <f t="shared" si="219"/>
        <v>Basketball</v>
      </c>
      <c r="BL328" s="148" t="str">
        <f t="shared" si="220"/>
        <v>CHILD EF - COL 2</v>
      </c>
      <c r="BM328" s="148" t="str">
        <f t="shared" si="221"/>
        <v>CHILD EF - PER</v>
      </c>
      <c r="BN328" s="148" t="str">
        <f t="shared" si="222"/>
        <v>Round - 1</v>
      </c>
      <c r="BP328" s="148" t="str">
        <f t="shared" si="223"/>
        <v>no t, f, or sf</v>
      </c>
      <c r="BQ328" s="148" t="str">
        <f t="shared" si="224"/>
        <v/>
      </c>
    </row>
    <row r="329" spans="1:83" ht="15" customHeight="1" x14ac:dyDescent="0.2">
      <c r="A329" s="376">
        <v>327</v>
      </c>
      <c r="B329" s="444" t="s">
        <v>59</v>
      </c>
      <c r="C329" s="315" t="s">
        <v>518</v>
      </c>
      <c r="D329" s="378">
        <v>1</v>
      </c>
      <c r="E329" s="378">
        <v>1</v>
      </c>
      <c r="F329" s="315" t="s">
        <v>770</v>
      </c>
      <c r="G329" s="316">
        <v>43062</v>
      </c>
      <c r="H329" s="317">
        <v>0.36805555555555558</v>
      </c>
      <c r="I329" s="325" t="s">
        <v>770</v>
      </c>
      <c r="J329" s="444" t="s">
        <v>707</v>
      </c>
      <c r="K329" s="315">
        <v>53</v>
      </c>
      <c r="L329" s="444" t="s">
        <v>606</v>
      </c>
      <c r="M329" s="444">
        <v>53</v>
      </c>
      <c r="N329" s="444" t="s">
        <v>608</v>
      </c>
      <c r="O329" s="153" t="str">
        <f>IF(L329&lt;&gt;"",IFERROR(VLOOKUP(B329&amp;L329,Pools!$A$2:$D$130,3,FALSE),""),"")</f>
        <v/>
      </c>
      <c r="P329" s="388">
        <v>6</v>
      </c>
      <c r="Q329" s="388">
        <v>23</v>
      </c>
      <c r="R329" s="306" t="str">
        <f t="shared" si="180"/>
        <v>6-23</v>
      </c>
      <c r="S329" s="153"/>
      <c r="T329" s="148" t="str">
        <f t="shared" si="181"/>
        <v>Completed</v>
      </c>
      <c r="U329" s="153"/>
      <c r="V329" s="153"/>
      <c r="W329" s="387">
        <f t="shared" si="182"/>
        <v>-15</v>
      </c>
      <c r="X329" s="387">
        <f t="shared" si="183"/>
        <v>15</v>
      </c>
      <c r="Y329" s="301">
        <f t="shared" si="184"/>
        <v>0</v>
      </c>
      <c r="Z329" s="301">
        <f t="shared" si="185"/>
        <v>2</v>
      </c>
      <c r="AA329" s="323" t="str">
        <f>CONCATENATE("                x[team1,team2,sport,'",IF(OR(I329="x",I329=""),VLOOKUP('Schedule from TM'!J329,Tables!$P$3:$Q$33,2,FALSE),'Schedule from TM'!I329),",",J329,"','",IF(OR(F329="x",F329=""),VLOOKUP('Schedule from TM'!G329,Tables!$U$3:$V$14,2,FALSE),'Schedule from TM'!F329),",",TEXT(G329,"mm/dd/yyyy"),"','",TEXT(H329,"h:mm:ss AM/PM"),"'].ub=0.0      #",B329)</f>
        <v xml:space="preserve">                x[team1,team2,sport,'21,Hillel - Gym Basketball','11,11/23/2017','8:50:00 AM'].ub=0.0      #Ch E Female Basketball</v>
      </c>
      <c r="AB329" s="301" t="str">
        <f t="shared" si="186"/>
        <v>,,Ch E Female Basketball,,1,CHILD EF - COL 1</v>
      </c>
      <c r="AC329" s="153" t="str">
        <f t="shared" si="187"/>
        <v>Ch E Female BasketballCHILD EF - COL 1</v>
      </c>
      <c r="AD329" s="301" t="str">
        <f t="shared" si="188"/>
        <v>,,Ch E Female Basketball,,1,CHILD EF - MEX</v>
      </c>
      <c r="AE329" s="153" t="str">
        <f t="shared" si="189"/>
        <v>Ch E Female BasketballCHILD EF - MEX</v>
      </c>
      <c r="AF329" s="383">
        <f t="shared" si="190"/>
        <v>0</v>
      </c>
      <c r="AG329" s="383">
        <f t="shared" si="191"/>
        <v>1</v>
      </c>
      <c r="AH329" s="383">
        <f t="shared" si="192"/>
        <v>0</v>
      </c>
      <c r="AI329" s="383">
        <f t="shared" si="193"/>
        <v>1</v>
      </c>
      <c r="AJ329" s="383">
        <f t="shared" si="194"/>
        <v>0</v>
      </c>
      <c r="AK329" s="383">
        <f t="shared" si="195"/>
        <v>0</v>
      </c>
      <c r="AM329" s="148" t="str">
        <f t="shared" si="196"/>
        <v>Schedulled</v>
      </c>
      <c r="AN329" s="148" t="str">
        <f t="shared" si="197"/>
        <v/>
      </c>
      <c r="AO329" s="156">
        <f t="shared" si="198"/>
        <v>43062.368055555555</v>
      </c>
      <c r="AP329" s="148" t="str">
        <f t="shared" si="199"/>
        <v>11/23/2017 08:50-&gt;Hillel - Gym Basketball</v>
      </c>
      <c r="AQ329" s="374">
        <f t="shared" si="200"/>
        <v>1</v>
      </c>
      <c r="AR329" s="148" t="str">
        <f t="shared" si="201"/>
        <v>COL1</v>
      </c>
      <c r="AS329" s="148" t="str">
        <f t="shared" si="202"/>
        <v>MEX</v>
      </c>
      <c r="AT329" s="157" t="str">
        <f t="shared" si="203"/>
        <v>COL1-MEX</v>
      </c>
      <c r="AU329" s="157" t="str">
        <f t="shared" si="204"/>
        <v xml:space="preserve">COL1-MEX </v>
      </c>
      <c r="AV329" s="157" t="str">
        <f t="shared" si="205"/>
        <v>CHILDREN E FEMALE</v>
      </c>
      <c r="AW329" s="157" t="str">
        <f t="shared" si="206"/>
        <v>Basketball</v>
      </c>
      <c r="AX329" s="376">
        <f t="shared" si="207"/>
        <v>327</v>
      </c>
      <c r="AY329" s="148" t="str">
        <f t="shared" si="208"/>
        <v>CHILD EF - COL 1-&gt;CHILD EF - MEX</v>
      </c>
      <c r="AZ329" s="148" t="str">
        <f t="shared" si="209"/>
        <v>11/23/2017 08:50-&gt;CHILD EF - COL 1</v>
      </c>
      <c r="BA329" s="148" t="str">
        <f t="shared" si="210"/>
        <v>11/23/2017 08:50-&gt;CHILD EF - MEX</v>
      </c>
      <c r="BB329" s="374">
        <f t="shared" si="211"/>
        <v>1</v>
      </c>
      <c r="BC329" s="374">
        <f t="shared" si="212"/>
        <v>1</v>
      </c>
      <c r="BD329" s="148" t="str">
        <f t="shared" si="213"/>
        <v>no conflict</v>
      </c>
      <c r="BF329" s="148" t="str">
        <f t="shared" si="214"/>
        <v>11/23/2017 08:50-&gt;CHILD EF - COL 1</v>
      </c>
      <c r="BG329" s="148" t="str">
        <f t="shared" si="215"/>
        <v>11/23/2017 08:50-&gt;CHILD EF - MEX</v>
      </c>
      <c r="BH329" s="148" t="str">
        <f t="shared" si="216"/>
        <v>11/23/2017 08:50-&gt;Hillel - Gym Basketball</v>
      </c>
      <c r="BI329" s="148" t="str">
        <f t="shared" si="217"/>
        <v>Basketball in Hillel - Gym Basketball (COL1-MEX)</v>
      </c>
      <c r="BJ329" s="148" t="str">
        <f t="shared" si="218"/>
        <v>Ch E Female Basketball-- CHILD EF - COL 1 vs. CHILD EF - MEX</v>
      </c>
      <c r="BK329" s="148" t="str">
        <f t="shared" si="219"/>
        <v>Basketball</v>
      </c>
      <c r="BL329" s="148" t="str">
        <f t="shared" si="220"/>
        <v>CHILD EF - COL 1</v>
      </c>
      <c r="BM329" s="148" t="str">
        <f t="shared" si="221"/>
        <v>CHILD EF - MEX</v>
      </c>
      <c r="BN329" s="148" t="str">
        <f t="shared" si="222"/>
        <v>Round - 1</v>
      </c>
      <c r="BP329" s="148" t="str">
        <f t="shared" si="223"/>
        <v>no t, f, or sf</v>
      </c>
      <c r="BQ329" s="148" t="str">
        <f t="shared" si="224"/>
        <v/>
      </c>
    </row>
    <row r="330" spans="1:83" ht="15" customHeight="1" x14ac:dyDescent="0.2">
      <c r="A330" s="376">
        <v>328</v>
      </c>
      <c r="B330" s="444" t="s">
        <v>59</v>
      </c>
      <c r="C330" s="315" t="s">
        <v>518</v>
      </c>
      <c r="D330" s="378">
        <v>1</v>
      </c>
      <c r="E330" s="378">
        <v>1</v>
      </c>
      <c r="F330" s="315" t="s">
        <v>770</v>
      </c>
      <c r="G330" s="316">
        <v>43059</v>
      </c>
      <c r="H330" s="318">
        <v>0.81944444444444453</v>
      </c>
      <c r="I330" s="325" t="s">
        <v>770</v>
      </c>
      <c r="J330" s="444" t="s">
        <v>707</v>
      </c>
      <c r="K330" s="315">
        <v>53</v>
      </c>
      <c r="L330" s="444" t="s">
        <v>606</v>
      </c>
      <c r="M330" s="444">
        <v>53</v>
      </c>
      <c r="N330" s="444" t="s">
        <v>612</v>
      </c>
      <c r="O330" s="153" t="str">
        <f>IF(L330&lt;&gt;"",IFERROR(VLOOKUP(B330&amp;L330,Pools!$A$2:$D$130,3,FALSE),""),"")</f>
        <v/>
      </c>
      <c r="P330" s="388">
        <v>0</v>
      </c>
      <c r="Q330" s="388">
        <v>24</v>
      </c>
      <c r="R330" s="306" t="str">
        <f t="shared" si="180"/>
        <v>0-24</v>
      </c>
      <c r="S330" s="153"/>
      <c r="T330" s="148" t="str">
        <f t="shared" si="181"/>
        <v>Completed</v>
      </c>
      <c r="U330" s="153"/>
      <c r="V330" s="153"/>
      <c r="W330" s="387">
        <f t="shared" si="182"/>
        <v>-15</v>
      </c>
      <c r="X330" s="387">
        <f t="shared" si="183"/>
        <v>15</v>
      </c>
      <c r="Y330" s="301">
        <f t="shared" si="184"/>
        <v>0</v>
      </c>
      <c r="Z330" s="301">
        <f t="shared" si="185"/>
        <v>2</v>
      </c>
      <c r="AA330" s="323" t="str">
        <f>CONCATENATE("                x[team1,team2,sport,'",IF(OR(I330="x",I330=""),VLOOKUP('Schedule from TM'!J330,Tables!$P$3:$Q$33,2,FALSE),'Schedule from TM'!I330),",",J330,"','",IF(OR(F330="x",F330=""),VLOOKUP('Schedule from TM'!G330,Tables!$U$3:$V$14,2,FALSE),'Schedule from TM'!F330),",",TEXT(G330,"mm/dd/yyyy"),"','",TEXT(H330,"h:mm:ss AM/PM"),"'].ub=0.0      #",B330)</f>
        <v xml:space="preserve">                x[team1,team2,sport,'21,Hillel - Gym Basketball','22,11/20/2017','7:40:00 PM'].ub=0.0      #Ch E Female Basketball</v>
      </c>
      <c r="AB330" s="301" t="str">
        <f t="shared" si="186"/>
        <v>,,Ch E Female Basketball,,1,CHILD EF - COL 1</v>
      </c>
      <c r="AC330" s="153" t="str">
        <f t="shared" si="187"/>
        <v>Ch E Female BasketballCHILD EF - COL 1</v>
      </c>
      <c r="AD330" s="301" t="str">
        <f t="shared" si="188"/>
        <v>,,Ch E Female Basketball,,1,CHILD EF - PER</v>
      </c>
      <c r="AE330" s="153" t="str">
        <f t="shared" si="189"/>
        <v>Ch E Female BasketballCHILD EF - PER</v>
      </c>
      <c r="AF330" s="383">
        <f t="shared" si="190"/>
        <v>0</v>
      </c>
      <c r="AG330" s="383">
        <f t="shared" si="191"/>
        <v>1</v>
      </c>
      <c r="AH330" s="383">
        <f t="shared" si="192"/>
        <v>0</v>
      </c>
      <c r="AI330" s="383">
        <f t="shared" si="193"/>
        <v>1</v>
      </c>
      <c r="AJ330" s="383">
        <f t="shared" si="194"/>
        <v>0</v>
      </c>
      <c r="AK330" s="383">
        <f t="shared" si="195"/>
        <v>0</v>
      </c>
      <c r="AM330" s="148" t="str">
        <f t="shared" si="196"/>
        <v>Schedulled</v>
      </c>
      <c r="AN330" s="148" t="str">
        <f t="shared" si="197"/>
        <v/>
      </c>
      <c r="AO330" s="156">
        <f t="shared" si="198"/>
        <v>43059.819444444445</v>
      </c>
      <c r="AP330" s="148" t="str">
        <f t="shared" si="199"/>
        <v>11/20/2017 19:40-&gt;Hillel - Gym Basketball</v>
      </c>
      <c r="AQ330" s="374">
        <f t="shared" si="200"/>
        <v>1</v>
      </c>
      <c r="AR330" s="148" t="str">
        <f t="shared" si="201"/>
        <v>COL1</v>
      </c>
      <c r="AS330" s="148" t="str">
        <f t="shared" si="202"/>
        <v>PER</v>
      </c>
      <c r="AT330" s="157" t="str">
        <f t="shared" si="203"/>
        <v>COL1-PER</v>
      </c>
      <c r="AU330" s="157" t="str">
        <f t="shared" si="204"/>
        <v xml:space="preserve">COL1-PER </v>
      </c>
      <c r="AV330" s="157" t="str">
        <f t="shared" si="205"/>
        <v>CHILDREN E FEMALE</v>
      </c>
      <c r="AW330" s="157" t="str">
        <f t="shared" si="206"/>
        <v>Basketball</v>
      </c>
      <c r="AX330" s="376">
        <f t="shared" si="207"/>
        <v>328</v>
      </c>
      <c r="AY330" s="148" t="str">
        <f t="shared" si="208"/>
        <v>CHILD EF - COL 1-&gt;CHILD EF - PER</v>
      </c>
      <c r="AZ330" s="148" t="str">
        <f t="shared" si="209"/>
        <v>11/20/2017 19:40-&gt;CHILD EF - COL 1</v>
      </c>
      <c r="BA330" s="148" t="str">
        <f t="shared" si="210"/>
        <v>11/20/2017 19:40-&gt;CHILD EF - PER</v>
      </c>
      <c r="BB330" s="374">
        <f t="shared" si="211"/>
        <v>1</v>
      </c>
      <c r="BC330" s="374">
        <f t="shared" si="212"/>
        <v>1</v>
      </c>
      <c r="BD330" s="148" t="str">
        <f t="shared" si="213"/>
        <v>no conflict</v>
      </c>
      <c r="BF330" s="148" t="str">
        <f t="shared" si="214"/>
        <v>11/20/2017 19:40-&gt;CHILD EF - COL 1</v>
      </c>
      <c r="BG330" s="148" t="str">
        <f t="shared" si="215"/>
        <v>11/20/2017 19:40-&gt;CHILD EF - PER</v>
      </c>
      <c r="BH330" s="148" t="str">
        <f t="shared" si="216"/>
        <v>11/20/2017 19:40-&gt;Hillel - Gym Basketball</v>
      </c>
      <c r="BI330" s="148" t="str">
        <f t="shared" si="217"/>
        <v>Basketball in Hillel - Gym Basketball (COL1-PER)</v>
      </c>
      <c r="BJ330" s="148" t="str">
        <f t="shared" si="218"/>
        <v>Ch E Female Basketball-- CHILD EF - COL 1 vs. CHILD EF - PER</v>
      </c>
      <c r="BK330" s="148" t="str">
        <f t="shared" si="219"/>
        <v>Basketball</v>
      </c>
      <c r="BL330" s="148" t="str">
        <f t="shared" si="220"/>
        <v>CHILD EF - COL 1</v>
      </c>
      <c r="BM330" s="148" t="str">
        <f t="shared" si="221"/>
        <v>CHILD EF - PER</v>
      </c>
      <c r="BN330" s="148" t="str">
        <f t="shared" si="222"/>
        <v>Round - 1</v>
      </c>
      <c r="BP330" s="148" t="str">
        <f t="shared" si="223"/>
        <v>no t, f, or sf</v>
      </c>
      <c r="BQ330" s="148" t="str">
        <f t="shared" si="224"/>
        <v/>
      </c>
    </row>
    <row r="331" spans="1:83" ht="15" customHeight="1" x14ac:dyDescent="0.2">
      <c r="A331" s="376">
        <v>329</v>
      </c>
      <c r="B331" s="328" t="s">
        <v>59</v>
      </c>
      <c r="C331" s="315" t="s">
        <v>518</v>
      </c>
      <c r="D331" s="378">
        <v>1</v>
      </c>
      <c r="E331" s="378">
        <v>1</v>
      </c>
      <c r="F331" s="315" t="s">
        <v>770</v>
      </c>
      <c r="G331" s="316">
        <v>43062</v>
      </c>
      <c r="H331" s="317">
        <v>0.36805555555555558</v>
      </c>
      <c r="I331" s="325" t="s">
        <v>770</v>
      </c>
      <c r="J331" s="444" t="s">
        <v>702</v>
      </c>
      <c r="K331" s="315">
        <v>53</v>
      </c>
      <c r="L331" s="441" t="s">
        <v>605</v>
      </c>
      <c r="M331" s="444">
        <v>53</v>
      </c>
      <c r="N331" s="441" t="s">
        <v>612</v>
      </c>
      <c r="O331" s="153" t="str">
        <f>IF(L331&lt;&gt;"",IFERROR(VLOOKUP(B331&amp;L331,Pools!$A$2:$D$130,3,FALSE),""),"")</f>
        <v/>
      </c>
      <c r="P331" s="388">
        <v>2</v>
      </c>
      <c r="Q331" s="388">
        <v>14</v>
      </c>
      <c r="R331" s="306" t="str">
        <f t="shared" ref="R331:R394" si="225">P331&amp;"-"&amp;Q331</f>
        <v>2-14</v>
      </c>
      <c r="S331" s="153"/>
      <c r="T331" s="148" t="str">
        <f t="shared" ref="T331:T394" si="226">IF(AND(P331&lt;&gt;"",Q331&lt;&gt;""),"Completed","Pending")</f>
        <v>Completed</v>
      </c>
      <c r="U331" s="153"/>
      <c r="V331" s="153"/>
      <c r="W331" s="387">
        <f t="shared" ref="W331:W394" si="227">IF(AW331="Basketball",(IF(P331-Q331&gt;15,15,IF(P331-Q331&lt;-15,-15,(P331-Q331)))),IF(AW331="Soccer",(IF(P331-Q331&gt;3,3,IF(P331-Q331&lt;-3,-3,(P331-Q331)))),IF(AW331="Kickball",(IF(P331-Q331&gt;5,5,IF(P331-Q331&lt;-5,-5,(P331-Q331)))),IF(AW331="Flag Football",(IF(P331-Q331&gt;21,21,IF(P331-Q331&lt;-21,-21,(P331-Q331)))),P331-Q331))))</f>
        <v>-12</v>
      </c>
      <c r="X331" s="387">
        <f t="shared" ref="X331:X394" si="228">IF(AW331="Basketball",(IF(Q331-P331&gt;15,15,IF(Q331-P331&lt;-15,-15,(Q331-P331)))),IF(AW331="Soccer",(IF(Q331-P331&gt;3,3,IF(Q331-P331&lt;-3,-3,(Q331-P331)))),IF(AW331="Kickball",(IF(Q331-P331&gt;5,5,IF(Q331-P331&lt;-5,-5,(Q331-P331)))),IF(AW331="Flag Football",(IF(Q331-P331&gt;21,21,IF(Q331-P331&lt;-21,-21,(Q331-P331)))),Q331-P331))))</f>
        <v>12</v>
      </c>
      <c r="Y331" s="301">
        <f t="shared" ref="Y331:Y394" si="229">IF(T331="Completed",(IF(P331&gt;Q331,2,IF(P331=Q331,1,IF(P331&lt;Q331,0)))),"X")</f>
        <v>0</v>
      </c>
      <c r="Z331" s="301">
        <f t="shared" ref="Z331:Z394" si="230">IF(T331="Completed",(IF(Q331&gt;P331,2,IF(Q331=P331,1,IF(Q331&lt;P331,0)))),"X")</f>
        <v>2</v>
      </c>
      <c r="AA331" s="323" t="str">
        <f>CONCATENATE("                x[team1,team2,sport,'",IF(OR(I331="x",I331=""),VLOOKUP('Schedule from TM'!J331,Tables!$P$3:$Q$33,2,FALSE),'Schedule from TM'!I331),",",J331,"','",IF(OR(F331="x",F331=""),VLOOKUP('Schedule from TM'!G331,Tables!$U$3:$V$14,2,FALSE),'Schedule from TM'!F331),",",TEXT(G331,"mm/dd/yyyy"),"','",TEXT(H331,"h:mm:ss AM/PM"),"'].ub=0.0      #",B331)</f>
        <v xml:space="preserve">                x[team1,team2,sport,'22,Hillel - Basketball Out','11,11/23/2017','8:50:00 AM'].ub=0.0      #Ch E Female Basketball</v>
      </c>
      <c r="AB331" s="301" t="str">
        <f t="shared" ref="AB331:AB394" si="231">",,"&amp;B331&amp;","&amp;O331&amp;",1,"&amp;L331</f>
        <v>,,Ch E Female Basketball,,1,CHILD EF - ARG 1</v>
      </c>
      <c r="AC331" s="153" t="str">
        <f t="shared" ref="AC331:AC394" si="232">B331&amp;O331&amp;L331</f>
        <v>Ch E Female BasketballCHILD EF - ARG 1</v>
      </c>
      <c r="AD331" s="301" t="str">
        <f t="shared" ref="AD331:AD394" si="233">",,"&amp;B331&amp;","&amp;O331&amp;",1,"&amp;N331</f>
        <v>,,Ch E Female Basketball,,1,CHILD EF - PER</v>
      </c>
      <c r="AE331" s="153" t="str">
        <f t="shared" ref="AE331:AE394" si="234">B331&amp;O331&amp;N331</f>
        <v>Ch E Female BasketballCHILD EF - PER</v>
      </c>
      <c r="AF331" s="383">
        <f t="shared" ref="AF331:AF394" si="235">IF(Y331=2,1,0)</f>
        <v>0</v>
      </c>
      <c r="AG331" s="383">
        <f t="shared" ref="AG331:AG394" si="236">IF(Y331=0,1,0)</f>
        <v>1</v>
      </c>
      <c r="AH331" s="383">
        <f t="shared" ref="AH331:AH394" si="237">IF(Y331=1,1,0)</f>
        <v>0</v>
      </c>
      <c r="AI331" s="383">
        <f t="shared" ref="AI331:AI394" si="238">IF(Z331=2,1,0)</f>
        <v>1</v>
      </c>
      <c r="AJ331" s="383">
        <f t="shared" ref="AJ331:AJ394" si="239">IF(Z331=0,1,0)</f>
        <v>0</v>
      </c>
      <c r="AK331" s="383">
        <f t="shared" ref="AK331:AK394" si="240">IF(Z331=1,1,0)</f>
        <v>0</v>
      </c>
      <c r="AM331" s="148" t="str">
        <f t="shared" ref="AM331:AM394" si="241">IF(G331&amp;H331&amp;J331&lt;&gt;"","Schedulled","Not Schedulled")</f>
        <v>Schedulled</v>
      </c>
      <c r="AN331" s="148" t="str">
        <f t="shared" ref="AN331:AN394" si="242">IF(AND(AM331="schedulled",L331&amp;N331=""),"Schedulled no team","")</f>
        <v/>
      </c>
      <c r="AO331" s="156">
        <f t="shared" ref="AO331:AO394" si="243">G331+H331</f>
        <v>43062.368055555555</v>
      </c>
      <c r="AP331" s="148" t="str">
        <f t="shared" ref="AP331:AP394" si="244">TEXT(AO331,"MM/DD/YYYY HH:MM")&amp;"-&gt;"&amp;J331</f>
        <v>11/23/2017 08:50-&gt;Hillel - Basketball Out</v>
      </c>
      <c r="AQ331" s="374">
        <f t="shared" ref="AQ331:AQ394" si="245">IF(AM331="not schedulled", 0,COUNTIF($AP$11:$AP$1051,AP331))</f>
        <v>1</v>
      </c>
      <c r="AR331" s="148" t="str">
        <f t="shared" ref="AR331:AR394" si="246">IFERROR(VLOOKUP(L331,teams_table,3,FALSE),"")</f>
        <v>ARG1</v>
      </c>
      <c r="AS331" s="148" t="str">
        <f t="shared" ref="AS331:AS394" si="247">IFERROR(VLOOKUP(N331,teams_table,3,FALSE),"")</f>
        <v>PER</v>
      </c>
      <c r="AT331" s="157" t="str">
        <f t="shared" ref="AT331:AT394" si="248">IF(AR331&amp;AS331&lt;&gt;"",AR331&amp;"-"&amp;AS331,"")</f>
        <v>ARG1-PER</v>
      </c>
      <c r="AU331" s="157" t="str">
        <f t="shared" ref="AU331:AU394" si="249">IF(AT331="","",AT331&amp;" ")&amp;IF(C331="final",AW331&amp;" Final","")&amp;IF(C331="semi-final",AW331&amp;" Semi-Final","")&amp;IF(C331="Tournament",AW331&amp;" Tournament","")</f>
        <v xml:space="preserve">ARG1-PER </v>
      </c>
      <c r="AV331" s="157" t="str">
        <f t="shared" ref="AV331:AV394" si="250">IFERROR(VLOOKUP(B331,events_table,2,FALSE),"")</f>
        <v>CHILDREN E FEMALE</v>
      </c>
      <c r="AW331" s="157" t="str">
        <f t="shared" ref="AW331:AW394" si="251">IFERROR(VLOOKUP(B331,events_table,3,0),"")</f>
        <v>Basketball</v>
      </c>
      <c r="AX331" s="376">
        <f t="shared" ref="AX331:AX394" si="252">A331</f>
        <v>329</v>
      </c>
      <c r="AY331" s="148" t="str">
        <f t="shared" ref="AY331:AY394" si="253">L331&amp;"-&gt;"&amp;N331</f>
        <v>CHILD EF - ARG 1-&gt;CHILD EF - PER</v>
      </c>
      <c r="AZ331" s="148" t="str">
        <f t="shared" ref="AZ331:AZ394" si="254">TEXT(AO331,"MM/DD/YYYY HH:MM")&amp;"-&gt;"&amp;L331</f>
        <v>11/23/2017 08:50-&gt;CHILD EF - ARG 1</v>
      </c>
      <c r="BA331" s="148" t="str">
        <f t="shared" ref="BA331:BA394" si="255">TEXT(AO331,"MM/DD/YYYY HH:MM")&amp;"-&gt;"&amp;N331</f>
        <v>11/23/2017 08:50-&gt;CHILD EF - PER</v>
      </c>
      <c r="BB331" s="374">
        <f t="shared" ref="BB331:BB394" si="256">IF(OR(AM331="not schedulled",AN331="schedulled no team"),0,COUNTIF($AZ$11:$BA$1051,AZ331))</f>
        <v>1</v>
      </c>
      <c r="BC331" s="374">
        <f t="shared" ref="BC331:BC394" si="257">IF(OR(AM331="not schedulled",AN331="schedulled no team"),0,COUNTIF($AZ$11:$BA$1051,BA331))</f>
        <v>1</v>
      </c>
      <c r="BD331" s="148" t="str">
        <f t="shared" ref="BD331:BD394" si="258">IF(OR(BB331&gt;1,BC331&gt;1),"conflict","no conflict")</f>
        <v>no conflict</v>
      </c>
      <c r="BF331" s="148" t="str">
        <f t="shared" ref="BF331:BF394" si="259">TEXT(AO331,"MM/DD/YYYY HH:MM")&amp;"-&gt;"&amp;L331</f>
        <v>11/23/2017 08:50-&gt;CHILD EF - ARG 1</v>
      </c>
      <c r="BG331" s="148" t="str">
        <f t="shared" ref="BG331:BG394" si="260">TEXT(AO331,"MM/DD/YYYY HH:MM")&amp;"-&gt;"&amp;N331</f>
        <v>11/23/2017 08:50-&gt;CHILD EF - PER</v>
      </c>
      <c r="BH331" s="148" t="str">
        <f t="shared" ref="BH331:BH394" si="261">TEXT(AO331,"MM/DD/YYYY HH:MM")&amp;"-&gt;"&amp;J331</f>
        <v>11/23/2017 08:50-&gt;Hillel - Basketball Out</v>
      </c>
      <c r="BI331" s="148" t="str">
        <f t="shared" ref="BI331:BI394" si="262">AW331&amp; " in "&amp;J331 &amp;" ("&amp;AT331&amp;")"</f>
        <v>Basketball in Hillel - Basketball Out (ARG1-PER)</v>
      </c>
      <c r="BJ331" s="148" t="str">
        <f t="shared" ref="BJ331:BJ394" si="263">B331 &amp;"-- " &amp;L331&amp;" vs. "&amp;N331</f>
        <v>Ch E Female Basketball-- CHILD EF - ARG 1 vs. CHILD EF - PER</v>
      </c>
      <c r="BK331" s="148" t="str">
        <f t="shared" ref="BK331:BK394" si="264">AW331</f>
        <v>Basketball</v>
      </c>
      <c r="BL331" s="148" t="str">
        <f t="shared" ref="BL331:BL394" si="265">L331</f>
        <v>CHILD EF - ARG 1</v>
      </c>
      <c r="BM331" s="148" t="str">
        <f t="shared" ref="BM331:BM394" si="266">N331</f>
        <v>CHILD EF - PER</v>
      </c>
      <c r="BN331" s="148" t="str">
        <f t="shared" ref="BN331:BN394" si="267">C331</f>
        <v>Round - 1</v>
      </c>
      <c r="BP331" s="148" t="str">
        <f t="shared" ref="BP331:BP394" si="268">IF(OR(NOT(ISERR(SEARCH("final",C331))),NOT(ISERR(SEARCH("tournament",C331)))),TEXT(AO331,"MM/DD/YYYY HH:MM")&amp;"-&gt;"&amp;AV331,IF(B331="","no game","no t, f, or sf"))</f>
        <v>no t, f, or sf</v>
      </c>
      <c r="BQ331" s="148" t="str">
        <f t="shared" ref="BQ331:BQ394" si="269">IF(BP331&lt;&gt;"no t, f, or sf",AW331&amp;" "&amp;C331&amp;" in "&amp;J331,"")</f>
        <v/>
      </c>
    </row>
    <row r="332" spans="1:83" ht="15" customHeight="1" x14ac:dyDescent="0.2">
      <c r="A332" s="376">
        <v>330</v>
      </c>
      <c r="B332" s="441" t="s">
        <v>59</v>
      </c>
      <c r="C332" s="441" t="s">
        <v>518</v>
      </c>
      <c r="D332" s="450">
        <v>1</v>
      </c>
      <c r="E332" s="450">
        <v>1</v>
      </c>
      <c r="F332" s="315" t="s">
        <v>770</v>
      </c>
      <c r="G332" s="320">
        <v>43062</v>
      </c>
      <c r="H332" s="317">
        <v>0.54166666666666663</v>
      </c>
      <c r="I332" s="325" t="s">
        <v>770</v>
      </c>
      <c r="J332" s="441" t="s">
        <v>702</v>
      </c>
      <c r="K332" s="441">
        <v>53</v>
      </c>
      <c r="L332" s="441" t="s">
        <v>607</v>
      </c>
      <c r="M332" s="441">
        <v>53</v>
      </c>
      <c r="N332" s="441" t="s">
        <v>608</v>
      </c>
      <c r="O332" s="153" t="str">
        <f>IF(L332&lt;&gt;"",IFERROR(VLOOKUP(B332&amp;L332,Pools!$A$2:$D$130,3,FALSE),""),"")</f>
        <v/>
      </c>
      <c r="P332" s="388">
        <v>13</v>
      </c>
      <c r="Q332" s="388">
        <v>12</v>
      </c>
      <c r="R332" s="306" t="str">
        <f t="shared" si="225"/>
        <v>13-12</v>
      </c>
      <c r="S332" s="153"/>
      <c r="T332" s="148" t="str">
        <f t="shared" si="226"/>
        <v>Completed</v>
      </c>
      <c r="U332" s="153"/>
      <c r="V332" s="153"/>
      <c r="W332" s="387">
        <f t="shared" si="227"/>
        <v>1</v>
      </c>
      <c r="X332" s="387">
        <f t="shared" si="228"/>
        <v>-1</v>
      </c>
      <c r="Y332" s="301">
        <f t="shared" si="229"/>
        <v>2</v>
      </c>
      <c r="Z332" s="301">
        <f t="shared" si="230"/>
        <v>0</v>
      </c>
      <c r="AA332" s="323" t="str">
        <f>CONCATENATE("                x[team1,team2,sport,'",IF(OR(I332="x",I332=""),VLOOKUP('Schedule from TM'!J332,Tables!$P$3:$Q$33,2,FALSE),'Schedule from TM'!I332),",",J332,"','",IF(OR(F332="x",F332=""),VLOOKUP('Schedule from TM'!G332,Tables!$U$3:$V$14,2,FALSE),'Schedule from TM'!F332),",",TEXT(G332,"mm/dd/yyyy"),"','",TEXT(H332,"h:mm:ss AM/PM"),"'].ub=0.0      #",B332)</f>
        <v xml:space="preserve">                x[team1,team2,sport,'22,Hillel - Basketball Out','11,11/23/2017','1:00:00 PM'].ub=0.0      #Ch E Female Basketball</v>
      </c>
      <c r="AB332" s="301" t="str">
        <f t="shared" si="231"/>
        <v>,,Ch E Female Basketball,,1,CHILD EF - ISR 1</v>
      </c>
      <c r="AC332" s="153" t="str">
        <f t="shared" si="232"/>
        <v>Ch E Female BasketballCHILD EF - ISR 1</v>
      </c>
      <c r="AD332" s="301" t="str">
        <f t="shared" si="233"/>
        <v>,,Ch E Female Basketball,,1,CHILD EF - MEX</v>
      </c>
      <c r="AE332" s="153" t="str">
        <f t="shared" si="234"/>
        <v>Ch E Female BasketballCHILD EF - MEX</v>
      </c>
      <c r="AF332" s="383">
        <f t="shared" si="235"/>
        <v>1</v>
      </c>
      <c r="AG332" s="383">
        <f t="shared" si="236"/>
        <v>0</v>
      </c>
      <c r="AH332" s="383">
        <f t="shared" si="237"/>
        <v>0</v>
      </c>
      <c r="AI332" s="383">
        <f t="shared" si="238"/>
        <v>0</v>
      </c>
      <c r="AJ332" s="383">
        <f t="shared" si="239"/>
        <v>1</v>
      </c>
      <c r="AK332" s="383">
        <f t="shared" si="240"/>
        <v>0</v>
      </c>
      <c r="AM332" s="148" t="str">
        <f t="shared" si="241"/>
        <v>Schedulled</v>
      </c>
      <c r="AN332" s="148" t="str">
        <f t="shared" si="242"/>
        <v/>
      </c>
      <c r="AO332" s="156">
        <f t="shared" si="243"/>
        <v>43062.541666666664</v>
      </c>
      <c r="AP332" s="148" t="str">
        <f t="shared" si="244"/>
        <v>11/23/2017 13:00-&gt;Hillel - Basketball Out</v>
      </c>
      <c r="AQ332" s="374">
        <f t="shared" si="245"/>
        <v>1</v>
      </c>
      <c r="AR332" s="148" t="str">
        <f t="shared" si="246"/>
        <v>ISR1</v>
      </c>
      <c r="AS332" s="148" t="str">
        <f t="shared" si="247"/>
        <v>MEX</v>
      </c>
      <c r="AT332" s="157" t="str">
        <f t="shared" si="248"/>
        <v>ISR1-MEX</v>
      </c>
      <c r="AU332" s="157" t="str">
        <f t="shared" si="249"/>
        <v xml:space="preserve">ISR1-MEX </v>
      </c>
      <c r="AV332" s="157" t="str">
        <f t="shared" si="250"/>
        <v>CHILDREN E FEMALE</v>
      </c>
      <c r="AW332" s="157" t="str">
        <f t="shared" si="251"/>
        <v>Basketball</v>
      </c>
      <c r="AX332" s="376">
        <f t="shared" si="252"/>
        <v>330</v>
      </c>
      <c r="AY332" s="148" t="str">
        <f t="shared" si="253"/>
        <v>CHILD EF - ISR 1-&gt;CHILD EF - MEX</v>
      </c>
      <c r="AZ332" s="148" t="str">
        <f t="shared" si="254"/>
        <v>11/23/2017 13:00-&gt;CHILD EF - ISR 1</v>
      </c>
      <c r="BA332" s="148" t="str">
        <f t="shared" si="255"/>
        <v>11/23/2017 13:00-&gt;CHILD EF - MEX</v>
      </c>
      <c r="BB332" s="374">
        <f t="shared" si="256"/>
        <v>1</v>
      </c>
      <c r="BC332" s="374">
        <f t="shared" si="257"/>
        <v>1</v>
      </c>
      <c r="BD332" s="148" t="str">
        <f t="shared" si="258"/>
        <v>no conflict</v>
      </c>
      <c r="BF332" s="148" t="str">
        <f t="shared" si="259"/>
        <v>11/23/2017 13:00-&gt;CHILD EF - ISR 1</v>
      </c>
      <c r="BG332" s="148" t="str">
        <f t="shared" si="260"/>
        <v>11/23/2017 13:00-&gt;CHILD EF - MEX</v>
      </c>
      <c r="BH332" s="148" t="str">
        <f t="shared" si="261"/>
        <v>11/23/2017 13:00-&gt;Hillel - Basketball Out</v>
      </c>
      <c r="BI332" s="148" t="str">
        <f t="shared" si="262"/>
        <v>Basketball in Hillel - Basketball Out (ISR1-MEX)</v>
      </c>
      <c r="BJ332" s="148" t="str">
        <f t="shared" si="263"/>
        <v>Ch E Female Basketball-- CHILD EF - ISR 1 vs. CHILD EF - MEX</v>
      </c>
      <c r="BK332" s="148" t="str">
        <f t="shared" si="264"/>
        <v>Basketball</v>
      </c>
      <c r="BL332" s="148" t="str">
        <f t="shared" si="265"/>
        <v>CHILD EF - ISR 1</v>
      </c>
      <c r="BM332" s="148" t="str">
        <f t="shared" si="266"/>
        <v>CHILD EF - MEX</v>
      </c>
      <c r="BN332" s="148" t="str">
        <f t="shared" si="267"/>
        <v>Round - 1</v>
      </c>
      <c r="BP332" s="148" t="str">
        <f t="shared" si="268"/>
        <v>no t, f, or sf</v>
      </c>
      <c r="BQ332" s="148" t="str">
        <f t="shared" si="269"/>
        <v/>
      </c>
    </row>
    <row r="333" spans="1:83" ht="15" customHeight="1" x14ac:dyDescent="0.2">
      <c r="A333" s="376">
        <v>331</v>
      </c>
      <c r="B333" s="328" t="s">
        <v>59</v>
      </c>
      <c r="C333" s="315" t="s">
        <v>518</v>
      </c>
      <c r="D333" s="378">
        <v>1</v>
      </c>
      <c r="E333" s="378">
        <v>1</v>
      </c>
      <c r="F333" s="315" t="s">
        <v>770</v>
      </c>
      <c r="G333" s="316">
        <v>43063</v>
      </c>
      <c r="H333" s="417">
        <v>0.36805555555555558</v>
      </c>
      <c r="I333" s="325" t="s">
        <v>770</v>
      </c>
      <c r="J333" s="315" t="s">
        <v>702</v>
      </c>
      <c r="K333" s="315">
        <v>53</v>
      </c>
      <c r="L333" s="441" t="s">
        <v>605</v>
      </c>
      <c r="M333" s="444">
        <v>53</v>
      </c>
      <c r="N333" s="441" t="s">
        <v>611</v>
      </c>
      <c r="O333" s="153" t="str">
        <f>IF(L333&lt;&gt;"",IFERROR(VLOOKUP(B333&amp;L333,Pools!$A$2:$D$130,3,FALSE),""),"")</f>
        <v/>
      </c>
      <c r="P333" s="388">
        <v>11</v>
      </c>
      <c r="Q333" s="388">
        <v>14</v>
      </c>
      <c r="R333" s="306" t="str">
        <f t="shared" si="225"/>
        <v>11-14</v>
      </c>
      <c r="S333" s="153"/>
      <c r="T333" s="148" t="str">
        <f t="shared" si="226"/>
        <v>Completed</v>
      </c>
      <c r="U333" s="153"/>
      <c r="V333" s="153"/>
      <c r="W333" s="387">
        <f t="shared" si="227"/>
        <v>-3</v>
      </c>
      <c r="X333" s="387">
        <f t="shared" si="228"/>
        <v>3</v>
      </c>
      <c r="Y333" s="301">
        <f t="shared" si="229"/>
        <v>0</v>
      </c>
      <c r="Z333" s="301">
        <f t="shared" si="230"/>
        <v>2</v>
      </c>
      <c r="AA333" s="323" t="str">
        <f>CONCATENATE("                x[team1,team2,sport,'",IF(OR(I333="x",I333=""),VLOOKUP('Schedule from TM'!J333,Tables!$P$3:$Q$33,2,FALSE),'Schedule from TM'!I333),",",J333,"','",IF(OR(F333="x",F333=""),VLOOKUP('Schedule from TM'!G333,Tables!$U$3:$V$14,2,FALSE),'Schedule from TM'!F333),",",TEXT(G333,"mm/dd/yyyy"),"','",TEXT(H333,"h:mm:ss AM/PM"),"'].ub=0.0      #",B333)</f>
        <v xml:space="preserve">                x[team1,team2,sport,'22,Hillel - Basketball Out','11,11/24/2017','8:50:00 AM'].ub=0.0      #Ch E Female Basketball</v>
      </c>
      <c r="AB333" s="301" t="str">
        <f t="shared" si="231"/>
        <v>,,Ch E Female Basketball,,1,CHILD EF - ARG 1</v>
      </c>
      <c r="AC333" s="153" t="str">
        <f t="shared" si="232"/>
        <v>Ch E Female BasketballCHILD EF - ARG 1</v>
      </c>
      <c r="AD333" s="301" t="str">
        <f t="shared" si="233"/>
        <v>,,Ch E Female Basketball,,1,CHILD EF - COL 2</v>
      </c>
      <c r="AE333" s="153" t="str">
        <f t="shared" si="234"/>
        <v>Ch E Female BasketballCHILD EF - COL 2</v>
      </c>
      <c r="AF333" s="383">
        <f t="shared" si="235"/>
        <v>0</v>
      </c>
      <c r="AG333" s="383">
        <f t="shared" si="236"/>
        <v>1</v>
      </c>
      <c r="AH333" s="383">
        <f t="shared" si="237"/>
        <v>0</v>
      </c>
      <c r="AI333" s="383">
        <f t="shared" si="238"/>
        <v>1</v>
      </c>
      <c r="AJ333" s="383">
        <f t="shared" si="239"/>
        <v>0</v>
      </c>
      <c r="AK333" s="383">
        <f t="shared" si="240"/>
        <v>0</v>
      </c>
      <c r="AM333" s="148" t="str">
        <f t="shared" si="241"/>
        <v>Schedulled</v>
      </c>
      <c r="AN333" s="148" t="str">
        <f t="shared" si="242"/>
        <v/>
      </c>
      <c r="AO333" s="156">
        <f t="shared" si="243"/>
        <v>43063.368055555555</v>
      </c>
      <c r="AP333" s="148" t="str">
        <f t="shared" si="244"/>
        <v>11/24/2017 08:50-&gt;Hillel - Basketball Out</v>
      </c>
      <c r="AQ333" s="374">
        <f t="shared" si="245"/>
        <v>1</v>
      </c>
      <c r="AR333" s="148" t="str">
        <f t="shared" si="246"/>
        <v>ARG1</v>
      </c>
      <c r="AS333" s="148" t="str">
        <f t="shared" si="247"/>
        <v>COL2</v>
      </c>
      <c r="AT333" s="157" t="str">
        <f t="shared" si="248"/>
        <v>ARG1-COL2</v>
      </c>
      <c r="AU333" s="157" t="str">
        <f t="shared" si="249"/>
        <v xml:space="preserve">ARG1-COL2 </v>
      </c>
      <c r="AV333" s="157" t="str">
        <f t="shared" si="250"/>
        <v>CHILDREN E FEMALE</v>
      </c>
      <c r="AW333" s="157" t="str">
        <f t="shared" si="251"/>
        <v>Basketball</v>
      </c>
      <c r="AX333" s="376">
        <f t="shared" si="252"/>
        <v>331</v>
      </c>
      <c r="AY333" s="148" t="str">
        <f t="shared" si="253"/>
        <v>CHILD EF - ARG 1-&gt;CHILD EF - COL 2</v>
      </c>
      <c r="AZ333" s="148" t="str">
        <f t="shared" si="254"/>
        <v>11/24/2017 08:50-&gt;CHILD EF - ARG 1</v>
      </c>
      <c r="BA333" s="148" t="str">
        <f t="shared" si="255"/>
        <v>11/24/2017 08:50-&gt;CHILD EF - COL 2</v>
      </c>
      <c r="BB333" s="374">
        <f t="shared" si="256"/>
        <v>1</v>
      </c>
      <c r="BC333" s="374">
        <f t="shared" si="257"/>
        <v>1</v>
      </c>
      <c r="BD333" s="148" t="str">
        <f t="shared" si="258"/>
        <v>no conflict</v>
      </c>
      <c r="BF333" s="148" t="str">
        <f t="shared" si="259"/>
        <v>11/24/2017 08:50-&gt;CHILD EF - ARG 1</v>
      </c>
      <c r="BG333" s="148" t="str">
        <f t="shared" si="260"/>
        <v>11/24/2017 08:50-&gt;CHILD EF - COL 2</v>
      </c>
      <c r="BH333" s="148" t="str">
        <f t="shared" si="261"/>
        <v>11/24/2017 08:50-&gt;Hillel - Basketball Out</v>
      </c>
      <c r="BI333" s="148" t="str">
        <f t="shared" si="262"/>
        <v>Basketball in Hillel - Basketball Out (ARG1-COL2)</v>
      </c>
      <c r="BJ333" s="148" t="str">
        <f t="shared" si="263"/>
        <v>Ch E Female Basketball-- CHILD EF - ARG 1 vs. CHILD EF - COL 2</v>
      </c>
      <c r="BK333" s="148" t="str">
        <f t="shared" si="264"/>
        <v>Basketball</v>
      </c>
      <c r="BL333" s="148" t="str">
        <f t="shared" si="265"/>
        <v>CHILD EF - ARG 1</v>
      </c>
      <c r="BM333" s="148" t="str">
        <f t="shared" si="266"/>
        <v>CHILD EF - COL 2</v>
      </c>
      <c r="BN333" s="148" t="str">
        <f t="shared" si="267"/>
        <v>Round - 1</v>
      </c>
      <c r="BP333" s="148" t="str">
        <f t="shared" si="268"/>
        <v>no t, f, or sf</v>
      </c>
      <c r="BQ333" s="148" t="str">
        <f t="shared" si="269"/>
        <v/>
      </c>
    </row>
    <row r="334" spans="1:83" ht="15" customHeight="1" x14ac:dyDescent="0.2">
      <c r="A334" s="376">
        <v>332</v>
      </c>
      <c r="B334" s="315" t="s">
        <v>59</v>
      </c>
      <c r="C334" s="315" t="s">
        <v>518</v>
      </c>
      <c r="D334" s="378">
        <v>1</v>
      </c>
      <c r="E334" s="378">
        <v>1</v>
      </c>
      <c r="F334" s="315" t="s">
        <v>770</v>
      </c>
      <c r="G334" s="316">
        <v>43063</v>
      </c>
      <c r="H334" s="417">
        <v>0.47222222222222227</v>
      </c>
      <c r="I334" s="325" t="s">
        <v>770</v>
      </c>
      <c r="J334" s="443" t="s">
        <v>707</v>
      </c>
      <c r="K334" s="315">
        <v>53</v>
      </c>
      <c r="L334" s="444" t="s">
        <v>611</v>
      </c>
      <c r="M334" s="444">
        <v>53</v>
      </c>
      <c r="N334" s="444" t="s">
        <v>608</v>
      </c>
      <c r="O334" s="153" t="str">
        <f>IF(L334&lt;&gt;"",IFERROR(VLOOKUP(B334&amp;L334,Pools!$A$2:$D$130,3,FALSE),""),"")</f>
        <v/>
      </c>
      <c r="P334" s="388">
        <v>7</v>
      </c>
      <c r="Q334" s="388">
        <v>28</v>
      </c>
      <c r="R334" s="306" t="str">
        <f t="shared" si="225"/>
        <v>7-28</v>
      </c>
      <c r="S334" s="153"/>
      <c r="T334" s="148" t="str">
        <f t="shared" si="226"/>
        <v>Completed</v>
      </c>
      <c r="U334" s="153"/>
      <c r="V334" s="153"/>
      <c r="W334" s="387">
        <f t="shared" si="227"/>
        <v>-15</v>
      </c>
      <c r="X334" s="387">
        <f t="shared" si="228"/>
        <v>15</v>
      </c>
      <c r="Y334" s="301">
        <f t="shared" si="229"/>
        <v>0</v>
      </c>
      <c r="Z334" s="301">
        <f t="shared" si="230"/>
        <v>2</v>
      </c>
      <c r="AA334" s="323" t="str">
        <f>CONCATENATE("                x[team1,team2,sport,'",IF(OR(I334="x",I334=""),VLOOKUP('Schedule from TM'!J334,Tables!$P$3:$Q$33,2,FALSE),'Schedule from TM'!I334),",",J334,"','",IF(OR(F334="x",F334=""),VLOOKUP('Schedule from TM'!G334,Tables!$U$3:$V$14,2,FALSE),'Schedule from TM'!F334),",",TEXT(G334,"mm/dd/yyyy"),"','",TEXT(H334,"h:mm:ss AM/PM"),"'].ub=0.0      #",B334)</f>
        <v xml:space="preserve">                x[team1,team2,sport,'21,Hillel - Gym Basketball','11,11/24/2017','11:20:00 AM'].ub=0.0      #Ch E Female Basketball</v>
      </c>
      <c r="AB334" s="301" t="str">
        <f t="shared" si="231"/>
        <v>,,Ch E Female Basketball,,1,CHILD EF - COL 2</v>
      </c>
      <c r="AC334" s="153" t="str">
        <f t="shared" si="232"/>
        <v>Ch E Female BasketballCHILD EF - COL 2</v>
      </c>
      <c r="AD334" s="301" t="str">
        <f t="shared" si="233"/>
        <v>,,Ch E Female Basketball,,1,CHILD EF - MEX</v>
      </c>
      <c r="AE334" s="153" t="str">
        <f t="shared" si="234"/>
        <v>Ch E Female BasketballCHILD EF - MEX</v>
      </c>
      <c r="AF334" s="383">
        <f t="shared" si="235"/>
        <v>0</v>
      </c>
      <c r="AG334" s="383">
        <f t="shared" si="236"/>
        <v>1</v>
      </c>
      <c r="AH334" s="383">
        <f t="shared" si="237"/>
        <v>0</v>
      </c>
      <c r="AI334" s="383">
        <f t="shared" si="238"/>
        <v>1</v>
      </c>
      <c r="AJ334" s="383">
        <f t="shared" si="239"/>
        <v>0</v>
      </c>
      <c r="AK334" s="383">
        <f t="shared" si="240"/>
        <v>0</v>
      </c>
      <c r="AM334" s="148" t="str">
        <f t="shared" si="241"/>
        <v>Schedulled</v>
      </c>
      <c r="AN334" s="148" t="str">
        <f t="shared" si="242"/>
        <v/>
      </c>
      <c r="AO334" s="156">
        <f t="shared" si="243"/>
        <v>43063.472222222219</v>
      </c>
      <c r="AP334" s="148" t="str">
        <f t="shared" si="244"/>
        <v>11/24/2017 11:20-&gt;Hillel - Gym Basketball</v>
      </c>
      <c r="AQ334" s="374">
        <f t="shared" si="245"/>
        <v>1</v>
      </c>
      <c r="AR334" s="148" t="str">
        <f t="shared" si="246"/>
        <v>COL2</v>
      </c>
      <c r="AS334" s="148" t="str">
        <f t="shared" si="247"/>
        <v>MEX</v>
      </c>
      <c r="AT334" s="157" t="str">
        <f t="shared" si="248"/>
        <v>COL2-MEX</v>
      </c>
      <c r="AU334" s="157" t="str">
        <f t="shared" si="249"/>
        <v xml:space="preserve">COL2-MEX </v>
      </c>
      <c r="AV334" s="157" t="str">
        <f t="shared" si="250"/>
        <v>CHILDREN E FEMALE</v>
      </c>
      <c r="AW334" s="157" t="str">
        <f t="shared" si="251"/>
        <v>Basketball</v>
      </c>
      <c r="AX334" s="376">
        <f t="shared" si="252"/>
        <v>332</v>
      </c>
      <c r="AY334" s="148" t="str">
        <f t="shared" si="253"/>
        <v>CHILD EF - COL 2-&gt;CHILD EF - MEX</v>
      </c>
      <c r="AZ334" s="148" t="str">
        <f t="shared" si="254"/>
        <v>11/24/2017 11:20-&gt;CHILD EF - COL 2</v>
      </c>
      <c r="BA334" s="148" t="str">
        <f t="shared" si="255"/>
        <v>11/24/2017 11:20-&gt;CHILD EF - MEX</v>
      </c>
      <c r="BB334" s="374">
        <f t="shared" si="256"/>
        <v>1</v>
      </c>
      <c r="BC334" s="374">
        <f t="shared" si="257"/>
        <v>1</v>
      </c>
      <c r="BD334" s="148" t="str">
        <f t="shared" si="258"/>
        <v>no conflict</v>
      </c>
      <c r="BF334" s="148" t="str">
        <f t="shared" si="259"/>
        <v>11/24/2017 11:20-&gt;CHILD EF - COL 2</v>
      </c>
      <c r="BG334" s="148" t="str">
        <f t="shared" si="260"/>
        <v>11/24/2017 11:20-&gt;CHILD EF - MEX</v>
      </c>
      <c r="BH334" s="148" t="str">
        <f t="shared" si="261"/>
        <v>11/24/2017 11:20-&gt;Hillel - Gym Basketball</v>
      </c>
      <c r="BI334" s="148" t="str">
        <f t="shared" si="262"/>
        <v>Basketball in Hillel - Gym Basketball (COL2-MEX)</v>
      </c>
      <c r="BJ334" s="148" t="str">
        <f t="shared" si="263"/>
        <v>Ch E Female Basketball-- CHILD EF - COL 2 vs. CHILD EF - MEX</v>
      </c>
      <c r="BK334" s="148" t="str">
        <f t="shared" si="264"/>
        <v>Basketball</v>
      </c>
      <c r="BL334" s="148" t="str">
        <f t="shared" si="265"/>
        <v>CHILD EF - COL 2</v>
      </c>
      <c r="BM334" s="148" t="str">
        <f t="shared" si="266"/>
        <v>CHILD EF - MEX</v>
      </c>
      <c r="BN334" s="148" t="str">
        <f t="shared" si="267"/>
        <v>Round - 1</v>
      </c>
      <c r="BP334" s="148" t="str">
        <f t="shared" si="268"/>
        <v>no t, f, or sf</v>
      </c>
      <c r="BQ334" s="148" t="str">
        <f t="shared" si="269"/>
        <v/>
      </c>
    </row>
    <row r="335" spans="1:83" ht="15" customHeight="1" x14ac:dyDescent="0.2">
      <c r="A335" s="376">
        <v>333</v>
      </c>
      <c r="B335" s="441" t="s">
        <v>59</v>
      </c>
      <c r="C335" s="441" t="s">
        <v>518</v>
      </c>
      <c r="D335" s="450">
        <v>1</v>
      </c>
      <c r="E335" s="450">
        <v>1</v>
      </c>
      <c r="F335" s="315" t="s">
        <v>770</v>
      </c>
      <c r="G335" s="320">
        <v>43063</v>
      </c>
      <c r="H335" s="417">
        <v>0.50694444444444442</v>
      </c>
      <c r="I335" s="325" t="s">
        <v>770</v>
      </c>
      <c r="J335" s="441" t="s">
        <v>702</v>
      </c>
      <c r="K335" s="441">
        <v>53</v>
      </c>
      <c r="L335" s="441" t="s">
        <v>612</v>
      </c>
      <c r="M335" s="441">
        <v>53</v>
      </c>
      <c r="N335" s="441" t="s">
        <v>609</v>
      </c>
      <c r="O335" s="153" t="str">
        <f>IF(L335&lt;&gt;"",IFERROR(VLOOKUP(B335&amp;L335,Pools!$A$2:$D$130,3,FALSE),""),"")</f>
        <v/>
      </c>
      <c r="P335" s="388">
        <v>14</v>
      </c>
      <c r="Q335" s="388">
        <v>10</v>
      </c>
      <c r="R335" s="306" t="str">
        <f t="shared" si="225"/>
        <v>14-10</v>
      </c>
      <c r="S335" s="153"/>
      <c r="T335" s="148" t="str">
        <f t="shared" si="226"/>
        <v>Completed</v>
      </c>
      <c r="U335" s="153"/>
      <c r="V335" s="153"/>
      <c r="W335" s="387">
        <f t="shared" si="227"/>
        <v>4</v>
      </c>
      <c r="X335" s="387">
        <f t="shared" si="228"/>
        <v>-4</v>
      </c>
      <c r="Y335" s="301">
        <f t="shared" si="229"/>
        <v>2</v>
      </c>
      <c r="Z335" s="301">
        <f t="shared" si="230"/>
        <v>0</v>
      </c>
      <c r="AA335" s="323" t="str">
        <f>CONCATENATE("                x[team1,team2,sport,'",IF(OR(I335="x",I335=""),VLOOKUP('Schedule from TM'!J335,Tables!$P$3:$Q$33,2,FALSE),'Schedule from TM'!I335),",",J335,"','",IF(OR(F335="x",F335=""),VLOOKUP('Schedule from TM'!G335,Tables!$U$3:$V$14,2,FALSE),'Schedule from TM'!F335),",",TEXT(G335,"mm/dd/yyyy"),"','",TEXT(H335,"h:mm:ss AM/PM"),"'].ub=0.0      #",B335)</f>
        <v xml:space="preserve">                x[team1,team2,sport,'22,Hillel - Basketball Out','11,11/24/2017','12:10:00 PM'].ub=0.0      #Ch E Female Basketball</v>
      </c>
      <c r="AB335" s="301" t="str">
        <f t="shared" si="231"/>
        <v>,,Ch E Female Basketball,,1,CHILD EF - PER</v>
      </c>
      <c r="AC335" s="153" t="str">
        <f t="shared" si="232"/>
        <v>Ch E Female BasketballCHILD EF - PER</v>
      </c>
      <c r="AD335" s="301" t="str">
        <f t="shared" si="233"/>
        <v>,,Ch E Female Basketball,,1,CHILD EF - USA 1</v>
      </c>
      <c r="AE335" s="153" t="str">
        <f t="shared" si="234"/>
        <v>Ch E Female BasketballCHILD EF - USA 1</v>
      </c>
      <c r="AF335" s="383">
        <f t="shared" si="235"/>
        <v>1</v>
      </c>
      <c r="AG335" s="383">
        <f t="shared" si="236"/>
        <v>0</v>
      </c>
      <c r="AH335" s="383">
        <f t="shared" si="237"/>
        <v>0</v>
      </c>
      <c r="AI335" s="383">
        <f t="shared" si="238"/>
        <v>0</v>
      </c>
      <c r="AJ335" s="383">
        <f t="shared" si="239"/>
        <v>1</v>
      </c>
      <c r="AK335" s="383">
        <f t="shared" si="240"/>
        <v>0</v>
      </c>
      <c r="AM335" s="148" t="str">
        <f t="shared" si="241"/>
        <v>Schedulled</v>
      </c>
      <c r="AN335" s="148" t="str">
        <f t="shared" si="242"/>
        <v/>
      </c>
      <c r="AO335" s="156">
        <f t="shared" si="243"/>
        <v>43063.506944444445</v>
      </c>
      <c r="AP335" s="148" t="str">
        <f t="shared" si="244"/>
        <v>11/24/2017 12:10-&gt;Hillel - Basketball Out</v>
      </c>
      <c r="AQ335" s="374">
        <f t="shared" si="245"/>
        <v>1</v>
      </c>
      <c r="AR335" s="148" t="str">
        <f t="shared" si="246"/>
        <v>PER</v>
      </c>
      <c r="AS335" s="148" t="str">
        <f t="shared" si="247"/>
        <v>USA1</v>
      </c>
      <c r="AT335" s="157" t="str">
        <f t="shared" si="248"/>
        <v>PER-USA1</v>
      </c>
      <c r="AU335" s="157" t="str">
        <f t="shared" si="249"/>
        <v xml:space="preserve">PER-USA1 </v>
      </c>
      <c r="AV335" s="157" t="str">
        <f t="shared" si="250"/>
        <v>CHILDREN E FEMALE</v>
      </c>
      <c r="AW335" s="157" t="str">
        <f t="shared" si="251"/>
        <v>Basketball</v>
      </c>
      <c r="AX335" s="376">
        <f t="shared" si="252"/>
        <v>333</v>
      </c>
      <c r="AY335" s="148" t="str">
        <f t="shared" si="253"/>
        <v>CHILD EF - PER-&gt;CHILD EF - USA 1</v>
      </c>
      <c r="AZ335" s="148" t="str">
        <f t="shared" si="254"/>
        <v>11/24/2017 12:10-&gt;CHILD EF - PER</v>
      </c>
      <c r="BA335" s="148" t="str">
        <f t="shared" si="255"/>
        <v>11/24/2017 12:10-&gt;CHILD EF - USA 1</v>
      </c>
      <c r="BB335" s="374">
        <f t="shared" si="256"/>
        <v>1</v>
      </c>
      <c r="BC335" s="374">
        <f t="shared" si="257"/>
        <v>1</v>
      </c>
      <c r="BD335" s="148" t="str">
        <f t="shared" si="258"/>
        <v>no conflict</v>
      </c>
      <c r="BF335" s="148" t="str">
        <f t="shared" si="259"/>
        <v>11/24/2017 12:10-&gt;CHILD EF - PER</v>
      </c>
      <c r="BG335" s="148" t="str">
        <f t="shared" si="260"/>
        <v>11/24/2017 12:10-&gt;CHILD EF - USA 1</v>
      </c>
      <c r="BH335" s="148" t="str">
        <f t="shared" si="261"/>
        <v>11/24/2017 12:10-&gt;Hillel - Basketball Out</v>
      </c>
      <c r="BI335" s="148" t="str">
        <f t="shared" si="262"/>
        <v>Basketball in Hillel - Basketball Out (PER-USA1)</v>
      </c>
      <c r="BJ335" s="148" t="str">
        <f t="shared" si="263"/>
        <v>Ch E Female Basketball-- CHILD EF - PER vs. CHILD EF - USA 1</v>
      </c>
      <c r="BK335" s="148" t="str">
        <f t="shared" si="264"/>
        <v>Basketball</v>
      </c>
      <c r="BL335" s="148" t="str">
        <f t="shared" si="265"/>
        <v>CHILD EF - PER</v>
      </c>
      <c r="BM335" s="148" t="str">
        <f t="shared" si="266"/>
        <v>CHILD EF - USA 1</v>
      </c>
      <c r="BN335" s="148" t="str">
        <f t="shared" si="267"/>
        <v>Round - 1</v>
      </c>
      <c r="BP335" s="148" t="str">
        <f t="shared" si="268"/>
        <v>no t, f, or sf</v>
      </c>
      <c r="BQ335" s="148" t="str">
        <f t="shared" si="269"/>
        <v/>
      </c>
    </row>
    <row r="336" spans="1:83" s="442" customFormat="1" ht="18.75" customHeight="1" x14ac:dyDescent="0.2">
      <c r="A336" s="450">
        <v>334</v>
      </c>
      <c r="B336" s="328" t="s">
        <v>59</v>
      </c>
      <c r="C336" s="444" t="s">
        <v>518</v>
      </c>
      <c r="D336" s="451">
        <v>1</v>
      </c>
      <c r="E336" s="451">
        <v>1</v>
      </c>
      <c r="F336" s="444" t="s">
        <v>770</v>
      </c>
      <c r="G336" s="445">
        <v>43063</v>
      </c>
      <c r="H336" s="454">
        <v>0.61111111111111105</v>
      </c>
      <c r="I336" s="446" t="s">
        <v>770</v>
      </c>
      <c r="J336" s="444" t="s">
        <v>702</v>
      </c>
      <c r="K336" s="444">
        <v>53</v>
      </c>
      <c r="L336" s="441" t="s">
        <v>606</v>
      </c>
      <c r="M336" s="444">
        <v>53</v>
      </c>
      <c r="N336" s="441" t="s">
        <v>609</v>
      </c>
      <c r="O336" s="153" t="str">
        <f>IF(L336&lt;&gt;"",IFERROR(VLOOKUP(B336&amp;L336,Pools!$A$2:$D$130,3,FALSE),""),"")</f>
        <v/>
      </c>
      <c r="P336" s="388">
        <v>6</v>
      </c>
      <c r="Q336" s="388">
        <v>24</v>
      </c>
      <c r="R336" s="306" t="str">
        <f t="shared" si="225"/>
        <v>6-24</v>
      </c>
      <c r="S336" s="153"/>
      <c r="T336" s="148" t="str">
        <f t="shared" si="226"/>
        <v>Completed</v>
      </c>
      <c r="U336" s="153"/>
      <c r="V336" s="153"/>
      <c r="W336" s="387">
        <f t="shared" si="227"/>
        <v>-15</v>
      </c>
      <c r="X336" s="387">
        <f t="shared" si="228"/>
        <v>15</v>
      </c>
      <c r="Y336" s="301">
        <f t="shared" si="229"/>
        <v>0</v>
      </c>
      <c r="Z336" s="301">
        <f t="shared" si="230"/>
        <v>2</v>
      </c>
      <c r="AA336" s="323" t="str">
        <f>CONCATENATE("                x[team1,team2,sport,'",IF(OR(I336="x",I336=""),VLOOKUP('Schedule from TM'!J336,Tables!$P$3:$Q$33,2,FALSE),'Schedule from TM'!I336),",",J336,"','",IF(OR(F336="x",F336=""),VLOOKUP('Schedule from TM'!G336,Tables!$U$3:$V$14,2,FALSE),'Schedule from TM'!F336),",",TEXT(G336,"mm/dd/yyyy"),"','",TEXT(H336,"h:mm:ss AM/PM"),"'].ub=0.0      #",B336)</f>
        <v xml:space="preserve">                x[team1,team2,sport,'22,Hillel - Basketball Out','11,11/24/2017','2:40:00 PM'].ub=0.0      #Ch E Female Basketball</v>
      </c>
      <c r="AB336" s="301" t="str">
        <f t="shared" si="231"/>
        <v>,,Ch E Female Basketball,,1,CHILD EF - COL 1</v>
      </c>
      <c r="AC336" s="153" t="str">
        <f t="shared" si="232"/>
        <v>Ch E Female BasketballCHILD EF - COL 1</v>
      </c>
      <c r="AD336" s="301" t="str">
        <f t="shared" si="233"/>
        <v>,,Ch E Female Basketball,,1,CHILD EF - USA 1</v>
      </c>
      <c r="AE336" s="153" t="str">
        <f t="shared" si="234"/>
        <v>Ch E Female BasketballCHILD EF - USA 1</v>
      </c>
      <c r="AF336" s="383">
        <f t="shared" si="235"/>
        <v>0</v>
      </c>
      <c r="AG336" s="383">
        <f t="shared" si="236"/>
        <v>1</v>
      </c>
      <c r="AH336" s="383">
        <f t="shared" si="237"/>
        <v>0</v>
      </c>
      <c r="AI336" s="383">
        <f t="shared" si="238"/>
        <v>1</v>
      </c>
      <c r="AJ336" s="383">
        <f t="shared" si="239"/>
        <v>0</v>
      </c>
      <c r="AK336" s="383">
        <f t="shared" si="240"/>
        <v>0</v>
      </c>
      <c r="AL336" s="148"/>
      <c r="AM336" s="148" t="str">
        <f t="shared" si="241"/>
        <v>Schedulled</v>
      </c>
      <c r="AN336" s="148" t="str">
        <f t="shared" si="242"/>
        <v/>
      </c>
      <c r="AO336" s="156">
        <f t="shared" si="243"/>
        <v>43063.611111111109</v>
      </c>
      <c r="AP336" s="148" t="str">
        <f t="shared" si="244"/>
        <v>11/24/2017 14:40-&gt;Hillel - Basketball Out</v>
      </c>
      <c r="AQ336" s="374">
        <f t="shared" si="245"/>
        <v>1</v>
      </c>
      <c r="AR336" s="148" t="str">
        <f t="shared" si="246"/>
        <v>COL1</v>
      </c>
      <c r="AS336" s="148" t="str">
        <f t="shared" si="247"/>
        <v>USA1</v>
      </c>
      <c r="AT336" s="157" t="str">
        <f t="shared" si="248"/>
        <v>COL1-USA1</v>
      </c>
      <c r="AU336" s="157" t="str">
        <f t="shared" si="249"/>
        <v xml:space="preserve">COL1-USA1 </v>
      </c>
      <c r="AV336" s="157" t="str">
        <f t="shared" si="250"/>
        <v>CHILDREN E FEMALE</v>
      </c>
      <c r="AW336" s="157" t="str">
        <f t="shared" si="251"/>
        <v>Basketball</v>
      </c>
      <c r="AX336" s="450">
        <f t="shared" si="252"/>
        <v>334</v>
      </c>
      <c r="AY336" s="148" t="str">
        <f t="shared" si="253"/>
        <v>CHILD EF - COL 1-&gt;CHILD EF - USA 1</v>
      </c>
      <c r="AZ336" s="148" t="str">
        <f t="shared" si="254"/>
        <v>11/24/2017 14:40-&gt;CHILD EF - COL 1</v>
      </c>
      <c r="BA336" s="148" t="str">
        <f t="shared" si="255"/>
        <v>11/24/2017 14:40-&gt;CHILD EF - USA 1</v>
      </c>
      <c r="BB336" s="374">
        <f t="shared" si="256"/>
        <v>1</v>
      </c>
      <c r="BC336" s="374">
        <f t="shared" si="257"/>
        <v>1</v>
      </c>
      <c r="BD336" s="148" t="str">
        <f t="shared" si="258"/>
        <v>no conflict</v>
      </c>
      <c r="BE336" s="148"/>
      <c r="BF336" s="148" t="str">
        <f t="shared" si="259"/>
        <v>11/24/2017 14:40-&gt;CHILD EF - COL 1</v>
      </c>
      <c r="BG336" s="148" t="str">
        <f t="shared" si="260"/>
        <v>11/24/2017 14:40-&gt;CHILD EF - USA 1</v>
      </c>
      <c r="BH336" s="148" t="str">
        <f t="shared" si="261"/>
        <v>11/24/2017 14:40-&gt;Hillel - Basketball Out</v>
      </c>
      <c r="BI336" s="148" t="str">
        <f t="shared" si="262"/>
        <v>Basketball in Hillel - Basketball Out (COL1-USA1)</v>
      </c>
      <c r="BJ336" s="148" t="str">
        <f t="shared" si="263"/>
        <v>Ch E Female Basketball-- CHILD EF - COL 1 vs. CHILD EF - USA 1</v>
      </c>
      <c r="BK336" s="148" t="str">
        <f t="shared" si="264"/>
        <v>Basketball</v>
      </c>
      <c r="BL336" s="148" t="str">
        <f t="shared" si="265"/>
        <v>CHILD EF - COL 1</v>
      </c>
      <c r="BM336" s="148" t="str">
        <f t="shared" si="266"/>
        <v>CHILD EF - USA 1</v>
      </c>
      <c r="BN336" s="148" t="str">
        <f t="shared" si="267"/>
        <v>Round - 1</v>
      </c>
      <c r="BO336" s="148"/>
      <c r="BP336" s="148" t="str">
        <f t="shared" si="268"/>
        <v>no t, f, or sf</v>
      </c>
      <c r="BQ336" s="148" t="str">
        <f t="shared" si="269"/>
        <v/>
      </c>
      <c r="BR336" s="148"/>
      <c r="BS336" s="148"/>
      <c r="BT336" s="148"/>
      <c r="BU336" s="148"/>
      <c r="BV336" s="148"/>
      <c r="BW336" s="148"/>
      <c r="BX336" s="148"/>
      <c r="BY336" s="148"/>
      <c r="BZ336" s="148"/>
      <c r="CA336" s="148"/>
      <c r="CB336" s="148"/>
      <c r="CC336" s="148"/>
      <c r="CD336" s="148"/>
      <c r="CE336" s="148"/>
    </row>
    <row r="337" spans="1:83" s="442" customFormat="1" ht="15" customHeight="1" x14ac:dyDescent="0.2">
      <c r="A337" s="450">
        <v>335</v>
      </c>
      <c r="B337" s="441" t="s">
        <v>59</v>
      </c>
      <c r="C337" s="441" t="s">
        <v>518</v>
      </c>
      <c r="D337" s="450">
        <v>1</v>
      </c>
      <c r="E337" s="450">
        <v>1</v>
      </c>
      <c r="F337" s="444" t="s">
        <v>770</v>
      </c>
      <c r="G337" s="320">
        <v>43065</v>
      </c>
      <c r="H337" s="418">
        <v>0.4375</v>
      </c>
      <c r="I337" s="446" t="s">
        <v>770</v>
      </c>
      <c r="J337" s="441" t="s">
        <v>702</v>
      </c>
      <c r="K337" s="441">
        <v>53</v>
      </c>
      <c r="L337" s="441" t="s">
        <v>607</v>
      </c>
      <c r="M337" s="441">
        <v>53</v>
      </c>
      <c r="N337" s="441" t="s">
        <v>609</v>
      </c>
      <c r="O337" s="153" t="str">
        <f>IF(L337&lt;&gt;"",IFERROR(VLOOKUP(B337&amp;L337,Pools!$A$2:$D$130,3,FALSE),""),"")</f>
        <v/>
      </c>
      <c r="P337" s="388">
        <v>5</v>
      </c>
      <c r="Q337" s="388">
        <v>8</v>
      </c>
      <c r="R337" s="306" t="str">
        <f t="shared" si="225"/>
        <v>5-8</v>
      </c>
      <c r="S337" s="153"/>
      <c r="T337" s="148" t="str">
        <f t="shared" si="226"/>
        <v>Completed</v>
      </c>
      <c r="U337" s="153"/>
      <c r="V337" s="153"/>
      <c r="W337" s="387">
        <f t="shared" si="227"/>
        <v>-3</v>
      </c>
      <c r="X337" s="387">
        <f t="shared" si="228"/>
        <v>3</v>
      </c>
      <c r="Y337" s="301">
        <f t="shared" si="229"/>
        <v>0</v>
      </c>
      <c r="Z337" s="301">
        <f t="shared" si="230"/>
        <v>2</v>
      </c>
      <c r="AA337" s="323" t="str">
        <f>CONCATENATE("                x[team1,team2,sport,'",IF(OR(I337="x",I337=""),VLOOKUP('Schedule from TM'!J337,Tables!$P$3:$Q$33,2,FALSE),'Schedule from TM'!I337),",",J337,"','",IF(OR(F337="x",F337=""),VLOOKUP('Schedule from TM'!G337,Tables!$U$3:$V$14,2,FALSE),'Schedule from TM'!F337),",",TEXT(G337,"mm/dd/yyyy"),"','",TEXT(H337,"h:mm:ss AM/PM"),"'].ub=0.0      #",B337)</f>
        <v xml:space="preserve">                x[team1,team2,sport,'22,Hillel - Basketball Out','21,11/26/2017','10:30:00 AM'].ub=0.0      #Ch E Female Basketball</v>
      </c>
      <c r="AB337" s="301" t="str">
        <f t="shared" si="231"/>
        <v>,,Ch E Female Basketball,,1,CHILD EF - ISR 1</v>
      </c>
      <c r="AC337" s="153" t="str">
        <f t="shared" si="232"/>
        <v>Ch E Female BasketballCHILD EF - ISR 1</v>
      </c>
      <c r="AD337" s="301" t="str">
        <f t="shared" si="233"/>
        <v>,,Ch E Female Basketball,,1,CHILD EF - USA 1</v>
      </c>
      <c r="AE337" s="153" t="str">
        <f t="shared" si="234"/>
        <v>Ch E Female BasketballCHILD EF - USA 1</v>
      </c>
      <c r="AF337" s="383">
        <f t="shared" si="235"/>
        <v>0</v>
      </c>
      <c r="AG337" s="383">
        <f t="shared" si="236"/>
        <v>1</v>
      </c>
      <c r="AH337" s="383">
        <f t="shared" si="237"/>
        <v>0</v>
      </c>
      <c r="AI337" s="383">
        <f t="shared" si="238"/>
        <v>1</v>
      </c>
      <c r="AJ337" s="383">
        <f t="shared" si="239"/>
        <v>0</v>
      </c>
      <c r="AK337" s="383">
        <f t="shared" si="240"/>
        <v>0</v>
      </c>
      <c r="AL337" s="148"/>
      <c r="AM337" s="148" t="str">
        <f t="shared" si="241"/>
        <v>Schedulled</v>
      </c>
      <c r="AN337" s="148" t="str">
        <f t="shared" si="242"/>
        <v/>
      </c>
      <c r="AO337" s="156">
        <f t="shared" si="243"/>
        <v>43065.4375</v>
      </c>
      <c r="AP337" s="148" t="str">
        <f t="shared" si="244"/>
        <v>11/26/2017 10:30-&gt;Hillel - Basketball Out</v>
      </c>
      <c r="AQ337" s="374">
        <f t="shared" si="245"/>
        <v>1</v>
      </c>
      <c r="AR337" s="148" t="str">
        <f t="shared" si="246"/>
        <v>ISR1</v>
      </c>
      <c r="AS337" s="148" t="str">
        <f t="shared" si="247"/>
        <v>USA1</v>
      </c>
      <c r="AT337" s="157" t="str">
        <f t="shared" si="248"/>
        <v>ISR1-USA1</v>
      </c>
      <c r="AU337" s="157" t="str">
        <f t="shared" si="249"/>
        <v xml:space="preserve">ISR1-USA1 </v>
      </c>
      <c r="AV337" s="157" t="str">
        <f t="shared" si="250"/>
        <v>CHILDREN E FEMALE</v>
      </c>
      <c r="AW337" s="157" t="str">
        <f t="shared" si="251"/>
        <v>Basketball</v>
      </c>
      <c r="AX337" s="450">
        <f t="shared" si="252"/>
        <v>335</v>
      </c>
      <c r="AY337" s="148" t="str">
        <f t="shared" si="253"/>
        <v>CHILD EF - ISR 1-&gt;CHILD EF - USA 1</v>
      </c>
      <c r="AZ337" s="148" t="str">
        <f t="shared" si="254"/>
        <v>11/26/2017 10:30-&gt;CHILD EF - ISR 1</v>
      </c>
      <c r="BA337" s="148" t="str">
        <f t="shared" si="255"/>
        <v>11/26/2017 10:30-&gt;CHILD EF - USA 1</v>
      </c>
      <c r="BB337" s="374">
        <f t="shared" si="256"/>
        <v>1</v>
      </c>
      <c r="BC337" s="374">
        <f t="shared" si="257"/>
        <v>1</v>
      </c>
      <c r="BD337" s="148" t="str">
        <f t="shared" si="258"/>
        <v>no conflict</v>
      </c>
      <c r="BE337" s="148"/>
      <c r="BF337" s="148" t="str">
        <f t="shared" si="259"/>
        <v>11/26/2017 10:30-&gt;CHILD EF - ISR 1</v>
      </c>
      <c r="BG337" s="148" t="str">
        <f t="shared" si="260"/>
        <v>11/26/2017 10:30-&gt;CHILD EF - USA 1</v>
      </c>
      <c r="BH337" s="148" t="str">
        <f t="shared" si="261"/>
        <v>11/26/2017 10:30-&gt;Hillel - Basketball Out</v>
      </c>
      <c r="BI337" s="148" t="str">
        <f t="shared" si="262"/>
        <v>Basketball in Hillel - Basketball Out (ISR1-USA1)</v>
      </c>
      <c r="BJ337" s="148" t="str">
        <f t="shared" si="263"/>
        <v>Ch E Female Basketball-- CHILD EF - ISR 1 vs. CHILD EF - USA 1</v>
      </c>
      <c r="BK337" s="148" t="str">
        <f t="shared" si="264"/>
        <v>Basketball</v>
      </c>
      <c r="BL337" s="148" t="str">
        <f t="shared" si="265"/>
        <v>CHILD EF - ISR 1</v>
      </c>
      <c r="BM337" s="148" t="str">
        <f t="shared" si="266"/>
        <v>CHILD EF - USA 1</v>
      </c>
      <c r="BN337" s="148" t="str">
        <f t="shared" si="267"/>
        <v>Round - 1</v>
      </c>
      <c r="BO337" s="148"/>
      <c r="BP337" s="148" t="str">
        <f t="shared" si="268"/>
        <v>no t, f, or sf</v>
      </c>
      <c r="BQ337" s="148" t="str">
        <f t="shared" si="269"/>
        <v/>
      </c>
      <c r="BR337" s="148"/>
      <c r="BS337" s="148"/>
      <c r="BT337" s="148"/>
      <c r="BU337" s="148"/>
      <c r="BV337" s="148"/>
      <c r="BW337" s="148"/>
      <c r="BX337" s="148"/>
      <c r="BY337" s="148"/>
      <c r="BZ337" s="148"/>
      <c r="CA337" s="148"/>
      <c r="CB337" s="148"/>
      <c r="CC337" s="148"/>
      <c r="CD337" s="148"/>
      <c r="CE337" s="148"/>
    </row>
    <row r="338" spans="1:83" ht="15" customHeight="1" x14ac:dyDescent="0.2">
      <c r="A338" s="450">
        <v>336</v>
      </c>
      <c r="B338" s="328" t="s">
        <v>59</v>
      </c>
      <c r="C338" s="444" t="s">
        <v>518</v>
      </c>
      <c r="D338" s="451">
        <v>1</v>
      </c>
      <c r="E338" s="451">
        <v>1</v>
      </c>
      <c r="F338" s="444" t="s">
        <v>770</v>
      </c>
      <c r="G338" s="445">
        <v>43065</v>
      </c>
      <c r="H338" s="454">
        <v>0.50694444444444442</v>
      </c>
      <c r="I338" s="446" t="s">
        <v>770</v>
      </c>
      <c r="J338" s="443" t="s">
        <v>702</v>
      </c>
      <c r="K338" s="444">
        <v>53</v>
      </c>
      <c r="L338" s="441" t="s">
        <v>605</v>
      </c>
      <c r="M338" s="444">
        <v>53</v>
      </c>
      <c r="N338" s="441" t="s">
        <v>607</v>
      </c>
      <c r="O338" s="153" t="str">
        <f>IF(L338&lt;&gt;"",IFERROR(VLOOKUP(B338&amp;L338,Pools!$A$2:$D$130,3,FALSE),""),"")</f>
        <v/>
      </c>
      <c r="P338" s="388">
        <v>0</v>
      </c>
      <c r="Q338" s="388">
        <v>2</v>
      </c>
      <c r="R338" s="306" t="str">
        <f t="shared" si="225"/>
        <v>0-2</v>
      </c>
      <c r="S338" s="153"/>
      <c r="T338" s="148" t="str">
        <f t="shared" si="226"/>
        <v>Completed</v>
      </c>
      <c r="U338" s="153"/>
      <c r="V338" s="153"/>
      <c r="W338" s="387">
        <f t="shared" si="227"/>
        <v>-2</v>
      </c>
      <c r="X338" s="387">
        <f t="shared" si="228"/>
        <v>2</v>
      </c>
      <c r="Y338" s="301">
        <f t="shared" si="229"/>
        <v>0</v>
      </c>
      <c r="Z338" s="301">
        <f t="shared" si="230"/>
        <v>2</v>
      </c>
      <c r="AA338" s="323" t="str">
        <f>CONCATENATE("                x[team1,team2,sport,'",IF(OR(I338="x",I338=""),VLOOKUP('Schedule from TM'!J338,Tables!$P$3:$Q$33,2,FALSE),'Schedule from TM'!I338),",",J338,"','",IF(OR(F338="x",F338=""),VLOOKUP('Schedule from TM'!G338,Tables!$U$3:$V$14,2,FALSE),'Schedule from TM'!F338),",",TEXT(G338,"mm/dd/yyyy"),"','",TEXT(H338,"h:mm:ss AM/PM"),"'].ub=0.0      #",B338)</f>
        <v xml:space="preserve">                x[team1,team2,sport,'22,Hillel - Basketball Out','21,11/26/2017','12:10:00 PM'].ub=0.0      #Ch E Female Basketball</v>
      </c>
      <c r="AB338" s="301" t="str">
        <f t="shared" si="231"/>
        <v>,,Ch E Female Basketball,,1,CHILD EF - ARG 1</v>
      </c>
      <c r="AC338" s="153" t="str">
        <f t="shared" si="232"/>
        <v>Ch E Female BasketballCHILD EF - ARG 1</v>
      </c>
      <c r="AD338" s="301" t="str">
        <f t="shared" si="233"/>
        <v>,,Ch E Female Basketball,,1,CHILD EF - ISR 1</v>
      </c>
      <c r="AE338" s="153" t="str">
        <f t="shared" si="234"/>
        <v>Ch E Female BasketballCHILD EF - ISR 1</v>
      </c>
      <c r="AF338" s="383">
        <f t="shared" si="235"/>
        <v>0</v>
      </c>
      <c r="AG338" s="383">
        <f t="shared" si="236"/>
        <v>1</v>
      </c>
      <c r="AH338" s="383">
        <f t="shared" si="237"/>
        <v>0</v>
      </c>
      <c r="AI338" s="383">
        <f t="shared" si="238"/>
        <v>1</v>
      </c>
      <c r="AJ338" s="383">
        <f t="shared" si="239"/>
        <v>0</v>
      </c>
      <c r="AK338" s="383">
        <f t="shared" si="240"/>
        <v>0</v>
      </c>
      <c r="AM338" s="148" t="str">
        <f t="shared" si="241"/>
        <v>Schedulled</v>
      </c>
      <c r="AN338" s="148" t="str">
        <f t="shared" si="242"/>
        <v/>
      </c>
      <c r="AO338" s="156">
        <f t="shared" si="243"/>
        <v>43065.506944444445</v>
      </c>
      <c r="AP338" s="148" t="str">
        <f t="shared" si="244"/>
        <v>11/26/2017 12:10-&gt;Hillel - Basketball Out</v>
      </c>
      <c r="AQ338" s="374">
        <f t="shared" si="245"/>
        <v>1</v>
      </c>
      <c r="AR338" s="148" t="str">
        <f t="shared" si="246"/>
        <v>ARG1</v>
      </c>
      <c r="AS338" s="148" t="str">
        <f t="shared" si="247"/>
        <v>ISR1</v>
      </c>
      <c r="AT338" s="157" t="str">
        <f t="shared" si="248"/>
        <v>ARG1-ISR1</v>
      </c>
      <c r="AU338" s="157" t="str">
        <f t="shared" si="249"/>
        <v xml:space="preserve">ARG1-ISR1 </v>
      </c>
      <c r="AV338" s="157" t="str">
        <f t="shared" si="250"/>
        <v>CHILDREN E FEMALE</v>
      </c>
      <c r="AW338" s="157" t="str">
        <f t="shared" si="251"/>
        <v>Basketball</v>
      </c>
      <c r="AX338" s="450">
        <f t="shared" si="252"/>
        <v>336</v>
      </c>
      <c r="AY338" s="148" t="str">
        <f t="shared" si="253"/>
        <v>CHILD EF - ARG 1-&gt;CHILD EF - ISR 1</v>
      </c>
      <c r="AZ338" s="148" t="str">
        <f t="shared" si="254"/>
        <v>11/26/2017 12:10-&gt;CHILD EF - ARG 1</v>
      </c>
      <c r="BA338" s="148" t="str">
        <f t="shared" si="255"/>
        <v>11/26/2017 12:10-&gt;CHILD EF - ISR 1</v>
      </c>
      <c r="BB338" s="374">
        <f t="shared" si="256"/>
        <v>1</v>
      </c>
      <c r="BC338" s="374">
        <f t="shared" si="257"/>
        <v>1</v>
      </c>
      <c r="BD338" s="148" t="str">
        <f t="shared" si="258"/>
        <v>no conflict</v>
      </c>
      <c r="BF338" s="148" t="str">
        <f t="shared" si="259"/>
        <v>11/26/2017 12:10-&gt;CHILD EF - ARG 1</v>
      </c>
      <c r="BG338" s="148" t="str">
        <f t="shared" si="260"/>
        <v>11/26/2017 12:10-&gt;CHILD EF - ISR 1</v>
      </c>
      <c r="BH338" s="148" t="str">
        <f t="shared" si="261"/>
        <v>11/26/2017 12:10-&gt;Hillel - Basketball Out</v>
      </c>
      <c r="BI338" s="148" t="str">
        <f t="shared" si="262"/>
        <v>Basketball in Hillel - Basketball Out (ARG1-ISR1)</v>
      </c>
      <c r="BJ338" s="148" t="str">
        <f t="shared" si="263"/>
        <v>Ch E Female Basketball-- CHILD EF - ARG 1 vs. CHILD EF - ISR 1</v>
      </c>
      <c r="BK338" s="148" t="str">
        <f t="shared" si="264"/>
        <v>Basketball</v>
      </c>
      <c r="BL338" s="148" t="str">
        <f t="shared" si="265"/>
        <v>CHILD EF - ARG 1</v>
      </c>
      <c r="BM338" s="148" t="str">
        <f t="shared" si="266"/>
        <v>CHILD EF - ISR 1</v>
      </c>
      <c r="BN338" s="148" t="str">
        <f t="shared" si="267"/>
        <v>Round - 1</v>
      </c>
      <c r="BP338" s="148" t="str">
        <f t="shared" si="268"/>
        <v>no t, f, or sf</v>
      </c>
      <c r="BQ338" s="148" t="str">
        <f t="shared" si="269"/>
        <v/>
      </c>
    </row>
    <row r="339" spans="1:83" ht="15" customHeight="1" x14ac:dyDescent="0.2">
      <c r="A339" s="376">
        <v>337</v>
      </c>
      <c r="B339" s="328" t="s">
        <v>145</v>
      </c>
      <c r="C339" s="315" t="s">
        <v>518</v>
      </c>
      <c r="D339" s="378">
        <v>1</v>
      </c>
      <c r="E339" s="378">
        <v>1</v>
      </c>
      <c r="F339" s="315" t="s">
        <v>770</v>
      </c>
      <c r="G339" s="316">
        <v>43058</v>
      </c>
      <c r="H339" s="317">
        <v>0.40277777777777773</v>
      </c>
      <c r="I339" s="325" t="s">
        <v>770</v>
      </c>
      <c r="J339" s="443" t="s">
        <v>706</v>
      </c>
      <c r="K339" s="315">
        <v>53</v>
      </c>
      <c r="L339" s="441" t="s">
        <v>606</v>
      </c>
      <c r="M339" s="444">
        <v>53</v>
      </c>
      <c r="N339" s="441" t="s">
        <v>611</v>
      </c>
      <c r="O339" s="153" t="str">
        <f>IF(L339&lt;&gt;"",IFERROR(VLOOKUP(B339&amp;L339,Pools!$A$2:$D$130,3,FALSE),""),"")</f>
        <v/>
      </c>
      <c r="P339" s="388">
        <v>4</v>
      </c>
      <c r="Q339" s="388">
        <v>12</v>
      </c>
      <c r="R339" s="306" t="str">
        <f t="shared" si="225"/>
        <v>4-12</v>
      </c>
      <c r="S339" s="153"/>
      <c r="T339" s="148" t="str">
        <f t="shared" si="226"/>
        <v>Completed</v>
      </c>
      <c r="U339" s="153"/>
      <c r="V339" s="153"/>
      <c r="W339" s="387">
        <f t="shared" si="227"/>
        <v>-5</v>
      </c>
      <c r="X339" s="387">
        <f t="shared" si="228"/>
        <v>5</v>
      </c>
      <c r="Y339" s="301">
        <f t="shared" si="229"/>
        <v>0</v>
      </c>
      <c r="Z339" s="301">
        <f t="shared" si="230"/>
        <v>2</v>
      </c>
      <c r="AA339" s="323" t="str">
        <f>CONCATENATE("                x[team1,team2,sport,'",IF(OR(I339="x",I339=""),VLOOKUP('Schedule from TM'!J339,Tables!$P$3:$Q$33,2,FALSE),'Schedule from TM'!I339),",",J339,"','",IF(OR(F339="x",F339=""),VLOOKUP('Schedule from TM'!G339,Tables!$U$3:$V$14,2,FALSE),'Schedule from TM'!F339),",",TEXT(G339,"mm/dd/yyyy"),"','",TEXT(H339,"h:mm:ss AM/PM"),"'].ub=0.0      #",B339)</f>
        <v xml:space="preserve">                x[team1,team2,sport,'21,Hillel - Field 4','11,11/19/2017','9:40:00 AM'].ub=0.0      #Ch E Female Kickball</v>
      </c>
      <c r="AB339" s="301" t="str">
        <f t="shared" si="231"/>
        <v>,,Ch E Female Kickball,,1,CHILD EF - COL 1</v>
      </c>
      <c r="AC339" s="153" t="str">
        <f t="shared" si="232"/>
        <v>Ch E Female KickballCHILD EF - COL 1</v>
      </c>
      <c r="AD339" s="301" t="str">
        <f t="shared" si="233"/>
        <v>,,Ch E Female Kickball,,1,CHILD EF - COL 2</v>
      </c>
      <c r="AE339" s="153" t="str">
        <f t="shared" si="234"/>
        <v>Ch E Female KickballCHILD EF - COL 2</v>
      </c>
      <c r="AF339" s="383">
        <f t="shared" si="235"/>
        <v>0</v>
      </c>
      <c r="AG339" s="383">
        <f t="shared" si="236"/>
        <v>1</v>
      </c>
      <c r="AH339" s="383">
        <f t="shared" si="237"/>
        <v>0</v>
      </c>
      <c r="AI339" s="383">
        <f t="shared" si="238"/>
        <v>1</v>
      </c>
      <c r="AJ339" s="383">
        <f t="shared" si="239"/>
        <v>0</v>
      </c>
      <c r="AK339" s="383">
        <f t="shared" si="240"/>
        <v>0</v>
      </c>
      <c r="AM339" s="148" t="str">
        <f t="shared" si="241"/>
        <v>Schedulled</v>
      </c>
      <c r="AN339" s="148" t="str">
        <f t="shared" si="242"/>
        <v/>
      </c>
      <c r="AO339" s="156">
        <f t="shared" si="243"/>
        <v>43058.402777777781</v>
      </c>
      <c r="AP339" s="148" t="str">
        <f t="shared" si="244"/>
        <v>11/19/2017 09:40-&gt;Hillel - Field 4</v>
      </c>
      <c r="AQ339" s="374">
        <f t="shared" si="245"/>
        <v>1</v>
      </c>
      <c r="AR339" s="148" t="str">
        <f t="shared" si="246"/>
        <v>COL1</v>
      </c>
      <c r="AS339" s="148" t="str">
        <f t="shared" si="247"/>
        <v>COL2</v>
      </c>
      <c r="AT339" s="157" t="str">
        <f t="shared" si="248"/>
        <v>COL1-COL2</v>
      </c>
      <c r="AU339" s="157" t="str">
        <f t="shared" si="249"/>
        <v xml:space="preserve">COL1-COL2 </v>
      </c>
      <c r="AV339" s="157" t="str">
        <f t="shared" si="250"/>
        <v>CHILDREN E FEMALE</v>
      </c>
      <c r="AW339" s="157" t="str">
        <f t="shared" si="251"/>
        <v>Kickball</v>
      </c>
      <c r="AX339" s="376">
        <f t="shared" si="252"/>
        <v>337</v>
      </c>
      <c r="AY339" s="148" t="str">
        <f t="shared" si="253"/>
        <v>CHILD EF - COL 1-&gt;CHILD EF - COL 2</v>
      </c>
      <c r="AZ339" s="148" t="str">
        <f t="shared" si="254"/>
        <v>11/19/2017 09:40-&gt;CHILD EF - COL 1</v>
      </c>
      <c r="BA339" s="148" t="str">
        <f t="shared" si="255"/>
        <v>11/19/2017 09:40-&gt;CHILD EF - COL 2</v>
      </c>
      <c r="BB339" s="374">
        <f t="shared" si="256"/>
        <v>1</v>
      </c>
      <c r="BC339" s="374">
        <f t="shared" si="257"/>
        <v>1</v>
      </c>
      <c r="BD339" s="148" t="str">
        <f t="shared" si="258"/>
        <v>no conflict</v>
      </c>
      <c r="BF339" s="148" t="str">
        <f t="shared" si="259"/>
        <v>11/19/2017 09:40-&gt;CHILD EF - COL 1</v>
      </c>
      <c r="BG339" s="148" t="str">
        <f t="shared" si="260"/>
        <v>11/19/2017 09:40-&gt;CHILD EF - COL 2</v>
      </c>
      <c r="BH339" s="148" t="str">
        <f t="shared" si="261"/>
        <v>11/19/2017 09:40-&gt;Hillel - Field 4</v>
      </c>
      <c r="BI339" s="148" t="str">
        <f t="shared" si="262"/>
        <v>Kickball in Hillel - Field 4 (COL1-COL2)</v>
      </c>
      <c r="BJ339" s="148" t="str">
        <f t="shared" si="263"/>
        <v>Ch E Female Kickball-- CHILD EF - COL 1 vs. CHILD EF - COL 2</v>
      </c>
      <c r="BK339" s="148" t="str">
        <f t="shared" si="264"/>
        <v>Kickball</v>
      </c>
      <c r="BL339" s="148" t="str">
        <f t="shared" si="265"/>
        <v>CHILD EF - COL 1</v>
      </c>
      <c r="BM339" s="148" t="str">
        <f t="shared" si="266"/>
        <v>CHILD EF - COL 2</v>
      </c>
      <c r="BN339" s="148" t="str">
        <f t="shared" si="267"/>
        <v>Round - 1</v>
      </c>
      <c r="BP339" s="148" t="str">
        <f t="shared" si="268"/>
        <v>no t, f, or sf</v>
      </c>
      <c r="BQ339" s="148" t="str">
        <f t="shared" si="269"/>
        <v/>
      </c>
    </row>
    <row r="340" spans="1:83" ht="15" customHeight="1" x14ac:dyDescent="0.2">
      <c r="A340" s="376">
        <v>338</v>
      </c>
      <c r="B340" s="315" t="s">
        <v>145</v>
      </c>
      <c r="C340" s="315" t="s">
        <v>518</v>
      </c>
      <c r="D340" s="378">
        <v>1</v>
      </c>
      <c r="E340" s="378">
        <v>1</v>
      </c>
      <c r="F340" s="315" t="s">
        <v>770</v>
      </c>
      <c r="G340" s="316">
        <v>43058</v>
      </c>
      <c r="H340" s="317">
        <v>0.47222222222222227</v>
      </c>
      <c r="I340" s="325" t="s">
        <v>770</v>
      </c>
      <c r="J340" s="315" t="s">
        <v>705</v>
      </c>
      <c r="K340" s="315">
        <v>53</v>
      </c>
      <c r="L340" s="444" t="s">
        <v>605</v>
      </c>
      <c r="M340" s="444">
        <v>53</v>
      </c>
      <c r="N340" s="444" t="s">
        <v>606</v>
      </c>
      <c r="O340" s="153" t="str">
        <f>IF(L340&lt;&gt;"",IFERROR(VLOOKUP(B340&amp;L340,Pools!$A$2:$D$130,3,FALSE),""),"")</f>
        <v/>
      </c>
      <c r="P340" s="388">
        <v>3</v>
      </c>
      <c r="Q340" s="388">
        <v>1</v>
      </c>
      <c r="R340" s="306" t="str">
        <f t="shared" si="225"/>
        <v>3-1</v>
      </c>
      <c r="S340" s="153"/>
      <c r="T340" s="148" t="str">
        <f t="shared" si="226"/>
        <v>Completed</v>
      </c>
      <c r="U340" s="153"/>
      <c r="V340" s="153"/>
      <c r="W340" s="387">
        <f t="shared" si="227"/>
        <v>2</v>
      </c>
      <c r="X340" s="387">
        <f t="shared" si="228"/>
        <v>-2</v>
      </c>
      <c r="Y340" s="301">
        <f t="shared" si="229"/>
        <v>2</v>
      </c>
      <c r="Z340" s="301">
        <f t="shared" si="230"/>
        <v>0</v>
      </c>
      <c r="AA340" s="323" t="str">
        <f>CONCATENATE("                x[team1,team2,sport,'",IF(OR(I340="x",I340=""),VLOOKUP('Schedule from TM'!J340,Tables!$P$3:$Q$33,2,FALSE),'Schedule from TM'!I340),",",J340,"','",IF(OR(F340="x",F340=""),VLOOKUP('Schedule from TM'!G340,Tables!$U$3:$V$14,2,FALSE),'Schedule from TM'!F340),",",TEXT(G340,"mm/dd/yyyy"),"','",TEXT(H340,"h:mm:ss AM/PM"),"'].ub=0.0      #",B340)</f>
        <v xml:space="preserve">                x[team1,team2,sport,'21,Hillel - Field 3','11,11/19/2017','11:20:00 AM'].ub=0.0      #Ch E Female Kickball</v>
      </c>
      <c r="AB340" s="301" t="str">
        <f t="shared" si="231"/>
        <v>,,Ch E Female Kickball,,1,CHILD EF - ARG 1</v>
      </c>
      <c r="AC340" s="153" t="str">
        <f t="shared" si="232"/>
        <v>Ch E Female KickballCHILD EF - ARG 1</v>
      </c>
      <c r="AD340" s="301" t="str">
        <f t="shared" si="233"/>
        <v>,,Ch E Female Kickball,,1,CHILD EF - COL 1</v>
      </c>
      <c r="AE340" s="153" t="str">
        <f t="shared" si="234"/>
        <v>Ch E Female KickballCHILD EF - COL 1</v>
      </c>
      <c r="AF340" s="383">
        <f t="shared" si="235"/>
        <v>1</v>
      </c>
      <c r="AG340" s="383">
        <f t="shared" si="236"/>
        <v>0</v>
      </c>
      <c r="AH340" s="383">
        <f t="shared" si="237"/>
        <v>0</v>
      </c>
      <c r="AI340" s="383">
        <f t="shared" si="238"/>
        <v>0</v>
      </c>
      <c r="AJ340" s="383">
        <f t="shared" si="239"/>
        <v>1</v>
      </c>
      <c r="AK340" s="383">
        <f t="shared" si="240"/>
        <v>0</v>
      </c>
      <c r="AM340" s="148" t="str">
        <f t="shared" si="241"/>
        <v>Schedulled</v>
      </c>
      <c r="AN340" s="148" t="str">
        <f t="shared" si="242"/>
        <v/>
      </c>
      <c r="AO340" s="156">
        <f t="shared" si="243"/>
        <v>43058.472222222219</v>
      </c>
      <c r="AP340" s="148" t="str">
        <f t="shared" si="244"/>
        <v>11/19/2017 11:20-&gt;Hillel - Field 3</v>
      </c>
      <c r="AQ340" s="374">
        <f t="shared" si="245"/>
        <v>1</v>
      </c>
      <c r="AR340" s="148" t="str">
        <f t="shared" si="246"/>
        <v>ARG1</v>
      </c>
      <c r="AS340" s="148" t="str">
        <f t="shared" si="247"/>
        <v>COL1</v>
      </c>
      <c r="AT340" s="157" t="str">
        <f t="shared" si="248"/>
        <v>ARG1-COL1</v>
      </c>
      <c r="AU340" s="157" t="str">
        <f t="shared" si="249"/>
        <v xml:space="preserve">ARG1-COL1 </v>
      </c>
      <c r="AV340" s="157" t="str">
        <f t="shared" si="250"/>
        <v>CHILDREN E FEMALE</v>
      </c>
      <c r="AW340" s="157" t="str">
        <f t="shared" si="251"/>
        <v>Kickball</v>
      </c>
      <c r="AX340" s="376">
        <f t="shared" si="252"/>
        <v>338</v>
      </c>
      <c r="AY340" s="148" t="str">
        <f t="shared" si="253"/>
        <v>CHILD EF - ARG 1-&gt;CHILD EF - COL 1</v>
      </c>
      <c r="AZ340" s="148" t="str">
        <f t="shared" si="254"/>
        <v>11/19/2017 11:20-&gt;CHILD EF - ARG 1</v>
      </c>
      <c r="BA340" s="148" t="str">
        <f t="shared" si="255"/>
        <v>11/19/2017 11:20-&gt;CHILD EF - COL 1</v>
      </c>
      <c r="BB340" s="374">
        <f t="shared" si="256"/>
        <v>1</v>
      </c>
      <c r="BC340" s="374">
        <f t="shared" si="257"/>
        <v>1</v>
      </c>
      <c r="BD340" s="148" t="str">
        <f t="shared" si="258"/>
        <v>no conflict</v>
      </c>
      <c r="BF340" s="148" t="str">
        <f t="shared" si="259"/>
        <v>11/19/2017 11:20-&gt;CHILD EF - ARG 1</v>
      </c>
      <c r="BG340" s="148" t="str">
        <f t="shared" si="260"/>
        <v>11/19/2017 11:20-&gt;CHILD EF - COL 1</v>
      </c>
      <c r="BH340" s="148" t="str">
        <f t="shared" si="261"/>
        <v>11/19/2017 11:20-&gt;Hillel - Field 3</v>
      </c>
      <c r="BI340" s="148" t="str">
        <f t="shared" si="262"/>
        <v>Kickball in Hillel - Field 3 (ARG1-COL1)</v>
      </c>
      <c r="BJ340" s="148" t="str">
        <f t="shared" si="263"/>
        <v>Ch E Female Kickball-- CHILD EF - ARG 1 vs. CHILD EF - COL 1</v>
      </c>
      <c r="BK340" s="148" t="str">
        <f t="shared" si="264"/>
        <v>Kickball</v>
      </c>
      <c r="BL340" s="148" t="str">
        <f t="shared" si="265"/>
        <v>CHILD EF - ARG 1</v>
      </c>
      <c r="BM340" s="148" t="str">
        <f t="shared" si="266"/>
        <v>CHILD EF - COL 1</v>
      </c>
      <c r="BN340" s="148" t="str">
        <f t="shared" si="267"/>
        <v>Round - 1</v>
      </c>
      <c r="BP340" s="148" t="str">
        <f t="shared" si="268"/>
        <v>no t, f, or sf</v>
      </c>
      <c r="BQ340" s="148" t="str">
        <f t="shared" si="269"/>
        <v/>
      </c>
    </row>
    <row r="341" spans="1:83" ht="15" customHeight="1" x14ac:dyDescent="0.2">
      <c r="A341" s="376">
        <v>339</v>
      </c>
      <c r="B341" s="441" t="s">
        <v>145</v>
      </c>
      <c r="C341" s="441" t="s">
        <v>518</v>
      </c>
      <c r="D341" s="450">
        <v>1</v>
      </c>
      <c r="E341" s="450">
        <v>1</v>
      </c>
      <c r="F341" s="315" t="s">
        <v>770</v>
      </c>
      <c r="G341" s="320">
        <v>43058</v>
      </c>
      <c r="H341" s="317">
        <v>0.50694444444444442</v>
      </c>
      <c r="I341" s="325" t="s">
        <v>770</v>
      </c>
      <c r="J341" s="441" t="s">
        <v>703</v>
      </c>
      <c r="K341" s="441">
        <v>53</v>
      </c>
      <c r="L341" s="441" t="s">
        <v>607</v>
      </c>
      <c r="M341" s="441">
        <v>53</v>
      </c>
      <c r="N341" s="441" t="s">
        <v>609</v>
      </c>
      <c r="O341" s="153" t="str">
        <f>IF(L341&lt;&gt;"",IFERROR(VLOOKUP(B341&amp;L341,Pools!$A$2:$D$130,3,FALSE),""),"")</f>
        <v/>
      </c>
      <c r="P341" s="388">
        <v>16</v>
      </c>
      <c r="Q341" s="388">
        <v>6</v>
      </c>
      <c r="R341" s="306" t="str">
        <f t="shared" si="225"/>
        <v>16-6</v>
      </c>
      <c r="S341" s="153"/>
      <c r="T341" s="148" t="str">
        <f t="shared" si="226"/>
        <v>Completed</v>
      </c>
      <c r="U341" s="153"/>
      <c r="V341" s="153"/>
      <c r="W341" s="387">
        <f t="shared" si="227"/>
        <v>5</v>
      </c>
      <c r="X341" s="387">
        <f t="shared" si="228"/>
        <v>-5</v>
      </c>
      <c r="Y341" s="301">
        <f t="shared" si="229"/>
        <v>2</v>
      </c>
      <c r="Z341" s="301">
        <f t="shared" si="230"/>
        <v>0</v>
      </c>
      <c r="AA341" s="323" t="str">
        <f>CONCATENATE("                x[team1,team2,sport,'",IF(OR(I341="x",I341=""),VLOOKUP('Schedule from TM'!J341,Tables!$P$3:$Q$33,2,FALSE),'Schedule from TM'!I341),",",J341,"','",IF(OR(F341="x",F341=""),VLOOKUP('Schedule from TM'!G341,Tables!$U$3:$V$14,2,FALSE),'Schedule from TM'!F341),",",TEXT(G341,"mm/dd/yyyy"),"','",TEXT(H341,"h:mm:ss AM/PM"),"'].ub=0.0      #",B341)</f>
        <v xml:space="preserve">                x[team1,team2,sport,'21,Hillel - Field 1','11,11/19/2017','12:10:00 PM'].ub=0.0      #Ch E Female Kickball</v>
      </c>
      <c r="AB341" s="301" t="str">
        <f t="shared" si="231"/>
        <v>,,Ch E Female Kickball,,1,CHILD EF - ISR 1</v>
      </c>
      <c r="AC341" s="153" t="str">
        <f t="shared" si="232"/>
        <v>Ch E Female KickballCHILD EF - ISR 1</v>
      </c>
      <c r="AD341" s="301" t="str">
        <f t="shared" si="233"/>
        <v>,,Ch E Female Kickball,,1,CHILD EF - USA 1</v>
      </c>
      <c r="AE341" s="153" t="str">
        <f t="shared" si="234"/>
        <v>Ch E Female KickballCHILD EF - USA 1</v>
      </c>
      <c r="AF341" s="383">
        <f t="shared" si="235"/>
        <v>1</v>
      </c>
      <c r="AG341" s="383">
        <f t="shared" si="236"/>
        <v>0</v>
      </c>
      <c r="AH341" s="383">
        <f t="shared" si="237"/>
        <v>0</v>
      </c>
      <c r="AI341" s="383">
        <f t="shared" si="238"/>
        <v>0</v>
      </c>
      <c r="AJ341" s="383">
        <f t="shared" si="239"/>
        <v>1</v>
      </c>
      <c r="AK341" s="383">
        <f t="shared" si="240"/>
        <v>0</v>
      </c>
      <c r="AM341" s="148" t="str">
        <f t="shared" si="241"/>
        <v>Schedulled</v>
      </c>
      <c r="AN341" s="148" t="str">
        <f t="shared" si="242"/>
        <v/>
      </c>
      <c r="AO341" s="156">
        <f t="shared" si="243"/>
        <v>43058.506944444445</v>
      </c>
      <c r="AP341" s="148" t="str">
        <f t="shared" si="244"/>
        <v>11/19/2017 12:10-&gt;Hillel - Field 1</v>
      </c>
      <c r="AQ341" s="374">
        <f t="shared" si="245"/>
        <v>1</v>
      </c>
      <c r="AR341" s="148" t="str">
        <f t="shared" si="246"/>
        <v>ISR1</v>
      </c>
      <c r="AS341" s="148" t="str">
        <f t="shared" si="247"/>
        <v>USA1</v>
      </c>
      <c r="AT341" s="157" t="str">
        <f t="shared" si="248"/>
        <v>ISR1-USA1</v>
      </c>
      <c r="AU341" s="157" t="str">
        <f t="shared" si="249"/>
        <v xml:space="preserve">ISR1-USA1 </v>
      </c>
      <c r="AV341" s="157" t="str">
        <f t="shared" si="250"/>
        <v>CHILDREN E FEMALE</v>
      </c>
      <c r="AW341" s="157" t="str">
        <f t="shared" si="251"/>
        <v>Kickball</v>
      </c>
      <c r="AX341" s="376">
        <f t="shared" si="252"/>
        <v>339</v>
      </c>
      <c r="AY341" s="148" t="str">
        <f t="shared" si="253"/>
        <v>CHILD EF - ISR 1-&gt;CHILD EF - USA 1</v>
      </c>
      <c r="AZ341" s="148" t="str">
        <f t="shared" si="254"/>
        <v>11/19/2017 12:10-&gt;CHILD EF - ISR 1</v>
      </c>
      <c r="BA341" s="148" t="str">
        <f t="shared" si="255"/>
        <v>11/19/2017 12:10-&gt;CHILD EF - USA 1</v>
      </c>
      <c r="BB341" s="374">
        <f t="shared" si="256"/>
        <v>1</v>
      </c>
      <c r="BC341" s="374">
        <f t="shared" si="257"/>
        <v>1</v>
      </c>
      <c r="BD341" s="148" t="str">
        <f t="shared" si="258"/>
        <v>no conflict</v>
      </c>
      <c r="BF341" s="148" t="str">
        <f t="shared" si="259"/>
        <v>11/19/2017 12:10-&gt;CHILD EF - ISR 1</v>
      </c>
      <c r="BG341" s="148" t="str">
        <f t="shared" si="260"/>
        <v>11/19/2017 12:10-&gt;CHILD EF - USA 1</v>
      </c>
      <c r="BH341" s="148" t="str">
        <f t="shared" si="261"/>
        <v>11/19/2017 12:10-&gt;Hillel - Field 1</v>
      </c>
      <c r="BI341" s="148" t="str">
        <f t="shared" si="262"/>
        <v>Kickball in Hillel - Field 1 (ISR1-USA1)</v>
      </c>
      <c r="BJ341" s="148" t="str">
        <f t="shared" si="263"/>
        <v>Ch E Female Kickball-- CHILD EF - ISR 1 vs. CHILD EF - USA 1</v>
      </c>
      <c r="BK341" s="148" t="str">
        <f t="shared" si="264"/>
        <v>Kickball</v>
      </c>
      <c r="BL341" s="148" t="str">
        <f t="shared" si="265"/>
        <v>CHILD EF - ISR 1</v>
      </c>
      <c r="BM341" s="148" t="str">
        <f t="shared" si="266"/>
        <v>CHILD EF - USA 1</v>
      </c>
      <c r="BN341" s="148" t="str">
        <f t="shared" si="267"/>
        <v>Round - 1</v>
      </c>
      <c r="BP341" s="148" t="str">
        <f t="shared" si="268"/>
        <v>no t, f, or sf</v>
      </c>
      <c r="BQ341" s="148" t="str">
        <f t="shared" si="269"/>
        <v/>
      </c>
    </row>
    <row r="342" spans="1:83" ht="15" customHeight="1" x14ac:dyDescent="0.2">
      <c r="A342" s="376">
        <v>340</v>
      </c>
      <c r="B342" s="441" t="s">
        <v>145</v>
      </c>
      <c r="C342" s="441" t="s">
        <v>518</v>
      </c>
      <c r="D342" s="450">
        <v>1</v>
      </c>
      <c r="E342" s="450">
        <v>1</v>
      </c>
      <c r="F342" s="315" t="s">
        <v>770</v>
      </c>
      <c r="G342" s="320">
        <v>43059</v>
      </c>
      <c r="H342" s="318">
        <v>0.71527777777777779</v>
      </c>
      <c r="I342" s="325" t="s">
        <v>770</v>
      </c>
      <c r="J342" s="296" t="s">
        <v>705</v>
      </c>
      <c r="K342" s="441">
        <v>53</v>
      </c>
      <c r="L342" s="441" t="s">
        <v>605</v>
      </c>
      <c r="M342" s="441">
        <v>53</v>
      </c>
      <c r="N342" s="441" t="s">
        <v>607</v>
      </c>
      <c r="O342" s="153" t="str">
        <f>IF(L342&lt;&gt;"",IFERROR(VLOOKUP(B342&amp;L342,Pools!$A$2:$D$130,3,FALSE),""),"")</f>
        <v/>
      </c>
      <c r="P342" s="388">
        <v>13</v>
      </c>
      <c r="Q342" s="388">
        <v>12</v>
      </c>
      <c r="R342" s="306" t="str">
        <f t="shared" si="225"/>
        <v>13-12</v>
      </c>
      <c r="S342" s="153"/>
      <c r="T342" s="148" t="str">
        <f t="shared" si="226"/>
        <v>Completed</v>
      </c>
      <c r="U342" s="153"/>
      <c r="V342" s="153"/>
      <c r="W342" s="387">
        <f t="shared" si="227"/>
        <v>1</v>
      </c>
      <c r="X342" s="387">
        <f t="shared" si="228"/>
        <v>-1</v>
      </c>
      <c r="Y342" s="301">
        <f t="shared" si="229"/>
        <v>2</v>
      </c>
      <c r="Z342" s="301">
        <f t="shared" si="230"/>
        <v>0</v>
      </c>
      <c r="AA342" s="323" t="str">
        <f>CONCATENATE("                x[team1,team2,sport,'",IF(OR(I342="x",I342=""),VLOOKUP('Schedule from TM'!J342,Tables!$P$3:$Q$33,2,FALSE),'Schedule from TM'!I342),",",J342,"','",IF(OR(F342="x",F342=""),VLOOKUP('Schedule from TM'!G342,Tables!$U$3:$V$14,2,FALSE),'Schedule from TM'!F342),",",TEXT(G342,"mm/dd/yyyy"),"','",TEXT(H342,"h:mm:ss AM/PM"),"'].ub=0.0      #",B342)</f>
        <v xml:space="preserve">                x[team1,team2,sport,'21,Hillel - Field 3','22,11/20/2017','5:10:00 PM'].ub=0.0      #Ch E Female Kickball</v>
      </c>
      <c r="AB342" s="301" t="str">
        <f t="shared" si="231"/>
        <v>,,Ch E Female Kickball,,1,CHILD EF - ARG 1</v>
      </c>
      <c r="AC342" s="153" t="str">
        <f t="shared" si="232"/>
        <v>Ch E Female KickballCHILD EF - ARG 1</v>
      </c>
      <c r="AD342" s="301" t="str">
        <f t="shared" si="233"/>
        <v>,,Ch E Female Kickball,,1,CHILD EF - ISR 1</v>
      </c>
      <c r="AE342" s="153" t="str">
        <f t="shared" si="234"/>
        <v>Ch E Female KickballCHILD EF - ISR 1</v>
      </c>
      <c r="AF342" s="383">
        <f t="shared" si="235"/>
        <v>1</v>
      </c>
      <c r="AG342" s="383">
        <f t="shared" si="236"/>
        <v>0</v>
      </c>
      <c r="AH342" s="383">
        <f t="shared" si="237"/>
        <v>0</v>
      </c>
      <c r="AI342" s="383">
        <f t="shared" si="238"/>
        <v>0</v>
      </c>
      <c r="AJ342" s="383">
        <f t="shared" si="239"/>
        <v>1</v>
      </c>
      <c r="AK342" s="383">
        <f t="shared" si="240"/>
        <v>0</v>
      </c>
      <c r="AM342" s="148" t="str">
        <f t="shared" si="241"/>
        <v>Schedulled</v>
      </c>
      <c r="AN342" s="148" t="str">
        <f t="shared" si="242"/>
        <v/>
      </c>
      <c r="AO342" s="156">
        <f t="shared" si="243"/>
        <v>43059.715277777781</v>
      </c>
      <c r="AP342" s="148" t="str">
        <f t="shared" si="244"/>
        <v>11/20/2017 17:10-&gt;Hillel - Field 3</v>
      </c>
      <c r="AQ342" s="374">
        <f t="shared" si="245"/>
        <v>1</v>
      </c>
      <c r="AR342" s="148" t="str">
        <f t="shared" si="246"/>
        <v>ARG1</v>
      </c>
      <c r="AS342" s="148" t="str">
        <f t="shared" si="247"/>
        <v>ISR1</v>
      </c>
      <c r="AT342" s="157" t="str">
        <f t="shared" si="248"/>
        <v>ARG1-ISR1</v>
      </c>
      <c r="AU342" s="157" t="str">
        <f t="shared" si="249"/>
        <v xml:space="preserve">ARG1-ISR1 </v>
      </c>
      <c r="AV342" s="157" t="str">
        <f t="shared" si="250"/>
        <v>CHILDREN E FEMALE</v>
      </c>
      <c r="AW342" s="157" t="str">
        <f t="shared" si="251"/>
        <v>Kickball</v>
      </c>
      <c r="AX342" s="376">
        <f t="shared" si="252"/>
        <v>340</v>
      </c>
      <c r="AY342" s="148" t="str">
        <f t="shared" si="253"/>
        <v>CHILD EF - ARG 1-&gt;CHILD EF - ISR 1</v>
      </c>
      <c r="AZ342" s="148" t="str">
        <f t="shared" si="254"/>
        <v>11/20/2017 17:10-&gt;CHILD EF - ARG 1</v>
      </c>
      <c r="BA342" s="148" t="str">
        <f t="shared" si="255"/>
        <v>11/20/2017 17:10-&gt;CHILD EF - ISR 1</v>
      </c>
      <c r="BB342" s="374">
        <f t="shared" si="256"/>
        <v>1</v>
      </c>
      <c r="BC342" s="374">
        <f t="shared" si="257"/>
        <v>1</v>
      </c>
      <c r="BD342" s="148" t="str">
        <f t="shared" si="258"/>
        <v>no conflict</v>
      </c>
      <c r="BF342" s="148" t="str">
        <f t="shared" si="259"/>
        <v>11/20/2017 17:10-&gt;CHILD EF - ARG 1</v>
      </c>
      <c r="BG342" s="148" t="str">
        <f t="shared" si="260"/>
        <v>11/20/2017 17:10-&gt;CHILD EF - ISR 1</v>
      </c>
      <c r="BH342" s="148" t="str">
        <f t="shared" si="261"/>
        <v>11/20/2017 17:10-&gt;Hillel - Field 3</v>
      </c>
      <c r="BI342" s="148" t="str">
        <f t="shared" si="262"/>
        <v>Kickball in Hillel - Field 3 (ARG1-ISR1)</v>
      </c>
      <c r="BJ342" s="148" t="str">
        <f t="shared" si="263"/>
        <v>Ch E Female Kickball-- CHILD EF - ARG 1 vs. CHILD EF - ISR 1</v>
      </c>
      <c r="BK342" s="148" t="str">
        <f t="shared" si="264"/>
        <v>Kickball</v>
      </c>
      <c r="BL342" s="148" t="str">
        <f t="shared" si="265"/>
        <v>CHILD EF - ARG 1</v>
      </c>
      <c r="BM342" s="148" t="str">
        <f t="shared" si="266"/>
        <v>CHILD EF - ISR 1</v>
      </c>
      <c r="BN342" s="148" t="str">
        <f t="shared" si="267"/>
        <v>Round - 1</v>
      </c>
      <c r="BP342" s="148" t="str">
        <f t="shared" si="268"/>
        <v>no t, f, or sf</v>
      </c>
      <c r="BQ342" s="148" t="str">
        <f t="shared" si="269"/>
        <v/>
      </c>
    </row>
    <row r="343" spans="1:83" ht="15" customHeight="1" x14ac:dyDescent="0.2">
      <c r="A343" s="376">
        <v>341</v>
      </c>
      <c r="B343" s="441" t="s">
        <v>145</v>
      </c>
      <c r="C343" s="441" t="s">
        <v>518</v>
      </c>
      <c r="D343" s="450">
        <v>1</v>
      </c>
      <c r="E343" s="450">
        <v>1</v>
      </c>
      <c r="F343" s="315" t="s">
        <v>770</v>
      </c>
      <c r="G343" s="320">
        <v>43059</v>
      </c>
      <c r="H343" s="318">
        <v>0.75</v>
      </c>
      <c r="I343" s="325" t="s">
        <v>770</v>
      </c>
      <c r="J343" s="441" t="s">
        <v>705</v>
      </c>
      <c r="K343" s="441">
        <v>53</v>
      </c>
      <c r="L343" s="441" t="s">
        <v>611</v>
      </c>
      <c r="M343" s="441">
        <v>53</v>
      </c>
      <c r="N343" s="441" t="s">
        <v>612</v>
      </c>
      <c r="O343" s="153" t="str">
        <f>IF(L343&lt;&gt;"",IFERROR(VLOOKUP(B343&amp;L343,Pools!$A$2:$D$130,3,FALSE),""),"")</f>
        <v/>
      </c>
      <c r="P343" s="388">
        <v>15</v>
      </c>
      <c r="Q343" s="388">
        <v>18</v>
      </c>
      <c r="R343" s="306" t="str">
        <f t="shared" si="225"/>
        <v>15-18</v>
      </c>
      <c r="S343" s="153"/>
      <c r="T343" s="148" t="str">
        <f t="shared" si="226"/>
        <v>Completed</v>
      </c>
      <c r="U343" s="153"/>
      <c r="V343" s="153"/>
      <c r="W343" s="387">
        <f t="shared" si="227"/>
        <v>-3</v>
      </c>
      <c r="X343" s="387">
        <f t="shared" si="228"/>
        <v>3</v>
      </c>
      <c r="Y343" s="301">
        <f t="shared" si="229"/>
        <v>0</v>
      </c>
      <c r="Z343" s="301">
        <f t="shared" si="230"/>
        <v>2</v>
      </c>
      <c r="AA343" s="323" t="str">
        <f>CONCATENATE("                x[team1,team2,sport,'",IF(OR(I343="x",I343=""),VLOOKUP('Schedule from TM'!J343,Tables!$P$3:$Q$33,2,FALSE),'Schedule from TM'!I343),",",J343,"','",IF(OR(F343="x",F343=""),VLOOKUP('Schedule from TM'!G343,Tables!$U$3:$V$14,2,FALSE),'Schedule from TM'!F343),",",TEXT(G343,"mm/dd/yyyy"),"','",TEXT(H343,"h:mm:ss AM/PM"),"'].ub=0.0      #",B343)</f>
        <v xml:space="preserve">                x[team1,team2,sport,'21,Hillel - Field 3','22,11/20/2017','6:00:00 PM'].ub=0.0      #Ch E Female Kickball</v>
      </c>
      <c r="AB343" s="301" t="str">
        <f t="shared" si="231"/>
        <v>,,Ch E Female Kickball,,1,CHILD EF - COL 2</v>
      </c>
      <c r="AC343" s="153" t="str">
        <f t="shared" si="232"/>
        <v>Ch E Female KickballCHILD EF - COL 2</v>
      </c>
      <c r="AD343" s="301" t="str">
        <f t="shared" si="233"/>
        <v>,,Ch E Female Kickball,,1,CHILD EF - PER</v>
      </c>
      <c r="AE343" s="153" t="str">
        <f t="shared" si="234"/>
        <v>Ch E Female KickballCHILD EF - PER</v>
      </c>
      <c r="AF343" s="383">
        <f t="shared" si="235"/>
        <v>0</v>
      </c>
      <c r="AG343" s="383">
        <f t="shared" si="236"/>
        <v>1</v>
      </c>
      <c r="AH343" s="383">
        <f t="shared" si="237"/>
        <v>0</v>
      </c>
      <c r="AI343" s="383">
        <f t="shared" si="238"/>
        <v>1</v>
      </c>
      <c r="AJ343" s="383">
        <f t="shared" si="239"/>
        <v>0</v>
      </c>
      <c r="AK343" s="383">
        <f t="shared" si="240"/>
        <v>0</v>
      </c>
      <c r="AM343" s="148" t="str">
        <f t="shared" si="241"/>
        <v>Schedulled</v>
      </c>
      <c r="AN343" s="148" t="str">
        <f t="shared" si="242"/>
        <v/>
      </c>
      <c r="AO343" s="156">
        <f t="shared" si="243"/>
        <v>43059.75</v>
      </c>
      <c r="AP343" s="148" t="str">
        <f t="shared" si="244"/>
        <v>11/20/2017 18:00-&gt;Hillel - Field 3</v>
      </c>
      <c r="AQ343" s="374">
        <f t="shared" si="245"/>
        <v>1</v>
      </c>
      <c r="AR343" s="148" t="str">
        <f t="shared" si="246"/>
        <v>COL2</v>
      </c>
      <c r="AS343" s="148" t="str">
        <f t="shared" si="247"/>
        <v>PER</v>
      </c>
      <c r="AT343" s="157" t="str">
        <f t="shared" si="248"/>
        <v>COL2-PER</v>
      </c>
      <c r="AU343" s="157" t="str">
        <f t="shared" si="249"/>
        <v xml:space="preserve">COL2-PER </v>
      </c>
      <c r="AV343" s="157" t="str">
        <f t="shared" si="250"/>
        <v>CHILDREN E FEMALE</v>
      </c>
      <c r="AW343" s="157" t="str">
        <f t="shared" si="251"/>
        <v>Kickball</v>
      </c>
      <c r="AX343" s="376">
        <f t="shared" si="252"/>
        <v>341</v>
      </c>
      <c r="AY343" s="148" t="str">
        <f t="shared" si="253"/>
        <v>CHILD EF - COL 2-&gt;CHILD EF - PER</v>
      </c>
      <c r="AZ343" s="148" t="str">
        <f t="shared" si="254"/>
        <v>11/20/2017 18:00-&gt;CHILD EF - COL 2</v>
      </c>
      <c r="BA343" s="148" t="str">
        <f t="shared" si="255"/>
        <v>11/20/2017 18:00-&gt;CHILD EF - PER</v>
      </c>
      <c r="BB343" s="374">
        <f t="shared" si="256"/>
        <v>1</v>
      </c>
      <c r="BC343" s="374">
        <f t="shared" si="257"/>
        <v>1</v>
      </c>
      <c r="BD343" s="148" t="str">
        <f t="shared" si="258"/>
        <v>no conflict</v>
      </c>
      <c r="BF343" s="148" t="str">
        <f t="shared" si="259"/>
        <v>11/20/2017 18:00-&gt;CHILD EF - COL 2</v>
      </c>
      <c r="BG343" s="148" t="str">
        <f t="shared" si="260"/>
        <v>11/20/2017 18:00-&gt;CHILD EF - PER</v>
      </c>
      <c r="BH343" s="148" t="str">
        <f t="shared" si="261"/>
        <v>11/20/2017 18:00-&gt;Hillel - Field 3</v>
      </c>
      <c r="BI343" s="148" t="str">
        <f t="shared" si="262"/>
        <v>Kickball in Hillel - Field 3 (COL2-PER)</v>
      </c>
      <c r="BJ343" s="148" t="str">
        <f t="shared" si="263"/>
        <v>Ch E Female Kickball-- CHILD EF - COL 2 vs. CHILD EF - PER</v>
      </c>
      <c r="BK343" s="148" t="str">
        <f t="shared" si="264"/>
        <v>Kickball</v>
      </c>
      <c r="BL343" s="148" t="str">
        <f t="shared" si="265"/>
        <v>CHILD EF - COL 2</v>
      </c>
      <c r="BM343" s="148" t="str">
        <f t="shared" si="266"/>
        <v>CHILD EF - PER</v>
      </c>
      <c r="BN343" s="148" t="str">
        <f t="shared" si="267"/>
        <v>Round - 1</v>
      </c>
      <c r="BP343" s="148" t="str">
        <f t="shared" si="268"/>
        <v>no t, f, or sf</v>
      </c>
      <c r="BQ343" s="148" t="str">
        <f t="shared" si="269"/>
        <v/>
      </c>
    </row>
    <row r="344" spans="1:83" ht="15" customHeight="1" x14ac:dyDescent="0.2">
      <c r="A344" s="376">
        <v>342</v>
      </c>
      <c r="B344" s="441" t="s">
        <v>145</v>
      </c>
      <c r="C344" s="441" t="s">
        <v>518</v>
      </c>
      <c r="D344" s="450">
        <v>1</v>
      </c>
      <c r="E344" s="450">
        <v>1</v>
      </c>
      <c r="F344" s="315" t="s">
        <v>770</v>
      </c>
      <c r="G344" s="320">
        <v>43059</v>
      </c>
      <c r="H344" s="318">
        <v>0.75</v>
      </c>
      <c r="I344" s="325" t="s">
        <v>770</v>
      </c>
      <c r="J344" s="441" t="s">
        <v>704</v>
      </c>
      <c r="K344" s="441">
        <v>53</v>
      </c>
      <c r="L344" s="441" t="s">
        <v>608</v>
      </c>
      <c r="M344" s="441">
        <v>53</v>
      </c>
      <c r="N344" s="441" t="s">
        <v>609</v>
      </c>
      <c r="O344" s="153" t="str">
        <f>IF(L344&lt;&gt;"",IFERROR(VLOOKUP(B344&amp;L344,Pools!$A$2:$D$130,3,FALSE),""),"")</f>
        <v/>
      </c>
      <c r="P344" s="388">
        <v>3</v>
      </c>
      <c r="Q344" s="388">
        <v>9</v>
      </c>
      <c r="R344" s="306" t="str">
        <f t="shared" si="225"/>
        <v>3-9</v>
      </c>
      <c r="S344" s="153"/>
      <c r="T344" s="148" t="str">
        <f t="shared" si="226"/>
        <v>Completed</v>
      </c>
      <c r="U344" s="153"/>
      <c r="V344" s="153"/>
      <c r="W344" s="387">
        <f t="shared" si="227"/>
        <v>-5</v>
      </c>
      <c r="X344" s="387">
        <f t="shared" si="228"/>
        <v>5</v>
      </c>
      <c r="Y344" s="301">
        <f t="shared" si="229"/>
        <v>0</v>
      </c>
      <c r="Z344" s="301">
        <f t="shared" si="230"/>
        <v>2</v>
      </c>
      <c r="AA344" s="323" t="str">
        <f>CONCATENATE("                x[team1,team2,sport,'",IF(OR(I344="x",I344=""),VLOOKUP('Schedule from TM'!J344,Tables!$P$3:$Q$33,2,FALSE),'Schedule from TM'!I344),",",J344,"','",IF(OR(F344="x",F344=""),VLOOKUP('Schedule from TM'!G344,Tables!$U$3:$V$14,2,FALSE),'Schedule from TM'!F344),",",TEXT(G344,"mm/dd/yyyy"),"','",TEXT(H344,"h:mm:ss AM/PM"),"'].ub=0.0      #",B344)</f>
        <v xml:space="preserve">                x[team1,team2,sport,'21,Hillel - Field 2','22,11/20/2017','6:00:00 PM'].ub=0.0      #Ch E Female Kickball</v>
      </c>
      <c r="AB344" s="301" t="str">
        <f t="shared" si="231"/>
        <v>,,Ch E Female Kickball,,1,CHILD EF - MEX</v>
      </c>
      <c r="AC344" s="153" t="str">
        <f t="shared" si="232"/>
        <v>Ch E Female KickballCHILD EF - MEX</v>
      </c>
      <c r="AD344" s="301" t="str">
        <f t="shared" si="233"/>
        <v>,,Ch E Female Kickball,,1,CHILD EF - USA 1</v>
      </c>
      <c r="AE344" s="153" t="str">
        <f t="shared" si="234"/>
        <v>Ch E Female KickballCHILD EF - USA 1</v>
      </c>
      <c r="AF344" s="383">
        <f t="shared" si="235"/>
        <v>0</v>
      </c>
      <c r="AG344" s="383">
        <f t="shared" si="236"/>
        <v>1</v>
      </c>
      <c r="AH344" s="383">
        <f t="shared" si="237"/>
        <v>0</v>
      </c>
      <c r="AI344" s="383">
        <f t="shared" si="238"/>
        <v>1</v>
      </c>
      <c r="AJ344" s="383">
        <f t="shared" si="239"/>
        <v>0</v>
      </c>
      <c r="AK344" s="383">
        <f t="shared" si="240"/>
        <v>0</v>
      </c>
      <c r="AM344" s="148" t="str">
        <f t="shared" si="241"/>
        <v>Schedulled</v>
      </c>
      <c r="AN344" s="148" t="str">
        <f t="shared" si="242"/>
        <v/>
      </c>
      <c r="AO344" s="156">
        <f t="shared" si="243"/>
        <v>43059.75</v>
      </c>
      <c r="AP344" s="148" t="str">
        <f t="shared" si="244"/>
        <v>11/20/2017 18:00-&gt;Hillel - Field 2</v>
      </c>
      <c r="AQ344" s="374">
        <f t="shared" si="245"/>
        <v>1</v>
      </c>
      <c r="AR344" s="148" t="str">
        <f t="shared" si="246"/>
        <v>MEX</v>
      </c>
      <c r="AS344" s="148" t="str">
        <f t="shared" si="247"/>
        <v>USA1</v>
      </c>
      <c r="AT344" s="157" t="str">
        <f t="shared" si="248"/>
        <v>MEX-USA1</v>
      </c>
      <c r="AU344" s="157" t="str">
        <f t="shared" si="249"/>
        <v xml:space="preserve">MEX-USA1 </v>
      </c>
      <c r="AV344" s="157" t="str">
        <f t="shared" si="250"/>
        <v>CHILDREN E FEMALE</v>
      </c>
      <c r="AW344" s="157" t="str">
        <f t="shared" si="251"/>
        <v>Kickball</v>
      </c>
      <c r="AX344" s="376">
        <f t="shared" si="252"/>
        <v>342</v>
      </c>
      <c r="AY344" s="148" t="str">
        <f t="shared" si="253"/>
        <v>CHILD EF - MEX-&gt;CHILD EF - USA 1</v>
      </c>
      <c r="AZ344" s="148" t="str">
        <f t="shared" si="254"/>
        <v>11/20/2017 18:00-&gt;CHILD EF - MEX</v>
      </c>
      <c r="BA344" s="148" t="str">
        <f t="shared" si="255"/>
        <v>11/20/2017 18:00-&gt;CHILD EF - USA 1</v>
      </c>
      <c r="BB344" s="374">
        <f t="shared" si="256"/>
        <v>1</v>
      </c>
      <c r="BC344" s="374">
        <f t="shared" si="257"/>
        <v>1</v>
      </c>
      <c r="BD344" s="148" t="str">
        <f t="shared" si="258"/>
        <v>no conflict</v>
      </c>
      <c r="BF344" s="148" t="str">
        <f t="shared" si="259"/>
        <v>11/20/2017 18:00-&gt;CHILD EF - MEX</v>
      </c>
      <c r="BG344" s="148" t="str">
        <f t="shared" si="260"/>
        <v>11/20/2017 18:00-&gt;CHILD EF - USA 1</v>
      </c>
      <c r="BH344" s="148" t="str">
        <f t="shared" si="261"/>
        <v>11/20/2017 18:00-&gt;Hillel - Field 2</v>
      </c>
      <c r="BI344" s="148" t="str">
        <f t="shared" si="262"/>
        <v>Kickball in Hillel - Field 2 (MEX-USA1)</v>
      </c>
      <c r="BJ344" s="148" t="str">
        <f t="shared" si="263"/>
        <v>Ch E Female Kickball-- CHILD EF - MEX vs. CHILD EF - USA 1</v>
      </c>
      <c r="BK344" s="148" t="str">
        <f t="shared" si="264"/>
        <v>Kickball</v>
      </c>
      <c r="BL344" s="148" t="str">
        <f t="shared" si="265"/>
        <v>CHILD EF - MEX</v>
      </c>
      <c r="BM344" s="148" t="str">
        <f t="shared" si="266"/>
        <v>CHILD EF - USA 1</v>
      </c>
      <c r="BN344" s="148" t="str">
        <f t="shared" si="267"/>
        <v>Round - 1</v>
      </c>
      <c r="BP344" s="148" t="str">
        <f t="shared" si="268"/>
        <v>no t, f, or sf</v>
      </c>
      <c r="BQ344" s="148" t="str">
        <f t="shared" si="269"/>
        <v/>
      </c>
    </row>
    <row r="345" spans="1:83" ht="15" customHeight="1" x14ac:dyDescent="0.2">
      <c r="A345" s="376">
        <v>343</v>
      </c>
      <c r="B345" s="441" t="s">
        <v>145</v>
      </c>
      <c r="C345" s="441" t="s">
        <v>518</v>
      </c>
      <c r="D345" s="450">
        <v>1</v>
      </c>
      <c r="E345" s="450">
        <v>1</v>
      </c>
      <c r="F345" s="315" t="s">
        <v>770</v>
      </c>
      <c r="G345" s="320">
        <v>43060</v>
      </c>
      <c r="H345" s="318">
        <v>0.71527777777777779</v>
      </c>
      <c r="I345" s="325" t="s">
        <v>770</v>
      </c>
      <c r="J345" s="441" t="s">
        <v>704</v>
      </c>
      <c r="K345" s="319">
        <v>53</v>
      </c>
      <c r="L345" s="441" t="s">
        <v>605</v>
      </c>
      <c r="M345" s="441">
        <v>53</v>
      </c>
      <c r="N345" s="441" t="s">
        <v>612</v>
      </c>
      <c r="O345" s="153" t="str">
        <f>IF(L345&lt;&gt;"",IFERROR(VLOOKUP(B345&amp;L345,Pools!$A$2:$D$130,3,FALSE),""),"")</f>
        <v/>
      </c>
      <c r="P345" s="388">
        <v>7</v>
      </c>
      <c r="Q345" s="388">
        <v>18</v>
      </c>
      <c r="R345" s="306" t="str">
        <f t="shared" si="225"/>
        <v>7-18</v>
      </c>
      <c r="S345" s="153"/>
      <c r="T345" s="148" t="str">
        <f t="shared" si="226"/>
        <v>Completed</v>
      </c>
      <c r="U345" s="153"/>
      <c r="V345" s="153"/>
      <c r="W345" s="387">
        <f t="shared" si="227"/>
        <v>-5</v>
      </c>
      <c r="X345" s="387">
        <f t="shared" si="228"/>
        <v>5</v>
      </c>
      <c r="Y345" s="301">
        <f t="shared" si="229"/>
        <v>0</v>
      </c>
      <c r="Z345" s="301">
        <f t="shared" si="230"/>
        <v>2</v>
      </c>
      <c r="AA345" s="323" t="str">
        <f>CONCATENATE("                x[team1,team2,sport,'",IF(OR(I345="x",I345=""),VLOOKUP('Schedule from TM'!J345,Tables!$P$3:$Q$33,2,FALSE),'Schedule from TM'!I345),",",J345,"','",IF(OR(F345="x",F345=""),VLOOKUP('Schedule from TM'!G345,Tables!$U$3:$V$14,2,FALSE),'Schedule from TM'!F345),",",TEXT(G345,"mm/dd/yyyy"),"','",TEXT(H345,"h:mm:ss AM/PM"),"'].ub=0.0      #",B345)</f>
        <v xml:space="preserve">                x[team1,team2,sport,'21,Hillel - Field 2','22,11/21/2017','5:10:00 PM'].ub=0.0      #Ch E Female Kickball</v>
      </c>
      <c r="AB345" s="301" t="str">
        <f t="shared" si="231"/>
        <v>,,Ch E Female Kickball,,1,CHILD EF - ARG 1</v>
      </c>
      <c r="AC345" s="153" t="str">
        <f t="shared" si="232"/>
        <v>Ch E Female KickballCHILD EF - ARG 1</v>
      </c>
      <c r="AD345" s="301" t="str">
        <f t="shared" si="233"/>
        <v>,,Ch E Female Kickball,,1,CHILD EF - PER</v>
      </c>
      <c r="AE345" s="153" t="str">
        <f t="shared" si="234"/>
        <v>Ch E Female KickballCHILD EF - PER</v>
      </c>
      <c r="AF345" s="383">
        <f t="shared" si="235"/>
        <v>0</v>
      </c>
      <c r="AG345" s="383">
        <f t="shared" si="236"/>
        <v>1</v>
      </c>
      <c r="AH345" s="383">
        <f t="shared" si="237"/>
        <v>0</v>
      </c>
      <c r="AI345" s="383">
        <f t="shared" si="238"/>
        <v>1</v>
      </c>
      <c r="AJ345" s="383">
        <f t="shared" si="239"/>
        <v>0</v>
      </c>
      <c r="AK345" s="383">
        <f t="shared" si="240"/>
        <v>0</v>
      </c>
      <c r="AM345" s="148" t="str">
        <f t="shared" si="241"/>
        <v>Schedulled</v>
      </c>
      <c r="AN345" s="148" t="str">
        <f t="shared" si="242"/>
        <v/>
      </c>
      <c r="AO345" s="156">
        <f t="shared" si="243"/>
        <v>43060.715277777781</v>
      </c>
      <c r="AP345" s="148" t="str">
        <f t="shared" si="244"/>
        <v>11/21/2017 17:10-&gt;Hillel - Field 2</v>
      </c>
      <c r="AQ345" s="374">
        <f t="shared" si="245"/>
        <v>1</v>
      </c>
      <c r="AR345" s="148" t="str">
        <f t="shared" si="246"/>
        <v>ARG1</v>
      </c>
      <c r="AS345" s="148" t="str">
        <f t="shared" si="247"/>
        <v>PER</v>
      </c>
      <c r="AT345" s="157" t="str">
        <f t="shared" si="248"/>
        <v>ARG1-PER</v>
      </c>
      <c r="AU345" s="157" t="str">
        <f t="shared" si="249"/>
        <v xml:space="preserve">ARG1-PER </v>
      </c>
      <c r="AV345" s="157" t="str">
        <f t="shared" si="250"/>
        <v>CHILDREN E FEMALE</v>
      </c>
      <c r="AW345" s="157" t="str">
        <f t="shared" si="251"/>
        <v>Kickball</v>
      </c>
      <c r="AX345" s="376">
        <f t="shared" si="252"/>
        <v>343</v>
      </c>
      <c r="AY345" s="148" t="str">
        <f t="shared" si="253"/>
        <v>CHILD EF - ARG 1-&gt;CHILD EF - PER</v>
      </c>
      <c r="AZ345" s="148" t="str">
        <f t="shared" si="254"/>
        <v>11/21/2017 17:10-&gt;CHILD EF - ARG 1</v>
      </c>
      <c r="BA345" s="148" t="str">
        <f t="shared" si="255"/>
        <v>11/21/2017 17:10-&gt;CHILD EF - PER</v>
      </c>
      <c r="BB345" s="374">
        <f t="shared" si="256"/>
        <v>1</v>
      </c>
      <c r="BC345" s="374">
        <f t="shared" si="257"/>
        <v>1</v>
      </c>
      <c r="BD345" s="148" t="str">
        <f t="shared" si="258"/>
        <v>no conflict</v>
      </c>
      <c r="BF345" s="148" t="str">
        <f t="shared" si="259"/>
        <v>11/21/2017 17:10-&gt;CHILD EF - ARG 1</v>
      </c>
      <c r="BG345" s="148" t="str">
        <f t="shared" si="260"/>
        <v>11/21/2017 17:10-&gt;CHILD EF - PER</v>
      </c>
      <c r="BH345" s="148" t="str">
        <f t="shared" si="261"/>
        <v>11/21/2017 17:10-&gt;Hillel - Field 2</v>
      </c>
      <c r="BI345" s="148" t="str">
        <f t="shared" si="262"/>
        <v>Kickball in Hillel - Field 2 (ARG1-PER)</v>
      </c>
      <c r="BJ345" s="148" t="str">
        <f t="shared" si="263"/>
        <v>Ch E Female Kickball-- CHILD EF - ARG 1 vs. CHILD EF - PER</v>
      </c>
      <c r="BK345" s="148" t="str">
        <f t="shared" si="264"/>
        <v>Kickball</v>
      </c>
      <c r="BL345" s="148" t="str">
        <f t="shared" si="265"/>
        <v>CHILD EF - ARG 1</v>
      </c>
      <c r="BM345" s="148" t="str">
        <f t="shared" si="266"/>
        <v>CHILD EF - PER</v>
      </c>
      <c r="BN345" s="148" t="str">
        <f t="shared" si="267"/>
        <v>Round - 1</v>
      </c>
      <c r="BP345" s="148" t="str">
        <f t="shared" si="268"/>
        <v>no t, f, or sf</v>
      </c>
      <c r="BQ345" s="148" t="str">
        <f t="shared" si="269"/>
        <v/>
      </c>
    </row>
    <row r="346" spans="1:83" ht="15" customHeight="1" x14ac:dyDescent="0.2">
      <c r="A346" s="376">
        <v>344</v>
      </c>
      <c r="B346" s="315" t="s">
        <v>145</v>
      </c>
      <c r="C346" s="315" t="s">
        <v>518</v>
      </c>
      <c r="D346" s="378">
        <v>1</v>
      </c>
      <c r="E346" s="378">
        <v>1</v>
      </c>
      <c r="F346" s="315" t="s">
        <v>770</v>
      </c>
      <c r="G346" s="316">
        <v>43060</v>
      </c>
      <c r="H346" s="317">
        <v>0.75</v>
      </c>
      <c r="I346" s="325" t="s">
        <v>770</v>
      </c>
      <c r="J346" s="315" t="s">
        <v>704</v>
      </c>
      <c r="K346" s="315">
        <v>53</v>
      </c>
      <c r="L346" s="444" t="s">
        <v>606</v>
      </c>
      <c r="M346" s="444">
        <v>53</v>
      </c>
      <c r="N346" s="444" t="s">
        <v>608</v>
      </c>
      <c r="O346" s="153" t="str">
        <f>IF(L346&lt;&gt;"",IFERROR(VLOOKUP(B346&amp;L346,Pools!$A$2:$D$130,3,FALSE),""),"")</f>
        <v/>
      </c>
      <c r="P346" s="388">
        <v>5</v>
      </c>
      <c r="Q346" s="388">
        <v>10</v>
      </c>
      <c r="R346" s="306" t="str">
        <f t="shared" si="225"/>
        <v>5-10</v>
      </c>
      <c r="S346" s="153"/>
      <c r="T346" s="148" t="str">
        <f t="shared" si="226"/>
        <v>Completed</v>
      </c>
      <c r="U346" s="153"/>
      <c r="V346" s="153"/>
      <c r="W346" s="387">
        <f t="shared" si="227"/>
        <v>-5</v>
      </c>
      <c r="X346" s="387">
        <f t="shared" si="228"/>
        <v>5</v>
      </c>
      <c r="Y346" s="301">
        <f t="shared" si="229"/>
        <v>0</v>
      </c>
      <c r="Z346" s="301">
        <f t="shared" si="230"/>
        <v>2</v>
      </c>
      <c r="AA346" s="323" t="str">
        <f>CONCATENATE("                x[team1,team2,sport,'",IF(OR(I346="x",I346=""),VLOOKUP('Schedule from TM'!J346,Tables!$P$3:$Q$33,2,FALSE),'Schedule from TM'!I346),",",J346,"','",IF(OR(F346="x",F346=""),VLOOKUP('Schedule from TM'!G346,Tables!$U$3:$V$14,2,FALSE),'Schedule from TM'!F346),",",TEXT(G346,"mm/dd/yyyy"),"','",TEXT(H346,"h:mm:ss AM/PM"),"'].ub=0.0      #",B346)</f>
        <v xml:space="preserve">                x[team1,team2,sport,'21,Hillel - Field 2','22,11/21/2017','6:00:00 PM'].ub=0.0      #Ch E Female Kickball</v>
      </c>
      <c r="AB346" s="301" t="str">
        <f t="shared" si="231"/>
        <v>,,Ch E Female Kickball,,1,CHILD EF - COL 1</v>
      </c>
      <c r="AC346" s="153" t="str">
        <f t="shared" si="232"/>
        <v>Ch E Female KickballCHILD EF - COL 1</v>
      </c>
      <c r="AD346" s="301" t="str">
        <f t="shared" si="233"/>
        <v>,,Ch E Female Kickball,,1,CHILD EF - MEX</v>
      </c>
      <c r="AE346" s="153" t="str">
        <f t="shared" si="234"/>
        <v>Ch E Female KickballCHILD EF - MEX</v>
      </c>
      <c r="AF346" s="383">
        <f t="shared" si="235"/>
        <v>0</v>
      </c>
      <c r="AG346" s="383">
        <f t="shared" si="236"/>
        <v>1</v>
      </c>
      <c r="AH346" s="383">
        <f t="shared" si="237"/>
        <v>0</v>
      </c>
      <c r="AI346" s="383">
        <f t="shared" si="238"/>
        <v>1</v>
      </c>
      <c r="AJ346" s="383">
        <f t="shared" si="239"/>
        <v>0</v>
      </c>
      <c r="AK346" s="383">
        <f t="shared" si="240"/>
        <v>0</v>
      </c>
      <c r="AM346" s="148" t="str">
        <f t="shared" si="241"/>
        <v>Schedulled</v>
      </c>
      <c r="AN346" s="148" t="str">
        <f t="shared" si="242"/>
        <v/>
      </c>
      <c r="AO346" s="156">
        <f t="shared" si="243"/>
        <v>43060.75</v>
      </c>
      <c r="AP346" s="148" t="str">
        <f t="shared" si="244"/>
        <v>11/21/2017 18:00-&gt;Hillel - Field 2</v>
      </c>
      <c r="AQ346" s="374">
        <f t="shared" si="245"/>
        <v>1</v>
      </c>
      <c r="AR346" s="148" t="str">
        <f t="shared" si="246"/>
        <v>COL1</v>
      </c>
      <c r="AS346" s="148" t="str">
        <f t="shared" si="247"/>
        <v>MEX</v>
      </c>
      <c r="AT346" s="157" t="str">
        <f t="shared" si="248"/>
        <v>COL1-MEX</v>
      </c>
      <c r="AU346" s="157" t="str">
        <f t="shared" si="249"/>
        <v xml:space="preserve">COL1-MEX </v>
      </c>
      <c r="AV346" s="157" t="str">
        <f t="shared" si="250"/>
        <v>CHILDREN E FEMALE</v>
      </c>
      <c r="AW346" s="157" t="str">
        <f t="shared" si="251"/>
        <v>Kickball</v>
      </c>
      <c r="AX346" s="376">
        <f t="shared" si="252"/>
        <v>344</v>
      </c>
      <c r="AY346" s="148" t="str">
        <f t="shared" si="253"/>
        <v>CHILD EF - COL 1-&gt;CHILD EF - MEX</v>
      </c>
      <c r="AZ346" s="148" t="str">
        <f t="shared" si="254"/>
        <v>11/21/2017 18:00-&gt;CHILD EF - COL 1</v>
      </c>
      <c r="BA346" s="148" t="str">
        <f t="shared" si="255"/>
        <v>11/21/2017 18:00-&gt;CHILD EF - MEX</v>
      </c>
      <c r="BB346" s="374">
        <f t="shared" si="256"/>
        <v>1</v>
      </c>
      <c r="BC346" s="374">
        <f t="shared" si="257"/>
        <v>1</v>
      </c>
      <c r="BD346" s="148" t="str">
        <f t="shared" si="258"/>
        <v>no conflict</v>
      </c>
      <c r="BF346" s="148" t="str">
        <f t="shared" si="259"/>
        <v>11/21/2017 18:00-&gt;CHILD EF - COL 1</v>
      </c>
      <c r="BG346" s="148" t="str">
        <f t="shared" si="260"/>
        <v>11/21/2017 18:00-&gt;CHILD EF - MEX</v>
      </c>
      <c r="BH346" s="148" t="str">
        <f t="shared" si="261"/>
        <v>11/21/2017 18:00-&gt;Hillel - Field 2</v>
      </c>
      <c r="BI346" s="148" t="str">
        <f t="shared" si="262"/>
        <v>Kickball in Hillel - Field 2 (COL1-MEX)</v>
      </c>
      <c r="BJ346" s="148" t="str">
        <f t="shared" si="263"/>
        <v>Ch E Female Kickball-- CHILD EF - COL 1 vs. CHILD EF - MEX</v>
      </c>
      <c r="BK346" s="148" t="str">
        <f t="shared" si="264"/>
        <v>Kickball</v>
      </c>
      <c r="BL346" s="148" t="str">
        <f t="shared" si="265"/>
        <v>CHILD EF - COL 1</v>
      </c>
      <c r="BM346" s="148" t="str">
        <f t="shared" si="266"/>
        <v>CHILD EF - MEX</v>
      </c>
      <c r="BN346" s="148" t="str">
        <f t="shared" si="267"/>
        <v>Round - 1</v>
      </c>
      <c r="BP346" s="148" t="str">
        <f t="shared" si="268"/>
        <v>no t, f, or sf</v>
      </c>
      <c r="BQ346" s="148" t="str">
        <f t="shared" si="269"/>
        <v/>
      </c>
    </row>
    <row r="347" spans="1:83" ht="15" customHeight="1" x14ac:dyDescent="0.2">
      <c r="A347" s="376">
        <v>345</v>
      </c>
      <c r="B347" s="328" t="s">
        <v>145</v>
      </c>
      <c r="C347" s="315" t="s">
        <v>518</v>
      </c>
      <c r="D347" s="378">
        <v>1</v>
      </c>
      <c r="E347" s="378">
        <v>1</v>
      </c>
      <c r="F347" s="315" t="s">
        <v>770</v>
      </c>
      <c r="G347" s="316">
        <v>43061</v>
      </c>
      <c r="H347" s="317">
        <v>0.68055555555555547</v>
      </c>
      <c r="I347" s="325" t="s">
        <v>770</v>
      </c>
      <c r="J347" s="315" t="s">
        <v>706</v>
      </c>
      <c r="K347" s="315">
        <v>53</v>
      </c>
      <c r="L347" s="441" t="s">
        <v>607</v>
      </c>
      <c r="M347" s="444">
        <v>53</v>
      </c>
      <c r="N347" s="441" t="s">
        <v>612</v>
      </c>
      <c r="O347" s="153" t="str">
        <f>IF(L347&lt;&gt;"",IFERROR(VLOOKUP(B347&amp;L347,Pools!$A$2:$D$130,3,FALSE),""),"")</f>
        <v/>
      </c>
      <c r="P347" s="388">
        <v>8</v>
      </c>
      <c r="Q347" s="388">
        <v>9</v>
      </c>
      <c r="R347" s="306" t="str">
        <f t="shared" si="225"/>
        <v>8-9</v>
      </c>
      <c r="S347" s="153"/>
      <c r="T347" s="148" t="str">
        <f t="shared" si="226"/>
        <v>Completed</v>
      </c>
      <c r="U347" s="153"/>
      <c r="V347" s="153"/>
      <c r="W347" s="387">
        <f t="shared" si="227"/>
        <v>-1</v>
      </c>
      <c r="X347" s="387">
        <f t="shared" si="228"/>
        <v>1</v>
      </c>
      <c r="Y347" s="301">
        <f t="shared" si="229"/>
        <v>0</v>
      </c>
      <c r="Z347" s="301">
        <f t="shared" si="230"/>
        <v>2</v>
      </c>
      <c r="AA347" s="323" t="str">
        <f>CONCATENATE("                x[team1,team2,sport,'",IF(OR(I347="x",I347=""),VLOOKUP('Schedule from TM'!J347,Tables!$P$3:$Q$33,2,FALSE),'Schedule from TM'!I347),",",J347,"','",IF(OR(F347="x",F347=""),VLOOKUP('Schedule from TM'!G347,Tables!$U$3:$V$14,2,FALSE),'Schedule from TM'!F347),",",TEXT(G347,"mm/dd/yyyy"),"','",TEXT(H347,"h:mm:ss AM/PM"),"'].ub=0.0      #",B347)</f>
        <v xml:space="preserve">                x[team1,team2,sport,'21,Hillel - Field 4','22,11/22/2017','4:20:00 PM'].ub=0.0      #Ch E Female Kickball</v>
      </c>
      <c r="AB347" s="301" t="str">
        <f t="shared" si="231"/>
        <v>,,Ch E Female Kickball,,1,CHILD EF - ISR 1</v>
      </c>
      <c r="AC347" s="153" t="str">
        <f t="shared" si="232"/>
        <v>Ch E Female KickballCHILD EF - ISR 1</v>
      </c>
      <c r="AD347" s="301" t="str">
        <f t="shared" si="233"/>
        <v>,,Ch E Female Kickball,,1,CHILD EF - PER</v>
      </c>
      <c r="AE347" s="153" t="str">
        <f t="shared" si="234"/>
        <v>Ch E Female KickballCHILD EF - PER</v>
      </c>
      <c r="AF347" s="383">
        <f t="shared" si="235"/>
        <v>0</v>
      </c>
      <c r="AG347" s="383">
        <f t="shared" si="236"/>
        <v>1</v>
      </c>
      <c r="AH347" s="383">
        <f t="shared" si="237"/>
        <v>0</v>
      </c>
      <c r="AI347" s="383">
        <f t="shared" si="238"/>
        <v>1</v>
      </c>
      <c r="AJ347" s="383">
        <f t="shared" si="239"/>
        <v>0</v>
      </c>
      <c r="AK347" s="383">
        <f t="shared" si="240"/>
        <v>0</v>
      </c>
      <c r="AM347" s="148" t="str">
        <f t="shared" si="241"/>
        <v>Schedulled</v>
      </c>
      <c r="AN347" s="148" t="str">
        <f t="shared" si="242"/>
        <v/>
      </c>
      <c r="AO347" s="156">
        <f t="shared" si="243"/>
        <v>43061.680555555555</v>
      </c>
      <c r="AP347" s="148" t="str">
        <f t="shared" si="244"/>
        <v>11/22/2017 16:20-&gt;Hillel - Field 4</v>
      </c>
      <c r="AQ347" s="374">
        <f t="shared" si="245"/>
        <v>1</v>
      </c>
      <c r="AR347" s="148" t="str">
        <f t="shared" si="246"/>
        <v>ISR1</v>
      </c>
      <c r="AS347" s="148" t="str">
        <f t="shared" si="247"/>
        <v>PER</v>
      </c>
      <c r="AT347" s="157" t="str">
        <f t="shared" si="248"/>
        <v>ISR1-PER</v>
      </c>
      <c r="AU347" s="157" t="str">
        <f t="shared" si="249"/>
        <v xml:space="preserve">ISR1-PER </v>
      </c>
      <c r="AV347" s="157" t="str">
        <f t="shared" si="250"/>
        <v>CHILDREN E FEMALE</v>
      </c>
      <c r="AW347" s="157" t="str">
        <f t="shared" si="251"/>
        <v>Kickball</v>
      </c>
      <c r="AX347" s="376">
        <f t="shared" si="252"/>
        <v>345</v>
      </c>
      <c r="AY347" s="148" t="str">
        <f t="shared" si="253"/>
        <v>CHILD EF - ISR 1-&gt;CHILD EF - PER</v>
      </c>
      <c r="AZ347" s="148" t="str">
        <f t="shared" si="254"/>
        <v>11/22/2017 16:20-&gt;CHILD EF - ISR 1</v>
      </c>
      <c r="BA347" s="148" t="str">
        <f t="shared" si="255"/>
        <v>11/22/2017 16:20-&gt;CHILD EF - PER</v>
      </c>
      <c r="BB347" s="374">
        <f t="shared" si="256"/>
        <v>1</v>
      </c>
      <c r="BC347" s="374">
        <f t="shared" si="257"/>
        <v>1</v>
      </c>
      <c r="BD347" s="148" t="str">
        <f t="shared" si="258"/>
        <v>no conflict</v>
      </c>
      <c r="BF347" s="148" t="str">
        <f t="shared" si="259"/>
        <v>11/22/2017 16:20-&gt;CHILD EF - ISR 1</v>
      </c>
      <c r="BG347" s="148" t="str">
        <f t="shared" si="260"/>
        <v>11/22/2017 16:20-&gt;CHILD EF - PER</v>
      </c>
      <c r="BH347" s="148" t="str">
        <f t="shared" si="261"/>
        <v>11/22/2017 16:20-&gt;Hillel - Field 4</v>
      </c>
      <c r="BI347" s="148" t="str">
        <f t="shared" si="262"/>
        <v>Kickball in Hillel - Field 4 (ISR1-PER)</v>
      </c>
      <c r="BJ347" s="148" t="str">
        <f t="shared" si="263"/>
        <v>Ch E Female Kickball-- CHILD EF - ISR 1 vs. CHILD EF - PER</v>
      </c>
      <c r="BK347" s="148" t="str">
        <f t="shared" si="264"/>
        <v>Kickball</v>
      </c>
      <c r="BL347" s="148" t="str">
        <f t="shared" si="265"/>
        <v>CHILD EF - ISR 1</v>
      </c>
      <c r="BM347" s="148" t="str">
        <f t="shared" si="266"/>
        <v>CHILD EF - PER</v>
      </c>
      <c r="BN347" s="148" t="str">
        <f t="shared" si="267"/>
        <v>Round - 1</v>
      </c>
      <c r="BP347" s="148" t="str">
        <f t="shared" si="268"/>
        <v>no t, f, or sf</v>
      </c>
      <c r="BQ347" s="148" t="str">
        <f t="shared" si="269"/>
        <v/>
      </c>
    </row>
    <row r="348" spans="1:83" ht="15" customHeight="1" x14ac:dyDescent="0.2">
      <c r="A348" s="376">
        <v>346</v>
      </c>
      <c r="B348" s="315" t="s">
        <v>145</v>
      </c>
      <c r="C348" s="315" t="s">
        <v>518</v>
      </c>
      <c r="D348" s="378">
        <v>1</v>
      </c>
      <c r="E348" s="378">
        <v>1</v>
      </c>
      <c r="F348" s="315" t="s">
        <v>770</v>
      </c>
      <c r="G348" s="316">
        <v>43061</v>
      </c>
      <c r="H348" s="317">
        <v>0.68055555555555547</v>
      </c>
      <c r="I348" s="325" t="s">
        <v>770</v>
      </c>
      <c r="J348" s="315" t="s">
        <v>705</v>
      </c>
      <c r="K348" s="315">
        <v>53</v>
      </c>
      <c r="L348" s="444" t="s">
        <v>611</v>
      </c>
      <c r="M348" s="444">
        <v>53</v>
      </c>
      <c r="N348" s="444" t="s">
        <v>608</v>
      </c>
      <c r="O348" s="153" t="str">
        <f>IF(L348&lt;&gt;"",IFERROR(VLOOKUP(B348&amp;L348,Pools!$A$2:$D$130,3,FALSE),""),"")</f>
        <v/>
      </c>
      <c r="P348" s="388">
        <v>13</v>
      </c>
      <c r="Q348" s="388">
        <v>14</v>
      </c>
      <c r="R348" s="306" t="str">
        <f t="shared" si="225"/>
        <v>13-14</v>
      </c>
      <c r="S348" s="153"/>
      <c r="T348" s="148" t="str">
        <f t="shared" si="226"/>
        <v>Completed</v>
      </c>
      <c r="U348" s="153"/>
      <c r="V348" s="153"/>
      <c r="W348" s="387">
        <f t="shared" si="227"/>
        <v>-1</v>
      </c>
      <c r="X348" s="387">
        <f t="shared" si="228"/>
        <v>1</v>
      </c>
      <c r="Y348" s="301">
        <f t="shared" si="229"/>
        <v>0</v>
      </c>
      <c r="Z348" s="301">
        <f t="shared" si="230"/>
        <v>2</v>
      </c>
      <c r="AA348" s="323" t="str">
        <f>CONCATENATE("                x[team1,team2,sport,'",IF(OR(I348="x",I348=""),VLOOKUP('Schedule from TM'!J348,Tables!$P$3:$Q$33,2,FALSE),'Schedule from TM'!I348),",",J348,"','",IF(OR(F348="x",F348=""),VLOOKUP('Schedule from TM'!G348,Tables!$U$3:$V$14,2,FALSE),'Schedule from TM'!F348),",",TEXT(G348,"mm/dd/yyyy"),"','",TEXT(H348,"h:mm:ss AM/PM"),"'].ub=0.0      #",B348)</f>
        <v xml:space="preserve">                x[team1,team2,sport,'21,Hillel - Field 3','22,11/22/2017','4:20:00 PM'].ub=0.0      #Ch E Female Kickball</v>
      </c>
      <c r="AB348" s="301" t="str">
        <f t="shared" si="231"/>
        <v>,,Ch E Female Kickball,,1,CHILD EF - COL 2</v>
      </c>
      <c r="AC348" s="153" t="str">
        <f t="shared" si="232"/>
        <v>Ch E Female KickballCHILD EF - COL 2</v>
      </c>
      <c r="AD348" s="301" t="str">
        <f t="shared" si="233"/>
        <v>,,Ch E Female Kickball,,1,CHILD EF - MEX</v>
      </c>
      <c r="AE348" s="153" t="str">
        <f t="shared" si="234"/>
        <v>Ch E Female KickballCHILD EF - MEX</v>
      </c>
      <c r="AF348" s="383">
        <f t="shared" si="235"/>
        <v>0</v>
      </c>
      <c r="AG348" s="383">
        <f t="shared" si="236"/>
        <v>1</v>
      </c>
      <c r="AH348" s="383">
        <f t="shared" si="237"/>
        <v>0</v>
      </c>
      <c r="AI348" s="383">
        <f t="shared" si="238"/>
        <v>1</v>
      </c>
      <c r="AJ348" s="383">
        <f t="shared" si="239"/>
        <v>0</v>
      </c>
      <c r="AK348" s="383">
        <f t="shared" si="240"/>
        <v>0</v>
      </c>
      <c r="AM348" s="148" t="str">
        <f t="shared" si="241"/>
        <v>Schedulled</v>
      </c>
      <c r="AN348" s="148" t="str">
        <f t="shared" si="242"/>
        <v/>
      </c>
      <c r="AO348" s="156">
        <f t="shared" si="243"/>
        <v>43061.680555555555</v>
      </c>
      <c r="AP348" s="148" t="str">
        <f t="shared" si="244"/>
        <v>11/22/2017 16:20-&gt;Hillel - Field 3</v>
      </c>
      <c r="AQ348" s="374">
        <f t="shared" si="245"/>
        <v>1</v>
      </c>
      <c r="AR348" s="148" t="str">
        <f t="shared" si="246"/>
        <v>COL2</v>
      </c>
      <c r="AS348" s="148" t="str">
        <f t="shared" si="247"/>
        <v>MEX</v>
      </c>
      <c r="AT348" s="157" t="str">
        <f t="shared" si="248"/>
        <v>COL2-MEX</v>
      </c>
      <c r="AU348" s="157" t="str">
        <f t="shared" si="249"/>
        <v xml:space="preserve">COL2-MEX </v>
      </c>
      <c r="AV348" s="157" t="str">
        <f t="shared" si="250"/>
        <v>CHILDREN E FEMALE</v>
      </c>
      <c r="AW348" s="157" t="str">
        <f t="shared" si="251"/>
        <v>Kickball</v>
      </c>
      <c r="AX348" s="376">
        <f t="shared" si="252"/>
        <v>346</v>
      </c>
      <c r="AY348" s="148" t="str">
        <f t="shared" si="253"/>
        <v>CHILD EF - COL 2-&gt;CHILD EF - MEX</v>
      </c>
      <c r="AZ348" s="148" t="str">
        <f t="shared" si="254"/>
        <v>11/22/2017 16:20-&gt;CHILD EF - COL 2</v>
      </c>
      <c r="BA348" s="148" t="str">
        <f t="shared" si="255"/>
        <v>11/22/2017 16:20-&gt;CHILD EF - MEX</v>
      </c>
      <c r="BB348" s="374">
        <f t="shared" si="256"/>
        <v>1</v>
      </c>
      <c r="BC348" s="374">
        <f t="shared" si="257"/>
        <v>1</v>
      </c>
      <c r="BD348" s="148" t="str">
        <f t="shared" si="258"/>
        <v>no conflict</v>
      </c>
      <c r="BF348" s="148" t="str">
        <f t="shared" si="259"/>
        <v>11/22/2017 16:20-&gt;CHILD EF - COL 2</v>
      </c>
      <c r="BG348" s="148" t="str">
        <f t="shared" si="260"/>
        <v>11/22/2017 16:20-&gt;CHILD EF - MEX</v>
      </c>
      <c r="BH348" s="148" t="str">
        <f t="shared" si="261"/>
        <v>11/22/2017 16:20-&gt;Hillel - Field 3</v>
      </c>
      <c r="BI348" s="148" t="str">
        <f t="shared" si="262"/>
        <v>Kickball in Hillel - Field 3 (COL2-MEX)</v>
      </c>
      <c r="BJ348" s="148" t="str">
        <f t="shared" si="263"/>
        <v>Ch E Female Kickball-- CHILD EF - COL 2 vs. CHILD EF - MEX</v>
      </c>
      <c r="BK348" s="148" t="str">
        <f t="shared" si="264"/>
        <v>Kickball</v>
      </c>
      <c r="BL348" s="148" t="str">
        <f t="shared" si="265"/>
        <v>CHILD EF - COL 2</v>
      </c>
      <c r="BM348" s="148" t="str">
        <f t="shared" si="266"/>
        <v>CHILD EF - MEX</v>
      </c>
      <c r="BN348" s="148" t="str">
        <f t="shared" si="267"/>
        <v>Round - 1</v>
      </c>
      <c r="BP348" s="148" t="str">
        <f t="shared" si="268"/>
        <v>no t, f, or sf</v>
      </c>
      <c r="BQ348" s="148" t="str">
        <f t="shared" si="269"/>
        <v/>
      </c>
    </row>
    <row r="349" spans="1:83" ht="15" customHeight="1" x14ac:dyDescent="0.2">
      <c r="A349" s="376">
        <v>347</v>
      </c>
      <c r="B349" s="315" t="s">
        <v>145</v>
      </c>
      <c r="C349" s="315" t="s">
        <v>518</v>
      </c>
      <c r="D349" s="378">
        <v>1</v>
      </c>
      <c r="E349" s="378">
        <v>1</v>
      </c>
      <c r="F349" s="315" t="s">
        <v>770</v>
      </c>
      <c r="G349" s="316">
        <v>43062</v>
      </c>
      <c r="H349" s="317">
        <v>0.36805555555555558</v>
      </c>
      <c r="I349" s="325" t="s">
        <v>770</v>
      </c>
      <c r="J349" s="315" t="s">
        <v>705</v>
      </c>
      <c r="K349" s="315">
        <v>53</v>
      </c>
      <c r="L349" s="444" t="s">
        <v>611</v>
      </c>
      <c r="M349" s="444">
        <v>53</v>
      </c>
      <c r="N349" s="444" t="s">
        <v>609</v>
      </c>
      <c r="O349" s="153" t="str">
        <f>IF(L349&lt;&gt;"",IFERROR(VLOOKUP(B349&amp;L349,Pools!$A$2:$D$130,3,FALSE),""),"")</f>
        <v/>
      </c>
      <c r="P349" s="388">
        <v>12</v>
      </c>
      <c r="Q349" s="388">
        <v>11</v>
      </c>
      <c r="R349" s="306" t="str">
        <f t="shared" si="225"/>
        <v>12-11</v>
      </c>
      <c r="S349" s="153"/>
      <c r="T349" s="148" t="str">
        <f t="shared" si="226"/>
        <v>Completed</v>
      </c>
      <c r="U349" s="153"/>
      <c r="V349" s="153"/>
      <c r="W349" s="387">
        <f t="shared" si="227"/>
        <v>1</v>
      </c>
      <c r="X349" s="387">
        <f t="shared" si="228"/>
        <v>-1</v>
      </c>
      <c r="Y349" s="301">
        <f t="shared" si="229"/>
        <v>2</v>
      </c>
      <c r="Z349" s="301">
        <f t="shared" si="230"/>
        <v>0</v>
      </c>
      <c r="AA349" s="323" t="str">
        <f>CONCATENATE("                x[team1,team2,sport,'",IF(OR(I349="x",I349=""),VLOOKUP('Schedule from TM'!J349,Tables!$P$3:$Q$33,2,FALSE),'Schedule from TM'!I349),",",J349,"','",IF(OR(F349="x",F349=""),VLOOKUP('Schedule from TM'!G349,Tables!$U$3:$V$14,2,FALSE),'Schedule from TM'!F349),",",TEXT(G349,"mm/dd/yyyy"),"','",TEXT(H349,"h:mm:ss AM/PM"),"'].ub=0.0      #",B349)</f>
        <v xml:space="preserve">                x[team1,team2,sport,'21,Hillel - Field 3','11,11/23/2017','8:50:00 AM'].ub=0.0      #Ch E Female Kickball</v>
      </c>
      <c r="AB349" s="301" t="str">
        <f t="shared" si="231"/>
        <v>,,Ch E Female Kickball,,1,CHILD EF - COL 2</v>
      </c>
      <c r="AC349" s="153" t="str">
        <f t="shared" si="232"/>
        <v>Ch E Female KickballCHILD EF - COL 2</v>
      </c>
      <c r="AD349" s="301" t="str">
        <f t="shared" si="233"/>
        <v>,,Ch E Female Kickball,,1,CHILD EF - USA 1</v>
      </c>
      <c r="AE349" s="153" t="str">
        <f t="shared" si="234"/>
        <v>Ch E Female KickballCHILD EF - USA 1</v>
      </c>
      <c r="AF349" s="383">
        <f t="shared" si="235"/>
        <v>1</v>
      </c>
      <c r="AG349" s="383">
        <f t="shared" si="236"/>
        <v>0</v>
      </c>
      <c r="AH349" s="383">
        <f t="shared" si="237"/>
        <v>0</v>
      </c>
      <c r="AI349" s="383">
        <f t="shared" si="238"/>
        <v>0</v>
      </c>
      <c r="AJ349" s="383">
        <f t="shared" si="239"/>
        <v>1</v>
      </c>
      <c r="AK349" s="383">
        <f t="shared" si="240"/>
        <v>0</v>
      </c>
      <c r="AM349" s="148" t="str">
        <f t="shared" si="241"/>
        <v>Schedulled</v>
      </c>
      <c r="AN349" s="148" t="str">
        <f t="shared" si="242"/>
        <v/>
      </c>
      <c r="AO349" s="156">
        <f t="shared" si="243"/>
        <v>43062.368055555555</v>
      </c>
      <c r="AP349" s="148" t="str">
        <f t="shared" si="244"/>
        <v>11/23/2017 08:50-&gt;Hillel - Field 3</v>
      </c>
      <c r="AQ349" s="374">
        <f t="shared" si="245"/>
        <v>1</v>
      </c>
      <c r="AR349" s="148" t="str">
        <f t="shared" si="246"/>
        <v>COL2</v>
      </c>
      <c r="AS349" s="148" t="str">
        <f t="shared" si="247"/>
        <v>USA1</v>
      </c>
      <c r="AT349" s="157" t="str">
        <f t="shared" si="248"/>
        <v>COL2-USA1</v>
      </c>
      <c r="AU349" s="157" t="str">
        <f t="shared" si="249"/>
        <v xml:space="preserve">COL2-USA1 </v>
      </c>
      <c r="AV349" s="157" t="str">
        <f t="shared" si="250"/>
        <v>CHILDREN E FEMALE</v>
      </c>
      <c r="AW349" s="157" t="str">
        <f t="shared" si="251"/>
        <v>Kickball</v>
      </c>
      <c r="AX349" s="376">
        <f t="shared" si="252"/>
        <v>347</v>
      </c>
      <c r="AY349" s="148" t="str">
        <f t="shared" si="253"/>
        <v>CHILD EF - COL 2-&gt;CHILD EF - USA 1</v>
      </c>
      <c r="AZ349" s="148" t="str">
        <f t="shared" si="254"/>
        <v>11/23/2017 08:50-&gt;CHILD EF - COL 2</v>
      </c>
      <c r="BA349" s="148" t="str">
        <f t="shared" si="255"/>
        <v>11/23/2017 08:50-&gt;CHILD EF - USA 1</v>
      </c>
      <c r="BB349" s="374">
        <f t="shared" si="256"/>
        <v>1</v>
      </c>
      <c r="BC349" s="374">
        <f t="shared" si="257"/>
        <v>1</v>
      </c>
      <c r="BD349" s="148" t="str">
        <f t="shared" si="258"/>
        <v>no conflict</v>
      </c>
      <c r="BF349" s="148" t="str">
        <f t="shared" si="259"/>
        <v>11/23/2017 08:50-&gt;CHILD EF - COL 2</v>
      </c>
      <c r="BG349" s="148" t="str">
        <f t="shared" si="260"/>
        <v>11/23/2017 08:50-&gt;CHILD EF - USA 1</v>
      </c>
      <c r="BH349" s="148" t="str">
        <f t="shared" si="261"/>
        <v>11/23/2017 08:50-&gt;Hillel - Field 3</v>
      </c>
      <c r="BI349" s="148" t="str">
        <f t="shared" si="262"/>
        <v>Kickball in Hillel - Field 3 (COL2-USA1)</v>
      </c>
      <c r="BJ349" s="148" t="str">
        <f t="shared" si="263"/>
        <v>Ch E Female Kickball-- CHILD EF - COL 2 vs. CHILD EF - USA 1</v>
      </c>
      <c r="BK349" s="148" t="str">
        <f t="shared" si="264"/>
        <v>Kickball</v>
      </c>
      <c r="BL349" s="148" t="str">
        <f t="shared" si="265"/>
        <v>CHILD EF - COL 2</v>
      </c>
      <c r="BM349" s="148" t="str">
        <f t="shared" si="266"/>
        <v>CHILD EF - USA 1</v>
      </c>
      <c r="BN349" s="148" t="str">
        <f t="shared" si="267"/>
        <v>Round - 1</v>
      </c>
      <c r="BP349" s="148" t="str">
        <f t="shared" si="268"/>
        <v>no t, f, or sf</v>
      </c>
      <c r="BQ349" s="148" t="str">
        <f t="shared" si="269"/>
        <v/>
      </c>
    </row>
    <row r="350" spans="1:83" ht="15" customHeight="1" x14ac:dyDescent="0.2">
      <c r="A350" s="376">
        <v>348</v>
      </c>
      <c r="B350" s="328" t="s">
        <v>145</v>
      </c>
      <c r="C350" s="315" t="s">
        <v>518</v>
      </c>
      <c r="D350" s="378">
        <v>1</v>
      </c>
      <c r="E350" s="378">
        <v>1</v>
      </c>
      <c r="F350" s="315" t="s">
        <v>770</v>
      </c>
      <c r="G350" s="316">
        <v>43062</v>
      </c>
      <c r="H350" s="317">
        <v>0.40277777777777773</v>
      </c>
      <c r="I350" s="325" t="s">
        <v>770</v>
      </c>
      <c r="J350" s="315" t="s">
        <v>706</v>
      </c>
      <c r="K350" s="315">
        <v>53</v>
      </c>
      <c r="L350" s="441" t="s">
        <v>607</v>
      </c>
      <c r="M350" s="444">
        <v>53</v>
      </c>
      <c r="N350" s="441" t="s">
        <v>608</v>
      </c>
      <c r="O350" s="153" t="str">
        <f>IF(L350&lt;&gt;"",IFERROR(VLOOKUP(B350&amp;L350,Pools!$A$2:$D$130,3,FALSE),""),"")</f>
        <v/>
      </c>
      <c r="P350" s="388">
        <v>2</v>
      </c>
      <c r="Q350" s="388">
        <v>1</v>
      </c>
      <c r="R350" s="306" t="str">
        <f t="shared" si="225"/>
        <v>2-1</v>
      </c>
      <c r="S350" s="153"/>
      <c r="T350" s="148" t="str">
        <f t="shared" si="226"/>
        <v>Completed</v>
      </c>
      <c r="U350" s="153"/>
      <c r="V350" s="153"/>
      <c r="W350" s="387">
        <f t="shared" si="227"/>
        <v>1</v>
      </c>
      <c r="X350" s="387">
        <f t="shared" si="228"/>
        <v>-1</v>
      </c>
      <c r="Y350" s="301">
        <f t="shared" si="229"/>
        <v>2</v>
      </c>
      <c r="Z350" s="301">
        <f t="shared" si="230"/>
        <v>0</v>
      </c>
      <c r="AA350" s="323" t="str">
        <f>CONCATENATE("                x[team1,team2,sport,'",IF(OR(I350="x",I350=""),VLOOKUP('Schedule from TM'!J350,Tables!$P$3:$Q$33,2,FALSE),'Schedule from TM'!I350),",",J350,"','",IF(OR(F350="x",F350=""),VLOOKUP('Schedule from TM'!G350,Tables!$U$3:$V$14,2,FALSE),'Schedule from TM'!F350),",",TEXT(G350,"mm/dd/yyyy"),"','",TEXT(H350,"h:mm:ss AM/PM"),"'].ub=0.0      #",B350)</f>
        <v xml:space="preserve">                x[team1,team2,sport,'21,Hillel - Field 4','11,11/23/2017','9:40:00 AM'].ub=0.0      #Ch E Female Kickball</v>
      </c>
      <c r="AB350" s="301" t="str">
        <f t="shared" si="231"/>
        <v>,,Ch E Female Kickball,,1,CHILD EF - ISR 1</v>
      </c>
      <c r="AC350" s="153" t="str">
        <f t="shared" si="232"/>
        <v>Ch E Female KickballCHILD EF - ISR 1</v>
      </c>
      <c r="AD350" s="301" t="str">
        <f t="shared" si="233"/>
        <v>,,Ch E Female Kickball,,1,CHILD EF - MEX</v>
      </c>
      <c r="AE350" s="153" t="str">
        <f t="shared" si="234"/>
        <v>Ch E Female KickballCHILD EF - MEX</v>
      </c>
      <c r="AF350" s="383">
        <f t="shared" si="235"/>
        <v>1</v>
      </c>
      <c r="AG350" s="383">
        <f t="shared" si="236"/>
        <v>0</v>
      </c>
      <c r="AH350" s="383">
        <f t="shared" si="237"/>
        <v>0</v>
      </c>
      <c r="AI350" s="383">
        <f t="shared" si="238"/>
        <v>0</v>
      </c>
      <c r="AJ350" s="383">
        <f t="shared" si="239"/>
        <v>1</v>
      </c>
      <c r="AK350" s="383">
        <f t="shared" si="240"/>
        <v>0</v>
      </c>
      <c r="AM350" s="148" t="str">
        <f t="shared" si="241"/>
        <v>Schedulled</v>
      </c>
      <c r="AN350" s="148" t="str">
        <f t="shared" si="242"/>
        <v/>
      </c>
      <c r="AO350" s="156">
        <f t="shared" si="243"/>
        <v>43062.402777777781</v>
      </c>
      <c r="AP350" s="148" t="str">
        <f t="shared" si="244"/>
        <v>11/23/2017 09:40-&gt;Hillel - Field 4</v>
      </c>
      <c r="AQ350" s="374">
        <f t="shared" si="245"/>
        <v>1</v>
      </c>
      <c r="AR350" s="148" t="str">
        <f t="shared" si="246"/>
        <v>ISR1</v>
      </c>
      <c r="AS350" s="148" t="str">
        <f t="shared" si="247"/>
        <v>MEX</v>
      </c>
      <c r="AT350" s="157" t="str">
        <f t="shared" si="248"/>
        <v>ISR1-MEX</v>
      </c>
      <c r="AU350" s="157" t="str">
        <f t="shared" si="249"/>
        <v xml:space="preserve">ISR1-MEX </v>
      </c>
      <c r="AV350" s="157" t="str">
        <f t="shared" si="250"/>
        <v>CHILDREN E FEMALE</v>
      </c>
      <c r="AW350" s="157" t="str">
        <f t="shared" si="251"/>
        <v>Kickball</v>
      </c>
      <c r="AX350" s="376">
        <f t="shared" si="252"/>
        <v>348</v>
      </c>
      <c r="AY350" s="148" t="str">
        <f t="shared" si="253"/>
        <v>CHILD EF - ISR 1-&gt;CHILD EF - MEX</v>
      </c>
      <c r="AZ350" s="148" t="str">
        <f t="shared" si="254"/>
        <v>11/23/2017 09:40-&gt;CHILD EF - ISR 1</v>
      </c>
      <c r="BA350" s="148" t="str">
        <f t="shared" si="255"/>
        <v>11/23/2017 09:40-&gt;CHILD EF - MEX</v>
      </c>
      <c r="BB350" s="374">
        <f t="shared" si="256"/>
        <v>1</v>
      </c>
      <c r="BC350" s="374">
        <f t="shared" si="257"/>
        <v>1</v>
      </c>
      <c r="BD350" s="148" t="str">
        <f t="shared" si="258"/>
        <v>no conflict</v>
      </c>
      <c r="BF350" s="148" t="str">
        <f t="shared" si="259"/>
        <v>11/23/2017 09:40-&gt;CHILD EF - ISR 1</v>
      </c>
      <c r="BG350" s="148" t="str">
        <f t="shared" si="260"/>
        <v>11/23/2017 09:40-&gt;CHILD EF - MEX</v>
      </c>
      <c r="BH350" s="148" t="str">
        <f t="shared" si="261"/>
        <v>11/23/2017 09:40-&gt;Hillel - Field 4</v>
      </c>
      <c r="BI350" s="148" t="str">
        <f t="shared" si="262"/>
        <v>Kickball in Hillel - Field 4 (ISR1-MEX)</v>
      </c>
      <c r="BJ350" s="148" t="str">
        <f t="shared" si="263"/>
        <v>Ch E Female Kickball-- CHILD EF - ISR 1 vs. CHILD EF - MEX</v>
      </c>
      <c r="BK350" s="148" t="str">
        <f t="shared" si="264"/>
        <v>Kickball</v>
      </c>
      <c r="BL350" s="148" t="str">
        <f t="shared" si="265"/>
        <v>CHILD EF - ISR 1</v>
      </c>
      <c r="BM350" s="148" t="str">
        <f t="shared" si="266"/>
        <v>CHILD EF - MEX</v>
      </c>
      <c r="BN350" s="148" t="str">
        <f t="shared" si="267"/>
        <v>Round - 1</v>
      </c>
      <c r="BP350" s="148" t="str">
        <f t="shared" si="268"/>
        <v>no t, f, or sf</v>
      </c>
      <c r="BQ350" s="148" t="str">
        <f t="shared" si="269"/>
        <v/>
      </c>
    </row>
    <row r="351" spans="1:83" ht="15" customHeight="1" x14ac:dyDescent="0.2">
      <c r="A351" s="376">
        <v>349</v>
      </c>
      <c r="B351" s="444" t="s">
        <v>145</v>
      </c>
      <c r="C351" s="315" t="s">
        <v>518</v>
      </c>
      <c r="D351" s="378">
        <v>1</v>
      </c>
      <c r="E351" s="378">
        <v>1</v>
      </c>
      <c r="F351" s="315" t="s">
        <v>770</v>
      </c>
      <c r="G351" s="316">
        <v>43062</v>
      </c>
      <c r="H351" s="317">
        <v>0.4375</v>
      </c>
      <c r="I351" s="325" t="s">
        <v>770</v>
      </c>
      <c r="J351" s="315" t="s">
        <v>703</v>
      </c>
      <c r="K351" s="315">
        <v>53</v>
      </c>
      <c r="L351" s="444" t="s">
        <v>605</v>
      </c>
      <c r="M351" s="444">
        <v>53</v>
      </c>
      <c r="N351" s="444" t="s">
        <v>609</v>
      </c>
      <c r="O351" s="153" t="str">
        <f>IF(L351&lt;&gt;"",IFERROR(VLOOKUP(B351&amp;L351,Pools!$A$2:$D$130,3,FALSE),""),"")</f>
        <v/>
      </c>
      <c r="P351" s="388">
        <v>14</v>
      </c>
      <c r="Q351" s="388">
        <v>8</v>
      </c>
      <c r="R351" s="306" t="str">
        <f t="shared" si="225"/>
        <v>14-8</v>
      </c>
      <c r="S351" s="153"/>
      <c r="T351" s="148" t="str">
        <f t="shared" si="226"/>
        <v>Completed</v>
      </c>
      <c r="U351" s="153"/>
      <c r="V351" s="153"/>
      <c r="W351" s="387">
        <f t="shared" si="227"/>
        <v>5</v>
      </c>
      <c r="X351" s="387">
        <f t="shared" si="228"/>
        <v>-5</v>
      </c>
      <c r="Y351" s="301">
        <f t="shared" si="229"/>
        <v>2</v>
      </c>
      <c r="Z351" s="301">
        <f t="shared" si="230"/>
        <v>0</v>
      </c>
      <c r="AA351" s="323" t="str">
        <f>CONCATENATE("                x[team1,team2,sport,'",IF(OR(I351="x",I351=""),VLOOKUP('Schedule from TM'!J351,Tables!$P$3:$Q$33,2,FALSE),'Schedule from TM'!I351),",",J351,"','",IF(OR(F351="x",F351=""),VLOOKUP('Schedule from TM'!G351,Tables!$U$3:$V$14,2,FALSE),'Schedule from TM'!F351),",",TEXT(G351,"mm/dd/yyyy"),"','",TEXT(H351,"h:mm:ss AM/PM"),"'].ub=0.0      #",B351)</f>
        <v xml:space="preserve">                x[team1,team2,sport,'21,Hillel - Field 1','11,11/23/2017','10:30:00 AM'].ub=0.0      #Ch E Female Kickball</v>
      </c>
      <c r="AB351" s="301" t="str">
        <f t="shared" si="231"/>
        <v>,,Ch E Female Kickball,,1,CHILD EF - ARG 1</v>
      </c>
      <c r="AC351" s="153" t="str">
        <f t="shared" si="232"/>
        <v>Ch E Female KickballCHILD EF - ARG 1</v>
      </c>
      <c r="AD351" s="301" t="str">
        <f t="shared" si="233"/>
        <v>,,Ch E Female Kickball,,1,CHILD EF - USA 1</v>
      </c>
      <c r="AE351" s="153" t="str">
        <f t="shared" si="234"/>
        <v>Ch E Female KickballCHILD EF - USA 1</v>
      </c>
      <c r="AF351" s="383">
        <f t="shared" si="235"/>
        <v>1</v>
      </c>
      <c r="AG351" s="383">
        <f t="shared" si="236"/>
        <v>0</v>
      </c>
      <c r="AH351" s="383">
        <f t="shared" si="237"/>
        <v>0</v>
      </c>
      <c r="AI351" s="383">
        <f t="shared" si="238"/>
        <v>0</v>
      </c>
      <c r="AJ351" s="383">
        <f t="shared" si="239"/>
        <v>1</v>
      </c>
      <c r="AK351" s="383">
        <f t="shared" si="240"/>
        <v>0</v>
      </c>
      <c r="AM351" s="148" t="str">
        <f t="shared" si="241"/>
        <v>Schedulled</v>
      </c>
      <c r="AN351" s="148" t="str">
        <f t="shared" si="242"/>
        <v/>
      </c>
      <c r="AO351" s="156">
        <f t="shared" si="243"/>
        <v>43062.4375</v>
      </c>
      <c r="AP351" s="148" t="str">
        <f t="shared" si="244"/>
        <v>11/23/2017 10:30-&gt;Hillel - Field 1</v>
      </c>
      <c r="AQ351" s="374">
        <f t="shared" si="245"/>
        <v>1</v>
      </c>
      <c r="AR351" s="148" t="str">
        <f t="shared" si="246"/>
        <v>ARG1</v>
      </c>
      <c r="AS351" s="148" t="str">
        <f t="shared" si="247"/>
        <v>USA1</v>
      </c>
      <c r="AT351" s="157" t="str">
        <f t="shared" si="248"/>
        <v>ARG1-USA1</v>
      </c>
      <c r="AU351" s="157" t="str">
        <f t="shared" si="249"/>
        <v xml:space="preserve">ARG1-USA1 </v>
      </c>
      <c r="AV351" s="157" t="str">
        <f t="shared" si="250"/>
        <v>CHILDREN E FEMALE</v>
      </c>
      <c r="AW351" s="157" t="str">
        <f t="shared" si="251"/>
        <v>Kickball</v>
      </c>
      <c r="AX351" s="376">
        <f t="shared" si="252"/>
        <v>349</v>
      </c>
      <c r="AY351" s="148" t="str">
        <f t="shared" si="253"/>
        <v>CHILD EF - ARG 1-&gt;CHILD EF - USA 1</v>
      </c>
      <c r="AZ351" s="148" t="str">
        <f t="shared" si="254"/>
        <v>11/23/2017 10:30-&gt;CHILD EF - ARG 1</v>
      </c>
      <c r="BA351" s="148" t="str">
        <f t="shared" si="255"/>
        <v>11/23/2017 10:30-&gt;CHILD EF - USA 1</v>
      </c>
      <c r="BB351" s="374">
        <f t="shared" si="256"/>
        <v>1</v>
      </c>
      <c r="BC351" s="374">
        <f t="shared" si="257"/>
        <v>1</v>
      </c>
      <c r="BD351" s="148" t="str">
        <f t="shared" si="258"/>
        <v>no conflict</v>
      </c>
      <c r="BF351" s="148" t="str">
        <f t="shared" si="259"/>
        <v>11/23/2017 10:30-&gt;CHILD EF - ARG 1</v>
      </c>
      <c r="BG351" s="148" t="str">
        <f t="shared" si="260"/>
        <v>11/23/2017 10:30-&gt;CHILD EF - USA 1</v>
      </c>
      <c r="BH351" s="148" t="str">
        <f t="shared" si="261"/>
        <v>11/23/2017 10:30-&gt;Hillel - Field 1</v>
      </c>
      <c r="BI351" s="148" t="str">
        <f t="shared" si="262"/>
        <v>Kickball in Hillel - Field 1 (ARG1-USA1)</v>
      </c>
      <c r="BJ351" s="148" t="str">
        <f t="shared" si="263"/>
        <v>Ch E Female Kickball-- CHILD EF - ARG 1 vs. CHILD EF - USA 1</v>
      </c>
      <c r="BK351" s="148" t="str">
        <f t="shared" si="264"/>
        <v>Kickball</v>
      </c>
      <c r="BL351" s="148" t="str">
        <f t="shared" si="265"/>
        <v>CHILD EF - ARG 1</v>
      </c>
      <c r="BM351" s="148" t="str">
        <f t="shared" si="266"/>
        <v>CHILD EF - USA 1</v>
      </c>
      <c r="BN351" s="148" t="str">
        <f t="shared" si="267"/>
        <v>Round - 1</v>
      </c>
      <c r="BP351" s="148" t="str">
        <f t="shared" si="268"/>
        <v>no t, f, or sf</v>
      </c>
      <c r="BQ351" s="148" t="str">
        <f t="shared" si="269"/>
        <v/>
      </c>
    </row>
    <row r="352" spans="1:83" ht="15" customHeight="1" x14ac:dyDescent="0.2">
      <c r="A352" s="376">
        <v>350</v>
      </c>
      <c r="B352" s="441" t="s">
        <v>145</v>
      </c>
      <c r="C352" s="441" t="s">
        <v>518</v>
      </c>
      <c r="D352" s="450">
        <v>1</v>
      </c>
      <c r="E352" s="450">
        <v>1</v>
      </c>
      <c r="F352" s="315" t="s">
        <v>770</v>
      </c>
      <c r="G352" s="320">
        <v>43062</v>
      </c>
      <c r="H352" s="318">
        <v>0.4375</v>
      </c>
      <c r="I352" s="325" t="s">
        <v>770</v>
      </c>
      <c r="J352" s="441" t="s">
        <v>706</v>
      </c>
      <c r="K352" s="441">
        <v>53</v>
      </c>
      <c r="L352" s="441" t="s">
        <v>606</v>
      </c>
      <c r="M352" s="441">
        <v>53</v>
      </c>
      <c r="N352" s="441" t="s">
        <v>612</v>
      </c>
      <c r="O352" s="153" t="str">
        <f>IF(L352&lt;&gt;"",IFERROR(VLOOKUP(B352&amp;L352,Pools!$A$2:$D$130,3,FALSE),""),"")</f>
        <v/>
      </c>
      <c r="P352" s="388">
        <v>4</v>
      </c>
      <c r="Q352" s="388">
        <v>12</v>
      </c>
      <c r="R352" s="306" t="str">
        <f t="shared" si="225"/>
        <v>4-12</v>
      </c>
      <c r="S352" s="153"/>
      <c r="T352" s="148" t="str">
        <f t="shared" si="226"/>
        <v>Completed</v>
      </c>
      <c r="U352" s="153"/>
      <c r="V352" s="153"/>
      <c r="W352" s="387">
        <f t="shared" si="227"/>
        <v>-5</v>
      </c>
      <c r="X352" s="387">
        <f t="shared" si="228"/>
        <v>5</v>
      </c>
      <c r="Y352" s="301">
        <f t="shared" si="229"/>
        <v>0</v>
      </c>
      <c r="Z352" s="301">
        <f t="shared" si="230"/>
        <v>2</v>
      </c>
      <c r="AA352" s="323" t="str">
        <f>CONCATENATE("                x[team1,team2,sport,'",IF(OR(I352="x",I352=""),VLOOKUP('Schedule from TM'!J352,Tables!$P$3:$Q$33,2,FALSE),'Schedule from TM'!I352),",",J352,"','",IF(OR(F352="x",F352=""),VLOOKUP('Schedule from TM'!G352,Tables!$U$3:$V$14,2,FALSE),'Schedule from TM'!F352),",",TEXT(G352,"mm/dd/yyyy"),"','",TEXT(H352,"h:mm:ss AM/PM"),"'].ub=0.0      #",B352)</f>
        <v xml:space="preserve">                x[team1,team2,sport,'21,Hillel - Field 4','11,11/23/2017','10:30:00 AM'].ub=0.0      #Ch E Female Kickball</v>
      </c>
      <c r="AB352" s="301" t="str">
        <f t="shared" si="231"/>
        <v>,,Ch E Female Kickball,,1,CHILD EF - COL 1</v>
      </c>
      <c r="AC352" s="153" t="str">
        <f t="shared" si="232"/>
        <v>Ch E Female KickballCHILD EF - COL 1</v>
      </c>
      <c r="AD352" s="301" t="str">
        <f t="shared" si="233"/>
        <v>,,Ch E Female Kickball,,1,CHILD EF - PER</v>
      </c>
      <c r="AE352" s="153" t="str">
        <f t="shared" si="234"/>
        <v>Ch E Female KickballCHILD EF - PER</v>
      </c>
      <c r="AF352" s="383">
        <f t="shared" si="235"/>
        <v>0</v>
      </c>
      <c r="AG352" s="383">
        <f t="shared" si="236"/>
        <v>1</v>
      </c>
      <c r="AH352" s="383">
        <f t="shared" si="237"/>
        <v>0</v>
      </c>
      <c r="AI352" s="383">
        <f t="shared" si="238"/>
        <v>1</v>
      </c>
      <c r="AJ352" s="383">
        <f t="shared" si="239"/>
        <v>0</v>
      </c>
      <c r="AK352" s="383">
        <f t="shared" si="240"/>
        <v>0</v>
      </c>
      <c r="AM352" s="148" t="str">
        <f t="shared" si="241"/>
        <v>Schedulled</v>
      </c>
      <c r="AN352" s="148" t="str">
        <f t="shared" si="242"/>
        <v/>
      </c>
      <c r="AO352" s="156">
        <f t="shared" si="243"/>
        <v>43062.4375</v>
      </c>
      <c r="AP352" s="148" t="str">
        <f t="shared" si="244"/>
        <v>11/23/2017 10:30-&gt;Hillel - Field 4</v>
      </c>
      <c r="AQ352" s="374">
        <f t="shared" si="245"/>
        <v>1</v>
      </c>
      <c r="AR352" s="148" t="str">
        <f t="shared" si="246"/>
        <v>COL1</v>
      </c>
      <c r="AS352" s="148" t="str">
        <f t="shared" si="247"/>
        <v>PER</v>
      </c>
      <c r="AT352" s="157" t="str">
        <f t="shared" si="248"/>
        <v>COL1-PER</v>
      </c>
      <c r="AU352" s="157" t="str">
        <f t="shared" si="249"/>
        <v xml:space="preserve">COL1-PER </v>
      </c>
      <c r="AV352" s="157" t="str">
        <f t="shared" si="250"/>
        <v>CHILDREN E FEMALE</v>
      </c>
      <c r="AW352" s="157" t="str">
        <f t="shared" si="251"/>
        <v>Kickball</v>
      </c>
      <c r="AX352" s="376">
        <f t="shared" si="252"/>
        <v>350</v>
      </c>
      <c r="AY352" s="148" t="str">
        <f t="shared" si="253"/>
        <v>CHILD EF - COL 1-&gt;CHILD EF - PER</v>
      </c>
      <c r="AZ352" s="148" t="str">
        <f t="shared" si="254"/>
        <v>11/23/2017 10:30-&gt;CHILD EF - COL 1</v>
      </c>
      <c r="BA352" s="148" t="str">
        <f t="shared" si="255"/>
        <v>11/23/2017 10:30-&gt;CHILD EF - PER</v>
      </c>
      <c r="BB352" s="374">
        <f t="shared" si="256"/>
        <v>1</v>
      </c>
      <c r="BC352" s="374">
        <f t="shared" si="257"/>
        <v>1</v>
      </c>
      <c r="BD352" s="148" t="str">
        <f t="shared" si="258"/>
        <v>no conflict</v>
      </c>
      <c r="BF352" s="148" t="str">
        <f t="shared" si="259"/>
        <v>11/23/2017 10:30-&gt;CHILD EF - COL 1</v>
      </c>
      <c r="BG352" s="148" t="str">
        <f t="shared" si="260"/>
        <v>11/23/2017 10:30-&gt;CHILD EF - PER</v>
      </c>
      <c r="BH352" s="148" t="str">
        <f t="shared" si="261"/>
        <v>11/23/2017 10:30-&gt;Hillel - Field 4</v>
      </c>
      <c r="BI352" s="148" t="str">
        <f t="shared" si="262"/>
        <v>Kickball in Hillel - Field 4 (COL1-PER)</v>
      </c>
      <c r="BJ352" s="148" t="str">
        <f t="shared" si="263"/>
        <v>Ch E Female Kickball-- CHILD EF - COL 1 vs. CHILD EF - PER</v>
      </c>
      <c r="BK352" s="148" t="str">
        <f t="shared" si="264"/>
        <v>Kickball</v>
      </c>
      <c r="BL352" s="148" t="str">
        <f t="shared" si="265"/>
        <v>CHILD EF - COL 1</v>
      </c>
      <c r="BM352" s="148" t="str">
        <f t="shared" si="266"/>
        <v>CHILD EF - PER</v>
      </c>
      <c r="BN352" s="148" t="str">
        <f t="shared" si="267"/>
        <v>Round - 1</v>
      </c>
      <c r="BP352" s="148" t="str">
        <f t="shared" si="268"/>
        <v>no t, f, or sf</v>
      </c>
      <c r="BQ352" s="148" t="str">
        <f t="shared" si="269"/>
        <v/>
      </c>
    </row>
    <row r="353" spans="1:69" ht="15" customHeight="1" x14ac:dyDescent="0.2">
      <c r="A353" s="376">
        <v>351</v>
      </c>
      <c r="B353" s="441" t="s">
        <v>58</v>
      </c>
      <c r="C353" s="441" t="s">
        <v>518</v>
      </c>
      <c r="D353" s="450">
        <v>1</v>
      </c>
      <c r="E353" s="450">
        <v>1</v>
      </c>
      <c r="F353" s="315" t="s">
        <v>770</v>
      </c>
      <c r="G353" s="320">
        <v>43058</v>
      </c>
      <c r="H353" s="318">
        <v>0.40277777777777773</v>
      </c>
      <c r="I353" s="325" t="s">
        <v>770</v>
      </c>
      <c r="J353" s="296" t="s">
        <v>695</v>
      </c>
      <c r="K353" s="441">
        <v>53</v>
      </c>
      <c r="L353" s="441" t="s">
        <v>605</v>
      </c>
      <c r="M353" s="441">
        <v>53</v>
      </c>
      <c r="N353" s="441" t="s">
        <v>609</v>
      </c>
      <c r="O353" s="153" t="str">
        <f>IF(L353&lt;&gt;"",IFERROR(VLOOKUP(B353&amp;L353,Pools!$A$2:$D$130,3,FALSE),""),"")</f>
        <v/>
      </c>
      <c r="P353" s="388">
        <v>3</v>
      </c>
      <c r="Q353" s="388">
        <v>0</v>
      </c>
      <c r="R353" s="306" t="str">
        <f t="shared" si="225"/>
        <v>3-0</v>
      </c>
      <c r="S353" s="153"/>
      <c r="T353" s="148" t="str">
        <f t="shared" si="226"/>
        <v>Completed</v>
      </c>
      <c r="U353" s="153"/>
      <c r="V353" s="153"/>
      <c r="W353" s="387">
        <f t="shared" si="227"/>
        <v>3</v>
      </c>
      <c r="X353" s="387">
        <f t="shared" si="228"/>
        <v>-3</v>
      </c>
      <c r="Y353" s="301">
        <f t="shared" si="229"/>
        <v>2</v>
      </c>
      <c r="Z353" s="301">
        <f t="shared" si="230"/>
        <v>0</v>
      </c>
      <c r="AA353" s="323" t="str">
        <f>CONCATENATE("                x[team1,team2,sport,'",IF(OR(I353="x",I353=""),VLOOKUP('Schedule from TM'!J353,Tables!$P$3:$Q$33,2,FALSE),'Schedule from TM'!I353),",",J353,"','",IF(OR(F353="x",F353=""),VLOOKUP('Schedule from TM'!G353,Tables!$U$3:$V$14,2,FALSE),'Schedule from TM'!F353),",",TEXT(G353,"mm/dd/yyyy"),"','",TEXT(H353,"h:mm:ss AM/PM"),"'].ub=0.0      #",B353)</f>
        <v xml:space="preserve">                x[team1,team2,sport,'11,JCC Back Field 1','11,11/19/2017','9:40:00 AM'].ub=0.0      #Ch E Female Mini Soccer</v>
      </c>
      <c r="AB353" s="301" t="str">
        <f t="shared" si="231"/>
        <v>,,Ch E Female Mini Soccer,,1,CHILD EF - ARG 1</v>
      </c>
      <c r="AC353" s="153" t="str">
        <f t="shared" si="232"/>
        <v>Ch E Female Mini SoccerCHILD EF - ARG 1</v>
      </c>
      <c r="AD353" s="301" t="str">
        <f t="shared" si="233"/>
        <v>,,Ch E Female Mini Soccer,,1,CHILD EF - USA 1</v>
      </c>
      <c r="AE353" s="153" t="str">
        <f t="shared" si="234"/>
        <v>Ch E Female Mini SoccerCHILD EF - USA 1</v>
      </c>
      <c r="AF353" s="383">
        <f t="shared" si="235"/>
        <v>1</v>
      </c>
      <c r="AG353" s="383">
        <f t="shared" si="236"/>
        <v>0</v>
      </c>
      <c r="AH353" s="383">
        <f t="shared" si="237"/>
        <v>0</v>
      </c>
      <c r="AI353" s="383">
        <f t="shared" si="238"/>
        <v>0</v>
      </c>
      <c r="AJ353" s="383">
        <f t="shared" si="239"/>
        <v>1</v>
      </c>
      <c r="AK353" s="383">
        <f t="shared" si="240"/>
        <v>0</v>
      </c>
      <c r="AM353" s="148" t="str">
        <f t="shared" si="241"/>
        <v>Schedulled</v>
      </c>
      <c r="AN353" s="148" t="str">
        <f t="shared" si="242"/>
        <v/>
      </c>
      <c r="AO353" s="156">
        <f t="shared" si="243"/>
        <v>43058.402777777781</v>
      </c>
      <c r="AP353" s="148" t="str">
        <f t="shared" si="244"/>
        <v>11/19/2017 09:40-&gt;JCC Back Field 1</v>
      </c>
      <c r="AQ353" s="374">
        <f t="shared" si="245"/>
        <v>1</v>
      </c>
      <c r="AR353" s="148" t="str">
        <f t="shared" si="246"/>
        <v>ARG1</v>
      </c>
      <c r="AS353" s="148" t="str">
        <f t="shared" si="247"/>
        <v>USA1</v>
      </c>
      <c r="AT353" s="157" t="str">
        <f t="shared" si="248"/>
        <v>ARG1-USA1</v>
      </c>
      <c r="AU353" s="157" t="str">
        <f t="shared" si="249"/>
        <v xml:space="preserve">ARG1-USA1 </v>
      </c>
      <c r="AV353" s="157" t="str">
        <f t="shared" si="250"/>
        <v>CHILDREN E FEMALE</v>
      </c>
      <c r="AW353" s="157" t="str">
        <f t="shared" si="251"/>
        <v>Soccer</v>
      </c>
      <c r="AX353" s="376">
        <f t="shared" si="252"/>
        <v>351</v>
      </c>
      <c r="AY353" s="148" t="str">
        <f t="shared" si="253"/>
        <v>CHILD EF - ARG 1-&gt;CHILD EF - USA 1</v>
      </c>
      <c r="AZ353" s="148" t="str">
        <f t="shared" si="254"/>
        <v>11/19/2017 09:40-&gt;CHILD EF - ARG 1</v>
      </c>
      <c r="BA353" s="148" t="str">
        <f t="shared" si="255"/>
        <v>11/19/2017 09:40-&gt;CHILD EF - USA 1</v>
      </c>
      <c r="BB353" s="374">
        <f t="shared" si="256"/>
        <v>1</v>
      </c>
      <c r="BC353" s="374">
        <f t="shared" si="257"/>
        <v>1</v>
      </c>
      <c r="BD353" s="148" t="str">
        <f t="shared" si="258"/>
        <v>no conflict</v>
      </c>
      <c r="BF353" s="148" t="str">
        <f t="shared" si="259"/>
        <v>11/19/2017 09:40-&gt;CHILD EF - ARG 1</v>
      </c>
      <c r="BG353" s="148" t="str">
        <f t="shared" si="260"/>
        <v>11/19/2017 09:40-&gt;CHILD EF - USA 1</v>
      </c>
      <c r="BH353" s="148" t="str">
        <f t="shared" si="261"/>
        <v>11/19/2017 09:40-&gt;JCC Back Field 1</v>
      </c>
      <c r="BI353" s="148" t="str">
        <f t="shared" si="262"/>
        <v>Soccer in JCC Back Field 1 (ARG1-USA1)</v>
      </c>
      <c r="BJ353" s="148" t="str">
        <f t="shared" si="263"/>
        <v>Ch E Female Mini Soccer-- CHILD EF - ARG 1 vs. CHILD EF - USA 1</v>
      </c>
      <c r="BK353" s="148" t="str">
        <f t="shared" si="264"/>
        <v>Soccer</v>
      </c>
      <c r="BL353" s="148" t="str">
        <f t="shared" si="265"/>
        <v>CHILD EF - ARG 1</v>
      </c>
      <c r="BM353" s="148" t="str">
        <f t="shared" si="266"/>
        <v>CHILD EF - USA 1</v>
      </c>
      <c r="BN353" s="148" t="str">
        <f t="shared" si="267"/>
        <v>Round - 1</v>
      </c>
      <c r="BP353" s="148" t="str">
        <f t="shared" si="268"/>
        <v>no t, f, or sf</v>
      </c>
      <c r="BQ353" s="148" t="str">
        <f t="shared" si="269"/>
        <v/>
      </c>
    </row>
    <row r="354" spans="1:69" ht="15" customHeight="1" x14ac:dyDescent="0.2">
      <c r="A354" s="376">
        <v>352</v>
      </c>
      <c r="B354" s="328" t="s">
        <v>58</v>
      </c>
      <c r="C354" s="315" t="s">
        <v>518</v>
      </c>
      <c r="D354" s="378">
        <v>1</v>
      </c>
      <c r="E354" s="378">
        <v>1</v>
      </c>
      <c r="F354" s="315" t="s">
        <v>770</v>
      </c>
      <c r="G354" s="316">
        <v>43058</v>
      </c>
      <c r="H354" s="317">
        <v>0.50694444444444442</v>
      </c>
      <c r="I354" s="325" t="s">
        <v>770</v>
      </c>
      <c r="J354" s="315" t="s">
        <v>694</v>
      </c>
      <c r="K354" s="315">
        <v>53</v>
      </c>
      <c r="L354" s="441" t="s">
        <v>611</v>
      </c>
      <c r="M354" s="444">
        <v>53</v>
      </c>
      <c r="N354" s="441" t="s">
        <v>612</v>
      </c>
      <c r="O354" s="153" t="str">
        <f>IF(L354&lt;&gt;"",IFERROR(VLOOKUP(B354&amp;L354,Pools!$A$2:$D$130,3,FALSE),""),"")</f>
        <v/>
      </c>
      <c r="P354" s="388">
        <v>2</v>
      </c>
      <c r="Q354" s="388">
        <v>1</v>
      </c>
      <c r="R354" s="306" t="str">
        <f t="shared" si="225"/>
        <v>2-1</v>
      </c>
      <c r="S354" s="153"/>
      <c r="T354" s="148" t="str">
        <f t="shared" si="226"/>
        <v>Completed</v>
      </c>
      <c r="U354" s="153"/>
      <c r="V354" s="153"/>
      <c r="W354" s="387">
        <f t="shared" si="227"/>
        <v>1</v>
      </c>
      <c r="X354" s="387">
        <f t="shared" si="228"/>
        <v>-1</v>
      </c>
      <c r="Y354" s="301">
        <f t="shared" si="229"/>
        <v>2</v>
      </c>
      <c r="Z354" s="301">
        <f t="shared" si="230"/>
        <v>0</v>
      </c>
      <c r="AA354" s="323" t="str">
        <f>CONCATENATE("                x[team1,team2,sport,'",IF(OR(I354="x",I354=""),VLOOKUP('Schedule from TM'!J354,Tables!$P$3:$Q$33,2,FALSE),'Schedule from TM'!I354),",",J354,"','",IF(OR(F354="x",F354=""),VLOOKUP('Schedule from TM'!G354,Tables!$U$3:$V$14,2,FALSE),'Schedule from TM'!F354),",",TEXT(G354,"mm/dd/yyyy"),"','",TEXT(H354,"h:mm:ss AM/PM"),"'].ub=0.0      #",B354)</f>
        <v xml:space="preserve">                x[team1,team2,sport,'11,JCC Back Field 4','11,11/19/2017','12:10:00 PM'].ub=0.0      #Ch E Female Mini Soccer</v>
      </c>
      <c r="AB354" s="301" t="str">
        <f t="shared" si="231"/>
        <v>,,Ch E Female Mini Soccer,,1,CHILD EF - COL 2</v>
      </c>
      <c r="AC354" s="153" t="str">
        <f t="shared" si="232"/>
        <v>Ch E Female Mini SoccerCHILD EF - COL 2</v>
      </c>
      <c r="AD354" s="301" t="str">
        <f t="shared" si="233"/>
        <v>,,Ch E Female Mini Soccer,,1,CHILD EF - PER</v>
      </c>
      <c r="AE354" s="153" t="str">
        <f t="shared" si="234"/>
        <v>Ch E Female Mini SoccerCHILD EF - PER</v>
      </c>
      <c r="AF354" s="383">
        <f t="shared" si="235"/>
        <v>1</v>
      </c>
      <c r="AG354" s="383">
        <f t="shared" si="236"/>
        <v>0</v>
      </c>
      <c r="AH354" s="383">
        <f t="shared" si="237"/>
        <v>0</v>
      </c>
      <c r="AI354" s="383">
        <f t="shared" si="238"/>
        <v>0</v>
      </c>
      <c r="AJ354" s="383">
        <f t="shared" si="239"/>
        <v>1</v>
      </c>
      <c r="AK354" s="383">
        <f t="shared" si="240"/>
        <v>0</v>
      </c>
      <c r="AM354" s="148" t="str">
        <f t="shared" si="241"/>
        <v>Schedulled</v>
      </c>
      <c r="AN354" s="148" t="str">
        <f t="shared" si="242"/>
        <v/>
      </c>
      <c r="AO354" s="156">
        <f t="shared" si="243"/>
        <v>43058.506944444445</v>
      </c>
      <c r="AP354" s="148" t="str">
        <f t="shared" si="244"/>
        <v>11/19/2017 12:10-&gt;JCC Back Field 4</v>
      </c>
      <c r="AQ354" s="374">
        <f t="shared" si="245"/>
        <v>1</v>
      </c>
      <c r="AR354" s="148" t="str">
        <f t="shared" si="246"/>
        <v>COL2</v>
      </c>
      <c r="AS354" s="148" t="str">
        <f t="shared" si="247"/>
        <v>PER</v>
      </c>
      <c r="AT354" s="157" t="str">
        <f t="shared" si="248"/>
        <v>COL2-PER</v>
      </c>
      <c r="AU354" s="157" t="str">
        <f t="shared" si="249"/>
        <v xml:space="preserve">COL2-PER </v>
      </c>
      <c r="AV354" s="157" t="str">
        <f t="shared" si="250"/>
        <v>CHILDREN E FEMALE</v>
      </c>
      <c r="AW354" s="157" t="str">
        <f t="shared" si="251"/>
        <v>Soccer</v>
      </c>
      <c r="AX354" s="376">
        <f t="shared" si="252"/>
        <v>352</v>
      </c>
      <c r="AY354" s="148" t="str">
        <f t="shared" si="253"/>
        <v>CHILD EF - COL 2-&gt;CHILD EF - PER</v>
      </c>
      <c r="AZ354" s="148" t="str">
        <f t="shared" si="254"/>
        <v>11/19/2017 12:10-&gt;CHILD EF - COL 2</v>
      </c>
      <c r="BA354" s="148" t="str">
        <f t="shared" si="255"/>
        <v>11/19/2017 12:10-&gt;CHILD EF - PER</v>
      </c>
      <c r="BB354" s="374">
        <f t="shared" si="256"/>
        <v>1</v>
      </c>
      <c r="BC354" s="374">
        <f t="shared" si="257"/>
        <v>1</v>
      </c>
      <c r="BD354" s="148" t="str">
        <f t="shared" si="258"/>
        <v>no conflict</v>
      </c>
      <c r="BF354" s="148" t="str">
        <f t="shared" si="259"/>
        <v>11/19/2017 12:10-&gt;CHILD EF - COL 2</v>
      </c>
      <c r="BG354" s="148" t="str">
        <f t="shared" si="260"/>
        <v>11/19/2017 12:10-&gt;CHILD EF - PER</v>
      </c>
      <c r="BH354" s="148" t="str">
        <f t="shared" si="261"/>
        <v>11/19/2017 12:10-&gt;JCC Back Field 4</v>
      </c>
      <c r="BI354" s="148" t="str">
        <f t="shared" si="262"/>
        <v>Soccer in JCC Back Field 4 (COL2-PER)</v>
      </c>
      <c r="BJ354" s="148" t="str">
        <f t="shared" si="263"/>
        <v>Ch E Female Mini Soccer-- CHILD EF - COL 2 vs. CHILD EF - PER</v>
      </c>
      <c r="BK354" s="148" t="str">
        <f t="shared" si="264"/>
        <v>Soccer</v>
      </c>
      <c r="BL354" s="148" t="str">
        <f t="shared" si="265"/>
        <v>CHILD EF - COL 2</v>
      </c>
      <c r="BM354" s="148" t="str">
        <f t="shared" si="266"/>
        <v>CHILD EF - PER</v>
      </c>
      <c r="BN354" s="148" t="str">
        <f t="shared" si="267"/>
        <v>Round - 1</v>
      </c>
      <c r="BP354" s="148" t="str">
        <f t="shared" si="268"/>
        <v>no t, f, or sf</v>
      </c>
      <c r="BQ354" s="148" t="str">
        <f t="shared" si="269"/>
        <v/>
      </c>
    </row>
    <row r="355" spans="1:69" ht="15" customHeight="1" x14ac:dyDescent="0.2">
      <c r="A355" s="376">
        <v>353</v>
      </c>
      <c r="B355" s="328" t="s">
        <v>58</v>
      </c>
      <c r="C355" s="315" t="s">
        <v>518</v>
      </c>
      <c r="D355" s="378">
        <v>1</v>
      </c>
      <c r="E355" s="378">
        <v>1</v>
      </c>
      <c r="F355" s="315" t="s">
        <v>770</v>
      </c>
      <c r="G355" s="316">
        <v>43058</v>
      </c>
      <c r="H355" s="317">
        <v>0.68055555555555547</v>
      </c>
      <c r="I355" s="325" t="s">
        <v>770</v>
      </c>
      <c r="J355" s="315" t="s">
        <v>694</v>
      </c>
      <c r="K355" s="315">
        <v>53</v>
      </c>
      <c r="L355" s="441" t="s">
        <v>605</v>
      </c>
      <c r="M355" s="444">
        <v>53</v>
      </c>
      <c r="N355" s="441" t="s">
        <v>611</v>
      </c>
      <c r="O355" s="153" t="str">
        <f>IF(L355&lt;&gt;"",IFERROR(VLOOKUP(B355&amp;L355,Pools!$A$2:$D$130,3,FALSE),""),"")</f>
        <v/>
      </c>
      <c r="P355" s="388">
        <v>4</v>
      </c>
      <c r="Q355" s="388">
        <v>0</v>
      </c>
      <c r="R355" s="306" t="str">
        <f t="shared" si="225"/>
        <v>4-0</v>
      </c>
      <c r="S355" s="153"/>
      <c r="T355" s="148" t="str">
        <f t="shared" si="226"/>
        <v>Completed</v>
      </c>
      <c r="U355" s="153"/>
      <c r="V355" s="153"/>
      <c r="W355" s="387">
        <f t="shared" si="227"/>
        <v>3</v>
      </c>
      <c r="X355" s="387">
        <f t="shared" si="228"/>
        <v>-3</v>
      </c>
      <c r="Y355" s="301">
        <f t="shared" si="229"/>
        <v>2</v>
      </c>
      <c r="Z355" s="301">
        <f t="shared" si="230"/>
        <v>0</v>
      </c>
      <c r="AA355" s="323" t="str">
        <f>CONCATENATE("                x[team1,team2,sport,'",IF(OR(I355="x",I355=""),VLOOKUP('Schedule from TM'!J355,Tables!$P$3:$Q$33,2,FALSE),'Schedule from TM'!I355),",",J355,"','",IF(OR(F355="x",F355=""),VLOOKUP('Schedule from TM'!G355,Tables!$U$3:$V$14,2,FALSE),'Schedule from TM'!F355),",",TEXT(G355,"mm/dd/yyyy"),"','",TEXT(H355,"h:mm:ss AM/PM"),"'].ub=0.0      #",B355)</f>
        <v xml:space="preserve">                x[team1,team2,sport,'11,JCC Back Field 4','11,11/19/2017','4:20:00 PM'].ub=0.0      #Ch E Female Mini Soccer</v>
      </c>
      <c r="AB355" s="301" t="str">
        <f t="shared" si="231"/>
        <v>,,Ch E Female Mini Soccer,,1,CHILD EF - ARG 1</v>
      </c>
      <c r="AC355" s="153" t="str">
        <f t="shared" si="232"/>
        <v>Ch E Female Mini SoccerCHILD EF - ARG 1</v>
      </c>
      <c r="AD355" s="301" t="str">
        <f t="shared" si="233"/>
        <v>,,Ch E Female Mini Soccer,,1,CHILD EF - COL 2</v>
      </c>
      <c r="AE355" s="153" t="str">
        <f t="shared" si="234"/>
        <v>Ch E Female Mini SoccerCHILD EF - COL 2</v>
      </c>
      <c r="AF355" s="383">
        <f t="shared" si="235"/>
        <v>1</v>
      </c>
      <c r="AG355" s="383">
        <f t="shared" si="236"/>
        <v>0</v>
      </c>
      <c r="AH355" s="383">
        <f t="shared" si="237"/>
        <v>0</v>
      </c>
      <c r="AI355" s="383">
        <f t="shared" si="238"/>
        <v>0</v>
      </c>
      <c r="AJ355" s="383">
        <f t="shared" si="239"/>
        <v>1</v>
      </c>
      <c r="AK355" s="383">
        <f t="shared" si="240"/>
        <v>0</v>
      </c>
      <c r="AM355" s="148" t="str">
        <f t="shared" si="241"/>
        <v>Schedulled</v>
      </c>
      <c r="AN355" s="148" t="str">
        <f t="shared" si="242"/>
        <v/>
      </c>
      <c r="AO355" s="156">
        <f t="shared" si="243"/>
        <v>43058.680555555555</v>
      </c>
      <c r="AP355" s="148" t="str">
        <f t="shared" si="244"/>
        <v>11/19/2017 16:20-&gt;JCC Back Field 4</v>
      </c>
      <c r="AQ355" s="374">
        <f t="shared" si="245"/>
        <v>1</v>
      </c>
      <c r="AR355" s="148" t="str">
        <f t="shared" si="246"/>
        <v>ARG1</v>
      </c>
      <c r="AS355" s="148" t="str">
        <f t="shared" si="247"/>
        <v>COL2</v>
      </c>
      <c r="AT355" s="157" t="str">
        <f t="shared" si="248"/>
        <v>ARG1-COL2</v>
      </c>
      <c r="AU355" s="157" t="str">
        <f t="shared" si="249"/>
        <v xml:space="preserve">ARG1-COL2 </v>
      </c>
      <c r="AV355" s="157" t="str">
        <f t="shared" si="250"/>
        <v>CHILDREN E FEMALE</v>
      </c>
      <c r="AW355" s="157" t="str">
        <f t="shared" si="251"/>
        <v>Soccer</v>
      </c>
      <c r="AX355" s="376">
        <f t="shared" si="252"/>
        <v>353</v>
      </c>
      <c r="AY355" s="148" t="str">
        <f t="shared" si="253"/>
        <v>CHILD EF - ARG 1-&gt;CHILD EF - COL 2</v>
      </c>
      <c r="AZ355" s="148" t="str">
        <f t="shared" si="254"/>
        <v>11/19/2017 16:20-&gt;CHILD EF - ARG 1</v>
      </c>
      <c r="BA355" s="148" t="str">
        <f t="shared" si="255"/>
        <v>11/19/2017 16:20-&gt;CHILD EF - COL 2</v>
      </c>
      <c r="BB355" s="374">
        <f t="shared" si="256"/>
        <v>1</v>
      </c>
      <c r="BC355" s="374">
        <f t="shared" si="257"/>
        <v>1</v>
      </c>
      <c r="BD355" s="148" t="str">
        <f t="shared" si="258"/>
        <v>no conflict</v>
      </c>
      <c r="BF355" s="148" t="str">
        <f t="shared" si="259"/>
        <v>11/19/2017 16:20-&gt;CHILD EF - ARG 1</v>
      </c>
      <c r="BG355" s="148" t="str">
        <f t="shared" si="260"/>
        <v>11/19/2017 16:20-&gt;CHILD EF - COL 2</v>
      </c>
      <c r="BH355" s="148" t="str">
        <f t="shared" si="261"/>
        <v>11/19/2017 16:20-&gt;JCC Back Field 4</v>
      </c>
      <c r="BI355" s="148" t="str">
        <f t="shared" si="262"/>
        <v>Soccer in JCC Back Field 4 (ARG1-COL2)</v>
      </c>
      <c r="BJ355" s="148" t="str">
        <f t="shared" si="263"/>
        <v>Ch E Female Mini Soccer-- CHILD EF - ARG 1 vs. CHILD EF - COL 2</v>
      </c>
      <c r="BK355" s="148" t="str">
        <f t="shared" si="264"/>
        <v>Soccer</v>
      </c>
      <c r="BL355" s="148" t="str">
        <f t="shared" si="265"/>
        <v>CHILD EF - ARG 1</v>
      </c>
      <c r="BM355" s="148" t="str">
        <f t="shared" si="266"/>
        <v>CHILD EF - COL 2</v>
      </c>
      <c r="BN355" s="148" t="str">
        <f t="shared" si="267"/>
        <v>Round - 1</v>
      </c>
      <c r="BP355" s="148" t="str">
        <f t="shared" si="268"/>
        <v>no t, f, or sf</v>
      </c>
      <c r="BQ355" s="148" t="str">
        <f t="shared" si="269"/>
        <v/>
      </c>
    </row>
    <row r="356" spans="1:69" ht="15" customHeight="1" x14ac:dyDescent="0.2">
      <c r="A356" s="376">
        <v>354</v>
      </c>
      <c r="B356" s="444" t="s">
        <v>58</v>
      </c>
      <c r="C356" s="315" t="s">
        <v>518</v>
      </c>
      <c r="D356" s="378">
        <v>1</v>
      </c>
      <c r="E356" s="378">
        <v>1</v>
      </c>
      <c r="F356" s="315" t="s">
        <v>770</v>
      </c>
      <c r="G356" s="316">
        <v>43058</v>
      </c>
      <c r="H356" s="317">
        <v>0.78472222222222221</v>
      </c>
      <c r="I356" s="325" t="s">
        <v>770</v>
      </c>
      <c r="J356" s="443" t="s">
        <v>695</v>
      </c>
      <c r="K356" s="315">
        <v>53</v>
      </c>
      <c r="L356" s="444" t="s">
        <v>606</v>
      </c>
      <c r="M356" s="444">
        <v>53</v>
      </c>
      <c r="N356" s="444" t="s">
        <v>609</v>
      </c>
      <c r="O356" s="153" t="str">
        <f>IF(L356&lt;&gt;"",IFERROR(VLOOKUP(B356&amp;L356,Pools!$A$2:$D$130,3,FALSE),""),"")</f>
        <v/>
      </c>
      <c r="P356" s="388">
        <v>0</v>
      </c>
      <c r="Q356" s="388">
        <v>1</v>
      </c>
      <c r="R356" s="306" t="str">
        <f t="shared" si="225"/>
        <v>0-1</v>
      </c>
      <c r="S356" s="153"/>
      <c r="T356" s="148" t="str">
        <f t="shared" si="226"/>
        <v>Completed</v>
      </c>
      <c r="U356" s="153"/>
      <c r="V356" s="153"/>
      <c r="W356" s="387">
        <f t="shared" si="227"/>
        <v>-1</v>
      </c>
      <c r="X356" s="387">
        <f t="shared" si="228"/>
        <v>1</v>
      </c>
      <c r="Y356" s="301">
        <f t="shared" si="229"/>
        <v>0</v>
      </c>
      <c r="Z356" s="301">
        <f t="shared" si="230"/>
        <v>2</v>
      </c>
      <c r="AA356" s="323" t="str">
        <f>CONCATENATE("                x[team1,team2,sport,'",IF(OR(I356="x",I356=""),VLOOKUP('Schedule from TM'!J356,Tables!$P$3:$Q$33,2,FALSE),'Schedule from TM'!I356),",",J356,"','",IF(OR(F356="x",F356=""),VLOOKUP('Schedule from TM'!G356,Tables!$U$3:$V$14,2,FALSE),'Schedule from TM'!F356),",",TEXT(G356,"mm/dd/yyyy"),"','",TEXT(H356,"h:mm:ss AM/PM"),"'].ub=0.0      #",B356)</f>
        <v xml:space="preserve">                x[team1,team2,sport,'11,JCC Back Field 1','11,11/19/2017','6:50:00 PM'].ub=0.0      #Ch E Female Mini Soccer</v>
      </c>
      <c r="AB356" s="301" t="str">
        <f t="shared" si="231"/>
        <v>,,Ch E Female Mini Soccer,,1,CHILD EF - COL 1</v>
      </c>
      <c r="AC356" s="153" t="str">
        <f t="shared" si="232"/>
        <v>Ch E Female Mini SoccerCHILD EF - COL 1</v>
      </c>
      <c r="AD356" s="301" t="str">
        <f t="shared" si="233"/>
        <v>,,Ch E Female Mini Soccer,,1,CHILD EF - USA 1</v>
      </c>
      <c r="AE356" s="153" t="str">
        <f t="shared" si="234"/>
        <v>Ch E Female Mini SoccerCHILD EF - USA 1</v>
      </c>
      <c r="AF356" s="383">
        <f t="shared" si="235"/>
        <v>0</v>
      </c>
      <c r="AG356" s="383">
        <f t="shared" si="236"/>
        <v>1</v>
      </c>
      <c r="AH356" s="383">
        <f t="shared" si="237"/>
        <v>0</v>
      </c>
      <c r="AI356" s="383">
        <f t="shared" si="238"/>
        <v>1</v>
      </c>
      <c r="AJ356" s="383">
        <f t="shared" si="239"/>
        <v>0</v>
      </c>
      <c r="AK356" s="383">
        <f t="shared" si="240"/>
        <v>0</v>
      </c>
      <c r="AM356" s="148" t="str">
        <f t="shared" si="241"/>
        <v>Schedulled</v>
      </c>
      <c r="AN356" s="148" t="str">
        <f t="shared" si="242"/>
        <v/>
      </c>
      <c r="AO356" s="156">
        <f t="shared" si="243"/>
        <v>43058.784722222219</v>
      </c>
      <c r="AP356" s="148" t="str">
        <f t="shared" si="244"/>
        <v>11/19/2017 18:50-&gt;JCC Back Field 1</v>
      </c>
      <c r="AQ356" s="374">
        <f t="shared" si="245"/>
        <v>1</v>
      </c>
      <c r="AR356" s="148" t="str">
        <f t="shared" si="246"/>
        <v>COL1</v>
      </c>
      <c r="AS356" s="148" t="str">
        <f t="shared" si="247"/>
        <v>USA1</v>
      </c>
      <c r="AT356" s="157" t="str">
        <f t="shared" si="248"/>
        <v>COL1-USA1</v>
      </c>
      <c r="AU356" s="157" t="str">
        <f t="shared" si="249"/>
        <v xml:space="preserve">COL1-USA1 </v>
      </c>
      <c r="AV356" s="157" t="str">
        <f t="shared" si="250"/>
        <v>CHILDREN E FEMALE</v>
      </c>
      <c r="AW356" s="157" t="str">
        <f t="shared" si="251"/>
        <v>Soccer</v>
      </c>
      <c r="AX356" s="376">
        <f t="shared" si="252"/>
        <v>354</v>
      </c>
      <c r="AY356" s="148" t="str">
        <f t="shared" si="253"/>
        <v>CHILD EF - COL 1-&gt;CHILD EF - USA 1</v>
      </c>
      <c r="AZ356" s="148" t="str">
        <f t="shared" si="254"/>
        <v>11/19/2017 18:50-&gt;CHILD EF - COL 1</v>
      </c>
      <c r="BA356" s="148" t="str">
        <f t="shared" si="255"/>
        <v>11/19/2017 18:50-&gt;CHILD EF - USA 1</v>
      </c>
      <c r="BB356" s="374">
        <f t="shared" si="256"/>
        <v>1</v>
      </c>
      <c r="BC356" s="374">
        <f t="shared" si="257"/>
        <v>1</v>
      </c>
      <c r="BD356" s="148" t="str">
        <f t="shared" si="258"/>
        <v>no conflict</v>
      </c>
      <c r="BF356" s="148" t="str">
        <f t="shared" si="259"/>
        <v>11/19/2017 18:50-&gt;CHILD EF - COL 1</v>
      </c>
      <c r="BG356" s="148" t="str">
        <f t="shared" si="260"/>
        <v>11/19/2017 18:50-&gt;CHILD EF - USA 1</v>
      </c>
      <c r="BH356" s="148" t="str">
        <f t="shared" si="261"/>
        <v>11/19/2017 18:50-&gt;JCC Back Field 1</v>
      </c>
      <c r="BI356" s="148" t="str">
        <f t="shared" si="262"/>
        <v>Soccer in JCC Back Field 1 (COL1-USA1)</v>
      </c>
      <c r="BJ356" s="148" t="str">
        <f t="shared" si="263"/>
        <v>Ch E Female Mini Soccer-- CHILD EF - COL 1 vs. CHILD EF - USA 1</v>
      </c>
      <c r="BK356" s="148" t="str">
        <f t="shared" si="264"/>
        <v>Soccer</v>
      </c>
      <c r="BL356" s="148" t="str">
        <f t="shared" si="265"/>
        <v>CHILD EF - COL 1</v>
      </c>
      <c r="BM356" s="148" t="str">
        <f t="shared" si="266"/>
        <v>CHILD EF - USA 1</v>
      </c>
      <c r="BN356" s="148" t="str">
        <f t="shared" si="267"/>
        <v>Round - 1</v>
      </c>
      <c r="BP356" s="148" t="str">
        <f t="shared" si="268"/>
        <v>no t, f, or sf</v>
      </c>
      <c r="BQ356" s="148" t="str">
        <f t="shared" si="269"/>
        <v/>
      </c>
    </row>
    <row r="357" spans="1:69" ht="15" customHeight="1" x14ac:dyDescent="0.2">
      <c r="A357" s="376">
        <v>355</v>
      </c>
      <c r="B357" s="328" t="s">
        <v>58</v>
      </c>
      <c r="C357" s="315" t="s">
        <v>518</v>
      </c>
      <c r="D357" s="378">
        <v>1</v>
      </c>
      <c r="E357" s="378">
        <v>1</v>
      </c>
      <c r="F357" s="315" t="s">
        <v>770</v>
      </c>
      <c r="G357" s="316">
        <v>43058</v>
      </c>
      <c r="H357" s="317">
        <v>0.68055555555555547</v>
      </c>
      <c r="I357" s="325" t="s">
        <v>770</v>
      </c>
      <c r="J357" s="443" t="s">
        <v>695</v>
      </c>
      <c r="K357" s="315">
        <v>53</v>
      </c>
      <c r="L357" s="441" t="s">
        <v>607</v>
      </c>
      <c r="M357" s="444">
        <v>53</v>
      </c>
      <c r="N357" s="441" t="s">
        <v>609</v>
      </c>
      <c r="O357" s="153" t="str">
        <f>IF(L357&lt;&gt;"",IFERROR(VLOOKUP(B357&amp;L357,Pools!$A$2:$D$130,3,FALSE),""),"")</f>
        <v/>
      </c>
      <c r="P357" s="388">
        <v>0</v>
      </c>
      <c r="Q357" s="388">
        <v>1</v>
      </c>
      <c r="R357" s="306" t="str">
        <f t="shared" si="225"/>
        <v>0-1</v>
      </c>
      <c r="S357" s="153"/>
      <c r="T357" s="148" t="str">
        <f t="shared" si="226"/>
        <v>Completed</v>
      </c>
      <c r="U357" s="153"/>
      <c r="V357" s="153"/>
      <c r="W357" s="387">
        <f t="shared" si="227"/>
        <v>-1</v>
      </c>
      <c r="X357" s="387">
        <f t="shared" si="228"/>
        <v>1</v>
      </c>
      <c r="Y357" s="301">
        <f t="shared" si="229"/>
        <v>0</v>
      </c>
      <c r="Z357" s="301">
        <f t="shared" si="230"/>
        <v>2</v>
      </c>
      <c r="AA357" s="323" t="str">
        <f>CONCATENATE("                x[team1,team2,sport,'",IF(OR(I357="x",I357=""),VLOOKUP('Schedule from TM'!J357,Tables!$P$3:$Q$33,2,FALSE),'Schedule from TM'!I357),",",J357,"','",IF(OR(F357="x",F357=""),VLOOKUP('Schedule from TM'!G357,Tables!$U$3:$V$14,2,FALSE),'Schedule from TM'!F357),",",TEXT(G357,"mm/dd/yyyy"),"','",TEXT(H357,"h:mm:ss AM/PM"),"'].ub=0.0      #",B357)</f>
        <v xml:space="preserve">                x[team1,team2,sport,'11,JCC Back Field 1','11,11/19/2017','4:20:00 PM'].ub=0.0      #Ch E Female Mini Soccer</v>
      </c>
      <c r="AB357" s="301" t="str">
        <f t="shared" si="231"/>
        <v>,,Ch E Female Mini Soccer,,1,CHILD EF - ISR 1</v>
      </c>
      <c r="AC357" s="153" t="str">
        <f t="shared" si="232"/>
        <v>Ch E Female Mini SoccerCHILD EF - ISR 1</v>
      </c>
      <c r="AD357" s="301" t="str">
        <f t="shared" si="233"/>
        <v>,,Ch E Female Mini Soccer,,1,CHILD EF - USA 1</v>
      </c>
      <c r="AE357" s="153" t="str">
        <f t="shared" si="234"/>
        <v>Ch E Female Mini SoccerCHILD EF - USA 1</v>
      </c>
      <c r="AF357" s="383">
        <f t="shared" si="235"/>
        <v>0</v>
      </c>
      <c r="AG357" s="383">
        <f t="shared" si="236"/>
        <v>1</v>
      </c>
      <c r="AH357" s="383">
        <f t="shared" si="237"/>
        <v>0</v>
      </c>
      <c r="AI357" s="383">
        <f t="shared" si="238"/>
        <v>1</v>
      </c>
      <c r="AJ357" s="383">
        <f t="shared" si="239"/>
        <v>0</v>
      </c>
      <c r="AK357" s="383">
        <f t="shared" si="240"/>
        <v>0</v>
      </c>
      <c r="AM357" s="148" t="str">
        <f t="shared" si="241"/>
        <v>Schedulled</v>
      </c>
      <c r="AN357" s="148" t="str">
        <f t="shared" si="242"/>
        <v/>
      </c>
      <c r="AO357" s="156">
        <f t="shared" si="243"/>
        <v>43058.680555555555</v>
      </c>
      <c r="AP357" s="148" t="str">
        <f t="shared" si="244"/>
        <v>11/19/2017 16:20-&gt;JCC Back Field 1</v>
      </c>
      <c r="AQ357" s="374">
        <f t="shared" si="245"/>
        <v>1</v>
      </c>
      <c r="AR357" s="148" t="str">
        <f t="shared" si="246"/>
        <v>ISR1</v>
      </c>
      <c r="AS357" s="148" t="str">
        <f t="shared" si="247"/>
        <v>USA1</v>
      </c>
      <c r="AT357" s="157" t="str">
        <f t="shared" si="248"/>
        <v>ISR1-USA1</v>
      </c>
      <c r="AU357" s="157" t="str">
        <f t="shared" si="249"/>
        <v xml:space="preserve">ISR1-USA1 </v>
      </c>
      <c r="AV357" s="157" t="str">
        <f t="shared" si="250"/>
        <v>CHILDREN E FEMALE</v>
      </c>
      <c r="AW357" s="157" t="str">
        <f t="shared" si="251"/>
        <v>Soccer</v>
      </c>
      <c r="AX357" s="376">
        <f t="shared" si="252"/>
        <v>355</v>
      </c>
      <c r="AY357" s="148" t="str">
        <f t="shared" si="253"/>
        <v>CHILD EF - ISR 1-&gt;CHILD EF - USA 1</v>
      </c>
      <c r="AZ357" s="148" t="str">
        <f t="shared" si="254"/>
        <v>11/19/2017 16:20-&gt;CHILD EF - ISR 1</v>
      </c>
      <c r="BA357" s="148" t="str">
        <f t="shared" si="255"/>
        <v>11/19/2017 16:20-&gt;CHILD EF - USA 1</v>
      </c>
      <c r="BB357" s="374">
        <f t="shared" si="256"/>
        <v>1</v>
      </c>
      <c r="BC357" s="374">
        <f t="shared" si="257"/>
        <v>1</v>
      </c>
      <c r="BD357" s="148" t="str">
        <f t="shared" si="258"/>
        <v>no conflict</v>
      </c>
      <c r="BF357" s="148" t="str">
        <f t="shared" si="259"/>
        <v>11/19/2017 16:20-&gt;CHILD EF - ISR 1</v>
      </c>
      <c r="BG357" s="148" t="str">
        <f t="shared" si="260"/>
        <v>11/19/2017 16:20-&gt;CHILD EF - USA 1</v>
      </c>
      <c r="BH357" s="148" t="str">
        <f t="shared" si="261"/>
        <v>11/19/2017 16:20-&gt;JCC Back Field 1</v>
      </c>
      <c r="BI357" s="148" t="str">
        <f t="shared" si="262"/>
        <v>Soccer in JCC Back Field 1 (ISR1-USA1)</v>
      </c>
      <c r="BJ357" s="148" t="str">
        <f t="shared" si="263"/>
        <v>Ch E Female Mini Soccer-- CHILD EF - ISR 1 vs. CHILD EF - USA 1</v>
      </c>
      <c r="BK357" s="148" t="str">
        <f t="shared" si="264"/>
        <v>Soccer</v>
      </c>
      <c r="BL357" s="148" t="str">
        <f t="shared" si="265"/>
        <v>CHILD EF - ISR 1</v>
      </c>
      <c r="BM357" s="148" t="str">
        <f t="shared" si="266"/>
        <v>CHILD EF - USA 1</v>
      </c>
      <c r="BN357" s="148" t="str">
        <f t="shared" si="267"/>
        <v>Round - 1</v>
      </c>
      <c r="BP357" s="148" t="str">
        <f t="shared" si="268"/>
        <v>no t, f, or sf</v>
      </c>
      <c r="BQ357" s="148" t="str">
        <f t="shared" si="269"/>
        <v/>
      </c>
    </row>
    <row r="358" spans="1:69" ht="15" customHeight="1" x14ac:dyDescent="0.2">
      <c r="A358" s="376">
        <v>356</v>
      </c>
      <c r="B358" s="444" t="s">
        <v>58</v>
      </c>
      <c r="C358" s="315" t="s">
        <v>518</v>
      </c>
      <c r="D358" s="378">
        <v>1</v>
      </c>
      <c r="E358" s="378">
        <v>1</v>
      </c>
      <c r="F358" s="315" t="s">
        <v>770</v>
      </c>
      <c r="G358" s="316">
        <v>43059</v>
      </c>
      <c r="H358" s="318">
        <v>0.78472222222222221</v>
      </c>
      <c r="I358" s="325" t="s">
        <v>770</v>
      </c>
      <c r="J358" s="443" t="s">
        <v>693</v>
      </c>
      <c r="K358" s="315">
        <v>53</v>
      </c>
      <c r="L358" s="444" t="s">
        <v>605</v>
      </c>
      <c r="M358" s="444">
        <v>53</v>
      </c>
      <c r="N358" s="444" t="s">
        <v>607</v>
      </c>
      <c r="O358" s="153" t="str">
        <f>IF(L358&lt;&gt;"",IFERROR(VLOOKUP(B358&amp;L358,Pools!$A$2:$D$130,3,FALSE),""),"")</f>
        <v/>
      </c>
      <c r="P358" s="388">
        <v>5</v>
      </c>
      <c r="Q358" s="388">
        <v>1</v>
      </c>
      <c r="R358" s="306" t="str">
        <f t="shared" si="225"/>
        <v>5-1</v>
      </c>
      <c r="S358" s="153"/>
      <c r="T358" s="148" t="str">
        <f t="shared" si="226"/>
        <v>Completed</v>
      </c>
      <c r="U358" s="153"/>
      <c r="V358" s="153"/>
      <c r="W358" s="387">
        <f t="shared" si="227"/>
        <v>3</v>
      </c>
      <c r="X358" s="387">
        <f t="shared" si="228"/>
        <v>-3</v>
      </c>
      <c r="Y358" s="301">
        <f t="shared" si="229"/>
        <v>2</v>
      </c>
      <c r="Z358" s="301">
        <f t="shared" si="230"/>
        <v>0</v>
      </c>
      <c r="AA358" s="323" t="str">
        <f>CONCATENATE("                x[team1,team2,sport,'",IF(OR(I358="x",I358=""),VLOOKUP('Schedule from TM'!J358,Tables!$P$3:$Q$33,2,FALSE),'Schedule from TM'!I358),",",J358,"','",IF(OR(F358="x",F358=""),VLOOKUP('Schedule from TM'!G358,Tables!$U$3:$V$14,2,FALSE),'Schedule from TM'!F358),",",TEXT(G358,"mm/dd/yyyy"),"','",TEXT(H358,"h:mm:ss AM/PM"),"'].ub=0.0      #",B358)</f>
        <v xml:space="preserve">                x[team1,team2,sport,'11,JCC Back Field 2','22,11/20/2017','6:50:00 PM'].ub=0.0      #Ch E Female Mini Soccer</v>
      </c>
      <c r="AB358" s="301" t="str">
        <f t="shared" si="231"/>
        <v>,,Ch E Female Mini Soccer,,1,CHILD EF - ARG 1</v>
      </c>
      <c r="AC358" s="153" t="str">
        <f t="shared" si="232"/>
        <v>Ch E Female Mini SoccerCHILD EF - ARG 1</v>
      </c>
      <c r="AD358" s="301" t="str">
        <f t="shared" si="233"/>
        <v>,,Ch E Female Mini Soccer,,1,CHILD EF - ISR 1</v>
      </c>
      <c r="AE358" s="153" t="str">
        <f t="shared" si="234"/>
        <v>Ch E Female Mini SoccerCHILD EF - ISR 1</v>
      </c>
      <c r="AF358" s="383">
        <f t="shared" si="235"/>
        <v>1</v>
      </c>
      <c r="AG358" s="383">
        <f t="shared" si="236"/>
        <v>0</v>
      </c>
      <c r="AH358" s="383">
        <f t="shared" si="237"/>
        <v>0</v>
      </c>
      <c r="AI358" s="383">
        <f t="shared" si="238"/>
        <v>0</v>
      </c>
      <c r="AJ358" s="383">
        <f t="shared" si="239"/>
        <v>1</v>
      </c>
      <c r="AK358" s="383">
        <f t="shared" si="240"/>
        <v>0</v>
      </c>
      <c r="AM358" s="148" t="str">
        <f t="shared" si="241"/>
        <v>Schedulled</v>
      </c>
      <c r="AN358" s="148" t="str">
        <f t="shared" si="242"/>
        <v/>
      </c>
      <c r="AO358" s="156">
        <f t="shared" si="243"/>
        <v>43059.784722222219</v>
      </c>
      <c r="AP358" s="148" t="str">
        <f t="shared" si="244"/>
        <v>11/20/2017 18:50-&gt;JCC Back Field 2</v>
      </c>
      <c r="AQ358" s="374">
        <f t="shared" si="245"/>
        <v>1</v>
      </c>
      <c r="AR358" s="148" t="str">
        <f t="shared" si="246"/>
        <v>ARG1</v>
      </c>
      <c r="AS358" s="148" t="str">
        <f t="shared" si="247"/>
        <v>ISR1</v>
      </c>
      <c r="AT358" s="157" t="str">
        <f t="shared" si="248"/>
        <v>ARG1-ISR1</v>
      </c>
      <c r="AU358" s="157" t="str">
        <f t="shared" si="249"/>
        <v xml:space="preserve">ARG1-ISR1 </v>
      </c>
      <c r="AV358" s="157" t="str">
        <f t="shared" si="250"/>
        <v>CHILDREN E FEMALE</v>
      </c>
      <c r="AW358" s="157" t="str">
        <f t="shared" si="251"/>
        <v>Soccer</v>
      </c>
      <c r="AX358" s="376">
        <f t="shared" si="252"/>
        <v>356</v>
      </c>
      <c r="AY358" s="148" t="str">
        <f t="shared" si="253"/>
        <v>CHILD EF - ARG 1-&gt;CHILD EF - ISR 1</v>
      </c>
      <c r="AZ358" s="148" t="str">
        <f t="shared" si="254"/>
        <v>11/20/2017 18:50-&gt;CHILD EF - ARG 1</v>
      </c>
      <c r="BA358" s="148" t="str">
        <f t="shared" si="255"/>
        <v>11/20/2017 18:50-&gt;CHILD EF - ISR 1</v>
      </c>
      <c r="BB358" s="374">
        <f t="shared" si="256"/>
        <v>1</v>
      </c>
      <c r="BC358" s="374">
        <f t="shared" si="257"/>
        <v>1</v>
      </c>
      <c r="BD358" s="148" t="str">
        <f t="shared" si="258"/>
        <v>no conflict</v>
      </c>
      <c r="BF358" s="148" t="str">
        <f t="shared" si="259"/>
        <v>11/20/2017 18:50-&gt;CHILD EF - ARG 1</v>
      </c>
      <c r="BG358" s="148" t="str">
        <f t="shared" si="260"/>
        <v>11/20/2017 18:50-&gt;CHILD EF - ISR 1</v>
      </c>
      <c r="BH358" s="148" t="str">
        <f t="shared" si="261"/>
        <v>11/20/2017 18:50-&gt;JCC Back Field 2</v>
      </c>
      <c r="BI358" s="148" t="str">
        <f t="shared" si="262"/>
        <v>Soccer in JCC Back Field 2 (ARG1-ISR1)</v>
      </c>
      <c r="BJ358" s="148" t="str">
        <f t="shared" si="263"/>
        <v>Ch E Female Mini Soccer-- CHILD EF - ARG 1 vs. CHILD EF - ISR 1</v>
      </c>
      <c r="BK358" s="148" t="str">
        <f t="shared" si="264"/>
        <v>Soccer</v>
      </c>
      <c r="BL358" s="148" t="str">
        <f t="shared" si="265"/>
        <v>CHILD EF - ARG 1</v>
      </c>
      <c r="BM358" s="148" t="str">
        <f t="shared" si="266"/>
        <v>CHILD EF - ISR 1</v>
      </c>
      <c r="BN358" s="148" t="str">
        <f t="shared" si="267"/>
        <v>Round - 1</v>
      </c>
      <c r="BP358" s="148" t="str">
        <f t="shared" si="268"/>
        <v>no t, f, or sf</v>
      </c>
      <c r="BQ358" s="148" t="str">
        <f t="shared" si="269"/>
        <v/>
      </c>
    </row>
    <row r="359" spans="1:69" ht="15" customHeight="1" x14ac:dyDescent="0.2">
      <c r="A359" s="376">
        <v>357</v>
      </c>
      <c r="B359" s="441" t="s">
        <v>58</v>
      </c>
      <c r="C359" s="441" t="s">
        <v>518</v>
      </c>
      <c r="D359" s="450">
        <v>1</v>
      </c>
      <c r="E359" s="450">
        <v>1</v>
      </c>
      <c r="F359" s="315" t="s">
        <v>770</v>
      </c>
      <c r="G359" s="320">
        <v>43059</v>
      </c>
      <c r="H359" s="318">
        <v>0.81944444444444453</v>
      </c>
      <c r="I359" s="325" t="s">
        <v>770</v>
      </c>
      <c r="J359" s="441" t="s">
        <v>695</v>
      </c>
      <c r="K359" s="441">
        <v>53</v>
      </c>
      <c r="L359" s="441" t="s">
        <v>611</v>
      </c>
      <c r="M359" s="441">
        <v>53</v>
      </c>
      <c r="N359" s="441" t="s">
        <v>608</v>
      </c>
      <c r="O359" s="153" t="str">
        <f>IF(L359&lt;&gt;"",IFERROR(VLOOKUP(B359&amp;L359,Pools!$A$2:$D$130,3,FALSE),""),"")</f>
        <v/>
      </c>
      <c r="P359" s="388">
        <v>0</v>
      </c>
      <c r="Q359" s="388">
        <v>1</v>
      </c>
      <c r="R359" s="306" t="str">
        <f t="shared" si="225"/>
        <v>0-1</v>
      </c>
      <c r="S359" s="153"/>
      <c r="T359" s="148" t="str">
        <f t="shared" si="226"/>
        <v>Completed</v>
      </c>
      <c r="U359" s="153"/>
      <c r="V359" s="153"/>
      <c r="W359" s="387">
        <f t="shared" si="227"/>
        <v>-1</v>
      </c>
      <c r="X359" s="387">
        <f t="shared" si="228"/>
        <v>1</v>
      </c>
      <c r="Y359" s="301">
        <f t="shared" si="229"/>
        <v>0</v>
      </c>
      <c r="Z359" s="301">
        <f t="shared" si="230"/>
        <v>2</v>
      </c>
      <c r="AA359" s="323" t="str">
        <f>CONCATENATE("                x[team1,team2,sport,'",IF(OR(I359="x",I359=""),VLOOKUP('Schedule from TM'!J359,Tables!$P$3:$Q$33,2,FALSE),'Schedule from TM'!I359),",",J359,"','",IF(OR(F359="x",F359=""),VLOOKUP('Schedule from TM'!G359,Tables!$U$3:$V$14,2,FALSE),'Schedule from TM'!F359),",",TEXT(G359,"mm/dd/yyyy"),"','",TEXT(H359,"h:mm:ss AM/PM"),"'].ub=0.0      #",B359)</f>
        <v xml:space="preserve">                x[team1,team2,sport,'11,JCC Back Field 1','22,11/20/2017','7:40:00 PM'].ub=0.0      #Ch E Female Mini Soccer</v>
      </c>
      <c r="AB359" s="301" t="str">
        <f t="shared" si="231"/>
        <v>,,Ch E Female Mini Soccer,,1,CHILD EF - COL 2</v>
      </c>
      <c r="AC359" s="153" t="str">
        <f t="shared" si="232"/>
        <v>Ch E Female Mini SoccerCHILD EF - COL 2</v>
      </c>
      <c r="AD359" s="301" t="str">
        <f t="shared" si="233"/>
        <v>,,Ch E Female Mini Soccer,,1,CHILD EF - MEX</v>
      </c>
      <c r="AE359" s="153" t="str">
        <f t="shared" si="234"/>
        <v>Ch E Female Mini SoccerCHILD EF - MEX</v>
      </c>
      <c r="AF359" s="383">
        <f t="shared" si="235"/>
        <v>0</v>
      </c>
      <c r="AG359" s="383">
        <f t="shared" si="236"/>
        <v>1</v>
      </c>
      <c r="AH359" s="383">
        <f t="shared" si="237"/>
        <v>0</v>
      </c>
      <c r="AI359" s="383">
        <f t="shared" si="238"/>
        <v>1</v>
      </c>
      <c r="AJ359" s="383">
        <f t="shared" si="239"/>
        <v>0</v>
      </c>
      <c r="AK359" s="383">
        <f t="shared" si="240"/>
        <v>0</v>
      </c>
      <c r="AM359" s="148" t="str">
        <f t="shared" si="241"/>
        <v>Schedulled</v>
      </c>
      <c r="AN359" s="148" t="str">
        <f t="shared" si="242"/>
        <v/>
      </c>
      <c r="AO359" s="156">
        <f t="shared" si="243"/>
        <v>43059.819444444445</v>
      </c>
      <c r="AP359" s="148" t="str">
        <f t="shared" si="244"/>
        <v>11/20/2017 19:40-&gt;JCC Back Field 1</v>
      </c>
      <c r="AQ359" s="374">
        <f t="shared" si="245"/>
        <v>1</v>
      </c>
      <c r="AR359" s="148" t="str">
        <f t="shared" si="246"/>
        <v>COL2</v>
      </c>
      <c r="AS359" s="148" t="str">
        <f t="shared" si="247"/>
        <v>MEX</v>
      </c>
      <c r="AT359" s="157" t="str">
        <f t="shared" si="248"/>
        <v>COL2-MEX</v>
      </c>
      <c r="AU359" s="157" t="str">
        <f t="shared" si="249"/>
        <v xml:space="preserve">COL2-MEX </v>
      </c>
      <c r="AV359" s="157" t="str">
        <f t="shared" si="250"/>
        <v>CHILDREN E FEMALE</v>
      </c>
      <c r="AW359" s="157" t="str">
        <f t="shared" si="251"/>
        <v>Soccer</v>
      </c>
      <c r="AX359" s="376">
        <f t="shared" si="252"/>
        <v>357</v>
      </c>
      <c r="AY359" s="148" t="str">
        <f t="shared" si="253"/>
        <v>CHILD EF - COL 2-&gt;CHILD EF - MEX</v>
      </c>
      <c r="AZ359" s="148" t="str">
        <f t="shared" si="254"/>
        <v>11/20/2017 19:40-&gt;CHILD EF - COL 2</v>
      </c>
      <c r="BA359" s="148" t="str">
        <f t="shared" si="255"/>
        <v>11/20/2017 19:40-&gt;CHILD EF - MEX</v>
      </c>
      <c r="BB359" s="374">
        <f t="shared" si="256"/>
        <v>1</v>
      </c>
      <c r="BC359" s="374">
        <f t="shared" si="257"/>
        <v>1</v>
      </c>
      <c r="BD359" s="148" t="str">
        <f t="shared" si="258"/>
        <v>no conflict</v>
      </c>
      <c r="BF359" s="148" t="str">
        <f t="shared" si="259"/>
        <v>11/20/2017 19:40-&gt;CHILD EF - COL 2</v>
      </c>
      <c r="BG359" s="148" t="str">
        <f t="shared" si="260"/>
        <v>11/20/2017 19:40-&gt;CHILD EF - MEX</v>
      </c>
      <c r="BH359" s="148" t="str">
        <f t="shared" si="261"/>
        <v>11/20/2017 19:40-&gt;JCC Back Field 1</v>
      </c>
      <c r="BI359" s="148" t="str">
        <f t="shared" si="262"/>
        <v>Soccer in JCC Back Field 1 (COL2-MEX)</v>
      </c>
      <c r="BJ359" s="148" t="str">
        <f t="shared" si="263"/>
        <v>Ch E Female Mini Soccer-- CHILD EF - COL 2 vs. CHILD EF - MEX</v>
      </c>
      <c r="BK359" s="148" t="str">
        <f t="shared" si="264"/>
        <v>Soccer</v>
      </c>
      <c r="BL359" s="148" t="str">
        <f t="shared" si="265"/>
        <v>CHILD EF - COL 2</v>
      </c>
      <c r="BM359" s="148" t="str">
        <f t="shared" si="266"/>
        <v>CHILD EF - MEX</v>
      </c>
      <c r="BN359" s="148" t="str">
        <f t="shared" si="267"/>
        <v>Round - 1</v>
      </c>
      <c r="BP359" s="148" t="str">
        <f t="shared" si="268"/>
        <v>no t, f, or sf</v>
      </c>
      <c r="BQ359" s="148" t="str">
        <f t="shared" si="269"/>
        <v/>
      </c>
    </row>
    <row r="360" spans="1:69" ht="15" customHeight="1" x14ac:dyDescent="0.2">
      <c r="A360" s="376">
        <v>358</v>
      </c>
      <c r="B360" s="328" t="s">
        <v>58</v>
      </c>
      <c r="C360" s="315" t="s">
        <v>518</v>
      </c>
      <c r="D360" s="378">
        <v>1</v>
      </c>
      <c r="E360" s="378">
        <v>1</v>
      </c>
      <c r="F360" s="315" t="s">
        <v>770</v>
      </c>
      <c r="G360" s="316">
        <v>43060</v>
      </c>
      <c r="H360" s="318">
        <v>0.78472222222222221</v>
      </c>
      <c r="I360" s="325" t="s">
        <v>770</v>
      </c>
      <c r="J360" s="443" t="s">
        <v>695</v>
      </c>
      <c r="K360" s="315">
        <v>53</v>
      </c>
      <c r="L360" s="441" t="s">
        <v>612</v>
      </c>
      <c r="M360" s="444">
        <v>53</v>
      </c>
      <c r="N360" s="441" t="s">
        <v>609</v>
      </c>
      <c r="O360" s="153" t="str">
        <f>IF(L360&lt;&gt;"",IFERROR(VLOOKUP(B360&amp;L360,Pools!$A$2:$D$130,3,FALSE),""),"")</f>
        <v/>
      </c>
      <c r="P360" s="388">
        <v>1</v>
      </c>
      <c r="Q360" s="388">
        <v>0</v>
      </c>
      <c r="R360" s="306" t="str">
        <f t="shared" si="225"/>
        <v>1-0</v>
      </c>
      <c r="S360" s="153"/>
      <c r="T360" s="148" t="str">
        <f t="shared" si="226"/>
        <v>Completed</v>
      </c>
      <c r="U360" s="153"/>
      <c r="V360" s="153"/>
      <c r="W360" s="387">
        <f t="shared" si="227"/>
        <v>1</v>
      </c>
      <c r="X360" s="387">
        <f t="shared" si="228"/>
        <v>-1</v>
      </c>
      <c r="Y360" s="301">
        <f t="shared" si="229"/>
        <v>2</v>
      </c>
      <c r="Z360" s="301">
        <f t="shared" si="230"/>
        <v>0</v>
      </c>
      <c r="AA360" s="323" t="str">
        <f>CONCATENATE("                x[team1,team2,sport,'",IF(OR(I360="x",I360=""),VLOOKUP('Schedule from TM'!J360,Tables!$P$3:$Q$33,2,FALSE),'Schedule from TM'!I360),",",J360,"','",IF(OR(F360="x",F360=""),VLOOKUP('Schedule from TM'!G360,Tables!$U$3:$V$14,2,FALSE),'Schedule from TM'!F360),",",TEXT(G360,"mm/dd/yyyy"),"','",TEXT(H360,"h:mm:ss AM/PM"),"'].ub=0.0      #",B360)</f>
        <v xml:space="preserve">                x[team1,team2,sport,'11,JCC Back Field 1','22,11/21/2017','6:50:00 PM'].ub=0.0      #Ch E Female Mini Soccer</v>
      </c>
      <c r="AB360" s="301" t="str">
        <f t="shared" si="231"/>
        <v>,,Ch E Female Mini Soccer,,1,CHILD EF - PER</v>
      </c>
      <c r="AC360" s="153" t="str">
        <f t="shared" si="232"/>
        <v>Ch E Female Mini SoccerCHILD EF - PER</v>
      </c>
      <c r="AD360" s="301" t="str">
        <f t="shared" si="233"/>
        <v>,,Ch E Female Mini Soccer,,1,CHILD EF - USA 1</v>
      </c>
      <c r="AE360" s="153" t="str">
        <f t="shared" si="234"/>
        <v>Ch E Female Mini SoccerCHILD EF - USA 1</v>
      </c>
      <c r="AF360" s="383">
        <f t="shared" si="235"/>
        <v>1</v>
      </c>
      <c r="AG360" s="383">
        <f t="shared" si="236"/>
        <v>0</v>
      </c>
      <c r="AH360" s="383">
        <f t="shared" si="237"/>
        <v>0</v>
      </c>
      <c r="AI360" s="383">
        <f t="shared" si="238"/>
        <v>0</v>
      </c>
      <c r="AJ360" s="383">
        <f t="shared" si="239"/>
        <v>1</v>
      </c>
      <c r="AK360" s="383">
        <f t="shared" si="240"/>
        <v>0</v>
      </c>
      <c r="AM360" s="148" t="str">
        <f t="shared" si="241"/>
        <v>Schedulled</v>
      </c>
      <c r="AN360" s="148" t="str">
        <f t="shared" si="242"/>
        <v/>
      </c>
      <c r="AO360" s="156">
        <f t="shared" si="243"/>
        <v>43060.784722222219</v>
      </c>
      <c r="AP360" s="148" t="str">
        <f t="shared" si="244"/>
        <v>11/21/2017 18:50-&gt;JCC Back Field 1</v>
      </c>
      <c r="AQ360" s="374">
        <f t="shared" si="245"/>
        <v>1</v>
      </c>
      <c r="AR360" s="148" t="str">
        <f t="shared" si="246"/>
        <v>PER</v>
      </c>
      <c r="AS360" s="148" t="str">
        <f t="shared" si="247"/>
        <v>USA1</v>
      </c>
      <c r="AT360" s="157" t="str">
        <f t="shared" si="248"/>
        <v>PER-USA1</v>
      </c>
      <c r="AU360" s="157" t="str">
        <f t="shared" si="249"/>
        <v xml:space="preserve">PER-USA1 </v>
      </c>
      <c r="AV360" s="157" t="str">
        <f t="shared" si="250"/>
        <v>CHILDREN E FEMALE</v>
      </c>
      <c r="AW360" s="157" t="str">
        <f t="shared" si="251"/>
        <v>Soccer</v>
      </c>
      <c r="AX360" s="376">
        <f t="shared" si="252"/>
        <v>358</v>
      </c>
      <c r="AY360" s="148" t="str">
        <f t="shared" si="253"/>
        <v>CHILD EF - PER-&gt;CHILD EF - USA 1</v>
      </c>
      <c r="AZ360" s="148" t="str">
        <f t="shared" si="254"/>
        <v>11/21/2017 18:50-&gt;CHILD EF - PER</v>
      </c>
      <c r="BA360" s="148" t="str">
        <f t="shared" si="255"/>
        <v>11/21/2017 18:50-&gt;CHILD EF - USA 1</v>
      </c>
      <c r="BB360" s="374">
        <f t="shared" si="256"/>
        <v>1</v>
      </c>
      <c r="BC360" s="374">
        <f t="shared" si="257"/>
        <v>1</v>
      </c>
      <c r="BD360" s="148" t="str">
        <f t="shared" si="258"/>
        <v>no conflict</v>
      </c>
      <c r="BF360" s="148" t="str">
        <f t="shared" si="259"/>
        <v>11/21/2017 18:50-&gt;CHILD EF - PER</v>
      </c>
      <c r="BG360" s="148" t="str">
        <f t="shared" si="260"/>
        <v>11/21/2017 18:50-&gt;CHILD EF - USA 1</v>
      </c>
      <c r="BH360" s="148" t="str">
        <f t="shared" si="261"/>
        <v>11/21/2017 18:50-&gt;JCC Back Field 1</v>
      </c>
      <c r="BI360" s="148" t="str">
        <f t="shared" si="262"/>
        <v>Soccer in JCC Back Field 1 (PER-USA1)</v>
      </c>
      <c r="BJ360" s="148" t="str">
        <f t="shared" si="263"/>
        <v>Ch E Female Mini Soccer-- CHILD EF - PER vs. CHILD EF - USA 1</v>
      </c>
      <c r="BK360" s="148" t="str">
        <f t="shared" si="264"/>
        <v>Soccer</v>
      </c>
      <c r="BL360" s="148" t="str">
        <f t="shared" si="265"/>
        <v>CHILD EF - PER</v>
      </c>
      <c r="BM360" s="148" t="str">
        <f t="shared" si="266"/>
        <v>CHILD EF - USA 1</v>
      </c>
      <c r="BN360" s="148" t="str">
        <f t="shared" si="267"/>
        <v>Round - 1</v>
      </c>
      <c r="BP360" s="148" t="str">
        <f t="shared" si="268"/>
        <v>no t, f, or sf</v>
      </c>
      <c r="BQ360" s="148" t="str">
        <f t="shared" si="269"/>
        <v/>
      </c>
    </row>
    <row r="361" spans="1:69" ht="15" customHeight="1" x14ac:dyDescent="0.2">
      <c r="A361" s="376">
        <v>359</v>
      </c>
      <c r="B361" s="315" t="s">
        <v>58</v>
      </c>
      <c r="C361" s="315" t="s">
        <v>518</v>
      </c>
      <c r="D361" s="378">
        <v>1</v>
      </c>
      <c r="E361" s="378">
        <v>1</v>
      </c>
      <c r="F361" s="315" t="s">
        <v>770</v>
      </c>
      <c r="G361" s="316">
        <v>43060</v>
      </c>
      <c r="H361" s="318">
        <v>0.81944444444444453</v>
      </c>
      <c r="I361" s="325" t="s">
        <v>770</v>
      </c>
      <c r="J361" s="315" t="s">
        <v>694</v>
      </c>
      <c r="K361" s="315">
        <v>53</v>
      </c>
      <c r="L361" s="444" t="s">
        <v>606</v>
      </c>
      <c r="M361" s="444">
        <v>53</v>
      </c>
      <c r="N361" s="444" t="s">
        <v>608</v>
      </c>
      <c r="O361" s="153" t="str">
        <f>IF(L361&lt;&gt;"",IFERROR(VLOOKUP(B361&amp;L361,Pools!$A$2:$D$130,3,FALSE),""),"")</f>
        <v/>
      </c>
      <c r="P361" s="388">
        <v>1</v>
      </c>
      <c r="Q361" s="388">
        <v>3</v>
      </c>
      <c r="R361" s="306" t="str">
        <f t="shared" si="225"/>
        <v>1-3</v>
      </c>
      <c r="S361" s="153"/>
      <c r="T361" s="148" t="str">
        <f t="shared" si="226"/>
        <v>Completed</v>
      </c>
      <c r="U361" s="153"/>
      <c r="V361" s="153"/>
      <c r="W361" s="387">
        <f t="shared" si="227"/>
        <v>-2</v>
      </c>
      <c r="X361" s="387">
        <f t="shared" si="228"/>
        <v>2</v>
      </c>
      <c r="Y361" s="301">
        <f t="shared" si="229"/>
        <v>0</v>
      </c>
      <c r="Z361" s="301">
        <f t="shared" si="230"/>
        <v>2</v>
      </c>
      <c r="AA361" s="323" t="str">
        <f>CONCATENATE("                x[team1,team2,sport,'",IF(OR(I361="x",I361=""),VLOOKUP('Schedule from TM'!J361,Tables!$P$3:$Q$33,2,FALSE),'Schedule from TM'!I361),",",J361,"','",IF(OR(F361="x",F361=""),VLOOKUP('Schedule from TM'!G361,Tables!$U$3:$V$14,2,FALSE),'Schedule from TM'!F361),",",TEXT(G361,"mm/dd/yyyy"),"','",TEXT(H361,"h:mm:ss AM/PM"),"'].ub=0.0      #",B361)</f>
        <v xml:space="preserve">                x[team1,team2,sport,'11,JCC Back Field 4','22,11/21/2017','7:40:00 PM'].ub=0.0      #Ch E Female Mini Soccer</v>
      </c>
      <c r="AB361" s="301" t="str">
        <f t="shared" si="231"/>
        <v>,,Ch E Female Mini Soccer,,1,CHILD EF - COL 1</v>
      </c>
      <c r="AC361" s="153" t="str">
        <f t="shared" si="232"/>
        <v>Ch E Female Mini SoccerCHILD EF - COL 1</v>
      </c>
      <c r="AD361" s="301" t="str">
        <f t="shared" si="233"/>
        <v>,,Ch E Female Mini Soccer,,1,CHILD EF - MEX</v>
      </c>
      <c r="AE361" s="153" t="str">
        <f t="shared" si="234"/>
        <v>Ch E Female Mini SoccerCHILD EF - MEX</v>
      </c>
      <c r="AF361" s="383">
        <f t="shared" si="235"/>
        <v>0</v>
      </c>
      <c r="AG361" s="383">
        <f t="shared" si="236"/>
        <v>1</v>
      </c>
      <c r="AH361" s="383">
        <f t="shared" si="237"/>
        <v>0</v>
      </c>
      <c r="AI361" s="383">
        <f t="shared" si="238"/>
        <v>1</v>
      </c>
      <c r="AJ361" s="383">
        <f t="shared" si="239"/>
        <v>0</v>
      </c>
      <c r="AK361" s="383">
        <f t="shared" si="240"/>
        <v>0</v>
      </c>
      <c r="AM361" s="148" t="str">
        <f t="shared" si="241"/>
        <v>Schedulled</v>
      </c>
      <c r="AN361" s="148" t="str">
        <f t="shared" si="242"/>
        <v/>
      </c>
      <c r="AO361" s="156">
        <f t="shared" si="243"/>
        <v>43060.819444444445</v>
      </c>
      <c r="AP361" s="148" t="str">
        <f t="shared" si="244"/>
        <v>11/21/2017 19:40-&gt;JCC Back Field 4</v>
      </c>
      <c r="AQ361" s="374">
        <f t="shared" si="245"/>
        <v>1</v>
      </c>
      <c r="AR361" s="148" t="str">
        <f t="shared" si="246"/>
        <v>COL1</v>
      </c>
      <c r="AS361" s="148" t="str">
        <f t="shared" si="247"/>
        <v>MEX</v>
      </c>
      <c r="AT361" s="157" t="str">
        <f t="shared" si="248"/>
        <v>COL1-MEX</v>
      </c>
      <c r="AU361" s="157" t="str">
        <f t="shared" si="249"/>
        <v xml:space="preserve">COL1-MEX </v>
      </c>
      <c r="AV361" s="157" t="str">
        <f t="shared" si="250"/>
        <v>CHILDREN E FEMALE</v>
      </c>
      <c r="AW361" s="157" t="str">
        <f t="shared" si="251"/>
        <v>Soccer</v>
      </c>
      <c r="AX361" s="376">
        <f t="shared" si="252"/>
        <v>359</v>
      </c>
      <c r="AY361" s="148" t="str">
        <f t="shared" si="253"/>
        <v>CHILD EF - COL 1-&gt;CHILD EF - MEX</v>
      </c>
      <c r="AZ361" s="148" t="str">
        <f t="shared" si="254"/>
        <v>11/21/2017 19:40-&gt;CHILD EF - COL 1</v>
      </c>
      <c r="BA361" s="148" t="str">
        <f t="shared" si="255"/>
        <v>11/21/2017 19:40-&gt;CHILD EF - MEX</v>
      </c>
      <c r="BB361" s="374">
        <f t="shared" si="256"/>
        <v>1</v>
      </c>
      <c r="BC361" s="374">
        <f t="shared" si="257"/>
        <v>1</v>
      </c>
      <c r="BD361" s="148" t="str">
        <f t="shared" si="258"/>
        <v>no conflict</v>
      </c>
      <c r="BF361" s="148" t="str">
        <f t="shared" si="259"/>
        <v>11/21/2017 19:40-&gt;CHILD EF - COL 1</v>
      </c>
      <c r="BG361" s="148" t="str">
        <f t="shared" si="260"/>
        <v>11/21/2017 19:40-&gt;CHILD EF - MEX</v>
      </c>
      <c r="BH361" s="148" t="str">
        <f t="shared" si="261"/>
        <v>11/21/2017 19:40-&gt;JCC Back Field 4</v>
      </c>
      <c r="BI361" s="148" t="str">
        <f t="shared" si="262"/>
        <v>Soccer in JCC Back Field 4 (COL1-MEX)</v>
      </c>
      <c r="BJ361" s="148" t="str">
        <f t="shared" si="263"/>
        <v>Ch E Female Mini Soccer-- CHILD EF - COL 1 vs. CHILD EF - MEX</v>
      </c>
      <c r="BK361" s="148" t="str">
        <f t="shared" si="264"/>
        <v>Soccer</v>
      </c>
      <c r="BL361" s="148" t="str">
        <f t="shared" si="265"/>
        <v>CHILD EF - COL 1</v>
      </c>
      <c r="BM361" s="148" t="str">
        <f t="shared" si="266"/>
        <v>CHILD EF - MEX</v>
      </c>
      <c r="BN361" s="148" t="str">
        <f t="shared" si="267"/>
        <v>Round - 1</v>
      </c>
      <c r="BP361" s="148" t="str">
        <f t="shared" si="268"/>
        <v>no t, f, or sf</v>
      </c>
      <c r="BQ361" s="148" t="str">
        <f t="shared" si="269"/>
        <v/>
      </c>
    </row>
    <row r="362" spans="1:69" ht="15" customHeight="1" x14ac:dyDescent="0.2">
      <c r="A362" s="376">
        <v>360</v>
      </c>
      <c r="B362" s="444" t="s">
        <v>58</v>
      </c>
      <c r="C362" s="315" t="s">
        <v>518</v>
      </c>
      <c r="D362" s="378">
        <v>1</v>
      </c>
      <c r="E362" s="378">
        <v>1</v>
      </c>
      <c r="F362" s="315" t="s">
        <v>770</v>
      </c>
      <c r="G362" s="316">
        <v>43062</v>
      </c>
      <c r="H362" s="317">
        <v>0.61111111111111105</v>
      </c>
      <c r="I362" s="325" t="s">
        <v>770</v>
      </c>
      <c r="J362" s="443" t="s">
        <v>695</v>
      </c>
      <c r="K362" s="315">
        <v>53</v>
      </c>
      <c r="L362" s="444" t="s">
        <v>605</v>
      </c>
      <c r="M362" s="444">
        <v>53</v>
      </c>
      <c r="N362" s="444" t="s">
        <v>606</v>
      </c>
      <c r="O362" s="153" t="str">
        <f>IF(L362&lt;&gt;"",IFERROR(VLOOKUP(B362&amp;L362,Pools!$A$2:$D$130,3,FALSE),""),"")</f>
        <v/>
      </c>
      <c r="P362" s="388">
        <v>0</v>
      </c>
      <c r="Q362" s="388">
        <v>1</v>
      </c>
      <c r="R362" s="306" t="str">
        <f t="shared" si="225"/>
        <v>0-1</v>
      </c>
      <c r="S362" s="153"/>
      <c r="T362" s="148" t="str">
        <f t="shared" si="226"/>
        <v>Completed</v>
      </c>
      <c r="U362" s="153"/>
      <c r="V362" s="153"/>
      <c r="W362" s="387">
        <f t="shared" si="227"/>
        <v>-1</v>
      </c>
      <c r="X362" s="387">
        <f t="shared" si="228"/>
        <v>1</v>
      </c>
      <c r="Y362" s="301">
        <f t="shared" si="229"/>
        <v>0</v>
      </c>
      <c r="Z362" s="301">
        <f t="shared" si="230"/>
        <v>2</v>
      </c>
      <c r="AA362" s="323" t="str">
        <f>CONCATENATE("                x[team1,team2,sport,'",IF(OR(I362="x",I362=""),VLOOKUP('Schedule from TM'!J362,Tables!$P$3:$Q$33,2,FALSE),'Schedule from TM'!I362),",",J362,"','",IF(OR(F362="x",F362=""),VLOOKUP('Schedule from TM'!G362,Tables!$U$3:$V$14,2,FALSE),'Schedule from TM'!F362),",",TEXT(G362,"mm/dd/yyyy"),"','",TEXT(H362,"h:mm:ss AM/PM"),"'].ub=0.0      #",B362)</f>
        <v xml:space="preserve">                x[team1,team2,sport,'11,JCC Back Field 1','11,11/23/2017','2:40:00 PM'].ub=0.0      #Ch E Female Mini Soccer</v>
      </c>
      <c r="AB362" s="301" t="str">
        <f t="shared" si="231"/>
        <v>,,Ch E Female Mini Soccer,,1,CHILD EF - ARG 1</v>
      </c>
      <c r="AC362" s="153" t="str">
        <f t="shared" si="232"/>
        <v>Ch E Female Mini SoccerCHILD EF - ARG 1</v>
      </c>
      <c r="AD362" s="301" t="str">
        <f t="shared" si="233"/>
        <v>,,Ch E Female Mini Soccer,,1,CHILD EF - COL 1</v>
      </c>
      <c r="AE362" s="153" t="str">
        <f t="shared" si="234"/>
        <v>Ch E Female Mini SoccerCHILD EF - COL 1</v>
      </c>
      <c r="AF362" s="383">
        <f t="shared" si="235"/>
        <v>0</v>
      </c>
      <c r="AG362" s="383">
        <f t="shared" si="236"/>
        <v>1</v>
      </c>
      <c r="AH362" s="383">
        <f t="shared" si="237"/>
        <v>0</v>
      </c>
      <c r="AI362" s="383">
        <f t="shared" si="238"/>
        <v>1</v>
      </c>
      <c r="AJ362" s="383">
        <f t="shared" si="239"/>
        <v>0</v>
      </c>
      <c r="AK362" s="383">
        <f t="shared" si="240"/>
        <v>0</v>
      </c>
      <c r="AM362" s="148" t="str">
        <f t="shared" si="241"/>
        <v>Schedulled</v>
      </c>
      <c r="AN362" s="148" t="str">
        <f t="shared" si="242"/>
        <v/>
      </c>
      <c r="AO362" s="156">
        <f t="shared" si="243"/>
        <v>43062.611111111109</v>
      </c>
      <c r="AP362" s="148" t="str">
        <f t="shared" si="244"/>
        <v>11/23/2017 14:40-&gt;JCC Back Field 1</v>
      </c>
      <c r="AQ362" s="374">
        <f t="shared" si="245"/>
        <v>1</v>
      </c>
      <c r="AR362" s="148" t="str">
        <f t="shared" si="246"/>
        <v>ARG1</v>
      </c>
      <c r="AS362" s="148" t="str">
        <f t="shared" si="247"/>
        <v>COL1</v>
      </c>
      <c r="AT362" s="157" t="str">
        <f t="shared" si="248"/>
        <v>ARG1-COL1</v>
      </c>
      <c r="AU362" s="157" t="str">
        <f t="shared" si="249"/>
        <v xml:space="preserve">ARG1-COL1 </v>
      </c>
      <c r="AV362" s="157" t="str">
        <f t="shared" si="250"/>
        <v>CHILDREN E FEMALE</v>
      </c>
      <c r="AW362" s="157" t="str">
        <f t="shared" si="251"/>
        <v>Soccer</v>
      </c>
      <c r="AX362" s="376">
        <f t="shared" si="252"/>
        <v>360</v>
      </c>
      <c r="AY362" s="148" t="str">
        <f t="shared" si="253"/>
        <v>CHILD EF - ARG 1-&gt;CHILD EF - COL 1</v>
      </c>
      <c r="AZ362" s="148" t="str">
        <f t="shared" si="254"/>
        <v>11/23/2017 14:40-&gt;CHILD EF - ARG 1</v>
      </c>
      <c r="BA362" s="148" t="str">
        <f t="shared" si="255"/>
        <v>11/23/2017 14:40-&gt;CHILD EF - COL 1</v>
      </c>
      <c r="BB362" s="374">
        <f t="shared" si="256"/>
        <v>1</v>
      </c>
      <c r="BC362" s="374">
        <f t="shared" si="257"/>
        <v>1</v>
      </c>
      <c r="BD362" s="148" t="str">
        <f t="shared" si="258"/>
        <v>no conflict</v>
      </c>
      <c r="BF362" s="148" t="str">
        <f t="shared" si="259"/>
        <v>11/23/2017 14:40-&gt;CHILD EF - ARG 1</v>
      </c>
      <c r="BG362" s="148" t="str">
        <f t="shared" si="260"/>
        <v>11/23/2017 14:40-&gt;CHILD EF - COL 1</v>
      </c>
      <c r="BH362" s="148" t="str">
        <f t="shared" si="261"/>
        <v>11/23/2017 14:40-&gt;JCC Back Field 1</v>
      </c>
      <c r="BI362" s="148" t="str">
        <f t="shared" si="262"/>
        <v>Soccer in JCC Back Field 1 (ARG1-COL1)</v>
      </c>
      <c r="BJ362" s="148" t="str">
        <f t="shared" si="263"/>
        <v>Ch E Female Mini Soccer-- CHILD EF - ARG 1 vs. CHILD EF - COL 1</v>
      </c>
      <c r="BK362" s="148" t="str">
        <f t="shared" si="264"/>
        <v>Soccer</v>
      </c>
      <c r="BL362" s="148" t="str">
        <f t="shared" si="265"/>
        <v>CHILD EF - ARG 1</v>
      </c>
      <c r="BM362" s="148" t="str">
        <f t="shared" si="266"/>
        <v>CHILD EF - COL 1</v>
      </c>
      <c r="BN362" s="148" t="str">
        <f t="shared" si="267"/>
        <v>Round - 1</v>
      </c>
      <c r="BP362" s="148" t="str">
        <f t="shared" si="268"/>
        <v>no t, f, or sf</v>
      </c>
      <c r="BQ362" s="148" t="str">
        <f t="shared" si="269"/>
        <v/>
      </c>
    </row>
    <row r="363" spans="1:69" ht="15" customHeight="1" x14ac:dyDescent="0.2">
      <c r="A363" s="376">
        <v>361</v>
      </c>
      <c r="B363" s="328" t="s">
        <v>58</v>
      </c>
      <c r="C363" s="315" t="s">
        <v>518</v>
      </c>
      <c r="D363" s="378">
        <v>1</v>
      </c>
      <c r="E363" s="378">
        <v>1</v>
      </c>
      <c r="F363" s="315" t="s">
        <v>770</v>
      </c>
      <c r="G363" s="316">
        <v>43062</v>
      </c>
      <c r="H363" s="317">
        <v>0.61111111111111105</v>
      </c>
      <c r="I363" s="325" t="s">
        <v>770</v>
      </c>
      <c r="J363" s="315" t="s">
        <v>693</v>
      </c>
      <c r="K363" s="315">
        <v>53</v>
      </c>
      <c r="L363" s="441" t="s">
        <v>607</v>
      </c>
      <c r="M363" s="444">
        <v>53</v>
      </c>
      <c r="N363" s="441" t="s">
        <v>611</v>
      </c>
      <c r="O363" s="153" t="str">
        <f>IF(L363&lt;&gt;"",IFERROR(VLOOKUP(B363&amp;L363,Pools!$A$2:$D$130,3,FALSE),""),"")</f>
        <v/>
      </c>
      <c r="P363" s="388">
        <v>1</v>
      </c>
      <c r="Q363" s="388">
        <v>3</v>
      </c>
      <c r="R363" s="306" t="str">
        <f t="shared" si="225"/>
        <v>1-3</v>
      </c>
      <c r="S363" s="153"/>
      <c r="T363" s="148" t="str">
        <f t="shared" si="226"/>
        <v>Completed</v>
      </c>
      <c r="U363" s="153"/>
      <c r="V363" s="153"/>
      <c r="W363" s="387">
        <f t="shared" si="227"/>
        <v>-2</v>
      </c>
      <c r="X363" s="387">
        <f t="shared" si="228"/>
        <v>2</v>
      </c>
      <c r="Y363" s="301">
        <f t="shared" si="229"/>
        <v>0</v>
      </c>
      <c r="Z363" s="301">
        <f t="shared" si="230"/>
        <v>2</v>
      </c>
      <c r="AA363" s="323" t="str">
        <f>CONCATENATE("                x[team1,team2,sport,'",IF(OR(I363="x",I363=""),VLOOKUP('Schedule from TM'!J363,Tables!$P$3:$Q$33,2,FALSE),'Schedule from TM'!I363),",",J363,"','",IF(OR(F363="x",F363=""),VLOOKUP('Schedule from TM'!G363,Tables!$U$3:$V$14,2,FALSE),'Schedule from TM'!F363),",",TEXT(G363,"mm/dd/yyyy"),"','",TEXT(H363,"h:mm:ss AM/PM"),"'].ub=0.0      #",B363)</f>
        <v xml:space="preserve">                x[team1,team2,sport,'11,JCC Back Field 2','11,11/23/2017','2:40:00 PM'].ub=0.0      #Ch E Female Mini Soccer</v>
      </c>
      <c r="AB363" s="301" t="str">
        <f t="shared" si="231"/>
        <v>,,Ch E Female Mini Soccer,,1,CHILD EF - ISR 1</v>
      </c>
      <c r="AC363" s="153" t="str">
        <f t="shared" si="232"/>
        <v>Ch E Female Mini SoccerCHILD EF - ISR 1</v>
      </c>
      <c r="AD363" s="301" t="str">
        <f t="shared" si="233"/>
        <v>,,Ch E Female Mini Soccer,,1,CHILD EF - COL 2</v>
      </c>
      <c r="AE363" s="153" t="str">
        <f t="shared" si="234"/>
        <v>Ch E Female Mini SoccerCHILD EF - COL 2</v>
      </c>
      <c r="AF363" s="383">
        <f t="shared" si="235"/>
        <v>0</v>
      </c>
      <c r="AG363" s="383">
        <f t="shared" si="236"/>
        <v>1</v>
      </c>
      <c r="AH363" s="383">
        <f t="shared" si="237"/>
        <v>0</v>
      </c>
      <c r="AI363" s="383">
        <f t="shared" si="238"/>
        <v>1</v>
      </c>
      <c r="AJ363" s="383">
        <f t="shared" si="239"/>
        <v>0</v>
      </c>
      <c r="AK363" s="383">
        <f t="shared" si="240"/>
        <v>0</v>
      </c>
      <c r="AM363" s="148" t="str">
        <f t="shared" si="241"/>
        <v>Schedulled</v>
      </c>
      <c r="AN363" s="148" t="str">
        <f t="shared" si="242"/>
        <v/>
      </c>
      <c r="AO363" s="156">
        <f t="shared" si="243"/>
        <v>43062.611111111109</v>
      </c>
      <c r="AP363" s="148" t="str">
        <f t="shared" si="244"/>
        <v>11/23/2017 14:40-&gt;JCC Back Field 2</v>
      </c>
      <c r="AQ363" s="374">
        <f t="shared" si="245"/>
        <v>1</v>
      </c>
      <c r="AR363" s="148" t="str">
        <f t="shared" si="246"/>
        <v>ISR1</v>
      </c>
      <c r="AS363" s="148" t="str">
        <f t="shared" si="247"/>
        <v>COL2</v>
      </c>
      <c r="AT363" s="157" t="str">
        <f t="shared" si="248"/>
        <v>ISR1-COL2</v>
      </c>
      <c r="AU363" s="157" t="str">
        <f t="shared" si="249"/>
        <v xml:space="preserve">ISR1-COL2 </v>
      </c>
      <c r="AV363" s="157" t="str">
        <f t="shared" si="250"/>
        <v>CHILDREN E FEMALE</v>
      </c>
      <c r="AW363" s="157" t="str">
        <f t="shared" si="251"/>
        <v>Soccer</v>
      </c>
      <c r="AX363" s="376">
        <f t="shared" si="252"/>
        <v>361</v>
      </c>
      <c r="AY363" s="148" t="str">
        <f t="shared" si="253"/>
        <v>CHILD EF - ISR 1-&gt;CHILD EF - COL 2</v>
      </c>
      <c r="AZ363" s="148" t="str">
        <f t="shared" si="254"/>
        <v>11/23/2017 14:40-&gt;CHILD EF - ISR 1</v>
      </c>
      <c r="BA363" s="148" t="str">
        <f t="shared" si="255"/>
        <v>11/23/2017 14:40-&gt;CHILD EF - COL 2</v>
      </c>
      <c r="BB363" s="374">
        <f t="shared" si="256"/>
        <v>1</v>
      </c>
      <c r="BC363" s="374">
        <f t="shared" si="257"/>
        <v>1</v>
      </c>
      <c r="BD363" s="148" t="str">
        <f t="shared" si="258"/>
        <v>no conflict</v>
      </c>
      <c r="BF363" s="148" t="str">
        <f t="shared" si="259"/>
        <v>11/23/2017 14:40-&gt;CHILD EF - ISR 1</v>
      </c>
      <c r="BG363" s="148" t="str">
        <f t="shared" si="260"/>
        <v>11/23/2017 14:40-&gt;CHILD EF - COL 2</v>
      </c>
      <c r="BH363" s="148" t="str">
        <f t="shared" si="261"/>
        <v>11/23/2017 14:40-&gt;JCC Back Field 2</v>
      </c>
      <c r="BI363" s="148" t="str">
        <f t="shared" si="262"/>
        <v>Soccer in JCC Back Field 2 (ISR1-COL2)</v>
      </c>
      <c r="BJ363" s="148" t="str">
        <f t="shared" si="263"/>
        <v>Ch E Female Mini Soccer-- CHILD EF - ISR 1 vs. CHILD EF - COL 2</v>
      </c>
      <c r="BK363" s="148" t="str">
        <f t="shared" si="264"/>
        <v>Soccer</v>
      </c>
      <c r="BL363" s="148" t="str">
        <f t="shared" si="265"/>
        <v>CHILD EF - ISR 1</v>
      </c>
      <c r="BM363" s="148" t="str">
        <f t="shared" si="266"/>
        <v>CHILD EF - COL 2</v>
      </c>
      <c r="BN363" s="148" t="str">
        <f t="shared" si="267"/>
        <v>Round - 1</v>
      </c>
      <c r="BP363" s="148" t="str">
        <f t="shared" si="268"/>
        <v>no t, f, or sf</v>
      </c>
      <c r="BQ363" s="148" t="str">
        <f t="shared" si="269"/>
        <v/>
      </c>
    </row>
    <row r="364" spans="1:69" ht="15" customHeight="1" x14ac:dyDescent="0.2">
      <c r="A364" s="376">
        <v>362</v>
      </c>
      <c r="B364" s="444" t="s">
        <v>58</v>
      </c>
      <c r="C364" s="315" t="s">
        <v>518</v>
      </c>
      <c r="D364" s="378">
        <v>1</v>
      </c>
      <c r="E364" s="378">
        <v>1</v>
      </c>
      <c r="F364" s="315" t="s">
        <v>770</v>
      </c>
      <c r="G364" s="316">
        <v>43063</v>
      </c>
      <c r="H364" s="417">
        <v>0.40277777777777773</v>
      </c>
      <c r="I364" s="325" t="s">
        <v>770</v>
      </c>
      <c r="J364" s="315" t="s">
        <v>695</v>
      </c>
      <c r="K364" s="315">
        <v>53</v>
      </c>
      <c r="L364" s="444" t="s">
        <v>607</v>
      </c>
      <c r="M364" s="444">
        <v>53</v>
      </c>
      <c r="N364" s="444" t="s">
        <v>608</v>
      </c>
      <c r="O364" s="153" t="str">
        <f>IF(L364&lt;&gt;"",IFERROR(VLOOKUP(B364&amp;L364,Pools!$A$2:$D$130,3,FALSE),""),"")</f>
        <v/>
      </c>
      <c r="P364" s="388">
        <v>1</v>
      </c>
      <c r="Q364" s="388">
        <v>0</v>
      </c>
      <c r="R364" s="306" t="str">
        <f t="shared" si="225"/>
        <v>1-0</v>
      </c>
      <c r="S364" s="153"/>
      <c r="T364" s="148" t="str">
        <f t="shared" si="226"/>
        <v>Completed</v>
      </c>
      <c r="U364" s="153"/>
      <c r="V364" s="153"/>
      <c r="W364" s="387">
        <f t="shared" si="227"/>
        <v>1</v>
      </c>
      <c r="X364" s="387">
        <f t="shared" si="228"/>
        <v>-1</v>
      </c>
      <c r="Y364" s="301">
        <f t="shared" si="229"/>
        <v>2</v>
      </c>
      <c r="Z364" s="301">
        <f t="shared" si="230"/>
        <v>0</v>
      </c>
      <c r="AA364" s="323" t="str">
        <f>CONCATENATE("                x[team1,team2,sport,'",IF(OR(I364="x",I364=""),VLOOKUP('Schedule from TM'!J364,Tables!$P$3:$Q$33,2,FALSE),'Schedule from TM'!I364),",",J364,"','",IF(OR(F364="x",F364=""),VLOOKUP('Schedule from TM'!G364,Tables!$U$3:$V$14,2,FALSE),'Schedule from TM'!F364),",",TEXT(G364,"mm/dd/yyyy"),"','",TEXT(H364,"h:mm:ss AM/PM"),"'].ub=0.0      #",B364)</f>
        <v xml:space="preserve">                x[team1,team2,sport,'11,JCC Back Field 1','11,11/24/2017','9:40:00 AM'].ub=0.0      #Ch E Female Mini Soccer</v>
      </c>
      <c r="AB364" s="301" t="str">
        <f t="shared" si="231"/>
        <v>,,Ch E Female Mini Soccer,,1,CHILD EF - ISR 1</v>
      </c>
      <c r="AC364" s="153" t="str">
        <f t="shared" si="232"/>
        <v>Ch E Female Mini SoccerCHILD EF - ISR 1</v>
      </c>
      <c r="AD364" s="301" t="str">
        <f t="shared" si="233"/>
        <v>,,Ch E Female Mini Soccer,,1,CHILD EF - MEX</v>
      </c>
      <c r="AE364" s="153" t="str">
        <f t="shared" si="234"/>
        <v>Ch E Female Mini SoccerCHILD EF - MEX</v>
      </c>
      <c r="AF364" s="383">
        <f t="shared" si="235"/>
        <v>1</v>
      </c>
      <c r="AG364" s="383">
        <f t="shared" si="236"/>
        <v>0</v>
      </c>
      <c r="AH364" s="383">
        <f t="shared" si="237"/>
        <v>0</v>
      </c>
      <c r="AI364" s="383">
        <f t="shared" si="238"/>
        <v>0</v>
      </c>
      <c r="AJ364" s="383">
        <f t="shared" si="239"/>
        <v>1</v>
      </c>
      <c r="AK364" s="383">
        <f t="shared" si="240"/>
        <v>0</v>
      </c>
      <c r="AM364" s="148" t="str">
        <f t="shared" si="241"/>
        <v>Schedulled</v>
      </c>
      <c r="AN364" s="148" t="str">
        <f t="shared" si="242"/>
        <v/>
      </c>
      <c r="AO364" s="156">
        <f t="shared" si="243"/>
        <v>43063.402777777781</v>
      </c>
      <c r="AP364" s="148" t="str">
        <f t="shared" si="244"/>
        <v>11/24/2017 09:40-&gt;JCC Back Field 1</v>
      </c>
      <c r="AQ364" s="374">
        <f t="shared" si="245"/>
        <v>1</v>
      </c>
      <c r="AR364" s="148" t="str">
        <f t="shared" si="246"/>
        <v>ISR1</v>
      </c>
      <c r="AS364" s="148" t="str">
        <f t="shared" si="247"/>
        <v>MEX</v>
      </c>
      <c r="AT364" s="157" t="str">
        <f t="shared" si="248"/>
        <v>ISR1-MEX</v>
      </c>
      <c r="AU364" s="157" t="str">
        <f t="shared" si="249"/>
        <v xml:space="preserve">ISR1-MEX </v>
      </c>
      <c r="AV364" s="157" t="str">
        <f t="shared" si="250"/>
        <v>CHILDREN E FEMALE</v>
      </c>
      <c r="AW364" s="157" t="str">
        <f t="shared" si="251"/>
        <v>Soccer</v>
      </c>
      <c r="AX364" s="376">
        <f t="shared" si="252"/>
        <v>362</v>
      </c>
      <c r="AY364" s="148" t="str">
        <f t="shared" si="253"/>
        <v>CHILD EF - ISR 1-&gt;CHILD EF - MEX</v>
      </c>
      <c r="AZ364" s="148" t="str">
        <f t="shared" si="254"/>
        <v>11/24/2017 09:40-&gt;CHILD EF - ISR 1</v>
      </c>
      <c r="BA364" s="148" t="str">
        <f t="shared" si="255"/>
        <v>11/24/2017 09:40-&gt;CHILD EF - MEX</v>
      </c>
      <c r="BB364" s="374">
        <f t="shared" si="256"/>
        <v>1</v>
      </c>
      <c r="BC364" s="374">
        <f t="shared" si="257"/>
        <v>1</v>
      </c>
      <c r="BD364" s="148" t="str">
        <f t="shared" si="258"/>
        <v>no conflict</v>
      </c>
      <c r="BF364" s="148" t="str">
        <f t="shared" si="259"/>
        <v>11/24/2017 09:40-&gt;CHILD EF - ISR 1</v>
      </c>
      <c r="BG364" s="148" t="str">
        <f t="shared" si="260"/>
        <v>11/24/2017 09:40-&gt;CHILD EF - MEX</v>
      </c>
      <c r="BH364" s="148" t="str">
        <f t="shared" si="261"/>
        <v>11/24/2017 09:40-&gt;JCC Back Field 1</v>
      </c>
      <c r="BI364" s="148" t="str">
        <f t="shared" si="262"/>
        <v>Soccer in JCC Back Field 1 (ISR1-MEX)</v>
      </c>
      <c r="BJ364" s="148" t="str">
        <f t="shared" si="263"/>
        <v>Ch E Female Mini Soccer-- CHILD EF - ISR 1 vs. CHILD EF - MEX</v>
      </c>
      <c r="BK364" s="148" t="str">
        <f t="shared" si="264"/>
        <v>Soccer</v>
      </c>
      <c r="BL364" s="148" t="str">
        <f t="shared" si="265"/>
        <v>CHILD EF - ISR 1</v>
      </c>
      <c r="BM364" s="148" t="str">
        <f t="shared" si="266"/>
        <v>CHILD EF - MEX</v>
      </c>
      <c r="BN364" s="148" t="str">
        <f t="shared" si="267"/>
        <v>Round - 1</v>
      </c>
      <c r="BP364" s="148" t="str">
        <f t="shared" si="268"/>
        <v>no t, f, or sf</v>
      </c>
      <c r="BQ364" s="148" t="str">
        <f t="shared" si="269"/>
        <v/>
      </c>
    </row>
    <row r="365" spans="1:69" ht="15" customHeight="1" x14ac:dyDescent="0.2">
      <c r="A365" s="376">
        <v>363</v>
      </c>
      <c r="B365" s="441" t="s">
        <v>58</v>
      </c>
      <c r="C365" s="441" t="s">
        <v>518</v>
      </c>
      <c r="D365" s="450">
        <v>1</v>
      </c>
      <c r="E365" s="450">
        <v>1</v>
      </c>
      <c r="F365" s="315" t="s">
        <v>770</v>
      </c>
      <c r="G365" s="320">
        <v>43063</v>
      </c>
      <c r="H365" s="418">
        <v>0.4375</v>
      </c>
      <c r="I365" s="325" t="s">
        <v>770</v>
      </c>
      <c r="J365" s="441" t="s">
        <v>693</v>
      </c>
      <c r="K365" s="441">
        <v>53</v>
      </c>
      <c r="L365" s="441" t="s">
        <v>606</v>
      </c>
      <c r="M365" s="441">
        <v>53</v>
      </c>
      <c r="N365" s="441" t="s">
        <v>612</v>
      </c>
      <c r="O365" s="153" t="str">
        <f>IF(L365&lt;&gt;"",IFERROR(VLOOKUP(B365&amp;L365,Pools!$A$2:$D$130,3,FALSE),""),"")</f>
        <v/>
      </c>
      <c r="P365" s="388">
        <v>2</v>
      </c>
      <c r="Q365" s="388">
        <v>0</v>
      </c>
      <c r="R365" s="306" t="str">
        <f t="shared" si="225"/>
        <v>2-0</v>
      </c>
      <c r="S365" s="153"/>
      <c r="T365" s="148" t="str">
        <f t="shared" si="226"/>
        <v>Completed</v>
      </c>
      <c r="U365" s="153"/>
      <c r="V365" s="153"/>
      <c r="W365" s="387">
        <f t="shared" si="227"/>
        <v>2</v>
      </c>
      <c r="X365" s="387">
        <f t="shared" si="228"/>
        <v>-2</v>
      </c>
      <c r="Y365" s="301">
        <f t="shared" si="229"/>
        <v>2</v>
      </c>
      <c r="Z365" s="301">
        <f t="shared" si="230"/>
        <v>0</v>
      </c>
      <c r="AA365" s="323" t="str">
        <f>CONCATENATE("                x[team1,team2,sport,'",IF(OR(I365="x",I365=""),VLOOKUP('Schedule from TM'!J365,Tables!$P$3:$Q$33,2,FALSE),'Schedule from TM'!I365),",",J365,"','",IF(OR(F365="x",F365=""),VLOOKUP('Schedule from TM'!G365,Tables!$U$3:$V$14,2,FALSE),'Schedule from TM'!F365),",",TEXT(G365,"mm/dd/yyyy"),"','",TEXT(H365,"h:mm:ss AM/PM"),"'].ub=0.0      #",B365)</f>
        <v xml:space="preserve">                x[team1,team2,sport,'11,JCC Back Field 2','11,11/24/2017','10:30:00 AM'].ub=0.0      #Ch E Female Mini Soccer</v>
      </c>
      <c r="AB365" s="301" t="str">
        <f t="shared" si="231"/>
        <v>,,Ch E Female Mini Soccer,,1,CHILD EF - COL 1</v>
      </c>
      <c r="AC365" s="153" t="str">
        <f t="shared" si="232"/>
        <v>Ch E Female Mini SoccerCHILD EF - COL 1</v>
      </c>
      <c r="AD365" s="301" t="str">
        <f t="shared" si="233"/>
        <v>,,Ch E Female Mini Soccer,,1,CHILD EF - PER</v>
      </c>
      <c r="AE365" s="153" t="str">
        <f t="shared" si="234"/>
        <v>Ch E Female Mini SoccerCHILD EF - PER</v>
      </c>
      <c r="AF365" s="383">
        <f t="shared" si="235"/>
        <v>1</v>
      </c>
      <c r="AG365" s="383">
        <f t="shared" si="236"/>
        <v>0</v>
      </c>
      <c r="AH365" s="383">
        <f t="shared" si="237"/>
        <v>0</v>
      </c>
      <c r="AI365" s="383">
        <f t="shared" si="238"/>
        <v>0</v>
      </c>
      <c r="AJ365" s="383">
        <f t="shared" si="239"/>
        <v>1</v>
      </c>
      <c r="AK365" s="383">
        <f t="shared" si="240"/>
        <v>0</v>
      </c>
      <c r="AM365" s="148" t="str">
        <f t="shared" si="241"/>
        <v>Schedulled</v>
      </c>
      <c r="AN365" s="148" t="str">
        <f t="shared" si="242"/>
        <v/>
      </c>
      <c r="AO365" s="156">
        <f t="shared" si="243"/>
        <v>43063.4375</v>
      </c>
      <c r="AP365" s="148" t="str">
        <f t="shared" si="244"/>
        <v>11/24/2017 10:30-&gt;JCC Back Field 2</v>
      </c>
      <c r="AQ365" s="374">
        <f t="shared" si="245"/>
        <v>1</v>
      </c>
      <c r="AR365" s="148" t="str">
        <f t="shared" si="246"/>
        <v>COL1</v>
      </c>
      <c r="AS365" s="148" t="str">
        <f t="shared" si="247"/>
        <v>PER</v>
      </c>
      <c r="AT365" s="157" t="str">
        <f t="shared" si="248"/>
        <v>COL1-PER</v>
      </c>
      <c r="AU365" s="157" t="str">
        <f t="shared" si="249"/>
        <v xml:space="preserve">COL1-PER </v>
      </c>
      <c r="AV365" s="157" t="str">
        <f t="shared" si="250"/>
        <v>CHILDREN E FEMALE</v>
      </c>
      <c r="AW365" s="157" t="str">
        <f t="shared" si="251"/>
        <v>Soccer</v>
      </c>
      <c r="AX365" s="376">
        <f t="shared" si="252"/>
        <v>363</v>
      </c>
      <c r="AY365" s="148" t="str">
        <f t="shared" si="253"/>
        <v>CHILD EF - COL 1-&gt;CHILD EF - PER</v>
      </c>
      <c r="AZ365" s="148" t="str">
        <f t="shared" si="254"/>
        <v>11/24/2017 10:30-&gt;CHILD EF - COL 1</v>
      </c>
      <c r="BA365" s="148" t="str">
        <f t="shared" si="255"/>
        <v>11/24/2017 10:30-&gt;CHILD EF - PER</v>
      </c>
      <c r="BB365" s="374">
        <f t="shared" si="256"/>
        <v>1</v>
      </c>
      <c r="BC365" s="374">
        <f t="shared" si="257"/>
        <v>1</v>
      </c>
      <c r="BD365" s="148" t="str">
        <f t="shared" si="258"/>
        <v>no conflict</v>
      </c>
      <c r="BF365" s="148" t="str">
        <f t="shared" si="259"/>
        <v>11/24/2017 10:30-&gt;CHILD EF - COL 1</v>
      </c>
      <c r="BG365" s="148" t="str">
        <f t="shared" si="260"/>
        <v>11/24/2017 10:30-&gt;CHILD EF - PER</v>
      </c>
      <c r="BH365" s="148" t="str">
        <f t="shared" si="261"/>
        <v>11/24/2017 10:30-&gt;JCC Back Field 2</v>
      </c>
      <c r="BI365" s="148" t="str">
        <f t="shared" si="262"/>
        <v>Soccer in JCC Back Field 2 (COL1-PER)</v>
      </c>
      <c r="BJ365" s="148" t="str">
        <f t="shared" si="263"/>
        <v>Ch E Female Mini Soccer-- CHILD EF - COL 1 vs. CHILD EF - PER</v>
      </c>
      <c r="BK365" s="148" t="str">
        <f t="shared" si="264"/>
        <v>Soccer</v>
      </c>
      <c r="BL365" s="148" t="str">
        <f t="shared" si="265"/>
        <v>CHILD EF - COL 1</v>
      </c>
      <c r="BM365" s="148" t="str">
        <f t="shared" si="266"/>
        <v>CHILD EF - PER</v>
      </c>
      <c r="BN365" s="148" t="str">
        <f t="shared" si="267"/>
        <v>Round - 1</v>
      </c>
      <c r="BP365" s="148" t="str">
        <f t="shared" si="268"/>
        <v>no t, f, or sf</v>
      </c>
      <c r="BQ365" s="148" t="str">
        <f t="shared" si="269"/>
        <v/>
      </c>
    </row>
    <row r="366" spans="1:69" ht="15" customHeight="1" x14ac:dyDescent="0.2">
      <c r="A366" s="450">
        <v>364</v>
      </c>
      <c r="B366" s="328" t="s">
        <v>58</v>
      </c>
      <c r="C366" s="444" t="s">
        <v>518</v>
      </c>
      <c r="D366" s="451">
        <v>1</v>
      </c>
      <c r="E366" s="451">
        <v>1</v>
      </c>
      <c r="F366" s="444" t="s">
        <v>770</v>
      </c>
      <c r="G366" s="445">
        <v>43063</v>
      </c>
      <c r="H366" s="454">
        <v>0.61111111111111105</v>
      </c>
      <c r="I366" s="446" t="s">
        <v>770</v>
      </c>
      <c r="J366" s="444" t="s">
        <v>693</v>
      </c>
      <c r="K366" s="444">
        <v>53</v>
      </c>
      <c r="L366" s="441" t="s">
        <v>608</v>
      </c>
      <c r="M366" s="444">
        <v>53</v>
      </c>
      <c r="N366" s="441" t="s">
        <v>612</v>
      </c>
      <c r="O366" s="153" t="str">
        <f>IF(L366&lt;&gt;"",IFERROR(VLOOKUP(B366&amp;L366,Pools!$A$2:$D$130,3,FALSE),""),"")</f>
        <v/>
      </c>
      <c r="P366" s="388">
        <v>1</v>
      </c>
      <c r="Q366" s="388">
        <v>0</v>
      </c>
      <c r="R366" s="306" t="str">
        <f t="shared" si="225"/>
        <v>1-0</v>
      </c>
      <c r="S366" s="153"/>
      <c r="T366" s="148" t="str">
        <f t="shared" si="226"/>
        <v>Completed</v>
      </c>
      <c r="U366" s="153"/>
      <c r="V366" s="153"/>
      <c r="W366" s="387">
        <f t="shared" si="227"/>
        <v>1</v>
      </c>
      <c r="X366" s="387">
        <f t="shared" si="228"/>
        <v>-1</v>
      </c>
      <c r="Y366" s="301">
        <f t="shared" si="229"/>
        <v>2</v>
      </c>
      <c r="Z366" s="301">
        <f t="shared" si="230"/>
        <v>0</v>
      </c>
      <c r="AA366" s="323" t="str">
        <f>CONCATENATE("                x[team1,team2,sport,'",IF(OR(I366="x",I366=""),VLOOKUP('Schedule from TM'!J366,Tables!$P$3:$Q$33,2,FALSE),'Schedule from TM'!I366),",",J366,"','",IF(OR(F366="x",F366=""),VLOOKUP('Schedule from TM'!G366,Tables!$U$3:$V$14,2,FALSE),'Schedule from TM'!F366),",",TEXT(G366,"mm/dd/yyyy"),"','",TEXT(H366,"h:mm:ss AM/PM"),"'].ub=0.0      #",B366)</f>
        <v xml:space="preserve">                x[team1,team2,sport,'11,JCC Back Field 2','11,11/24/2017','2:40:00 PM'].ub=0.0      #Ch E Female Mini Soccer</v>
      </c>
      <c r="AB366" s="301" t="str">
        <f t="shared" si="231"/>
        <v>,,Ch E Female Mini Soccer,,1,CHILD EF - MEX</v>
      </c>
      <c r="AC366" s="153" t="str">
        <f t="shared" si="232"/>
        <v>Ch E Female Mini SoccerCHILD EF - MEX</v>
      </c>
      <c r="AD366" s="301" t="str">
        <f t="shared" si="233"/>
        <v>,,Ch E Female Mini Soccer,,1,CHILD EF - PER</v>
      </c>
      <c r="AE366" s="153" t="str">
        <f t="shared" si="234"/>
        <v>Ch E Female Mini SoccerCHILD EF - PER</v>
      </c>
      <c r="AF366" s="383">
        <f t="shared" si="235"/>
        <v>1</v>
      </c>
      <c r="AG366" s="383">
        <f t="shared" si="236"/>
        <v>0</v>
      </c>
      <c r="AH366" s="383">
        <f t="shared" si="237"/>
        <v>0</v>
      </c>
      <c r="AI366" s="383">
        <f t="shared" si="238"/>
        <v>0</v>
      </c>
      <c r="AJ366" s="383">
        <f t="shared" si="239"/>
        <v>1</v>
      </c>
      <c r="AK366" s="383">
        <f t="shared" si="240"/>
        <v>0</v>
      </c>
      <c r="AM366" s="148" t="str">
        <f t="shared" si="241"/>
        <v>Schedulled</v>
      </c>
      <c r="AN366" s="148" t="str">
        <f t="shared" si="242"/>
        <v/>
      </c>
      <c r="AO366" s="156">
        <f t="shared" si="243"/>
        <v>43063.611111111109</v>
      </c>
      <c r="AP366" s="148" t="str">
        <f t="shared" si="244"/>
        <v>11/24/2017 14:40-&gt;JCC Back Field 2</v>
      </c>
      <c r="AQ366" s="374">
        <f t="shared" si="245"/>
        <v>1</v>
      </c>
      <c r="AR366" s="148" t="str">
        <f t="shared" si="246"/>
        <v>MEX</v>
      </c>
      <c r="AS366" s="148" t="str">
        <f t="shared" si="247"/>
        <v>PER</v>
      </c>
      <c r="AT366" s="157" t="str">
        <f t="shared" si="248"/>
        <v>MEX-PER</v>
      </c>
      <c r="AU366" s="157" t="str">
        <f t="shared" si="249"/>
        <v xml:space="preserve">MEX-PER </v>
      </c>
      <c r="AV366" s="157" t="str">
        <f t="shared" si="250"/>
        <v>CHILDREN E FEMALE</v>
      </c>
      <c r="AW366" s="157" t="str">
        <f t="shared" si="251"/>
        <v>Soccer</v>
      </c>
      <c r="AX366" s="450">
        <f t="shared" si="252"/>
        <v>364</v>
      </c>
      <c r="AY366" s="148" t="str">
        <f t="shared" si="253"/>
        <v>CHILD EF - MEX-&gt;CHILD EF - PER</v>
      </c>
      <c r="AZ366" s="148" t="str">
        <f t="shared" si="254"/>
        <v>11/24/2017 14:40-&gt;CHILD EF - MEX</v>
      </c>
      <c r="BA366" s="148" t="str">
        <f t="shared" si="255"/>
        <v>11/24/2017 14:40-&gt;CHILD EF - PER</v>
      </c>
      <c r="BB366" s="374">
        <f t="shared" si="256"/>
        <v>1</v>
      </c>
      <c r="BC366" s="374">
        <f t="shared" si="257"/>
        <v>1</v>
      </c>
      <c r="BD366" s="148" t="str">
        <f t="shared" si="258"/>
        <v>no conflict</v>
      </c>
      <c r="BF366" s="148" t="str">
        <f t="shared" si="259"/>
        <v>11/24/2017 14:40-&gt;CHILD EF - MEX</v>
      </c>
      <c r="BG366" s="148" t="str">
        <f t="shared" si="260"/>
        <v>11/24/2017 14:40-&gt;CHILD EF - PER</v>
      </c>
      <c r="BH366" s="148" t="str">
        <f t="shared" si="261"/>
        <v>11/24/2017 14:40-&gt;JCC Back Field 2</v>
      </c>
      <c r="BI366" s="148" t="str">
        <f t="shared" si="262"/>
        <v>Soccer in JCC Back Field 2 (MEX-PER)</v>
      </c>
      <c r="BJ366" s="148" t="str">
        <f t="shared" si="263"/>
        <v>Ch E Female Mini Soccer-- CHILD EF - MEX vs. CHILD EF - PER</v>
      </c>
      <c r="BK366" s="148" t="str">
        <f t="shared" si="264"/>
        <v>Soccer</v>
      </c>
      <c r="BL366" s="148" t="str">
        <f t="shared" si="265"/>
        <v>CHILD EF - MEX</v>
      </c>
      <c r="BM366" s="148" t="str">
        <f t="shared" si="266"/>
        <v>CHILD EF - PER</v>
      </c>
      <c r="BN366" s="148" t="str">
        <f t="shared" si="267"/>
        <v>Round - 1</v>
      </c>
      <c r="BP366" s="148" t="str">
        <f t="shared" si="268"/>
        <v>no t, f, or sf</v>
      </c>
      <c r="BQ366" s="148" t="str">
        <f t="shared" si="269"/>
        <v/>
      </c>
    </row>
    <row r="367" spans="1:69" ht="15.75" customHeight="1" x14ac:dyDescent="0.2">
      <c r="A367" s="376">
        <v>365</v>
      </c>
      <c r="B367" s="444" t="s">
        <v>61</v>
      </c>
      <c r="C367" s="444" t="s">
        <v>518</v>
      </c>
      <c r="D367" s="451">
        <v>1</v>
      </c>
      <c r="E367" s="451">
        <v>1</v>
      </c>
      <c r="F367" s="315" t="s">
        <v>770</v>
      </c>
      <c r="G367" s="445">
        <v>43058</v>
      </c>
      <c r="H367" s="317">
        <v>0.64583333333333337</v>
      </c>
      <c r="I367" s="325" t="s">
        <v>770</v>
      </c>
      <c r="J367" s="444" t="s">
        <v>701</v>
      </c>
      <c r="K367" s="444">
        <v>53</v>
      </c>
      <c r="L367" s="444" t="s">
        <v>608</v>
      </c>
      <c r="M367" s="444">
        <v>53</v>
      </c>
      <c r="N367" s="444" t="s">
        <v>612</v>
      </c>
      <c r="O367" s="153" t="str">
        <f>IF(L367&lt;&gt;"",IFERROR(VLOOKUP(B367&amp;L367,Pools!$A$2:$D$130,3,FALSE),""),"")</f>
        <v/>
      </c>
      <c r="P367" s="388">
        <v>0</v>
      </c>
      <c r="Q367" s="388">
        <v>2</v>
      </c>
      <c r="R367" s="306" t="str">
        <f t="shared" si="225"/>
        <v>0-2</v>
      </c>
      <c r="S367" s="153"/>
      <c r="T367" s="148" t="str">
        <f t="shared" si="226"/>
        <v>Completed</v>
      </c>
      <c r="U367" s="153"/>
      <c r="V367" s="153"/>
      <c r="W367" s="387">
        <f t="shared" si="227"/>
        <v>-2</v>
      </c>
      <c r="X367" s="387">
        <f t="shared" si="228"/>
        <v>2</v>
      </c>
      <c r="Y367" s="301">
        <f t="shared" si="229"/>
        <v>0</v>
      </c>
      <c r="Z367" s="301">
        <f t="shared" si="230"/>
        <v>2</v>
      </c>
      <c r="AA367" s="323" t="str">
        <f>CONCATENATE("                x[team1,team2,sport,'",IF(OR(I367="x",I367=""),VLOOKUP('Schedule from TM'!J367,Tables!$P$3:$Q$33,2,FALSE),'Schedule from TM'!I367),",",J367,"','",IF(OR(F367="x",F367=""),VLOOKUP('Schedule from TM'!G367,Tables!$U$3:$V$14,2,FALSE),'Schedule from TM'!F367),",",TEXT(G367,"mm/dd/yyyy"),"','",TEXT(H367,"h:mm:ss AM/PM"),"'].ub=0.0      #",B367)</f>
        <v xml:space="preserve">                x[team1,team2,sport,'22,Hillel - Volleyball Out','11,11/19/2017','3:30:00 PM'].ub=0.0      #Ch E Female Volleyball</v>
      </c>
      <c r="AB367" s="301" t="str">
        <f t="shared" si="231"/>
        <v>,,Ch E Female Volleyball,,1,CHILD EF - MEX</v>
      </c>
      <c r="AC367" s="153" t="str">
        <f t="shared" si="232"/>
        <v>Ch E Female VolleyballCHILD EF - MEX</v>
      </c>
      <c r="AD367" s="301" t="str">
        <f t="shared" si="233"/>
        <v>,,Ch E Female Volleyball,,1,CHILD EF - PER</v>
      </c>
      <c r="AE367" s="153" t="str">
        <f t="shared" si="234"/>
        <v>Ch E Female VolleyballCHILD EF - PER</v>
      </c>
      <c r="AF367" s="383">
        <f t="shared" si="235"/>
        <v>0</v>
      </c>
      <c r="AG367" s="383">
        <f t="shared" si="236"/>
        <v>1</v>
      </c>
      <c r="AH367" s="383">
        <f t="shared" si="237"/>
        <v>0</v>
      </c>
      <c r="AI367" s="383">
        <f t="shared" si="238"/>
        <v>1</v>
      </c>
      <c r="AJ367" s="383">
        <f t="shared" si="239"/>
        <v>0</v>
      </c>
      <c r="AK367" s="383">
        <f t="shared" si="240"/>
        <v>0</v>
      </c>
      <c r="AM367" s="148" t="str">
        <f t="shared" si="241"/>
        <v>Schedulled</v>
      </c>
      <c r="AN367" s="148" t="str">
        <f t="shared" si="242"/>
        <v/>
      </c>
      <c r="AO367" s="156">
        <f t="shared" si="243"/>
        <v>43058.645833333336</v>
      </c>
      <c r="AP367" s="148" t="str">
        <f t="shared" si="244"/>
        <v>11/19/2017 15:30-&gt;Hillel - Volleyball Out</v>
      </c>
      <c r="AQ367" s="374">
        <f t="shared" si="245"/>
        <v>1</v>
      </c>
      <c r="AR367" s="148" t="str">
        <f t="shared" si="246"/>
        <v>MEX</v>
      </c>
      <c r="AS367" s="148" t="str">
        <f t="shared" si="247"/>
        <v>PER</v>
      </c>
      <c r="AT367" s="157" t="str">
        <f t="shared" si="248"/>
        <v>MEX-PER</v>
      </c>
      <c r="AU367" s="157" t="str">
        <f t="shared" si="249"/>
        <v xml:space="preserve">MEX-PER </v>
      </c>
      <c r="AV367" s="157" t="str">
        <f t="shared" si="250"/>
        <v>CHILDREN E FEMALE</v>
      </c>
      <c r="AW367" s="157" t="str">
        <f t="shared" si="251"/>
        <v>Volleyball</v>
      </c>
      <c r="AX367" s="376">
        <f t="shared" si="252"/>
        <v>365</v>
      </c>
      <c r="AY367" s="148" t="str">
        <f t="shared" si="253"/>
        <v>CHILD EF - MEX-&gt;CHILD EF - PER</v>
      </c>
      <c r="AZ367" s="148" t="str">
        <f t="shared" si="254"/>
        <v>11/19/2017 15:30-&gt;CHILD EF - MEX</v>
      </c>
      <c r="BA367" s="148" t="str">
        <f t="shared" si="255"/>
        <v>11/19/2017 15:30-&gt;CHILD EF - PER</v>
      </c>
      <c r="BB367" s="374">
        <f t="shared" si="256"/>
        <v>1</v>
      </c>
      <c r="BC367" s="374">
        <f t="shared" si="257"/>
        <v>1</v>
      </c>
      <c r="BD367" s="148" t="str">
        <f t="shared" si="258"/>
        <v>no conflict</v>
      </c>
      <c r="BF367" s="148" t="str">
        <f t="shared" si="259"/>
        <v>11/19/2017 15:30-&gt;CHILD EF - MEX</v>
      </c>
      <c r="BG367" s="148" t="str">
        <f t="shared" si="260"/>
        <v>11/19/2017 15:30-&gt;CHILD EF - PER</v>
      </c>
      <c r="BH367" s="148" t="str">
        <f t="shared" si="261"/>
        <v>11/19/2017 15:30-&gt;Hillel - Volleyball Out</v>
      </c>
      <c r="BI367" s="148" t="str">
        <f t="shared" si="262"/>
        <v>Volleyball in Hillel - Volleyball Out (MEX-PER)</v>
      </c>
      <c r="BJ367" s="148" t="str">
        <f t="shared" si="263"/>
        <v>Ch E Female Volleyball-- CHILD EF - MEX vs. CHILD EF - PER</v>
      </c>
      <c r="BK367" s="148" t="str">
        <f t="shared" si="264"/>
        <v>Volleyball</v>
      </c>
      <c r="BL367" s="148" t="str">
        <f t="shared" si="265"/>
        <v>CHILD EF - MEX</v>
      </c>
      <c r="BM367" s="148" t="str">
        <f t="shared" si="266"/>
        <v>CHILD EF - PER</v>
      </c>
      <c r="BN367" s="148" t="str">
        <f t="shared" si="267"/>
        <v>Round - 1</v>
      </c>
      <c r="BP367" s="148" t="str">
        <f t="shared" si="268"/>
        <v>no t, f, or sf</v>
      </c>
      <c r="BQ367" s="148" t="str">
        <f t="shared" si="269"/>
        <v/>
      </c>
    </row>
    <row r="368" spans="1:69" ht="15" customHeight="1" x14ac:dyDescent="0.2">
      <c r="A368" s="376">
        <v>366</v>
      </c>
      <c r="B368" s="328" t="s">
        <v>61</v>
      </c>
      <c r="C368" s="315" t="s">
        <v>518</v>
      </c>
      <c r="D368" s="378">
        <v>1</v>
      </c>
      <c r="E368" s="378">
        <v>1</v>
      </c>
      <c r="F368" s="315" t="s">
        <v>770</v>
      </c>
      <c r="G368" s="316">
        <v>43058</v>
      </c>
      <c r="H368" s="317">
        <v>0.75</v>
      </c>
      <c r="I368" s="325" t="s">
        <v>770</v>
      </c>
      <c r="J368" s="443" t="s">
        <v>708</v>
      </c>
      <c r="K368" s="444">
        <v>53</v>
      </c>
      <c r="L368" s="441" t="s">
        <v>607</v>
      </c>
      <c r="M368" s="444">
        <v>53</v>
      </c>
      <c r="N368" s="441" t="s">
        <v>608</v>
      </c>
      <c r="O368" s="153" t="str">
        <f>IF(L368&lt;&gt;"",IFERROR(VLOOKUP(B368&amp;L368,Pools!$A$2:$D$130,3,FALSE),""),"")</f>
        <v/>
      </c>
      <c r="P368" s="388">
        <v>1</v>
      </c>
      <c r="Q368" s="388">
        <v>2</v>
      </c>
      <c r="R368" s="306" t="str">
        <f t="shared" si="225"/>
        <v>1-2</v>
      </c>
      <c r="S368" s="153"/>
      <c r="T368" s="148" t="str">
        <f t="shared" si="226"/>
        <v>Completed</v>
      </c>
      <c r="U368" s="153"/>
      <c r="V368" s="153"/>
      <c r="W368" s="387">
        <f t="shared" si="227"/>
        <v>-1</v>
      </c>
      <c r="X368" s="387">
        <f t="shared" si="228"/>
        <v>1</v>
      </c>
      <c r="Y368" s="301">
        <f t="shared" si="229"/>
        <v>0</v>
      </c>
      <c r="Z368" s="301">
        <f t="shared" si="230"/>
        <v>2</v>
      </c>
      <c r="AA368" s="323" t="str">
        <f>CONCATENATE("                x[team1,team2,sport,'",IF(OR(I368="x",I368=""),VLOOKUP('Schedule from TM'!J368,Tables!$P$3:$Q$33,2,FALSE),'Schedule from TM'!I368),",",J368,"','",IF(OR(F368="x",F368=""),VLOOKUP('Schedule from TM'!G368,Tables!$U$3:$V$14,2,FALSE),'Schedule from TM'!F368),",",TEXT(G368,"mm/dd/yyyy"),"','",TEXT(H368,"h:mm:ss AM/PM"),"'].ub=0.0      #",B368)</f>
        <v xml:space="preserve">                x[team1,team2,sport,'21,Hillel - Gym Volleyball','11,11/19/2017','6:00:00 PM'].ub=0.0      #Ch E Female Volleyball</v>
      </c>
      <c r="AB368" s="301" t="str">
        <f t="shared" si="231"/>
        <v>,,Ch E Female Volleyball,,1,CHILD EF - ISR 1</v>
      </c>
      <c r="AC368" s="153" t="str">
        <f t="shared" si="232"/>
        <v>Ch E Female VolleyballCHILD EF - ISR 1</v>
      </c>
      <c r="AD368" s="301" t="str">
        <f t="shared" si="233"/>
        <v>,,Ch E Female Volleyball,,1,CHILD EF - MEX</v>
      </c>
      <c r="AE368" s="153" t="str">
        <f t="shared" si="234"/>
        <v>Ch E Female VolleyballCHILD EF - MEX</v>
      </c>
      <c r="AF368" s="383">
        <f t="shared" si="235"/>
        <v>0</v>
      </c>
      <c r="AG368" s="383">
        <f t="shared" si="236"/>
        <v>1</v>
      </c>
      <c r="AH368" s="383">
        <f t="shared" si="237"/>
        <v>0</v>
      </c>
      <c r="AI368" s="383">
        <f t="shared" si="238"/>
        <v>1</v>
      </c>
      <c r="AJ368" s="383">
        <f t="shared" si="239"/>
        <v>0</v>
      </c>
      <c r="AK368" s="383">
        <f t="shared" si="240"/>
        <v>0</v>
      </c>
      <c r="AM368" s="148" t="str">
        <f t="shared" si="241"/>
        <v>Schedulled</v>
      </c>
      <c r="AN368" s="148" t="str">
        <f t="shared" si="242"/>
        <v/>
      </c>
      <c r="AO368" s="156">
        <f t="shared" si="243"/>
        <v>43058.75</v>
      </c>
      <c r="AP368" s="148" t="str">
        <f t="shared" si="244"/>
        <v>11/19/2017 18:00-&gt;Hillel - Gym Volleyball</v>
      </c>
      <c r="AQ368" s="374">
        <f t="shared" si="245"/>
        <v>1</v>
      </c>
      <c r="AR368" s="148" t="str">
        <f t="shared" si="246"/>
        <v>ISR1</v>
      </c>
      <c r="AS368" s="148" t="str">
        <f t="shared" si="247"/>
        <v>MEX</v>
      </c>
      <c r="AT368" s="157" t="str">
        <f t="shared" si="248"/>
        <v>ISR1-MEX</v>
      </c>
      <c r="AU368" s="157" t="str">
        <f t="shared" si="249"/>
        <v xml:space="preserve">ISR1-MEX </v>
      </c>
      <c r="AV368" s="157" t="str">
        <f t="shared" si="250"/>
        <v>CHILDREN E FEMALE</v>
      </c>
      <c r="AW368" s="157" t="str">
        <f t="shared" si="251"/>
        <v>Volleyball</v>
      </c>
      <c r="AX368" s="376">
        <f t="shared" si="252"/>
        <v>366</v>
      </c>
      <c r="AY368" s="148" t="str">
        <f t="shared" si="253"/>
        <v>CHILD EF - ISR 1-&gt;CHILD EF - MEX</v>
      </c>
      <c r="AZ368" s="148" t="str">
        <f t="shared" si="254"/>
        <v>11/19/2017 18:00-&gt;CHILD EF - ISR 1</v>
      </c>
      <c r="BA368" s="148" t="str">
        <f t="shared" si="255"/>
        <v>11/19/2017 18:00-&gt;CHILD EF - MEX</v>
      </c>
      <c r="BB368" s="374">
        <f t="shared" si="256"/>
        <v>1</v>
      </c>
      <c r="BC368" s="374">
        <f t="shared" si="257"/>
        <v>1</v>
      </c>
      <c r="BD368" s="148" t="str">
        <f t="shared" si="258"/>
        <v>no conflict</v>
      </c>
      <c r="BF368" s="148" t="str">
        <f t="shared" si="259"/>
        <v>11/19/2017 18:00-&gt;CHILD EF - ISR 1</v>
      </c>
      <c r="BG368" s="148" t="str">
        <f t="shared" si="260"/>
        <v>11/19/2017 18:00-&gt;CHILD EF - MEX</v>
      </c>
      <c r="BH368" s="148" t="str">
        <f t="shared" si="261"/>
        <v>11/19/2017 18:00-&gt;Hillel - Gym Volleyball</v>
      </c>
      <c r="BI368" s="148" t="str">
        <f t="shared" si="262"/>
        <v>Volleyball in Hillel - Gym Volleyball (ISR1-MEX)</v>
      </c>
      <c r="BJ368" s="148" t="str">
        <f t="shared" si="263"/>
        <v>Ch E Female Volleyball-- CHILD EF - ISR 1 vs. CHILD EF - MEX</v>
      </c>
      <c r="BK368" s="148" t="str">
        <f t="shared" si="264"/>
        <v>Volleyball</v>
      </c>
      <c r="BL368" s="148" t="str">
        <f t="shared" si="265"/>
        <v>CHILD EF - ISR 1</v>
      </c>
      <c r="BM368" s="148" t="str">
        <f t="shared" si="266"/>
        <v>CHILD EF - MEX</v>
      </c>
      <c r="BN368" s="148" t="str">
        <f t="shared" si="267"/>
        <v>Round - 1</v>
      </c>
      <c r="BP368" s="148" t="str">
        <f t="shared" si="268"/>
        <v>no t, f, or sf</v>
      </c>
      <c r="BQ368" s="148" t="str">
        <f t="shared" si="269"/>
        <v/>
      </c>
    </row>
    <row r="369" spans="1:69" ht="15" customHeight="1" x14ac:dyDescent="0.2">
      <c r="A369" s="376">
        <v>367</v>
      </c>
      <c r="B369" s="328" t="s">
        <v>61</v>
      </c>
      <c r="C369" s="315" t="s">
        <v>518</v>
      </c>
      <c r="D369" s="378">
        <v>1</v>
      </c>
      <c r="E369" s="378">
        <v>1</v>
      </c>
      <c r="F369" s="315" t="s">
        <v>770</v>
      </c>
      <c r="G369" s="316">
        <v>43063</v>
      </c>
      <c r="H369" s="454">
        <v>0.57638888888888895</v>
      </c>
      <c r="I369" s="325" t="s">
        <v>770</v>
      </c>
      <c r="J369" s="147" t="s">
        <v>708</v>
      </c>
      <c r="K369" s="315">
        <v>53</v>
      </c>
      <c r="L369" s="441" t="s">
        <v>605</v>
      </c>
      <c r="M369" s="444">
        <v>53</v>
      </c>
      <c r="N369" s="441" t="s">
        <v>606</v>
      </c>
      <c r="O369" s="153" t="str">
        <f>IF(L369&lt;&gt;"",IFERROR(VLOOKUP(B369&amp;L369,Pools!$A$2:$D$130,3,FALSE),""),"")</f>
        <v/>
      </c>
      <c r="P369" s="388">
        <v>2</v>
      </c>
      <c r="Q369" s="388">
        <v>0</v>
      </c>
      <c r="R369" s="306" t="str">
        <f t="shared" si="225"/>
        <v>2-0</v>
      </c>
      <c r="S369" s="153"/>
      <c r="T369" s="148" t="str">
        <f t="shared" si="226"/>
        <v>Completed</v>
      </c>
      <c r="U369" s="153"/>
      <c r="V369" s="153"/>
      <c r="W369" s="387">
        <f t="shared" si="227"/>
        <v>2</v>
      </c>
      <c r="X369" s="387">
        <f t="shared" si="228"/>
        <v>-2</v>
      </c>
      <c r="Y369" s="301">
        <f t="shared" si="229"/>
        <v>2</v>
      </c>
      <c r="Z369" s="301">
        <f t="shared" si="230"/>
        <v>0</v>
      </c>
      <c r="AA369" s="323" t="str">
        <f>CONCATENATE("                x[team1,team2,sport,'",IF(OR(I369="x",I369=""),VLOOKUP('Schedule from TM'!J369,Tables!$P$3:$Q$33,2,FALSE),'Schedule from TM'!I369),",",J369,"','",IF(OR(F369="x",F369=""),VLOOKUP('Schedule from TM'!G369,Tables!$U$3:$V$14,2,FALSE),'Schedule from TM'!F369),",",TEXT(G369,"mm/dd/yyyy"),"','",TEXT(H369,"h:mm:ss AM/PM"),"'].ub=0.0      #",B369)</f>
        <v xml:space="preserve">                x[team1,team2,sport,'21,Hillel - Gym Volleyball','11,11/24/2017','1:50:00 PM'].ub=0.0      #Ch E Female Volleyball</v>
      </c>
      <c r="AB369" s="301" t="str">
        <f t="shared" si="231"/>
        <v>,,Ch E Female Volleyball,,1,CHILD EF - ARG 1</v>
      </c>
      <c r="AC369" s="153" t="str">
        <f t="shared" si="232"/>
        <v>Ch E Female VolleyballCHILD EF - ARG 1</v>
      </c>
      <c r="AD369" s="301" t="str">
        <f t="shared" si="233"/>
        <v>,,Ch E Female Volleyball,,1,CHILD EF - COL 1</v>
      </c>
      <c r="AE369" s="153" t="str">
        <f t="shared" si="234"/>
        <v>Ch E Female VolleyballCHILD EF - COL 1</v>
      </c>
      <c r="AF369" s="383">
        <f t="shared" si="235"/>
        <v>1</v>
      </c>
      <c r="AG369" s="383">
        <f t="shared" si="236"/>
        <v>0</v>
      </c>
      <c r="AH369" s="383">
        <f t="shared" si="237"/>
        <v>0</v>
      </c>
      <c r="AI369" s="383">
        <f t="shared" si="238"/>
        <v>0</v>
      </c>
      <c r="AJ369" s="383">
        <f t="shared" si="239"/>
        <v>1</v>
      </c>
      <c r="AK369" s="383">
        <f t="shared" si="240"/>
        <v>0</v>
      </c>
      <c r="AM369" s="148" t="str">
        <f t="shared" si="241"/>
        <v>Schedulled</v>
      </c>
      <c r="AN369" s="148" t="str">
        <f t="shared" si="242"/>
        <v/>
      </c>
      <c r="AO369" s="156">
        <f t="shared" si="243"/>
        <v>43063.576388888891</v>
      </c>
      <c r="AP369" s="148" t="str">
        <f t="shared" si="244"/>
        <v>11/24/2017 13:50-&gt;Hillel - Gym Volleyball</v>
      </c>
      <c r="AQ369" s="374">
        <f t="shared" si="245"/>
        <v>1</v>
      </c>
      <c r="AR369" s="148" t="str">
        <f t="shared" si="246"/>
        <v>ARG1</v>
      </c>
      <c r="AS369" s="148" t="str">
        <f t="shared" si="247"/>
        <v>COL1</v>
      </c>
      <c r="AT369" s="157" t="str">
        <f t="shared" si="248"/>
        <v>ARG1-COL1</v>
      </c>
      <c r="AU369" s="157" t="str">
        <f t="shared" si="249"/>
        <v xml:space="preserve">ARG1-COL1 </v>
      </c>
      <c r="AV369" s="157" t="str">
        <f t="shared" si="250"/>
        <v>CHILDREN E FEMALE</v>
      </c>
      <c r="AW369" s="157" t="str">
        <f t="shared" si="251"/>
        <v>Volleyball</v>
      </c>
      <c r="AX369" s="376">
        <f t="shared" si="252"/>
        <v>367</v>
      </c>
      <c r="AY369" s="148" t="str">
        <f t="shared" si="253"/>
        <v>CHILD EF - ARG 1-&gt;CHILD EF - COL 1</v>
      </c>
      <c r="AZ369" s="148" t="str">
        <f t="shared" si="254"/>
        <v>11/24/2017 13:50-&gt;CHILD EF - ARG 1</v>
      </c>
      <c r="BA369" s="148" t="str">
        <f t="shared" si="255"/>
        <v>11/24/2017 13:50-&gt;CHILD EF - COL 1</v>
      </c>
      <c r="BB369" s="374">
        <f t="shared" si="256"/>
        <v>1</v>
      </c>
      <c r="BC369" s="374">
        <f t="shared" si="257"/>
        <v>1</v>
      </c>
      <c r="BD369" s="148" t="str">
        <f t="shared" si="258"/>
        <v>no conflict</v>
      </c>
      <c r="BF369" s="148" t="str">
        <f t="shared" si="259"/>
        <v>11/24/2017 13:50-&gt;CHILD EF - ARG 1</v>
      </c>
      <c r="BG369" s="148" t="str">
        <f t="shared" si="260"/>
        <v>11/24/2017 13:50-&gt;CHILD EF - COL 1</v>
      </c>
      <c r="BH369" s="148" t="str">
        <f t="shared" si="261"/>
        <v>11/24/2017 13:50-&gt;Hillel - Gym Volleyball</v>
      </c>
      <c r="BI369" s="148" t="str">
        <f t="shared" si="262"/>
        <v>Volleyball in Hillel - Gym Volleyball (ARG1-COL1)</v>
      </c>
      <c r="BJ369" s="148" t="str">
        <f t="shared" si="263"/>
        <v>Ch E Female Volleyball-- CHILD EF - ARG 1 vs. CHILD EF - COL 1</v>
      </c>
      <c r="BK369" s="148" t="str">
        <f t="shared" si="264"/>
        <v>Volleyball</v>
      </c>
      <c r="BL369" s="148" t="str">
        <f t="shared" si="265"/>
        <v>CHILD EF - ARG 1</v>
      </c>
      <c r="BM369" s="148" t="str">
        <f t="shared" si="266"/>
        <v>CHILD EF - COL 1</v>
      </c>
      <c r="BN369" s="148" t="str">
        <f t="shared" si="267"/>
        <v>Round - 1</v>
      </c>
      <c r="BP369" s="148" t="str">
        <f t="shared" si="268"/>
        <v>no t, f, or sf</v>
      </c>
      <c r="BQ369" s="148" t="str">
        <f t="shared" si="269"/>
        <v/>
      </c>
    </row>
    <row r="370" spans="1:69" ht="15" customHeight="1" x14ac:dyDescent="0.2">
      <c r="A370" s="376">
        <v>368</v>
      </c>
      <c r="B370" s="328" t="s">
        <v>61</v>
      </c>
      <c r="C370" s="315" t="s">
        <v>518</v>
      </c>
      <c r="D370" s="378">
        <v>1</v>
      </c>
      <c r="E370" s="378">
        <v>1</v>
      </c>
      <c r="F370" s="315" t="s">
        <v>770</v>
      </c>
      <c r="G370" s="316">
        <v>43060</v>
      </c>
      <c r="H370" s="317">
        <v>0.75</v>
      </c>
      <c r="I370" s="325" t="s">
        <v>770</v>
      </c>
      <c r="J370" s="315" t="s">
        <v>697</v>
      </c>
      <c r="K370" s="315">
        <v>53</v>
      </c>
      <c r="L370" s="441" t="s">
        <v>611</v>
      </c>
      <c r="M370" s="444">
        <v>53</v>
      </c>
      <c r="N370" s="441" t="s">
        <v>609</v>
      </c>
      <c r="O370" s="153" t="str">
        <f>IF(L370&lt;&gt;"",IFERROR(VLOOKUP(B370&amp;L370,Pools!$A$2:$D$130,3,FALSE),""),"")</f>
        <v/>
      </c>
      <c r="P370" s="388">
        <v>2</v>
      </c>
      <c r="Q370" s="388">
        <v>1</v>
      </c>
      <c r="R370" s="306" t="str">
        <f t="shared" si="225"/>
        <v>2-1</v>
      </c>
      <c r="S370" s="153"/>
      <c r="T370" s="148" t="str">
        <f t="shared" si="226"/>
        <v>Completed</v>
      </c>
      <c r="U370" s="153"/>
      <c r="V370" s="153"/>
      <c r="W370" s="387">
        <f t="shared" si="227"/>
        <v>1</v>
      </c>
      <c r="X370" s="387">
        <f t="shared" si="228"/>
        <v>-1</v>
      </c>
      <c r="Y370" s="301">
        <f t="shared" si="229"/>
        <v>2</v>
      </c>
      <c r="Z370" s="301">
        <f t="shared" si="230"/>
        <v>0</v>
      </c>
      <c r="AA370" s="323" t="str">
        <f>CONCATENATE("                x[team1,team2,sport,'",IF(OR(I370="x",I370=""),VLOOKUP('Schedule from TM'!J370,Tables!$P$3:$Q$33,2,FALSE),'Schedule from TM'!I370),",",J370,"','",IF(OR(F370="x",F370=""),VLOOKUP('Schedule from TM'!G370,Tables!$U$3:$V$14,2,FALSE),'Schedule from TM'!F370),",",TEXT(G370,"mm/dd/yyyy"),"','",TEXT(H370,"h:mm:ss AM/PM"),"'].ub=0.0      #",B370)</f>
        <v xml:space="preserve">                x[team1,team2,sport,'11,JCC Gym South','22,11/21/2017','6:00:00 PM'].ub=0.0      #Ch E Female Volleyball</v>
      </c>
      <c r="AB370" s="301" t="str">
        <f t="shared" si="231"/>
        <v>,,Ch E Female Volleyball,,1,CHILD EF - COL 2</v>
      </c>
      <c r="AC370" s="153" t="str">
        <f t="shared" si="232"/>
        <v>Ch E Female VolleyballCHILD EF - COL 2</v>
      </c>
      <c r="AD370" s="301" t="str">
        <f t="shared" si="233"/>
        <v>,,Ch E Female Volleyball,,1,CHILD EF - USA 1</v>
      </c>
      <c r="AE370" s="153" t="str">
        <f t="shared" si="234"/>
        <v>Ch E Female VolleyballCHILD EF - USA 1</v>
      </c>
      <c r="AF370" s="383">
        <f t="shared" si="235"/>
        <v>1</v>
      </c>
      <c r="AG370" s="383">
        <f t="shared" si="236"/>
        <v>0</v>
      </c>
      <c r="AH370" s="383">
        <f t="shared" si="237"/>
        <v>0</v>
      </c>
      <c r="AI370" s="383">
        <f t="shared" si="238"/>
        <v>0</v>
      </c>
      <c r="AJ370" s="383">
        <f t="shared" si="239"/>
        <v>1</v>
      </c>
      <c r="AK370" s="383">
        <f t="shared" si="240"/>
        <v>0</v>
      </c>
      <c r="AM370" s="148" t="str">
        <f t="shared" si="241"/>
        <v>Schedulled</v>
      </c>
      <c r="AN370" s="148" t="str">
        <f t="shared" si="242"/>
        <v/>
      </c>
      <c r="AO370" s="156">
        <f t="shared" si="243"/>
        <v>43060.75</v>
      </c>
      <c r="AP370" s="148" t="str">
        <f t="shared" si="244"/>
        <v>11/21/2017 18:00-&gt;JCC Gym South</v>
      </c>
      <c r="AQ370" s="374">
        <f t="shared" si="245"/>
        <v>1</v>
      </c>
      <c r="AR370" s="148" t="str">
        <f t="shared" si="246"/>
        <v>COL2</v>
      </c>
      <c r="AS370" s="148" t="str">
        <f t="shared" si="247"/>
        <v>USA1</v>
      </c>
      <c r="AT370" s="157" t="str">
        <f t="shared" si="248"/>
        <v>COL2-USA1</v>
      </c>
      <c r="AU370" s="157" t="str">
        <f t="shared" si="249"/>
        <v xml:space="preserve">COL2-USA1 </v>
      </c>
      <c r="AV370" s="157" t="str">
        <f t="shared" si="250"/>
        <v>CHILDREN E FEMALE</v>
      </c>
      <c r="AW370" s="157" t="str">
        <f t="shared" si="251"/>
        <v>Volleyball</v>
      </c>
      <c r="AX370" s="376">
        <f t="shared" si="252"/>
        <v>368</v>
      </c>
      <c r="AY370" s="148" t="str">
        <f t="shared" si="253"/>
        <v>CHILD EF - COL 2-&gt;CHILD EF - USA 1</v>
      </c>
      <c r="AZ370" s="148" t="str">
        <f t="shared" si="254"/>
        <v>11/21/2017 18:00-&gt;CHILD EF - COL 2</v>
      </c>
      <c r="BA370" s="148" t="str">
        <f t="shared" si="255"/>
        <v>11/21/2017 18:00-&gt;CHILD EF - USA 1</v>
      </c>
      <c r="BB370" s="374">
        <f t="shared" si="256"/>
        <v>1</v>
      </c>
      <c r="BC370" s="374">
        <f t="shared" si="257"/>
        <v>1</v>
      </c>
      <c r="BD370" s="148" t="str">
        <f t="shared" si="258"/>
        <v>no conflict</v>
      </c>
      <c r="BF370" s="148" t="str">
        <f t="shared" si="259"/>
        <v>11/21/2017 18:00-&gt;CHILD EF - COL 2</v>
      </c>
      <c r="BG370" s="148" t="str">
        <f t="shared" si="260"/>
        <v>11/21/2017 18:00-&gt;CHILD EF - USA 1</v>
      </c>
      <c r="BH370" s="148" t="str">
        <f t="shared" si="261"/>
        <v>11/21/2017 18:00-&gt;JCC Gym South</v>
      </c>
      <c r="BI370" s="148" t="str">
        <f t="shared" si="262"/>
        <v>Volleyball in JCC Gym South (COL2-USA1)</v>
      </c>
      <c r="BJ370" s="148" t="str">
        <f t="shared" si="263"/>
        <v>Ch E Female Volleyball-- CHILD EF - COL 2 vs. CHILD EF - USA 1</v>
      </c>
      <c r="BK370" s="148" t="str">
        <f t="shared" si="264"/>
        <v>Volleyball</v>
      </c>
      <c r="BL370" s="148" t="str">
        <f t="shared" si="265"/>
        <v>CHILD EF - COL 2</v>
      </c>
      <c r="BM370" s="148" t="str">
        <f t="shared" si="266"/>
        <v>CHILD EF - USA 1</v>
      </c>
      <c r="BN370" s="148" t="str">
        <f t="shared" si="267"/>
        <v>Round - 1</v>
      </c>
      <c r="BP370" s="148" t="str">
        <f t="shared" si="268"/>
        <v>no t, f, or sf</v>
      </c>
      <c r="BQ370" s="148" t="str">
        <f t="shared" si="269"/>
        <v/>
      </c>
    </row>
    <row r="371" spans="1:69" ht="15" customHeight="1" x14ac:dyDescent="0.2">
      <c r="A371" s="376">
        <v>369</v>
      </c>
      <c r="B371" s="328" t="s">
        <v>61</v>
      </c>
      <c r="C371" s="315" t="s">
        <v>518</v>
      </c>
      <c r="D371" s="378">
        <v>1</v>
      </c>
      <c r="E371" s="378">
        <v>1</v>
      </c>
      <c r="F371" s="315" t="s">
        <v>770</v>
      </c>
      <c r="G371" s="316">
        <v>43060</v>
      </c>
      <c r="H371" s="317">
        <v>0.75</v>
      </c>
      <c r="I371" s="325" t="s">
        <v>770</v>
      </c>
      <c r="J371" s="315" t="s">
        <v>708</v>
      </c>
      <c r="K371" s="315">
        <v>53</v>
      </c>
      <c r="L371" s="441" t="s">
        <v>605</v>
      </c>
      <c r="M371" s="444">
        <v>53</v>
      </c>
      <c r="N371" s="441" t="s">
        <v>607</v>
      </c>
      <c r="O371" s="153" t="str">
        <f>IF(L371&lt;&gt;"",IFERROR(VLOOKUP(B371&amp;L371,Pools!$A$2:$D$130,3,FALSE),""),"")</f>
        <v/>
      </c>
      <c r="P371" s="388">
        <v>1</v>
      </c>
      <c r="Q371" s="388">
        <v>2</v>
      </c>
      <c r="R371" s="306" t="str">
        <f t="shared" si="225"/>
        <v>1-2</v>
      </c>
      <c r="S371" s="153"/>
      <c r="T371" s="148" t="str">
        <f t="shared" si="226"/>
        <v>Completed</v>
      </c>
      <c r="U371" s="153"/>
      <c r="V371" s="153"/>
      <c r="W371" s="387">
        <f t="shared" si="227"/>
        <v>-1</v>
      </c>
      <c r="X371" s="387">
        <f t="shared" si="228"/>
        <v>1</v>
      </c>
      <c r="Y371" s="301">
        <f t="shared" si="229"/>
        <v>0</v>
      </c>
      <c r="Z371" s="301">
        <f t="shared" si="230"/>
        <v>2</v>
      </c>
      <c r="AA371" s="323" t="str">
        <f>CONCATENATE("                x[team1,team2,sport,'",IF(OR(I371="x",I371=""),VLOOKUP('Schedule from TM'!J371,Tables!$P$3:$Q$33,2,FALSE),'Schedule from TM'!I371),",",J371,"','",IF(OR(F371="x",F371=""),VLOOKUP('Schedule from TM'!G371,Tables!$U$3:$V$14,2,FALSE),'Schedule from TM'!F371),",",TEXT(G371,"mm/dd/yyyy"),"','",TEXT(H371,"h:mm:ss AM/PM"),"'].ub=0.0      #",B371)</f>
        <v xml:space="preserve">                x[team1,team2,sport,'21,Hillel - Gym Volleyball','22,11/21/2017','6:00:00 PM'].ub=0.0      #Ch E Female Volleyball</v>
      </c>
      <c r="AB371" s="301" t="str">
        <f t="shared" si="231"/>
        <v>,,Ch E Female Volleyball,,1,CHILD EF - ARG 1</v>
      </c>
      <c r="AC371" s="153" t="str">
        <f t="shared" si="232"/>
        <v>Ch E Female VolleyballCHILD EF - ARG 1</v>
      </c>
      <c r="AD371" s="301" t="str">
        <f t="shared" si="233"/>
        <v>,,Ch E Female Volleyball,,1,CHILD EF - ISR 1</v>
      </c>
      <c r="AE371" s="153" t="str">
        <f t="shared" si="234"/>
        <v>Ch E Female VolleyballCHILD EF - ISR 1</v>
      </c>
      <c r="AF371" s="383">
        <f t="shared" si="235"/>
        <v>0</v>
      </c>
      <c r="AG371" s="383">
        <f t="shared" si="236"/>
        <v>1</v>
      </c>
      <c r="AH371" s="383">
        <f t="shared" si="237"/>
        <v>0</v>
      </c>
      <c r="AI371" s="383">
        <f t="shared" si="238"/>
        <v>1</v>
      </c>
      <c r="AJ371" s="383">
        <f t="shared" si="239"/>
        <v>0</v>
      </c>
      <c r="AK371" s="383">
        <f t="shared" si="240"/>
        <v>0</v>
      </c>
      <c r="AM371" s="148" t="str">
        <f t="shared" si="241"/>
        <v>Schedulled</v>
      </c>
      <c r="AN371" s="148" t="str">
        <f t="shared" si="242"/>
        <v/>
      </c>
      <c r="AO371" s="156">
        <f t="shared" si="243"/>
        <v>43060.75</v>
      </c>
      <c r="AP371" s="148" t="str">
        <f t="shared" si="244"/>
        <v>11/21/2017 18:00-&gt;Hillel - Gym Volleyball</v>
      </c>
      <c r="AQ371" s="374">
        <f t="shared" si="245"/>
        <v>1</v>
      </c>
      <c r="AR371" s="148" t="str">
        <f t="shared" si="246"/>
        <v>ARG1</v>
      </c>
      <c r="AS371" s="148" t="str">
        <f t="shared" si="247"/>
        <v>ISR1</v>
      </c>
      <c r="AT371" s="157" t="str">
        <f t="shared" si="248"/>
        <v>ARG1-ISR1</v>
      </c>
      <c r="AU371" s="157" t="str">
        <f t="shared" si="249"/>
        <v xml:space="preserve">ARG1-ISR1 </v>
      </c>
      <c r="AV371" s="157" t="str">
        <f t="shared" si="250"/>
        <v>CHILDREN E FEMALE</v>
      </c>
      <c r="AW371" s="157" t="str">
        <f t="shared" si="251"/>
        <v>Volleyball</v>
      </c>
      <c r="AX371" s="376">
        <f t="shared" si="252"/>
        <v>369</v>
      </c>
      <c r="AY371" s="148" t="str">
        <f t="shared" si="253"/>
        <v>CHILD EF - ARG 1-&gt;CHILD EF - ISR 1</v>
      </c>
      <c r="AZ371" s="148" t="str">
        <f t="shared" si="254"/>
        <v>11/21/2017 18:00-&gt;CHILD EF - ARG 1</v>
      </c>
      <c r="BA371" s="148" t="str">
        <f t="shared" si="255"/>
        <v>11/21/2017 18:00-&gt;CHILD EF - ISR 1</v>
      </c>
      <c r="BB371" s="374">
        <f t="shared" si="256"/>
        <v>1</v>
      </c>
      <c r="BC371" s="374">
        <f t="shared" si="257"/>
        <v>1</v>
      </c>
      <c r="BD371" s="148" t="str">
        <f t="shared" si="258"/>
        <v>no conflict</v>
      </c>
      <c r="BF371" s="148" t="str">
        <f t="shared" si="259"/>
        <v>11/21/2017 18:00-&gt;CHILD EF - ARG 1</v>
      </c>
      <c r="BG371" s="148" t="str">
        <f t="shared" si="260"/>
        <v>11/21/2017 18:00-&gt;CHILD EF - ISR 1</v>
      </c>
      <c r="BH371" s="148" t="str">
        <f t="shared" si="261"/>
        <v>11/21/2017 18:00-&gt;Hillel - Gym Volleyball</v>
      </c>
      <c r="BI371" s="148" t="str">
        <f t="shared" si="262"/>
        <v>Volleyball in Hillel - Gym Volleyball (ARG1-ISR1)</v>
      </c>
      <c r="BJ371" s="148" t="str">
        <f t="shared" si="263"/>
        <v>Ch E Female Volleyball-- CHILD EF - ARG 1 vs. CHILD EF - ISR 1</v>
      </c>
      <c r="BK371" s="148" t="str">
        <f t="shared" si="264"/>
        <v>Volleyball</v>
      </c>
      <c r="BL371" s="148" t="str">
        <f t="shared" si="265"/>
        <v>CHILD EF - ARG 1</v>
      </c>
      <c r="BM371" s="148" t="str">
        <f t="shared" si="266"/>
        <v>CHILD EF - ISR 1</v>
      </c>
      <c r="BN371" s="148" t="str">
        <f t="shared" si="267"/>
        <v>Round - 1</v>
      </c>
      <c r="BP371" s="148" t="str">
        <f t="shared" si="268"/>
        <v>no t, f, or sf</v>
      </c>
      <c r="BQ371" s="148" t="str">
        <f t="shared" si="269"/>
        <v/>
      </c>
    </row>
    <row r="372" spans="1:69" ht="15" customHeight="1" x14ac:dyDescent="0.2">
      <c r="A372" s="376">
        <v>370</v>
      </c>
      <c r="B372" s="444" t="s">
        <v>61</v>
      </c>
      <c r="C372" s="315" t="s">
        <v>518</v>
      </c>
      <c r="D372" s="378">
        <v>1</v>
      </c>
      <c r="E372" s="378">
        <v>1</v>
      </c>
      <c r="F372" s="315" t="s">
        <v>770</v>
      </c>
      <c r="G372" s="316">
        <v>43062</v>
      </c>
      <c r="H372" s="317">
        <v>0.47222222222222227</v>
      </c>
      <c r="I372" s="325" t="s">
        <v>770</v>
      </c>
      <c r="J372" s="315" t="s">
        <v>701</v>
      </c>
      <c r="K372" s="315">
        <v>53</v>
      </c>
      <c r="L372" s="444" t="s">
        <v>611</v>
      </c>
      <c r="M372" s="444">
        <v>53</v>
      </c>
      <c r="N372" s="444" t="s">
        <v>608</v>
      </c>
      <c r="O372" s="153" t="str">
        <f>IF(L372&lt;&gt;"",IFERROR(VLOOKUP(B372&amp;L372,Pools!$A$2:$D$130,3,FALSE),""),"")</f>
        <v/>
      </c>
      <c r="P372" s="388">
        <v>0</v>
      </c>
      <c r="Q372" s="388">
        <v>2</v>
      </c>
      <c r="R372" s="306" t="str">
        <f t="shared" si="225"/>
        <v>0-2</v>
      </c>
      <c r="S372" s="153"/>
      <c r="T372" s="148" t="str">
        <f t="shared" si="226"/>
        <v>Completed</v>
      </c>
      <c r="U372" s="153"/>
      <c r="V372" s="153"/>
      <c r="W372" s="387">
        <f t="shared" si="227"/>
        <v>-2</v>
      </c>
      <c r="X372" s="387">
        <f t="shared" si="228"/>
        <v>2</v>
      </c>
      <c r="Y372" s="301">
        <f t="shared" si="229"/>
        <v>0</v>
      </c>
      <c r="Z372" s="301">
        <f t="shared" si="230"/>
        <v>2</v>
      </c>
      <c r="AA372" s="323" t="str">
        <f>CONCATENATE("                x[team1,team2,sport,'",IF(OR(I372="x",I372=""),VLOOKUP('Schedule from TM'!J372,Tables!$P$3:$Q$33,2,FALSE),'Schedule from TM'!I372),",",J372,"','",IF(OR(F372="x",F372=""),VLOOKUP('Schedule from TM'!G372,Tables!$U$3:$V$14,2,FALSE),'Schedule from TM'!F372),",",TEXT(G372,"mm/dd/yyyy"),"','",TEXT(H372,"h:mm:ss AM/PM"),"'].ub=0.0      #",B372)</f>
        <v xml:space="preserve">                x[team1,team2,sport,'22,Hillel - Volleyball Out','11,11/23/2017','11:20:00 AM'].ub=0.0      #Ch E Female Volleyball</v>
      </c>
      <c r="AB372" s="301" t="str">
        <f t="shared" si="231"/>
        <v>,,Ch E Female Volleyball,,1,CHILD EF - COL 2</v>
      </c>
      <c r="AC372" s="153" t="str">
        <f t="shared" si="232"/>
        <v>Ch E Female VolleyballCHILD EF - COL 2</v>
      </c>
      <c r="AD372" s="301" t="str">
        <f t="shared" si="233"/>
        <v>,,Ch E Female Volleyball,,1,CHILD EF - MEX</v>
      </c>
      <c r="AE372" s="153" t="str">
        <f t="shared" si="234"/>
        <v>Ch E Female VolleyballCHILD EF - MEX</v>
      </c>
      <c r="AF372" s="383">
        <f t="shared" si="235"/>
        <v>0</v>
      </c>
      <c r="AG372" s="383">
        <f t="shared" si="236"/>
        <v>1</v>
      </c>
      <c r="AH372" s="383">
        <f t="shared" si="237"/>
        <v>0</v>
      </c>
      <c r="AI372" s="383">
        <f t="shared" si="238"/>
        <v>1</v>
      </c>
      <c r="AJ372" s="383">
        <f t="shared" si="239"/>
        <v>0</v>
      </c>
      <c r="AK372" s="383">
        <f t="shared" si="240"/>
        <v>0</v>
      </c>
      <c r="AM372" s="148" t="str">
        <f t="shared" si="241"/>
        <v>Schedulled</v>
      </c>
      <c r="AN372" s="148" t="str">
        <f t="shared" si="242"/>
        <v/>
      </c>
      <c r="AO372" s="156">
        <f t="shared" si="243"/>
        <v>43062.472222222219</v>
      </c>
      <c r="AP372" s="148" t="str">
        <f t="shared" si="244"/>
        <v>11/23/2017 11:20-&gt;Hillel - Volleyball Out</v>
      </c>
      <c r="AQ372" s="374">
        <f t="shared" si="245"/>
        <v>1</v>
      </c>
      <c r="AR372" s="148" t="str">
        <f t="shared" si="246"/>
        <v>COL2</v>
      </c>
      <c r="AS372" s="148" t="str">
        <f t="shared" si="247"/>
        <v>MEX</v>
      </c>
      <c r="AT372" s="157" t="str">
        <f t="shared" si="248"/>
        <v>COL2-MEX</v>
      </c>
      <c r="AU372" s="157" t="str">
        <f t="shared" si="249"/>
        <v xml:space="preserve">COL2-MEX </v>
      </c>
      <c r="AV372" s="157" t="str">
        <f t="shared" si="250"/>
        <v>CHILDREN E FEMALE</v>
      </c>
      <c r="AW372" s="157" t="str">
        <f t="shared" si="251"/>
        <v>Volleyball</v>
      </c>
      <c r="AX372" s="376">
        <f t="shared" si="252"/>
        <v>370</v>
      </c>
      <c r="AY372" s="148" t="str">
        <f t="shared" si="253"/>
        <v>CHILD EF - COL 2-&gt;CHILD EF - MEX</v>
      </c>
      <c r="AZ372" s="148" t="str">
        <f t="shared" si="254"/>
        <v>11/23/2017 11:20-&gt;CHILD EF - COL 2</v>
      </c>
      <c r="BA372" s="148" t="str">
        <f t="shared" si="255"/>
        <v>11/23/2017 11:20-&gt;CHILD EF - MEX</v>
      </c>
      <c r="BB372" s="374">
        <f t="shared" si="256"/>
        <v>1</v>
      </c>
      <c r="BC372" s="374">
        <f t="shared" si="257"/>
        <v>1</v>
      </c>
      <c r="BD372" s="148" t="str">
        <f t="shared" si="258"/>
        <v>no conflict</v>
      </c>
      <c r="BF372" s="148" t="str">
        <f t="shared" si="259"/>
        <v>11/23/2017 11:20-&gt;CHILD EF - COL 2</v>
      </c>
      <c r="BG372" s="148" t="str">
        <f t="shared" si="260"/>
        <v>11/23/2017 11:20-&gt;CHILD EF - MEX</v>
      </c>
      <c r="BH372" s="148" t="str">
        <f t="shared" si="261"/>
        <v>11/23/2017 11:20-&gt;Hillel - Volleyball Out</v>
      </c>
      <c r="BI372" s="148" t="str">
        <f t="shared" si="262"/>
        <v>Volleyball in Hillel - Volleyball Out (COL2-MEX)</v>
      </c>
      <c r="BJ372" s="148" t="str">
        <f t="shared" si="263"/>
        <v>Ch E Female Volleyball-- CHILD EF - COL 2 vs. CHILD EF - MEX</v>
      </c>
      <c r="BK372" s="148" t="str">
        <f t="shared" si="264"/>
        <v>Volleyball</v>
      </c>
      <c r="BL372" s="148" t="str">
        <f t="shared" si="265"/>
        <v>CHILD EF - COL 2</v>
      </c>
      <c r="BM372" s="148" t="str">
        <f t="shared" si="266"/>
        <v>CHILD EF - MEX</v>
      </c>
      <c r="BN372" s="148" t="str">
        <f t="shared" si="267"/>
        <v>Round - 1</v>
      </c>
      <c r="BP372" s="148" t="str">
        <f t="shared" si="268"/>
        <v>no t, f, or sf</v>
      </c>
      <c r="BQ372" s="148" t="str">
        <f t="shared" si="269"/>
        <v/>
      </c>
    </row>
    <row r="373" spans="1:69" ht="15" customHeight="1" x14ac:dyDescent="0.2">
      <c r="A373" s="376">
        <v>371</v>
      </c>
      <c r="B373" s="328" t="s">
        <v>61</v>
      </c>
      <c r="C373" s="328" t="s">
        <v>518</v>
      </c>
      <c r="D373" s="380">
        <v>1</v>
      </c>
      <c r="E373" s="380">
        <v>1</v>
      </c>
      <c r="F373" s="315" t="s">
        <v>770</v>
      </c>
      <c r="G373" s="332">
        <v>43062</v>
      </c>
      <c r="H373" s="317">
        <v>0.50694444444444442</v>
      </c>
      <c r="I373" s="325" t="s">
        <v>770</v>
      </c>
      <c r="J373" s="328" t="s">
        <v>701</v>
      </c>
      <c r="K373" s="328">
        <v>53</v>
      </c>
      <c r="L373" s="328" t="s">
        <v>612</v>
      </c>
      <c r="M373" s="328">
        <v>53</v>
      </c>
      <c r="N373" s="328" t="s">
        <v>609</v>
      </c>
      <c r="O373" s="153" t="str">
        <f>IF(L373&lt;&gt;"",IFERROR(VLOOKUP(B373&amp;L373,Pools!$A$2:$D$130,3,FALSE),""),"")</f>
        <v/>
      </c>
      <c r="P373" s="388">
        <v>2</v>
      </c>
      <c r="Q373" s="388">
        <v>0</v>
      </c>
      <c r="R373" s="306" t="str">
        <f t="shared" si="225"/>
        <v>2-0</v>
      </c>
      <c r="S373" s="153"/>
      <c r="T373" s="148" t="str">
        <f t="shared" si="226"/>
        <v>Completed</v>
      </c>
      <c r="U373" s="153"/>
      <c r="V373" s="153"/>
      <c r="W373" s="387">
        <f t="shared" si="227"/>
        <v>2</v>
      </c>
      <c r="X373" s="387">
        <f t="shared" si="228"/>
        <v>-2</v>
      </c>
      <c r="Y373" s="301">
        <f t="shared" si="229"/>
        <v>2</v>
      </c>
      <c r="Z373" s="301">
        <f t="shared" si="230"/>
        <v>0</v>
      </c>
      <c r="AA373" s="323" t="str">
        <f>CONCATENATE("                x[team1,team2,sport,'",IF(OR(I373="x",I373=""),VLOOKUP('Schedule from TM'!J373,Tables!$P$3:$Q$33,2,FALSE),'Schedule from TM'!I373),",",J373,"','",IF(OR(F373="x",F373=""),VLOOKUP('Schedule from TM'!G373,Tables!$U$3:$V$14,2,FALSE),'Schedule from TM'!F373),",",TEXT(G373,"mm/dd/yyyy"),"','",TEXT(H373,"h:mm:ss AM/PM"),"'].ub=0.0      #",B373)</f>
        <v xml:space="preserve">                x[team1,team2,sport,'22,Hillel - Volleyball Out','11,11/23/2017','12:10:00 PM'].ub=0.0      #Ch E Female Volleyball</v>
      </c>
      <c r="AB373" s="301" t="str">
        <f t="shared" si="231"/>
        <v>,,Ch E Female Volleyball,,1,CHILD EF - PER</v>
      </c>
      <c r="AC373" s="153" t="str">
        <f t="shared" si="232"/>
        <v>Ch E Female VolleyballCHILD EF - PER</v>
      </c>
      <c r="AD373" s="301" t="str">
        <f t="shared" si="233"/>
        <v>,,Ch E Female Volleyball,,1,CHILD EF - USA 1</v>
      </c>
      <c r="AE373" s="153" t="str">
        <f t="shared" si="234"/>
        <v>Ch E Female VolleyballCHILD EF - USA 1</v>
      </c>
      <c r="AF373" s="383">
        <f t="shared" si="235"/>
        <v>1</v>
      </c>
      <c r="AG373" s="383">
        <f t="shared" si="236"/>
        <v>0</v>
      </c>
      <c r="AH373" s="383">
        <f t="shared" si="237"/>
        <v>0</v>
      </c>
      <c r="AI373" s="383">
        <f t="shared" si="238"/>
        <v>0</v>
      </c>
      <c r="AJ373" s="383">
        <f t="shared" si="239"/>
        <v>1</v>
      </c>
      <c r="AK373" s="383">
        <f t="shared" si="240"/>
        <v>0</v>
      </c>
      <c r="AM373" s="148" t="str">
        <f t="shared" si="241"/>
        <v>Schedulled</v>
      </c>
      <c r="AN373" s="148" t="str">
        <f t="shared" si="242"/>
        <v/>
      </c>
      <c r="AO373" s="156">
        <f t="shared" si="243"/>
        <v>43062.506944444445</v>
      </c>
      <c r="AP373" s="148" t="str">
        <f t="shared" si="244"/>
        <v>11/23/2017 12:10-&gt;Hillel - Volleyball Out</v>
      </c>
      <c r="AQ373" s="374">
        <f t="shared" si="245"/>
        <v>1</v>
      </c>
      <c r="AR373" s="148" t="str">
        <f t="shared" si="246"/>
        <v>PER</v>
      </c>
      <c r="AS373" s="148" t="str">
        <f t="shared" si="247"/>
        <v>USA1</v>
      </c>
      <c r="AT373" s="157" t="str">
        <f t="shared" si="248"/>
        <v>PER-USA1</v>
      </c>
      <c r="AU373" s="157" t="str">
        <f t="shared" si="249"/>
        <v xml:space="preserve">PER-USA1 </v>
      </c>
      <c r="AV373" s="157" t="str">
        <f t="shared" si="250"/>
        <v>CHILDREN E FEMALE</v>
      </c>
      <c r="AW373" s="157" t="str">
        <f t="shared" si="251"/>
        <v>Volleyball</v>
      </c>
      <c r="AX373" s="376">
        <f t="shared" si="252"/>
        <v>371</v>
      </c>
      <c r="AY373" s="148" t="str">
        <f t="shared" si="253"/>
        <v>CHILD EF - PER-&gt;CHILD EF - USA 1</v>
      </c>
      <c r="AZ373" s="148" t="str">
        <f t="shared" si="254"/>
        <v>11/23/2017 12:10-&gt;CHILD EF - PER</v>
      </c>
      <c r="BA373" s="148" t="str">
        <f t="shared" si="255"/>
        <v>11/23/2017 12:10-&gt;CHILD EF - USA 1</v>
      </c>
      <c r="BB373" s="374">
        <f t="shared" si="256"/>
        <v>1</v>
      </c>
      <c r="BC373" s="374">
        <f t="shared" si="257"/>
        <v>1</v>
      </c>
      <c r="BD373" s="148" t="str">
        <f t="shared" si="258"/>
        <v>no conflict</v>
      </c>
      <c r="BF373" s="148" t="str">
        <f t="shared" si="259"/>
        <v>11/23/2017 12:10-&gt;CHILD EF - PER</v>
      </c>
      <c r="BG373" s="148" t="str">
        <f t="shared" si="260"/>
        <v>11/23/2017 12:10-&gt;CHILD EF - USA 1</v>
      </c>
      <c r="BH373" s="148" t="str">
        <f t="shared" si="261"/>
        <v>11/23/2017 12:10-&gt;Hillel - Volleyball Out</v>
      </c>
      <c r="BI373" s="148" t="str">
        <f t="shared" si="262"/>
        <v>Volleyball in Hillel - Volleyball Out (PER-USA1)</v>
      </c>
      <c r="BJ373" s="148" t="str">
        <f t="shared" si="263"/>
        <v>Ch E Female Volleyball-- CHILD EF - PER vs. CHILD EF - USA 1</v>
      </c>
      <c r="BK373" s="148" t="str">
        <f t="shared" si="264"/>
        <v>Volleyball</v>
      </c>
      <c r="BL373" s="148" t="str">
        <f t="shared" si="265"/>
        <v>CHILD EF - PER</v>
      </c>
      <c r="BM373" s="148" t="str">
        <f t="shared" si="266"/>
        <v>CHILD EF - USA 1</v>
      </c>
      <c r="BN373" s="148" t="str">
        <f t="shared" si="267"/>
        <v>Round - 1</v>
      </c>
      <c r="BP373" s="148" t="str">
        <f t="shared" si="268"/>
        <v>no t, f, or sf</v>
      </c>
      <c r="BQ373" s="148" t="str">
        <f t="shared" si="269"/>
        <v/>
      </c>
    </row>
    <row r="374" spans="1:69" ht="15" customHeight="1" x14ac:dyDescent="0.2">
      <c r="A374" s="376">
        <v>372</v>
      </c>
      <c r="B374" s="444" t="s">
        <v>61</v>
      </c>
      <c r="C374" s="315" t="s">
        <v>518</v>
      </c>
      <c r="D374" s="378">
        <v>1</v>
      </c>
      <c r="E374" s="378">
        <v>1</v>
      </c>
      <c r="F374" s="315" t="s">
        <v>770</v>
      </c>
      <c r="G374" s="316">
        <v>43063</v>
      </c>
      <c r="H374" s="454">
        <v>0.4375</v>
      </c>
      <c r="I374" s="325" t="s">
        <v>770</v>
      </c>
      <c r="J374" s="315" t="s">
        <v>701</v>
      </c>
      <c r="K374" s="315">
        <v>53</v>
      </c>
      <c r="L374" s="444" t="s">
        <v>605</v>
      </c>
      <c r="M374" s="444">
        <v>53</v>
      </c>
      <c r="N374" s="444" t="s">
        <v>609</v>
      </c>
      <c r="O374" s="153" t="str">
        <f>IF(L374&lt;&gt;"",IFERROR(VLOOKUP(B374&amp;L374,Pools!$A$2:$D$130,3,FALSE),""),"")</f>
        <v/>
      </c>
      <c r="P374" s="388">
        <v>0</v>
      </c>
      <c r="Q374" s="388">
        <v>2</v>
      </c>
      <c r="R374" s="306" t="str">
        <f t="shared" si="225"/>
        <v>0-2</v>
      </c>
      <c r="S374" s="153"/>
      <c r="T374" s="148" t="str">
        <f t="shared" si="226"/>
        <v>Completed</v>
      </c>
      <c r="U374" s="153"/>
      <c r="V374" s="153"/>
      <c r="W374" s="387">
        <f t="shared" si="227"/>
        <v>-2</v>
      </c>
      <c r="X374" s="387">
        <f t="shared" si="228"/>
        <v>2</v>
      </c>
      <c r="Y374" s="301">
        <f t="shared" si="229"/>
        <v>0</v>
      </c>
      <c r="Z374" s="301">
        <f t="shared" si="230"/>
        <v>2</v>
      </c>
      <c r="AA374" s="323" t="str">
        <f>CONCATENATE("                x[team1,team2,sport,'",IF(OR(I374="x",I374=""),VLOOKUP('Schedule from TM'!J374,Tables!$P$3:$Q$33,2,FALSE),'Schedule from TM'!I374),",",J374,"','",IF(OR(F374="x",F374=""),VLOOKUP('Schedule from TM'!G374,Tables!$U$3:$V$14,2,FALSE),'Schedule from TM'!F374),",",TEXT(G374,"mm/dd/yyyy"),"','",TEXT(H374,"h:mm:ss AM/PM"),"'].ub=0.0      #",B374)</f>
        <v xml:space="preserve">                x[team1,team2,sport,'22,Hillel - Volleyball Out','11,11/24/2017','10:30:00 AM'].ub=0.0      #Ch E Female Volleyball</v>
      </c>
      <c r="AB374" s="301" t="str">
        <f t="shared" si="231"/>
        <v>,,Ch E Female Volleyball,,1,CHILD EF - ARG 1</v>
      </c>
      <c r="AC374" s="153" t="str">
        <f t="shared" si="232"/>
        <v>Ch E Female VolleyballCHILD EF - ARG 1</v>
      </c>
      <c r="AD374" s="301" t="str">
        <f t="shared" si="233"/>
        <v>,,Ch E Female Volleyball,,1,CHILD EF - USA 1</v>
      </c>
      <c r="AE374" s="153" t="str">
        <f t="shared" si="234"/>
        <v>Ch E Female VolleyballCHILD EF - USA 1</v>
      </c>
      <c r="AF374" s="383">
        <f t="shared" si="235"/>
        <v>0</v>
      </c>
      <c r="AG374" s="383">
        <f t="shared" si="236"/>
        <v>1</v>
      </c>
      <c r="AH374" s="383">
        <f t="shared" si="237"/>
        <v>0</v>
      </c>
      <c r="AI374" s="383">
        <f t="shared" si="238"/>
        <v>1</v>
      </c>
      <c r="AJ374" s="383">
        <f t="shared" si="239"/>
        <v>0</v>
      </c>
      <c r="AK374" s="383">
        <f t="shared" si="240"/>
        <v>0</v>
      </c>
      <c r="AM374" s="148" t="str">
        <f t="shared" si="241"/>
        <v>Schedulled</v>
      </c>
      <c r="AN374" s="148" t="str">
        <f t="shared" si="242"/>
        <v/>
      </c>
      <c r="AO374" s="156">
        <f t="shared" si="243"/>
        <v>43063.4375</v>
      </c>
      <c r="AP374" s="148" t="str">
        <f t="shared" si="244"/>
        <v>11/24/2017 10:30-&gt;Hillel - Volleyball Out</v>
      </c>
      <c r="AQ374" s="374">
        <f t="shared" si="245"/>
        <v>1</v>
      </c>
      <c r="AR374" s="148" t="str">
        <f t="shared" si="246"/>
        <v>ARG1</v>
      </c>
      <c r="AS374" s="148" t="str">
        <f t="shared" si="247"/>
        <v>USA1</v>
      </c>
      <c r="AT374" s="157" t="str">
        <f t="shared" si="248"/>
        <v>ARG1-USA1</v>
      </c>
      <c r="AU374" s="157" t="str">
        <f t="shared" si="249"/>
        <v xml:space="preserve">ARG1-USA1 </v>
      </c>
      <c r="AV374" s="157" t="str">
        <f t="shared" si="250"/>
        <v>CHILDREN E FEMALE</v>
      </c>
      <c r="AW374" s="157" t="str">
        <f t="shared" si="251"/>
        <v>Volleyball</v>
      </c>
      <c r="AX374" s="376">
        <f t="shared" si="252"/>
        <v>372</v>
      </c>
      <c r="AY374" s="148" t="str">
        <f t="shared" si="253"/>
        <v>CHILD EF - ARG 1-&gt;CHILD EF - USA 1</v>
      </c>
      <c r="AZ374" s="148" t="str">
        <f t="shared" si="254"/>
        <v>11/24/2017 10:30-&gt;CHILD EF - ARG 1</v>
      </c>
      <c r="BA374" s="148" t="str">
        <f t="shared" si="255"/>
        <v>11/24/2017 10:30-&gt;CHILD EF - USA 1</v>
      </c>
      <c r="BB374" s="374">
        <f t="shared" si="256"/>
        <v>1</v>
      </c>
      <c r="BC374" s="374">
        <f t="shared" si="257"/>
        <v>1</v>
      </c>
      <c r="BD374" s="148" t="str">
        <f t="shared" si="258"/>
        <v>no conflict</v>
      </c>
      <c r="BF374" s="148" t="str">
        <f t="shared" si="259"/>
        <v>11/24/2017 10:30-&gt;CHILD EF - ARG 1</v>
      </c>
      <c r="BG374" s="148" t="str">
        <f t="shared" si="260"/>
        <v>11/24/2017 10:30-&gt;CHILD EF - USA 1</v>
      </c>
      <c r="BH374" s="148" t="str">
        <f t="shared" si="261"/>
        <v>11/24/2017 10:30-&gt;Hillel - Volleyball Out</v>
      </c>
      <c r="BI374" s="148" t="str">
        <f t="shared" si="262"/>
        <v>Volleyball in Hillel - Volleyball Out (ARG1-USA1)</v>
      </c>
      <c r="BJ374" s="148" t="str">
        <f t="shared" si="263"/>
        <v>Ch E Female Volleyball-- CHILD EF - ARG 1 vs. CHILD EF - USA 1</v>
      </c>
      <c r="BK374" s="148" t="str">
        <f t="shared" si="264"/>
        <v>Volleyball</v>
      </c>
      <c r="BL374" s="148" t="str">
        <f t="shared" si="265"/>
        <v>CHILD EF - ARG 1</v>
      </c>
      <c r="BM374" s="148" t="str">
        <f t="shared" si="266"/>
        <v>CHILD EF - USA 1</v>
      </c>
      <c r="BN374" s="148" t="str">
        <f t="shared" si="267"/>
        <v>Round - 1</v>
      </c>
      <c r="BP374" s="148" t="str">
        <f t="shared" si="268"/>
        <v>no t, f, or sf</v>
      </c>
      <c r="BQ374" s="148" t="str">
        <f t="shared" si="269"/>
        <v/>
      </c>
    </row>
    <row r="375" spans="1:69" ht="15" customHeight="1" x14ac:dyDescent="0.2">
      <c r="A375" s="376">
        <v>373</v>
      </c>
      <c r="B375" s="441" t="s">
        <v>61</v>
      </c>
      <c r="C375" s="441" t="s">
        <v>518</v>
      </c>
      <c r="D375" s="450">
        <v>1</v>
      </c>
      <c r="E375" s="450">
        <v>1</v>
      </c>
      <c r="F375" s="315" t="s">
        <v>770</v>
      </c>
      <c r="G375" s="320">
        <v>43063</v>
      </c>
      <c r="H375" s="454">
        <v>0.50694444444444442</v>
      </c>
      <c r="I375" s="325" t="s">
        <v>770</v>
      </c>
      <c r="J375" s="441" t="s">
        <v>701</v>
      </c>
      <c r="K375" s="441">
        <v>53</v>
      </c>
      <c r="L375" s="441" t="s">
        <v>606</v>
      </c>
      <c r="M375" s="441">
        <v>53</v>
      </c>
      <c r="N375" s="441" t="s">
        <v>607</v>
      </c>
      <c r="O375" s="153" t="str">
        <f>IF(L375&lt;&gt;"",IFERROR(VLOOKUP(B375&amp;L375,Pools!$A$2:$D$130,3,FALSE),""),"")</f>
        <v/>
      </c>
      <c r="P375" s="388">
        <v>0</v>
      </c>
      <c r="Q375" s="388">
        <v>2</v>
      </c>
      <c r="R375" s="306" t="str">
        <f t="shared" si="225"/>
        <v>0-2</v>
      </c>
      <c r="S375" s="153"/>
      <c r="T375" s="148" t="str">
        <f t="shared" si="226"/>
        <v>Completed</v>
      </c>
      <c r="U375" s="153"/>
      <c r="V375" s="153"/>
      <c r="W375" s="387">
        <f t="shared" si="227"/>
        <v>-2</v>
      </c>
      <c r="X375" s="387">
        <f t="shared" si="228"/>
        <v>2</v>
      </c>
      <c r="Y375" s="301">
        <f t="shared" si="229"/>
        <v>0</v>
      </c>
      <c r="Z375" s="301">
        <f t="shared" si="230"/>
        <v>2</v>
      </c>
      <c r="AA375" s="323" t="str">
        <f>CONCATENATE("                x[team1,team2,sport,'",IF(OR(I375="x",I375=""),VLOOKUP('Schedule from TM'!J375,Tables!$P$3:$Q$33,2,FALSE),'Schedule from TM'!I375),",",J375,"','",IF(OR(F375="x",F375=""),VLOOKUP('Schedule from TM'!G375,Tables!$U$3:$V$14,2,FALSE),'Schedule from TM'!F375),",",TEXT(G375,"mm/dd/yyyy"),"','",TEXT(H375,"h:mm:ss AM/PM"),"'].ub=0.0      #",B375)</f>
        <v xml:space="preserve">                x[team1,team2,sport,'22,Hillel - Volleyball Out','11,11/24/2017','12:10:00 PM'].ub=0.0      #Ch E Female Volleyball</v>
      </c>
      <c r="AB375" s="301" t="str">
        <f t="shared" si="231"/>
        <v>,,Ch E Female Volleyball,,1,CHILD EF - COL 1</v>
      </c>
      <c r="AC375" s="153" t="str">
        <f t="shared" si="232"/>
        <v>Ch E Female VolleyballCHILD EF - COL 1</v>
      </c>
      <c r="AD375" s="301" t="str">
        <f t="shared" si="233"/>
        <v>,,Ch E Female Volleyball,,1,CHILD EF - ISR 1</v>
      </c>
      <c r="AE375" s="153" t="str">
        <f t="shared" si="234"/>
        <v>Ch E Female VolleyballCHILD EF - ISR 1</v>
      </c>
      <c r="AF375" s="383">
        <f t="shared" si="235"/>
        <v>0</v>
      </c>
      <c r="AG375" s="383">
        <f t="shared" si="236"/>
        <v>1</v>
      </c>
      <c r="AH375" s="383">
        <f t="shared" si="237"/>
        <v>0</v>
      </c>
      <c r="AI375" s="383">
        <f t="shared" si="238"/>
        <v>1</v>
      </c>
      <c r="AJ375" s="383">
        <f t="shared" si="239"/>
        <v>0</v>
      </c>
      <c r="AK375" s="383">
        <f t="shared" si="240"/>
        <v>0</v>
      </c>
      <c r="AM375" s="148" t="str">
        <f t="shared" si="241"/>
        <v>Schedulled</v>
      </c>
      <c r="AN375" s="148" t="str">
        <f t="shared" si="242"/>
        <v/>
      </c>
      <c r="AO375" s="156">
        <f t="shared" si="243"/>
        <v>43063.506944444445</v>
      </c>
      <c r="AP375" s="148" t="str">
        <f t="shared" si="244"/>
        <v>11/24/2017 12:10-&gt;Hillel - Volleyball Out</v>
      </c>
      <c r="AQ375" s="374">
        <f t="shared" si="245"/>
        <v>1</v>
      </c>
      <c r="AR375" s="148" t="str">
        <f t="shared" si="246"/>
        <v>COL1</v>
      </c>
      <c r="AS375" s="148" t="str">
        <f t="shared" si="247"/>
        <v>ISR1</v>
      </c>
      <c r="AT375" s="157" t="str">
        <f t="shared" si="248"/>
        <v>COL1-ISR1</v>
      </c>
      <c r="AU375" s="157" t="str">
        <f t="shared" si="249"/>
        <v xml:space="preserve">COL1-ISR1 </v>
      </c>
      <c r="AV375" s="157" t="str">
        <f t="shared" si="250"/>
        <v>CHILDREN E FEMALE</v>
      </c>
      <c r="AW375" s="157" t="str">
        <f t="shared" si="251"/>
        <v>Volleyball</v>
      </c>
      <c r="AX375" s="376">
        <f t="shared" si="252"/>
        <v>373</v>
      </c>
      <c r="AY375" s="148" t="str">
        <f t="shared" si="253"/>
        <v>CHILD EF - COL 1-&gt;CHILD EF - ISR 1</v>
      </c>
      <c r="AZ375" s="148" t="str">
        <f t="shared" si="254"/>
        <v>11/24/2017 12:10-&gt;CHILD EF - COL 1</v>
      </c>
      <c r="BA375" s="148" t="str">
        <f t="shared" si="255"/>
        <v>11/24/2017 12:10-&gt;CHILD EF - ISR 1</v>
      </c>
      <c r="BB375" s="374">
        <f t="shared" si="256"/>
        <v>1</v>
      </c>
      <c r="BC375" s="374">
        <f t="shared" si="257"/>
        <v>1</v>
      </c>
      <c r="BD375" s="148" t="str">
        <f t="shared" si="258"/>
        <v>no conflict</v>
      </c>
      <c r="BF375" s="148" t="str">
        <f t="shared" si="259"/>
        <v>11/24/2017 12:10-&gt;CHILD EF - COL 1</v>
      </c>
      <c r="BG375" s="148" t="str">
        <f t="shared" si="260"/>
        <v>11/24/2017 12:10-&gt;CHILD EF - ISR 1</v>
      </c>
      <c r="BH375" s="148" t="str">
        <f t="shared" si="261"/>
        <v>11/24/2017 12:10-&gt;Hillel - Volleyball Out</v>
      </c>
      <c r="BI375" s="148" t="str">
        <f t="shared" si="262"/>
        <v>Volleyball in Hillel - Volleyball Out (COL1-ISR1)</v>
      </c>
      <c r="BJ375" s="148" t="str">
        <f t="shared" si="263"/>
        <v>Ch E Female Volleyball-- CHILD EF - COL 1 vs. CHILD EF - ISR 1</v>
      </c>
      <c r="BK375" s="148" t="str">
        <f t="shared" si="264"/>
        <v>Volleyball</v>
      </c>
      <c r="BL375" s="148" t="str">
        <f t="shared" si="265"/>
        <v>CHILD EF - COL 1</v>
      </c>
      <c r="BM375" s="148" t="str">
        <f t="shared" si="266"/>
        <v>CHILD EF - ISR 1</v>
      </c>
      <c r="BN375" s="148" t="str">
        <f t="shared" si="267"/>
        <v>Round - 1</v>
      </c>
      <c r="BP375" s="148" t="str">
        <f t="shared" si="268"/>
        <v>no t, f, or sf</v>
      </c>
      <c r="BQ375" s="148" t="str">
        <f t="shared" si="269"/>
        <v/>
      </c>
    </row>
    <row r="376" spans="1:69" ht="15" customHeight="1" x14ac:dyDescent="0.2">
      <c r="A376" s="376">
        <v>374</v>
      </c>
      <c r="B376" s="444" t="s">
        <v>61</v>
      </c>
      <c r="C376" s="315" t="s">
        <v>518</v>
      </c>
      <c r="D376" s="378">
        <v>1</v>
      </c>
      <c r="E376" s="378">
        <v>1</v>
      </c>
      <c r="F376" s="315" t="s">
        <v>770</v>
      </c>
      <c r="G376" s="316">
        <v>43063</v>
      </c>
      <c r="H376" s="454">
        <v>0.61111111111111105</v>
      </c>
      <c r="I376" s="325" t="s">
        <v>770</v>
      </c>
      <c r="J376" s="444" t="s">
        <v>701</v>
      </c>
      <c r="K376" s="315">
        <v>53</v>
      </c>
      <c r="L376" s="444" t="s">
        <v>607</v>
      </c>
      <c r="M376" s="444">
        <v>53</v>
      </c>
      <c r="N376" s="444" t="s">
        <v>611</v>
      </c>
      <c r="O376" s="153" t="str">
        <f>IF(L376&lt;&gt;"",IFERROR(VLOOKUP(B376&amp;L376,Pools!$A$2:$D$130,3,FALSE),""),"")</f>
        <v/>
      </c>
      <c r="P376" s="388">
        <v>1</v>
      </c>
      <c r="Q376" s="388">
        <v>2</v>
      </c>
      <c r="R376" s="306" t="str">
        <f t="shared" si="225"/>
        <v>1-2</v>
      </c>
      <c r="S376" s="153"/>
      <c r="T376" s="148" t="str">
        <f t="shared" si="226"/>
        <v>Completed</v>
      </c>
      <c r="U376" s="153"/>
      <c r="V376" s="153"/>
      <c r="W376" s="387">
        <f t="shared" si="227"/>
        <v>-1</v>
      </c>
      <c r="X376" s="387">
        <f t="shared" si="228"/>
        <v>1</v>
      </c>
      <c r="Y376" s="301">
        <f t="shared" si="229"/>
        <v>0</v>
      </c>
      <c r="Z376" s="301">
        <f t="shared" si="230"/>
        <v>2</v>
      </c>
      <c r="AA376" s="323" t="str">
        <f>CONCATENATE("                x[team1,team2,sport,'",IF(OR(I376="x",I376=""),VLOOKUP('Schedule from TM'!J376,Tables!$P$3:$Q$33,2,FALSE),'Schedule from TM'!I376),",",J376,"','",IF(OR(F376="x",F376=""),VLOOKUP('Schedule from TM'!G376,Tables!$U$3:$V$14,2,FALSE),'Schedule from TM'!F376),",",TEXT(G376,"mm/dd/yyyy"),"','",TEXT(H376,"h:mm:ss AM/PM"),"'].ub=0.0      #",B376)</f>
        <v xml:space="preserve">                x[team1,team2,sport,'22,Hillel - Volleyball Out','11,11/24/2017','2:40:00 PM'].ub=0.0      #Ch E Female Volleyball</v>
      </c>
      <c r="AB376" s="301" t="str">
        <f t="shared" si="231"/>
        <v>,,Ch E Female Volleyball,,1,CHILD EF - ISR 1</v>
      </c>
      <c r="AC376" s="153" t="str">
        <f t="shared" si="232"/>
        <v>Ch E Female VolleyballCHILD EF - ISR 1</v>
      </c>
      <c r="AD376" s="301" t="str">
        <f t="shared" si="233"/>
        <v>,,Ch E Female Volleyball,,1,CHILD EF - COL 2</v>
      </c>
      <c r="AE376" s="153" t="str">
        <f t="shared" si="234"/>
        <v>Ch E Female VolleyballCHILD EF - COL 2</v>
      </c>
      <c r="AF376" s="383">
        <f t="shared" si="235"/>
        <v>0</v>
      </c>
      <c r="AG376" s="383">
        <f t="shared" si="236"/>
        <v>1</v>
      </c>
      <c r="AH376" s="383">
        <f t="shared" si="237"/>
        <v>0</v>
      </c>
      <c r="AI376" s="383">
        <f t="shared" si="238"/>
        <v>1</v>
      </c>
      <c r="AJ376" s="383">
        <f t="shared" si="239"/>
        <v>0</v>
      </c>
      <c r="AK376" s="383">
        <f t="shared" si="240"/>
        <v>0</v>
      </c>
      <c r="AM376" s="148" t="str">
        <f t="shared" si="241"/>
        <v>Schedulled</v>
      </c>
      <c r="AN376" s="148" t="str">
        <f t="shared" si="242"/>
        <v/>
      </c>
      <c r="AO376" s="156">
        <f t="shared" si="243"/>
        <v>43063.611111111109</v>
      </c>
      <c r="AP376" s="148" t="str">
        <f t="shared" si="244"/>
        <v>11/24/2017 14:40-&gt;Hillel - Volleyball Out</v>
      </c>
      <c r="AQ376" s="374">
        <f t="shared" si="245"/>
        <v>1</v>
      </c>
      <c r="AR376" s="148" t="str">
        <f t="shared" si="246"/>
        <v>ISR1</v>
      </c>
      <c r="AS376" s="148" t="str">
        <f t="shared" si="247"/>
        <v>COL2</v>
      </c>
      <c r="AT376" s="157" t="str">
        <f t="shared" si="248"/>
        <v>ISR1-COL2</v>
      </c>
      <c r="AU376" s="157" t="str">
        <f t="shared" si="249"/>
        <v xml:space="preserve">ISR1-COL2 </v>
      </c>
      <c r="AV376" s="157" t="str">
        <f t="shared" si="250"/>
        <v>CHILDREN E FEMALE</v>
      </c>
      <c r="AW376" s="157" t="str">
        <f t="shared" si="251"/>
        <v>Volleyball</v>
      </c>
      <c r="AX376" s="376">
        <f t="shared" si="252"/>
        <v>374</v>
      </c>
      <c r="AY376" s="148" t="str">
        <f t="shared" si="253"/>
        <v>CHILD EF - ISR 1-&gt;CHILD EF - COL 2</v>
      </c>
      <c r="AZ376" s="148" t="str">
        <f t="shared" si="254"/>
        <v>11/24/2017 14:40-&gt;CHILD EF - ISR 1</v>
      </c>
      <c r="BA376" s="148" t="str">
        <f t="shared" si="255"/>
        <v>11/24/2017 14:40-&gt;CHILD EF - COL 2</v>
      </c>
      <c r="BB376" s="374">
        <f t="shared" si="256"/>
        <v>1</v>
      </c>
      <c r="BC376" s="374">
        <f t="shared" si="257"/>
        <v>1</v>
      </c>
      <c r="BD376" s="148" t="str">
        <f t="shared" si="258"/>
        <v>no conflict</v>
      </c>
      <c r="BF376" s="148" t="str">
        <f t="shared" si="259"/>
        <v>11/24/2017 14:40-&gt;CHILD EF - ISR 1</v>
      </c>
      <c r="BG376" s="148" t="str">
        <f t="shared" si="260"/>
        <v>11/24/2017 14:40-&gt;CHILD EF - COL 2</v>
      </c>
      <c r="BH376" s="148" t="str">
        <f t="shared" si="261"/>
        <v>11/24/2017 14:40-&gt;Hillel - Volleyball Out</v>
      </c>
      <c r="BI376" s="148" t="str">
        <f t="shared" si="262"/>
        <v>Volleyball in Hillel - Volleyball Out (ISR1-COL2)</v>
      </c>
      <c r="BJ376" s="148" t="str">
        <f t="shared" si="263"/>
        <v>Ch E Female Volleyball-- CHILD EF - ISR 1 vs. CHILD EF - COL 2</v>
      </c>
      <c r="BK376" s="148" t="str">
        <f t="shared" si="264"/>
        <v>Volleyball</v>
      </c>
      <c r="BL376" s="148" t="str">
        <f t="shared" si="265"/>
        <v>CHILD EF - ISR 1</v>
      </c>
      <c r="BM376" s="148" t="str">
        <f t="shared" si="266"/>
        <v>CHILD EF - COL 2</v>
      </c>
      <c r="BN376" s="148" t="str">
        <f t="shared" si="267"/>
        <v>Round - 1</v>
      </c>
      <c r="BP376" s="148" t="str">
        <f t="shared" si="268"/>
        <v>no t, f, or sf</v>
      </c>
      <c r="BQ376" s="148" t="str">
        <f t="shared" si="269"/>
        <v/>
      </c>
    </row>
    <row r="377" spans="1:69" ht="15" customHeight="1" x14ac:dyDescent="0.2">
      <c r="A377" s="376">
        <v>375</v>
      </c>
      <c r="B377" s="441" t="s">
        <v>61</v>
      </c>
      <c r="C377" s="441" t="s">
        <v>518</v>
      </c>
      <c r="D377" s="450">
        <v>1</v>
      </c>
      <c r="E377" s="450">
        <v>1</v>
      </c>
      <c r="F377" s="315" t="s">
        <v>770</v>
      </c>
      <c r="G377" s="320">
        <v>43065</v>
      </c>
      <c r="H377" s="418">
        <v>0.36805555555555558</v>
      </c>
      <c r="I377" s="325" t="s">
        <v>770</v>
      </c>
      <c r="J377" s="441" t="s">
        <v>708</v>
      </c>
      <c r="K377" s="441">
        <v>53</v>
      </c>
      <c r="L377" s="441" t="s">
        <v>606</v>
      </c>
      <c r="M377" s="441">
        <v>53</v>
      </c>
      <c r="N377" s="441" t="s">
        <v>609</v>
      </c>
      <c r="O377" s="153" t="str">
        <f>IF(L377&lt;&gt;"",IFERROR(VLOOKUP(B377&amp;L377,Pools!$A$2:$D$130,3,FALSE),""),"")</f>
        <v/>
      </c>
      <c r="P377" s="388">
        <v>2</v>
      </c>
      <c r="Q377" s="388">
        <v>0</v>
      </c>
      <c r="R377" s="306" t="str">
        <f t="shared" si="225"/>
        <v>2-0</v>
      </c>
      <c r="S377" s="153"/>
      <c r="T377" s="148" t="str">
        <f t="shared" si="226"/>
        <v>Completed</v>
      </c>
      <c r="U377" s="153"/>
      <c r="V377" s="153"/>
      <c r="W377" s="387">
        <f t="shared" si="227"/>
        <v>2</v>
      </c>
      <c r="X377" s="387">
        <f t="shared" si="228"/>
        <v>-2</v>
      </c>
      <c r="Y377" s="301">
        <f t="shared" si="229"/>
        <v>2</v>
      </c>
      <c r="Z377" s="301">
        <f t="shared" si="230"/>
        <v>0</v>
      </c>
      <c r="AA377" s="323" t="str">
        <f>CONCATENATE("                x[team1,team2,sport,'",IF(OR(I377="x",I377=""),VLOOKUP('Schedule from TM'!J377,Tables!$P$3:$Q$33,2,FALSE),'Schedule from TM'!I377),",",J377,"','",IF(OR(F377="x",F377=""),VLOOKUP('Schedule from TM'!G377,Tables!$U$3:$V$14,2,FALSE),'Schedule from TM'!F377),",",TEXT(G377,"mm/dd/yyyy"),"','",TEXT(H377,"h:mm:ss AM/PM"),"'].ub=0.0      #",B377)</f>
        <v xml:space="preserve">                x[team1,team2,sport,'21,Hillel - Gym Volleyball','21,11/26/2017','8:50:00 AM'].ub=0.0      #Ch E Female Volleyball</v>
      </c>
      <c r="AB377" s="301" t="str">
        <f t="shared" si="231"/>
        <v>,,Ch E Female Volleyball,,1,CHILD EF - COL 1</v>
      </c>
      <c r="AC377" s="153" t="str">
        <f t="shared" si="232"/>
        <v>Ch E Female VolleyballCHILD EF - COL 1</v>
      </c>
      <c r="AD377" s="301" t="str">
        <f t="shared" si="233"/>
        <v>,,Ch E Female Volleyball,,1,CHILD EF - USA 1</v>
      </c>
      <c r="AE377" s="153" t="str">
        <f t="shared" si="234"/>
        <v>Ch E Female VolleyballCHILD EF - USA 1</v>
      </c>
      <c r="AF377" s="383">
        <f t="shared" si="235"/>
        <v>1</v>
      </c>
      <c r="AG377" s="383">
        <f t="shared" si="236"/>
        <v>0</v>
      </c>
      <c r="AH377" s="383">
        <f t="shared" si="237"/>
        <v>0</v>
      </c>
      <c r="AI377" s="383">
        <f t="shared" si="238"/>
        <v>0</v>
      </c>
      <c r="AJ377" s="383">
        <f t="shared" si="239"/>
        <v>1</v>
      </c>
      <c r="AK377" s="383">
        <f t="shared" si="240"/>
        <v>0</v>
      </c>
      <c r="AM377" s="148" t="str">
        <f t="shared" si="241"/>
        <v>Schedulled</v>
      </c>
      <c r="AN377" s="148" t="str">
        <f t="shared" si="242"/>
        <v/>
      </c>
      <c r="AO377" s="156">
        <f t="shared" si="243"/>
        <v>43065.368055555555</v>
      </c>
      <c r="AP377" s="148" t="str">
        <f t="shared" si="244"/>
        <v>11/26/2017 08:50-&gt;Hillel - Gym Volleyball</v>
      </c>
      <c r="AQ377" s="374">
        <f t="shared" si="245"/>
        <v>1</v>
      </c>
      <c r="AR377" s="148" t="str">
        <f t="shared" si="246"/>
        <v>COL1</v>
      </c>
      <c r="AS377" s="148" t="str">
        <f t="shared" si="247"/>
        <v>USA1</v>
      </c>
      <c r="AT377" s="157" t="str">
        <f t="shared" si="248"/>
        <v>COL1-USA1</v>
      </c>
      <c r="AU377" s="157" t="str">
        <f t="shared" si="249"/>
        <v xml:space="preserve">COL1-USA1 </v>
      </c>
      <c r="AV377" s="157" t="str">
        <f t="shared" si="250"/>
        <v>CHILDREN E FEMALE</v>
      </c>
      <c r="AW377" s="157" t="str">
        <f t="shared" si="251"/>
        <v>Volleyball</v>
      </c>
      <c r="AX377" s="376">
        <f t="shared" si="252"/>
        <v>375</v>
      </c>
      <c r="AY377" s="148" t="str">
        <f t="shared" si="253"/>
        <v>CHILD EF - COL 1-&gt;CHILD EF - USA 1</v>
      </c>
      <c r="AZ377" s="148" t="str">
        <f t="shared" si="254"/>
        <v>11/26/2017 08:50-&gt;CHILD EF - COL 1</v>
      </c>
      <c r="BA377" s="148" t="str">
        <f t="shared" si="255"/>
        <v>11/26/2017 08:50-&gt;CHILD EF - USA 1</v>
      </c>
      <c r="BB377" s="374">
        <f t="shared" si="256"/>
        <v>1</v>
      </c>
      <c r="BC377" s="374">
        <f t="shared" si="257"/>
        <v>1</v>
      </c>
      <c r="BD377" s="148" t="str">
        <f t="shared" si="258"/>
        <v>no conflict</v>
      </c>
      <c r="BF377" s="148" t="str">
        <f t="shared" si="259"/>
        <v>11/26/2017 08:50-&gt;CHILD EF - COL 1</v>
      </c>
      <c r="BG377" s="148" t="str">
        <f t="shared" si="260"/>
        <v>11/26/2017 08:50-&gt;CHILD EF - USA 1</v>
      </c>
      <c r="BH377" s="148" t="str">
        <f t="shared" si="261"/>
        <v>11/26/2017 08:50-&gt;Hillel - Gym Volleyball</v>
      </c>
      <c r="BI377" s="148" t="str">
        <f t="shared" si="262"/>
        <v>Volleyball in Hillel - Gym Volleyball (COL1-USA1)</v>
      </c>
      <c r="BJ377" s="148" t="str">
        <f t="shared" si="263"/>
        <v>Ch E Female Volleyball-- CHILD EF - COL 1 vs. CHILD EF - USA 1</v>
      </c>
      <c r="BK377" s="148" t="str">
        <f t="shared" si="264"/>
        <v>Volleyball</v>
      </c>
      <c r="BL377" s="148" t="str">
        <f t="shared" si="265"/>
        <v>CHILD EF - COL 1</v>
      </c>
      <c r="BM377" s="148" t="str">
        <f t="shared" si="266"/>
        <v>CHILD EF - USA 1</v>
      </c>
      <c r="BN377" s="148" t="str">
        <f t="shared" si="267"/>
        <v>Round - 1</v>
      </c>
      <c r="BP377" s="148" t="str">
        <f t="shared" si="268"/>
        <v>no t, f, or sf</v>
      </c>
      <c r="BQ377" s="148" t="str">
        <f t="shared" si="269"/>
        <v/>
      </c>
    </row>
    <row r="378" spans="1:69" ht="15" customHeight="1" x14ac:dyDescent="0.2">
      <c r="A378" s="376">
        <v>376</v>
      </c>
      <c r="B378" s="328" t="s">
        <v>61</v>
      </c>
      <c r="C378" s="315" t="s">
        <v>518</v>
      </c>
      <c r="D378" s="378">
        <v>1</v>
      </c>
      <c r="E378" s="378">
        <v>1</v>
      </c>
      <c r="F378" s="315" t="s">
        <v>770</v>
      </c>
      <c r="G378" s="316">
        <v>43065</v>
      </c>
      <c r="H378" s="454">
        <v>0.36805555555555558</v>
      </c>
      <c r="I378" s="325" t="s">
        <v>770</v>
      </c>
      <c r="J378" s="315" t="s">
        <v>701</v>
      </c>
      <c r="K378" s="315">
        <v>53</v>
      </c>
      <c r="L378" s="441" t="s">
        <v>611</v>
      </c>
      <c r="M378" s="444">
        <v>53</v>
      </c>
      <c r="N378" s="441" t="s">
        <v>612</v>
      </c>
      <c r="O378" s="153" t="str">
        <f>IF(L378&lt;&gt;"",IFERROR(VLOOKUP(B378&amp;L378,Pools!$A$2:$D$130,3,FALSE),""),"")</f>
        <v/>
      </c>
      <c r="P378" s="388">
        <v>0</v>
      </c>
      <c r="Q378" s="388">
        <v>2</v>
      </c>
      <c r="R378" s="306" t="str">
        <f t="shared" si="225"/>
        <v>0-2</v>
      </c>
      <c r="S378" s="153"/>
      <c r="T378" s="148" t="str">
        <f t="shared" si="226"/>
        <v>Completed</v>
      </c>
      <c r="U378" s="153"/>
      <c r="V378" s="153"/>
      <c r="W378" s="387">
        <f t="shared" si="227"/>
        <v>-2</v>
      </c>
      <c r="X378" s="387">
        <f t="shared" si="228"/>
        <v>2</v>
      </c>
      <c r="Y378" s="301">
        <f t="shared" si="229"/>
        <v>0</v>
      </c>
      <c r="Z378" s="301">
        <f t="shared" si="230"/>
        <v>2</v>
      </c>
      <c r="AA378" s="323" t="str">
        <f>CONCATENATE("                x[team1,team2,sport,'",IF(OR(I378="x",I378=""),VLOOKUP('Schedule from TM'!J378,Tables!$P$3:$Q$33,2,FALSE),'Schedule from TM'!I378),",",J378,"','",IF(OR(F378="x",F378=""),VLOOKUP('Schedule from TM'!G378,Tables!$U$3:$V$14,2,FALSE),'Schedule from TM'!F378),",",TEXT(G378,"mm/dd/yyyy"),"','",TEXT(H378,"h:mm:ss AM/PM"),"'].ub=0.0      #",B378)</f>
        <v xml:space="preserve">                x[team1,team2,sport,'22,Hillel - Volleyball Out','21,11/26/2017','8:50:00 AM'].ub=0.0      #Ch E Female Volleyball</v>
      </c>
      <c r="AB378" s="301" t="str">
        <f t="shared" si="231"/>
        <v>,,Ch E Female Volleyball,,1,CHILD EF - COL 2</v>
      </c>
      <c r="AC378" s="153" t="str">
        <f t="shared" si="232"/>
        <v>Ch E Female VolleyballCHILD EF - COL 2</v>
      </c>
      <c r="AD378" s="301" t="str">
        <f t="shared" si="233"/>
        <v>,,Ch E Female Volleyball,,1,CHILD EF - PER</v>
      </c>
      <c r="AE378" s="153" t="str">
        <f t="shared" si="234"/>
        <v>Ch E Female VolleyballCHILD EF - PER</v>
      </c>
      <c r="AF378" s="383">
        <f t="shared" si="235"/>
        <v>0</v>
      </c>
      <c r="AG378" s="383">
        <f t="shared" si="236"/>
        <v>1</v>
      </c>
      <c r="AH378" s="383">
        <f t="shared" si="237"/>
        <v>0</v>
      </c>
      <c r="AI378" s="383">
        <f t="shared" si="238"/>
        <v>1</v>
      </c>
      <c r="AJ378" s="383">
        <f t="shared" si="239"/>
        <v>0</v>
      </c>
      <c r="AK378" s="383">
        <f t="shared" si="240"/>
        <v>0</v>
      </c>
      <c r="AM378" s="148" t="str">
        <f t="shared" si="241"/>
        <v>Schedulled</v>
      </c>
      <c r="AN378" s="148" t="str">
        <f t="shared" si="242"/>
        <v/>
      </c>
      <c r="AO378" s="156">
        <f t="shared" si="243"/>
        <v>43065.368055555555</v>
      </c>
      <c r="AP378" s="148" t="str">
        <f t="shared" si="244"/>
        <v>11/26/2017 08:50-&gt;Hillel - Volleyball Out</v>
      </c>
      <c r="AQ378" s="374">
        <f t="shared" si="245"/>
        <v>1</v>
      </c>
      <c r="AR378" s="148" t="str">
        <f t="shared" si="246"/>
        <v>COL2</v>
      </c>
      <c r="AS378" s="148" t="str">
        <f t="shared" si="247"/>
        <v>PER</v>
      </c>
      <c r="AT378" s="157" t="str">
        <f t="shared" si="248"/>
        <v>COL2-PER</v>
      </c>
      <c r="AU378" s="157" t="str">
        <f t="shared" si="249"/>
        <v xml:space="preserve">COL2-PER </v>
      </c>
      <c r="AV378" s="157" t="str">
        <f t="shared" si="250"/>
        <v>CHILDREN E FEMALE</v>
      </c>
      <c r="AW378" s="157" t="str">
        <f t="shared" si="251"/>
        <v>Volleyball</v>
      </c>
      <c r="AX378" s="376">
        <f t="shared" si="252"/>
        <v>376</v>
      </c>
      <c r="AY378" s="148" t="str">
        <f t="shared" si="253"/>
        <v>CHILD EF - COL 2-&gt;CHILD EF - PER</v>
      </c>
      <c r="AZ378" s="148" t="str">
        <f t="shared" si="254"/>
        <v>11/26/2017 08:50-&gt;CHILD EF - COL 2</v>
      </c>
      <c r="BA378" s="148" t="str">
        <f t="shared" si="255"/>
        <v>11/26/2017 08:50-&gt;CHILD EF - PER</v>
      </c>
      <c r="BB378" s="374">
        <f t="shared" si="256"/>
        <v>1</v>
      </c>
      <c r="BC378" s="374">
        <f t="shared" si="257"/>
        <v>1</v>
      </c>
      <c r="BD378" s="148" t="str">
        <f t="shared" si="258"/>
        <v>no conflict</v>
      </c>
      <c r="BF378" s="148" t="str">
        <f t="shared" si="259"/>
        <v>11/26/2017 08:50-&gt;CHILD EF - COL 2</v>
      </c>
      <c r="BG378" s="148" t="str">
        <f t="shared" si="260"/>
        <v>11/26/2017 08:50-&gt;CHILD EF - PER</v>
      </c>
      <c r="BH378" s="148" t="str">
        <f t="shared" si="261"/>
        <v>11/26/2017 08:50-&gt;Hillel - Volleyball Out</v>
      </c>
      <c r="BI378" s="148" t="str">
        <f t="shared" si="262"/>
        <v>Volleyball in Hillel - Volleyball Out (COL2-PER)</v>
      </c>
      <c r="BJ378" s="148" t="str">
        <f t="shared" si="263"/>
        <v>Ch E Female Volleyball-- CHILD EF - COL 2 vs. CHILD EF - PER</v>
      </c>
      <c r="BK378" s="148" t="str">
        <f t="shared" si="264"/>
        <v>Volleyball</v>
      </c>
      <c r="BL378" s="148" t="str">
        <f t="shared" si="265"/>
        <v>CHILD EF - COL 2</v>
      </c>
      <c r="BM378" s="148" t="str">
        <f t="shared" si="266"/>
        <v>CHILD EF - PER</v>
      </c>
      <c r="BN378" s="148" t="str">
        <f t="shared" si="267"/>
        <v>Round - 1</v>
      </c>
      <c r="BP378" s="148" t="str">
        <f t="shared" si="268"/>
        <v>no t, f, or sf</v>
      </c>
      <c r="BQ378" s="148" t="str">
        <f t="shared" si="269"/>
        <v/>
      </c>
    </row>
    <row r="379" spans="1:69" ht="15" customHeight="1" x14ac:dyDescent="0.2">
      <c r="A379" s="376">
        <v>377</v>
      </c>
      <c r="B379" s="444" t="s">
        <v>61</v>
      </c>
      <c r="C379" s="315" t="s">
        <v>518</v>
      </c>
      <c r="D379" s="378">
        <v>1</v>
      </c>
      <c r="E379" s="378">
        <v>1</v>
      </c>
      <c r="F379" s="315" t="s">
        <v>770</v>
      </c>
      <c r="G379" s="316">
        <v>43065</v>
      </c>
      <c r="H379" s="417">
        <v>0.36805555555555558</v>
      </c>
      <c r="I379" s="325" t="s">
        <v>770</v>
      </c>
      <c r="J379" s="443" t="s">
        <v>697</v>
      </c>
      <c r="K379" s="315">
        <v>53</v>
      </c>
      <c r="L379" s="444" t="s">
        <v>605</v>
      </c>
      <c r="M379" s="444">
        <v>53</v>
      </c>
      <c r="N379" s="444" t="s">
        <v>608</v>
      </c>
      <c r="O379" s="153" t="str">
        <f>IF(L379&lt;&gt;"",IFERROR(VLOOKUP(B379&amp;L379,Pools!$A$2:$D$130,3,FALSE),""),"")</f>
        <v/>
      </c>
      <c r="P379" s="388">
        <v>2</v>
      </c>
      <c r="Q379" s="388">
        <v>1</v>
      </c>
      <c r="R379" s="306" t="str">
        <f t="shared" si="225"/>
        <v>2-1</v>
      </c>
      <c r="S379" s="153"/>
      <c r="T379" s="148" t="str">
        <f t="shared" si="226"/>
        <v>Completed</v>
      </c>
      <c r="U379" s="153"/>
      <c r="V379" s="153"/>
      <c r="W379" s="387">
        <f t="shared" si="227"/>
        <v>1</v>
      </c>
      <c r="X379" s="387">
        <f t="shared" si="228"/>
        <v>-1</v>
      </c>
      <c r="Y379" s="301">
        <f t="shared" si="229"/>
        <v>2</v>
      </c>
      <c r="Z379" s="301">
        <f t="shared" si="230"/>
        <v>0</v>
      </c>
      <c r="AA379" s="323" t="str">
        <f>CONCATENATE("                x[team1,team2,sport,'",IF(OR(I379="x",I379=""),VLOOKUP('Schedule from TM'!J379,Tables!$P$3:$Q$33,2,FALSE),'Schedule from TM'!I379),",",J379,"','",IF(OR(F379="x",F379=""),VLOOKUP('Schedule from TM'!G379,Tables!$U$3:$V$14,2,FALSE),'Schedule from TM'!F379),",",TEXT(G379,"mm/dd/yyyy"),"','",TEXT(H379,"h:mm:ss AM/PM"),"'].ub=0.0      #",B379)</f>
        <v xml:space="preserve">                x[team1,team2,sport,'11,JCC Gym South','21,11/26/2017','8:50:00 AM'].ub=0.0      #Ch E Female Volleyball</v>
      </c>
      <c r="AB379" s="301" t="str">
        <f t="shared" si="231"/>
        <v>,,Ch E Female Volleyball,,1,CHILD EF - ARG 1</v>
      </c>
      <c r="AC379" s="153" t="str">
        <f t="shared" si="232"/>
        <v>Ch E Female VolleyballCHILD EF - ARG 1</v>
      </c>
      <c r="AD379" s="301" t="str">
        <f t="shared" si="233"/>
        <v>,,Ch E Female Volleyball,,1,CHILD EF - MEX</v>
      </c>
      <c r="AE379" s="153" t="str">
        <f t="shared" si="234"/>
        <v>Ch E Female VolleyballCHILD EF - MEX</v>
      </c>
      <c r="AF379" s="383">
        <f t="shared" si="235"/>
        <v>1</v>
      </c>
      <c r="AG379" s="383">
        <f t="shared" si="236"/>
        <v>0</v>
      </c>
      <c r="AH379" s="383">
        <f t="shared" si="237"/>
        <v>0</v>
      </c>
      <c r="AI379" s="383">
        <f t="shared" si="238"/>
        <v>0</v>
      </c>
      <c r="AJ379" s="383">
        <f t="shared" si="239"/>
        <v>1</v>
      </c>
      <c r="AK379" s="383">
        <f t="shared" si="240"/>
        <v>0</v>
      </c>
      <c r="AM379" s="148" t="str">
        <f t="shared" si="241"/>
        <v>Schedulled</v>
      </c>
      <c r="AN379" s="148" t="str">
        <f t="shared" si="242"/>
        <v/>
      </c>
      <c r="AO379" s="156">
        <f t="shared" si="243"/>
        <v>43065.368055555555</v>
      </c>
      <c r="AP379" s="148" t="str">
        <f t="shared" si="244"/>
        <v>11/26/2017 08:50-&gt;JCC Gym South</v>
      </c>
      <c r="AQ379" s="374">
        <f t="shared" si="245"/>
        <v>1</v>
      </c>
      <c r="AR379" s="148" t="str">
        <f t="shared" si="246"/>
        <v>ARG1</v>
      </c>
      <c r="AS379" s="148" t="str">
        <f t="shared" si="247"/>
        <v>MEX</v>
      </c>
      <c r="AT379" s="157" t="str">
        <f t="shared" si="248"/>
        <v>ARG1-MEX</v>
      </c>
      <c r="AU379" s="157" t="str">
        <f t="shared" si="249"/>
        <v xml:space="preserve">ARG1-MEX </v>
      </c>
      <c r="AV379" s="157" t="str">
        <f t="shared" si="250"/>
        <v>CHILDREN E FEMALE</v>
      </c>
      <c r="AW379" s="157" t="str">
        <f t="shared" si="251"/>
        <v>Volleyball</v>
      </c>
      <c r="AX379" s="376">
        <f t="shared" si="252"/>
        <v>377</v>
      </c>
      <c r="AY379" s="148" t="str">
        <f t="shared" si="253"/>
        <v>CHILD EF - ARG 1-&gt;CHILD EF - MEX</v>
      </c>
      <c r="AZ379" s="148" t="str">
        <f t="shared" si="254"/>
        <v>11/26/2017 08:50-&gt;CHILD EF - ARG 1</v>
      </c>
      <c r="BA379" s="148" t="str">
        <f t="shared" si="255"/>
        <v>11/26/2017 08:50-&gt;CHILD EF - MEX</v>
      </c>
      <c r="BB379" s="374">
        <f t="shared" si="256"/>
        <v>1</v>
      </c>
      <c r="BC379" s="374">
        <f t="shared" si="257"/>
        <v>1</v>
      </c>
      <c r="BD379" s="148" t="str">
        <f t="shared" si="258"/>
        <v>no conflict</v>
      </c>
      <c r="BF379" s="148" t="str">
        <f t="shared" si="259"/>
        <v>11/26/2017 08:50-&gt;CHILD EF - ARG 1</v>
      </c>
      <c r="BG379" s="148" t="str">
        <f t="shared" si="260"/>
        <v>11/26/2017 08:50-&gt;CHILD EF - MEX</v>
      </c>
      <c r="BH379" s="148" t="str">
        <f t="shared" si="261"/>
        <v>11/26/2017 08:50-&gt;JCC Gym South</v>
      </c>
      <c r="BI379" s="148" t="str">
        <f t="shared" si="262"/>
        <v>Volleyball in JCC Gym South (ARG1-MEX)</v>
      </c>
      <c r="BJ379" s="148" t="str">
        <f t="shared" si="263"/>
        <v>Ch E Female Volleyball-- CHILD EF - ARG 1 vs. CHILD EF - MEX</v>
      </c>
      <c r="BK379" s="148" t="str">
        <f t="shared" si="264"/>
        <v>Volleyball</v>
      </c>
      <c r="BL379" s="148" t="str">
        <f t="shared" si="265"/>
        <v>CHILD EF - ARG 1</v>
      </c>
      <c r="BM379" s="148" t="str">
        <f t="shared" si="266"/>
        <v>CHILD EF - MEX</v>
      </c>
      <c r="BN379" s="148" t="str">
        <f t="shared" si="267"/>
        <v>Round - 1</v>
      </c>
      <c r="BP379" s="148" t="str">
        <f t="shared" si="268"/>
        <v>no t, f, or sf</v>
      </c>
      <c r="BQ379" s="148" t="str">
        <f t="shared" si="269"/>
        <v/>
      </c>
    </row>
    <row r="380" spans="1:69" ht="15" customHeight="1" x14ac:dyDescent="0.2">
      <c r="A380" s="376">
        <v>378</v>
      </c>
      <c r="B380" s="441" t="s">
        <v>61</v>
      </c>
      <c r="C380" s="441" t="s">
        <v>518</v>
      </c>
      <c r="D380" s="450">
        <v>1</v>
      </c>
      <c r="E380" s="450">
        <v>1</v>
      </c>
      <c r="F380" s="315" t="s">
        <v>770</v>
      </c>
      <c r="G380" s="320">
        <v>43065</v>
      </c>
      <c r="H380" s="418">
        <v>0.4375</v>
      </c>
      <c r="I380" s="325" t="s">
        <v>770</v>
      </c>
      <c r="J380" s="441" t="s">
        <v>708</v>
      </c>
      <c r="K380" s="441">
        <v>53</v>
      </c>
      <c r="L380" s="441" t="s">
        <v>606</v>
      </c>
      <c r="M380" s="441">
        <v>53</v>
      </c>
      <c r="N380" s="441" t="s">
        <v>612</v>
      </c>
      <c r="O380" s="153" t="str">
        <f>IF(L380&lt;&gt;"",IFERROR(VLOOKUP(B380&amp;L380,Pools!$A$2:$D$130,3,FALSE),""),"")</f>
        <v/>
      </c>
      <c r="P380" s="388">
        <v>0</v>
      </c>
      <c r="Q380" s="388">
        <v>2</v>
      </c>
      <c r="R380" s="306" t="str">
        <f t="shared" si="225"/>
        <v>0-2</v>
      </c>
      <c r="S380" s="153"/>
      <c r="T380" s="148" t="str">
        <f t="shared" si="226"/>
        <v>Completed</v>
      </c>
      <c r="U380" s="153"/>
      <c r="V380" s="153"/>
      <c r="W380" s="387">
        <f t="shared" si="227"/>
        <v>-2</v>
      </c>
      <c r="X380" s="387">
        <f t="shared" si="228"/>
        <v>2</v>
      </c>
      <c r="Y380" s="301">
        <f t="shared" si="229"/>
        <v>0</v>
      </c>
      <c r="Z380" s="301">
        <f t="shared" si="230"/>
        <v>2</v>
      </c>
      <c r="AA380" s="323" t="str">
        <f>CONCATENATE("                x[team1,team2,sport,'",IF(OR(I380="x",I380=""),VLOOKUP('Schedule from TM'!J380,Tables!$P$3:$Q$33,2,FALSE),'Schedule from TM'!I380),",",J380,"','",IF(OR(F380="x",F380=""),VLOOKUP('Schedule from TM'!G380,Tables!$U$3:$V$14,2,FALSE),'Schedule from TM'!F380),",",TEXT(G380,"mm/dd/yyyy"),"','",TEXT(H380,"h:mm:ss AM/PM"),"'].ub=0.0      #",B380)</f>
        <v xml:space="preserve">                x[team1,team2,sport,'21,Hillel - Gym Volleyball','21,11/26/2017','10:30:00 AM'].ub=0.0      #Ch E Female Volleyball</v>
      </c>
      <c r="AB380" s="301" t="str">
        <f t="shared" si="231"/>
        <v>,,Ch E Female Volleyball,,1,CHILD EF - COL 1</v>
      </c>
      <c r="AC380" s="153" t="str">
        <f t="shared" si="232"/>
        <v>Ch E Female VolleyballCHILD EF - COL 1</v>
      </c>
      <c r="AD380" s="301" t="str">
        <f t="shared" si="233"/>
        <v>,,Ch E Female Volleyball,,1,CHILD EF - PER</v>
      </c>
      <c r="AE380" s="153" t="str">
        <f t="shared" si="234"/>
        <v>Ch E Female VolleyballCHILD EF - PER</v>
      </c>
      <c r="AF380" s="383">
        <f t="shared" si="235"/>
        <v>0</v>
      </c>
      <c r="AG380" s="383">
        <f t="shared" si="236"/>
        <v>1</v>
      </c>
      <c r="AH380" s="383">
        <f t="shared" si="237"/>
        <v>0</v>
      </c>
      <c r="AI380" s="383">
        <f t="shared" si="238"/>
        <v>1</v>
      </c>
      <c r="AJ380" s="383">
        <f t="shared" si="239"/>
        <v>0</v>
      </c>
      <c r="AK380" s="383">
        <f t="shared" si="240"/>
        <v>0</v>
      </c>
      <c r="AM380" s="148" t="str">
        <f t="shared" si="241"/>
        <v>Schedulled</v>
      </c>
      <c r="AN380" s="148" t="str">
        <f t="shared" si="242"/>
        <v/>
      </c>
      <c r="AO380" s="156">
        <f t="shared" si="243"/>
        <v>43065.4375</v>
      </c>
      <c r="AP380" s="148" t="str">
        <f t="shared" si="244"/>
        <v>11/26/2017 10:30-&gt;Hillel - Gym Volleyball</v>
      </c>
      <c r="AQ380" s="374">
        <f t="shared" si="245"/>
        <v>1</v>
      </c>
      <c r="AR380" s="148" t="str">
        <f t="shared" si="246"/>
        <v>COL1</v>
      </c>
      <c r="AS380" s="148" t="str">
        <f t="shared" si="247"/>
        <v>PER</v>
      </c>
      <c r="AT380" s="157" t="str">
        <f t="shared" si="248"/>
        <v>COL1-PER</v>
      </c>
      <c r="AU380" s="157" t="str">
        <f t="shared" si="249"/>
        <v xml:space="preserve">COL1-PER </v>
      </c>
      <c r="AV380" s="157" t="str">
        <f t="shared" si="250"/>
        <v>CHILDREN E FEMALE</v>
      </c>
      <c r="AW380" s="157" t="str">
        <f t="shared" si="251"/>
        <v>Volleyball</v>
      </c>
      <c r="AX380" s="376">
        <f t="shared" si="252"/>
        <v>378</v>
      </c>
      <c r="AY380" s="148" t="str">
        <f t="shared" si="253"/>
        <v>CHILD EF - COL 1-&gt;CHILD EF - PER</v>
      </c>
      <c r="AZ380" s="148" t="str">
        <f t="shared" si="254"/>
        <v>11/26/2017 10:30-&gt;CHILD EF - COL 1</v>
      </c>
      <c r="BA380" s="148" t="str">
        <f t="shared" si="255"/>
        <v>11/26/2017 10:30-&gt;CHILD EF - PER</v>
      </c>
      <c r="BB380" s="374">
        <f t="shared" si="256"/>
        <v>1</v>
      </c>
      <c r="BC380" s="374">
        <f t="shared" si="257"/>
        <v>1</v>
      </c>
      <c r="BD380" s="148" t="str">
        <f t="shared" si="258"/>
        <v>no conflict</v>
      </c>
      <c r="BF380" s="148" t="str">
        <f t="shared" si="259"/>
        <v>11/26/2017 10:30-&gt;CHILD EF - COL 1</v>
      </c>
      <c r="BG380" s="148" t="str">
        <f t="shared" si="260"/>
        <v>11/26/2017 10:30-&gt;CHILD EF - PER</v>
      </c>
      <c r="BH380" s="148" t="str">
        <f t="shared" si="261"/>
        <v>11/26/2017 10:30-&gt;Hillel - Gym Volleyball</v>
      </c>
      <c r="BI380" s="148" t="str">
        <f t="shared" si="262"/>
        <v>Volleyball in Hillel - Gym Volleyball (COL1-PER)</v>
      </c>
      <c r="BJ380" s="148" t="str">
        <f t="shared" si="263"/>
        <v>Ch E Female Volleyball-- CHILD EF - COL 1 vs. CHILD EF - PER</v>
      </c>
      <c r="BK380" s="148" t="str">
        <f t="shared" si="264"/>
        <v>Volleyball</v>
      </c>
      <c r="BL380" s="148" t="str">
        <f t="shared" si="265"/>
        <v>CHILD EF - COL 1</v>
      </c>
      <c r="BM380" s="148" t="str">
        <f t="shared" si="266"/>
        <v>CHILD EF - PER</v>
      </c>
      <c r="BN380" s="148" t="str">
        <f t="shared" si="267"/>
        <v>Round - 1</v>
      </c>
      <c r="BP380" s="148" t="str">
        <f t="shared" si="268"/>
        <v>no t, f, or sf</v>
      </c>
      <c r="BQ380" s="148" t="str">
        <f t="shared" si="269"/>
        <v/>
      </c>
    </row>
    <row r="381" spans="1:69" ht="15" customHeight="1" x14ac:dyDescent="0.2">
      <c r="A381" s="376">
        <v>379</v>
      </c>
      <c r="B381" s="441" t="s">
        <v>63</v>
      </c>
      <c r="C381" s="441" t="s">
        <v>518</v>
      </c>
      <c r="D381" s="450">
        <v>1</v>
      </c>
      <c r="E381" s="450">
        <v>1</v>
      </c>
      <c r="F381" s="315" t="s">
        <v>770</v>
      </c>
      <c r="G381" s="320">
        <v>43058</v>
      </c>
      <c r="H381" s="317">
        <v>0.50694444444444442</v>
      </c>
      <c r="I381" s="325" t="s">
        <v>770</v>
      </c>
      <c r="J381" s="441" t="s">
        <v>707</v>
      </c>
      <c r="K381" s="441">
        <v>51</v>
      </c>
      <c r="L381" s="441" t="s">
        <v>616</v>
      </c>
      <c r="M381" s="441">
        <v>51</v>
      </c>
      <c r="N381" s="441" t="s">
        <v>622</v>
      </c>
      <c r="O381" s="153" t="str">
        <f>IF(L381&lt;&gt;"",IFERROR(VLOOKUP(B381&amp;L381,Pools!$A$2:$D$130,3,FALSE),""),"")</f>
        <v/>
      </c>
      <c r="P381" s="388">
        <v>29</v>
      </c>
      <c r="Q381" s="388">
        <v>17</v>
      </c>
      <c r="R381" s="306" t="str">
        <f t="shared" si="225"/>
        <v>29-17</v>
      </c>
      <c r="S381" s="153"/>
      <c r="T381" s="148" t="str">
        <f t="shared" si="226"/>
        <v>Completed</v>
      </c>
      <c r="U381" s="153"/>
      <c r="V381" s="153"/>
      <c r="W381" s="387">
        <f t="shared" si="227"/>
        <v>12</v>
      </c>
      <c r="X381" s="387">
        <f t="shared" si="228"/>
        <v>-12</v>
      </c>
      <c r="Y381" s="301">
        <f t="shared" si="229"/>
        <v>2</v>
      </c>
      <c r="Z381" s="301">
        <f t="shared" si="230"/>
        <v>0</v>
      </c>
      <c r="AA381" s="323" t="str">
        <f>CONCATENATE("                x[team1,team2,sport,'",IF(OR(I381="x",I381=""),VLOOKUP('Schedule from TM'!J381,Tables!$P$3:$Q$33,2,FALSE),'Schedule from TM'!I381),",",J381,"','",IF(OR(F381="x",F381=""),VLOOKUP('Schedule from TM'!G381,Tables!$U$3:$V$14,2,FALSE),'Schedule from TM'!F381),",",TEXT(G381,"mm/dd/yyyy"),"','",TEXT(H381,"h:mm:ss AM/PM"),"'].ub=0.0      #",B381)</f>
        <v xml:space="preserve">                x[team1,team2,sport,'21,Hillel - Gym Basketball','11,11/19/2017','12:10:00 PM'].ub=0.0      #Ch E Male Basketball</v>
      </c>
      <c r="AB381" s="301" t="str">
        <f t="shared" si="231"/>
        <v>,,Ch E Male Basketball,,1,CHILD EM - ARG 1</v>
      </c>
      <c r="AC381" s="153" t="str">
        <f t="shared" si="232"/>
        <v>Ch E Male BasketballCHILD EM - ARG 1</v>
      </c>
      <c r="AD381" s="301" t="str">
        <f t="shared" si="233"/>
        <v>,,Ch E Male Basketball,,1,CHILD EM - USA 2</v>
      </c>
      <c r="AE381" s="153" t="str">
        <f t="shared" si="234"/>
        <v>Ch E Male BasketballCHILD EM - USA 2</v>
      </c>
      <c r="AF381" s="383">
        <f t="shared" si="235"/>
        <v>1</v>
      </c>
      <c r="AG381" s="383">
        <f t="shared" si="236"/>
        <v>0</v>
      </c>
      <c r="AH381" s="383">
        <f t="shared" si="237"/>
        <v>0</v>
      </c>
      <c r="AI381" s="383">
        <f t="shared" si="238"/>
        <v>0</v>
      </c>
      <c r="AJ381" s="383">
        <f t="shared" si="239"/>
        <v>1</v>
      </c>
      <c r="AK381" s="383">
        <f t="shared" si="240"/>
        <v>0</v>
      </c>
      <c r="AM381" s="148" t="str">
        <f t="shared" si="241"/>
        <v>Schedulled</v>
      </c>
      <c r="AN381" s="148" t="str">
        <f t="shared" si="242"/>
        <v/>
      </c>
      <c r="AO381" s="156">
        <f t="shared" si="243"/>
        <v>43058.506944444445</v>
      </c>
      <c r="AP381" s="148" t="str">
        <f t="shared" si="244"/>
        <v>11/19/2017 12:10-&gt;Hillel - Gym Basketball</v>
      </c>
      <c r="AQ381" s="374">
        <f t="shared" si="245"/>
        <v>1</v>
      </c>
      <c r="AR381" s="148" t="str">
        <f t="shared" si="246"/>
        <v>ARG1</v>
      </c>
      <c r="AS381" s="148" t="str">
        <f t="shared" si="247"/>
        <v>USA2</v>
      </c>
      <c r="AT381" s="157" t="str">
        <f t="shared" si="248"/>
        <v>ARG1-USA2</v>
      </c>
      <c r="AU381" s="157" t="str">
        <f t="shared" si="249"/>
        <v xml:space="preserve">ARG1-USA2 </v>
      </c>
      <c r="AV381" s="157" t="str">
        <f t="shared" si="250"/>
        <v>CHILDREN E MALE</v>
      </c>
      <c r="AW381" s="157" t="str">
        <f t="shared" si="251"/>
        <v>Basketball</v>
      </c>
      <c r="AX381" s="376">
        <f t="shared" si="252"/>
        <v>379</v>
      </c>
      <c r="AY381" s="148" t="str">
        <f t="shared" si="253"/>
        <v>CHILD EM - ARG 1-&gt;CHILD EM - USA 2</v>
      </c>
      <c r="AZ381" s="148" t="str">
        <f t="shared" si="254"/>
        <v>11/19/2017 12:10-&gt;CHILD EM - ARG 1</v>
      </c>
      <c r="BA381" s="148" t="str">
        <f t="shared" si="255"/>
        <v>11/19/2017 12:10-&gt;CHILD EM - USA 2</v>
      </c>
      <c r="BB381" s="374">
        <f t="shared" si="256"/>
        <v>1</v>
      </c>
      <c r="BC381" s="374">
        <f t="shared" si="257"/>
        <v>1</v>
      </c>
      <c r="BD381" s="148" t="str">
        <f t="shared" si="258"/>
        <v>no conflict</v>
      </c>
      <c r="BF381" s="148" t="str">
        <f t="shared" si="259"/>
        <v>11/19/2017 12:10-&gt;CHILD EM - ARG 1</v>
      </c>
      <c r="BG381" s="148" t="str">
        <f t="shared" si="260"/>
        <v>11/19/2017 12:10-&gt;CHILD EM - USA 2</v>
      </c>
      <c r="BH381" s="148" t="str">
        <f t="shared" si="261"/>
        <v>11/19/2017 12:10-&gt;Hillel - Gym Basketball</v>
      </c>
      <c r="BI381" s="148" t="str">
        <f t="shared" si="262"/>
        <v>Basketball in Hillel - Gym Basketball (ARG1-USA2)</v>
      </c>
      <c r="BJ381" s="148" t="str">
        <f t="shared" si="263"/>
        <v>Ch E Male Basketball-- CHILD EM - ARG 1 vs. CHILD EM - USA 2</v>
      </c>
      <c r="BK381" s="148" t="str">
        <f t="shared" si="264"/>
        <v>Basketball</v>
      </c>
      <c r="BL381" s="148" t="str">
        <f t="shared" si="265"/>
        <v>CHILD EM - ARG 1</v>
      </c>
      <c r="BM381" s="148" t="str">
        <f t="shared" si="266"/>
        <v>CHILD EM - USA 2</v>
      </c>
      <c r="BN381" s="148" t="str">
        <f t="shared" si="267"/>
        <v>Round - 1</v>
      </c>
      <c r="BP381" s="148" t="str">
        <f t="shared" si="268"/>
        <v>no t, f, or sf</v>
      </c>
      <c r="BQ381" s="148" t="str">
        <f t="shared" si="269"/>
        <v/>
      </c>
    </row>
    <row r="382" spans="1:69" ht="15" customHeight="1" x14ac:dyDescent="0.2">
      <c r="A382" s="376">
        <v>380</v>
      </c>
      <c r="B382" s="315" t="s">
        <v>63</v>
      </c>
      <c r="C382" s="315" t="s">
        <v>518</v>
      </c>
      <c r="D382" s="378">
        <v>1</v>
      </c>
      <c r="E382" s="378">
        <v>1</v>
      </c>
      <c r="F382" s="315" t="s">
        <v>770</v>
      </c>
      <c r="G382" s="316">
        <v>43058</v>
      </c>
      <c r="H382" s="317">
        <v>0.64583333333333337</v>
      </c>
      <c r="I382" s="325" t="s">
        <v>770</v>
      </c>
      <c r="J382" s="315" t="s">
        <v>696</v>
      </c>
      <c r="K382" s="315">
        <v>51</v>
      </c>
      <c r="L382" s="444" t="s">
        <v>618</v>
      </c>
      <c r="M382" s="444">
        <v>51</v>
      </c>
      <c r="N382" s="444" t="s">
        <v>624</v>
      </c>
      <c r="O382" s="153" t="str">
        <f>IF(L382&lt;&gt;"",IFERROR(VLOOKUP(B382&amp;L382,Pools!$A$2:$D$130,3,FALSE),""),"")</f>
        <v/>
      </c>
      <c r="P382" s="388">
        <v>34</v>
      </c>
      <c r="Q382" s="388">
        <v>21</v>
      </c>
      <c r="R382" s="306" t="str">
        <f t="shared" si="225"/>
        <v>34-21</v>
      </c>
      <c r="S382" s="153"/>
      <c r="T382" s="148" t="str">
        <f t="shared" si="226"/>
        <v>Completed</v>
      </c>
      <c r="U382" s="153"/>
      <c r="V382" s="153"/>
      <c r="W382" s="387">
        <f t="shared" si="227"/>
        <v>13</v>
      </c>
      <c r="X382" s="387">
        <f t="shared" si="228"/>
        <v>-13</v>
      </c>
      <c r="Y382" s="301">
        <f t="shared" si="229"/>
        <v>2</v>
      </c>
      <c r="Z382" s="301">
        <f t="shared" si="230"/>
        <v>0</v>
      </c>
      <c r="AA382" s="323" t="str">
        <f>CONCATENATE("                x[team1,team2,sport,'",IF(OR(I382="x",I382=""),VLOOKUP('Schedule from TM'!J382,Tables!$P$3:$Q$33,2,FALSE),'Schedule from TM'!I382),",",J382,"','",IF(OR(F382="x",F382=""),VLOOKUP('Schedule from TM'!G382,Tables!$U$3:$V$14,2,FALSE),'Schedule from TM'!F382),",",TEXT(G382,"mm/dd/yyyy"),"','",TEXT(H382,"h:mm:ss AM/PM"),"'].ub=0.0      #",B382)</f>
        <v xml:space="preserve">                x[team1,team2,sport,'11,JCC Gym North','11,11/19/2017','3:30:00 PM'].ub=0.0      #Ch E Male Basketball</v>
      </c>
      <c r="AB382" s="301" t="str">
        <f t="shared" si="231"/>
        <v>,,Ch E Male Basketball,,1,CHILD EM - COL 1</v>
      </c>
      <c r="AC382" s="153" t="str">
        <f t="shared" si="232"/>
        <v>Ch E Male BasketballCHILD EM - COL 1</v>
      </c>
      <c r="AD382" s="301" t="str">
        <f t="shared" si="233"/>
        <v>,,Ch E Male Basketball,,1,CHILD EM - VEN 1</v>
      </c>
      <c r="AE382" s="153" t="str">
        <f t="shared" si="234"/>
        <v>Ch E Male BasketballCHILD EM - VEN 1</v>
      </c>
      <c r="AF382" s="383">
        <f t="shared" si="235"/>
        <v>1</v>
      </c>
      <c r="AG382" s="383">
        <f t="shared" si="236"/>
        <v>0</v>
      </c>
      <c r="AH382" s="383">
        <f t="shared" si="237"/>
        <v>0</v>
      </c>
      <c r="AI382" s="383">
        <f t="shared" si="238"/>
        <v>0</v>
      </c>
      <c r="AJ382" s="383">
        <f t="shared" si="239"/>
        <v>1</v>
      </c>
      <c r="AK382" s="383">
        <f t="shared" si="240"/>
        <v>0</v>
      </c>
      <c r="AM382" s="148" t="str">
        <f t="shared" si="241"/>
        <v>Schedulled</v>
      </c>
      <c r="AN382" s="148" t="str">
        <f t="shared" si="242"/>
        <v/>
      </c>
      <c r="AO382" s="156">
        <f t="shared" si="243"/>
        <v>43058.645833333336</v>
      </c>
      <c r="AP382" s="148" t="str">
        <f t="shared" si="244"/>
        <v>11/19/2017 15:30-&gt;JCC Gym North</v>
      </c>
      <c r="AQ382" s="374">
        <f t="shared" si="245"/>
        <v>1</v>
      </c>
      <c r="AR382" s="148" t="str">
        <f t="shared" si="246"/>
        <v>COL1</v>
      </c>
      <c r="AS382" s="148" t="str">
        <f t="shared" si="247"/>
        <v>VEN1</v>
      </c>
      <c r="AT382" s="157" t="str">
        <f t="shared" si="248"/>
        <v>COL1-VEN1</v>
      </c>
      <c r="AU382" s="157" t="str">
        <f t="shared" si="249"/>
        <v xml:space="preserve">COL1-VEN1 </v>
      </c>
      <c r="AV382" s="157" t="str">
        <f t="shared" si="250"/>
        <v>CHILDREN E MALE</v>
      </c>
      <c r="AW382" s="157" t="str">
        <f t="shared" si="251"/>
        <v>Basketball</v>
      </c>
      <c r="AX382" s="376">
        <f t="shared" si="252"/>
        <v>380</v>
      </c>
      <c r="AY382" s="148" t="str">
        <f t="shared" si="253"/>
        <v>CHILD EM - COL 1-&gt;CHILD EM - VEN 1</v>
      </c>
      <c r="AZ382" s="148" t="str">
        <f t="shared" si="254"/>
        <v>11/19/2017 15:30-&gt;CHILD EM - COL 1</v>
      </c>
      <c r="BA382" s="148" t="str">
        <f t="shared" si="255"/>
        <v>11/19/2017 15:30-&gt;CHILD EM - VEN 1</v>
      </c>
      <c r="BB382" s="374">
        <f t="shared" si="256"/>
        <v>1</v>
      </c>
      <c r="BC382" s="374">
        <f t="shared" si="257"/>
        <v>1</v>
      </c>
      <c r="BD382" s="148" t="str">
        <f t="shared" si="258"/>
        <v>no conflict</v>
      </c>
      <c r="BF382" s="148" t="str">
        <f t="shared" si="259"/>
        <v>11/19/2017 15:30-&gt;CHILD EM - COL 1</v>
      </c>
      <c r="BG382" s="148" t="str">
        <f t="shared" si="260"/>
        <v>11/19/2017 15:30-&gt;CHILD EM - VEN 1</v>
      </c>
      <c r="BH382" s="148" t="str">
        <f t="shared" si="261"/>
        <v>11/19/2017 15:30-&gt;JCC Gym North</v>
      </c>
      <c r="BI382" s="148" t="str">
        <f t="shared" si="262"/>
        <v>Basketball in JCC Gym North (COL1-VEN1)</v>
      </c>
      <c r="BJ382" s="148" t="str">
        <f t="shared" si="263"/>
        <v>Ch E Male Basketball-- CHILD EM - COL 1 vs. CHILD EM - VEN 1</v>
      </c>
      <c r="BK382" s="148" t="str">
        <f t="shared" si="264"/>
        <v>Basketball</v>
      </c>
      <c r="BL382" s="148" t="str">
        <f t="shared" si="265"/>
        <v>CHILD EM - COL 1</v>
      </c>
      <c r="BM382" s="148" t="str">
        <f t="shared" si="266"/>
        <v>CHILD EM - VEN 1</v>
      </c>
      <c r="BN382" s="148" t="str">
        <f t="shared" si="267"/>
        <v>Round - 1</v>
      </c>
      <c r="BP382" s="148" t="str">
        <f t="shared" si="268"/>
        <v>no t, f, or sf</v>
      </c>
      <c r="BQ382" s="148" t="str">
        <f t="shared" si="269"/>
        <v/>
      </c>
    </row>
    <row r="383" spans="1:69" ht="15" customHeight="1" x14ac:dyDescent="0.2">
      <c r="A383" s="376">
        <v>381</v>
      </c>
      <c r="B383" s="441" t="s">
        <v>63</v>
      </c>
      <c r="C383" s="441" t="s">
        <v>518</v>
      </c>
      <c r="D383" s="450">
        <v>1</v>
      </c>
      <c r="E383" s="450">
        <v>1</v>
      </c>
      <c r="F383" s="315" t="s">
        <v>770</v>
      </c>
      <c r="G383" s="320">
        <v>43058</v>
      </c>
      <c r="H383" s="317">
        <v>0.64583333333333337</v>
      </c>
      <c r="I383" s="325" t="s">
        <v>770</v>
      </c>
      <c r="J383" s="441" t="s">
        <v>707</v>
      </c>
      <c r="K383" s="441">
        <v>51</v>
      </c>
      <c r="L383" s="441" t="s">
        <v>716</v>
      </c>
      <c r="M383" s="441">
        <v>51</v>
      </c>
      <c r="N383" s="441" t="s">
        <v>718</v>
      </c>
      <c r="O383" s="153" t="str">
        <f>IF(L383&lt;&gt;"",IFERROR(VLOOKUP(B383&amp;L383,Pools!$A$2:$D$130,3,FALSE),""),"")</f>
        <v/>
      </c>
      <c r="P383" s="388">
        <v>21</v>
      </c>
      <c r="Q383" s="388">
        <v>25</v>
      </c>
      <c r="R383" s="306" t="str">
        <f t="shared" si="225"/>
        <v>21-25</v>
      </c>
      <c r="S383" s="153"/>
      <c r="T383" s="148" t="str">
        <f t="shared" si="226"/>
        <v>Completed</v>
      </c>
      <c r="U383" s="153"/>
      <c r="V383" s="153"/>
      <c r="W383" s="387">
        <f t="shared" si="227"/>
        <v>-4</v>
      </c>
      <c r="X383" s="387">
        <f t="shared" si="228"/>
        <v>4</v>
      </c>
      <c r="Y383" s="301">
        <f t="shared" si="229"/>
        <v>0</v>
      </c>
      <c r="Z383" s="301">
        <f t="shared" si="230"/>
        <v>2</v>
      </c>
      <c r="AA383" s="323" t="str">
        <f>CONCATENATE("                x[team1,team2,sport,'",IF(OR(I383="x",I383=""),VLOOKUP('Schedule from TM'!J383,Tables!$P$3:$Q$33,2,FALSE),'Schedule from TM'!I383),",",J383,"','",IF(OR(F383="x",F383=""),VLOOKUP('Schedule from TM'!G383,Tables!$U$3:$V$14,2,FALSE),'Schedule from TM'!F383),",",TEXT(G383,"mm/dd/yyyy"),"','",TEXT(H383,"h:mm:ss AM/PM"),"'].ub=0.0      #",B383)</f>
        <v xml:space="preserve">                x[team1,team2,sport,'21,Hillel - Gym Basketball','11,11/19/2017','3:30:00 PM'].ub=0.0      #Ch E Male Basketball</v>
      </c>
      <c r="AB383" s="301" t="str">
        <f t="shared" si="231"/>
        <v>,,Ch E Male Basketball,,1,CHILD EM - VEN 3</v>
      </c>
      <c r="AC383" s="153" t="str">
        <f t="shared" si="232"/>
        <v>Ch E Male BasketballCHILD EM - VEN 3</v>
      </c>
      <c r="AD383" s="301" t="str">
        <f t="shared" si="233"/>
        <v>,,Ch E Male Basketball,,1,CHILD EM - MEX 2</v>
      </c>
      <c r="AE383" s="153" t="str">
        <f t="shared" si="234"/>
        <v>Ch E Male BasketballCHILD EM - MEX 2</v>
      </c>
      <c r="AF383" s="383">
        <f t="shared" si="235"/>
        <v>0</v>
      </c>
      <c r="AG383" s="383">
        <f t="shared" si="236"/>
        <v>1</v>
      </c>
      <c r="AH383" s="383">
        <f t="shared" si="237"/>
        <v>0</v>
      </c>
      <c r="AI383" s="383">
        <f t="shared" si="238"/>
        <v>1</v>
      </c>
      <c r="AJ383" s="383">
        <f t="shared" si="239"/>
        <v>0</v>
      </c>
      <c r="AK383" s="383">
        <f t="shared" si="240"/>
        <v>0</v>
      </c>
      <c r="AM383" s="148" t="str">
        <f t="shared" si="241"/>
        <v>Schedulled</v>
      </c>
      <c r="AN383" s="148" t="str">
        <f t="shared" si="242"/>
        <v/>
      </c>
      <c r="AO383" s="156">
        <f t="shared" si="243"/>
        <v>43058.645833333336</v>
      </c>
      <c r="AP383" s="148" t="str">
        <f t="shared" si="244"/>
        <v>11/19/2017 15:30-&gt;Hillel - Gym Basketball</v>
      </c>
      <c r="AQ383" s="374">
        <f t="shared" si="245"/>
        <v>1</v>
      </c>
      <c r="AR383" s="148" t="str">
        <f t="shared" si="246"/>
        <v>VEN3</v>
      </c>
      <c r="AS383" s="148" t="str">
        <f t="shared" si="247"/>
        <v>MEX2</v>
      </c>
      <c r="AT383" s="157" t="str">
        <f t="shared" si="248"/>
        <v>VEN3-MEX2</v>
      </c>
      <c r="AU383" s="157" t="str">
        <f t="shared" si="249"/>
        <v xml:space="preserve">VEN3-MEX2 </v>
      </c>
      <c r="AV383" s="157" t="str">
        <f t="shared" si="250"/>
        <v>CHILDREN E MALE</v>
      </c>
      <c r="AW383" s="157" t="str">
        <f t="shared" si="251"/>
        <v>Basketball</v>
      </c>
      <c r="AX383" s="376">
        <f t="shared" si="252"/>
        <v>381</v>
      </c>
      <c r="AY383" s="148" t="str">
        <f t="shared" si="253"/>
        <v>CHILD EM - VEN 3-&gt;CHILD EM - MEX 2</v>
      </c>
      <c r="AZ383" s="148" t="str">
        <f t="shared" si="254"/>
        <v>11/19/2017 15:30-&gt;CHILD EM - VEN 3</v>
      </c>
      <c r="BA383" s="148" t="str">
        <f t="shared" si="255"/>
        <v>11/19/2017 15:30-&gt;CHILD EM - MEX 2</v>
      </c>
      <c r="BB383" s="374">
        <f t="shared" si="256"/>
        <v>1</v>
      </c>
      <c r="BC383" s="374">
        <f t="shared" si="257"/>
        <v>1</v>
      </c>
      <c r="BD383" s="148" t="str">
        <f t="shared" si="258"/>
        <v>no conflict</v>
      </c>
      <c r="BF383" s="148" t="str">
        <f t="shared" si="259"/>
        <v>11/19/2017 15:30-&gt;CHILD EM - VEN 3</v>
      </c>
      <c r="BG383" s="148" t="str">
        <f t="shared" si="260"/>
        <v>11/19/2017 15:30-&gt;CHILD EM - MEX 2</v>
      </c>
      <c r="BH383" s="148" t="str">
        <f t="shared" si="261"/>
        <v>11/19/2017 15:30-&gt;Hillel - Gym Basketball</v>
      </c>
      <c r="BI383" s="148" t="str">
        <f t="shared" si="262"/>
        <v>Basketball in Hillel - Gym Basketball (VEN3-MEX2)</v>
      </c>
      <c r="BJ383" s="148" t="str">
        <f t="shared" si="263"/>
        <v>Ch E Male Basketball-- CHILD EM - VEN 3 vs. CHILD EM - MEX 2</v>
      </c>
      <c r="BK383" s="148" t="str">
        <f t="shared" si="264"/>
        <v>Basketball</v>
      </c>
      <c r="BL383" s="148" t="str">
        <f t="shared" si="265"/>
        <v>CHILD EM - VEN 3</v>
      </c>
      <c r="BM383" s="148" t="str">
        <f t="shared" si="266"/>
        <v>CHILD EM - MEX 2</v>
      </c>
      <c r="BN383" s="148" t="str">
        <f t="shared" si="267"/>
        <v>Round - 1</v>
      </c>
      <c r="BP383" s="148" t="str">
        <f t="shared" si="268"/>
        <v>no t, f, or sf</v>
      </c>
      <c r="BQ383" s="148" t="str">
        <f t="shared" si="269"/>
        <v/>
      </c>
    </row>
    <row r="384" spans="1:69" ht="15" customHeight="1" x14ac:dyDescent="0.2">
      <c r="A384" s="376">
        <v>382</v>
      </c>
      <c r="B384" s="444" t="s">
        <v>63</v>
      </c>
      <c r="C384" s="315" t="s">
        <v>518</v>
      </c>
      <c r="D384" s="378">
        <v>1</v>
      </c>
      <c r="E384" s="378">
        <v>1</v>
      </c>
      <c r="F384" s="315" t="s">
        <v>770</v>
      </c>
      <c r="G384" s="316">
        <v>43058</v>
      </c>
      <c r="H384" s="317">
        <v>0.68055555555555547</v>
      </c>
      <c r="I384" s="325" t="s">
        <v>770</v>
      </c>
      <c r="J384" s="444" t="s">
        <v>702</v>
      </c>
      <c r="K384" s="444">
        <v>51</v>
      </c>
      <c r="L384" s="444" t="s">
        <v>717</v>
      </c>
      <c r="M384" s="444">
        <v>51</v>
      </c>
      <c r="N384" s="444" t="s">
        <v>621</v>
      </c>
      <c r="O384" s="153" t="str">
        <f>IF(L384&lt;&gt;"",IFERROR(VLOOKUP(B384&amp;L384,Pools!$A$2:$D$130,3,FALSE),""),"")</f>
        <v/>
      </c>
      <c r="P384" s="388">
        <v>42</v>
      </c>
      <c r="Q384" s="388">
        <v>22</v>
      </c>
      <c r="R384" s="306" t="str">
        <f t="shared" si="225"/>
        <v>42-22</v>
      </c>
      <c r="S384" s="153"/>
      <c r="T384" s="148" t="str">
        <f t="shared" si="226"/>
        <v>Completed</v>
      </c>
      <c r="U384" s="153"/>
      <c r="V384" s="153"/>
      <c r="W384" s="387">
        <f t="shared" si="227"/>
        <v>15</v>
      </c>
      <c r="X384" s="387">
        <f t="shared" si="228"/>
        <v>-15</v>
      </c>
      <c r="Y384" s="301">
        <f t="shared" si="229"/>
        <v>2</v>
      </c>
      <c r="Z384" s="301">
        <f t="shared" si="230"/>
        <v>0</v>
      </c>
      <c r="AA384" s="323" t="str">
        <f>CONCATENATE("                x[team1,team2,sport,'",IF(OR(I384="x",I384=""),VLOOKUP('Schedule from TM'!J384,Tables!$P$3:$Q$33,2,FALSE),'Schedule from TM'!I384),",",J384,"','",IF(OR(F384="x",F384=""),VLOOKUP('Schedule from TM'!G384,Tables!$U$3:$V$14,2,FALSE),'Schedule from TM'!F384),",",TEXT(G384,"mm/dd/yyyy"),"','",TEXT(H384,"h:mm:ss AM/PM"),"'].ub=0.0      #",B384)</f>
        <v xml:space="preserve">                x[team1,team2,sport,'22,Hillel - Basketball Out','11,11/19/2017','4:20:00 PM'].ub=0.0      #Ch E Male Basketball</v>
      </c>
      <c r="AB384" s="301" t="str">
        <f t="shared" si="231"/>
        <v>,,Ch E Male Basketball,,1,CHILD EM - MEX 1</v>
      </c>
      <c r="AC384" s="153" t="str">
        <f t="shared" si="232"/>
        <v>Ch E Male BasketballCHILD EM - MEX 1</v>
      </c>
      <c r="AD384" s="301" t="str">
        <f t="shared" si="233"/>
        <v>,,Ch E Male Basketball,,1,CHILD EM - USA 1</v>
      </c>
      <c r="AE384" s="153" t="str">
        <f t="shared" si="234"/>
        <v>Ch E Male BasketballCHILD EM - USA 1</v>
      </c>
      <c r="AF384" s="383">
        <f t="shared" si="235"/>
        <v>1</v>
      </c>
      <c r="AG384" s="383">
        <f t="shared" si="236"/>
        <v>0</v>
      </c>
      <c r="AH384" s="383">
        <f t="shared" si="237"/>
        <v>0</v>
      </c>
      <c r="AI384" s="383">
        <f t="shared" si="238"/>
        <v>0</v>
      </c>
      <c r="AJ384" s="383">
        <f t="shared" si="239"/>
        <v>1</v>
      </c>
      <c r="AK384" s="383">
        <f t="shared" si="240"/>
        <v>0</v>
      </c>
      <c r="AM384" s="148" t="str">
        <f t="shared" si="241"/>
        <v>Schedulled</v>
      </c>
      <c r="AN384" s="148" t="str">
        <f t="shared" si="242"/>
        <v/>
      </c>
      <c r="AO384" s="156">
        <f t="shared" si="243"/>
        <v>43058.680555555555</v>
      </c>
      <c r="AP384" s="148" t="str">
        <f t="shared" si="244"/>
        <v>11/19/2017 16:20-&gt;Hillel - Basketball Out</v>
      </c>
      <c r="AQ384" s="374">
        <f t="shared" si="245"/>
        <v>1</v>
      </c>
      <c r="AR384" s="148" t="str">
        <f t="shared" si="246"/>
        <v>MEX1</v>
      </c>
      <c r="AS384" s="148" t="str">
        <f t="shared" si="247"/>
        <v>USA1</v>
      </c>
      <c r="AT384" s="157" t="str">
        <f t="shared" si="248"/>
        <v>MEX1-USA1</v>
      </c>
      <c r="AU384" s="157" t="str">
        <f t="shared" si="249"/>
        <v xml:space="preserve">MEX1-USA1 </v>
      </c>
      <c r="AV384" s="157" t="str">
        <f t="shared" si="250"/>
        <v>CHILDREN E MALE</v>
      </c>
      <c r="AW384" s="157" t="str">
        <f t="shared" si="251"/>
        <v>Basketball</v>
      </c>
      <c r="AX384" s="376">
        <f t="shared" si="252"/>
        <v>382</v>
      </c>
      <c r="AY384" s="148" t="str">
        <f t="shared" si="253"/>
        <v>CHILD EM - MEX 1-&gt;CHILD EM - USA 1</v>
      </c>
      <c r="AZ384" s="148" t="str">
        <f t="shared" si="254"/>
        <v>11/19/2017 16:20-&gt;CHILD EM - MEX 1</v>
      </c>
      <c r="BA384" s="148" t="str">
        <f t="shared" si="255"/>
        <v>11/19/2017 16:20-&gt;CHILD EM - USA 1</v>
      </c>
      <c r="BB384" s="374">
        <f t="shared" si="256"/>
        <v>1</v>
      </c>
      <c r="BC384" s="374">
        <f t="shared" si="257"/>
        <v>1</v>
      </c>
      <c r="BD384" s="148" t="str">
        <f t="shared" si="258"/>
        <v>no conflict</v>
      </c>
      <c r="BF384" s="148" t="str">
        <f t="shared" si="259"/>
        <v>11/19/2017 16:20-&gt;CHILD EM - MEX 1</v>
      </c>
      <c r="BG384" s="148" t="str">
        <f t="shared" si="260"/>
        <v>11/19/2017 16:20-&gt;CHILD EM - USA 1</v>
      </c>
      <c r="BH384" s="148" t="str">
        <f t="shared" si="261"/>
        <v>11/19/2017 16:20-&gt;Hillel - Basketball Out</v>
      </c>
      <c r="BI384" s="148" t="str">
        <f t="shared" si="262"/>
        <v>Basketball in Hillel - Basketball Out (MEX1-USA1)</v>
      </c>
      <c r="BJ384" s="148" t="str">
        <f t="shared" si="263"/>
        <v>Ch E Male Basketball-- CHILD EM - MEX 1 vs. CHILD EM - USA 1</v>
      </c>
      <c r="BK384" s="148" t="str">
        <f t="shared" si="264"/>
        <v>Basketball</v>
      </c>
      <c r="BL384" s="148" t="str">
        <f t="shared" si="265"/>
        <v>CHILD EM - MEX 1</v>
      </c>
      <c r="BM384" s="148" t="str">
        <f t="shared" si="266"/>
        <v>CHILD EM - USA 1</v>
      </c>
      <c r="BN384" s="148" t="str">
        <f t="shared" si="267"/>
        <v>Round - 1</v>
      </c>
      <c r="BP384" s="148" t="str">
        <f t="shared" si="268"/>
        <v>no t, f, or sf</v>
      </c>
      <c r="BQ384" s="148" t="str">
        <f t="shared" si="269"/>
        <v/>
      </c>
    </row>
    <row r="385" spans="1:69" ht="15" customHeight="1" x14ac:dyDescent="0.2">
      <c r="A385" s="376">
        <v>383</v>
      </c>
      <c r="B385" s="443" t="s">
        <v>63</v>
      </c>
      <c r="C385" s="315" t="s">
        <v>518</v>
      </c>
      <c r="D385" s="378">
        <v>1</v>
      </c>
      <c r="E385" s="378">
        <v>1</v>
      </c>
      <c r="F385" s="315" t="s">
        <v>770</v>
      </c>
      <c r="G385" s="316">
        <v>43060</v>
      </c>
      <c r="H385" s="317">
        <v>0.68055555555555547</v>
      </c>
      <c r="I385" s="325" t="s">
        <v>770</v>
      </c>
      <c r="J385" s="315" t="s">
        <v>696</v>
      </c>
      <c r="K385" s="315">
        <v>51</v>
      </c>
      <c r="L385" s="444" t="s">
        <v>616</v>
      </c>
      <c r="M385" s="444">
        <v>51</v>
      </c>
      <c r="N385" s="444" t="s">
        <v>625</v>
      </c>
      <c r="O385" s="153" t="str">
        <f>IF(L385&lt;&gt;"",IFERROR(VLOOKUP(B385&amp;L385,Pools!$A$2:$D$130,3,FALSE),""),"")</f>
        <v/>
      </c>
      <c r="P385" s="388">
        <v>34</v>
      </c>
      <c r="Q385" s="388">
        <v>11</v>
      </c>
      <c r="R385" s="306" t="str">
        <f t="shared" si="225"/>
        <v>34-11</v>
      </c>
      <c r="S385" s="153"/>
      <c r="T385" s="148" t="str">
        <f t="shared" si="226"/>
        <v>Completed</v>
      </c>
      <c r="U385" s="153"/>
      <c r="V385" s="153"/>
      <c r="W385" s="387">
        <f t="shared" si="227"/>
        <v>15</v>
      </c>
      <c r="X385" s="387">
        <f t="shared" si="228"/>
        <v>-15</v>
      </c>
      <c r="Y385" s="301">
        <f t="shared" si="229"/>
        <v>2</v>
      </c>
      <c r="Z385" s="301">
        <f t="shared" si="230"/>
        <v>0</v>
      </c>
      <c r="AA385" s="323" t="str">
        <f>CONCATENATE("                x[team1,team2,sport,'",IF(OR(I385="x",I385=""),VLOOKUP('Schedule from TM'!J385,Tables!$P$3:$Q$33,2,FALSE),'Schedule from TM'!I385),",",J385,"','",IF(OR(F385="x",F385=""),VLOOKUP('Schedule from TM'!G385,Tables!$U$3:$V$14,2,FALSE),'Schedule from TM'!F385),",",TEXT(G385,"mm/dd/yyyy"),"','",TEXT(H385,"h:mm:ss AM/PM"),"'].ub=0.0      #",B385)</f>
        <v xml:space="preserve">                x[team1,team2,sport,'11,JCC Gym North','22,11/21/2017','4:20:00 PM'].ub=0.0      #Ch E Male Basketball</v>
      </c>
      <c r="AB385" s="301" t="str">
        <f t="shared" si="231"/>
        <v>,,Ch E Male Basketball,,1,CHILD EM - ARG 1</v>
      </c>
      <c r="AC385" s="153" t="str">
        <f t="shared" si="232"/>
        <v>Ch E Male BasketballCHILD EM - ARG 1</v>
      </c>
      <c r="AD385" s="301" t="str">
        <f t="shared" si="233"/>
        <v>,,Ch E Male Basketball,,1,CHILD EM - VEN 2</v>
      </c>
      <c r="AE385" s="153" t="str">
        <f t="shared" si="234"/>
        <v>Ch E Male BasketballCHILD EM - VEN 2</v>
      </c>
      <c r="AF385" s="383">
        <f t="shared" si="235"/>
        <v>1</v>
      </c>
      <c r="AG385" s="383">
        <f t="shared" si="236"/>
        <v>0</v>
      </c>
      <c r="AH385" s="383">
        <f t="shared" si="237"/>
        <v>0</v>
      </c>
      <c r="AI385" s="383">
        <f t="shared" si="238"/>
        <v>0</v>
      </c>
      <c r="AJ385" s="383">
        <f t="shared" si="239"/>
        <v>1</v>
      </c>
      <c r="AK385" s="383">
        <f t="shared" si="240"/>
        <v>0</v>
      </c>
      <c r="AM385" s="148" t="str">
        <f t="shared" si="241"/>
        <v>Schedulled</v>
      </c>
      <c r="AN385" s="148" t="str">
        <f t="shared" si="242"/>
        <v/>
      </c>
      <c r="AO385" s="156">
        <f t="shared" si="243"/>
        <v>43060.680555555555</v>
      </c>
      <c r="AP385" s="148" t="str">
        <f t="shared" si="244"/>
        <v>11/21/2017 16:20-&gt;JCC Gym North</v>
      </c>
      <c r="AQ385" s="374">
        <f t="shared" si="245"/>
        <v>1</v>
      </c>
      <c r="AR385" s="148" t="str">
        <f t="shared" si="246"/>
        <v>ARG1</v>
      </c>
      <c r="AS385" s="148" t="str">
        <f t="shared" si="247"/>
        <v>VEN2</v>
      </c>
      <c r="AT385" s="157" t="str">
        <f t="shared" si="248"/>
        <v>ARG1-VEN2</v>
      </c>
      <c r="AU385" s="157" t="str">
        <f t="shared" si="249"/>
        <v xml:space="preserve">ARG1-VEN2 </v>
      </c>
      <c r="AV385" s="157" t="str">
        <f t="shared" si="250"/>
        <v>CHILDREN E MALE</v>
      </c>
      <c r="AW385" s="157" t="str">
        <f t="shared" si="251"/>
        <v>Basketball</v>
      </c>
      <c r="AX385" s="376">
        <f t="shared" si="252"/>
        <v>383</v>
      </c>
      <c r="AY385" s="148" t="str">
        <f t="shared" si="253"/>
        <v>CHILD EM - ARG 1-&gt;CHILD EM - VEN 2</v>
      </c>
      <c r="AZ385" s="148" t="str">
        <f t="shared" si="254"/>
        <v>11/21/2017 16:20-&gt;CHILD EM - ARG 1</v>
      </c>
      <c r="BA385" s="148" t="str">
        <f t="shared" si="255"/>
        <v>11/21/2017 16:20-&gt;CHILD EM - VEN 2</v>
      </c>
      <c r="BB385" s="374">
        <f t="shared" si="256"/>
        <v>1</v>
      </c>
      <c r="BC385" s="374">
        <f t="shared" si="257"/>
        <v>1</v>
      </c>
      <c r="BD385" s="148" t="str">
        <f t="shared" si="258"/>
        <v>no conflict</v>
      </c>
      <c r="BF385" s="148" t="str">
        <f t="shared" si="259"/>
        <v>11/21/2017 16:20-&gt;CHILD EM - ARG 1</v>
      </c>
      <c r="BG385" s="148" t="str">
        <f t="shared" si="260"/>
        <v>11/21/2017 16:20-&gt;CHILD EM - VEN 2</v>
      </c>
      <c r="BH385" s="148" t="str">
        <f t="shared" si="261"/>
        <v>11/21/2017 16:20-&gt;JCC Gym North</v>
      </c>
      <c r="BI385" s="148" t="str">
        <f t="shared" si="262"/>
        <v>Basketball in JCC Gym North (ARG1-VEN2)</v>
      </c>
      <c r="BJ385" s="148" t="str">
        <f t="shared" si="263"/>
        <v>Ch E Male Basketball-- CHILD EM - ARG 1 vs. CHILD EM - VEN 2</v>
      </c>
      <c r="BK385" s="148" t="str">
        <f t="shared" si="264"/>
        <v>Basketball</v>
      </c>
      <c r="BL385" s="148" t="str">
        <f t="shared" si="265"/>
        <v>CHILD EM - ARG 1</v>
      </c>
      <c r="BM385" s="148" t="str">
        <f t="shared" si="266"/>
        <v>CHILD EM - VEN 2</v>
      </c>
      <c r="BN385" s="148" t="str">
        <f t="shared" si="267"/>
        <v>Round - 1</v>
      </c>
      <c r="BP385" s="148" t="str">
        <f t="shared" si="268"/>
        <v>no t, f, or sf</v>
      </c>
      <c r="BQ385" s="148" t="str">
        <f t="shared" si="269"/>
        <v/>
      </c>
    </row>
    <row r="386" spans="1:69" ht="16" x14ac:dyDescent="0.2">
      <c r="A386" s="376">
        <v>384</v>
      </c>
      <c r="B386" s="315" t="s">
        <v>63</v>
      </c>
      <c r="C386" s="315" t="s">
        <v>518</v>
      </c>
      <c r="D386" s="378">
        <v>1</v>
      </c>
      <c r="E386" s="378">
        <v>1</v>
      </c>
      <c r="F386" s="315" t="s">
        <v>770</v>
      </c>
      <c r="G386" s="316">
        <v>43060</v>
      </c>
      <c r="H386" s="317">
        <v>0.71527777777777779</v>
      </c>
      <c r="I386" s="325" t="s">
        <v>770</v>
      </c>
      <c r="J386" s="444" t="s">
        <v>707</v>
      </c>
      <c r="K386" s="444">
        <v>51</v>
      </c>
      <c r="L386" s="444" t="s">
        <v>718</v>
      </c>
      <c r="M386" s="444">
        <v>51</v>
      </c>
      <c r="N386" s="444" t="s">
        <v>622</v>
      </c>
      <c r="O386" s="153" t="str">
        <f>IF(L386&lt;&gt;"",IFERROR(VLOOKUP(B386&amp;L386,Pools!$A$2:$D$130,3,FALSE),""),"")</f>
        <v/>
      </c>
      <c r="P386" s="388">
        <v>44</v>
      </c>
      <c r="Q386" s="388">
        <v>35</v>
      </c>
      <c r="R386" s="306" t="str">
        <f t="shared" si="225"/>
        <v>44-35</v>
      </c>
      <c r="S386" s="153"/>
      <c r="T386" s="148" t="str">
        <f t="shared" si="226"/>
        <v>Completed</v>
      </c>
      <c r="U386" s="153"/>
      <c r="V386" s="153"/>
      <c r="W386" s="387">
        <f t="shared" si="227"/>
        <v>9</v>
      </c>
      <c r="X386" s="387">
        <f t="shared" si="228"/>
        <v>-9</v>
      </c>
      <c r="Y386" s="301">
        <f t="shared" si="229"/>
        <v>2</v>
      </c>
      <c r="Z386" s="301">
        <f t="shared" si="230"/>
        <v>0</v>
      </c>
      <c r="AA386" s="323" t="str">
        <f>CONCATENATE("                x[team1,team2,sport,'",IF(OR(I386="x",I386=""),VLOOKUP('Schedule from TM'!J386,Tables!$P$3:$Q$33,2,FALSE),'Schedule from TM'!I386),",",J386,"','",IF(OR(F386="x",F386=""),VLOOKUP('Schedule from TM'!G386,Tables!$U$3:$V$14,2,FALSE),'Schedule from TM'!F386),",",TEXT(G386,"mm/dd/yyyy"),"','",TEXT(H386,"h:mm:ss AM/PM"),"'].ub=0.0      #",B386)</f>
        <v xml:space="preserve">                x[team1,team2,sport,'21,Hillel - Gym Basketball','22,11/21/2017','5:10:00 PM'].ub=0.0      #Ch E Male Basketball</v>
      </c>
      <c r="AB386" s="301" t="str">
        <f t="shared" si="231"/>
        <v>,,Ch E Male Basketball,,1,CHILD EM - MEX 2</v>
      </c>
      <c r="AC386" s="153" t="str">
        <f t="shared" si="232"/>
        <v>Ch E Male BasketballCHILD EM - MEX 2</v>
      </c>
      <c r="AD386" s="301" t="str">
        <f t="shared" si="233"/>
        <v>,,Ch E Male Basketball,,1,CHILD EM - USA 2</v>
      </c>
      <c r="AE386" s="153" t="str">
        <f t="shared" si="234"/>
        <v>Ch E Male BasketballCHILD EM - USA 2</v>
      </c>
      <c r="AF386" s="383">
        <f t="shared" si="235"/>
        <v>1</v>
      </c>
      <c r="AG386" s="383">
        <f t="shared" si="236"/>
        <v>0</v>
      </c>
      <c r="AH386" s="383">
        <f t="shared" si="237"/>
        <v>0</v>
      </c>
      <c r="AI386" s="383">
        <f t="shared" si="238"/>
        <v>0</v>
      </c>
      <c r="AJ386" s="383">
        <f t="shared" si="239"/>
        <v>1</v>
      </c>
      <c r="AK386" s="383">
        <f t="shared" si="240"/>
        <v>0</v>
      </c>
      <c r="AM386" s="148" t="str">
        <f t="shared" si="241"/>
        <v>Schedulled</v>
      </c>
      <c r="AN386" s="148" t="str">
        <f t="shared" si="242"/>
        <v/>
      </c>
      <c r="AO386" s="156">
        <f t="shared" si="243"/>
        <v>43060.715277777781</v>
      </c>
      <c r="AP386" s="148" t="str">
        <f t="shared" si="244"/>
        <v>11/21/2017 17:10-&gt;Hillel - Gym Basketball</v>
      </c>
      <c r="AQ386" s="374">
        <f t="shared" si="245"/>
        <v>1</v>
      </c>
      <c r="AR386" s="148" t="str">
        <f t="shared" si="246"/>
        <v>MEX2</v>
      </c>
      <c r="AS386" s="148" t="str">
        <f t="shared" si="247"/>
        <v>USA2</v>
      </c>
      <c r="AT386" s="157" t="str">
        <f t="shared" si="248"/>
        <v>MEX2-USA2</v>
      </c>
      <c r="AU386" s="157" t="str">
        <f t="shared" si="249"/>
        <v xml:space="preserve">MEX2-USA2 </v>
      </c>
      <c r="AV386" s="157" t="str">
        <f t="shared" si="250"/>
        <v>CHILDREN E MALE</v>
      </c>
      <c r="AW386" s="157" t="str">
        <f t="shared" si="251"/>
        <v>Basketball</v>
      </c>
      <c r="AX386" s="376">
        <f t="shared" si="252"/>
        <v>384</v>
      </c>
      <c r="AY386" s="148" t="str">
        <f t="shared" si="253"/>
        <v>CHILD EM - MEX 2-&gt;CHILD EM - USA 2</v>
      </c>
      <c r="AZ386" s="148" t="str">
        <f t="shared" si="254"/>
        <v>11/21/2017 17:10-&gt;CHILD EM - MEX 2</v>
      </c>
      <c r="BA386" s="148" t="str">
        <f t="shared" si="255"/>
        <v>11/21/2017 17:10-&gt;CHILD EM - USA 2</v>
      </c>
      <c r="BB386" s="374">
        <f t="shared" si="256"/>
        <v>1</v>
      </c>
      <c r="BC386" s="374">
        <f t="shared" si="257"/>
        <v>1</v>
      </c>
      <c r="BD386" s="148" t="str">
        <f t="shared" si="258"/>
        <v>no conflict</v>
      </c>
      <c r="BF386" s="148" t="str">
        <f t="shared" si="259"/>
        <v>11/21/2017 17:10-&gt;CHILD EM - MEX 2</v>
      </c>
      <c r="BG386" s="148" t="str">
        <f t="shared" si="260"/>
        <v>11/21/2017 17:10-&gt;CHILD EM - USA 2</v>
      </c>
      <c r="BH386" s="148" t="str">
        <f t="shared" si="261"/>
        <v>11/21/2017 17:10-&gt;Hillel - Gym Basketball</v>
      </c>
      <c r="BI386" s="148" t="str">
        <f t="shared" si="262"/>
        <v>Basketball in Hillel - Gym Basketball (MEX2-USA2)</v>
      </c>
      <c r="BJ386" s="148" t="str">
        <f t="shared" si="263"/>
        <v>Ch E Male Basketball-- CHILD EM - MEX 2 vs. CHILD EM - USA 2</v>
      </c>
      <c r="BK386" s="148" t="str">
        <f t="shared" si="264"/>
        <v>Basketball</v>
      </c>
      <c r="BL386" s="148" t="str">
        <f t="shared" si="265"/>
        <v>CHILD EM - MEX 2</v>
      </c>
      <c r="BM386" s="148" t="str">
        <f t="shared" si="266"/>
        <v>CHILD EM - USA 2</v>
      </c>
      <c r="BN386" s="148" t="str">
        <f t="shared" si="267"/>
        <v>Round - 1</v>
      </c>
      <c r="BP386" s="148" t="str">
        <f t="shared" si="268"/>
        <v>no t, f, or sf</v>
      </c>
      <c r="BQ386" s="148" t="str">
        <f t="shared" si="269"/>
        <v/>
      </c>
    </row>
    <row r="387" spans="1:69" ht="15" customHeight="1" x14ac:dyDescent="0.2">
      <c r="A387" s="376">
        <v>385</v>
      </c>
      <c r="B387" s="444" t="s">
        <v>63</v>
      </c>
      <c r="C387" s="315" t="s">
        <v>518</v>
      </c>
      <c r="D387" s="378">
        <v>1</v>
      </c>
      <c r="E387" s="378">
        <v>1</v>
      </c>
      <c r="F387" s="315" t="s">
        <v>770</v>
      </c>
      <c r="G387" s="316">
        <v>43060</v>
      </c>
      <c r="H387" s="317">
        <v>0.75</v>
      </c>
      <c r="I387" s="325" t="s">
        <v>770</v>
      </c>
      <c r="J387" s="315" t="s">
        <v>696</v>
      </c>
      <c r="K387" s="315">
        <v>51</v>
      </c>
      <c r="L387" s="444" t="s">
        <v>717</v>
      </c>
      <c r="M387" s="444">
        <v>51</v>
      </c>
      <c r="N387" s="444" t="s">
        <v>716</v>
      </c>
      <c r="O387" s="153" t="str">
        <f>IF(L387&lt;&gt;"",IFERROR(VLOOKUP(B387&amp;L387,Pools!$A$2:$D$130,3,FALSE),""),"")</f>
        <v/>
      </c>
      <c r="P387" s="388">
        <v>53</v>
      </c>
      <c r="Q387" s="388">
        <v>32</v>
      </c>
      <c r="R387" s="306" t="str">
        <f t="shared" si="225"/>
        <v>53-32</v>
      </c>
      <c r="S387" s="153"/>
      <c r="T387" s="148" t="str">
        <f t="shared" si="226"/>
        <v>Completed</v>
      </c>
      <c r="U387" s="153"/>
      <c r="V387" s="153"/>
      <c r="W387" s="387">
        <f t="shared" si="227"/>
        <v>15</v>
      </c>
      <c r="X387" s="387">
        <f t="shared" si="228"/>
        <v>-15</v>
      </c>
      <c r="Y387" s="301">
        <f t="shared" si="229"/>
        <v>2</v>
      </c>
      <c r="Z387" s="301">
        <f t="shared" si="230"/>
        <v>0</v>
      </c>
      <c r="AA387" s="323" t="str">
        <f>CONCATENATE("                x[team1,team2,sport,'",IF(OR(I387="x",I387=""),VLOOKUP('Schedule from TM'!J387,Tables!$P$3:$Q$33,2,FALSE),'Schedule from TM'!I387),",",J387,"','",IF(OR(F387="x",F387=""),VLOOKUP('Schedule from TM'!G387,Tables!$U$3:$V$14,2,FALSE),'Schedule from TM'!F387),",",TEXT(G387,"mm/dd/yyyy"),"','",TEXT(H387,"h:mm:ss AM/PM"),"'].ub=0.0      #",B387)</f>
        <v xml:space="preserve">                x[team1,team2,sport,'11,JCC Gym North','22,11/21/2017','6:00:00 PM'].ub=0.0      #Ch E Male Basketball</v>
      </c>
      <c r="AB387" s="301" t="str">
        <f t="shared" si="231"/>
        <v>,,Ch E Male Basketball,,1,CHILD EM - MEX 1</v>
      </c>
      <c r="AC387" s="153" t="str">
        <f t="shared" si="232"/>
        <v>Ch E Male BasketballCHILD EM - MEX 1</v>
      </c>
      <c r="AD387" s="301" t="str">
        <f t="shared" si="233"/>
        <v>,,Ch E Male Basketball,,1,CHILD EM - VEN 3</v>
      </c>
      <c r="AE387" s="153" t="str">
        <f t="shared" si="234"/>
        <v>Ch E Male BasketballCHILD EM - VEN 3</v>
      </c>
      <c r="AF387" s="383">
        <f t="shared" si="235"/>
        <v>1</v>
      </c>
      <c r="AG387" s="383">
        <f t="shared" si="236"/>
        <v>0</v>
      </c>
      <c r="AH387" s="383">
        <f t="shared" si="237"/>
        <v>0</v>
      </c>
      <c r="AI387" s="383">
        <f t="shared" si="238"/>
        <v>0</v>
      </c>
      <c r="AJ387" s="383">
        <f t="shared" si="239"/>
        <v>1</v>
      </c>
      <c r="AK387" s="383">
        <f t="shared" si="240"/>
        <v>0</v>
      </c>
      <c r="AM387" s="148" t="str">
        <f t="shared" si="241"/>
        <v>Schedulled</v>
      </c>
      <c r="AN387" s="148" t="str">
        <f t="shared" si="242"/>
        <v/>
      </c>
      <c r="AO387" s="156">
        <f t="shared" si="243"/>
        <v>43060.75</v>
      </c>
      <c r="AP387" s="148" t="str">
        <f t="shared" si="244"/>
        <v>11/21/2017 18:00-&gt;JCC Gym North</v>
      </c>
      <c r="AQ387" s="374">
        <f t="shared" si="245"/>
        <v>1</v>
      </c>
      <c r="AR387" s="148" t="str">
        <f t="shared" si="246"/>
        <v>MEX1</v>
      </c>
      <c r="AS387" s="148" t="str">
        <f t="shared" si="247"/>
        <v>VEN3</v>
      </c>
      <c r="AT387" s="157" t="str">
        <f t="shared" si="248"/>
        <v>MEX1-VEN3</v>
      </c>
      <c r="AU387" s="157" t="str">
        <f t="shared" si="249"/>
        <v xml:space="preserve">MEX1-VEN3 </v>
      </c>
      <c r="AV387" s="157" t="str">
        <f t="shared" si="250"/>
        <v>CHILDREN E MALE</v>
      </c>
      <c r="AW387" s="157" t="str">
        <f t="shared" si="251"/>
        <v>Basketball</v>
      </c>
      <c r="AX387" s="376">
        <f t="shared" si="252"/>
        <v>385</v>
      </c>
      <c r="AY387" s="148" t="str">
        <f t="shared" si="253"/>
        <v>CHILD EM - MEX 1-&gt;CHILD EM - VEN 3</v>
      </c>
      <c r="AZ387" s="148" t="str">
        <f t="shared" si="254"/>
        <v>11/21/2017 18:00-&gt;CHILD EM - MEX 1</v>
      </c>
      <c r="BA387" s="148" t="str">
        <f t="shared" si="255"/>
        <v>11/21/2017 18:00-&gt;CHILD EM - VEN 3</v>
      </c>
      <c r="BB387" s="374">
        <f t="shared" si="256"/>
        <v>1</v>
      </c>
      <c r="BC387" s="374">
        <f t="shared" si="257"/>
        <v>1</v>
      </c>
      <c r="BD387" s="148" t="str">
        <f t="shared" si="258"/>
        <v>no conflict</v>
      </c>
      <c r="BF387" s="148" t="str">
        <f t="shared" si="259"/>
        <v>11/21/2017 18:00-&gt;CHILD EM - MEX 1</v>
      </c>
      <c r="BG387" s="148" t="str">
        <f t="shared" si="260"/>
        <v>11/21/2017 18:00-&gt;CHILD EM - VEN 3</v>
      </c>
      <c r="BH387" s="148" t="str">
        <f t="shared" si="261"/>
        <v>11/21/2017 18:00-&gt;JCC Gym North</v>
      </c>
      <c r="BI387" s="148" t="str">
        <f t="shared" si="262"/>
        <v>Basketball in JCC Gym North (MEX1-VEN3)</v>
      </c>
      <c r="BJ387" s="148" t="str">
        <f t="shared" si="263"/>
        <v>Ch E Male Basketball-- CHILD EM - MEX 1 vs. CHILD EM - VEN 3</v>
      </c>
      <c r="BK387" s="148" t="str">
        <f t="shared" si="264"/>
        <v>Basketball</v>
      </c>
      <c r="BL387" s="148" t="str">
        <f t="shared" si="265"/>
        <v>CHILD EM - MEX 1</v>
      </c>
      <c r="BM387" s="148" t="str">
        <f t="shared" si="266"/>
        <v>CHILD EM - VEN 3</v>
      </c>
      <c r="BN387" s="148" t="str">
        <f t="shared" si="267"/>
        <v>Round - 1</v>
      </c>
      <c r="BP387" s="148" t="str">
        <f t="shared" si="268"/>
        <v>no t, f, or sf</v>
      </c>
      <c r="BQ387" s="148" t="str">
        <f t="shared" si="269"/>
        <v/>
      </c>
    </row>
    <row r="388" spans="1:69" ht="15" customHeight="1" x14ac:dyDescent="0.2">
      <c r="A388" s="376">
        <v>386</v>
      </c>
      <c r="B388" s="441" t="s">
        <v>63</v>
      </c>
      <c r="C388" s="441" t="s">
        <v>518</v>
      </c>
      <c r="D388" s="450">
        <v>1</v>
      </c>
      <c r="E388" s="450">
        <v>1</v>
      </c>
      <c r="F388" s="315" t="s">
        <v>770</v>
      </c>
      <c r="G388" s="320">
        <v>43060</v>
      </c>
      <c r="H388" s="318">
        <v>0.81944444444444453</v>
      </c>
      <c r="I388" s="325" t="s">
        <v>770</v>
      </c>
      <c r="J388" s="441" t="s">
        <v>707</v>
      </c>
      <c r="K388" s="441">
        <v>51</v>
      </c>
      <c r="L388" s="441" t="s">
        <v>621</v>
      </c>
      <c r="M388" s="441">
        <v>51</v>
      </c>
      <c r="N388" s="441" t="s">
        <v>624</v>
      </c>
      <c r="O388" s="153" t="str">
        <f>IF(L388&lt;&gt;"",IFERROR(VLOOKUP(B388&amp;L388,Pools!$A$2:$D$130,3,FALSE),""),"")</f>
        <v/>
      </c>
      <c r="P388" s="388">
        <v>21</v>
      </c>
      <c r="Q388" s="388">
        <v>13</v>
      </c>
      <c r="R388" s="306" t="str">
        <f t="shared" si="225"/>
        <v>21-13</v>
      </c>
      <c r="S388" s="153"/>
      <c r="T388" s="148" t="str">
        <f t="shared" si="226"/>
        <v>Completed</v>
      </c>
      <c r="U388" s="153"/>
      <c r="V388" s="153"/>
      <c r="W388" s="387">
        <f t="shared" si="227"/>
        <v>8</v>
      </c>
      <c r="X388" s="387">
        <f t="shared" si="228"/>
        <v>-8</v>
      </c>
      <c r="Y388" s="301">
        <f t="shared" si="229"/>
        <v>2</v>
      </c>
      <c r="Z388" s="301">
        <f t="shared" si="230"/>
        <v>0</v>
      </c>
      <c r="AA388" s="323" t="str">
        <f>CONCATENATE("                x[team1,team2,sport,'",IF(OR(I388="x",I388=""),VLOOKUP('Schedule from TM'!J388,Tables!$P$3:$Q$33,2,FALSE),'Schedule from TM'!I388),",",J388,"','",IF(OR(F388="x",F388=""),VLOOKUP('Schedule from TM'!G388,Tables!$U$3:$V$14,2,FALSE),'Schedule from TM'!F388),",",TEXT(G388,"mm/dd/yyyy"),"','",TEXT(H388,"h:mm:ss AM/PM"),"'].ub=0.0      #",B388)</f>
        <v xml:space="preserve">                x[team1,team2,sport,'21,Hillel - Gym Basketball','22,11/21/2017','7:40:00 PM'].ub=0.0      #Ch E Male Basketball</v>
      </c>
      <c r="AB388" s="301" t="str">
        <f t="shared" si="231"/>
        <v>,,Ch E Male Basketball,,1,CHILD EM - USA 1</v>
      </c>
      <c r="AC388" s="153" t="str">
        <f t="shared" si="232"/>
        <v>Ch E Male BasketballCHILD EM - USA 1</v>
      </c>
      <c r="AD388" s="301" t="str">
        <f t="shared" si="233"/>
        <v>,,Ch E Male Basketball,,1,CHILD EM - VEN 1</v>
      </c>
      <c r="AE388" s="153" t="str">
        <f t="shared" si="234"/>
        <v>Ch E Male BasketballCHILD EM - VEN 1</v>
      </c>
      <c r="AF388" s="383">
        <f t="shared" si="235"/>
        <v>1</v>
      </c>
      <c r="AG388" s="383">
        <f t="shared" si="236"/>
        <v>0</v>
      </c>
      <c r="AH388" s="383">
        <f t="shared" si="237"/>
        <v>0</v>
      </c>
      <c r="AI388" s="383">
        <f t="shared" si="238"/>
        <v>0</v>
      </c>
      <c r="AJ388" s="383">
        <f t="shared" si="239"/>
        <v>1</v>
      </c>
      <c r="AK388" s="383">
        <f t="shared" si="240"/>
        <v>0</v>
      </c>
      <c r="AM388" s="148" t="str">
        <f t="shared" si="241"/>
        <v>Schedulled</v>
      </c>
      <c r="AN388" s="148" t="str">
        <f t="shared" si="242"/>
        <v/>
      </c>
      <c r="AO388" s="156">
        <f t="shared" si="243"/>
        <v>43060.819444444445</v>
      </c>
      <c r="AP388" s="148" t="str">
        <f t="shared" si="244"/>
        <v>11/21/2017 19:40-&gt;Hillel - Gym Basketball</v>
      </c>
      <c r="AQ388" s="374">
        <f t="shared" si="245"/>
        <v>1</v>
      </c>
      <c r="AR388" s="148" t="str">
        <f t="shared" si="246"/>
        <v>USA1</v>
      </c>
      <c r="AS388" s="148" t="str">
        <f t="shared" si="247"/>
        <v>VEN1</v>
      </c>
      <c r="AT388" s="157" t="str">
        <f t="shared" si="248"/>
        <v>USA1-VEN1</v>
      </c>
      <c r="AU388" s="157" t="str">
        <f t="shared" si="249"/>
        <v xml:space="preserve">USA1-VEN1 </v>
      </c>
      <c r="AV388" s="157" t="str">
        <f t="shared" si="250"/>
        <v>CHILDREN E MALE</v>
      </c>
      <c r="AW388" s="157" t="str">
        <f t="shared" si="251"/>
        <v>Basketball</v>
      </c>
      <c r="AX388" s="376">
        <f t="shared" si="252"/>
        <v>386</v>
      </c>
      <c r="AY388" s="148" t="str">
        <f t="shared" si="253"/>
        <v>CHILD EM - USA 1-&gt;CHILD EM - VEN 1</v>
      </c>
      <c r="AZ388" s="148" t="str">
        <f t="shared" si="254"/>
        <v>11/21/2017 19:40-&gt;CHILD EM - USA 1</v>
      </c>
      <c r="BA388" s="148" t="str">
        <f t="shared" si="255"/>
        <v>11/21/2017 19:40-&gt;CHILD EM - VEN 1</v>
      </c>
      <c r="BB388" s="374">
        <f t="shared" si="256"/>
        <v>1</v>
      </c>
      <c r="BC388" s="374">
        <f t="shared" si="257"/>
        <v>1</v>
      </c>
      <c r="BD388" s="148" t="str">
        <f t="shared" si="258"/>
        <v>no conflict</v>
      </c>
      <c r="BF388" s="148" t="str">
        <f t="shared" si="259"/>
        <v>11/21/2017 19:40-&gt;CHILD EM - USA 1</v>
      </c>
      <c r="BG388" s="148" t="str">
        <f t="shared" si="260"/>
        <v>11/21/2017 19:40-&gt;CHILD EM - VEN 1</v>
      </c>
      <c r="BH388" s="148" t="str">
        <f t="shared" si="261"/>
        <v>11/21/2017 19:40-&gt;Hillel - Gym Basketball</v>
      </c>
      <c r="BI388" s="148" t="str">
        <f t="shared" si="262"/>
        <v>Basketball in Hillel - Gym Basketball (USA1-VEN1)</v>
      </c>
      <c r="BJ388" s="148" t="str">
        <f t="shared" si="263"/>
        <v>Ch E Male Basketball-- CHILD EM - USA 1 vs. CHILD EM - VEN 1</v>
      </c>
      <c r="BK388" s="148" t="str">
        <f t="shared" si="264"/>
        <v>Basketball</v>
      </c>
      <c r="BL388" s="148" t="str">
        <f t="shared" si="265"/>
        <v>CHILD EM - USA 1</v>
      </c>
      <c r="BM388" s="148" t="str">
        <f t="shared" si="266"/>
        <v>CHILD EM - VEN 1</v>
      </c>
      <c r="BN388" s="148" t="str">
        <f t="shared" si="267"/>
        <v>Round - 1</v>
      </c>
      <c r="BP388" s="148" t="str">
        <f t="shared" si="268"/>
        <v>no t, f, or sf</v>
      </c>
      <c r="BQ388" s="148" t="str">
        <f t="shared" si="269"/>
        <v/>
      </c>
    </row>
    <row r="389" spans="1:69" ht="15" customHeight="1" x14ac:dyDescent="0.2">
      <c r="A389" s="376">
        <v>387</v>
      </c>
      <c r="B389" s="444" t="s">
        <v>63</v>
      </c>
      <c r="C389" s="315" t="s">
        <v>518</v>
      </c>
      <c r="D389" s="378">
        <v>1</v>
      </c>
      <c r="E389" s="378">
        <v>1</v>
      </c>
      <c r="F389" s="315" t="s">
        <v>770</v>
      </c>
      <c r="G389" s="316">
        <v>43060</v>
      </c>
      <c r="H389" s="318">
        <v>0.81944444444444453</v>
      </c>
      <c r="I389" s="325" t="s">
        <v>770</v>
      </c>
      <c r="J389" s="315" t="s">
        <v>696</v>
      </c>
      <c r="K389" s="315">
        <v>51</v>
      </c>
      <c r="L389" s="444" t="s">
        <v>718</v>
      </c>
      <c r="M389" s="444">
        <v>51</v>
      </c>
      <c r="N389" s="444" t="s">
        <v>620</v>
      </c>
      <c r="O389" s="153" t="str">
        <f>IF(L389&lt;&gt;"",IFERROR(VLOOKUP(B389&amp;L389,Pools!$A$2:$D$130,3,FALSE),""),"")</f>
        <v/>
      </c>
      <c r="P389" s="388">
        <v>34</v>
      </c>
      <c r="Q389" s="388">
        <v>22</v>
      </c>
      <c r="R389" s="306" t="str">
        <f t="shared" si="225"/>
        <v>34-22</v>
      </c>
      <c r="S389" s="153"/>
      <c r="T389" s="148" t="str">
        <f t="shared" si="226"/>
        <v>Completed</v>
      </c>
      <c r="U389" s="153"/>
      <c r="V389" s="153"/>
      <c r="W389" s="387">
        <f t="shared" si="227"/>
        <v>12</v>
      </c>
      <c r="X389" s="387">
        <f t="shared" si="228"/>
        <v>-12</v>
      </c>
      <c r="Y389" s="301">
        <f t="shared" si="229"/>
        <v>2</v>
      </c>
      <c r="Z389" s="301">
        <f t="shared" si="230"/>
        <v>0</v>
      </c>
      <c r="AA389" s="323" t="str">
        <f>CONCATENATE("                x[team1,team2,sport,'",IF(OR(I389="x",I389=""),VLOOKUP('Schedule from TM'!J389,Tables!$P$3:$Q$33,2,FALSE),'Schedule from TM'!I389),",",J389,"','",IF(OR(F389="x",F389=""),VLOOKUP('Schedule from TM'!G389,Tables!$U$3:$V$14,2,FALSE),'Schedule from TM'!F389),",",TEXT(G389,"mm/dd/yyyy"),"','",TEXT(H389,"h:mm:ss AM/PM"),"'].ub=0.0      #",B389)</f>
        <v xml:space="preserve">                x[team1,team2,sport,'11,JCC Gym North','22,11/21/2017','7:40:00 PM'].ub=0.0      #Ch E Male Basketball</v>
      </c>
      <c r="AB389" s="301" t="str">
        <f t="shared" si="231"/>
        <v>,,Ch E Male Basketball,,1,CHILD EM - MEX 2</v>
      </c>
      <c r="AC389" s="153" t="str">
        <f t="shared" si="232"/>
        <v>Ch E Male BasketballCHILD EM - MEX 2</v>
      </c>
      <c r="AD389" s="301" t="str">
        <f t="shared" si="233"/>
        <v>,,Ch E Male Basketball,,1,CHILD EM - PER</v>
      </c>
      <c r="AE389" s="153" t="str">
        <f t="shared" si="234"/>
        <v>Ch E Male BasketballCHILD EM - PER</v>
      </c>
      <c r="AF389" s="383">
        <f t="shared" si="235"/>
        <v>1</v>
      </c>
      <c r="AG389" s="383">
        <f t="shared" si="236"/>
        <v>0</v>
      </c>
      <c r="AH389" s="383">
        <f t="shared" si="237"/>
        <v>0</v>
      </c>
      <c r="AI389" s="383">
        <f t="shared" si="238"/>
        <v>0</v>
      </c>
      <c r="AJ389" s="383">
        <f t="shared" si="239"/>
        <v>1</v>
      </c>
      <c r="AK389" s="383">
        <f t="shared" si="240"/>
        <v>0</v>
      </c>
      <c r="AM389" s="148" t="str">
        <f t="shared" si="241"/>
        <v>Schedulled</v>
      </c>
      <c r="AN389" s="148" t="str">
        <f t="shared" si="242"/>
        <v/>
      </c>
      <c r="AO389" s="156">
        <f t="shared" si="243"/>
        <v>43060.819444444445</v>
      </c>
      <c r="AP389" s="148" t="str">
        <f t="shared" si="244"/>
        <v>11/21/2017 19:40-&gt;JCC Gym North</v>
      </c>
      <c r="AQ389" s="374">
        <f t="shared" si="245"/>
        <v>1</v>
      </c>
      <c r="AR389" s="148" t="str">
        <f t="shared" si="246"/>
        <v>MEX2</v>
      </c>
      <c r="AS389" s="148" t="str">
        <f t="shared" si="247"/>
        <v>PER</v>
      </c>
      <c r="AT389" s="157" t="str">
        <f t="shared" si="248"/>
        <v>MEX2-PER</v>
      </c>
      <c r="AU389" s="157" t="str">
        <f t="shared" si="249"/>
        <v xml:space="preserve">MEX2-PER </v>
      </c>
      <c r="AV389" s="157" t="str">
        <f t="shared" si="250"/>
        <v>CHILDREN E MALE</v>
      </c>
      <c r="AW389" s="157" t="str">
        <f t="shared" si="251"/>
        <v>Basketball</v>
      </c>
      <c r="AX389" s="376">
        <f t="shared" si="252"/>
        <v>387</v>
      </c>
      <c r="AY389" s="148" t="str">
        <f t="shared" si="253"/>
        <v>CHILD EM - MEX 2-&gt;CHILD EM - PER</v>
      </c>
      <c r="AZ389" s="148" t="str">
        <f t="shared" si="254"/>
        <v>11/21/2017 19:40-&gt;CHILD EM - MEX 2</v>
      </c>
      <c r="BA389" s="148" t="str">
        <f t="shared" si="255"/>
        <v>11/21/2017 19:40-&gt;CHILD EM - PER</v>
      </c>
      <c r="BB389" s="374">
        <f t="shared" si="256"/>
        <v>1</v>
      </c>
      <c r="BC389" s="374">
        <f t="shared" si="257"/>
        <v>1</v>
      </c>
      <c r="BD389" s="148" t="str">
        <f t="shared" si="258"/>
        <v>no conflict</v>
      </c>
      <c r="BF389" s="148" t="str">
        <f t="shared" si="259"/>
        <v>11/21/2017 19:40-&gt;CHILD EM - MEX 2</v>
      </c>
      <c r="BG389" s="148" t="str">
        <f t="shared" si="260"/>
        <v>11/21/2017 19:40-&gt;CHILD EM - PER</v>
      </c>
      <c r="BH389" s="148" t="str">
        <f t="shared" si="261"/>
        <v>11/21/2017 19:40-&gt;JCC Gym North</v>
      </c>
      <c r="BI389" s="148" t="str">
        <f t="shared" si="262"/>
        <v>Basketball in JCC Gym North (MEX2-PER)</v>
      </c>
      <c r="BJ389" s="148" t="str">
        <f t="shared" si="263"/>
        <v>Ch E Male Basketball-- CHILD EM - MEX 2 vs. CHILD EM - PER</v>
      </c>
      <c r="BK389" s="148" t="str">
        <f t="shared" si="264"/>
        <v>Basketball</v>
      </c>
      <c r="BL389" s="148" t="str">
        <f t="shared" si="265"/>
        <v>CHILD EM - MEX 2</v>
      </c>
      <c r="BM389" s="148" t="str">
        <f t="shared" si="266"/>
        <v>CHILD EM - PER</v>
      </c>
      <c r="BN389" s="148" t="str">
        <f t="shared" si="267"/>
        <v>Round - 1</v>
      </c>
      <c r="BP389" s="148" t="str">
        <f t="shared" si="268"/>
        <v>no t, f, or sf</v>
      </c>
      <c r="BQ389" s="148" t="str">
        <f t="shared" si="269"/>
        <v/>
      </c>
    </row>
    <row r="390" spans="1:69" ht="15" customHeight="1" x14ac:dyDescent="0.2">
      <c r="A390" s="376">
        <v>388</v>
      </c>
      <c r="B390" s="444" t="s">
        <v>63</v>
      </c>
      <c r="C390" s="315" t="s">
        <v>518</v>
      </c>
      <c r="D390" s="378">
        <v>1</v>
      </c>
      <c r="E390" s="378">
        <v>1</v>
      </c>
      <c r="F390" s="315" t="s">
        <v>770</v>
      </c>
      <c r="G390" s="316">
        <v>43062</v>
      </c>
      <c r="H390" s="317">
        <v>0.47222222222222227</v>
      </c>
      <c r="I390" s="325" t="s">
        <v>770</v>
      </c>
      <c r="J390" s="315" t="s">
        <v>696</v>
      </c>
      <c r="K390" s="315">
        <v>51</v>
      </c>
      <c r="L390" s="444" t="s">
        <v>618</v>
      </c>
      <c r="M390" s="444">
        <v>51</v>
      </c>
      <c r="N390" s="444" t="s">
        <v>716</v>
      </c>
      <c r="O390" s="153" t="str">
        <f>IF(L390&lt;&gt;"",IFERROR(VLOOKUP(B390&amp;L390,Pools!$A$2:$D$130,3,FALSE),""),"")</f>
        <v/>
      </c>
      <c r="P390" s="388">
        <v>44</v>
      </c>
      <c r="Q390" s="388">
        <v>12</v>
      </c>
      <c r="R390" s="306" t="str">
        <f t="shared" si="225"/>
        <v>44-12</v>
      </c>
      <c r="S390" s="153"/>
      <c r="T390" s="148" t="str">
        <f t="shared" si="226"/>
        <v>Completed</v>
      </c>
      <c r="U390" s="153"/>
      <c r="V390" s="153"/>
      <c r="W390" s="387">
        <f t="shared" si="227"/>
        <v>15</v>
      </c>
      <c r="X390" s="387">
        <f t="shared" si="228"/>
        <v>-15</v>
      </c>
      <c r="Y390" s="301">
        <f t="shared" si="229"/>
        <v>2</v>
      </c>
      <c r="Z390" s="301">
        <f t="shared" si="230"/>
        <v>0</v>
      </c>
      <c r="AA390" s="323" t="str">
        <f>CONCATENATE("                x[team1,team2,sport,'",IF(OR(I390="x",I390=""),VLOOKUP('Schedule from TM'!J390,Tables!$P$3:$Q$33,2,FALSE),'Schedule from TM'!I390),",",J390,"','",IF(OR(F390="x",F390=""),VLOOKUP('Schedule from TM'!G390,Tables!$U$3:$V$14,2,FALSE),'Schedule from TM'!F390),",",TEXT(G390,"mm/dd/yyyy"),"','",TEXT(H390,"h:mm:ss AM/PM"),"'].ub=0.0      #",B390)</f>
        <v xml:space="preserve">                x[team1,team2,sport,'11,JCC Gym North','11,11/23/2017','11:20:00 AM'].ub=0.0      #Ch E Male Basketball</v>
      </c>
      <c r="AB390" s="301" t="str">
        <f t="shared" si="231"/>
        <v>,,Ch E Male Basketball,,1,CHILD EM - COL 1</v>
      </c>
      <c r="AC390" s="153" t="str">
        <f t="shared" si="232"/>
        <v>Ch E Male BasketballCHILD EM - COL 1</v>
      </c>
      <c r="AD390" s="301" t="str">
        <f t="shared" si="233"/>
        <v>,,Ch E Male Basketball,,1,CHILD EM - VEN 3</v>
      </c>
      <c r="AE390" s="153" t="str">
        <f t="shared" si="234"/>
        <v>Ch E Male BasketballCHILD EM - VEN 3</v>
      </c>
      <c r="AF390" s="383">
        <f t="shared" si="235"/>
        <v>1</v>
      </c>
      <c r="AG390" s="383">
        <f t="shared" si="236"/>
        <v>0</v>
      </c>
      <c r="AH390" s="383">
        <f t="shared" si="237"/>
        <v>0</v>
      </c>
      <c r="AI390" s="383">
        <f t="shared" si="238"/>
        <v>0</v>
      </c>
      <c r="AJ390" s="383">
        <f t="shared" si="239"/>
        <v>1</v>
      </c>
      <c r="AK390" s="383">
        <f t="shared" si="240"/>
        <v>0</v>
      </c>
      <c r="AM390" s="148" t="str">
        <f t="shared" si="241"/>
        <v>Schedulled</v>
      </c>
      <c r="AN390" s="148" t="str">
        <f t="shared" si="242"/>
        <v/>
      </c>
      <c r="AO390" s="156">
        <f t="shared" si="243"/>
        <v>43062.472222222219</v>
      </c>
      <c r="AP390" s="148" t="str">
        <f t="shared" si="244"/>
        <v>11/23/2017 11:20-&gt;JCC Gym North</v>
      </c>
      <c r="AQ390" s="374">
        <f t="shared" si="245"/>
        <v>1</v>
      </c>
      <c r="AR390" s="148" t="str">
        <f t="shared" si="246"/>
        <v>COL1</v>
      </c>
      <c r="AS390" s="148" t="str">
        <f t="shared" si="247"/>
        <v>VEN3</v>
      </c>
      <c r="AT390" s="157" t="str">
        <f t="shared" si="248"/>
        <v>COL1-VEN3</v>
      </c>
      <c r="AU390" s="157" t="str">
        <f t="shared" si="249"/>
        <v xml:space="preserve">COL1-VEN3 </v>
      </c>
      <c r="AV390" s="157" t="str">
        <f t="shared" si="250"/>
        <v>CHILDREN E MALE</v>
      </c>
      <c r="AW390" s="157" t="str">
        <f t="shared" si="251"/>
        <v>Basketball</v>
      </c>
      <c r="AX390" s="376">
        <f t="shared" si="252"/>
        <v>388</v>
      </c>
      <c r="AY390" s="148" t="str">
        <f t="shared" si="253"/>
        <v>CHILD EM - COL 1-&gt;CHILD EM - VEN 3</v>
      </c>
      <c r="AZ390" s="148" t="str">
        <f t="shared" si="254"/>
        <v>11/23/2017 11:20-&gt;CHILD EM - COL 1</v>
      </c>
      <c r="BA390" s="148" t="str">
        <f t="shared" si="255"/>
        <v>11/23/2017 11:20-&gt;CHILD EM - VEN 3</v>
      </c>
      <c r="BB390" s="374">
        <f t="shared" si="256"/>
        <v>1</v>
      </c>
      <c r="BC390" s="374">
        <f t="shared" si="257"/>
        <v>1</v>
      </c>
      <c r="BD390" s="148" t="str">
        <f t="shared" si="258"/>
        <v>no conflict</v>
      </c>
      <c r="BF390" s="148" t="str">
        <f t="shared" si="259"/>
        <v>11/23/2017 11:20-&gt;CHILD EM - COL 1</v>
      </c>
      <c r="BG390" s="148" t="str">
        <f t="shared" si="260"/>
        <v>11/23/2017 11:20-&gt;CHILD EM - VEN 3</v>
      </c>
      <c r="BH390" s="148" t="str">
        <f t="shared" si="261"/>
        <v>11/23/2017 11:20-&gt;JCC Gym North</v>
      </c>
      <c r="BI390" s="148" t="str">
        <f t="shared" si="262"/>
        <v>Basketball in JCC Gym North (COL1-VEN3)</v>
      </c>
      <c r="BJ390" s="148" t="str">
        <f t="shared" si="263"/>
        <v>Ch E Male Basketball-- CHILD EM - COL 1 vs. CHILD EM - VEN 3</v>
      </c>
      <c r="BK390" s="148" t="str">
        <f t="shared" si="264"/>
        <v>Basketball</v>
      </c>
      <c r="BL390" s="148" t="str">
        <f t="shared" si="265"/>
        <v>CHILD EM - COL 1</v>
      </c>
      <c r="BM390" s="148" t="str">
        <f t="shared" si="266"/>
        <v>CHILD EM - VEN 3</v>
      </c>
      <c r="BN390" s="148" t="str">
        <f t="shared" si="267"/>
        <v>Round - 1</v>
      </c>
      <c r="BP390" s="148" t="str">
        <f t="shared" si="268"/>
        <v>no t, f, or sf</v>
      </c>
      <c r="BQ390" s="148" t="str">
        <f t="shared" si="269"/>
        <v/>
      </c>
    </row>
    <row r="391" spans="1:69" ht="15" customHeight="1" x14ac:dyDescent="0.2">
      <c r="A391" s="376">
        <v>389</v>
      </c>
      <c r="B391" s="444" t="s">
        <v>63</v>
      </c>
      <c r="C391" s="315" t="s">
        <v>518</v>
      </c>
      <c r="D391" s="378">
        <v>1</v>
      </c>
      <c r="E391" s="378">
        <v>1</v>
      </c>
      <c r="F391" s="315" t="s">
        <v>770</v>
      </c>
      <c r="G391" s="316">
        <v>43063</v>
      </c>
      <c r="H391" s="454">
        <v>0.33333333333333331</v>
      </c>
      <c r="I391" s="325" t="s">
        <v>770</v>
      </c>
      <c r="J391" s="315" t="s">
        <v>707</v>
      </c>
      <c r="K391" s="315">
        <v>51</v>
      </c>
      <c r="L391" s="444" t="s">
        <v>717</v>
      </c>
      <c r="M391" s="444">
        <v>51</v>
      </c>
      <c r="N391" s="444" t="s">
        <v>624</v>
      </c>
      <c r="O391" s="153" t="str">
        <f>IF(L391&lt;&gt;"",IFERROR(VLOOKUP(B391&amp;L391,Pools!$A$2:$D$130,3,FALSE),""),"")</f>
        <v/>
      </c>
      <c r="P391" s="388">
        <v>36</v>
      </c>
      <c r="Q391" s="388">
        <v>23</v>
      </c>
      <c r="R391" s="306" t="str">
        <f t="shared" si="225"/>
        <v>36-23</v>
      </c>
      <c r="S391" s="153"/>
      <c r="T391" s="148" t="str">
        <f t="shared" si="226"/>
        <v>Completed</v>
      </c>
      <c r="U391" s="153"/>
      <c r="V391" s="153"/>
      <c r="W391" s="387">
        <f t="shared" si="227"/>
        <v>13</v>
      </c>
      <c r="X391" s="387">
        <f t="shared" si="228"/>
        <v>-13</v>
      </c>
      <c r="Y391" s="301">
        <f t="shared" si="229"/>
        <v>2</v>
      </c>
      <c r="Z391" s="301">
        <f t="shared" si="230"/>
        <v>0</v>
      </c>
      <c r="AA391" s="323" t="str">
        <f>CONCATENATE("                x[team1,team2,sport,'",IF(OR(I391="x",I391=""),VLOOKUP('Schedule from TM'!J391,Tables!$P$3:$Q$33,2,FALSE),'Schedule from TM'!I391),",",J391,"','",IF(OR(F391="x",F391=""),VLOOKUP('Schedule from TM'!G391,Tables!$U$3:$V$14,2,FALSE),'Schedule from TM'!F391),",",TEXT(G391,"mm/dd/yyyy"),"','",TEXT(H391,"h:mm:ss AM/PM"),"'].ub=0.0      #",B391)</f>
        <v xml:space="preserve">                x[team1,team2,sport,'21,Hillel - Gym Basketball','11,11/24/2017','8:00:00 AM'].ub=0.0      #Ch E Male Basketball</v>
      </c>
      <c r="AB391" s="301" t="str">
        <f t="shared" si="231"/>
        <v>,,Ch E Male Basketball,,1,CHILD EM - MEX 1</v>
      </c>
      <c r="AC391" s="153" t="str">
        <f t="shared" si="232"/>
        <v>Ch E Male BasketballCHILD EM - MEX 1</v>
      </c>
      <c r="AD391" s="301" t="str">
        <f t="shared" si="233"/>
        <v>,,Ch E Male Basketball,,1,CHILD EM - VEN 1</v>
      </c>
      <c r="AE391" s="153" t="str">
        <f t="shared" si="234"/>
        <v>Ch E Male BasketballCHILD EM - VEN 1</v>
      </c>
      <c r="AF391" s="383">
        <f t="shared" si="235"/>
        <v>1</v>
      </c>
      <c r="AG391" s="383">
        <f t="shared" si="236"/>
        <v>0</v>
      </c>
      <c r="AH391" s="383">
        <f t="shared" si="237"/>
        <v>0</v>
      </c>
      <c r="AI391" s="383">
        <f t="shared" si="238"/>
        <v>0</v>
      </c>
      <c r="AJ391" s="383">
        <f t="shared" si="239"/>
        <v>1</v>
      </c>
      <c r="AK391" s="383">
        <f t="shared" si="240"/>
        <v>0</v>
      </c>
      <c r="AM391" s="148" t="str">
        <f t="shared" si="241"/>
        <v>Schedulled</v>
      </c>
      <c r="AN391" s="148" t="str">
        <f t="shared" si="242"/>
        <v/>
      </c>
      <c r="AO391" s="156">
        <f t="shared" si="243"/>
        <v>43063.333333333336</v>
      </c>
      <c r="AP391" s="148" t="str">
        <f t="shared" si="244"/>
        <v>11/24/2017 08:00-&gt;Hillel - Gym Basketball</v>
      </c>
      <c r="AQ391" s="374">
        <f t="shared" si="245"/>
        <v>1</v>
      </c>
      <c r="AR391" s="148" t="str">
        <f t="shared" si="246"/>
        <v>MEX1</v>
      </c>
      <c r="AS391" s="148" t="str">
        <f t="shared" si="247"/>
        <v>VEN1</v>
      </c>
      <c r="AT391" s="157" t="str">
        <f t="shared" si="248"/>
        <v>MEX1-VEN1</v>
      </c>
      <c r="AU391" s="157" t="str">
        <f t="shared" si="249"/>
        <v xml:space="preserve">MEX1-VEN1 </v>
      </c>
      <c r="AV391" s="157" t="str">
        <f t="shared" si="250"/>
        <v>CHILDREN E MALE</v>
      </c>
      <c r="AW391" s="157" t="str">
        <f t="shared" si="251"/>
        <v>Basketball</v>
      </c>
      <c r="AX391" s="376">
        <f t="shared" si="252"/>
        <v>389</v>
      </c>
      <c r="AY391" s="148" t="str">
        <f t="shared" si="253"/>
        <v>CHILD EM - MEX 1-&gt;CHILD EM - VEN 1</v>
      </c>
      <c r="AZ391" s="148" t="str">
        <f t="shared" si="254"/>
        <v>11/24/2017 08:00-&gt;CHILD EM - MEX 1</v>
      </c>
      <c r="BA391" s="148" t="str">
        <f t="shared" si="255"/>
        <v>11/24/2017 08:00-&gt;CHILD EM - VEN 1</v>
      </c>
      <c r="BB391" s="374">
        <f t="shared" si="256"/>
        <v>1</v>
      </c>
      <c r="BC391" s="374">
        <f t="shared" si="257"/>
        <v>1</v>
      </c>
      <c r="BD391" s="148" t="str">
        <f t="shared" si="258"/>
        <v>no conflict</v>
      </c>
      <c r="BF391" s="148" t="str">
        <f t="shared" si="259"/>
        <v>11/24/2017 08:00-&gt;CHILD EM - MEX 1</v>
      </c>
      <c r="BG391" s="148" t="str">
        <f t="shared" si="260"/>
        <v>11/24/2017 08:00-&gt;CHILD EM - VEN 1</v>
      </c>
      <c r="BH391" s="148" t="str">
        <f t="shared" si="261"/>
        <v>11/24/2017 08:00-&gt;Hillel - Gym Basketball</v>
      </c>
      <c r="BI391" s="148" t="str">
        <f t="shared" si="262"/>
        <v>Basketball in Hillel - Gym Basketball (MEX1-VEN1)</v>
      </c>
      <c r="BJ391" s="148" t="str">
        <f t="shared" si="263"/>
        <v>Ch E Male Basketball-- CHILD EM - MEX 1 vs. CHILD EM - VEN 1</v>
      </c>
      <c r="BK391" s="148" t="str">
        <f t="shared" si="264"/>
        <v>Basketball</v>
      </c>
      <c r="BL391" s="148" t="str">
        <f t="shared" si="265"/>
        <v>CHILD EM - MEX 1</v>
      </c>
      <c r="BM391" s="148" t="str">
        <f t="shared" si="266"/>
        <v>CHILD EM - VEN 1</v>
      </c>
      <c r="BN391" s="148" t="str">
        <f t="shared" si="267"/>
        <v>Round - 1</v>
      </c>
      <c r="BP391" s="148" t="str">
        <f t="shared" si="268"/>
        <v>no t, f, or sf</v>
      </c>
      <c r="BQ391" s="148" t="str">
        <f t="shared" si="269"/>
        <v/>
      </c>
    </row>
    <row r="392" spans="1:69" ht="15" customHeight="1" x14ac:dyDescent="0.2">
      <c r="A392" s="376">
        <v>390</v>
      </c>
      <c r="B392" s="441" t="s">
        <v>63</v>
      </c>
      <c r="C392" s="441" t="s">
        <v>518</v>
      </c>
      <c r="D392" s="450">
        <v>1</v>
      </c>
      <c r="E392" s="450">
        <v>1</v>
      </c>
      <c r="F392" s="315" t="s">
        <v>770</v>
      </c>
      <c r="G392" s="320">
        <v>43063</v>
      </c>
      <c r="H392" s="418">
        <v>0.4375</v>
      </c>
      <c r="I392" s="325" t="s">
        <v>770</v>
      </c>
      <c r="J392" s="441" t="s">
        <v>702</v>
      </c>
      <c r="K392" s="441">
        <v>51</v>
      </c>
      <c r="L392" s="441" t="s">
        <v>625</v>
      </c>
      <c r="M392" s="441">
        <v>51</v>
      </c>
      <c r="N392" s="441" t="s">
        <v>622</v>
      </c>
      <c r="O392" s="153" t="str">
        <f>IF(L392&lt;&gt;"",IFERROR(VLOOKUP(B392&amp;L392,Pools!$A$2:$D$130,3,FALSE),""),"")</f>
        <v/>
      </c>
      <c r="P392" s="388">
        <v>15</v>
      </c>
      <c r="Q392" s="388">
        <v>19</v>
      </c>
      <c r="R392" s="306" t="str">
        <f t="shared" si="225"/>
        <v>15-19</v>
      </c>
      <c r="S392" s="153"/>
      <c r="T392" s="148" t="str">
        <f t="shared" si="226"/>
        <v>Completed</v>
      </c>
      <c r="U392" s="153"/>
      <c r="V392" s="153"/>
      <c r="W392" s="387">
        <f t="shared" si="227"/>
        <v>-4</v>
      </c>
      <c r="X392" s="387">
        <f t="shared" si="228"/>
        <v>4</v>
      </c>
      <c r="Y392" s="301">
        <f t="shared" si="229"/>
        <v>0</v>
      </c>
      <c r="Z392" s="301">
        <f t="shared" si="230"/>
        <v>2</v>
      </c>
      <c r="AA392" s="323" t="str">
        <f>CONCATENATE("                x[team1,team2,sport,'",IF(OR(I392="x",I392=""),VLOOKUP('Schedule from TM'!J392,Tables!$P$3:$Q$33,2,FALSE),'Schedule from TM'!I392),",",J392,"','",IF(OR(F392="x",F392=""),VLOOKUP('Schedule from TM'!G392,Tables!$U$3:$V$14,2,FALSE),'Schedule from TM'!F392),",",TEXT(G392,"mm/dd/yyyy"),"','",TEXT(H392,"h:mm:ss AM/PM"),"'].ub=0.0      #",B392)</f>
        <v xml:space="preserve">                x[team1,team2,sport,'22,Hillel - Basketball Out','11,11/24/2017','10:30:00 AM'].ub=0.0      #Ch E Male Basketball</v>
      </c>
      <c r="AB392" s="301" t="str">
        <f t="shared" si="231"/>
        <v>,,Ch E Male Basketball,,1,CHILD EM - VEN 2</v>
      </c>
      <c r="AC392" s="153" t="str">
        <f t="shared" si="232"/>
        <v>Ch E Male BasketballCHILD EM - VEN 2</v>
      </c>
      <c r="AD392" s="301" t="str">
        <f t="shared" si="233"/>
        <v>,,Ch E Male Basketball,,1,CHILD EM - USA 2</v>
      </c>
      <c r="AE392" s="153" t="str">
        <f t="shared" si="234"/>
        <v>Ch E Male BasketballCHILD EM - USA 2</v>
      </c>
      <c r="AF392" s="383">
        <f t="shared" si="235"/>
        <v>0</v>
      </c>
      <c r="AG392" s="383">
        <f t="shared" si="236"/>
        <v>1</v>
      </c>
      <c r="AH392" s="383">
        <f t="shared" si="237"/>
        <v>0</v>
      </c>
      <c r="AI392" s="383">
        <f t="shared" si="238"/>
        <v>1</v>
      </c>
      <c r="AJ392" s="383">
        <f t="shared" si="239"/>
        <v>0</v>
      </c>
      <c r="AK392" s="383">
        <f t="shared" si="240"/>
        <v>0</v>
      </c>
      <c r="AM392" s="148" t="str">
        <f t="shared" si="241"/>
        <v>Schedulled</v>
      </c>
      <c r="AN392" s="148" t="str">
        <f t="shared" si="242"/>
        <v/>
      </c>
      <c r="AO392" s="156">
        <f t="shared" si="243"/>
        <v>43063.4375</v>
      </c>
      <c r="AP392" s="148" t="str">
        <f t="shared" si="244"/>
        <v>11/24/2017 10:30-&gt;Hillel - Basketball Out</v>
      </c>
      <c r="AQ392" s="374">
        <f t="shared" si="245"/>
        <v>1</v>
      </c>
      <c r="AR392" s="148" t="str">
        <f t="shared" si="246"/>
        <v>VEN2</v>
      </c>
      <c r="AS392" s="148" t="str">
        <f t="shared" si="247"/>
        <v>USA2</v>
      </c>
      <c r="AT392" s="157" t="str">
        <f t="shared" si="248"/>
        <v>VEN2-USA2</v>
      </c>
      <c r="AU392" s="157" t="str">
        <f t="shared" si="249"/>
        <v xml:space="preserve">VEN2-USA2 </v>
      </c>
      <c r="AV392" s="157" t="str">
        <f t="shared" si="250"/>
        <v>CHILDREN E MALE</v>
      </c>
      <c r="AW392" s="157" t="str">
        <f t="shared" si="251"/>
        <v>Basketball</v>
      </c>
      <c r="AX392" s="376">
        <f t="shared" si="252"/>
        <v>390</v>
      </c>
      <c r="AY392" s="148" t="str">
        <f t="shared" si="253"/>
        <v>CHILD EM - VEN 2-&gt;CHILD EM - USA 2</v>
      </c>
      <c r="AZ392" s="148" t="str">
        <f t="shared" si="254"/>
        <v>11/24/2017 10:30-&gt;CHILD EM - VEN 2</v>
      </c>
      <c r="BA392" s="148" t="str">
        <f t="shared" si="255"/>
        <v>11/24/2017 10:30-&gt;CHILD EM - USA 2</v>
      </c>
      <c r="BB392" s="374">
        <f t="shared" si="256"/>
        <v>1</v>
      </c>
      <c r="BC392" s="374">
        <f t="shared" si="257"/>
        <v>1</v>
      </c>
      <c r="BD392" s="148" t="str">
        <f t="shared" si="258"/>
        <v>no conflict</v>
      </c>
      <c r="BF392" s="148" t="str">
        <f t="shared" si="259"/>
        <v>11/24/2017 10:30-&gt;CHILD EM - VEN 2</v>
      </c>
      <c r="BG392" s="148" t="str">
        <f t="shared" si="260"/>
        <v>11/24/2017 10:30-&gt;CHILD EM - USA 2</v>
      </c>
      <c r="BH392" s="148" t="str">
        <f t="shared" si="261"/>
        <v>11/24/2017 10:30-&gt;Hillel - Basketball Out</v>
      </c>
      <c r="BI392" s="148" t="str">
        <f t="shared" si="262"/>
        <v>Basketball in Hillel - Basketball Out (VEN2-USA2)</v>
      </c>
      <c r="BJ392" s="148" t="str">
        <f t="shared" si="263"/>
        <v>Ch E Male Basketball-- CHILD EM - VEN 2 vs. CHILD EM - USA 2</v>
      </c>
      <c r="BK392" s="148" t="str">
        <f t="shared" si="264"/>
        <v>Basketball</v>
      </c>
      <c r="BL392" s="148" t="str">
        <f t="shared" si="265"/>
        <v>CHILD EM - VEN 2</v>
      </c>
      <c r="BM392" s="148" t="str">
        <f t="shared" si="266"/>
        <v>CHILD EM - USA 2</v>
      </c>
      <c r="BN392" s="148" t="str">
        <f t="shared" si="267"/>
        <v>Round - 1</v>
      </c>
      <c r="BP392" s="148" t="str">
        <f t="shared" si="268"/>
        <v>no t, f, or sf</v>
      </c>
      <c r="BQ392" s="148" t="str">
        <f t="shared" si="269"/>
        <v/>
      </c>
    </row>
    <row r="393" spans="1:69" ht="15" customHeight="1" x14ac:dyDescent="0.2">
      <c r="A393" s="376">
        <v>391</v>
      </c>
      <c r="B393" s="441" t="s">
        <v>63</v>
      </c>
      <c r="C393" s="441" t="s">
        <v>518</v>
      </c>
      <c r="D393" s="450">
        <v>1</v>
      </c>
      <c r="E393" s="450">
        <v>1</v>
      </c>
      <c r="F393" s="315" t="s">
        <v>770</v>
      </c>
      <c r="G393" s="320">
        <v>43063</v>
      </c>
      <c r="H393" s="454">
        <v>0.47222222222222227</v>
      </c>
      <c r="I393" s="325" t="s">
        <v>770</v>
      </c>
      <c r="J393" s="441" t="s">
        <v>702</v>
      </c>
      <c r="K393" s="441">
        <v>51</v>
      </c>
      <c r="L393" s="441" t="s">
        <v>616</v>
      </c>
      <c r="M393" s="441">
        <v>51</v>
      </c>
      <c r="N393" s="441" t="s">
        <v>618</v>
      </c>
      <c r="O393" s="153" t="str">
        <f>IF(L393&lt;&gt;"",IFERROR(VLOOKUP(B393&amp;L393,Pools!$A$2:$D$130,3,FALSE),""),"")</f>
        <v/>
      </c>
      <c r="P393" s="388">
        <v>17</v>
      </c>
      <c r="Q393" s="388">
        <v>39</v>
      </c>
      <c r="R393" s="306" t="str">
        <f t="shared" si="225"/>
        <v>17-39</v>
      </c>
      <c r="S393" s="153"/>
      <c r="T393" s="148" t="str">
        <f t="shared" si="226"/>
        <v>Completed</v>
      </c>
      <c r="U393" s="153"/>
      <c r="V393" s="153"/>
      <c r="W393" s="387">
        <f t="shared" si="227"/>
        <v>-15</v>
      </c>
      <c r="X393" s="387">
        <f t="shared" si="228"/>
        <v>15</v>
      </c>
      <c r="Y393" s="301">
        <f t="shared" si="229"/>
        <v>0</v>
      </c>
      <c r="Z393" s="301">
        <f t="shared" si="230"/>
        <v>2</v>
      </c>
      <c r="AA393" s="323" t="str">
        <f>CONCATENATE("                x[team1,team2,sport,'",IF(OR(I393="x",I393=""),VLOOKUP('Schedule from TM'!J393,Tables!$P$3:$Q$33,2,FALSE),'Schedule from TM'!I393),",",J393,"','",IF(OR(F393="x",F393=""),VLOOKUP('Schedule from TM'!G393,Tables!$U$3:$V$14,2,FALSE),'Schedule from TM'!F393),",",TEXT(G393,"mm/dd/yyyy"),"','",TEXT(H393,"h:mm:ss AM/PM"),"'].ub=0.0      #",B393)</f>
        <v xml:space="preserve">                x[team1,team2,sport,'22,Hillel - Basketball Out','11,11/24/2017','11:20:00 AM'].ub=0.0      #Ch E Male Basketball</v>
      </c>
      <c r="AB393" s="301" t="str">
        <f t="shared" si="231"/>
        <v>,,Ch E Male Basketball,,1,CHILD EM - ARG 1</v>
      </c>
      <c r="AC393" s="153" t="str">
        <f t="shared" si="232"/>
        <v>Ch E Male BasketballCHILD EM - ARG 1</v>
      </c>
      <c r="AD393" s="301" t="str">
        <f t="shared" si="233"/>
        <v>,,Ch E Male Basketball,,1,CHILD EM - COL 1</v>
      </c>
      <c r="AE393" s="153" t="str">
        <f t="shared" si="234"/>
        <v>Ch E Male BasketballCHILD EM - COL 1</v>
      </c>
      <c r="AF393" s="383">
        <f t="shared" si="235"/>
        <v>0</v>
      </c>
      <c r="AG393" s="383">
        <f t="shared" si="236"/>
        <v>1</v>
      </c>
      <c r="AH393" s="383">
        <f t="shared" si="237"/>
        <v>0</v>
      </c>
      <c r="AI393" s="383">
        <f t="shared" si="238"/>
        <v>1</v>
      </c>
      <c r="AJ393" s="383">
        <f t="shared" si="239"/>
        <v>0</v>
      </c>
      <c r="AK393" s="383">
        <f t="shared" si="240"/>
        <v>0</v>
      </c>
      <c r="AM393" s="148" t="str">
        <f t="shared" si="241"/>
        <v>Schedulled</v>
      </c>
      <c r="AN393" s="148" t="str">
        <f t="shared" si="242"/>
        <v/>
      </c>
      <c r="AO393" s="156">
        <f t="shared" si="243"/>
        <v>43063.472222222219</v>
      </c>
      <c r="AP393" s="148" t="str">
        <f t="shared" si="244"/>
        <v>11/24/2017 11:20-&gt;Hillel - Basketball Out</v>
      </c>
      <c r="AQ393" s="374">
        <f t="shared" si="245"/>
        <v>1</v>
      </c>
      <c r="AR393" s="148" t="str">
        <f t="shared" si="246"/>
        <v>ARG1</v>
      </c>
      <c r="AS393" s="148" t="str">
        <f t="shared" si="247"/>
        <v>COL1</v>
      </c>
      <c r="AT393" s="157" t="str">
        <f t="shared" si="248"/>
        <v>ARG1-COL1</v>
      </c>
      <c r="AU393" s="157" t="str">
        <f t="shared" si="249"/>
        <v xml:space="preserve">ARG1-COL1 </v>
      </c>
      <c r="AV393" s="157" t="str">
        <f t="shared" si="250"/>
        <v>CHILDREN E MALE</v>
      </c>
      <c r="AW393" s="157" t="str">
        <f t="shared" si="251"/>
        <v>Basketball</v>
      </c>
      <c r="AX393" s="376">
        <f t="shared" si="252"/>
        <v>391</v>
      </c>
      <c r="AY393" s="148" t="str">
        <f t="shared" si="253"/>
        <v>CHILD EM - ARG 1-&gt;CHILD EM - COL 1</v>
      </c>
      <c r="AZ393" s="148" t="str">
        <f t="shared" si="254"/>
        <v>11/24/2017 11:20-&gt;CHILD EM - ARG 1</v>
      </c>
      <c r="BA393" s="148" t="str">
        <f t="shared" si="255"/>
        <v>11/24/2017 11:20-&gt;CHILD EM - COL 1</v>
      </c>
      <c r="BB393" s="374">
        <f t="shared" si="256"/>
        <v>1</v>
      </c>
      <c r="BC393" s="374">
        <f t="shared" si="257"/>
        <v>1</v>
      </c>
      <c r="BD393" s="148" t="str">
        <f t="shared" si="258"/>
        <v>no conflict</v>
      </c>
      <c r="BF393" s="148" t="str">
        <f t="shared" si="259"/>
        <v>11/24/2017 11:20-&gt;CHILD EM - ARG 1</v>
      </c>
      <c r="BG393" s="148" t="str">
        <f t="shared" si="260"/>
        <v>11/24/2017 11:20-&gt;CHILD EM - COL 1</v>
      </c>
      <c r="BH393" s="148" t="str">
        <f t="shared" si="261"/>
        <v>11/24/2017 11:20-&gt;Hillel - Basketball Out</v>
      </c>
      <c r="BI393" s="148" t="str">
        <f t="shared" si="262"/>
        <v>Basketball in Hillel - Basketball Out (ARG1-COL1)</v>
      </c>
      <c r="BJ393" s="148" t="str">
        <f t="shared" si="263"/>
        <v>Ch E Male Basketball-- CHILD EM - ARG 1 vs. CHILD EM - COL 1</v>
      </c>
      <c r="BK393" s="148" t="str">
        <f t="shared" si="264"/>
        <v>Basketball</v>
      </c>
      <c r="BL393" s="148" t="str">
        <f t="shared" si="265"/>
        <v>CHILD EM - ARG 1</v>
      </c>
      <c r="BM393" s="148" t="str">
        <f t="shared" si="266"/>
        <v>CHILD EM - COL 1</v>
      </c>
      <c r="BN393" s="148" t="str">
        <f t="shared" si="267"/>
        <v>Round - 1</v>
      </c>
      <c r="BP393" s="148" t="str">
        <f t="shared" si="268"/>
        <v>no t, f, or sf</v>
      </c>
      <c r="BQ393" s="148" t="str">
        <f t="shared" si="269"/>
        <v/>
      </c>
    </row>
    <row r="394" spans="1:69" ht="15" customHeight="1" x14ac:dyDescent="0.2">
      <c r="A394" s="376">
        <v>392</v>
      </c>
      <c r="B394" s="444" t="s">
        <v>63</v>
      </c>
      <c r="C394" s="315" t="s">
        <v>518</v>
      </c>
      <c r="D394" s="378">
        <v>1</v>
      </c>
      <c r="E394" s="378">
        <v>1</v>
      </c>
      <c r="F394" s="315" t="s">
        <v>770</v>
      </c>
      <c r="G394" s="316">
        <v>43063</v>
      </c>
      <c r="H394" s="454">
        <v>0.61111111111111105</v>
      </c>
      <c r="I394" s="325" t="s">
        <v>770</v>
      </c>
      <c r="J394" s="315" t="s">
        <v>707</v>
      </c>
      <c r="K394" s="315">
        <v>51</v>
      </c>
      <c r="L394" s="444" t="s">
        <v>621</v>
      </c>
      <c r="M394" s="444">
        <v>51</v>
      </c>
      <c r="N394" s="444" t="s">
        <v>620</v>
      </c>
      <c r="O394" s="153" t="str">
        <f>IF(L394&lt;&gt;"",IFERROR(VLOOKUP(B394&amp;L394,Pools!$A$2:$D$130,3,FALSE),""),"")</f>
        <v/>
      </c>
      <c r="P394" s="388">
        <v>11</v>
      </c>
      <c r="Q394" s="388">
        <v>40</v>
      </c>
      <c r="R394" s="306" t="str">
        <f t="shared" si="225"/>
        <v>11-40</v>
      </c>
      <c r="S394" s="153"/>
      <c r="T394" s="148" t="str">
        <f t="shared" si="226"/>
        <v>Completed</v>
      </c>
      <c r="U394" s="153"/>
      <c r="V394" s="153"/>
      <c r="W394" s="387">
        <f t="shared" si="227"/>
        <v>-15</v>
      </c>
      <c r="X394" s="387">
        <f t="shared" si="228"/>
        <v>15</v>
      </c>
      <c r="Y394" s="301">
        <f t="shared" si="229"/>
        <v>0</v>
      </c>
      <c r="Z394" s="301">
        <f t="shared" si="230"/>
        <v>2</v>
      </c>
      <c r="AA394" s="323" t="str">
        <f>CONCATENATE("                x[team1,team2,sport,'",IF(OR(I394="x",I394=""),VLOOKUP('Schedule from TM'!J394,Tables!$P$3:$Q$33,2,FALSE),'Schedule from TM'!I394),",",J394,"','",IF(OR(F394="x",F394=""),VLOOKUP('Schedule from TM'!G394,Tables!$U$3:$V$14,2,FALSE),'Schedule from TM'!F394),",",TEXT(G394,"mm/dd/yyyy"),"','",TEXT(H394,"h:mm:ss AM/PM"),"'].ub=0.0      #",B394)</f>
        <v xml:space="preserve">                x[team1,team2,sport,'21,Hillel - Gym Basketball','11,11/24/2017','2:40:00 PM'].ub=0.0      #Ch E Male Basketball</v>
      </c>
      <c r="AB394" s="301" t="str">
        <f t="shared" si="231"/>
        <v>,,Ch E Male Basketball,,1,CHILD EM - USA 1</v>
      </c>
      <c r="AC394" s="153" t="str">
        <f t="shared" si="232"/>
        <v>Ch E Male BasketballCHILD EM - USA 1</v>
      </c>
      <c r="AD394" s="301" t="str">
        <f t="shared" si="233"/>
        <v>,,Ch E Male Basketball,,1,CHILD EM - PER</v>
      </c>
      <c r="AE394" s="153" t="str">
        <f t="shared" si="234"/>
        <v>Ch E Male BasketballCHILD EM - PER</v>
      </c>
      <c r="AF394" s="383">
        <f t="shared" si="235"/>
        <v>0</v>
      </c>
      <c r="AG394" s="383">
        <f t="shared" si="236"/>
        <v>1</v>
      </c>
      <c r="AH394" s="383">
        <f t="shared" si="237"/>
        <v>0</v>
      </c>
      <c r="AI394" s="383">
        <f t="shared" si="238"/>
        <v>1</v>
      </c>
      <c r="AJ394" s="383">
        <f t="shared" si="239"/>
        <v>0</v>
      </c>
      <c r="AK394" s="383">
        <f t="shared" si="240"/>
        <v>0</v>
      </c>
      <c r="AM394" s="148" t="str">
        <f t="shared" si="241"/>
        <v>Schedulled</v>
      </c>
      <c r="AN394" s="148" t="str">
        <f t="shared" si="242"/>
        <v/>
      </c>
      <c r="AO394" s="156">
        <f t="shared" si="243"/>
        <v>43063.611111111109</v>
      </c>
      <c r="AP394" s="148" t="str">
        <f t="shared" si="244"/>
        <v>11/24/2017 14:40-&gt;Hillel - Gym Basketball</v>
      </c>
      <c r="AQ394" s="374">
        <f t="shared" si="245"/>
        <v>1</v>
      </c>
      <c r="AR394" s="148" t="str">
        <f t="shared" si="246"/>
        <v>USA1</v>
      </c>
      <c r="AS394" s="148" t="str">
        <f t="shared" si="247"/>
        <v>PER</v>
      </c>
      <c r="AT394" s="157" t="str">
        <f t="shared" si="248"/>
        <v>USA1-PER</v>
      </c>
      <c r="AU394" s="157" t="str">
        <f t="shared" si="249"/>
        <v xml:space="preserve">USA1-PER </v>
      </c>
      <c r="AV394" s="157" t="str">
        <f t="shared" si="250"/>
        <v>CHILDREN E MALE</v>
      </c>
      <c r="AW394" s="157" t="str">
        <f t="shared" si="251"/>
        <v>Basketball</v>
      </c>
      <c r="AX394" s="376">
        <f t="shared" si="252"/>
        <v>392</v>
      </c>
      <c r="AY394" s="148" t="str">
        <f t="shared" si="253"/>
        <v>CHILD EM - USA 1-&gt;CHILD EM - PER</v>
      </c>
      <c r="AZ394" s="148" t="str">
        <f t="shared" si="254"/>
        <v>11/24/2017 14:40-&gt;CHILD EM - USA 1</v>
      </c>
      <c r="BA394" s="148" t="str">
        <f t="shared" si="255"/>
        <v>11/24/2017 14:40-&gt;CHILD EM - PER</v>
      </c>
      <c r="BB394" s="374">
        <f t="shared" si="256"/>
        <v>1</v>
      </c>
      <c r="BC394" s="374">
        <f t="shared" si="257"/>
        <v>1</v>
      </c>
      <c r="BD394" s="148" t="str">
        <f t="shared" si="258"/>
        <v>no conflict</v>
      </c>
      <c r="BF394" s="148" t="str">
        <f t="shared" si="259"/>
        <v>11/24/2017 14:40-&gt;CHILD EM - USA 1</v>
      </c>
      <c r="BG394" s="148" t="str">
        <f t="shared" si="260"/>
        <v>11/24/2017 14:40-&gt;CHILD EM - PER</v>
      </c>
      <c r="BH394" s="148" t="str">
        <f t="shared" si="261"/>
        <v>11/24/2017 14:40-&gt;Hillel - Gym Basketball</v>
      </c>
      <c r="BI394" s="148" t="str">
        <f t="shared" si="262"/>
        <v>Basketball in Hillel - Gym Basketball (USA1-PER)</v>
      </c>
      <c r="BJ394" s="148" t="str">
        <f t="shared" si="263"/>
        <v>Ch E Male Basketball-- CHILD EM - USA 1 vs. CHILD EM - PER</v>
      </c>
      <c r="BK394" s="148" t="str">
        <f t="shared" si="264"/>
        <v>Basketball</v>
      </c>
      <c r="BL394" s="148" t="str">
        <f t="shared" si="265"/>
        <v>CHILD EM - USA 1</v>
      </c>
      <c r="BM394" s="148" t="str">
        <f t="shared" si="266"/>
        <v>CHILD EM - PER</v>
      </c>
      <c r="BN394" s="148" t="str">
        <f t="shared" si="267"/>
        <v>Round - 1</v>
      </c>
      <c r="BP394" s="148" t="str">
        <f t="shared" si="268"/>
        <v>no t, f, or sf</v>
      </c>
      <c r="BQ394" s="148" t="str">
        <f t="shared" si="269"/>
        <v/>
      </c>
    </row>
    <row r="395" spans="1:69" ht="15" customHeight="1" x14ac:dyDescent="0.2">
      <c r="A395" s="376">
        <v>393</v>
      </c>
      <c r="B395" s="441" t="s">
        <v>63</v>
      </c>
      <c r="C395" s="441" t="s">
        <v>518</v>
      </c>
      <c r="D395" s="450">
        <v>1</v>
      </c>
      <c r="E395" s="450">
        <v>1</v>
      </c>
      <c r="F395" s="315" t="s">
        <v>770</v>
      </c>
      <c r="G395" s="320">
        <v>43063</v>
      </c>
      <c r="H395" s="454">
        <v>0.64583333333333337</v>
      </c>
      <c r="I395" s="325" t="s">
        <v>770</v>
      </c>
      <c r="J395" s="441" t="s">
        <v>702</v>
      </c>
      <c r="K395" s="441">
        <v>51</v>
      </c>
      <c r="L395" s="441" t="s">
        <v>625</v>
      </c>
      <c r="M395" s="441">
        <v>51</v>
      </c>
      <c r="N395" s="441" t="s">
        <v>620</v>
      </c>
      <c r="O395" s="153" t="str">
        <f>IF(L395&lt;&gt;"",IFERROR(VLOOKUP(B395&amp;L395,Pools!$A$2:$D$130,3,FALSE),""),"")</f>
        <v/>
      </c>
      <c r="P395" s="388">
        <v>0</v>
      </c>
      <c r="Q395" s="388">
        <v>15</v>
      </c>
      <c r="R395" s="306" t="str">
        <f t="shared" ref="R395:R458" si="270">P395&amp;"-"&amp;Q395</f>
        <v>0-15</v>
      </c>
      <c r="S395" s="153"/>
      <c r="T395" s="148" t="str">
        <f t="shared" ref="T395:T458" si="271">IF(AND(P395&lt;&gt;"",Q395&lt;&gt;""),"Completed","Pending")</f>
        <v>Completed</v>
      </c>
      <c r="U395" s="153"/>
      <c r="V395" s="153"/>
      <c r="W395" s="387">
        <f t="shared" ref="W395:W458" si="272">IF(AW395="Basketball",(IF(P395-Q395&gt;15,15,IF(P395-Q395&lt;-15,-15,(P395-Q395)))),IF(AW395="Soccer",(IF(P395-Q395&gt;3,3,IF(P395-Q395&lt;-3,-3,(P395-Q395)))),IF(AW395="Kickball",(IF(P395-Q395&gt;5,5,IF(P395-Q395&lt;-5,-5,(P395-Q395)))),IF(AW395="Flag Football",(IF(P395-Q395&gt;21,21,IF(P395-Q395&lt;-21,-21,(P395-Q395)))),P395-Q395))))</f>
        <v>-15</v>
      </c>
      <c r="X395" s="387">
        <f t="shared" ref="X395:X458" si="273">IF(AW395="Basketball",(IF(Q395-P395&gt;15,15,IF(Q395-P395&lt;-15,-15,(Q395-P395)))),IF(AW395="Soccer",(IF(Q395-P395&gt;3,3,IF(Q395-P395&lt;-3,-3,(Q395-P395)))),IF(AW395="Kickball",(IF(Q395-P395&gt;5,5,IF(Q395-P395&lt;-5,-5,(Q395-P395)))),IF(AW395="Flag Football",(IF(Q395-P395&gt;21,21,IF(Q395-P395&lt;-21,-21,(Q395-P395)))),Q395-P395))))</f>
        <v>15</v>
      </c>
      <c r="Y395" s="301">
        <f t="shared" ref="Y395:Y458" si="274">IF(T395="Completed",(IF(P395&gt;Q395,2,IF(P395=Q395,1,IF(P395&lt;Q395,0)))),"X")</f>
        <v>0</v>
      </c>
      <c r="Z395" s="301">
        <f t="shared" ref="Z395:Z458" si="275">IF(T395="Completed",(IF(Q395&gt;P395,2,IF(Q395=P395,1,IF(Q395&lt;P395,0)))),"X")</f>
        <v>2</v>
      </c>
      <c r="AA395" s="323" t="str">
        <f>CONCATENATE("                x[team1,team2,sport,'",IF(OR(I395="x",I395=""),VLOOKUP('Schedule from TM'!J395,Tables!$P$3:$Q$33,2,FALSE),'Schedule from TM'!I395),",",J395,"','",IF(OR(F395="x",F395=""),VLOOKUP('Schedule from TM'!G395,Tables!$U$3:$V$14,2,FALSE),'Schedule from TM'!F395),",",TEXT(G395,"mm/dd/yyyy"),"','",TEXT(H395,"h:mm:ss AM/PM"),"'].ub=0.0      #",B395)</f>
        <v xml:space="preserve">                x[team1,team2,sport,'22,Hillel - Basketball Out','11,11/24/2017','3:30:00 PM'].ub=0.0      #Ch E Male Basketball</v>
      </c>
      <c r="AB395" s="301" t="str">
        <f t="shared" ref="AB395:AB458" si="276">",,"&amp;B395&amp;","&amp;O395&amp;",1,"&amp;L395</f>
        <v>,,Ch E Male Basketball,,1,CHILD EM - VEN 2</v>
      </c>
      <c r="AC395" s="153" t="str">
        <f t="shared" ref="AC395:AC458" si="277">B395&amp;O395&amp;L395</f>
        <v>Ch E Male BasketballCHILD EM - VEN 2</v>
      </c>
      <c r="AD395" s="301" t="str">
        <f t="shared" ref="AD395:AD458" si="278">",,"&amp;B395&amp;","&amp;O395&amp;",1,"&amp;N395</f>
        <v>,,Ch E Male Basketball,,1,CHILD EM - PER</v>
      </c>
      <c r="AE395" s="153" t="str">
        <f t="shared" ref="AE395:AE458" si="279">B395&amp;O395&amp;N395</f>
        <v>Ch E Male BasketballCHILD EM - PER</v>
      </c>
      <c r="AF395" s="383">
        <f t="shared" ref="AF395:AF458" si="280">IF(Y395=2,1,0)</f>
        <v>0</v>
      </c>
      <c r="AG395" s="383">
        <f t="shared" ref="AG395:AG458" si="281">IF(Y395=0,1,0)</f>
        <v>1</v>
      </c>
      <c r="AH395" s="383">
        <f t="shared" ref="AH395:AH458" si="282">IF(Y395=1,1,0)</f>
        <v>0</v>
      </c>
      <c r="AI395" s="383">
        <f t="shared" ref="AI395:AI458" si="283">IF(Z395=2,1,0)</f>
        <v>1</v>
      </c>
      <c r="AJ395" s="383">
        <f t="shared" ref="AJ395:AJ458" si="284">IF(Z395=0,1,0)</f>
        <v>0</v>
      </c>
      <c r="AK395" s="383">
        <f t="shared" ref="AK395:AK458" si="285">IF(Z395=1,1,0)</f>
        <v>0</v>
      </c>
      <c r="AM395" s="148" t="str">
        <f t="shared" ref="AM395:AM458" si="286">IF(G395&amp;H395&amp;J395&lt;&gt;"","Schedulled","Not Schedulled")</f>
        <v>Schedulled</v>
      </c>
      <c r="AN395" s="148" t="str">
        <f t="shared" ref="AN395:AN458" si="287">IF(AND(AM395="schedulled",L395&amp;N395=""),"Schedulled no team","")</f>
        <v/>
      </c>
      <c r="AO395" s="156">
        <f t="shared" ref="AO395:AO458" si="288">G395+H395</f>
        <v>43063.645833333336</v>
      </c>
      <c r="AP395" s="148" t="str">
        <f t="shared" ref="AP395:AP458" si="289">TEXT(AO395,"MM/DD/YYYY HH:MM")&amp;"-&gt;"&amp;J395</f>
        <v>11/24/2017 15:30-&gt;Hillel - Basketball Out</v>
      </c>
      <c r="AQ395" s="374">
        <f t="shared" ref="AQ395:AQ458" si="290">IF(AM395="not schedulled", 0,COUNTIF($AP$11:$AP$1051,AP395))</f>
        <v>1</v>
      </c>
      <c r="AR395" s="148" t="str">
        <f t="shared" ref="AR395:AR458" si="291">IFERROR(VLOOKUP(L395,teams_table,3,FALSE),"")</f>
        <v>VEN2</v>
      </c>
      <c r="AS395" s="148" t="str">
        <f t="shared" ref="AS395:AS458" si="292">IFERROR(VLOOKUP(N395,teams_table,3,FALSE),"")</f>
        <v>PER</v>
      </c>
      <c r="AT395" s="157" t="str">
        <f t="shared" ref="AT395:AT458" si="293">IF(AR395&amp;AS395&lt;&gt;"",AR395&amp;"-"&amp;AS395,"")</f>
        <v>VEN2-PER</v>
      </c>
      <c r="AU395" s="157" t="str">
        <f t="shared" ref="AU395:AU458" si="294">IF(AT395="","",AT395&amp;" ")&amp;IF(C395="final",AW395&amp;" Final","")&amp;IF(C395="semi-final",AW395&amp;" Semi-Final","")&amp;IF(C395="Tournament",AW395&amp;" Tournament","")</f>
        <v xml:space="preserve">VEN2-PER </v>
      </c>
      <c r="AV395" s="157" t="str">
        <f t="shared" ref="AV395:AV458" si="295">IFERROR(VLOOKUP(B395,events_table,2,FALSE),"")</f>
        <v>CHILDREN E MALE</v>
      </c>
      <c r="AW395" s="157" t="str">
        <f t="shared" ref="AW395:AW458" si="296">IFERROR(VLOOKUP(B395,events_table,3,0),"")</f>
        <v>Basketball</v>
      </c>
      <c r="AX395" s="376">
        <f t="shared" ref="AX395:AX458" si="297">A395</f>
        <v>393</v>
      </c>
      <c r="AY395" s="148" t="str">
        <f t="shared" ref="AY395:AY458" si="298">L395&amp;"-&gt;"&amp;N395</f>
        <v>CHILD EM - VEN 2-&gt;CHILD EM - PER</v>
      </c>
      <c r="AZ395" s="148" t="str">
        <f t="shared" ref="AZ395:AZ458" si="299">TEXT(AO395,"MM/DD/YYYY HH:MM")&amp;"-&gt;"&amp;L395</f>
        <v>11/24/2017 15:30-&gt;CHILD EM - VEN 2</v>
      </c>
      <c r="BA395" s="148" t="str">
        <f t="shared" ref="BA395:BA458" si="300">TEXT(AO395,"MM/DD/YYYY HH:MM")&amp;"-&gt;"&amp;N395</f>
        <v>11/24/2017 15:30-&gt;CHILD EM - PER</v>
      </c>
      <c r="BB395" s="374">
        <f t="shared" ref="BB395:BB458" si="301">IF(OR(AM395="not schedulled",AN395="schedulled no team"),0,COUNTIF($AZ$11:$BA$1051,AZ395))</f>
        <v>1</v>
      </c>
      <c r="BC395" s="374">
        <f t="shared" ref="BC395:BC458" si="302">IF(OR(AM395="not schedulled",AN395="schedulled no team"),0,COUNTIF($AZ$11:$BA$1051,BA395))</f>
        <v>1</v>
      </c>
      <c r="BD395" s="148" t="str">
        <f t="shared" ref="BD395:BD458" si="303">IF(OR(BB395&gt;1,BC395&gt;1),"conflict","no conflict")</f>
        <v>no conflict</v>
      </c>
      <c r="BF395" s="148" t="str">
        <f t="shared" ref="BF395:BF458" si="304">TEXT(AO395,"MM/DD/YYYY HH:MM")&amp;"-&gt;"&amp;L395</f>
        <v>11/24/2017 15:30-&gt;CHILD EM - VEN 2</v>
      </c>
      <c r="BG395" s="148" t="str">
        <f t="shared" ref="BG395:BG458" si="305">TEXT(AO395,"MM/DD/YYYY HH:MM")&amp;"-&gt;"&amp;N395</f>
        <v>11/24/2017 15:30-&gt;CHILD EM - PER</v>
      </c>
      <c r="BH395" s="148" t="str">
        <f t="shared" ref="BH395:BH458" si="306">TEXT(AO395,"MM/DD/YYYY HH:MM")&amp;"-&gt;"&amp;J395</f>
        <v>11/24/2017 15:30-&gt;Hillel - Basketball Out</v>
      </c>
      <c r="BI395" s="148" t="str">
        <f t="shared" ref="BI395:BI458" si="307">AW395&amp; " in "&amp;J395 &amp;" ("&amp;AT395&amp;")"</f>
        <v>Basketball in Hillel - Basketball Out (VEN2-PER)</v>
      </c>
      <c r="BJ395" s="148" t="str">
        <f t="shared" ref="BJ395:BJ458" si="308">B395 &amp;"-- " &amp;L395&amp;" vs. "&amp;N395</f>
        <v>Ch E Male Basketball-- CHILD EM - VEN 2 vs. CHILD EM - PER</v>
      </c>
      <c r="BK395" s="148" t="str">
        <f t="shared" ref="BK395:BK458" si="309">AW395</f>
        <v>Basketball</v>
      </c>
      <c r="BL395" s="148" t="str">
        <f t="shared" ref="BL395:BL458" si="310">L395</f>
        <v>CHILD EM - VEN 2</v>
      </c>
      <c r="BM395" s="148" t="str">
        <f t="shared" ref="BM395:BM458" si="311">N395</f>
        <v>CHILD EM - PER</v>
      </c>
      <c r="BN395" s="148" t="str">
        <f t="shared" ref="BN395:BN458" si="312">C395</f>
        <v>Round - 1</v>
      </c>
      <c r="BP395" s="148" t="str">
        <f t="shared" ref="BP395:BP458" si="313">IF(OR(NOT(ISERR(SEARCH("final",C395))),NOT(ISERR(SEARCH("tournament",C395)))),TEXT(AO395,"MM/DD/YYYY HH:MM")&amp;"-&gt;"&amp;AV395,IF(B395="","no game","no t, f, or sf"))</f>
        <v>no t, f, or sf</v>
      </c>
      <c r="BQ395" s="148" t="str">
        <f t="shared" ref="BQ395:BQ458" si="314">IF(BP395&lt;&gt;"no t, f, or sf",AW395&amp;" "&amp;C395&amp;" in "&amp;J395,"")</f>
        <v/>
      </c>
    </row>
    <row r="396" spans="1:69" ht="15" customHeight="1" x14ac:dyDescent="0.2">
      <c r="A396" s="376">
        <v>394</v>
      </c>
      <c r="B396" s="441" t="s">
        <v>65</v>
      </c>
      <c r="C396" s="441" t="s">
        <v>518</v>
      </c>
      <c r="D396" s="450">
        <v>1</v>
      </c>
      <c r="E396" s="450">
        <v>1</v>
      </c>
      <c r="F396" s="315" t="s">
        <v>770</v>
      </c>
      <c r="G396" s="320">
        <v>43058</v>
      </c>
      <c r="H396" s="317">
        <v>0.57638888888888895</v>
      </c>
      <c r="I396" s="325" t="s">
        <v>770</v>
      </c>
      <c r="J396" s="441" t="s">
        <v>705</v>
      </c>
      <c r="K396" s="441">
        <v>51</v>
      </c>
      <c r="L396" s="441" t="s">
        <v>618</v>
      </c>
      <c r="M396" s="441">
        <v>51</v>
      </c>
      <c r="N396" s="441" t="s">
        <v>624</v>
      </c>
      <c r="O396" s="153" t="str">
        <f>IF(L396&lt;&gt;"",IFERROR(VLOOKUP(B396&amp;L396,Pools!$A$2:$D$130,3,FALSE),""),"")</f>
        <v/>
      </c>
      <c r="P396" s="388">
        <v>23</v>
      </c>
      <c r="Q396" s="388">
        <v>4</v>
      </c>
      <c r="R396" s="306" t="str">
        <f t="shared" si="270"/>
        <v>23-4</v>
      </c>
      <c r="S396" s="153"/>
      <c r="T396" s="148" t="str">
        <f t="shared" si="271"/>
        <v>Completed</v>
      </c>
      <c r="U396" s="153"/>
      <c r="V396" s="153"/>
      <c r="W396" s="387">
        <f t="shared" si="272"/>
        <v>19</v>
      </c>
      <c r="X396" s="387">
        <f t="shared" si="273"/>
        <v>-19</v>
      </c>
      <c r="Y396" s="301">
        <f t="shared" si="274"/>
        <v>2</v>
      </c>
      <c r="Z396" s="301">
        <f t="shared" si="275"/>
        <v>0</v>
      </c>
      <c r="AA396" s="323" t="str">
        <f>CONCATENATE("                x[team1,team2,sport,'",IF(OR(I396="x",I396=""),VLOOKUP('Schedule from TM'!J396,Tables!$P$3:$Q$33,2,FALSE),'Schedule from TM'!I396),",",J396,"','",IF(OR(F396="x",F396=""),VLOOKUP('Schedule from TM'!G396,Tables!$U$3:$V$14,2,FALSE),'Schedule from TM'!F396),",",TEXT(G396,"mm/dd/yyyy"),"','",TEXT(H396,"h:mm:ss AM/PM"),"'].ub=0.0      #",B396)</f>
        <v xml:space="preserve">                x[team1,team2,sport,'21,Hillel - Field 3','11,11/19/2017','1:50:00 PM'].ub=0.0      #Ch E Male Flag Football</v>
      </c>
      <c r="AB396" s="301" t="str">
        <f t="shared" si="276"/>
        <v>,,Ch E Male Flag Football,,1,CHILD EM - COL 1</v>
      </c>
      <c r="AC396" s="153" t="str">
        <f t="shared" si="277"/>
        <v>Ch E Male Flag FootballCHILD EM - COL 1</v>
      </c>
      <c r="AD396" s="301" t="str">
        <f t="shared" si="278"/>
        <v>,,Ch E Male Flag Football,,1,CHILD EM - VEN 1</v>
      </c>
      <c r="AE396" s="153" t="str">
        <f t="shared" si="279"/>
        <v>Ch E Male Flag FootballCHILD EM - VEN 1</v>
      </c>
      <c r="AF396" s="383">
        <f t="shared" si="280"/>
        <v>1</v>
      </c>
      <c r="AG396" s="383">
        <f t="shared" si="281"/>
        <v>0</v>
      </c>
      <c r="AH396" s="383">
        <f t="shared" si="282"/>
        <v>0</v>
      </c>
      <c r="AI396" s="383">
        <f t="shared" si="283"/>
        <v>0</v>
      </c>
      <c r="AJ396" s="383">
        <f t="shared" si="284"/>
        <v>1</v>
      </c>
      <c r="AK396" s="383">
        <f t="shared" si="285"/>
        <v>0</v>
      </c>
      <c r="AM396" s="148" t="str">
        <f t="shared" si="286"/>
        <v>Schedulled</v>
      </c>
      <c r="AN396" s="148" t="str">
        <f t="shared" si="287"/>
        <v/>
      </c>
      <c r="AO396" s="156">
        <f t="shared" si="288"/>
        <v>43058.576388888891</v>
      </c>
      <c r="AP396" s="148" t="str">
        <f t="shared" si="289"/>
        <v>11/19/2017 13:50-&gt;Hillel - Field 3</v>
      </c>
      <c r="AQ396" s="374">
        <f t="shared" si="290"/>
        <v>1</v>
      </c>
      <c r="AR396" s="148" t="str">
        <f t="shared" si="291"/>
        <v>COL1</v>
      </c>
      <c r="AS396" s="148" t="str">
        <f t="shared" si="292"/>
        <v>VEN1</v>
      </c>
      <c r="AT396" s="157" t="str">
        <f t="shared" si="293"/>
        <v>COL1-VEN1</v>
      </c>
      <c r="AU396" s="157" t="str">
        <f t="shared" si="294"/>
        <v xml:space="preserve">COL1-VEN1 </v>
      </c>
      <c r="AV396" s="157" t="str">
        <f t="shared" si="295"/>
        <v>CHILDREN E MALE</v>
      </c>
      <c r="AW396" s="157" t="str">
        <f t="shared" si="296"/>
        <v>Flag Football</v>
      </c>
      <c r="AX396" s="376">
        <f t="shared" si="297"/>
        <v>394</v>
      </c>
      <c r="AY396" s="148" t="str">
        <f t="shared" si="298"/>
        <v>CHILD EM - COL 1-&gt;CHILD EM - VEN 1</v>
      </c>
      <c r="AZ396" s="148" t="str">
        <f t="shared" si="299"/>
        <v>11/19/2017 13:50-&gt;CHILD EM - COL 1</v>
      </c>
      <c r="BA396" s="148" t="str">
        <f t="shared" si="300"/>
        <v>11/19/2017 13:50-&gt;CHILD EM - VEN 1</v>
      </c>
      <c r="BB396" s="374">
        <f t="shared" si="301"/>
        <v>1</v>
      </c>
      <c r="BC396" s="374">
        <f t="shared" si="302"/>
        <v>1</v>
      </c>
      <c r="BD396" s="148" t="str">
        <f t="shared" si="303"/>
        <v>no conflict</v>
      </c>
      <c r="BF396" s="148" t="str">
        <f t="shared" si="304"/>
        <v>11/19/2017 13:50-&gt;CHILD EM - COL 1</v>
      </c>
      <c r="BG396" s="148" t="str">
        <f t="shared" si="305"/>
        <v>11/19/2017 13:50-&gt;CHILD EM - VEN 1</v>
      </c>
      <c r="BH396" s="148" t="str">
        <f t="shared" si="306"/>
        <v>11/19/2017 13:50-&gt;Hillel - Field 3</v>
      </c>
      <c r="BI396" s="148" t="str">
        <f t="shared" si="307"/>
        <v>Flag Football in Hillel - Field 3 (COL1-VEN1)</v>
      </c>
      <c r="BJ396" s="148" t="str">
        <f t="shared" si="308"/>
        <v>Ch E Male Flag Football-- CHILD EM - COL 1 vs. CHILD EM - VEN 1</v>
      </c>
      <c r="BK396" s="148" t="str">
        <f t="shared" si="309"/>
        <v>Flag Football</v>
      </c>
      <c r="BL396" s="148" t="str">
        <f t="shared" si="310"/>
        <v>CHILD EM - COL 1</v>
      </c>
      <c r="BM396" s="148" t="str">
        <f t="shared" si="311"/>
        <v>CHILD EM - VEN 1</v>
      </c>
      <c r="BN396" s="148" t="str">
        <f t="shared" si="312"/>
        <v>Round - 1</v>
      </c>
      <c r="BP396" s="148" t="str">
        <f t="shared" si="313"/>
        <v>no t, f, or sf</v>
      </c>
      <c r="BQ396" s="148" t="str">
        <f t="shared" si="314"/>
        <v/>
      </c>
    </row>
    <row r="397" spans="1:69" ht="15" customHeight="1" x14ac:dyDescent="0.2">
      <c r="A397" s="376">
        <v>395</v>
      </c>
      <c r="B397" s="444" t="s">
        <v>65</v>
      </c>
      <c r="C397" s="315" t="s">
        <v>518</v>
      </c>
      <c r="D397" s="378">
        <v>1</v>
      </c>
      <c r="E397" s="378">
        <v>1</v>
      </c>
      <c r="F397" s="315" t="s">
        <v>770</v>
      </c>
      <c r="G397" s="316">
        <v>43058</v>
      </c>
      <c r="H397" s="317">
        <v>0.68055555555555547</v>
      </c>
      <c r="I397" s="325" t="s">
        <v>770</v>
      </c>
      <c r="J397" s="444" t="s">
        <v>706</v>
      </c>
      <c r="K397" s="315">
        <v>51</v>
      </c>
      <c r="L397" s="444" t="s">
        <v>622</v>
      </c>
      <c r="M397" s="444">
        <v>51</v>
      </c>
      <c r="N397" s="444" t="s">
        <v>620</v>
      </c>
      <c r="O397" s="153" t="str">
        <f>IF(L397&lt;&gt;"",IFERROR(VLOOKUP(B397&amp;L397,Pools!$A$2:$D$130,3,FALSE),""),"")</f>
        <v/>
      </c>
      <c r="P397" s="388">
        <v>6</v>
      </c>
      <c r="Q397" s="388">
        <v>39</v>
      </c>
      <c r="R397" s="306" t="str">
        <f t="shared" si="270"/>
        <v>6-39</v>
      </c>
      <c r="S397" s="153"/>
      <c r="T397" s="148" t="str">
        <f t="shared" si="271"/>
        <v>Completed</v>
      </c>
      <c r="U397" s="153"/>
      <c r="V397" s="153"/>
      <c r="W397" s="387">
        <f t="shared" si="272"/>
        <v>-21</v>
      </c>
      <c r="X397" s="387">
        <f t="shared" si="273"/>
        <v>21</v>
      </c>
      <c r="Y397" s="301">
        <f t="shared" si="274"/>
        <v>0</v>
      </c>
      <c r="Z397" s="301">
        <f t="shared" si="275"/>
        <v>2</v>
      </c>
      <c r="AA397" s="323" t="str">
        <f>CONCATENATE("                x[team1,team2,sport,'",IF(OR(I397="x",I397=""),VLOOKUP('Schedule from TM'!J397,Tables!$P$3:$Q$33,2,FALSE),'Schedule from TM'!I397),",",J397,"','",IF(OR(F397="x",F397=""),VLOOKUP('Schedule from TM'!G397,Tables!$U$3:$V$14,2,FALSE),'Schedule from TM'!F397),",",TEXT(G397,"mm/dd/yyyy"),"','",TEXT(H397,"h:mm:ss AM/PM"),"'].ub=0.0      #",B397)</f>
        <v xml:space="preserve">                x[team1,team2,sport,'21,Hillel - Field 4','11,11/19/2017','4:20:00 PM'].ub=0.0      #Ch E Male Flag Football</v>
      </c>
      <c r="AB397" s="301" t="str">
        <f t="shared" si="276"/>
        <v>,,Ch E Male Flag Football,,1,CHILD EM - USA 2</v>
      </c>
      <c r="AC397" s="153" t="str">
        <f t="shared" si="277"/>
        <v>Ch E Male Flag FootballCHILD EM - USA 2</v>
      </c>
      <c r="AD397" s="301" t="str">
        <f t="shared" si="278"/>
        <v>,,Ch E Male Flag Football,,1,CHILD EM - PER</v>
      </c>
      <c r="AE397" s="153" t="str">
        <f t="shared" si="279"/>
        <v>Ch E Male Flag FootballCHILD EM - PER</v>
      </c>
      <c r="AF397" s="383">
        <f t="shared" si="280"/>
        <v>0</v>
      </c>
      <c r="AG397" s="383">
        <f t="shared" si="281"/>
        <v>1</v>
      </c>
      <c r="AH397" s="383">
        <f t="shared" si="282"/>
        <v>0</v>
      </c>
      <c r="AI397" s="383">
        <f t="shared" si="283"/>
        <v>1</v>
      </c>
      <c r="AJ397" s="383">
        <f t="shared" si="284"/>
        <v>0</v>
      </c>
      <c r="AK397" s="383">
        <f t="shared" si="285"/>
        <v>0</v>
      </c>
      <c r="AM397" s="148" t="str">
        <f t="shared" si="286"/>
        <v>Schedulled</v>
      </c>
      <c r="AN397" s="148" t="str">
        <f t="shared" si="287"/>
        <v/>
      </c>
      <c r="AO397" s="156">
        <f t="shared" si="288"/>
        <v>43058.680555555555</v>
      </c>
      <c r="AP397" s="148" t="str">
        <f t="shared" si="289"/>
        <v>11/19/2017 16:20-&gt;Hillel - Field 4</v>
      </c>
      <c r="AQ397" s="374">
        <f t="shared" si="290"/>
        <v>1</v>
      </c>
      <c r="AR397" s="148" t="str">
        <f t="shared" si="291"/>
        <v>USA2</v>
      </c>
      <c r="AS397" s="148" t="str">
        <f t="shared" si="292"/>
        <v>PER</v>
      </c>
      <c r="AT397" s="157" t="str">
        <f t="shared" si="293"/>
        <v>USA2-PER</v>
      </c>
      <c r="AU397" s="157" t="str">
        <f t="shared" si="294"/>
        <v xml:space="preserve">USA2-PER </v>
      </c>
      <c r="AV397" s="157" t="str">
        <f t="shared" si="295"/>
        <v>CHILDREN E MALE</v>
      </c>
      <c r="AW397" s="157" t="str">
        <f t="shared" si="296"/>
        <v>Flag Football</v>
      </c>
      <c r="AX397" s="376">
        <f t="shared" si="297"/>
        <v>395</v>
      </c>
      <c r="AY397" s="148" t="str">
        <f t="shared" si="298"/>
        <v>CHILD EM - USA 2-&gt;CHILD EM - PER</v>
      </c>
      <c r="AZ397" s="148" t="str">
        <f t="shared" si="299"/>
        <v>11/19/2017 16:20-&gt;CHILD EM - USA 2</v>
      </c>
      <c r="BA397" s="148" t="str">
        <f t="shared" si="300"/>
        <v>11/19/2017 16:20-&gt;CHILD EM - PER</v>
      </c>
      <c r="BB397" s="374">
        <f t="shared" si="301"/>
        <v>1</v>
      </c>
      <c r="BC397" s="374">
        <f t="shared" si="302"/>
        <v>1</v>
      </c>
      <c r="BD397" s="148" t="str">
        <f t="shared" si="303"/>
        <v>no conflict</v>
      </c>
      <c r="BF397" s="148" t="str">
        <f t="shared" si="304"/>
        <v>11/19/2017 16:20-&gt;CHILD EM - USA 2</v>
      </c>
      <c r="BG397" s="148" t="str">
        <f t="shared" si="305"/>
        <v>11/19/2017 16:20-&gt;CHILD EM - PER</v>
      </c>
      <c r="BH397" s="148" t="str">
        <f t="shared" si="306"/>
        <v>11/19/2017 16:20-&gt;Hillel - Field 4</v>
      </c>
      <c r="BI397" s="148" t="str">
        <f t="shared" si="307"/>
        <v>Flag Football in Hillel - Field 4 (USA2-PER)</v>
      </c>
      <c r="BJ397" s="148" t="str">
        <f t="shared" si="308"/>
        <v>Ch E Male Flag Football-- CHILD EM - USA 2 vs. CHILD EM - PER</v>
      </c>
      <c r="BK397" s="148" t="str">
        <f t="shared" si="309"/>
        <v>Flag Football</v>
      </c>
      <c r="BL397" s="148" t="str">
        <f t="shared" si="310"/>
        <v>CHILD EM - USA 2</v>
      </c>
      <c r="BM397" s="148" t="str">
        <f t="shared" si="311"/>
        <v>CHILD EM - PER</v>
      </c>
      <c r="BN397" s="148" t="str">
        <f t="shared" si="312"/>
        <v>Round - 1</v>
      </c>
      <c r="BP397" s="148" t="str">
        <f t="shared" si="313"/>
        <v>no t, f, or sf</v>
      </c>
      <c r="BQ397" s="148" t="str">
        <f t="shared" si="314"/>
        <v/>
      </c>
    </row>
    <row r="398" spans="1:69" ht="15" customHeight="1" x14ac:dyDescent="0.2">
      <c r="A398" s="376">
        <v>396</v>
      </c>
      <c r="B398" s="319" t="s">
        <v>65</v>
      </c>
      <c r="C398" s="319" t="s">
        <v>518</v>
      </c>
      <c r="D398" s="376">
        <v>1</v>
      </c>
      <c r="E398" s="376">
        <v>1</v>
      </c>
      <c r="F398" s="315" t="s">
        <v>770</v>
      </c>
      <c r="G398" s="320">
        <v>43058</v>
      </c>
      <c r="H398" s="318">
        <v>0.75</v>
      </c>
      <c r="I398" s="325" t="s">
        <v>770</v>
      </c>
      <c r="J398" s="319" t="s">
        <v>704</v>
      </c>
      <c r="K398" s="319">
        <v>51</v>
      </c>
      <c r="L398" s="441" t="s">
        <v>616</v>
      </c>
      <c r="M398" s="441">
        <v>51</v>
      </c>
      <c r="N398" s="441" t="s">
        <v>716</v>
      </c>
      <c r="O398" s="153" t="str">
        <f>IF(L398&lt;&gt;"",IFERROR(VLOOKUP(B398&amp;L398,Pools!$A$2:$D$130,3,FALSE),""),"")</f>
        <v/>
      </c>
      <c r="P398" s="388">
        <v>43</v>
      </c>
      <c r="Q398" s="388">
        <v>7</v>
      </c>
      <c r="R398" s="306" t="str">
        <f t="shared" si="270"/>
        <v>43-7</v>
      </c>
      <c r="S398" s="153"/>
      <c r="T398" s="148" t="str">
        <f t="shared" si="271"/>
        <v>Completed</v>
      </c>
      <c r="U398" s="153"/>
      <c r="V398" s="153"/>
      <c r="W398" s="387">
        <f t="shared" si="272"/>
        <v>21</v>
      </c>
      <c r="X398" s="387">
        <f t="shared" si="273"/>
        <v>-21</v>
      </c>
      <c r="Y398" s="301">
        <f t="shared" si="274"/>
        <v>2</v>
      </c>
      <c r="Z398" s="301">
        <f t="shared" si="275"/>
        <v>0</v>
      </c>
      <c r="AA398" s="323" t="str">
        <f>CONCATENATE("                x[team1,team2,sport,'",IF(OR(I398="x",I398=""),VLOOKUP('Schedule from TM'!J398,Tables!$P$3:$Q$33,2,FALSE),'Schedule from TM'!I398),",",J398,"','",IF(OR(F398="x",F398=""),VLOOKUP('Schedule from TM'!G398,Tables!$U$3:$V$14,2,FALSE),'Schedule from TM'!F398),",",TEXT(G398,"mm/dd/yyyy"),"','",TEXT(H398,"h:mm:ss AM/PM"),"'].ub=0.0      #",B398)</f>
        <v xml:space="preserve">                x[team1,team2,sport,'21,Hillel - Field 2','11,11/19/2017','6:00:00 PM'].ub=0.0      #Ch E Male Flag Football</v>
      </c>
      <c r="AB398" s="301" t="str">
        <f t="shared" si="276"/>
        <v>,,Ch E Male Flag Football,,1,CHILD EM - ARG 1</v>
      </c>
      <c r="AC398" s="153" t="str">
        <f t="shared" si="277"/>
        <v>Ch E Male Flag FootballCHILD EM - ARG 1</v>
      </c>
      <c r="AD398" s="301" t="str">
        <f t="shared" si="278"/>
        <v>,,Ch E Male Flag Football,,1,CHILD EM - VEN 3</v>
      </c>
      <c r="AE398" s="153" t="str">
        <f t="shared" si="279"/>
        <v>Ch E Male Flag FootballCHILD EM - VEN 3</v>
      </c>
      <c r="AF398" s="383">
        <f t="shared" si="280"/>
        <v>1</v>
      </c>
      <c r="AG398" s="383">
        <f t="shared" si="281"/>
        <v>0</v>
      </c>
      <c r="AH398" s="383">
        <f t="shared" si="282"/>
        <v>0</v>
      </c>
      <c r="AI398" s="383">
        <f t="shared" si="283"/>
        <v>0</v>
      </c>
      <c r="AJ398" s="383">
        <f t="shared" si="284"/>
        <v>1</v>
      </c>
      <c r="AK398" s="383">
        <f t="shared" si="285"/>
        <v>0</v>
      </c>
      <c r="AM398" s="148" t="str">
        <f t="shared" si="286"/>
        <v>Schedulled</v>
      </c>
      <c r="AN398" s="148" t="str">
        <f t="shared" si="287"/>
        <v/>
      </c>
      <c r="AO398" s="156">
        <f t="shared" si="288"/>
        <v>43058.75</v>
      </c>
      <c r="AP398" s="148" t="str">
        <f t="shared" si="289"/>
        <v>11/19/2017 18:00-&gt;Hillel - Field 2</v>
      </c>
      <c r="AQ398" s="374">
        <f t="shared" si="290"/>
        <v>1</v>
      </c>
      <c r="AR398" s="148" t="str">
        <f t="shared" si="291"/>
        <v>ARG1</v>
      </c>
      <c r="AS398" s="148" t="str">
        <f t="shared" si="292"/>
        <v>VEN3</v>
      </c>
      <c r="AT398" s="157" t="str">
        <f t="shared" si="293"/>
        <v>ARG1-VEN3</v>
      </c>
      <c r="AU398" s="157" t="str">
        <f t="shared" si="294"/>
        <v xml:space="preserve">ARG1-VEN3 </v>
      </c>
      <c r="AV398" s="157" t="str">
        <f t="shared" si="295"/>
        <v>CHILDREN E MALE</v>
      </c>
      <c r="AW398" s="157" t="str">
        <f t="shared" si="296"/>
        <v>Flag Football</v>
      </c>
      <c r="AX398" s="376">
        <f t="shared" si="297"/>
        <v>396</v>
      </c>
      <c r="AY398" s="148" t="str">
        <f t="shared" si="298"/>
        <v>CHILD EM - ARG 1-&gt;CHILD EM - VEN 3</v>
      </c>
      <c r="AZ398" s="148" t="str">
        <f t="shared" si="299"/>
        <v>11/19/2017 18:00-&gt;CHILD EM - ARG 1</v>
      </c>
      <c r="BA398" s="148" t="str">
        <f t="shared" si="300"/>
        <v>11/19/2017 18:00-&gt;CHILD EM - VEN 3</v>
      </c>
      <c r="BB398" s="374">
        <f t="shared" si="301"/>
        <v>1</v>
      </c>
      <c r="BC398" s="374">
        <f t="shared" si="302"/>
        <v>1</v>
      </c>
      <c r="BD398" s="148" t="str">
        <f t="shared" si="303"/>
        <v>no conflict</v>
      </c>
      <c r="BF398" s="148" t="str">
        <f t="shared" si="304"/>
        <v>11/19/2017 18:00-&gt;CHILD EM - ARG 1</v>
      </c>
      <c r="BG398" s="148" t="str">
        <f t="shared" si="305"/>
        <v>11/19/2017 18:00-&gt;CHILD EM - VEN 3</v>
      </c>
      <c r="BH398" s="148" t="str">
        <f t="shared" si="306"/>
        <v>11/19/2017 18:00-&gt;Hillel - Field 2</v>
      </c>
      <c r="BI398" s="148" t="str">
        <f t="shared" si="307"/>
        <v>Flag Football in Hillel - Field 2 (ARG1-VEN3)</v>
      </c>
      <c r="BJ398" s="148" t="str">
        <f t="shared" si="308"/>
        <v>Ch E Male Flag Football-- CHILD EM - ARG 1 vs. CHILD EM - VEN 3</v>
      </c>
      <c r="BK398" s="148" t="str">
        <f t="shared" si="309"/>
        <v>Flag Football</v>
      </c>
      <c r="BL398" s="148" t="str">
        <f t="shared" si="310"/>
        <v>CHILD EM - ARG 1</v>
      </c>
      <c r="BM398" s="148" t="str">
        <f t="shared" si="311"/>
        <v>CHILD EM - VEN 3</v>
      </c>
      <c r="BN398" s="148" t="str">
        <f t="shared" si="312"/>
        <v>Round - 1</v>
      </c>
      <c r="BP398" s="148" t="str">
        <f t="shared" si="313"/>
        <v>no t, f, or sf</v>
      </c>
      <c r="BQ398" s="148" t="str">
        <f t="shared" si="314"/>
        <v/>
      </c>
    </row>
    <row r="399" spans="1:69" ht="15" customHeight="1" x14ac:dyDescent="0.2">
      <c r="A399" s="376">
        <v>397</v>
      </c>
      <c r="B399" s="441" t="s">
        <v>65</v>
      </c>
      <c r="C399" s="441" t="s">
        <v>518</v>
      </c>
      <c r="D399" s="450">
        <v>1</v>
      </c>
      <c r="E399" s="450">
        <v>1</v>
      </c>
      <c r="F399" s="315" t="s">
        <v>770</v>
      </c>
      <c r="G399" s="320">
        <v>43058</v>
      </c>
      <c r="H399" s="318">
        <v>0.75</v>
      </c>
      <c r="I399" s="325" t="s">
        <v>770</v>
      </c>
      <c r="J399" s="441" t="s">
        <v>703</v>
      </c>
      <c r="K399" s="441">
        <v>51</v>
      </c>
      <c r="L399" s="441" t="s">
        <v>625</v>
      </c>
      <c r="M399" s="441">
        <v>51</v>
      </c>
      <c r="N399" s="441" t="s">
        <v>621</v>
      </c>
      <c r="O399" s="153" t="str">
        <f>IF(L399&lt;&gt;"",IFERROR(VLOOKUP(B399&amp;L399,Pools!$A$2:$D$130,3,FALSE),""),"")</f>
        <v/>
      </c>
      <c r="P399" s="388">
        <v>22</v>
      </c>
      <c r="Q399" s="388">
        <v>19</v>
      </c>
      <c r="R399" s="306" t="str">
        <f t="shared" si="270"/>
        <v>22-19</v>
      </c>
      <c r="S399" s="153"/>
      <c r="T399" s="148" t="str">
        <f t="shared" si="271"/>
        <v>Completed</v>
      </c>
      <c r="U399" s="153"/>
      <c r="V399" s="153"/>
      <c r="W399" s="387">
        <f t="shared" si="272"/>
        <v>3</v>
      </c>
      <c r="X399" s="387">
        <f t="shared" si="273"/>
        <v>-3</v>
      </c>
      <c r="Y399" s="301">
        <f t="shared" si="274"/>
        <v>2</v>
      </c>
      <c r="Z399" s="301">
        <f t="shared" si="275"/>
        <v>0</v>
      </c>
      <c r="AA399" s="323" t="str">
        <f>CONCATENATE("                x[team1,team2,sport,'",IF(OR(I399="x",I399=""),VLOOKUP('Schedule from TM'!J399,Tables!$P$3:$Q$33,2,FALSE),'Schedule from TM'!I399),",",J399,"','",IF(OR(F399="x",F399=""),VLOOKUP('Schedule from TM'!G399,Tables!$U$3:$V$14,2,FALSE),'Schedule from TM'!F399),",",TEXT(G399,"mm/dd/yyyy"),"','",TEXT(H399,"h:mm:ss AM/PM"),"'].ub=0.0      #",B399)</f>
        <v xml:space="preserve">                x[team1,team2,sport,'21,Hillel - Field 1','11,11/19/2017','6:00:00 PM'].ub=0.0      #Ch E Male Flag Football</v>
      </c>
      <c r="AB399" s="301" t="str">
        <f t="shared" si="276"/>
        <v>,,Ch E Male Flag Football,,1,CHILD EM - VEN 2</v>
      </c>
      <c r="AC399" s="153" t="str">
        <f t="shared" si="277"/>
        <v>Ch E Male Flag FootballCHILD EM - VEN 2</v>
      </c>
      <c r="AD399" s="301" t="str">
        <f t="shared" si="278"/>
        <v>,,Ch E Male Flag Football,,1,CHILD EM - USA 1</v>
      </c>
      <c r="AE399" s="153" t="str">
        <f t="shared" si="279"/>
        <v>Ch E Male Flag FootballCHILD EM - USA 1</v>
      </c>
      <c r="AF399" s="383">
        <f t="shared" si="280"/>
        <v>1</v>
      </c>
      <c r="AG399" s="383">
        <f t="shared" si="281"/>
        <v>0</v>
      </c>
      <c r="AH399" s="383">
        <f t="shared" si="282"/>
        <v>0</v>
      </c>
      <c r="AI399" s="383">
        <f t="shared" si="283"/>
        <v>0</v>
      </c>
      <c r="AJ399" s="383">
        <f t="shared" si="284"/>
        <v>1</v>
      </c>
      <c r="AK399" s="383">
        <f t="shared" si="285"/>
        <v>0</v>
      </c>
      <c r="AM399" s="148" t="str">
        <f t="shared" si="286"/>
        <v>Schedulled</v>
      </c>
      <c r="AN399" s="148" t="str">
        <f t="shared" si="287"/>
        <v/>
      </c>
      <c r="AO399" s="156">
        <f t="shared" si="288"/>
        <v>43058.75</v>
      </c>
      <c r="AP399" s="148" t="str">
        <f t="shared" si="289"/>
        <v>11/19/2017 18:00-&gt;Hillel - Field 1</v>
      </c>
      <c r="AQ399" s="374">
        <f t="shared" si="290"/>
        <v>1</v>
      </c>
      <c r="AR399" s="148" t="str">
        <f t="shared" si="291"/>
        <v>VEN2</v>
      </c>
      <c r="AS399" s="148" t="str">
        <f t="shared" si="292"/>
        <v>USA1</v>
      </c>
      <c r="AT399" s="157" t="str">
        <f t="shared" si="293"/>
        <v>VEN2-USA1</v>
      </c>
      <c r="AU399" s="157" t="str">
        <f t="shared" si="294"/>
        <v xml:space="preserve">VEN2-USA1 </v>
      </c>
      <c r="AV399" s="157" t="str">
        <f t="shared" si="295"/>
        <v>CHILDREN E MALE</v>
      </c>
      <c r="AW399" s="157" t="str">
        <f t="shared" si="296"/>
        <v>Flag Football</v>
      </c>
      <c r="AX399" s="376">
        <f t="shared" si="297"/>
        <v>397</v>
      </c>
      <c r="AY399" s="148" t="str">
        <f t="shared" si="298"/>
        <v>CHILD EM - VEN 2-&gt;CHILD EM - USA 1</v>
      </c>
      <c r="AZ399" s="148" t="str">
        <f t="shared" si="299"/>
        <v>11/19/2017 18:00-&gt;CHILD EM - VEN 2</v>
      </c>
      <c r="BA399" s="148" t="str">
        <f t="shared" si="300"/>
        <v>11/19/2017 18:00-&gt;CHILD EM - USA 1</v>
      </c>
      <c r="BB399" s="374">
        <f t="shared" si="301"/>
        <v>1</v>
      </c>
      <c r="BC399" s="374">
        <f t="shared" si="302"/>
        <v>1</v>
      </c>
      <c r="BD399" s="148" t="str">
        <f t="shared" si="303"/>
        <v>no conflict</v>
      </c>
      <c r="BF399" s="148" t="str">
        <f t="shared" si="304"/>
        <v>11/19/2017 18:00-&gt;CHILD EM - VEN 2</v>
      </c>
      <c r="BG399" s="148" t="str">
        <f t="shared" si="305"/>
        <v>11/19/2017 18:00-&gt;CHILD EM - USA 1</v>
      </c>
      <c r="BH399" s="148" t="str">
        <f t="shared" si="306"/>
        <v>11/19/2017 18:00-&gt;Hillel - Field 1</v>
      </c>
      <c r="BI399" s="148" t="str">
        <f t="shared" si="307"/>
        <v>Flag Football in Hillel - Field 1 (VEN2-USA1)</v>
      </c>
      <c r="BJ399" s="148" t="str">
        <f t="shared" si="308"/>
        <v>Ch E Male Flag Football-- CHILD EM - VEN 2 vs. CHILD EM - USA 1</v>
      </c>
      <c r="BK399" s="148" t="str">
        <f t="shared" si="309"/>
        <v>Flag Football</v>
      </c>
      <c r="BL399" s="148" t="str">
        <f t="shared" si="310"/>
        <v>CHILD EM - VEN 2</v>
      </c>
      <c r="BM399" s="148" t="str">
        <f t="shared" si="311"/>
        <v>CHILD EM - USA 1</v>
      </c>
      <c r="BN399" s="148" t="str">
        <f t="shared" si="312"/>
        <v>Round - 1</v>
      </c>
      <c r="BP399" s="148" t="str">
        <f t="shared" si="313"/>
        <v>no t, f, or sf</v>
      </c>
      <c r="BQ399" s="148" t="str">
        <f t="shared" si="314"/>
        <v/>
      </c>
    </row>
    <row r="400" spans="1:69" ht="15" customHeight="1" x14ac:dyDescent="0.2">
      <c r="A400" s="376">
        <v>398</v>
      </c>
      <c r="B400" s="444" t="s">
        <v>65</v>
      </c>
      <c r="C400" s="315" t="s">
        <v>518</v>
      </c>
      <c r="D400" s="378">
        <v>1</v>
      </c>
      <c r="E400" s="378">
        <v>1</v>
      </c>
      <c r="F400" s="315" t="s">
        <v>770</v>
      </c>
      <c r="G400" s="316">
        <v>43058</v>
      </c>
      <c r="H400" s="317">
        <v>0.75</v>
      </c>
      <c r="I400" s="325" t="s">
        <v>770</v>
      </c>
      <c r="J400" s="444" t="s">
        <v>705</v>
      </c>
      <c r="K400" s="315">
        <v>51</v>
      </c>
      <c r="L400" s="444" t="s">
        <v>718</v>
      </c>
      <c r="M400" s="444">
        <v>51</v>
      </c>
      <c r="N400" s="444" t="s">
        <v>622</v>
      </c>
      <c r="O400" s="153" t="str">
        <f>IF(L400&lt;&gt;"",IFERROR(VLOOKUP(B400&amp;L400,Pools!$A$2:$D$130,3,FALSE),""),"")</f>
        <v/>
      </c>
      <c r="P400" s="388">
        <v>26</v>
      </c>
      <c r="Q400" s="388">
        <v>12</v>
      </c>
      <c r="R400" s="306" t="str">
        <f t="shared" si="270"/>
        <v>26-12</v>
      </c>
      <c r="S400" s="153"/>
      <c r="T400" s="148" t="str">
        <f t="shared" si="271"/>
        <v>Completed</v>
      </c>
      <c r="U400" s="153"/>
      <c r="V400" s="153"/>
      <c r="W400" s="387">
        <f t="shared" si="272"/>
        <v>14</v>
      </c>
      <c r="X400" s="387">
        <f t="shared" si="273"/>
        <v>-14</v>
      </c>
      <c r="Y400" s="301">
        <f t="shared" si="274"/>
        <v>2</v>
      </c>
      <c r="Z400" s="301">
        <f t="shared" si="275"/>
        <v>0</v>
      </c>
      <c r="AA400" s="323" t="str">
        <f>CONCATENATE("                x[team1,team2,sport,'",IF(OR(I400="x",I400=""),VLOOKUP('Schedule from TM'!J400,Tables!$P$3:$Q$33,2,FALSE),'Schedule from TM'!I400),",",J400,"','",IF(OR(F400="x",F400=""),VLOOKUP('Schedule from TM'!G400,Tables!$U$3:$V$14,2,FALSE),'Schedule from TM'!F400),",",TEXT(G400,"mm/dd/yyyy"),"','",TEXT(H400,"h:mm:ss AM/PM"),"'].ub=0.0      #",B400)</f>
        <v xml:space="preserve">                x[team1,team2,sport,'21,Hillel - Field 3','11,11/19/2017','6:00:00 PM'].ub=0.0      #Ch E Male Flag Football</v>
      </c>
      <c r="AB400" s="301" t="str">
        <f t="shared" si="276"/>
        <v>,,Ch E Male Flag Football,,1,CHILD EM - MEX 2</v>
      </c>
      <c r="AC400" s="153" t="str">
        <f t="shared" si="277"/>
        <v>Ch E Male Flag FootballCHILD EM - MEX 2</v>
      </c>
      <c r="AD400" s="301" t="str">
        <f t="shared" si="278"/>
        <v>,,Ch E Male Flag Football,,1,CHILD EM - USA 2</v>
      </c>
      <c r="AE400" s="153" t="str">
        <f t="shared" si="279"/>
        <v>Ch E Male Flag FootballCHILD EM - USA 2</v>
      </c>
      <c r="AF400" s="383">
        <f t="shared" si="280"/>
        <v>1</v>
      </c>
      <c r="AG400" s="383">
        <f t="shared" si="281"/>
        <v>0</v>
      </c>
      <c r="AH400" s="383">
        <f t="shared" si="282"/>
        <v>0</v>
      </c>
      <c r="AI400" s="383">
        <f t="shared" si="283"/>
        <v>0</v>
      </c>
      <c r="AJ400" s="383">
        <f t="shared" si="284"/>
        <v>1</v>
      </c>
      <c r="AK400" s="383">
        <f t="shared" si="285"/>
        <v>0</v>
      </c>
      <c r="AM400" s="148" t="str">
        <f t="shared" si="286"/>
        <v>Schedulled</v>
      </c>
      <c r="AN400" s="148" t="str">
        <f t="shared" si="287"/>
        <v/>
      </c>
      <c r="AO400" s="156">
        <f t="shared" si="288"/>
        <v>43058.75</v>
      </c>
      <c r="AP400" s="148" t="str">
        <f t="shared" si="289"/>
        <v>11/19/2017 18:00-&gt;Hillel - Field 3</v>
      </c>
      <c r="AQ400" s="374">
        <f t="shared" si="290"/>
        <v>1</v>
      </c>
      <c r="AR400" s="148" t="str">
        <f t="shared" si="291"/>
        <v>MEX2</v>
      </c>
      <c r="AS400" s="148" t="str">
        <f t="shared" si="292"/>
        <v>USA2</v>
      </c>
      <c r="AT400" s="157" t="str">
        <f t="shared" si="293"/>
        <v>MEX2-USA2</v>
      </c>
      <c r="AU400" s="157" t="str">
        <f t="shared" si="294"/>
        <v xml:space="preserve">MEX2-USA2 </v>
      </c>
      <c r="AV400" s="157" t="str">
        <f t="shared" si="295"/>
        <v>CHILDREN E MALE</v>
      </c>
      <c r="AW400" s="157" t="str">
        <f t="shared" si="296"/>
        <v>Flag Football</v>
      </c>
      <c r="AX400" s="376">
        <f t="shared" si="297"/>
        <v>398</v>
      </c>
      <c r="AY400" s="148" t="str">
        <f t="shared" si="298"/>
        <v>CHILD EM - MEX 2-&gt;CHILD EM - USA 2</v>
      </c>
      <c r="AZ400" s="148" t="str">
        <f t="shared" si="299"/>
        <v>11/19/2017 18:00-&gt;CHILD EM - MEX 2</v>
      </c>
      <c r="BA400" s="148" t="str">
        <f t="shared" si="300"/>
        <v>11/19/2017 18:00-&gt;CHILD EM - USA 2</v>
      </c>
      <c r="BB400" s="374">
        <f t="shared" si="301"/>
        <v>1</v>
      </c>
      <c r="BC400" s="374">
        <f t="shared" si="302"/>
        <v>1</v>
      </c>
      <c r="BD400" s="148" t="str">
        <f t="shared" si="303"/>
        <v>no conflict</v>
      </c>
      <c r="BF400" s="148" t="str">
        <f t="shared" si="304"/>
        <v>11/19/2017 18:00-&gt;CHILD EM - MEX 2</v>
      </c>
      <c r="BG400" s="148" t="str">
        <f t="shared" si="305"/>
        <v>11/19/2017 18:00-&gt;CHILD EM - USA 2</v>
      </c>
      <c r="BH400" s="148" t="str">
        <f t="shared" si="306"/>
        <v>11/19/2017 18:00-&gt;Hillel - Field 3</v>
      </c>
      <c r="BI400" s="148" t="str">
        <f t="shared" si="307"/>
        <v>Flag Football in Hillel - Field 3 (MEX2-USA2)</v>
      </c>
      <c r="BJ400" s="148" t="str">
        <f t="shared" si="308"/>
        <v>Ch E Male Flag Football-- CHILD EM - MEX 2 vs. CHILD EM - USA 2</v>
      </c>
      <c r="BK400" s="148" t="str">
        <f t="shared" si="309"/>
        <v>Flag Football</v>
      </c>
      <c r="BL400" s="148" t="str">
        <f t="shared" si="310"/>
        <v>CHILD EM - MEX 2</v>
      </c>
      <c r="BM400" s="148" t="str">
        <f t="shared" si="311"/>
        <v>CHILD EM - USA 2</v>
      </c>
      <c r="BN400" s="148" t="str">
        <f t="shared" si="312"/>
        <v>Round - 1</v>
      </c>
      <c r="BP400" s="148" t="str">
        <f t="shared" si="313"/>
        <v>no t, f, or sf</v>
      </c>
      <c r="BQ400" s="148" t="str">
        <f t="shared" si="314"/>
        <v/>
      </c>
    </row>
    <row r="401" spans="1:69" ht="15" customHeight="1" x14ac:dyDescent="0.2">
      <c r="A401" s="376">
        <v>399</v>
      </c>
      <c r="B401" s="441" t="s">
        <v>65</v>
      </c>
      <c r="C401" s="441" t="s">
        <v>518</v>
      </c>
      <c r="D401" s="450">
        <v>1</v>
      </c>
      <c r="E401" s="450">
        <v>1</v>
      </c>
      <c r="F401" s="315" t="s">
        <v>770</v>
      </c>
      <c r="G401" s="320">
        <v>43058</v>
      </c>
      <c r="H401" s="318">
        <v>0.81944444444444453</v>
      </c>
      <c r="I401" s="325" t="s">
        <v>770</v>
      </c>
      <c r="J401" s="441" t="s">
        <v>706</v>
      </c>
      <c r="K401" s="441">
        <v>51</v>
      </c>
      <c r="L401" s="441" t="s">
        <v>716</v>
      </c>
      <c r="M401" s="441">
        <v>51</v>
      </c>
      <c r="N401" s="441" t="s">
        <v>621</v>
      </c>
      <c r="O401" s="153" t="str">
        <f>IF(L401&lt;&gt;"",IFERROR(VLOOKUP(B401&amp;L401,Pools!$A$2:$D$130,3,FALSE),""),"")</f>
        <v/>
      </c>
      <c r="P401" s="388">
        <v>0</v>
      </c>
      <c r="Q401" s="388">
        <v>21</v>
      </c>
      <c r="R401" s="306" t="str">
        <f t="shared" si="270"/>
        <v>0-21</v>
      </c>
      <c r="S401" s="153"/>
      <c r="T401" s="148" t="str">
        <f t="shared" si="271"/>
        <v>Completed</v>
      </c>
      <c r="U401" s="153"/>
      <c r="V401" s="153"/>
      <c r="W401" s="387">
        <f t="shared" si="272"/>
        <v>-21</v>
      </c>
      <c r="X401" s="387">
        <f t="shared" si="273"/>
        <v>21</v>
      </c>
      <c r="Y401" s="301">
        <f t="shared" si="274"/>
        <v>0</v>
      </c>
      <c r="Z401" s="301">
        <f t="shared" si="275"/>
        <v>2</v>
      </c>
      <c r="AA401" s="323" t="str">
        <f>CONCATENATE("                x[team1,team2,sport,'",IF(OR(I401="x",I401=""),VLOOKUP('Schedule from TM'!J401,Tables!$P$3:$Q$33,2,FALSE),'Schedule from TM'!I401),",",J401,"','",IF(OR(F401="x",F401=""),VLOOKUP('Schedule from TM'!G401,Tables!$U$3:$V$14,2,FALSE),'Schedule from TM'!F401),",",TEXT(G401,"mm/dd/yyyy"),"','",TEXT(H401,"h:mm:ss AM/PM"),"'].ub=0.0      #",B401)</f>
        <v xml:space="preserve">                x[team1,team2,sport,'21,Hillel - Field 4','11,11/19/2017','7:40:00 PM'].ub=0.0      #Ch E Male Flag Football</v>
      </c>
      <c r="AB401" s="301" t="str">
        <f t="shared" si="276"/>
        <v>,,Ch E Male Flag Football,,1,CHILD EM - VEN 3</v>
      </c>
      <c r="AC401" s="153" t="str">
        <f t="shared" si="277"/>
        <v>Ch E Male Flag FootballCHILD EM - VEN 3</v>
      </c>
      <c r="AD401" s="301" t="str">
        <f t="shared" si="278"/>
        <v>,,Ch E Male Flag Football,,1,CHILD EM - USA 1</v>
      </c>
      <c r="AE401" s="153" t="str">
        <f t="shared" si="279"/>
        <v>Ch E Male Flag FootballCHILD EM - USA 1</v>
      </c>
      <c r="AF401" s="383">
        <f t="shared" si="280"/>
        <v>0</v>
      </c>
      <c r="AG401" s="383">
        <f t="shared" si="281"/>
        <v>1</v>
      </c>
      <c r="AH401" s="383">
        <f t="shared" si="282"/>
        <v>0</v>
      </c>
      <c r="AI401" s="383">
        <f t="shared" si="283"/>
        <v>1</v>
      </c>
      <c r="AJ401" s="383">
        <f t="shared" si="284"/>
        <v>0</v>
      </c>
      <c r="AK401" s="383">
        <f t="shared" si="285"/>
        <v>0</v>
      </c>
      <c r="AM401" s="148" t="str">
        <f t="shared" si="286"/>
        <v>Schedulled</v>
      </c>
      <c r="AN401" s="148" t="str">
        <f t="shared" si="287"/>
        <v/>
      </c>
      <c r="AO401" s="156">
        <f t="shared" si="288"/>
        <v>43058.819444444445</v>
      </c>
      <c r="AP401" s="148" t="str">
        <f t="shared" si="289"/>
        <v>11/19/2017 19:40-&gt;Hillel - Field 4</v>
      </c>
      <c r="AQ401" s="374">
        <f t="shared" si="290"/>
        <v>1</v>
      </c>
      <c r="AR401" s="148" t="str">
        <f t="shared" si="291"/>
        <v>VEN3</v>
      </c>
      <c r="AS401" s="148" t="str">
        <f t="shared" si="292"/>
        <v>USA1</v>
      </c>
      <c r="AT401" s="157" t="str">
        <f t="shared" si="293"/>
        <v>VEN3-USA1</v>
      </c>
      <c r="AU401" s="157" t="str">
        <f t="shared" si="294"/>
        <v xml:space="preserve">VEN3-USA1 </v>
      </c>
      <c r="AV401" s="157" t="str">
        <f t="shared" si="295"/>
        <v>CHILDREN E MALE</v>
      </c>
      <c r="AW401" s="157" t="str">
        <f t="shared" si="296"/>
        <v>Flag Football</v>
      </c>
      <c r="AX401" s="376">
        <f t="shared" si="297"/>
        <v>399</v>
      </c>
      <c r="AY401" s="148" t="str">
        <f t="shared" si="298"/>
        <v>CHILD EM - VEN 3-&gt;CHILD EM - USA 1</v>
      </c>
      <c r="AZ401" s="148" t="str">
        <f t="shared" si="299"/>
        <v>11/19/2017 19:40-&gt;CHILD EM - VEN 3</v>
      </c>
      <c r="BA401" s="148" t="str">
        <f t="shared" si="300"/>
        <v>11/19/2017 19:40-&gt;CHILD EM - USA 1</v>
      </c>
      <c r="BB401" s="374">
        <f t="shared" si="301"/>
        <v>1</v>
      </c>
      <c r="BC401" s="374">
        <f t="shared" si="302"/>
        <v>1</v>
      </c>
      <c r="BD401" s="148" t="str">
        <f t="shared" si="303"/>
        <v>no conflict</v>
      </c>
      <c r="BF401" s="148" t="str">
        <f t="shared" si="304"/>
        <v>11/19/2017 19:40-&gt;CHILD EM - VEN 3</v>
      </c>
      <c r="BG401" s="148" t="str">
        <f t="shared" si="305"/>
        <v>11/19/2017 19:40-&gt;CHILD EM - USA 1</v>
      </c>
      <c r="BH401" s="148" t="str">
        <f t="shared" si="306"/>
        <v>11/19/2017 19:40-&gt;Hillel - Field 4</v>
      </c>
      <c r="BI401" s="148" t="str">
        <f t="shared" si="307"/>
        <v>Flag Football in Hillel - Field 4 (VEN3-USA1)</v>
      </c>
      <c r="BJ401" s="148" t="str">
        <f t="shared" si="308"/>
        <v>Ch E Male Flag Football-- CHILD EM - VEN 3 vs. CHILD EM - USA 1</v>
      </c>
      <c r="BK401" s="148" t="str">
        <f t="shared" si="309"/>
        <v>Flag Football</v>
      </c>
      <c r="BL401" s="148" t="str">
        <f t="shared" si="310"/>
        <v>CHILD EM - VEN 3</v>
      </c>
      <c r="BM401" s="148" t="str">
        <f t="shared" si="311"/>
        <v>CHILD EM - USA 1</v>
      </c>
      <c r="BN401" s="148" t="str">
        <f t="shared" si="312"/>
        <v>Round - 1</v>
      </c>
      <c r="BP401" s="148" t="str">
        <f t="shared" si="313"/>
        <v>no t, f, or sf</v>
      </c>
      <c r="BQ401" s="148" t="str">
        <f t="shared" si="314"/>
        <v/>
      </c>
    </row>
    <row r="402" spans="1:69" ht="16" x14ac:dyDescent="0.2">
      <c r="A402" s="376">
        <v>400</v>
      </c>
      <c r="B402" s="441" t="s">
        <v>65</v>
      </c>
      <c r="C402" s="441" t="s">
        <v>518</v>
      </c>
      <c r="D402" s="450">
        <v>1</v>
      </c>
      <c r="E402" s="450">
        <v>1</v>
      </c>
      <c r="F402" s="315" t="s">
        <v>770</v>
      </c>
      <c r="G402" s="320">
        <v>43059</v>
      </c>
      <c r="H402" s="318">
        <v>0.81944444444444453</v>
      </c>
      <c r="I402" s="325" t="s">
        <v>770</v>
      </c>
      <c r="J402" s="441" t="s">
        <v>706</v>
      </c>
      <c r="K402" s="441">
        <v>51</v>
      </c>
      <c r="L402" s="441" t="s">
        <v>717</v>
      </c>
      <c r="M402" s="441">
        <v>51</v>
      </c>
      <c r="N402" s="441" t="s">
        <v>625</v>
      </c>
      <c r="O402" s="153" t="str">
        <f>IF(L402&lt;&gt;"",IFERROR(VLOOKUP(B402&amp;L402,Pools!$A$2:$D$130,3,FALSE),""),"")</f>
        <v/>
      </c>
      <c r="P402" s="388">
        <v>27</v>
      </c>
      <c r="Q402" s="388">
        <v>8</v>
      </c>
      <c r="R402" s="306" t="str">
        <f t="shared" si="270"/>
        <v>27-8</v>
      </c>
      <c r="S402" s="153"/>
      <c r="T402" s="148" t="str">
        <f t="shared" si="271"/>
        <v>Completed</v>
      </c>
      <c r="U402" s="153"/>
      <c r="V402" s="153"/>
      <c r="W402" s="387">
        <f t="shared" si="272"/>
        <v>19</v>
      </c>
      <c r="X402" s="387">
        <f t="shared" si="273"/>
        <v>-19</v>
      </c>
      <c r="Y402" s="301">
        <f t="shared" si="274"/>
        <v>2</v>
      </c>
      <c r="Z402" s="301">
        <f t="shared" si="275"/>
        <v>0</v>
      </c>
      <c r="AA402" s="323" t="str">
        <f>CONCATENATE("                x[team1,team2,sport,'",IF(OR(I402="x",I402=""),VLOOKUP('Schedule from TM'!J402,Tables!$P$3:$Q$33,2,FALSE),'Schedule from TM'!I402),",",J402,"','",IF(OR(F402="x",F402=""),VLOOKUP('Schedule from TM'!G402,Tables!$U$3:$V$14,2,FALSE),'Schedule from TM'!F402),",",TEXT(G402,"mm/dd/yyyy"),"','",TEXT(H402,"h:mm:ss AM/PM"),"'].ub=0.0      #",B402)</f>
        <v xml:space="preserve">                x[team1,team2,sport,'21,Hillel - Field 4','22,11/20/2017','7:40:00 PM'].ub=0.0      #Ch E Male Flag Football</v>
      </c>
      <c r="AB402" s="301" t="str">
        <f t="shared" si="276"/>
        <v>,,Ch E Male Flag Football,,1,CHILD EM - MEX 1</v>
      </c>
      <c r="AC402" s="153" t="str">
        <f t="shared" si="277"/>
        <v>Ch E Male Flag FootballCHILD EM - MEX 1</v>
      </c>
      <c r="AD402" s="301" t="str">
        <f t="shared" si="278"/>
        <v>,,Ch E Male Flag Football,,1,CHILD EM - VEN 2</v>
      </c>
      <c r="AE402" s="153" t="str">
        <f t="shared" si="279"/>
        <v>Ch E Male Flag FootballCHILD EM - VEN 2</v>
      </c>
      <c r="AF402" s="383">
        <f t="shared" si="280"/>
        <v>1</v>
      </c>
      <c r="AG402" s="383">
        <f t="shared" si="281"/>
        <v>0</v>
      </c>
      <c r="AH402" s="383">
        <f t="shared" si="282"/>
        <v>0</v>
      </c>
      <c r="AI402" s="383">
        <f t="shared" si="283"/>
        <v>0</v>
      </c>
      <c r="AJ402" s="383">
        <f t="shared" si="284"/>
        <v>1</v>
      </c>
      <c r="AK402" s="383">
        <f t="shared" si="285"/>
        <v>0</v>
      </c>
      <c r="AM402" s="148" t="str">
        <f t="shared" si="286"/>
        <v>Schedulled</v>
      </c>
      <c r="AN402" s="148" t="str">
        <f t="shared" si="287"/>
        <v/>
      </c>
      <c r="AO402" s="156">
        <f t="shared" si="288"/>
        <v>43059.819444444445</v>
      </c>
      <c r="AP402" s="148" t="str">
        <f t="shared" si="289"/>
        <v>11/20/2017 19:40-&gt;Hillel - Field 4</v>
      </c>
      <c r="AQ402" s="374">
        <f t="shared" si="290"/>
        <v>1</v>
      </c>
      <c r="AR402" s="148" t="str">
        <f t="shared" si="291"/>
        <v>MEX1</v>
      </c>
      <c r="AS402" s="148" t="str">
        <f t="shared" si="292"/>
        <v>VEN2</v>
      </c>
      <c r="AT402" s="157" t="str">
        <f t="shared" si="293"/>
        <v>MEX1-VEN2</v>
      </c>
      <c r="AU402" s="157" t="str">
        <f t="shared" si="294"/>
        <v xml:space="preserve">MEX1-VEN2 </v>
      </c>
      <c r="AV402" s="157" t="str">
        <f t="shared" si="295"/>
        <v>CHILDREN E MALE</v>
      </c>
      <c r="AW402" s="157" t="str">
        <f t="shared" si="296"/>
        <v>Flag Football</v>
      </c>
      <c r="AX402" s="376">
        <f t="shared" si="297"/>
        <v>400</v>
      </c>
      <c r="AY402" s="148" t="str">
        <f t="shared" si="298"/>
        <v>CHILD EM - MEX 1-&gt;CHILD EM - VEN 2</v>
      </c>
      <c r="AZ402" s="148" t="str">
        <f t="shared" si="299"/>
        <v>11/20/2017 19:40-&gt;CHILD EM - MEX 1</v>
      </c>
      <c r="BA402" s="148" t="str">
        <f t="shared" si="300"/>
        <v>11/20/2017 19:40-&gt;CHILD EM - VEN 2</v>
      </c>
      <c r="BB402" s="374">
        <f t="shared" si="301"/>
        <v>1</v>
      </c>
      <c r="BC402" s="374">
        <f t="shared" si="302"/>
        <v>1</v>
      </c>
      <c r="BD402" s="148" t="str">
        <f t="shared" si="303"/>
        <v>no conflict</v>
      </c>
      <c r="BF402" s="148" t="str">
        <f t="shared" si="304"/>
        <v>11/20/2017 19:40-&gt;CHILD EM - MEX 1</v>
      </c>
      <c r="BG402" s="148" t="str">
        <f t="shared" si="305"/>
        <v>11/20/2017 19:40-&gt;CHILD EM - VEN 2</v>
      </c>
      <c r="BH402" s="148" t="str">
        <f t="shared" si="306"/>
        <v>11/20/2017 19:40-&gt;Hillel - Field 4</v>
      </c>
      <c r="BI402" s="148" t="str">
        <f t="shared" si="307"/>
        <v>Flag Football in Hillel - Field 4 (MEX1-VEN2)</v>
      </c>
      <c r="BJ402" s="148" t="str">
        <f t="shared" si="308"/>
        <v>Ch E Male Flag Football-- CHILD EM - MEX 1 vs. CHILD EM - VEN 2</v>
      </c>
      <c r="BK402" s="148" t="str">
        <f t="shared" si="309"/>
        <v>Flag Football</v>
      </c>
      <c r="BL402" s="148" t="str">
        <f t="shared" si="310"/>
        <v>CHILD EM - MEX 1</v>
      </c>
      <c r="BM402" s="148" t="str">
        <f t="shared" si="311"/>
        <v>CHILD EM - VEN 2</v>
      </c>
      <c r="BN402" s="148" t="str">
        <f t="shared" si="312"/>
        <v>Round - 1</v>
      </c>
      <c r="BP402" s="148" t="str">
        <f t="shared" si="313"/>
        <v>no t, f, or sf</v>
      </c>
      <c r="BQ402" s="148" t="str">
        <f t="shared" si="314"/>
        <v/>
      </c>
    </row>
    <row r="403" spans="1:69" ht="15" customHeight="1" x14ac:dyDescent="0.2">
      <c r="A403" s="376">
        <v>401</v>
      </c>
      <c r="B403" s="441" t="s">
        <v>65</v>
      </c>
      <c r="C403" s="441" t="s">
        <v>518</v>
      </c>
      <c r="D403" s="450">
        <v>1</v>
      </c>
      <c r="E403" s="450">
        <v>1</v>
      </c>
      <c r="F403" s="315" t="s">
        <v>770</v>
      </c>
      <c r="G403" s="320">
        <v>43060</v>
      </c>
      <c r="H403" s="318">
        <v>0.81944444444444453</v>
      </c>
      <c r="I403" s="325" t="s">
        <v>770</v>
      </c>
      <c r="J403" s="441" t="s">
        <v>704</v>
      </c>
      <c r="K403" s="441">
        <v>51</v>
      </c>
      <c r="L403" s="441" t="s">
        <v>618</v>
      </c>
      <c r="M403" s="441">
        <v>51</v>
      </c>
      <c r="N403" s="441" t="s">
        <v>717</v>
      </c>
      <c r="O403" s="153" t="str">
        <f>IF(L403&lt;&gt;"",IFERROR(VLOOKUP(B403&amp;L403,Pools!$A$2:$D$130,3,FALSE),""),"")</f>
        <v/>
      </c>
      <c r="P403" s="388">
        <v>14</v>
      </c>
      <c r="Q403" s="388">
        <v>16</v>
      </c>
      <c r="R403" s="306" t="str">
        <f t="shared" si="270"/>
        <v>14-16</v>
      </c>
      <c r="S403" s="153"/>
      <c r="T403" s="148" t="str">
        <f t="shared" si="271"/>
        <v>Completed</v>
      </c>
      <c r="U403" s="153"/>
      <c r="V403" s="153"/>
      <c r="W403" s="387">
        <f t="shared" si="272"/>
        <v>-2</v>
      </c>
      <c r="X403" s="387">
        <f t="shared" si="273"/>
        <v>2</v>
      </c>
      <c r="Y403" s="301">
        <f t="shared" si="274"/>
        <v>0</v>
      </c>
      <c r="Z403" s="301">
        <f t="shared" si="275"/>
        <v>2</v>
      </c>
      <c r="AA403" s="323" t="str">
        <f>CONCATENATE("                x[team1,team2,sport,'",IF(OR(I403="x",I403=""),VLOOKUP('Schedule from TM'!J403,Tables!$P$3:$Q$33,2,FALSE),'Schedule from TM'!I403),",",J403,"','",IF(OR(F403="x",F403=""),VLOOKUP('Schedule from TM'!G403,Tables!$U$3:$V$14,2,FALSE),'Schedule from TM'!F403),",",TEXT(G403,"mm/dd/yyyy"),"','",TEXT(H403,"h:mm:ss AM/PM"),"'].ub=0.0      #",B403)</f>
        <v xml:space="preserve">                x[team1,team2,sport,'21,Hillel - Field 2','22,11/21/2017','7:40:00 PM'].ub=0.0      #Ch E Male Flag Football</v>
      </c>
      <c r="AB403" s="301" t="str">
        <f t="shared" si="276"/>
        <v>,,Ch E Male Flag Football,,1,CHILD EM - COL 1</v>
      </c>
      <c r="AC403" s="153" t="str">
        <f t="shared" si="277"/>
        <v>Ch E Male Flag FootballCHILD EM - COL 1</v>
      </c>
      <c r="AD403" s="301" t="str">
        <f t="shared" si="278"/>
        <v>,,Ch E Male Flag Football,,1,CHILD EM - MEX 1</v>
      </c>
      <c r="AE403" s="153" t="str">
        <f t="shared" si="279"/>
        <v>Ch E Male Flag FootballCHILD EM - MEX 1</v>
      </c>
      <c r="AF403" s="383">
        <f t="shared" si="280"/>
        <v>0</v>
      </c>
      <c r="AG403" s="383">
        <f t="shared" si="281"/>
        <v>1</v>
      </c>
      <c r="AH403" s="383">
        <f t="shared" si="282"/>
        <v>0</v>
      </c>
      <c r="AI403" s="383">
        <f t="shared" si="283"/>
        <v>1</v>
      </c>
      <c r="AJ403" s="383">
        <f t="shared" si="284"/>
        <v>0</v>
      </c>
      <c r="AK403" s="383">
        <f t="shared" si="285"/>
        <v>0</v>
      </c>
      <c r="AM403" s="148" t="str">
        <f t="shared" si="286"/>
        <v>Schedulled</v>
      </c>
      <c r="AN403" s="148" t="str">
        <f t="shared" si="287"/>
        <v/>
      </c>
      <c r="AO403" s="156">
        <f t="shared" si="288"/>
        <v>43060.819444444445</v>
      </c>
      <c r="AP403" s="148" t="str">
        <f t="shared" si="289"/>
        <v>11/21/2017 19:40-&gt;Hillel - Field 2</v>
      </c>
      <c r="AQ403" s="374">
        <f t="shared" si="290"/>
        <v>1</v>
      </c>
      <c r="AR403" s="148" t="str">
        <f t="shared" si="291"/>
        <v>COL1</v>
      </c>
      <c r="AS403" s="148" t="str">
        <f t="shared" si="292"/>
        <v>MEX1</v>
      </c>
      <c r="AT403" s="157" t="str">
        <f t="shared" si="293"/>
        <v>COL1-MEX1</v>
      </c>
      <c r="AU403" s="157" t="str">
        <f t="shared" si="294"/>
        <v xml:space="preserve">COL1-MEX1 </v>
      </c>
      <c r="AV403" s="157" t="str">
        <f t="shared" si="295"/>
        <v>CHILDREN E MALE</v>
      </c>
      <c r="AW403" s="157" t="str">
        <f t="shared" si="296"/>
        <v>Flag Football</v>
      </c>
      <c r="AX403" s="376">
        <f t="shared" si="297"/>
        <v>401</v>
      </c>
      <c r="AY403" s="148" t="str">
        <f t="shared" si="298"/>
        <v>CHILD EM - COL 1-&gt;CHILD EM - MEX 1</v>
      </c>
      <c r="AZ403" s="148" t="str">
        <f t="shared" si="299"/>
        <v>11/21/2017 19:40-&gt;CHILD EM - COL 1</v>
      </c>
      <c r="BA403" s="148" t="str">
        <f t="shared" si="300"/>
        <v>11/21/2017 19:40-&gt;CHILD EM - MEX 1</v>
      </c>
      <c r="BB403" s="374">
        <f t="shared" si="301"/>
        <v>1</v>
      </c>
      <c r="BC403" s="374">
        <f t="shared" si="302"/>
        <v>1</v>
      </c>
      <c r="BD403" s="148" t="str">
        <f t="shared" si="303"/>
        <v>no conflict</v>
      </c>
      <c r="BF403" s="148" t="str">
        <f t="shared" si="304"/>
        <v>11/21/2017 19:40-&gt;CHILD EM - COL 1</v>
      </c>
      <c r="BG403" s="148" t="str">
        <f t="shared" si="305"/>
        <v>11/21/2017 19:40-&gt;CHILD EM - MEX 1</v>
      </c>
      <c r="BH403" s="148" t="str">
        <f t="shared" si="306"/>
        <v>11/21/2017 19:40-&gt;Hillel - Field 2</v>
      </c>
      <c r="BI403" s="148" t="str">
        <f t="shared" si="307"/>
        <v>Flag Football in Hillel - Field 2 (COL1-MEX1)</v>
      </c>
      <c r="BJ403" s="148" t="str">
        <f t="shared" si="308"/>
        <v>Ch E Male Flag Football-- CHILD EM - COL 1 vs. CHILD EM - MEX 1</v>
      </c>
      <c r="BK403" s="148" t="str">
        <f t="shared" si="309"/>
        <v>Flag Football</v>
      </c>
      <c r="BL403" s="148" t="str">
        <f t="shared" si="310"/>
        <v>CHILD EM - COL 1</v>
      </c>
      <c r="BM403" s="148" t="str">
        <f t="shared" si="311"/>
        <v>CHILD EM - MEX 1</v>
      </c>
      <c r="BN403" s="148" t="str">
        <f t="shared" si="312"/>
        <v>Round - 1</v>
      </c>
      <c r="BP403" s="148" t="str">
        <f t="shared" si="313"/>
        <v>no t, f, or sf</v>
      </c>
      <c r="BQ403" s="148" t="str">
        <f t="shared" si="314"/>
        <v/>
      </c>
    </row>
    <row r="404" spans="1:69" ht="15" customHeight="1" x14ac:dyDescent="0.2">
      <c r="A404" s="376">
        <v>402</v>
      </c>
      <c r="B404" s="441" t="s">
        <v>65</v>
      </c>
      <c r="C404" s="441" t="s">
        <v>518</v>
      </c>
      <c r="D404" s="450">
        <v>1</v>
      </c>
      <c r="E404" s="450">
        <v>1</v>
      </c>
      <c r="F404" s="315" t="s">
        <v>770</v>
      </c>
      <c r="G404" s="320">
        <v>43062</v>
      </c>
      <c r="H404" s="317">
        <v>0.54166666666666663</v>
      </c>
      <c r="I404" s="325" t="s">
        <v>770</v>
      </c>
      <c r="J404" s="441" t="s">
        <v>704</v>
      </c>
      <c r="K404" s="441">
        <v>51</v>
      </c>
      <c r="L404" s="441" t="s">
        <v>616</v>
      </c>
      <c r="M404" s="441">
        <v>51</v>
      </c>
      <c r="N404" s="441" t="s">
        <v>620</v>
      </c>
      <c r="O404" s="153" t="str">
        <f>IF(L404&lt;&gt;"",IFERROR(VLOOKUP(B404&amp;L404,Pools!$A$2:$D$130,3,FALSE),""),"")</f>
        <v/>
      </c>
      <c r="P404" s="388">
        <v>12</v>
      </c>
      <c r="Q404" s="388">
        <v>40</v>
      </c>
      <c r="R404" s="306" t="str">
        <f t="shared" si="270"/>
        <v>12-40</v>
      </c>
      <c r="S404" s="153"/>
      <c r="T404" s="148" t="str">
        <f t="shared" si="271"/>
        <v>Completed</v>
      </c>
      <c r="U404" s="153"/>
      <c r="V404" s="153"/>
      <c r="W404" s="387">
        <f t="shared" si="272"/>
        <v>-21</v>
      </c>
      <c r="X404" s="387">
        <f t="shared" si="273"/>
        <v>21</v>
      </c>
      <c r="Y404" s="301">
        <f t="shared" si="274"/>
        <v>0</v>
      </c>
      <c r="Z404" s="301">
        <f t="shared" si="275"/>
        <v>2</v>
      </c>
      <c r="AA404" s="323" t="str">
        <f>CONCATENATE("                x[team1,team2,sport,'",IF(OR(I404="x",I404=""),VLOOKUP('Schedule from TM'!J404,Tables!$P$3:$Q$33,2,FALSE),'Schedule from TM'!I404),",",J404,"','",IF(OR(F404="x",F404=""),VLOOKUP('Schedule from TM'!G404,Tables!$U$3:$V$14,2,FALSE),'Schedule from TM'!F404),",",TEXT(G404,"mm/dd/yyyy"),"','",TEXT(H404,"h:mm:ss AM/PM"),"'].ub=0.0      #",B404)</f>
        <v xml:space="preserve">                x[team1,team2,sport,'21,Hillel - Field 2','11,11/23/2017','1:00:00 PM'].ub=0.0      #Ch E Male Flag Football</v>
      </c>
      <c r="AB404" s="301" t="str">
        <f t="shared" si="276"/>
        <v>,,Ch E Male Flag Football,,1,CHILD EM - ARG 1</v>
      </c>
      <c r="AC404" s="153" t="str">
        <f t="shared" si="277"/>
        <v>Ch E Male Flag FootballCHILD EM - ARG 1</v>
      </c>
      <c r="AD404" s="301" t="str">
        <f t="shared" si="278"/>
        <v>,,Ch E Male Flag Football,,1,CHILD EM - PER</v>
      </c>
      <c r="AE404" s="153" t="str">
        <f t="shared" si="279"/>
        <v>Ch E Male Flag FootballCHILD EM - PER</v>
      </c>
      <c r="AF404" s="383">
        <f t="shared" si="280"/>
        <v>0</v>
      </c>
      <c r="AG404" s="383">
        <f t="shared" si="281"/>
        <v>1</v>
      </c>
      <c r="AH404" s="383">
        <f t="shared" si="282"/>
        <v>0</v>
      </c>
      <c r="AI404" s="383">
        <f t="shared" si="283"/>
        <v>1</v>
      </c>
      <c r="AJ404" s="383">
        <f t="shared" si="284"/>
        <v>0</v>
      </c>
      <c r="AK404" s="383">
        <f t="shared" si="285"/>
        <v>0</v>
      </c>
      <c r="AM404" s="148" t="str">
        <f t="shared" si="286"/>
        <v>Schedulled</v>
      </c>
      <c r="AN404" s="148" t="str">
        <f t="shared" si="287"/>
        <v/>
      </c>
      <c r="AO404" s="156">
        <f t="shared" si="288"/>
        <v>43062.541666666664</v>
      </c>
      <c r="AP404" s="148" t="str">
        <f t="shared" si="289"/>
        <v>11/23/2017 13:00-&gt;Hillel - Field 2</v>
      </c>
      <c r="AQ404" s="374">
        <f t="shared" si="290"/>
        <v>1</v>
      </c>
      <c r="AR404" s="148" t="str">
        <f t="shared" si="291"/>
        <v>ARG1</v>
      </c>
      <c r="AS404" s="148" t="str">
        <f t="shared" si="292"/>
        <v>PER</v>
      </c>
      <c r="AT404" s="157" t="str">
        <f t="shared" si="293"/>
        <v>ARG1-PER</v>
      </c>
      <c r="AU404" s="157" t="str">
        <f t="shared" si="294"/>
        <v xml:space="preserve">ARG1-PER </v>
      </c>
      <c r="AV404" s="157" t="str">
        <f t="shared" si="295"/>
        <v>CHILDREN E MALE</v>
      </c>
      <c r="AW404" s="157" t="str">
        <f t="shared" si="296"/>
        <v>Flag Football</v>
      </c>
      <c r="AX404" s="376">
        <f t="shared" si="297"/>
        <v>402</v>
      </c>
      <c r="AY404" s="148" t="str">
        <f t="shared" si="298"/>
        <v>CHILD EM - ARG 1-&gt;CHILD EM - PER</v>
      </c>
      <c r="AZ404" s="148" t="str">
        <f t="shared" si="299"/>
        <v>11/23/2017 13:00-&gt;CHILD EM - ARG 1</v>
      </c>
      <c r="BA404" s="148" t="str">
        <f t="shared" si="300"/>
        <v>11/23/2017 13:00-&gt;CHILD EM - PER</v>
      </c>
      <c r="BB404" s="374">
        <f t="shared" si="301"/>
        <v>1</v>
      </c>
      <c r="BC404" s="374">
        <f t="shared" si="302"/>
        <v>1</v>
      </c>
      <c r="BD404" s="148" t="str">
        <f t="shared" si="303"/>
        <v>no conflict</v>
      </c>
      <c r="BF404" s="148" t="str">
        <f t="shared" si="304"/>
        <v>11/23/2017 13:00-&gt;CHILD EM - ARG 1</v>
      </c>
      <c r="BG404" s="148" t="str">
        <f t="shared" si="305"/>
        <v>11/23/2017 13:00-&gt;CHILD EM - PER</v>
      </c>
      <c r="BH404" s="148" t="str">
        <f t="shared" si="306"/>
        <v>11/23/2017 13:00-&gt;Hillel - Field 2</v>
      </c>
      <c r="BI404" s="148" t="str">
        <f t="shared" si="307"/>
        <v>Flag Football in Hillel - Field 2 (ARG1-PER)</v>
      </c>
      <c r="BJ404" s="148" t="str">
        <f t="shared" si="308"/>
        <v>Ch E Male Flag Football-- CHILD EM - ARG 1 vs. CHILD EM - PER</v>
      </c>
      <c r="BK404" s="148" t="str">
        <f t="shared" si="309"/>
        <v>Flag Football</v>
      </c>
      <c r="BL404" s="148" t="str">
        <f t="shared" si="310"/>
        <v>CHILD EM - ARG 1</v>
      </c>
      <c r="BM404" s="148" t="str">
        <f t="shared" si="311"/>
        <v>CHILD EM - PER</v>
      </c>
      <c r="BN404" s="148" t="str">
        <f t="shared" si="312"/>
        <v>Round - 1</v>
      </c>
      <c r="BP404" s="148" t="str">
        <f t="shared" si="313"/>
        <v>no t, f, or sf</v>
      </c>
      <c r="BQ404" s="148" t="str">
        <f t="shared" si="314"/>
        <v/>
      </c>
    </row>
    <row r="405" spans="1:69" ht="15" customHeight="1" x14ac:dyDescent="0.2">
      <c r="A405" s="376">
        <v>403</v>
      </c>
      <c r="B405" s="315" t="s">
        <v>65</v>
      </c>
      <c r="C405" s="315" t="s">
        <v>518</v>
      </c>
      <c r="D405" s="378">
        <v>1</v>
      </c>
      <c r="E405" s="378">
        <v>1</v>
      </c>
      <c r="F405" s="315" t="s">
        <v>770</v>
      </c>
      <c r="G405" s="316">
        <v>43062</v>
      </c>
      <c r="H405" s="317">
        <v>0.54166666666666663</v>
      </c>
      <c r="I405" s="325" t="s">
        <v>770</v>
      </c>
      <c r="J405" s="315" t="s">
        <v>705</v>
      </c>
      <c r="K405" s="315">
        <v>51</v>
      </c>
      <c r="L405" s="315" t="s">
        <v>621</v>
      </c>
      <c r="M405" s="315">
        <v>51</v>
      </c>
      <c r="N405" s="315" t="s">
        <v>718</v>
      </c>
      <c r="O405" s="153" t="str">
        <f>IF(L405&lt;&gt;"",IFERROR(VLOOKUP(B405&amp;L405,Pools!$A$2:$D$130,3,FALSE),""),"")</f>
        <v/>
      </c>
      <c r="P405" s="388">
        <v>14</v>
      </c>
      <c r="Q405" s="388">
        <v>25</v>
      </c>
      <c r="R405" s="306" t="str">
        <f t="shared" si="270"/>
        <v>14-25</v>
      </c>
      <c r="S405" s="153"/>
      <c r="T405" s="148" t="str">
        <f t="shared" si="271"/>
        <v>Completed</v>
      </c>
      <c r="U405" s="153"/>
      <c r="V405" s="153"/>
      <c r="W405" s="387">
        <f t="shared" si="272"/>
        <v>-11</v>
      </c>
      <c r="X405" s="387">
        <f t="shared" si="273"/>
        <v>11</v>
      </c>
      <c r="Y405" s="301">
        <f t="shared" si="274"/>
        <v>0</v>
      </c>
      <c r="Z405" s="301">
        <f t="shared" si="275"/>
        <v>2</v>
      </c>
      <c r="AA405" s="323" t="str">
        <f>CONCATENATE("                x[team1,team2,sport,'",IF(OR(I405="x",I405=""),VLOOKUP('Schedule from TM'!J405,Tables!$P$3:$Q$33,2,FALSE),'Schedule from TM'!I405),",",J405,"','",IF(OR(F405="x",F405=""),VLOOKUP('Schedule from TM'!G405,Tables!$U$3:$V$14,2,FALSE),'Schedule from TM'!F405),",",TEXT(G405,"mm/dd/yyyy"),"','",TEXT(H405,"h:mm:ss AM/PM"),"'].ub=0.0      #",B405)</f>
        <v xml:space="preserve">                x[team1,team2,sport,'21,Hillel - Field 3','11,11/23/2017','1:00:00 PM'].ub=0.0      #Ch E Male Flag Football</v>
      </c>
      <c r="AB405" s="301" t="str">
        <f t="shared" si="276"/>
        <v>,,Ch E Male Flag Football,,1,CHILD EM - USA 1</v>
      </c>
      <c r="AC405" s="153" t="str">
        <f t="shared" si="277"/>
        <v>Ch E Male Flag FootballCHILD EM - USA 1</v>
      </c>
      <c r="AD405" s="301" t="str">
        <f t="shared" si="278"/>
        <v>,,Ch E Male Flag Football,,1,CHILD EM - MEX 2</v>
      </c>
      <c r="AE405" s="153" t="str">
        <f t="shared" si="279"/>
        <v>Ch E Male Flag FootballCHILD EM - MEX 2</v>
      </c>
      <c r="AF405" s="383">
        <f t="shared" si="280"/>
        <v>0</v>
      </c>
      <c r="AG405" s="383">
        <f t="shared" si="281"/>
        <v>1</v>
      </c>
      <c r="AH405" s="383">
        <f t="shared" si="282"/>
        <v>0</v>
      </c>
      <c r="AI405" s="383">
        <f t="shared" si="283"/>
        <v>1</v>
      </c>
      <c r="AJ405" s="383">
        <f t="shared" si="284"/>
        <v>0</v>
      </c>
      <c r="AK405" s="383">
        <f t="shared" si="285"/>
        <v>0</v>
      </c>
      <c r="AM405" s="148" t="str">
        <f t="shared" si="286"/>
        <v>Schedulled</v>
      </c>
      <c r="AN405" s="148" t="str">
        <f t="shared" si="287"/>
        <v/>
      </c>
      <c r="AO405" s="156">
        <f t="shared" si="288"/>
        <v>43062.541666666664</v>
      </c>
      <c r="AP405" s="148" t="str">
        <f t="shared" si="289"/>
        <v>11/23/2017 13:00-&gt;Hillel - Field 3</v>
      </c>
      <c r="AQ405" s="374">
        <f t="shared" si="290"/>
        <v>1</v>
      </c>
      <c r="AR405" s="148" t="str">
        <f t="shared" si="291"/>
        <v>USA1</v>
      </c>
      <c r="AS405" s="148" t="str">
        <f t="shared" si="292"/>
        <v>MEX2</v>
      </c>
      <c r="AT405" s="157" t="str">
        <f t="shared" si="293"/>
        <v>USA1-MEX2</v>
      </c>
      <c r="AU405" s="157" t="str">
        <f t="shared" si="294"/>
        <v xml:space="preserve">USA1-MEX2 </v>
      </c>
      <c r="AV405" s="157" t="str">
        <f t="shared" si="295"/>
        <v>CHILDREN E MALE</v>
      </c>
      <c r="AW405" s="157" t="str">
        <f t="shared" si="296"/>
        <v>Flag Football</v>
      </c>
      <c r="AX405" s="376">
        <f t="shared" si="297"/>
        <v>403</v>
      </c>
      <c r="AY405" s="148" t="str">
        <f t="shared" si="298"/>
        <v>CHILD EM - USA 1-&gt;CHILD EM - MEX 2</v>
      </c>
      <c r="AZ405" s="148" t="str">
        <f t="shared" si="299"/>
        <v>11/23/2017 13:00-&gt;CHILD EM - USA 1</v>
      </c>
      <c r="BA405" s="148" t="str">
        <f t="shared" si="300"/>
        <v>11/23/2017 13:00-&gt;CHILD EM - MEX 2</v>
      </c>
      <c r="BB405" s="374">
        <f t="shared" si="301"/>
        <v>1</v>
      </c>
      <c r="BC405" s="374">
        <f t="shared" si="302"/>
        <v>1</v>
      </c>
      <c r="BD405" s="148" t="str">
        <f t="shared" si="303"/>
        <v>no conflict</v>
      </c>
      <c r="BF405" s="148" t="str">
        <f t="shared" si="304"/>
        <v>11/23/2017 13:00-&gt;CHILD EM - USA 1</v>
      </c>
      <c r="BG405" s="148" t="str">
        <f t="shared" si="305"/>
        <v>11/23/2017 13:00-&gt;CHILD EM - MEX 2</v>
      </c>
      <c r="BH405" s="148" t="str">
        <f t="shared" si="306"/>
        <v>11/23/2017 13:00-&gt;Hillel - Field 3</v>
      </c>
      <c r="BI405" s="148" t="str">
        <f t="shared" si="307"/>
        <v>Flag Football in Hillel - Field 3 (USA1-MEX2)</v>
      </c>
      <c r="BJ405" s="148" t="str">
        <f t="shared" si="308"/>
        <v>Ch E Male Flag Football-- CHILD EM - USA 1 vs. CHILD EM - MEX 2</v>
      </c>
      <c r="BK405" s="148" t="str">
        <f t="shared" si="309"/>
        <v>Flag Football</v>
      </c>
      <c r="BL405" s="148" t="str">
        <f t="shared" si="310"/>
        <v>CHILD EM - USA 1</v>
      </c>
      <c r="BM405" s="148" t="str">
        <f t="shared" si="311"/>
        <v>CHILD EM - MEX 2</v>
      </c>
      <c r="BN405" s="148" t="str">
        <f t="shared" si="312"/>
        <v>Round - 1</v>
      </c>
      <c r="BP405" s="148" t="str">
        <f t="shared" si="313"/>
        <v>no t, f, or sf</v>
      </c>
      <c r="BQ405" s="148" t="str">
        <f t="shared" si="314"/>
        <v/>
      </c>
    </row>
    <row r="406" spans="1:69" ht="15" customHeight="1" x14ac:dyDescent="0.2">
      <c r="A406" s="376">
        <v>404</v>
      </c>
      <c r="B406" s="441" t="s">
        <v>65</v>
      </c>
      <c r="C406" s="441" t="s">
        <v>518</v>
      </c>
      <c r="D406" s="450">
        <v>1</v>
      </c>
      <c r="E406" s="450">
        <v>1</v>
      </c>
      <c r="F406" s="315" t="s">
        <v>770</v>
      </c>
      <c r="G406" s="320">
        <v>43062</v>
      </c>
      <c r="H406" s="317">
        <v>0.57638888888888895</v>
      </c>
      <c r="I406" s="325" t="s">
        <v>770</v>
      </c>
      <c r="J406" s="441" t="s">
        <v>706</v>
      </c>
      <c r="K406" s="441">
        <v>51</v>
      </c>
      <c r="L406" s="441" t="s">
        <v>625</v>
      </c>
      <c r="M406" s="441">
        <v>51</v>
      </c>
      <c r="N406" s="441" t="s">
        <v>622</v>
      </c>
      <c r="O406" s="153" t="str">
        <f>IF(L406&lt;&gt;"",IFERROR(VLOOKUP(B406&amp;L406,Pools!$A$2:$D$130,3,FALSE),""),"")</f>
        <v/>
      </c>
      <c r="P406" s="388">
        <v>0</v>
      </c>
      <c r="Q406" s="388">
        <v>30</v>
      </c>
      <c r="R406" s="306" t="str">
        <f t="shared" si="270"/>
        <v>0-30</v>
      </c>
      <c r="S406" s="153"/>
      <c r="T406" s="148" t="str">
        <f t="shared" si="271"/>
        <v>Completed</v>
      </c>
      <c r="U406" s="153"/>
      <c r="V406" s="153"/>
      <c r="W406" s="387">
        <f t="shared" si="272"/>
        <v>-21</v>
      </c>
      <c r="X406" s="387">
        <f t="shared" si="273"/>
        <v>21</v>
      </c>
      <c r="Y406" s="301">
        <f t="shared" si="274"/>
        <v>0</v>
      </c>
      <c r="Z406" s="301">
        <f t="shared" si="275"/>
        <v>2</v>
      </c>
      <c r="AA406" s="323" t="str">
        <f>CONCATENATE("                x[team1,team2,sport,'",IF(OR(I406="x",I406=""),VLOOKUP('Schedule from TM'!J406,Tables!$P$3:$Q$33,2,FALSE),'Schedule from TM'!I406),",",J406,"','",IF(OR(F406="x",F406=""),VLOOKUP('Schedule from TM'!G406,Tables!$U$3:$V$14,2,FALSE),'Schedule from TM'!F406),",",TEXT(G406,"mm/dd/yyyy"),"','",TEXT(H406,"h:mm:ss AM/PM"),"'].ub=0.0      #",B406)</f>
        <v xml:space="preserve">                x[team1,team2,sport,'21,Hillel - Field 4','11,11/23/2017','1:50:00 PM'].ub=0.0      #Ch E Male Flag Football</v>
      </c>
      <c r="AB406" s="301" t="str">
        <f t="shared" si="276"/>
        <v>,,Ch E Male Flag Football,,1,CHILD EM - VEN 2</v>
      </c>
      <c r="AC406" s="153" t="str">
        <f t="shared" si="277"/>
        <v>Ch E Male Flag FootballCHILD EM - VEN 2</v>
      </c>
      <c r="AD406" s="301" t="str">
        <f t="shared" si="278"/>
        <v>,,Ch E Male Flag Football,,1,CHILD EM - USA 2</v>
      </c>
      <c r="AE406" s="153" t="str">
        <f t="shared" si="279"/>
        <v>Ch E Male Flag FootballCHILD EM - USA 2</v>
      </c>
      <c r="AF406" s="383">
        <f t="shared" si="280"/>
        <v>0</v>
      </c>
      <c r="AG406" s="383">
        <f t="shared" si="281"/>
        <v>1</v>
      </c>
      <c r="AH406" s="383">
        <f t="shared" si="282"/>
        <v>0</v>
      </c>
      <c r="AI406" s="383">
        <f t="shared" si="283"/>
        <v>1</v>
      </c>
      <c r="AJ406" s="383">
        <f t="shared" si="284"/>
        <v>0</v>
      </c>
      <c r="AK406" s="383">
        <f t="shared" si="285"/>
        <v>0</v>
      </c>
      <c r="AM406" s="148" t="str">
        <f t="shared" si="286"/>
        <v>Schedulled</v>
      </c>
      <c r="AN406" s="148" t="str">
        <f t="shared" si="287"/>
        <v/>
      </c>
      <c r="AO406" s="156">
        <f t="shared" si="288"/>
        <v>43062.576388888891</v>
      </c>
      <c r="AP406" s="148" t="str">
        <f t="shared" si="289"/>
        <v>11/23/2017 13:50-&gt;Hillel - Field 4</v>
      </c>
      <c r="AQ406" s="374">
        <f t="shared" si="290"/>
        <v>1</v>
      </c>
      <c r="AR406" s="148" t="str">
        <f t="shared" si="291"/>
        <v>VEN2</v>
      </c>
      <c r="AS406" s="148" t="str">
        <f t="shared" si="292"/>
        <v>USA2</v>
      </c>
      <c r="AT406" s="157" t="str">
        <f t="shared" si="293"/>
        <v>VEN2-USA2</v>
      </c>
      <c r="AU406" s="157" t="str">
        <f t="shared" si="294"/>
        <v xml:space="preserve">VEN2-USA2 </v>
      </c>
      <c r="AV406" s="157" t="str">
        <f t="shared" si="295"/>
        <v>CHILDREN E MALE</v>
      </c>
      <c r="AW406" s="157" t="str">
        <f t="shared" si="296"/>
        <v>Flag Football</v>
      </c>
      <c r="AX406" s="376">
        <f t="shared" si="297"/>
        <v>404</v>
      </c>
      <c r="AY406" s="148" t="str">
        <f t="shared" si="298"/>
        <v>CHILD EM - VEN 2-&gt;CHILD EM - USA 2</v>
      </c>
      <c r="AZ406" s="148" t="str">
        <f t="shared" si="299"/>
        <v>11/23/2017 13:50-&gt;CHILD EM - VEN 2</v>
      </c>
      <c r="BA406" s="148" t="str">
        <f t="shared" si="300"/>
        <v>11/23/2017 13:50-&gt;CHILD EM - USA 2</v>
      </c>
      <c r="BB406" s="374">
        <f t="shared" si="301"/>
        <v>1</v>
      </c>
      <c r="BC406" s="374">
        <f t="shared" si="302"/>
        <v>1</v>
      </c>
      <c r="BD406" s="148" t="str">
        <f t="shared" si="303"/>
        <v>no conflict</v>
      </c>
      <c r="BF406" s="148" t="str">
        <f t="shared" si="304"/>
        <v>11/23/2017 13:50-&gt;CHILD EM - VEN 2</v>
      </c>
      <c r="BG406" s="148" t="str">
        <f t="shared" si="305"/>
        <v>11/23/2017 13:50-&gt;CHILD EM - USA 2</v>
      </c>
      <c r="BH406" s="148" t="str">
        <f t="shared" si="306"/>
        <v>11/23/2017 13:50-&gt;Hillel - Field 4</v>
      </c>
      <c r="BI406" s="148" t="str">
        <f t="shared" si="307"/>
        <v>Flag Football in Hillel - Field 4 (VEN2-USA2)</v>
      </c>
      <c r="BJ406" s="148" t="str">
        <f t="shared" si="308"/>
        <v>Ch E Male Flag Football-- CHILD EM - VEN 2 vs. CHILD EM - USA 2</v>
      </c>
      <c r="BK406" s="148" t="str">
        <f t="shared" si="309"/>
        <v>Flag Football</v>
      </c>
      <c r="BL406" s="148" t="str">
        <f t="shared" si="310"/>
        <v>CHILD EM - VEN 2</v>
      </c>
      <c r="BM406" s="148" t="str">
        <f t="shared" si="311"/>
        <v>CHILD EM - USA 2</v>
      </c>
      <c r="BN406" s="148" t="str">
        <f t="shared" si="312"/>
        <v>Round - 1</v>
      </c>
      <c r="BP406" s="148" t="str">
        <f t="shared" si="313"/>
        <v>no t, f, or sf</v>
      </c>
      <c r="BQ406" s="148" t="str">
        <f t="shared" si="314"/>
        <v/>
      </c>
    </row>
    <row r="407" spans="1:69" ht="15" customHeight="1" x14ac:dyDescent="0.2">
      <c r="A407" s="376">
        <v>405</v>
      </c>
      <c r="B407" s="319" t="s">
        <v>65</v>
      </c>
      <c r="C407" s="319" t="s">
        <v>518</v>
      </c>
      <c r="D407" s="376">
        <v>1</v>
      </c>
      <c r="E407" s="376">
        <v>1</v>
      </c>
      <c r="F407" s="315" t="s">
        <v>770</v>
      </c>
      <c r="G407" s="320">
        <v>43062</v>
      </c>
      <c r="H407" s="317">
        <v>0.61111111111111105</v>
      </c>
      <c r="I407" s="325" t="s">
        <v>770</v>
      </c>
      <c r="J407" s="319" t="s">
        <v>704</v>
      </c>
      <c r="K407" s="319">
        <v>51</v>
      </c>
      <c r="L407" s="319" t="s">
        <v>618</v>
      </c>
      <c r="M407" s="319">
        <v>51</v>
      </c>
      <c r="N407" s="319" t="s">
        <v>620</v>
      </c>
      <c r="O407" s="153" t="str">
        <f>IF(L407&lt;&gt;"",IFERROR(VLOOKUP(B407&amp;L407,Pools!$A$2:$D$130,3,FALSE),""),"")</f>
        <v/>
      </c>
      <c r="P407" s="388">
        <v>29</v>
      </c>
      <c r="Q407" s="388">
        <v>22</v>
      </c>
      <c r="R407" s="306" t="str">
        <f t="shared" si="270"/>
        <v>29-22</v>
      </c>
      <c r="S407" s="153"/>
      <c r="T407" s="148" t="str">
        <f t="shared" si="271"/>
        <v>Completed</v>
      </c>
      <c r="U407" s="153"/>
      <c r="V407" s="153"/>
      <c r="W407" s="387">
        <f t="shared" si="272"/>
        <v>7</v>
      </c>
      <c r="X407" s="387">
        <f t="shared" si="273"/>
        <v>-7</v>
      </c>
      <c r="Y407" s="301">
        <f t="shared" si="274"/>
        <v>2</v>
      </c>
      <c r="Z407" s="301">
        <f t="shared" si="275"/>
        <v>0</v>
      </c>
      <c r="AA407" s="323" t="str">
        <f>CONCATENATE("                x[team1,team2,sport,'",IF(OR(I407="x",I407=""),VLOOKUP('Schedule from TM'!J407,Tables!$P$3:$Q$33,2,FALSE),'Schedule from TM'!I407),",",J407,"','",IF(OR(F407="x",F407=""),VLOOKUP('Schedule from TM'!G407,Tables!$U$3:$V$14,2,FALSE),'Schedule from TM'!F407),",",TEXT(G407,"mm/dd/yyyy"),"','",TEXT(H407,"h:mm:ss AM/PM"),"'].ub=0.0      #",B407)</f>
        <v xml:space="preserve">                x[team1,team2,sport,'21,Hillel - Field 2','11,11/23/2017','2:40:00 PM'].ub=0.0      #Ch E Male Flag Football</v>
      </c>
      <c r="AB407" s="301" t="str">
        <f t="shared" si="276"/>
        <v>,,Ch E Male Flag Football,,1,CHILD EM - COL 1</v>
      </c>
      <c r="AC407" s="153" t="str">
        <f t="shared" si="277"/>
        <v>Ch E Male Flag FootballCHILD EM - COL 1</v>
      </c>
      <c r="AD407" s="301" t="str">
        <f t="shared" si="278"/>
        <v>,,Ch E Male Flag Football,,1,CHILD EM - PER</v>
      </c>
      <c r="AE407" s="153" t="str">
        <f t="shared" si="279"/>
        <v>Ch E Male Flag FootballCHILD EM - PER</v>
      </c>
      <c r="AF407" s="383">
        <f t="shared" si="280"/>
        <v>1</v>
      </c>
      <c r="AG407" s="383">
        <f t="shared" si="281"/>
        <v>0</v>
      </c>
      <c r="AH407" s="383">
        <f t="shared" si="282"/>
        <v>0</v>
      </c>
      <c r="AI407" s="383">
        <f t="shared" si="283"/>
        <v>0</v>
      </c>
      <c r="AJ407" s="383">
        <f t="shared" si="284"/>
        <v>1</v>
      </c>
      <c r="AK407" s="383">
        <f t="shared" si="285"/>
        <v>0</v>
      </c>
      <c r="AM407" s="148" t="str">
        <f t="shared" si="286"/>
        <v>Schedulled</v>
      </c>
      <c r="AN407" s="148" t="str">
        <f t="shared" si="287"/>
        <v/>
      </c>
      <c r="AO407" s="156">
        <f t="shared" si="288"/>
        <v>43062.611111111109</v>
      </c>
      <c r="AP407" s="148" t="str">
        <f t="shared" si="289"/>
        <v>11/23/2017 14:40-&gt;Hillel - Field 2</v>
      </c>
      <c r="AQ407" s="374">
        <f t="shared" si="290"/>
        <v>1</v>
      </c>
      <c r="AR407" s="148" t="str">
        <f t="shared" si="291"/>
        <v>COL1</v>
      </c>
      <c r="AS407" s="148" t="str">
        <f t="shared" si="292"/>
        <v>PER</v>
      </c>
      <c r="AT407" s="157" t="str">
        <f t="shared" si="293"/>
        <v>COL1-PER</v>
      </c>
      <c r="AU407" s="157" t="str">
        <f t="shared" si="294"/>
        <v xml:space="preserve">COL1-PER </v>
      </c>
      <c r="AV407" s="157" t="str">
        <f t="shared" si="295"/>
        <v>CHILDREN E MALE</v>
      </c>
      <c r="AW407" s="157" t="str">
        <f t="shared" si="296"/>
        <v>Flag Football</v>
      </c>
      <c r="AX407" s="376">
        <f t="shared" si="297"/>
        <v>405</v>
      </c>
      <c r="AY407" s="148" t="str">
        <f t="shared" si="298"/>
        <v>CHILD EM - COL 1-&gt;CHILD EM - PER</v>
      </c>
      <c r="AZ407" s="148" t="str">
        <f t="shared" si="299"/>
        <v>11/23/2017 14:40-&gt;CHILD EM - COL 1</v>
      </c>
      <c r="BA407" s="148" t="str">
        <f t="shared" si="300"/>
        <v>11/23/2017 14:40-&gt;CHILD EM - PER</v>
      </c>
      <c r="BB407" s="374">
        <f t="shared" si="301"/>
        <v>1</v>
      </c>
      <c r="BC407" s="374">
        <f t="shared" si="302"/>
        <v>1</v>
      </c>
      <c r="BD407" s="148" t="str">
        <f t="shared" si="303"/>
        <v>no conflict</v>
      </c>
      <c r="BF407" s="148" t="str">
        <f t="shared" si="304"/>
        <v>11/23/2017 14:40-&gt;CHILD EM - COL 1</v>
      </c>
      <c r="BG407" s="148" t="str">
        <f t="shared" si="305"/>
        <v>11/23/2017 14:40-&gt;CHILD EM - PER</v>
      </c>
      <c r="BH407" s="148" t="str">
        <f t="shared" si="306"/>
        <v>11/23/2017 14:40-&gt;Hillel - Field 2</v>
      </c>
      <c r="BI407" s="148" t="str">
        <f t="shared" si="307"/>
        <v>Flag Football in Hillel - Field 2 (COL1-PER)</v>
      </c>
      <c r="BJ407" s="148" t="str">
        <f t="shared" si="308"/>
        <v>Ch E Male Flag Football-- CHILD EM - COL 1 vs. CHILD EM - PER</v>
      </c>
      <c r="BK407" s="148" t="str">
        <f t="shared" si="309"/>
        <v>Flag Football</v>
      </c>
      <c r="BL407" s="148" t="str">
        <f t="shared" si="310"/>
        <v>CHILD EM - COL 1</v>
      </c>
      <c r="BM407" s="148" t="str">
        <f t="shared" si="311"/>
        <v>CHILD EM - PER</v>
      </c>
      <c r="BN407" s="148" t="str">
        <f t="shared" si="312"/>
        <v>Round - 1</v>
      </c>
      <c r="BP407" s="148" t="str">
        <f t="shared" si="313"/>
        <v>no t, f, or sf</v>
      </c>
      <c r="BQ407" s="148" t="str">
        <f t="shared" si="314"/>
        <v/>
      </c>
    </row>
    <row r="408" spans="1:69" ht="15" customHeight="1" x14ac:dyDescent="0.2">
      <c r="A408" s="376">
        <v>406</v>
      </c>
      <c r="B408" s="441" t="s">
        <v>65</v>
      </c>
      <c r="C408" s="441" t="s">
        <v>518</v>
      </c>
      <c r="D408" s="450">
        <v>1</v>
      </c>
      <c r="E408" s="450">
        <v>1</v>
      </c>
      <c r="F408" s="315" t="s">
        <v>770</v>
      </c>
      <c r="G408" s="320">
        <v>43062</v>
      </c>
      <c r="H408" s="317">
        <v>0.61111111111111105</v>
      </c>
      <c r="I408" s="325" t="s">
        <v>770</v>
      </c>
      <c r="J408" s="441" t="s">
        <v>705</v>
      </c>
      <c r="K408" s="441">
        <v>51</v>
      </c>
      <c r="L408" s="319" t="s">
        <v>716</v>
      </c>
      <c r="M408" s="441">
        <v>51</v>
      </c>
      <c r="N408" s="319" t="s">
        <v>624</v>
      </c>
      <c r="O408" s="153" t="str">
        <f>IF(L408&lt;&gt;"",IFERROR(VLOOKUP(B408&amp;L408,Pools!$A$2:$D$130,3,FALSE),""),"")</f>
        <v/>
      </c>
      <c r="P408" s="388">
        <v>6</v>
      </c>
      <c r="Q408" s="388">
        <v>28</v>
      </c>
      <c r="R408" s="306" t="str">
        <f t="shared" si="270"/>
        <v>6-28</v>
      </c>
      <c r="S408" s="153"/>
      <c r="T408" s="148" t="str">
        <f t="shared" si="271"/>
        <v>Completed</v>
      </c>
      <c r="U408" s="153"/>
      <c r="V408" s="153"/>
      <c r="W408" s="387">
        <f t="shared" si="272"/>
        <v>-21</v>
      </c>
      <c r="X408" s="387">
        <f t="shared" si="273"/>
        <v>21</v>
      </c>
      <c r="Y408" s="301">
        <f t="shared" si="274"/>
        <v>0</v>
      </c>
      <c r="Z408" s="301">
        <f t="shared" si="275"/>
        <v>2</v>
      </c>
      <c r="AA408" s="323" t="str">
        <f>CONCATENATE("                x[team1,team2,sport,'",IF(OR(I408="x",I408=""),VLOOKUP('Schedule from TM'!J408,Tables!$P$3:$Q$33,2,FALSE),'Schedule from TM'!I408),",",J408,"','",IF(OR(F408="x",F408=""),VLOOKUP('Schedule from TM'!G408,Tables!$U$3:$V$14,2,FALSE),'Schedule from TM'!F408),",",TEXT(G408,"mm/dd/yyyy"),"','",TEXT(H408,"h:mm:ss AM/PM"),"'].ub=0.0      #",B408)</f>
        <v xml:space="preserve">                x[team1,team2,sport,'21,Hillel - Field 3','11,11/23/2017','2:40:00 PM'].ub=0.0      #Ch E Male Flag Football</v>
      </c>
      <c r="AB408" s="301" t="str">
        <f t="shared" si="276"/>
        <v>,,Ch E Male Flag Football,,1,CHILD EM - VEN 3</v>
      </c>
      <c r="AC408" s="153" t="str">
        <f t="shared" si="277"/>
        <v>Ch E Male Flag FootballCHILD EM - VEN 3</v>
      </c>
      <c r="AD408" s="301" t="str">
        <f t="shared" si="278"/>
        <v>,,Ch E Male Flag Football,,1,CHILD EM - VEN 1</v>
      </c>
      <c r="AE408" s="153" t="str">
        <f t="shared" si="279"/>
        <v>Ch E Male Flag FootballCHILD EM - VEN 1</v>
      </c>
      <c r="AF408" s="383">
        <f t="shared" si="280"/>
        <v>0</v>
      </c>
      <c r="AG408" s="383">
        <f t="shared" si="281"/>
        <v>1</v>
      </c>
      <c r="AH408" s="383">
        <f t="shared" si="282"/>
        <v>0</v>
      </c>
      <c r="AI408" s="383">
        <f t="shared" si="283"/>
        <v>1</v>
      </c>
      <c r="AJ408" s="383">
        <f t="shared" si="284"/>
        <v>0</v>
      </c>
      <c r="AK408" s="383">
        <f t="shared" si="285"/>
        <v>0</v>
      </c>
      <c r="AM408" s="148" t="str">
        <f t="shared" si="286"/>
        <v>Schedulled</v>
      </c>
      <c r="AN408" s="148" t="str">
        <f t="shared" si="287"/>
        <v/>
      </c>
      <c r="AO408" s="156">
        <f t="shared" si="288"/>
        <v>43062.611111111109</v>
      </c>
      <c r="AP408" s="148" t="str">
        <f t="shared" si="289"/>
        <v>11/23/2017 14:40-&gt;Hillel - Field 3</v>
      </c>
      <c r="AQ408" s="374">
        <f t="shared" si="290"/>
        <v>1</v>
      </c>
      <c r="AR408" s="148" t="str">
        <f t="shared" si="291"/>
        <v>VEN3</v>
      </c>
      <c r="AS408" s="148" t="str">
        <f t="shared" si="292"/>
        <v>VEN1</v>
      </c>
      <c r="AT408" s="157" t="str">
        <f t="shared" si="293"/>
        <v>VEN3-VEN1</v>
      </c>
      <c r="AU408" s="157" t="str">
        <f t="shared" si="294"/>
        <v xml:space="preserve">VEN3-VEN1 </v>
      </c>
      <c r="AV408" s="157" t="str">
        <f t="shared" si="295"/>
        <v>CHILDREN E MALE</v>
      </c>
      <c r="AW408" s="157" t="str">
        <f t="shared" si="296"/>
        <v>Flag Football</v>
      </c>
      <c r="AX408" s="376">
        <f t="shared" si="297"/>
        <v>406</v>
      </c>
      <c r="AY408" s="148" t="str">
        <f t="shared" si="298"/>
        <v>CHILD EM - VEN 3-&gt;CHILD EM - VEN 1</v>
      </c>
      <c r="AZ408" s="148" t="str">
        <f t="shared" si="299"/>
        <v>11/23/2017 14:40-&gt;CHILD EM - VEN 3</v>
      </c>
      <c r="BA408" s="148" t="str">
        <f t="shared" si="300"/>
        <v>11/23/2017 14:40-&gt;CHILD EM - VEN 1</v>
      </c>
      <c r="BB408" s="374">
        <f t="shared" si="301"/>
        <v>1</v>
      </c>
      <c r="BC408" s="374">
        <f t="shared" si="302"/>
        <v>1</v>
      </c>
      <c r="BD408" s="148" t="str">
        <f t="shared" si="303"/>
        <v>no conflict</v>
      </c>
      <c r="BF408" s="148" t="str">
        <f t="shared" si="304"/>
        <v>11/23/2017 14:40-&gt;CHILD EM - VEN 3</v>
      </c>
      <c r="BG408" s="148" t="str">
        <f t="shared" si="305"/>
        <v>11/23/2017 14:40-&gt;CHILD EM - VEN 1</v>
      </c>
      <c r="BH408" s="148" t="str">
        <f t="shared" si="306"/>
        <v>11/23/2017 14:40-&gt;Hillel - Field 3</v>
      </c>
      <c r="BI408" s="148" t="str">
        <f t="shared" si="307"/>
        <v>Flag Football in Hillel - Field 3 (VEN3-VEN1)</v>
      </c>
      <c r="BJ408" s="148" t="str">
        <f t="shared" si="308"/>
        <v>Ch E Male Flag Football-- CHILD EM - VEN 3 vs. CHILD EM - VEN 1</v>
      </c>
      <c r="BK408" s="148" t="str">
        <f t="shared" si="309"/>
        <v>Flag Football</v>
      </c>
      <c r="BL408" s="148" t="str">
        <f t="shared" si="310"/>
        <v>CHILD EM - VEN 3</v>
      </c>
      <c r="BM408" s="148" t="str">
        <f t="shared" si="311"/>
        <v>CHILD EM - VEN 1</v>
      </c>
      <c r="BN408" s="148" t="str">
        <f t="shared" si="312"/>
        <v>Round - 1</v>
      </c>
      <c r="BP408" s="148" t="str">
        <f t="shared" si="313"/>
        <v>no t, f, or sf</v>
      </c>
      <c r="BQ408" s="148" t="str">
        <f t="shared" si="314"/>
        <v/>
      </c>
    </row>
    <row r="409" spans="1:69" ht="15" customHeight="1" x14ac:dyDescent="0.2">
      <c r="A409" s="376">
        <v>407</v>
      </c>
      <c r="B409" s="441" t="s">
        <v>65</v>
      </c>
      <c r="C409" s="441" t="s">
        <v>518</v>
      </c>
      <c r="D409" s="450">
        <v>1</v>
      </c>
      <c r="E409" s="450">
        <v>1</v>
      </c>
      <c r="F409" s="315" t="s">
        <v>770</v>
      </c>
      <c r="G409" s="320">
        <v>43062</v>
      </c>
      <c r="H409" s="317">
        <v>0.64583333333333337</v>
      </c>
      <c r="I409" s="325" t="s">
        <v>770</v>
      </c>
      <c r="J409" s="441" t="s">
        <v>706</v>
      </c>
      <c r="K409" s="441">
        <v>51</v>
      </c>
      <c r="L409" s="441" t="s">
        <v>616</v>
      </c>
      <c r="M409" s="441">
        <v>51</v>
      </c>
      <c r="N409" s="441" t="s">
        <v>718</v>
      </c>
      <c r="O409" s="153" t="str">
        <f>IF(L409&lt;&gt;"",IFERROR(VLOOKUP(B409&amp;L409,Pools!$A$2:$D$130,3,FALSE),""),"")</f>
        <v/>
      </c>
      <c r="P409" s="388">
        <v>6</v>
      </c>
      <c r="Q409" s="388">
        <v>9</v>
      </c>
      <c r="R409" s="306" t="str">
        <f t="shared" si="270"/>
        <v>6-9</v>
      </c>
      <c r="S409" s="153"/>
      <c r="T409" s="148" t="str">
        <f t="shared" si="271"/>
        <v>Completed</v>
      </c>
      <c r="U409" s="153"/>
      <c r="V409" s="153"/>
      <c r="W409" s="387">
        <f t="shared" si="272"/>
        <v>-3</v>
      </c>
      <c r="X409" s="387">
        <f t="shared" si="273"/>
        <v>3</v>
      </c>
      <c r="Y409" s="301">
        <f t="shared" si="274"/>
        <v>0</v>
      </c>
      <c r="Z409" s="301">
        <f t="shared" si="275"/>
        <v>2</v>
      </c>
      <c r="AA409" s="323" t="str">
        <f>CONCATENATE("                x[team1,team2,sport,'",IF(OR(I409="x",I409=""),VLOOKUP('Schedule from TM'!J409,Tables!$P$3:$Q$33,2,FALSE),'Schedule from TM'!I409),",",J409,"','",IF(OR(F409="x",F409=""),VLOOKUP('Schedule from TM'!G409,Tables!$U$3:$V$14,2,FALSE),'Schedule from TM'!F409),",",TEXT(G409,"mm/dd/yyyy"),"','",TEXT(H409,"h:mm:ss AM/PM"),"'].ub=0.0      #",B409)</f>
        <v xml:space="preserve">                x[team1,team2,sport,'21,Hillel - Field 4','11,11/23/2017','3:30:00 PM'].ub=0.0      #Ch E Male Flag Football</v>
      </c>
      <c r="AB409" s="301" t="str">
        <f t="shared" si="276"/>
        <v>,,Ch E Male Flag Football,,1,CHILD EM - ARG 1</v>
      </c>
      <c r="AC409" s="153" t="str">
        <f t="shared" si="277"/>
        <v>Ch E Male Flag FootballCHILD EM - ARG 1</v>
      </c>
      <c r="AD409" s="301" t="str">
        <f t="shared" si="278"/>
        <v>,,Ch E Male Flag Football,,1,CHILD EM - MEX 2</v>
      </c>
      <c r="AE409" s="153" t="str">
        <f t="shared" si="279"/>
        <v>Ch E Male Flag FootballCHILD EM - MEX 2</v>
      </c>
      <c r="AF409" s="383">
        <f t="shared" si="280"/>
        <v>0</v>
      </c>
      <c r="AG409" s="383">
        <f t="shared" si="281"/>
        <v>1</v>
      </c>
      <c r="AH409" s="383">
        <f t="shared" si="282"/>
        <v>0</v>
      </c>
      <c r="AI409" s="383">
        <f t="shared" si="283"/>
        <v>1</v>
      </c>
      <c r="AJ409" s="383">
        <f t="shared" si="284"/>
        <v>0</v>
      </c>
      <c r="AK409" s="383">
        <f t="shared" si="285"/>
        <v>0</v>
      </c>
      <c r="AM409" s="148" t="str">
        <f t="shared" si="286"/>
        <v>Schedulled</v>
      </c>
      <c r="AN409" s="148" t="str">
        <f t="shared" si="287"/>
        <v/>
      </c>
      <c r="AO409" s="156">
        <f t="shared" si="288"/>
        <v>43062.645833333336</v>
      </c>
      <c r="AP409" s="148" t="str">
        <f t="shared" si="289"/>
        <v>11/23/2017 15:30-&gt;Hillel - Field 4</v>
      </c>
      <c r="AQ409" s="374">
        <f t="shared" si="290"/>
        <v>1</v>
      </c>
      <c r="AR409" s="148" t="str">
        <f t="shared" si="291"/>
        <v>ARG1</v>
      </c>
      <c r="AS409" s="148" t="str">
        <f t="shared" si="292"/>
        <v>MEX2</v>
      </c>
      <c r="AT409" s="157" t="str">
        <f t="shared" si="293"/>
        <v>ARG1-MEX2</v>
      </c>
      <c r="AU409" s="157" t="str">
        <f t="shared" si="294"/>
        <v xml:space="preserve">ARG1-MEX2 </v>
      </c>
      <c r="AV409" s="157" t="str">
        <f t="shared" si="295"/>
        <v>CHILDREN E MALE</v>
      </c>
      <c r="AW409" s="157" t="str">
        <f t="shared" si="296"/>
        <v>Flag Football</v>
      </c>
      <c r="AX409" s="376">
        <f t="shared" si="297"/>
        <v>407</v>
      </c>
      <c r="AY409" s="148" t="str">
        <f t="shared" si="298"/>
        <v>CHILD EM - ARG 1-&gt;CHILD EM - MEX 2</v>
      </c>
      <c r="AZ409" s="148" t="str">
        <f t="shared" si="299"/>
        <v>11/23/2017 15:30-&gt;CHILD EM - ARG 1</v>
      </c>
      <c r="BA409" s="148" t="str">
        <f t="shared" si="300"/>
        <v>11/23/2017 15:30-&gt;CHILD EM - MEX 2</v>
      </c>
      <c r="BB409" s="374">
        <f t="shared" si="301"/>
        <v>1</v>
      </c>
      <c r="BC409" s="374">
        <f t="shared" si="302"/>
        <v>1</v>
      </c>
      <c r="BD409" s="148" t="str">
        <f t="shared" si="303"/>
        <v>no conflict</v>
      </c>
      <c r="BF409" s="148" t="str">
        <f t="shared" si="304"/>
        <v>11/23/2017 15:30-&gt;CHILD EM - ARG 1</v>
      </c>
      <c r="BG409" s="148" t="str">
        <f t="shared" si="305"/>
        <v>11/23/2017 15:30-&gt;CHILD EM - MEX 2</v>
      </c>
      <c r="BH409" s="148" t="str">
        <f t="shared" si="306"/>
        <v>11/23/2017 15:30-&gt;Hillel - Field 4</v>
      </c>
      <c r="BI409" s="148" t="str">
        <f t="shared" si="307"/>
        <v>Flag Football in Hillel - Field 4 (ARG1-MEX2)</v>
      </c>
      <c r="BJ409" s="148" t="str">
        <f t="shared" si="308"/>
        <v>Ch E Male Flag Football-- CHILD EM - ARG 1 vs. CHILD EM - MEX 2</v>
      </c>
      <c r="BK409" s="148" t="str">
        <f t="shared" si="309"/>
        <v>Flag Football</v>
      </c>
      <c r="BL409" s="148" t="str">
        <f t="shared" si="310"/>
        <v>CHILD EM - ARG 1</v>
      </c>
      <c r="BM409" s="148" t="str">
        <f t="shared" si="311"/>
        <v>CHILD EM - MEX 2</v>
      </c>
      <c r="BN409" s="148" t="str">
        <f t="shared" si="312"/>
        <v>Round - 1</v>
      </c>
      <c r="BP409" s="148" t="str">
        <f t="shared" si="313"/>
        <v>no t, f, or sf</v>
      </c>
      <c r="BQ409" s="148" t="str">
        <f t="shared" si="314"/>
        <v/>
      </c>
    </row>
    <row r="410" spans="1:69" ht="15" customHeight="1" x14ac:dyDescent="0.2">
      <c r="A410" s="376">
        <v>408</v>
      </c>
      <c r="B410" s="315" t="s">
        <v>65</v>
      </c>
      <c r="C410" s="315" t="s">
        <v>518</v>
      </c>
      <c r="D410" s="378">
        <v>1</v>
      </c>
      <c r="E410" s="378">
        <v>1</v>
      </c>
      <c r="F410" s="315" t="s">
        <v>770</v>
      </c>
      <c r="G410" s="316">
        <v>43063</v>
      </c>
      <c r="H410" s="454">
        <v>0.54166666666666663</v>
      </c>
      <c r="I410" s="325" t="s">
        <v>770</v>
      </c>
      <c r="J410" s="443" t="s">
        <v>706</v>
      </c>
      <c r="K410" s="315">
        <v>51</v>
      </c>
      <c r="L410" s="315" t="s">
        <v>717</v>
      </c>
      <c r="M410" s="315">
        <v>51</v>
      </c>
      <c r="N410" s="315" t="s">
        <v>624</v>
      </c>
      <c r="O410" s="153" t="str">
        <f>IF(L410&lt;&gt;"",IFERROR(VLOOKUP(B410&amp;L410,Pools!$A$2:$D$130,3,FALSE),""),"")</f>
        <v/>
      </c>
      <c r="P410" s="388">
        <v>25</v>
      </c>
      <c r="Q410" s="388">
        <v>19</v>
      </c>
      <c r="R410" s="306" t="str">
        <f t="shared" si="270"/>
        <v>25-19</v>
      </c>
      <c r="S410" s="153"/>
      <c r="T410" s="148" t="str">
        <f t="shared" si="271"/>
        <v>Completed</v>
      </c>
      <c r="U410" s="153"/>
      <c r="V410" s="153"/>
      <c r="W410" s="387">
        <f t="shared" si="272"/>
        <v>6</v>
      </c>
      <c r="X410" s="387">
        <f t="shared" si="273"/>
        <v>-6</v>
      </c>
      <c r="Y410" s="301">
        <f t="shared" si="274"/>
        <v>2</v>
      </c>
      <c r="Z410" s="301">
        <f t="shared" si="275"/>
        <v>0</v>
      </c>
      <c r="AA410" s="323" t="str">
        <f>CONCATENATE("                x[team1,team2,sport,'",IF(OR(I410="x",I410=""),VLOOKUP('Schedule from TM'!J410,Tables!$P$3:$Q$33,2,FALSE),'Schedule from TM'!I410),",",J410,"','",IF(OR(F410="x",F410=""),VLOOKUP('Schedule from TM'!G410,Tables!$U$3:$V$14,2,FALSE),'Schedule from TM'!F410),",",TEXT(G410,"mm/dd/yyyy"),"','",TEXT(H410,"h:mm:ss AM/PM"),"'].ub=0.0      #",B410)</f>
        <v xml:space="preserve">                x[team1,team2,sport,'21,Hillel - Field 4','11,11/24/2017','1:00:00 PM'].ub=0.0      #Ch E Male Flag Football</v>
      </c>
      <c r="AB410" s="301" t="str">
        <f t="shared" si="276"/>
        <v>,,Ch E Male Flag Football,,1,CHILD EM - MEX 1</v>
      </c>
      <c r="AC410" s="153" t="str">
        <f t="shared" si="277"/>
        <v>Ch E Male Flag FootballCHILD EM - MEX 1</v>
      </c>
      <c r="AD410" s="301" t="str">
        <f t="shared" si="278"/>
        <v>,,Ch E Male Flag Football,,1,CHILD EM - VEN 1</v>
      </c>
      <c r="AE410" s="153" t="str">
        <f t="shared" si="279"/>
        <v>Ch E Male Flag FootballCHILD EM - VEN 1</v>
      </c>
      <c r="AF410" s="383">
        <f t="shared" si="280"/>
        <v>1</v>
      </c>
      <c r="AG410" s="383">
        <f t="shared" si="281"/>
        <v>0</v>
      </c>
      <c r="AH410" s="383">
        <f t="shared" si="282"/>
        <v>0</v>
      </c>
      <c r="AI410" s="383">
        <f t="shared" si="283"/>
        <v>0</v>
      </c>
      <c r="AJ410" s="383">
        <f t="shared" si="284"/>
        <v>1</v>
      </c>
      <c r="AK410" s="383">
        <f t="shared" si="285"/>
        <v>0</v>
      </c>
      <c r="AM410" s="148" t="str">
        <f t="shared" si="286"/>
        <v>Schedulled</v>
      </c>
      <c r="AN410" s="148" t="str">
        <f t="shared" si="287"/>
        <v/>
      </c>
      <c r="AO410" s="156">
        <f t="shared" si="288"/>
        <v>43063.541666666664</v>
      </c>
      <c r="AP410" s="148" t="str">
        <f t="shared" si="289"/>
        <v>11/24/2017 13:00-&gt;Hillel - Field 4</v>
      </c>
      <c r="AQ410" s="374">
        <f t="shared" si="290"/>
        <v>1</v>
      </c>
      <c r="AR410" s="148" t="str">
        <f t="shared" si="291"/>
        <v>MEX1</v>
      </c>
      <c r="AS410" s="148" t="str">
        <f t="shared" si="292"/>
        <v>VEN1</v>
      </c>
      <c r="AT410" s="157" t="str">
        <f t="shared" si="293"/>
        <v>MEX1-VEN1</v>
      </c>
      <c r="AU410" s="157" t="str">
        <f t="shared" si="294"/>
        <v xml:space="preserve">MEX1-VEN1 </v>
      </c>
      <c r="AV410" s="157" t="str">
        <f t="shared" si="295"/>
        <v>CHILDREN E MALE</v>
      </c>
      <c r="AW410" s="157" t="str">
        <f t="shared" si="296"/>
        <v>Flag Football</v>
      </c>
      <c r="AX410" s="376">
        <f t="shared" si="297"/>
        <v>408</v>
      </c>
      <c r="AY410" s="148" t="str">
        <f t="shared" si="298"/>
        <v>CHILD EM - MEX 1-&gt;CHILD EM - VEN 1</v>
      </c>
      <c r="AZ410" s="148" t="str">
        <f t="shared" si="299"/>
        <v>11/24/2017 13:00-&gt;CHILD EM - MEX 1</v>
      </c>
      <c r="BA410" s="148" t="str">
        <f t="shared" si="300"/>
        <v>11/24/2017 13:00-&gt;CHILD EM - VEN 1</v>
      </c>
      <c r="BB410" s="374">
        <f t="shared" si="301"/>
        <v>1</v>
      </c>
      <c r="BC410" s="374">
        <f t="shared" si="302"/>
        <v>1</v>
      </c>
      <c r="BD410" s="148" t="str">
        <f t="shared" si="303"/>
        <v>no conflict</v>
      </c>
      <c r="BF410" s="148" t="str">
        <f t="shared" si="304"/>
        <v>11/24/2017 13:00-&gt;CHILD EM - MEX 1</v>
      </c>
      <c r="BG410" s="148" t="str">
        <f t="shared" si="305"/>
        <v>11/24/2017 13:00-&gt;CHILD EM - VEN 1</v>
      </c>
      <c r="BH410" s="148" t="str">
        <f t="shared" si="306"/>
        <v>11/24/2017 13:00-&gt;Hillel - Field 4</v>
      </c>
      <c r="BI410" s="148" t="str">
        <f t="shared" si="307"/>
        <v>Flag Football in Hillel - Field 4 (MEX1-VEN1)</v>
      </c>
      <c r="BJ410" s="148" t="str">
        <f t="shared" si="308"/>
        <v>Ch E Male Flag Football-- CHILD EM - MEX 1 vs. CHILD EM - VEN 1</v>
      </c>
      <c r="BK410" s="148" t="str">
        <f t="shared" si="309"/>
        <v>Flag Football</v>
      </c>
      <c r="BL410" s="148" t="str">
        <f t="shared" si="310"/>
        <v>CHILD EM - MEX 1</v>
      </c>
      <c r="BM410" s="148" t="str">
        <f t="shared" si="311"/>
        <v>CHILD EM - VEN 1</v>
      </c>
      <c r="BN410" s="148" t="str">
        <f t="shared" si="312"/>
        <v>Round - 1</v>
      </c>
      <c r="BP410" s="148" t="str">
        <f t="shared" si="313"/>
        <v>no t, f, or sf</v>
      </c>
      <c r="BQ410" s="148" t="str">
        <f t="shared" si="314"/>
        <v/>
      </c>
    </row>
    <row r="411" spans="1:69" ht="15" customHeight="1" x14ac:dyDescent="0.2">
      <c r="A411" s="376">
        <v>409</v>
      </c>
      <c r="B411" s="441" t="s">
        <v>732</v>
      </c>
      <c r="C411" s="441" t="s">
        <v>518</v>
      </c>
      <c r="D411" s="450">
        <v>1</v>
      </c>
      <c r="E411" s="450">
        <v>1</v>
      </c>
      <c r="F411" s="315" t="s">
        <v>770</v>
      </c>
      <c r="G411" s="320">
        <v>43058</v>
      </c>
      <c r="H411" s="318">
        <v>0.36805555555555558</v>
      </c>
      <c r="I411" s="325" t="s">
        <v>770</v>
      </c>
      <c r="J411" s="441" t="s">
        <v>706</v>
      </c>
      <c r="K411" s="441">
        <v>51</v>
      </c>
      <c r="L411" s="319" t="s">
        <v>616</v>
      </c>
      <c r="M411" s="441">
        <v>51</v>
      </c>
      <c r="N411" s="319" t="s">
        <v>618</v>
      </c>
      <c r="O411" s="153" t="str">
        <f>IF(L411&lt;&gt;"",IFERROR(VLOOKUP(B411&amp;L411,Pools!$A$2:$D$130,3,FALSE),""),"")</f>
        <v/>
      </c>
      <c r="P411" s="388">
        <v>6</v>
      </c>
      <c r="Q411" s="388">
        <v>1</v>
      </c>
      <c r="R411" s="306" t="str">
        <f t="shared" si="270"/>
        <v>6-1</v>
      </c>
      <c r="S411" s="153"/>
      <c r="T411" s="148" t="str">
        <f t="shared" si="271"/>
        <v>Completed</v>
      </c>
      <c r="U411" s="153"/>
      <c r="V411" s="153"/>
      <c r="W411" s="387">
        <f t="shared" si="272"/>
        <v>5</v>
      </c>
      <c r="X411" s="387">
        <f t="shared" si="273"/>
        <v>-5</v>
      </c>
      <c r="Y411" s="301">
        <f t="shared" si="274"/>
        <v>2</v>
      </c>
      <c r="Z411" s="301">
        <f t="shared" si="275"/>
        <v>0</v>
      </c>
      <c r="AA411" s="323" t="str">
        <f>CONCATENATE("                x[team1,team2,sport,'",IF(OR(I411="x",I411=""),VLOOKUP('Schedule from TM'!J411,Tables!$P$3:$Q$33,2,FALSE),'Schedule from TM'!I411),",",J411,"','",IF(OR(F411="x",F411=""),VLOOKUP('Schedule from TM'!G411,Tables!$U$3:$V$14,2,FALSE),'Schedule from TM'!F411),",",TEXT(G411,"mm/dd/yyyy"),"','",TEXT(H411,"h:mm:ss AM/PM"),"'].ub=0.0      #",B411)</f>
        <v xml:space="preserve">                x[team1,team2,sport,'21,Hillel - Field 4','11,11/19/2017','8:50:00 AM'].ub=0.0      #Ch E Male Kickball</v>
      </c>
      <c r="AB411" s="301" t="str">
        <f t="shared" si="276"/>
        <v>,,Ch E Male Kickball,,1,CHILD EM - ARG 1</v>
      </c>
      <c r="AC411" s="153" t="str">
        <f t="shared" si="277"/>
        <v>Ch E Male KickballCHILD EM - ARG 1</v>
      </c>
      <c r="AD411" s="301" t="str">
        <f t="shared" si="278"/>
        <v>,,Ch E Male Kickball,,1,CHILD EM - COL 1</v>
      </c>
      <c r="AE411" s="153" t="str">
        <f t="shared" si="279"/>
        <v>Ch E Male KickballCHILD EM - COL 1</v>
      </c>
      <c r="AF411" s="383">
        <f t="shared" si="280"/>
        <v>1</v>
      </c>
      <c r="AG411" s="383">
        <f t="shared" si="281"/>
        <v>0</v>
      </c>
      <c r="AH411" s="383">
        <f t="shared" si="282"/>
        <v>0</v>
      </c>
      <c r="AI411" s="383">
        <f t="shared" si="283"/>
        <v>0</v>
      </c>
      <c r="AJ411" s="383">
        <f t="shared" si="284"/>
        <v>1</v>
      </c>
      <c r="AK411" s="383">
        <f t="shared" si="285"/>
        <v>0</v>
      </c>
      <c r="AM411" s="148" t="str">
        <f t="shared" si="286"/>
        <v>Schedulled</v>
      </c>
      <c r="AN411" s="148" t="str">
        <f t="shared" si="287"/>
        <v/>
      </c>
      <c r="AO411" s="156">
        <f t="shared" si="288"/>
        <v>43058.368055555555</v>
      </c>
      <c r="AP411" s="148" t="str">
        <f t="shared" si="289"/>
        <v>11/19/2017 08:50-&gt;Hillel - Field 4</v>
      </c>
      <c r="AQ411" s="374">
        <f t="shared" si="290"/>
        <v>1</v>
      </c>
      <c r="AR411" s="148" t="str">
        <f t="shared" si="291"/>
        <v>ARG1</v>
      </c>
      <c r="AS411" s="148" t="str">
        <f t="shared" si="292"/>
        <v>COL1</v>
      </c>
      <c r="AT411" s="157" t="str">
        <f t="shared" si="293"/>
        <v>ARG1-COL1</v>
      </c>
      <c r="AU411" s="157" t="str">
        <f t="shared" si="294"/>
        <v xml:space="preserve">ARG1-COL1 </v>
      </c>
      <c r="AV411" s="157" t="str">
        <f t="shared" si="295"/>
        <v>CHILDREN E MALE</v>
      </c>
      <c r="AW411" s="157" t="str">
        <f t="shared" si="296"/>
        <v>Kickball</v>
      </c>
      <c r="AX411" s="376">
        <f t="shared" si="297"/>
        <v>409</v>
      </c>
      <c r="AY411" s="148" t="str">
        <f t="shared" si="298"/>
        <v>CHILD EM - ARG 1-&gt;CHILD EM - COL 1</v>
      </c>
      <c r="AZ411" s="148" t="str">
        <f t="shared" si="299"/>
        <v>11/19/2017 08:50-&gt;CHILD EM - ARG 1</v>
      </c>
      <c r="BA411" s="148" t="str">
        <f t="shared" si="300"/>
        <v>11/19/2017 08:50-&gt;CHILD EM - COL 1</v>
      </c>
      <c r="BB411" s="374">
        <f t="shared" si="301"/>
        <v>1</v>
      </c>
      <c r="BC411" s="374">
        <f t="shared" si="302"/>
        <v>1</v>
      </c>
      <c r="BD411" s="148" t="str">
        <f t="shared" si="303"/>
        <v>no conflict</v>
      </c>
      <c r="BF411" s="148" t="str">
        <f t="shared" si="304"/>
        <v>11/19/2017 08:50-&gt;CHILD EM - ARG 1</v>
      </c>
      <c r="BG411" s="148" t="str">
        <f t="shared" si="305"/>
        <v>11/19/2017 08:50-&gt;CHILD EM - COL 1</v>
      </c>
      <c r="BH411" s="148" t="str">
        <f t="shared" si="306"/>
        <v>11/19/2017 08:50-&gt;Hillel - Field 4</v>
      </c>
      <c r="BI411" s="148" t="str">
        <f t="shared" si="307"/>
        <v>Kickball in Hillel - Field 4 (ARG1-COL1)</v>
      </c>
      <c r="BJ411" s="148" t="str">
        <f t="shared" si="308"/>
        <v>Ch E Male Kickball-- CHILD EM - ARG 1 vs. CHILD EM - COL 1</v>
      </c>
      <c r="BK411" s="148" t="str">
        <f t="shared" si="309"/>
        <v>Kickball</v>
      </c>
      <c r="BL411" s="148" t="str">
        <f t="shared" si="310"/>
        <v>CHILD EM - ARG 1</v>
      </c>
      <c r="BM411" s="148" t="str">
        <f t="shared" si="311"/>
        <v>CHILD EM - COL 1</v>
      </c>
      <c r="BN411" s="148" t="str">
        <f t="shared" si="312"/>
        <v>Round - 1</v>
      </c>
      <c r="BP411" s="148" t="str">
        <f t="shared" si="313"/>
        <v>no t, f, or sf</v>
      </c>
      <c r="BQ411" s="148" t="str">
        <f t="shared" si="314"/>
        <v/>
      </c>
    </row>
    <row r="412" spans="1:69" ht="15" customHeight="1" x14ac:dyDescent="0.2">
      <c r="A412" s="376">
        <v>410</v>
      </c>
      <c r="B412" s="444" t="s">
        <v>732</v>
      </c>
      <c r="C412" s="444" t="s">
        <v>518</v>
      </c>
      <c r="D412" s="451">
        <v>1</v>
      </c>
      <c r="E412" s="451">
        <v>1</v>
      </c>
      <c r="F412" s="315" t="s">
        <v>770</v>
      </c>
      <c r="G412" s="445">
        <v>43058</v>
      </c>
      <c r="H412" s="317">
        <v>0.36805555555555558</v>
      </c>
      <c r="I412" s="325" t="s">
        <v>770</v>
      </c>
      <c r="J412" s="444" t="s">
        <v>703</v>
      </c>
      <c r="K412" s="444">
        <v>51</v>
      </c>
      <c r="L412" s="444" t="s">
        <v>624</v>
      </c>
      <c r="M412" s="444">
        <v>51</v>
      </c>
      <c r="N412" s="444" t="s">
        <v>622</v>
      </c>
      <c r="O412" s="153" t="str">
        <f>IF(L412&lt;&gt;"",IFERROR(VLOOKUP(B412&amp;L412,Pools!$A$2:$D$130,3,FALSE),""),"")</f>
        <v/>
      </c>
      <c r="P412" s="388">
        <v>5</v>
      </c>
      <c r="Q412" s="388">
        <v>2</v>
      </c>
      <c r="R412" s="306" t="str">
        <f t="shared" si="270"/>
        <v>5-2</v>
      </c>
      <c r="S412" s="153"/>
      <c r="T412" s="148" t="str">
        <f t="shared" si="271"/>
        <v>Completed</v>
      </c>
      <c r="U412" s="153"/>
      <c r="V412" s="153"/>
      <c r="W412" s="387">
        <f t="shared" si="272"/>
        <v>3</v>
      </c>
      <c r="X412" s="387">
        <f t="shared" si="273"/>
        <v>-3</v>
      </c>
      <c r="Y412" s="301">
        <f t="shared" si="274"/>
        <v>2</v>
      </c>
      <c r="Z412" s="301">
        <f t="shared" si="275"/>
        <v>0</v>
      </c>
      <c r="AA412" s="323" t="str">
        <f>CONCATENATE("                x[team1,team2,sport,'",IF(OR(I412="x",I412=""),VLOOKUP('Schedule from TM'!J412,Tables!$P$3:$Q$33,2,FALSE),'Schedule from TM'!I412),",",J412,"','",IF(OR(F412="x",F412=""),VLOOKUP('Schedule from TM'!G412,Tables!$U$3:$V$14,2,FALSE),'Schedule from TM'!F412),",",TEXT(G412,"mm/dd/yyyy"),"','",TEXT(H412,"h:mm:ss AM/PM"),"'].ub=0.0      #",B412)</f>
        <v xml:space="preserve">                x[team1,team2,sport,'21,Hillel - Field 1','11,11/19/2017','8:50:00 AM'].ub=0.0      #Ch E Male Kickball</v>
      </c>
      <c r="AB412" s="301" t="str">
        <f t="shared" si="276"/>
        <v>,,Ch E Male Kickball,,1,CHILD EM - VEN 1</v>
      </c>
      <c r="AC412" s="153" t="str">
        <f t="shared" si="277"/>
        <v>Ch E Male KickballCHILD EM - VEN 1</v>
      </c>
      <c r="AD412" s="301" t="str">
        <f t="shared" si="278"/>
        <v>,,Ch E Male Kickball,,1,CHILD EM - USA 2</v>
      </c>
      <c r="AE412" s="153" t="str">
        <f t="shared" si="279"/>
        <v>Ch E Male KickballCHILD EM - USA 2</v>
      </c>
      <c r="AF412" s="383">
        <f t="shared" si="280"/>
        <v>1</v>
      </c>
      <c r="AG412" s="383">
        <f t="shared" si="281"/>
        <v>0</v>
      </c>
      <c r="AH412" s="383">
        <f t="shared" si="282"/>
        <v>0</v>
      </c>
      <c r="AI412" s="383">
        <f t="shared" si="283"/>
        <v>0</v>
      </c>
      <c r="AJ412" s="383">
        <f t="shared" si="284"/>
        <v>1</v>
      </c>
      <c r="AK412" s="383">
        <f t="shared" si="285"/>
        <v>0</v>
      </c>
      <c r="AM412" s="148" t="str">
        <f t="shared" si="286"/>
        <v>Schedulled</v>
      </c>
      <c r="AN412" s="148" t="str">
        <f t="shared" si="287"/>
        <v/>
      </c>
      <c r="AO412" s="156">
        <f t="shared" si="288"/>
        <v>43058.368055555555</v>
      </c>
      <c r="AP412" s="148" t="str">
        <f t="shared" si="289"/>
        <v>11/19/2017 08:50-&gt;Hillel - Field 1</v>
      </c>
      <c r="AQ412" s="374">
        <f t="shared" si="290"/>
        <v>1</v>
      </c>
      <c r="AR412" s="148" t="str">
        <f t="shared" si="291"/>
        <v>VEN1</v>
      </c>
      <c r="AS412" s="148" t="str">
        <f t="shared" si="292"/>
        <v>USA2</v>
      </c>
      <c r="AT412" s="157" t="str">
        <f t="shared" si="293"/>
        <v>VEN1-USA2</v>
      </c>
      <c r="AU412" s="157" t="str">
        <f t="shared" si="294"/>
        <v xml:space="preserve">VEN1-USA2 </v>
      </c>
      <c r="AV412" s="157" t="str">
        <f t="shared" si="295"/>
        <v>CHILDREN E MALE</v>
      </c>
      <c r="AW412" s="157" t="str">
        <f t="shared" si="296"/>
        <v>Kickball</v>
      </c>
      <c r="AX412" s="376">
        <f t="shared" si="297"/>
        <v>410</v>
      </c>
      <c r="AY412" s="148" t="str">
        <f t="shared" si="298"/>
        <v>CHILD EM - VEN 1-&gt;CHILD EM - USA 2</v>
      </c>
      <c r="AZ412" s="148" t="str">
        <f t="shared" si="299"/>
        <v>11/19/2017 08:50-&gt;CHILD EM - VEN 1</v>
      </c>
      <c r="BA412" s="148" t="str">
        <f t="shared" si="300"/>
        <v>11/19/2017 08:50-&gt;CHILD EM - USA 2</v>
      </c>
      <c r="BB412" s="374">
        <f t="shared" si="301"/>
        <v>1</v>
      </c>
      <c r="BC412" s="374">
        <f t="shared" si="302"/>
        <v>1</v>
      </c>
      <c r="BD412" s="148" t="str">
        <f t="shared" si="303"/>
        <v>no conflict</v>
      </c>
      <c r="BF412" s="148" t="str">
        <f t="shared" si="304"/>
        <v>11/19/2017 08:50-&gt;CHILD EM - VEN 1</v>
      </c>
      <c r="BG412" s="148" t="str">
        <f t="shared" si="305"/>
        <v>11/19/2017 08:50-&gt;CHILD EM - USA 2</v>
      </c>
      <c r="BH412" s="148" t="str">
        <f t="shared" si="306"/>
        <v>11/19/2017 08:50-&gt;Hillel - Field 1</v>
      </c>
      <c r="BI412" s="148" t="str">
        <f t="shared" si="307"/>
        <v>Kickball in Hillel - Field 1 (VEN1-USA2)</v>
      </c>
      <c r="BJ412" s="148" t="str">
        <f t="shared" si="308"/>
        <v>Ch E Male Kickball-- CHILD EM - VEN 1 vs. CHILD EM - USA 2</v>
      </c>
      <c r="BK412" s="148" t="str">
        <f t="shared" si="309"/>
        <v>Kickball</v>
      </c>
      <c r="BL412" s="148" t="str">
        <f t="shared" si="310"/>
        <v>CHILD EM - VEN 1</v>
      </c>
      <c r="BM412" s="148" t="str">
        <f t="shared" si="311"/>
        <v>CHILD EM - USA 2</v>
      </c>
      <c r="BN412" s="148" t="str">
        <f t="shared" si="312"/>
        <v>Round - 1</v>
      </c>
      <c r="BP412" s="148" t="str">
        <f t="shared" si="313"/>
        <v>no t, f, or sf</v>
      </c>
      <c r="BQ412" s="148" t="str">
        <f t="shared" si="314"/>
        <v/>
      </c>
    </row>
    <row r="413" spans="1:69" ht="15" customHeight="1" x14ac:dyDescent="0.2">
      <c r="A413" s="376">
        <v>411</v>
      </c>
      <c r="B413" s="441" t="s">
        <v>732</v>
      </c>
      <c r="C413" s="441" t="s">
        <v>518</v>
      </c>
      <c r="D413" s="450">
        <v>1</v>
      </c>
      <c r="E413" s="450">
        <v>1</v>
      </c>
      <c r="F413" s="315" t="s">
        <v>770</v>
      </c>
      <c r="G413" s="320">
        <v>43059</v>
      </c>
      <c r="H413" s="318">
        <v>0.75</v>
      </c>
      <c r="I413" s="325" t="s">
        <v>770</v>
      </c>
      <c r="J413" s="441" t="s">
        <v>703</v>
      </c>
      <c r="K413" s="441">
        <v>51</v>
      </c>
      <c r="L413" s="319" t="s">
        <v>618</v>
      </c>
      <c r="M413" s="441">
        <v>51</v>
      </c>
      <c r="N413" s="319" t="s">
        <v>624</v>
      </c>
      <c r="O413" s="153" t="str">
        <f>IF(L413&lt;&gt;"",IFERROR(VLOOKUP(B413&amp;L413,Pools!$A$2:$D$130,3,FALSE),""),"")</f>
        <v/>
      </c>
      <c r="P413" s="388">
        <v>7</v>
      </c>
      <c r="Q413" s="388">
        <v>8</v>
      </c>
      <c r="R413" s="306" t="str">
        <f t="shared" si="270"/>
        <v>7-8</v>
      </c>
      <c r="S413" s="153"/>
      <c r="T413" s="148" t="str">
        <f t="shared" si="271"/>
        <v>Completed</v>
      </c>
      <c r="U413" s="153"/>
      <c r="V413" s="153"/>
      <c r="W413" s="387">
        <f t="shared" si="272"/>
        <v>-1</v>
      </c>
      <c r="X413" s="387">
        <f t="shared" si="273"/>
        <v>1</v>
      </c>
      <c r="Y413" s="301">
        <f t="shared" si="274"/>
        <v>0</v>
      </c>
      <c r="Z413" s="301">
        <f t="shared" si="275"/>
        <v>2</v>
      </c>
      <c r="AA413" s="323" t="str">
        <f>CONCATENATE("                x[team1,team2,sport,'",IF(OR(I413="x",I413=""),VLOOKUP('Schedule from TM'!J413,Tables!$P$3:$Q$33,2,FALSE),'Schedule from TM'!I413),",",J413,"','",IF(OR(F413="x",F413=""),VLOOKUP('Schedule from TM'!G413,Tables!$U$3:$V$14,2,FALSE),'Schedule from TM'!F413),",",TEXT(G413,"mm/dd/yyyy"),"','",TEXT(H413,"h:mm:ss AM/PM"),"'].ub=0.0      #",B413)</f>
        <v xml:space="preserve">                x[team1,team2,sport,'21,Hillel - Field 1','22,11/20/2017','6:00:00 PM'].ub=0.0      #Ch E Male Kickball</v>
      </c>
      <c r="AB413" s="301" t="str">
        <f t="shared" si="276"/>
        <v>,,Ch E Male Kickball,,1,CHILD EM - COL 1</v>
      </c>
      <c r="AC413" s="153" t="str">
        <f t="shared" si="277"/>
        <v>Ch E Male KickballCHILD EM - COL 1</v>
      </c>
      <c r="AD413" s="301" t="str">
        <f t="shared" si="278"/>
        <v>,,Ch E Male Kickball,,1,CHILD EM - VEN 1</v>
      </c>
      <c r="AE413" s="153" t="str">
        <f t="shared" si="279"/>
        <v>Ch E Male KickballCHILD EM - VEN 1</v>
      </c>
      <c r="AF413" s="383">
        <f t="shared" si="280"/>
        <v>0</v>
      </c>
      <c r="AG413" s="383">
        <f t="shared" si="281"/>
        <v>1</v>
      </c>
      <c r="AH413" s="383">
        <f t="shared" si="282"/>
        <v>0</v>
      </c>
      <c r="AI413" s="383">
        <f t="shared" si="283"/>
        <v>1</v>
      </c>
      <c r="AJ413" s="383">
        <f t="shared" si="284"/>
        <v>0</v>
      </c>
      <c r="AK413" s="383">
        <f t="shared" si="285"/>
        <v>0</v>
      </c>
      <c r="AM413" s="148" t="str">
        <f t="shared" si="286"/>
        <v>Schedulled</v>
      </c>
      <c r="AN413" s="148" t="str">
        <f t="shared" si="287"/>
        <v/>
      </c>
      <c r="AO413" s="156">
        <f t="shared" si="288"/>
        <v>43059.75</v>
      </c>
      <c r="AP413" s="148" t="str">
        <f t="shared" si="289"/>
        <v>11/20/2017 18:00-&gt;Hillel - Field 1</v>
      </c>
      <c r="AQ413" s="374">
        <f t="shared" si="290"/>
        <v>1</v>
      </c>
      <c r="AR413" s="148" t="str">
        <f t="shared" si="291"/>
        <v>COL1</v>
      </c>
      <c r="AS413" s="148" t="str">
        <f t="shared" si="292"/>
        <v>VEN1</v>
      </c>
      <c r="AT413" s="157" t="str">
        <f t="shared" si="293"/>
        <v>COL1-VEN1</v>
      </c>
      <c r="AU413" s="157" t="str">
        <f t="shared" si="294"/>
        <v xml:space="preserve">COL1-VEN1 </v>
      </c>
      <c r="AV413" s="157" t="str">
        <f t="shared" si="295"/>
        <v>CHILDREN E MALE</v>
      </c>
      <c r="AW413" s="157" t="str">
        <f t="shared" si="296"/>
        <v>Kickball</v>
      </c>
      <c r="AX413" s="376">
        <f t="shared" si="297"/>
        <v>411</v>
      </c>
      <c r="AY413" s="148" t="str">
        <f t="shared" si="298"/>
        <v>CHILD EM - COL 1-&gt;CHILD EM - VEN 1</v>
      </c>
      <c r="AZ413" s="148" t="str">
        <f t="shared" si="299"/>
        <v>11/20/2017 18:00-&gt;CHILD EM - COL 1</v>
      </c>
      <c r="BA413" s="148" t="str">
        <f t="shared" si="300"/>
        <v>11/20/2017 18:00-&gt;CHILD EM - VEN 1</v>
      </c>
      <c r="BB413" s="374">
        <f t="shared" si="301"/>
        <v>1</v>
      </c>
      <c r="BC413" s="374">
        <f t="shared" si="302"/>
        <v>1</v>
      </c>
      <c r="BD413" s="148" t="str">
        <f t="shared" si="303"/>
        <v>no conflict</v>
      </c>
      <c r="BF413" s="148" t="str">
        <f t="shared" si="304"/>
        <v>11/20/2017 18:00-&gt;CHILD EM - COL 1</v>
      </c>
      <c r="BG413" s="148" t="str">
        <f t="shared" si="305"/>
        <v>11/20/2017 18:00-&gt;CHILD EM - VEN 1</v>
      </c>
      <c r="BH413" s="148" t="str">
        <f t="shared" si="306"/>
        <v>11/20/2017 18:00-&gt;Hillel - Field 1</v>
      </c>
      <c r="BI413" s="148" t="str">
        <f t="shared" si="307"/>
        <v>Kickball in Hillel - Field 1 (COL1-VEN1)</v>
      </c>
      <c r="BJ413" s="148" t="str">
        <f t="shared" si="308"/>
        <v>Ch E Male Kickball-- CHILD EM - COL 1 vs. CHILD EM - VEN 1</v>
      </c>
      <c r="BK413" s="148" t="str">
        <f t="shared" si="309"/>
        <v>Kickball</v>
      </c>
      <c r="BL413" s="148" t="str">
        <f t="shared" si="310"/>
        <v>CHILD EM - COL 1</v>
      </c>
      <c r="BM413" s="148" t="str">
        <f t="shared" si="311"/>
        <v>CHILD EM - VEN 1</v>
      </c>
      <c r="BN413" s="148" t="str">
        <f t="shared" si="312"/>
        <v>Round - 1</v>
      </c>
      <c r="BP413" s="148" t="str">
        <f t="shared" si="313"/>
        <v>no t, f, or sf</v>
      </c>
      <c r="BQ413" s="148" t="str">
        <f t="shared" si="314"/>
        <v/>
      </c>
    </row>
    <row r="414" spans="1:69" ht="15" customHeight="1" x14ac:dyDescent="0.2">
      <c r="A414" s="376">
        <v>412</v>
      </c>
      <c r="B414" s="443" t="s">
        <v>732</v>
      </c>
      <c r="C414" s="315" t="s">
        <v>518</v>
      </c>
      <c r="D414" s="378">
        <v>1</v>
      </c>
      <c r="E414" s="378">
        <v>1</v>
      </c>
      <c r="F414" s="315" t="s">
        <v>770</v>
      </c>
      <c r="G414" s="316">
        <v>43060</v>
      </c>
      <c r="H414" s="317">
        <v>0.75</v>
      </c>
      <c r="I414" s="325" t="s">
        <v>770</v>
      </c>
      <c r="J414" s="444" t="s">
        <v>705</v>
      </c>
      <c r="K414" s="315">
        <v>51</v>
      </c>
      <c r="L414" s="315" t="s">
        <v>616</v>
      </c>
      <c r="M414" s="315">
        <v>51</v>
      </c>
      <c r="N414" s="315" t="s">
        <v>625</v>
      </c>
      <c r="O414" s="153" t="str">
        <f>IF(L414&lt;&gt;"",IFERROR(VLOOKUP(B414&amp;L414,Pools!$A$2:$D$130,3,FALSE),""),"")</f>
        <v/>
      </c>
      <c r="P414" s="388">
        <v>7</v>
      </c>
      <c r="Q414" s="388">
        <v>3</v>
      </c>
      <c r="R414" s="306" t="str">
        <f t="shared" si="270"/>
        <v>7-3</v>
      </c>
      <c r="S414" s="153"/>
      <c r="T414" s="148" t="str">
        <f t="shared" si="271"/>
        <v>Completed</v>
      </c>
      <c r="U414" s="153"/>
      <c r="V414" s="153"/>
      <c r="W414" s="387">
        <f t="shared" si="272"/>
        <v>4</v>
      </c>
      <c r="X414" s="387">
        <f t="shared" si="273"/>
        <v>-4</v>
      </c>
      <c r="Y414" s="301">
        <f t="shared" si="274"/>
        <v>2</v>
      </c>
      <c r="Z414" s="301">
        <f t="shared" si="275"/>
        <v>0</v>
      </c>
      <c r="AA414" s="323" t="str">
        <f>CONCATENATE("                x[team1,team2,sport,'",IF(OR(I414="x",I414=""),VLOOKUP('Schedule from TM'!J414,Tables!$P$3:$Q$33,2,FALSE),'Schedule from TM'!I414),",",J414,"','",IF(OR(F414="x",F414=""),VLOOKUP('Schedule from TM'!G414,Tables!$U$3:$V$14,2,FALSE),'Schedule from TM'!F414),",",TEXT(G414,"mm/dd/yyyy"),"','",TEXT(H414,"h:mm:ss AM/PM"),"'].ub=0.0      #",B414)</f>
        <v xml:space="preserve">                x[team1,team2,sport,'21,Hillel - Field 3','22,11/21/2017','6:00:00 PM'].ub=0.0      #Ch E Male Kickball</v>
      </c>
      <c r="AB414" s="301" t="str">
        <f t="shared" si="276"/>
        <v>,,Ch E Male Kickball,,1,CHILD EM - ARG 1</v>
      </c>
      <c r="AC414" s="153" t="str">
        <f t="shared" si="277"/>
        <v>Ch E Male KickballCHILD EM - ARG 1</v>
      </c>
      <c r="AD414" s="301" t="str">
        <f t="shared" si="278"/>
        <v>,,Ch E Male Kickball,,1,CHILD EM - VEN 2</v>
      </c>
      <c r="AE414" s="153" t="str">
        <f t="shared" si="279"/>
        <v>Ch E Male KickballCHILD EM - VEN 2</v>
      </c>
      <c r="AF414" s="383">
        <f t="shared" si="280"/>
        <v>1</v>
      </c>
      <c r="AG414" s="383">
        <f t="shared" si="281"/>
        <v>0</v>
      </c>
      <c r="AH414" s="383">
        <f t="shared" si="282"/>
        <v>0</v>
      </c>
      <c r="AI414" s="383">
        <f t="shared" si="283"/>
        <v>0</v>
      </c>
      <c r="AJ414" s="383">
        <f t="shared" si="284"/>
        <v>1</v>
      </c>
      <c r="AK414" s="383">
        <f t="shared" si="285"/>
        <v>0</v>
      </c>
      <c r="AM414" s="148" t="str">
        <f t="shared" si="286"/>
        <v>Schedulled</v>
      </c>
      <c r="AN414" s="148" t="str">
        <f t="shared" si="287"/>
        <v/>
      </c>
      <c r="AO414" s="156">
        <f t="shared" si="288"/>
        <v>43060.75</v>
      </c>
      <c r="AP414" s="148" t="str">
        <f t="shared" si="289"/>
        <v>11/21/2017 18:00-&gt;Hillel - Field 3</v>
      </c>
      <c r="AQ414" s="374">
        <f t="shared" si="290"/>
        <v>1</v>
      </c>
      <c r="AR414" s="148" t="str">
        <f t="shared" si="291"/>
        <v>ARG1</v>
      </c>
      <c r="AS414" s="148" t="str">
        <f t="shared" si="292"/>
        <v>VEN2</v>
      </c>
      <c r="AT414" s="157" t="str">
        <f t="shared" si="293"/>
        <v>ARG1-VEN2</v>
      </c>
      <c r="AU414" s="157" t="str">
        <f t="shared" si="294"/>
        <v xml:space="preserve">ARG1-VEN2 </v>
      </c>
      <c r="AV414" s="157" t="str">
        <f t="shared" si="295"/>
        <v>CHILDREN E MALE</v>
      </c>
      <c r="AW414" s="157" t="str">
        <f t="shared" si="296"/>
        <v>Kickball</v>
      </c>
      <c r="AX414" s="376">
        <f t="shared" si="297"/>
        <v>412</v>
      </c>
      <c r="AY414" s="148" t="str">
        <f t="shared" si="298"/>
        <v>CHILD EM - ARG 1-&gt;CHILD EM - VEN 2</v>
      </c>
      <c r="AZ414" s="148" t="str">
        <f t="shared" si="299"/>
        <v>11/21/2017 18:00-&gt;CHILD EM - ARG 1</v>
      </c>
      <c r="BA414" s="148" t="str">
        <f t="shared" si="300"/>
        <v>11/21/2017 18:00-&gt;CHILD EM - VEN 2</v>
      </c>
      <c r="BB414" s="374">
        <f t="shared" si="301"/>
        <v>1</v>
      </c>
      <c r="BC414" s="374">
        <f t="shared" si="302"/>
        <v>1</v>
      </c>
      <c r="BD414" s="148" t="str">
        <f t="shared" si="303"/>
        <v>no conflict</v>
      </c>
      <c r="BF414" s="148" t="str">
        <f t="shared" si="304"/>
        <v>11/21/2017 18:00-&gt;CHILD EM - ARG 1</v>
      </c>
      <c r="BG414" s="148" t="str">
        <f t="shared" si="305"/>
        <v>11/21/2017 18:00-&gt;CHILD EM - VEN 2</v>
      </c>
      <c r="BH414" s="148" t="str">
        <f t="shared" si="306"/>
        <v>11/21/2017 18:00-&gt;Hillel - Field 3</v>
      </c>
      <c r="BI414" s="148" t="str">
        <f t="shared" si="307"/>
        <v>Kickball in Hillel - Field 3 (ARG1-VEN2)</v>
      </c>
      <c r="BJ414" s="148" t="str">
        <f t="shared" si="308"/>
        <v>Ch E Male Kickball-- CHILD EM - ARG 1 vs. CHILD EM - VEN 2</v>
      </c>
      <c r="BK414" s="148" t="str">
        <f t="shared" si="309"/>
        <v>Kickball</v>
      </c>
      <c r="BL414" s="148" t="str">
        <f t="shared" si="310"/>
        <v>CHILD EM - ARG 1</v>
      </c>
      <c r="BM414" s="148" t="str">
        <f t="shared" si="311"/>
        <v>CHILD EM - VEN 2</v>
      </c>
      <c r="BN414" s="148" t="str">
        <f t="shared" si="312"/>
        <v>Round - 1</v>
      </c>
      <c r="BP414" s="148" t="str">
        <f t="shared" si="313"/>
        <v>no t, f, or sf</v>
      </c>
      <c r="BQ414" s="148" t="str">
        <f t="shared" si="314"/>
        <v/>
      </c>
    </row>
    <row r="415" spans="1:69" ht="15" customHeight="1" x14ac:dyDescent="0.2">
      <c r="A415" s="376">
        <v>413</v>
      </c>
      <c r="B415" s="319" t="s">
        <v>732</v>
      </c>
      <c r="C415" s="319" t="s">
        <v>518</v>
      </c>
      <c r="D415" s="376">
        <v>1</v>
      </c>
      <c r="E415" s="376">
        <v>1</v>
      </c>
      <c r="F415" s="315" t="s">
        <v>770</v>
      </c>
      <c r="G415" s="320">
        <v>43060</v>
      </c>
      <c r="H415" s="318">
        <v>0.75</v>
      </c>
      <c r="I415" s="325" t="s">
        <v>770</v>
      </c>
      <c r="J415" s="319" t="s">
        <v>703</v>
      </c>
      <c r="K415" s="319">
        <v>51</v>
      </c>
      <c r="L415" s="319" t="s">
        <v>621</v>
      </c>
      <c r="M415" s="319">
        <v>51</v>
      </c>
      <c r="N415" s="319" t="s">
        <v>624</v>
      </c>
      <c r="O415" s="153" t="str">
        <f>IF(L415&lt;&gt;"",IFERROR(VLOOKUP(B415&amp;L415,Pools!$A$2:$D$130,3,FALSE),""),"")</f>
        <v/>
      </c>
      <c r="P415" s="388">
        <v>0</v>
      </c>
      <c r="Q415" s="388">
        <v>5</v>
      </c>
      <c r="R415" s="306" t="str">
        <f t="shared" si="270"/>
        <v>0-5</v>
      </c>
      <c r="S415" s="153"/>
      <c r="T415" s="148" t="str">
        <f t="shared" si="271"/>
        <v>Completed</v>
      </c>
      <c r="U415" s="153"/>
      <c r="V415" s="153"/>
      <c r="W415" s="387">
        <f t="shared" si="272"/>
        <v>-5</v>
      </c>
      <c r="X415" s="387">
        <f t="shared" si="273"/>
        <v>5</v>
      </c>
      <c r="Y415" s="301">
        <f t="shared" si="274"/>
        <v>0</v>
      </c>
      <c r="Z415" s="301">
        <f t="shared" si="275"/>
        <v>2</v>
      </c>
      <c r="AA415" s="323" t="str">
        <f>CONCATENATE("                x[team1,team2,sport,'",IF(OR(I415="x",I415=""),VLOOKUP('Schedule from TM'!J415,Tables!$P$3:$Q$33,2,FALSE),'Schedule from TM'!I415),",",J415,"','",IF(OR(F415="x",F415=""),VLOOKUP('Schedule from TM'!G415,Tables!$U$3:$V$14,2,FALSE),'Schedule from TM'!F415),",",TEXT(G415,"mm/dd/yyyy"),"','",TEXT(H415,"h:mm:ss AM/PM"),"'].ub=0.0      #",B415)</f>
        <v xml:space="preserve">                x[team1,team2,sport,'21,Hillel - Field 1','22,11/21/2017','6:00:00 PM'].ub=0.0      #Ch E Male Kickball</v>
      </c>
      <c r="AB415" s="301" t="str">
        <f t="shared" si="276"/>
        <v>,,Ch E Male Kickball,,1,CHILD EM - USA 1</v>
      </c>
      <c r="AC415" s="153" t="str">
        <f t="shared" si="277"/>
        <v>Ch E Male KickballCHILD EM - USA 1</v>
      </c>
      <c r="AD415" s="301" t="str">
        <f t="shared" si="278"/>
        <v>,,Ch E Male Kickball,,1,CHILD EM - VEN 1</v>
      </c>
      <c r="AE415" s="153" t="str">
        <f t="shared" si="279"/>
        <v>Ch E Male KickballCHILD EM - VEN 1</v>
      </c>
      <c r="AF415" s="383">
        <f t="shared" si="280"/>
        <v>0</v>
      </c>
      <c r="AG415" s="383">
        <f t="shared" si="281"/>
        <v>1</v>
      </c>
      <c r="AH415" s="383">
        <f t="shared" si="282"/>
        <v>0</v>
      </c>
      <c r="AI415" s="383">
        <f t="shared" si="283"/>
        <v>1</v>
      </c>
      <c r="AJ415" s="383">
        <f t="shared" si="284"/>
        <v>0</v>
      </c>
      <c r="AK415" s="383">
        <f t="shared" si="285"/>
        <v>0</v>
      </c>
      <c r="AM415" s="148" t="str">
        <f t="shared" si="286"/>
        <v>Schedulled</v>
      </c>
      <c r="AN415" s="148" t="str">
        <f t="shared" si="287"/>
        <v/>
      </c>
      <c r="AO415" s="156">
        <f t="shared" si="288"/>
        <v>43060.75</v>
      </c>
      <c r="AP415" s="148" t="str">
        <f t="shared" si="289"/>
        <v>11/21/2017 18:00-&gt;Hillel - Field 1</v>
      </c>
      <c r="AQ415" s="374">
        <f t="shared" si="290"/>
        <v>1</v>
      </c>
      <c r="AR415" s="148" t="str">
        <f t="shared" si="291"/>
        <v>USA1</v>
      </c>
      <c r="AS415" s="148" t="str">
        <f t="shared" si="292"/>
        <v>VEN1</v>
      </c>
      <c r="AT415" s="157" t="str">
        <f t="shared" si="293"/>
        <v>USA1-VEN1</v>
      </c>
      <c r="AU415" s="157" t="str">
        <f t="shared" si="294"/>
        <v xml:space="preserve">USA1-VEN1 </v>
      </c>
      <c r="AV415" s="157" t="str">
        <f t="shared" si="295"/>
        <v>CHILDREN E MALE</v>
      </c>
      <c r="AW415" s="157" t="str">
        <f t="shared" si="296"/>
        <v>Kickball</v>
      </c>
      <c r="AX415" s="376">
        <f t="shared" si="297"/>
        <v>413</v>
      </c>
      <c r="AY415" s="148" t="str">
        <f t="shared" si="298"/>
        <v>CHILD EM - USA 1-&gt;CHILD EM - VEN 1</v>
      </c>
      <c r="AZ415" s="148" t="str">
        <f t="shared" si="299"/>
        <v>11/21/2017 18:00-&gt;CHILD EM - USA 1</v>
      </c>
      <c r="BA415" s="148" t="str">
        <f t="shared" si="300"/>
        <v>11/21/2017 18:00-&gt;CHILD EM - VEN 1</v>
      </c>
      <c r="BB415" s="374">
        <f t="shared" si="301"/>
        <v>1</v>
      </c>
      <c r="BC415" s="374">
        <f t="shared" si="302"/>
        <v>1</v>
      </c>
      <c r="BD415" s="148" t="str">
        <f t="shared" si="303"/>
        <v>no conflict</v>
      </c>
      <c r="BF415" s="148" t="str">
        <f t="shared" si="304"/>
        <v>11/21/2017 18:00-&gt;CHILD EM - USA 1</v>
      </c>
      <c r="BG415" s="148" t="str">
        <f t="shared" si="305"/>
        <v>11/21/2017 18:00-&gt;CHILD EM - VEN 1</v>
      </c>
      <c r="BH415" s="148" t="str">
        <f t="shared" si="306"/>
        <v>11/21/2017 18:00-&gt;Hillel - Field 1</v>
      </c>
      <c r="BI415" s="148" t="str">
        <f t="shared" si="307"/>
        <v>Kickball in Hillel - Field 1 (USA1-VEN1)</v>
      </c>
      <c r="BJ415" s="148" t="str">
        <f t="shared" si="308"/>
        <v>Ch E Male Kickball-- CHILD EM - USA 1 vs. CHILD EM - VEN 1</v>
      </c>
      <c r="BK415" s="148" t="str">
        <f t="shared" si="309"/>
        <v>Kickball</v>
      </c>
      <c r="BL415" s="148" t="str">
        <f t="shared" si="310"/>
        <v>CHILD EM - USA 1</v>
      </c>
      <c r="BM415" s="148" t="str">
        <f t="shared" si="311"/>
        <v>CHILD EM - VEN 1</v>
      </c>
      <c r="BN415" s="148" t="str">
        <f t="shared" si="312"/>
        <v>Round - 1</v>
      </c>
      <c r="BP415" s="148" t="str">
        <f t="shared" si="313"/>
        <v>no t, f, or sf</v>
      </c>
      <c r="BQ415" s="148" t="str">
        <f t="shared" si="314"/>
        <v/>
      </c>
    </row>
    <row r="416" spans="1:69" ht="15" customHeight="1" x14ac:dyDescent="0.2">
      <c r="A416" s="376">
        <v>414</v>
      </c>
      <c r="B416" s="441" t="s">
        <v>732</v>
      </c>
      <c r="C416" s="441" t="s">
        <v>518</v>
      </c>
      <c r="D416" s="450">
        <v>1</v>
      </c>
      <c r="E416" s="450">
        <v>1</v>
      </c>
      <c r="F416" s="315" t="s">
        <v>770</v>
      </c>
      <c r="G416" s="320">
        <v>43061</v>
      </c>
      <c r="H416" s="317">
        <v>0.68055555555555547</v>
      </c>
      <c r="I416" s="325" t="s">
        <v>770</v>
      </c>
      <c r="J416" s="441" t="s">
        <v>704</v>
      </c>
      <c r="K416" s="441">
        <v>51</v>
      </c>
      <c r="L416" s="319" t="s">
        <v>618</v>
      </c>
      <c r="M416" s="441">
        <v>51</v>
      </c>
      <c r="N416" s="319" t="s">
        <v>625</v>
      </c>
      <c r="O416" s="153" t="str">
        <f>IF(L416&lt;&gt;"",IFERROR(VLOOKUP(B416&amp;L416,Pools!$A$2:$D$130,3,FALSE),""),"")</f>
        <v/>
      </c>
      <c r="P416" s="388">
        <v>1</v>
      </c>
      <c r="Q416" s="388">
        <v>9</v>
      </c>
      <c r="R416" s="306" t="str">
        <f t="shared" si="270"/>
        <v>1-9</v>
      </c>
      <c r="S416" s="153"/>
      <c r="T416" s="148" t="str">
        <f t="shared" si="271"/>
        <v>Completed</v>
      </c>
      <c r="U416" s="153"/>
      <c r="V416" s="153"/>
      <c r="W416" s="387">
        <f t="shared" si="272"/>
        <v>-5</v>
      </c>
      <c r="X416" s="387">
        <f t="shared" si="273"/>
        <v>5</v>
      </c>
      <c r="Y416" s="301">
        <f t="shared" si="274"/>
        <v>0</v>
      </c>
      <c r="Z416" s="301">
        <f t="shared" si="275"/>
        <v>2</v>
      </c>
      <c r="AA416" s="323" t="str">
        <f>CONCATENATE("                x[team1,team2,sport,'",IF(OR(I416="x",I416=""),VLOOKUP('Schedule from TM'!J416,Tables!$P$3:$Q$33,2,FALSE),'Schedule from TM'!I416),",",J416,"','",IF(OR(F416="x",F416=""),VLOOKUP('Schedule from TM'!G416,Tables!$U$3:$V$14,2,FALSE),'Schedule from TM'!F416),",",TEXT(G416,"mm/dd/yyyy"),"','",TEXT(H416,"h:mm:ss AM/PM"),"'].ub=0.0      #",B416)</f>
        <v xml:space="preserve">                x[team1,team2,sport,'21,Hillel - Field 2','22,11/22/2017','4:20:00 PM'].ub=0.0      #Ch E Male Kickball</v>
      </c>
      <c r="AB416" s="301" t="str">
        <f t="shared" si="276"/>
        <v>,,Ch E Male Kickball,,1,CHILD EM - COL 1</v>
      </c>
      <c r="AC416" s="153" t="str">
        <f t="shared" si="277"/>
        <v>Ch E Male KickballCHILD EM - COL 1</v>
      </c>
      <c r="AD416" s="301" t="str">
        <f t="shared" si="278"/>
        <v>,,Ch E Male Kickball,,1,CHILD EM - VEN 2</v>
      </c>
      <c r="AE416" s="153" t="str">
        <f t="shared" si="279"/>
        <v>Ch E Male KickballCHILD EM - VEN 2</v>
      </c>
      <c r="AF416" s="383">
        <f t="shared" si="280"/>
        <v>0</v>
      </c>
      <c r="AG416" s="383">
        <f t="shared" si="281"/>
        <v>1</v>
      </c>
      <c r="AH416" s="383">
        <f t="shared" si="282"/>
        <v>0</v>
      </c>
      <c r="AI416" s="383">
        <f t="shared" si="283"/>
        <v>1</v>
      </c>
      <c r="AJ416" s="383">
        <f t="shared" si="284"/>
        <v>0</v>
      </c>
      <c r="AK416" s="383">
        <f t="shared" si="285"/>
        <v>0</v>
      </c>
      <c r="AM416" s="148" t="str">
        <f t="shared" si="286"/>
        <v>Schedulled</v>
      </c>
      <c r="AN416" s="148" t="str">
        <f t="shared" si="287"/>
        <v/>
      </c>
      <c r="AO416" s="156">
        <f t="shared" si="288"/>
        <v>43061.680555555555</v>
      </c>
      <c r="AP416" s="148" t="str">
        <f t="shared" si="289"/>
        <v>11/22/2017 16:20-&gt;Hillel - Field 2</v>
      </c>
      <c r="AQ416" s="374">
        <f t="shared" si="290"/>
        <v>1</v>
      </c>
      <c r="AR416" s="148" t="str">
        <f t="shared" si="291"/>
        <v>COL1</v>
      </c>
      <c r="AS416" s="148" t="str">
        <f t="shared" si="292"/>
        <v>VEN2</v>
      </c>
      <c r="AT416" s="157" t="str">
        <f t="shared" si="293"/>
        <v>COL1-VEN2</v>
      </c>
      <c r="AU416" s="157" t="str">
        <f t="shared" si="294"/>
        <v xml:space="preserve">COL1-VEN2 </v>
      </c>
      <c r="AV416" s="157" t="str">
        <f t="shared" si="295"/>
        <v>CHILDREN E MALE</v>
      </c>
      <c r="AW416" s="157" t="str">
        <f t="shared" si="296"/>
        <v>Kickball</v>
      </c>
      <c r="AX416" s="376">
        <f t="shared" si="297"/>
        <v>414</v>
      </c>
      <c r="AY416" s="148" t="str">
        <f t="shared" si="298"/>
        <v>CHILD EM - COL 1-&gt;CHILD EM - VEN 2</v>
      </c>
      <c r="AZ416" s="148" t="str">
        <f t="shared" si="299"/>
        <v>11/22/2017 16:20-&gt;CHILD EM - COL 1</v>
      </c>
      <c r="BA416" s="148" t="str">
        <f t="shared" si="300"/>
        <v>11/22/2017 16:20-&gt;CHILD EM - VEN 2</v>
      </c>
      <c r="BB416" s="374">
        <f t="shared" si="301"/>
        <v>1</v>
      </c>
      <c r="BC416" s="374">
        <f t="shared" si="302"/>
        <v>1</v>
      </c>
      <c r="BD416" s="148" t="str">
        <f t="shared" si="303"/>
        <v>no conflict</v>
      </c>
      <c r="BF416" s="148" t="str">
        <f t="shared" si="304"/>
        <v>11/22/2017 16:20-&gt;CHILD EM - COL 1</v>
      </c>
      <c r="BG416" s="148" t="str">
        <f t="shared" si="305"/>
        <v>11/22/2017 16:20-&gt;CHILD EM - VEN 2</v>
      </c>
      <c r="BH416" s="148" t="str">
        <f t="shared" si="306"/>
        <v>11/22/2017 16:20-&gt;Hillel - Field 2</v>
      </c>
      <c r="BI416" s="148" t="str">
        <f t="shared" si="307"/>
        <v>Kickball in Hillel - Field 2 (COL1-VEN2)</v>
      </c>
      <c r="BJ416" s="148" t="str">
        <f t="shared" si="308"/>
        <v>Ch E Male Kickball-- CHILD EM - COL 1 vs. CHILD EM - VEN 2</v>
      </c>
      <c r="BK416" s="148" t="str">
        <f t="shared" si="309"/>
        <v>Kickball</v>
      </c>
      <c r="BL416" s="148" t="str">
        <f t="shared" si="310"/>
        <v>CHILD EM - COL 1</v>
      </c>
      <c r="BM416" s="148" t="str">
        <f t="shared" si="311"/>
        <v>CHILD EM - VEN 2</v>
      </c>
      <c r="BN416" s="148" t="str">
        <f t="shared" si="312"/>
        <v>Round - 1</v>
      </c>
      <c r="BP416" s="148" t="str">
        <f t="shared" si="313"/>
        <v>no t, f, or sf</v>
      </c>
      <c r="BQ416" s="148" t="str">
        <f t="shared" si="314"/>
        <v/>
      </c>
    </row>
    <row r="417" spans="1:69" ht="15" customHeight="1" x14ac:dyDescent="0.2">
      <c r="A417" s="376">
        <v>415</v>
      </c>
      <c r="B417" s="444" t="s">
        <v>732</v>
      </c>
      <c r="C417" s="444" t="s">
        <v>518</v>
      </c>
      <c r="D417" s="451">
        <v>1</v>
      </c>
      <c r="E417" s="451">
        <v>1</v>
      </c>
      <c r="F417" s="315" t="s">
        <v>770</v>
      </c>
      <c r="G417" s="445">
        <v>43061</v>
      </c>
      <c r="H417" s="317">
        <v>0.71527777777777779</v>
      </c>
      <c r="I417" s="325" t="s">
        <v>770</v>
      </c>
      <c r="J417" s="444" t="s">
        <v>704</v>
      </c>
      <c r="K417" s="444">
        <v>51</v>
      </c>
      <c r="L417" s="444" t="s">
        <v>718</v>
      </c>
      <c r="M417" s="444">
        <v>51</v>
      </c>
      <c r="N417" s="444" t="s">
        <v>622</v>
      </c>
      <c r="O417" s="153" t="str">
        <f>IF(L417&lt;&gt;"",IFERROR(VLOOKUP(B417&amp;L417,Pools!$A$2:$D$130,3,FALSE),""),"")</f>
        <v/>
      </c>
      <c r="P417" s="388">
        <v>14</v>
      </c>
      <c r="Q417" s="388">
        <v>11</v>
      </c>
      <c r="R417" s="306" t="str">
        <f t="shared" si="270"/>
        <v>14-11</v>
      </c>
      <c r="S417" s="153"/>
      <c r="T417" s="148" t="str">
        <f t="shared" si="271"/>
        <v>Completed</v>
      </c>
      <c r="U417" s="153"/>
      <c r="V417" s="153"/>
      <c r="W417" s="387">
        <f t="shared" si="272"/>
        <v>3</v>
      </c>
      <c r="X417" s="387">
        <f t="shared" si="273"/>
        <v>-3</v>
      </c>
      <c r="Y417" s="301">
        <f t="shared" si="274"/>
        <v>2</v>
      </c>
      <c r="Z417" s="301">
        <f t="shared" si="275"/>
        <v>0</v>
      </c>
      <c r="AA417" s="323" t="str">
        <f>CONCATENATE("                x[team1,team2,sport,'",IF(OR(I417="x",I417=""),VLOOKUP('Schedule from TM'!J417,Tables!$P$3:$Q$33,2,FALSE),'Schedule from TM'!I417),",",J417,"','",IF(OR(F417="x",F417=""),VLOOKUP('Schedule from TM'!G417,Tables!$U$3:$V$14,2,FALSE),'Schedule from TM'!F417),",",TEXT(G417,"mm/dd/yyyy"),"','",TEXT(H417,"h:mm:ss AM/PM"),"'].ub=0.0      #",B417)</f>
        <v xml:space="preserve">                x[team1,team2,sport,'21,Hillel - Field 2','22,11/22/2017','5:10:00 PM'].ub=0.0      #Ch E Male Kickball</v>
      </c>
      <c r="AB417" s="301" t="str">
        <f t="shared" si="276"/>
        <v>,,Ch E Male Kickball,,1,CHILD EM - MEX 2</v>
      </c>
      <c r="AC417" s="153" t="str">
        <f t="shared" si="277"/>
        <v>Ch E Male KickballCHILD EM - MEX 2</v>
      </c>
      <c r="AD417" s="301" t="str">
        <f t="shared" si="278"/>
        <v>,,Ch E Male Kickball,,1,CHILD EM - USA 2</v>
      </c>
      <c r="AE417" s="153" t="str">
        <f t="shared" si="279"/>
        <v>Ch E Male KickballCHILD EM - USA 2</v>
      </c>
      <c r="AF417" s="383">
        <f t="shared" si="280"/>
        <v>1</v>
      </c>
      <c r="AG417" s="383">
        <f t="shared" si="281"/>
        <v>0</v>
      </c>
      <c r="AH417" s="383">
        <f t="shared" si="282"/>
        <v>0</v>
      </c>
      <c r="AI417" s="383">
        <f t="shared" si="283"/>
        <v>0</v>
      </c>
      <c r="AJ417" s="383">
        <f t="shared" si="284"/>
        <v>1</v>
      </c>
      <c r="AK417" s="383">
        <f t="shared" si="285"/>
        <v>0</v>
      </c>
      <c r="AM417" s="148" t="str">
        <f t="shared" si="286"/>
        <v>Schedulled</v>
      </c>
      <c r="AN417" s="148" t="str">
        <f t="shared" si="287"/>
        <v/>
      </c>
      <c r="AO417" s="156">
        <f t="shared" si="288"/>
        <v>43061.715277777781</v>
      </c>
      <c r="AP417" s="148" t="str">
        <f t="shared" si="289"/>
        <v>11/22/2017 17:10-&gt;Hillel - Field 2</v>
      </c>
      <c r="AQ417" s="374">
        <f t="shared" si="290"/>
        <v>1</v>
      </c>
      <c r="AR417" s="148" t="str">
        <f t="shared" si="291"/>
        <v>MEX2</v>
      </c>
      <c r="AS417" s="148" t="str">
        <f t="shared" si="292"/>
        <v>USA2</v>
      </c>
      <c r="AT417" s="157" t="str">
        <f t="shared" si="293"/>
        <v>MEX2-USA2</v>
      </c>
      <c r="AU417" s="157" t="str">
        <f t="shared" si="294"/>
        <v xml:space="preserve">MEX2-USA2 </v>
      </c>
      <c r="AV417" s="157" t="str">
        <f t="shared" si="295"/>
        <v>CHILDREN E MALE</v>
      </c>
      <c r="AW417" s="157" t="str">
        <f t="shared" si="296"/>
        <v>Kickball</v>
      </c>
      <c r="AX417" s="376">
        <f t="shared" si="297"/>
        <v>415</v>
      </c>
      <c r="AY417" s="148" t="str">
        <f t="shared" si="298"/>
        <v>CHILD EM - MEX 2-&gt;CHILD EM - USA 2</v>
      </c>
      <c r="AZ417" s="148" t="str">
        <f t="shared" si="299"/>
        <v>11/22/2017 17:10-&gt;CHILD EM - MEX 2</v>
      </c>
      <c r="BA417" s="148" t="str">
        <f t="shared" si="300"/>
        <v>11/22/2017 17:10-&gt;CHILD EM - USA 2</v>
      </c>
      <c r="BB417" s="374">
        <f t="shared" si="301"/>
        <v>1</v>
      </c>
      <c r="BC417" s="374">
        <f t="shared" si="302"/>
        <v>1</v>
      </c>
      <c r="BD417" s="148" t="str">
        <f t="shared" si="303"/>
        <v>no conflict</v>
      </c>
      <c r="BF417" s="148" t="str">
        <f t="shared" si="304"/>
        <v>11/22/2017 17:10-&gt;CHILD EM - MEX 2</v>
      </c>
      <c r="BG417" s="148" t="str">
        <f t="shared" si="305"/>
        <v>11/22/2017 17:10-&gt;CHILD EM - USA 2</v>
      </c>
      <c r="BH417" s="148" t="str">
        <f t="shared" si="306"/>
        <v>11/22/2017 17:10-&gt;Hillel - Field 2</v>
      </c>
      <c r="BI417" s="148" t="str">
        <f t="shared" si="307"/>
        <v>Kickball in Hillel - Field 2 (MEX2-USA2)</v>
      </c>
      <c r="BJ417" s="148" t="str">
        <f t="shared" si="308"/>
        <v>Ch E Male Kickball-- CHILD EM - MEX 2 vs. CHILD EM - USA 2</v>
      </c>
      <c r="BK417" s="148" t="str">
        <f t="shared" si="309"/>
        <v>Kickball</v>
      </c>
      <c r="BL417" s="148" t="str">
        <f t="shared" si="310"/>
        <v>CHILD EM - MEX 2</v>
      </c>
      <c r="BM417" s="148" t="str">
        <f t="shared" si="311"/>
        <v>CHILD EM - USA 2</v>
      </c>
      <c r="BN417" s="148" t="str">
        <f t="shared" si="312"/>
        <v>Round - 1</v>
      </c>
      <c r="BP417" s="148" t="str">
        <f t="shared" si="313"/>
        <v>no t, f, or sf</v>
      </c>
      <c r="BQ417" s="148" t="str">
        <f t="shared" si="314"/>
        <v/>
      </c>
    </row>
    <row r="418" spans="1:69" ht="15" customHeight="1" x14ac:dyDescent="0.2">
      <c r="A418" s="376">
        <v>416</v>
      </c>
      <c r="B418" s="441" t="s">
        <v>732</v>
      </c>
      <c r="C418" s="441" t="s">
        <v>518</v>
      </c>
      <c r="D418" s="450">
        <v>1</v>
      </c>
      <c r="E418" s="450">
        <v>1</v>
      </c>
      <c r="F418" s="315" t="s">
        <v>770</v>
      </c>
      <c r="G418" s="320">
        <v>43061</v>
      </c>
      <c r="H418" s="318">
        <v>0.71527777777777779</v>
      </c>
      <c r="I418" s="325" t="s">
        <v>770</v>
      </c>
      <c r="J418" s="296" t="s">
        <v>703</v>
      </c>
      <c r="K418" s="441">
        <v>51</v>
      </c>
      <c r="L418" s="441" t="s">
        <v>616</v>
      </c>
      <c r="M418" s="441">
        <v>51</v>
      </c>
      <c r="N418" s="441" t="s">
        <v>620</v>
      </c>
      <c r="O418" s="153" t="str">
        <f>IF(L418&lt;&gt;"",IFERROR(VLOOKUP(B418&amp;L418,Pools!$A$2:$D$130,3,FALSE),""),"")</f>
        <v/>
      </c>
      <c r="P418" s="388">
        <v>5</v>
      </c>
      <c r="Q418" s="388">
        <v>4</v>
      </c>
      <c r="R418" s="306" t="str">
        <f t="shared" si="270"/>
        <v>5-4</v>
      </c>
      <c r="S418" s="153"/>
      <c r="T418" s="148" t="str">
        <f t="shared" si="271"/>
        <v>Completed</v>
      </c>
      <c r="U418" s="153"/>
      <c r="V418" s="153"/>
      <c r="W418" s="387">
        <f t="shared" si="272"/>
        <v>1</v>
      </c>
      <c r="X418" s="387">
        <f t="shared" si="273"/>
        <v>-1</v>
      </c>
      <c r="Y418" s="301">
        <f t="shared" si="274"/>
        <v>2</v>
      </c>
      <c r="Z418" s="301">
        <f t="shared" si="275"/>
        <v>0</v>
      </c>
      <c r="AA418" s="323" t="str">
        <f>CONCATENATE("                x[team1,team2,sport,'",IF(OR(I418="x",I418=""),VLOOKUP('Schedule from TM'!J418,Tables!$P$3:$Q$33,2,FALSE),'Schedule from TM'!I418),",",J418,"','",IF(OR(F418="x",F418=""),VLOOKUP('Schedule from TM'!G418,Tables!$U$3:$V$14,2,FALSE),'Schedule from TM'!F418),",",TEXT(G418,"mm/dd/yyyy"),"','",TEXT(H418,"h:mm:ss AM/PM"),"'].ub=0.0      #",B418)</f>
        <v xml:space="preserve">                x[team1,team2,sport,'21,Hillel - Field 1','22,11/22/2017','5:10:00 PM'].ub=0.0      #Ch E Male Kickball</v>
      </c>
      <c r="AB418" s="301" t="str">
        <f t="shared" si="276"/>
        <v>,,Ch E Male Kickball,,1,CHILD EM - ARG 1</v>
      </c>
      <c r="AC418" s="153" t="str">
        <f t="shared" si="277"/>
        <v>Ch E Male KickballCHILD EM - ARG 1</v>
      </c>
      <c r="AD418" s="301" t="str">
        <f t="shared" si="278"/>
        <v>,,Ch E Male Kickball,,1,CHILD EM - PER</v>
      </c>
      <c r="AE418" s="153" t="str">
        <f t="shared" si="279"/>
        <v>Ch E Male KickballCHILD EM - PER</v>
      </c>
      <c r="AF418" s="383">
        <f t="shared" si="280"/>
        <v>1</v>
      </c>
      <c r="AG418" s="383">
        <f t="shared" si="281"/>
        <v>0</v>
      </c>
      <c r="AH418" s="383">
        <f t="shared" si="282"/>
        <v>0</v>
      </c>
      <c r="AI418" s="383">
        <f t="shared" si="283"/>
        <v>0</v>
      </c>
      <c r="AJ418" s="383">
        <f t="shared" si="284"/>
        <v>1</v>
      </c>
      <c r="AK418" s="383">
        <f t="shared" si="285"/>
        <v>0</v>
      </c>
      <c r="AM418" s="148" t="str">
        <f t="shared" si="286"/>
        <v>Schedulled</v>
      </c>
      <c r="AN418" s="148" t="str">
        <f t="shared" si="287"/>
        <v/>
      </c>
      <c r="AO418" s="156">
        <f t="shared" si="288"/>
        <v>43061.715277777781</v>
      </c>
      <c r="AP418" s="148" t="str">
        <f t="shared" si="289"/>
        <v>11/22/2017 17:10-&gt;Hillel - Field 1</v>
      </c>
      <c r="AQ418" s="374">
        <f t="shared" si="290"/>
        <v>1</v>
      </c>
      <c r="AR418" s="148" t="str">
        <f t="shared" si="291"/>
        <v>ARG1</v>
      </c>
      <c r="AS418" s="148" t="str">
        <f t="shared" si="292"/>
        <v>PER</v>
      </c>
      <c r="AT418" s="157" t="str">
        <f t="shared" si="293"/>
        <v>ARG1-PER</v>
      </c>
      <c r="AU418" s="157" t="str">
        <f t="shared" si="294"/>
        <v xml:space="preserve">ARG1-PER </v>
      </c>
      <c r="AV418" s="157" t="str">
        <f t="shared" si="295"/>
        <v>CHILDREN E MALE</v>
      </c>
      <c r="AW418" s="157" t="str">
        <f t="shared" si="296"/>
        <v>Kickball</v>
      </c>
      <c r="AX418" s="376">
        <f t="shared" si="297"/>
        <v>416</v>
      </c>
      <c r="AY418" s="148" t="str">
        <f t="shared" si="298"/>
        <v>CHILD EM - ARG 1-&gt;CHILD EM - PER</v>
      </c>
      <c r="AZ418" s="148" t="str">
        <f t="shared" si="299"/>
        <v>11/22/2017 17:10-&gt;CHILD EM - ARG 1</v>
      </c>
      <c r="BA418" s="148" t="str">
        <f t="shared" si="300"/>
        <v>11/22/2017 17:10-&gt;CHILD EM - PER</v>
      </c>
      <c r="BB418" s="374">
        <f t="shared" si="301"/>
        <v>1</v>
      </c>
      <c r="BC418" s="374">
        <f t="shared" si="302"/>
        <v>1</v>
      </c>
      <c r="BD418" s="148" t="str">
        <f t="shared" si="303"/>
        <v>no conflict</v>
      </c>
      <c r="BF418" s="148" t="str">
        <f t="shared" si="304"/>
        <v>11/22/2017 17:10-&gt;CHILD EM - ARG 1</v>
      </c>
      <c r="BG418" s="148" t="str">
        <f t="shared" si="305"/>
        <v>11/22/2017 17:10-&gt;CHILD EM - PER</v>
      </c>
      <c r="BH418" s="148" t="str">
        <f t="shared" si="306"/>
        <v>11/22/2017 17:10-&gt;Hillel - Field 1</v>
      </c>
      <c r="BI418" s="148" t="str">
        <f t="shared" si="307"/>
        <v>Kickball in Hillel - Field 1 (ARG1-PER)</v>
      </c>
      <c r="BJ418" s="148" t="str">
        <f t="shared" si="308"/>
        <v>Ch E Male Kickball-- CHILD EM - ARG 1 vs. CHILD EM - PER</v>
      </c>
      <c r="BK418" s="148" t="str">
        <f t="shared" si="309"/>
        <v>Kickball</v>
      </c>
      <c r="BL418" s="148" t="str">
        <f t="shared" si="310"/>
        <v>CHILD EM - ARG 1</v>
      </c>
      <c r="BM418" s="148" t="str">
        <f t="shared" si="311"/>
        <v>CHILD EM - PER</v>
      </c>
      <c r="BN418" s="148" t="str">
        <f t="shared" si="312"/>
        <v>Round - 1</v>
      </c>
      <c r="BP418" s="148" t="str">
        <f t="shared" si="313"/>
        <v>no t, f, or sf</v>
      </c>
      <c r="BQ418" s="148" t="str">
        <f t="shared" si="314"/>
        <v/>
      </c>
    </row>
    <row r="419" spans="1:69" ht="15" customHeight="1" x14ac:dyDescent="0.2">
      <c r="A419" s="376">
        <v>417</v>
      </c>
      <c r="B419" s="441" t="s">
        <v>732</v>
      </c>
      <c r="C419" s="441" t="s">
        <v>518</v>
      </c>
      <c r="D419" s="450">
        <v>1</v>
      </c>
      <c r="E419" s="450">
        <v>1</v>
      </c>
      <c r="F419" s="315" t="s">
        <v>770</v>
      </c>
      <c r="G419" s="320">
        <v>43062</v>
      </c>
      <c r="H419" s="318">
        <v>0.36805555555555558</v>
      </c>
      <c r="I419" s="325" t="s">
        <v>770</v>
      </c>
      <c r="J419" s="441" t="s">
        <v>704</v>
      </c>
      <c r="K419" s="441">
        <v>51</v>
      </c>
      <c r="L419" s="441" t="s">
        <v>716</v>
      </c>
      <c r="M419" s="441">
        <v>51</v>
      </c>
      <c r="N419" s="441" t="s">
        <v>620</v>
      </c>
      <c r="O419" s="153" t="str">
        <f>IF(L419&lt;&gt;"",IFERROR(VLOOKUP(B419&amp;L419,Pools!$A$2:$D$130,3,FALSE),""),"")</f>
        <v/>
      </c>
      <c r="P419" s="388">
        <v>10</v>
      </c>
      <c r="Q419" s="388">
        <v>8</v>
      </c>
      <c r="R419" s="306" t="str">
        <f t="shared" si="270"/>
        <v>10-8</v>
      </c>
      <c r="S419" s="153"/>
      <c r="T419" s="148" t="str">
        <f t="shared" si="271"/>
        <v>Completed</v>
      </c>
      <c r="U419" s="153"/>
      <c r="V419" s="153"/>
      <c r="W419" s="387">
        <f t="shared" si="272"/>
        <v>2</v>
      </c>
      <c r="X419" s="387">
        <f t="shared" si="273"/>
        <v>-2</v>
      </c>
      <c r="Y419" s="301">
        <f t="shared" si="274"/>
        <v>2</v>
      </c>
      <c r="Z419" s="301">
        <f t="shared" si="275"/>
        <v>0</v>
      </c>
      <c r="AA419" s="323" t="str">
        <f>CONCATENATE("                x[team1,team2,sport,'",IF(OR(I419="x",I419=""),VLOOKUP('Schedule from TM'!J419,Tables!$P$3:$Q$33,2,FALSE),'Schedule from TM'!I419),",",J419,"','",IF(OR(F419="x",F419=""),VLOOKUP('Schedule from TM'!G419,Tables!$U$3:$V$14,2,FALSE),'Schedule from TM'!F419),",",TEXT(G419,"mm/dd/yyyy"),"','",TEXT(H419,"h:mm:ss AM/PM"),"'].ub=0.0      #",B419)</f>
        <v xml:space="preserve">                x[team1,team2,sport,'21,Hillel - Field 2','11,11/23/2017','8:50:00 AM'].ub=0.0      #Ch E Male Kickball</v>
      </c>
      <c r="AB419" s="301" t="str">
        <f t="shared" si="276"/>
        <v>,,Ch E Male Kickball,,1,CHILD EM - VEN 3</v>
      </c>
      <c r="AC419" s="153" t="str">
        <f t="shared" si="277"/>
        <v>Ch E Male KickballCHILD EM - VEN 3</v>
      </c>
      <c r="AD419" s="301" t="str">
        <f t="shared" si="278"/>
        <v>,,Ch E Male Kickball,,1,CHILD EM - PER</v>
      </c>
      <c r="AE419" s="153" t="str">
        <f t="shared" si="279"/>
        <v>Ch E Male KickballCHILD EM - PER</v>
      </c>
      <c r="AF419" s="383">
        <f t="shared" si="280"/>
        <v>1</v>
      </c>
      <c r="AG419" s="383">
        <f t="shared" si="281"/>
        <v>0</v>
      </c>
      <c r="AH419" s="383">
        <f t="shared" si="282"/>
        <v>0</v>
      </c>
      <c r="AI419" s="383">
        <f t="shared" si="283"/>
        <v>0</v>
      </c>
      <c r="AJ419" s="383">
        <f t="shared" si="284"/>
        <v>1</v>
      </c>
      <c r="AK419" s="383">
        <f t="shared" si="285"/>
        <v>0</v>
      </c>
      <c r="AM419" s="148" t="str">
        <f t="shared" si="286"/>
        <v>Schedulled</v>
      </c>
      <c r="AN419" s="148" t="str">
        <f t="shared" si="287"/>
        <v/>
      </c>
      <c r="AO419" s="156">
        <f t="shared" si="288"/>
        <v>43062.368055555555</v>
      </c>
      <c r="AP419" s="148" t="str">
        <f t="shared" si="289"/>
        <v>11/23/2017 08:50-&gt;Hillel - Field 2</v>
      </c>
      <c r="AQ419" s="374">
        <f t="shared" si="290"/>
        <v>1</v>
      </c>
      <c r="AR419" s="148" t="str">
        <f t="shared" si="291"/>
        <v>VEN3</v>
      </c>
      <c r="AS419" s="148" t="str">
        <f t="shared" si="292"/>
        <v>PER</v>
      </c>
      <c r="AT419" s="157" t="str">
        <f t="shared" si="293"/>
        <v>VEN3-PER</v>
      </c>
      <c r="AU419" s="157" t="str">
        <f t="shared" si="294"/>
        <v xml:space="preserve">VEN3-PER </v>
      </c>
      <c r="AV419" s="157" t="str">
        <f t="shared" si="295"/>
        <v>CHILDREN E MALE</v>
      </c>
      <c r="AW419" s="157" t="str">
        <f t="shared" si="296"/>
        <v>Kickball</v>
      </c>
      <c r="AX419" s="376">
        <f t="shared" si="297"/>
        <v>417</v>
      </c>
      <c r="AY419" s="148" t="str">
        <f t="shared" si="298"/>
        <v>CHILD EM - VEN 3-&gt;CHILD EM - PER</v>
      </c>
      <c r="AZ419" s="148" t="str">
        <f t="shared" si="299"/>
        <v>11/23/2017 08:50-&gt;CHILD EM - VEN 3</v>
      </c>
      <c r="BA419" s="148" t="str">
        <f t="shared" si="300"/>
        <v>11/23/2017 08:50-&gt;CHILD EM - PER</v>
      </c>
      <c r="BB419" s="374">
        <f t="shared" si="301"/>
        <v>1</v>
      </c>
      <c r="BC419" s="374">
        <f t="shared" si="302"/>
        <v>1</v>
      </c>
      <c r="BD419" s="148" t="str">
        <f t="shared" si="303"/>
        <v>no conflict</v>
      </c>
      <c r="BF419" s="148" t="str">
        <f t="shared" si="304"/>
        <v>11/23/2017 08:50-&gt;CHILD EM - VEN 3</v>
      </c>
      <c r="BG419" s="148" t="str">
        <f t="shared" si="305"/>
        <v>11/23/2017 08:50-&gt;CHILD EM - PER</v>
      </c>
      <c r="BH419" s="148" t="str">
        <f t="shared" si="306"/>
        <v>11/23/2017 08:50-&gt;Hillel - Field 2</v>
      </c>
      <c r="BI419" s="148" t="str">
        <f t="shared" si="307"/>
        <v>Kickball in Hillel - Field 2 (VEN3-PER)</v>
      </c>
      <c r="BJ419" s="148" t="str">
        <f t="shared" si="308"/>
        <v>Ch E Male Kickball-- CHILD EM - VEN 3 vs. CHILD EM - PER</v>
      </c>
      <c r="BK419" s="148" t="str">
        <f t="shared" si="309"/>
        <v>Kickball</v>
      </c>
      <c r="BL419" s="148" t="str">
        <f t="shared" si="310"/>
        <v>CHILD EM - VEN 3</v>
      </c>
      <c r="BM419" s="148" t="str">
        <f t="shared" si="311"/>
        <v>CHILD EM - PER</v>
      </c>
      <c r="BN419" s="148" t="str">
        <f t="shared" si="312"/>
        <v>Round - 1</v>
      </c>
      <c r="BP419" s="148" t="str">
        <f t="shared" si="313"/>
        <v>no t, f, or sf</v>
      </c>
      <c r="BQ419" s="148" t="str">
        <f t="shared" si="314"/>
        <v/>
      </c>
    </row>
    <row r="420" spans="1:69" ht="15" customHeight="1" x14ac:dyDescent="0.2">
      <c r="A420" s="376">
        <v>418</v>
      </c>
      <c r="B420" s="315" t="s">
        <v>732</v>
      </c>
      <c r="C420" s="315" t="s">
        <v>518</v>
      </c>
      <c r="D420" s="378">
        <v>1</v>
      </c>
      <c r="E420" s="378">
        <v>1</v>
      </c>
      <c r="F420" s="315" t="s">
        <v>770</v>
      </c>
      <c r="G420" s="316">
        <v>43062</v>
      </c>
      <c r="H420" s="317">
        <v>0.36805555555555558</v>
      </c>
      <c r="I420" s="325" t="s">
        <v>770</v>
      </c>
      <c r="J420" s="315" t="s">
        <v>703</v>
      </c>
      <c r="K420" s="444">
        <v>51</v>
      </c>
      <c r="L420" s="444" t="s">
        <v>621</v>
      </c>
      <c r="M420" s="444">
        <v>51</v>
      </c>
      <c r="N420" s="444" t="s">
        <v>718</v>
      </c>
      <c r="O420" s="153" t="str">
        <f>IF(L420&lt;&gt;"",IFERROR(VLOOKUP(B420&amp;L420,Pools!$A$2:$D$130,3,FALSE),""),"")</f>
        <v/>
      </c>
      <c r="P420" s="388">
        <v>3</v>
      </c>
      <c r="Q420" s="388">
        <v>18</v>
      </c>
      <c r="R420" s="306" t="str">
        <f t="shared" si="270"/>
        <v>3-18</v>
      </c>
      <c r="S420" s="153"/>
      <c r="T420" s="148" t="str">
        <f t="shared" si="271"/>
        <v>Completed</v>
      </c>
      <c r="U420" s="153"/>
      <c r="V420" s="153"/>
      <c r="W420" s="387">
        <f t="shared" si="272"/>
        <v>-5</v>
      </c>
      <c r="X420" s="387">
        <f t="shared" si="273"/>
        <v>5</v>
      </c>
      <c r="Y420" s="301">
        <f t="shared" si="274"/>
        <v>0</v>
      </c>
      <c r="Z420" s="301">
        <f t="shared" si="275"/>
        <v>2</v>
      </c>
      <c r="AA420" s="323" t="str">
        <f>CONCATENATE("                x[team1,team2,sport,'",IF(OR(I420="x",I420=""),VLOOKUP('Schedule from TM'!J420,Tables!$P$3:$Q$33,2,FALSE),'Schedule from TM'!I420),",",J420,"','",IF(OR(F420="x",F420=""),VLOOKUP('Schedule from TM'!G420,Tables!$U$3:$V$14,2,FALSE),'Schedule from TM'!F420),",",TEXT(G420,"mm/dd/yyyy"),"','",TEXT(H420,"h:mm:ss AM/PM"),"'].ub=0.0      #",B420)</f>
        <v xml:space="preserve">                x[team1,team2,sport,'21,Hillel - Field 1','11,11/23/2017','8:50:00 AM'].ub=0.0      #Ch E Male Kickball</v>
      </c>
      <c r="AB420" s="301" t="str">
        <f t="shared" si="276"/>
        <v>,,Ch E Male Kickball,,1,CHILD EM - USA 1</v>
      </c>
      <c r="AC420" s="153" t="str">
        <f t="shared" si="277"/>
        <v>Ch E Male KickballCHILD EM - USA 1</v>
      </c>
      <c r="AD420" s="301" t="str">
        <f t="shared" si="278"/>
        <v>,,Ch E Male Kickball,,1,CHILD EM - MEX 2</v>
      </c>
      <c r="AE420" s="153" t="str">
        <f t="shared" si="279"/>
        <v>Ch E Male KickballCHILD EM - MEX 2</v>
      </c>
      <c r="AF420" s="383">
        <f t="shared" si="280"/>
        <v>0</v>
      </c>
      <c r="AG420" s="383">
        <f t="shared" si="281"/>
        <v>1</v>
      </c>
      <c r="AH420" s="383">
        <f t="shared" si="282"/>
        <v>0</v>
      </c>
      <c r="AI420" s="383">
        <f t="shared" si="283"/>
        <v>1</v>
      </c>
      <c r="AJ420" s="383">
        <f t="shared" si="284"/>
        <v>0</v>
      </c>
      <c r="AK420" s="383">
        <f t="shared" si="285"/>
        <v>0</v>
      </c>
      <c r="AM420" s="148" t="str">
        <f t="shared" si="286"/>
        <v>Schedulled</v>
      </c>
      <c r="AN420" s="148" t="str">
        <f t="shared" si="287"/>
        <v/>
      </c>
      <c r="AO420" s="156">
        <f t="shared" si="288"/>
        <v>43062.368055555555</v>
      </c>
      <c r="AP420" s="148" t="str">
        <f t="shared" si="289"/>
        <v>11/23/2017 08:50-&gt;Hillel - Field 1</v>
      </c>
      <c r="AQ420" s="374">
        <f t="shared" si="290"/>
        <v>1</v>
      </c>
      <c r="AR420" s="148" t="str">
        <f t="shared" si="291"/>
        <v>USA1</v>
      </c>
      <c r="AS420" s="148" t="str">
        <f t="shared" si="292"/>
        <v>MEX2</v>
      </c>
      <c r="AT420" s="157" t="str">
        <f t="shared" si="293"/>
        <v>USA1-MEX2</v>
      </c>
      <c r="AU420" s="157" t="str">
        <f t="shared" si="294"/>
        <v xml:space="preserve">USA1-MEX2 </v>
      </c>
      <c r="AV420" s="157" t="str">
        <f t="shared" si="295"/>
        <v>CHILDREN E MALE</v>
      </c>
      <c r="AW420" s="157" t="str">
        <f t="shared" si="296"/>
        <v>Kickball</v>
      </c>
      <c r="AX420" s="376">
        <f t="shared" si="297"/>
        <v>418</v>
      </c>
      <c r="AY420" s="148" t="str">
        <f t="shared" si="298"/>
        <v>CHILD EM - USA 1-&gt;CHILD EM - MEX 2</v>
      </c>
      <c r="AZ420" s="148" t="str">
        <f t="shared" si="299"/>
        <v>11/23/2017 08:50-&gt;CHILD EM - USA 1</v>
      </c>
      <c r="BA420" s="148" t="str">
        <f t="shared" si="300"/>
        <v>11/23/2017 08:50-&gt;CHILD EM - MEX 2</v>
      </c>
      <c r="BB420" s="374">
        <f t="shared" si="301"/>
        <v>1</v>
      </c>
      <c r="BC420" s="374">
        <f t="shared" si="302"/>
        <v>1</v>
      </c>
      <c r="BD420" s="148" t="str">
        <f t="shared" si="303"/>
        <v>no conflict</v>
      </c>
      <c r="BF420" s="148" t="str">
        <f t="shared" si="304"/>
        <v>11/23/2017 08:50-&gt;CHILD EM - USA 1</v>
      </c>
      <c r="BG420" s="148" t="str">
        <f t="shared" si="305"/>
        <v>11/23/2017 08:50-&gt;CHILD EM - MEX 2</v>
      </c>
      <c r="BH420" s="148" t="str">
        <f t="shared" si="306"/>
        <v>11/23/2017 08:50-&gt;Hillel - Field 1</v>
      </c>
      <c r="BI420" s="148" t="str">
        <f t="shared" si="307"/>
        <v>Kickball in Hillel - Field 1 (USA1-MEX2)</v>
      </c>
      <c r="BJ420" s="148" t="str">
        <f t="shared" si="308"/>
        <v>Ch E Male Kickball-- CHILD EM - USA 1 vs. CHILD EM - MEX 2</v>
      </c>
      <c r="BK420" s="148" t="str">
        <f t="shared" si="309"/>
        <v>Kickball</v>
      </c>
      <c r="BL420" s="148" t="str">
        <f t="shared" si="310"/>
        <v>CHILD EM - USA 1</v>
      </c>
      <c r="BM420" s="148" t="str">
        <f t="shared" si="311"/>
        <v>CHILD EM - MEX 2</v>
      </c>
      <c r="BN420" s="148" t="str">
        <f t="shared" si="312"/>
        <v>Round - 1</v>
      </c>
      <c r="BP420" s="148" t="str">
        <f t="shared" si="313"/>
        <v>no t, f, or sf</v>
      </c>
      <c r="BQ420" s="148" t="str">
        <f t="shared" si="314"/>
        <v/>
      </c>
    </row>
    <row r="421" spans="1:69" ht="15" customHeight="1" x14ac:dyDescent="0.2">
      <c r="A421" s="376">
        <v>419</v>
      </c>
      <c r="B421" s="315" t="s">
        <v>732</v>
      </c>
      <c r="C421" s="315" t="s">
        <v>518</v>
      </c>
      <c r="D421" s="378">
        <v>1</v>
      </c>
      <c r="E421" s="378">
        <v>1</v>
      </c>
      <c r="F421" s="315" t="s">
        <v>770</v>
      </c>
      <c r="G421" s="316">
        <v>43062</v>
      </c>
      <c r="H421" s="317">
        <v>0.40277777777777773</v>
      </c>
      <c r="I421" s="325" t="s">
        <v>770</v>
      </c>
      <c r="J421" s="315" t="s">
        <v>703</v>
      </c>
      <c r="K421" s="315">
        <v>51</v>
      </c>
      <c r="L421" s="444" t="s">
        <v>717</v>
      </c>
      <c r="M421" s="444">
        <v>51</v>
      </c>
      <c r="N421" s="444" t="s">
        <v>622</v>
      </c>
      <c r="O421" s="153" t="str">
        <f>IF(L421&lt;&gt;"",IFERROR(VLOOKUP(B421&amp;L421,Pools!$A$2:$D$130,3,FALSE),""),"")</f>
        <v/>
      </c>
      <c r="P421" s="388">
        <v>5</v>
      </c>
      <c r="Q421" s="388">
        <v>0</v>
      </c>
      <c r="R421" s="306" t="str">
        <f t="shared" si="270"/>
        <v>5-0</v>
      </c>
      <c r="S421" s="153"/>
      <c r="T421" s="148" t="str">
        <f t="shared" si="271"/>
        <v>Completed</v>
      </c>
      <c r="U421" s="153"/>
      <c r="V421" s="153"/>
      <c r="W421" s="387">
        <f t="shared" si="272"/>
        <v>5</v>
      </c>
      <c r="X421" s="387">
        <f t="shared" si="273"/>
        <v>-5</v>
      </c>
      <c r="Y421" s="301">
        <f t="shared" si="274"/>
        <v>2</v>
      </c>
      <c r="Z421" s="301">
        <f t="shared" si="275"/>
        <v>0</v>
      </c>
      <c r="AA421" s="323" t="str">
        <f>CONCATENATE("                x[team1,team2,sport,'",IF(OR(I421="x",I421=""),VLOOKUP('Schedule from TM'!J421,Tables!$P$3:$Q$33,2,FALSE),'Schedule from TM'!I421),",",J421,"','",IF(OR(F421="x",F421=""),VLOOKUP('Schedule from TM'!G421,Tables!$U$3:$V$14,2,FALSE),'Schedule from TM'!F421),",",TEXT(G421,"mm/dd/yyyy"),"','",TEXT(H421,"h:mm:ss AM/PM"),"'].ub=0.0      #",B421)</f>
        <v xml:space="preserve">                x[team1,team2,sport,'21,Hillel - Field 1','11,11/23/2017','9:40:00 AM'].ub=0.0      #Ch E Male Kickball</v>
      </c>
      <c r="AB421" s="301" t="str">
        <f t="shared" si="276"/>
        <v>,,Ch E Male Kickball,,1,CHILD EM - MEX 1</v>
      </c>
      <c r="AC421" s="153" t="str">
        <f t="shared" si="277"/>
        <v>Ch E Male KickballCHILD EM - MEX 1</v>
      </c>
      <c r="AD421" s="301" t="str">
        <f t="shared" si="278"/>
        <v>,,Ch E Male Kickball,,1,CHILD EM - USA 2</v>
      </c>
      <c r="AE421" s="153" t="str">
        <f t="shared" si="279"/>
        <v>Ch E Male KickballCHILD EM - USA 2</v>
      </c>
      <c r="AF421" s="383">
        <f t="shared" si="280"/>
        <v>1</v>
      </c>
      <c r="AG421" s="383">
        <f t="shared" si="281"/>
        <v>0</v>
      </c>
      <c r="AH421" s="383">
        <f t="shared" si="282"/>
        <v>0</v>
      </c>
      <c r="AI421" s="383">
        <f t="shared" si="283"/>
        <v>0</v>
      </c>
      <c r="AJ421" s="383">
        <f t="shared" si="284"/>
        <v>1</v>
      </c>
      <c r="AK421" s="383">
        <f t="shared" si="285"/>
        <v>0</v>
      </c>
      <c r="AM421" s="148" t="str">
        <f t="shared" si="286"/>
        <v>Schedulled</v>
      </c>
      <c r="AN421" s="148" t="str">
        <f t="shared" si="287"/>
        <v/>
      </c>
      <c r="AO421" s="156">
        <f t="shared" si="288"/>
        <v>43062.402777777781</v>
      </c>
      <c r="AP421" s="148" t="str">
        <f t="shared" si="289"/>
        <v>11/23/2017 09:40-&gt;Hillel - Field 1</v>
      </c>
      <c r="AQ421" s="374">
        <f t="shared" si="290"/>
        <v>1</v>
      </c>
      <c r="AR421" s="148" t="str">
        <f t="shared" si="291"/>
        <v>MEX1</v>
      </c>
      <c r="AS421" s="148" t="str">
        <f t="shared" si="292"/>
        <v>USA2</v>
      </c>
      <c r="AT421" s="157" t="str">
        <f t="shared" si="293"/>
        <v>MEX1-USA2</v>
      </c>
      <c r="AU421" s="157" t="str">
        <f t="shared" si="294"/>
        <v xml:space="preserve">MEX1-USA2 </v>
      </c>
      <c r="AV421" s="157" t="str">
        <f t="shared" si="295"/>
        <v>CHILDREN E MALE</v>
      </c>
      <c r="AW421" s="157" t="str">
        <f t="shared" si="296"/>
        <v>Kickball</v>
      </c>
      <c r="AX421" s="376">
        <f t="shared" si="297"/>
        <v>419</v>
      </c>
      <c r="AY421" s="148" t="str">
        <f t="shared" si="298"/>
        <v>CHILD EM - MEX 1-&gt;CHILD EM - USA 2</v>
      </c>
      <c r="AZ421" s="148" t="str">
        <f t="shared" si="299"/>
        <v>11/23/2017 09:40-&gt;CHILD EM - MEX 1</v>
      </c>
      <c r="BA421" s="148" t="str">
        <f t="shared" si="300"/>
        <v>11/23/2017 09:40-&gt;CHILD EM - USA 2</v>
      </c>
      <c r="BB421" s="374">
        <f t="shared" si="301"/>
        <v>1</v>
      </c>
      <c r="BC421" s="374">
        <f t="shared" si="302"/>
        <v>1</v>
      </c>
      <c r="BD421" s="148" t="str">
        <f t="shared" si="303"/>
        <v>no conflict</v>
      </c>
      <c r="BF421" s="148" t="str">
        <f t="shared" si="304"/>
        <v>11/23/2017 09:40-&gt;CHILD EM - MEX 1</v>
      </c>
      <c r="BG421" s="148" t="str">
        <f t="shared" si="305"/>
        <v>11/23/2017 09:40-&gt;CHILD EM - USA 2</v>
      </c>
      <c r="BH421" s="148" t="str">
        <f t="shared" si="306"/>
        <v>11/23/2017 09:40-&gt;Hillel - Field 1</v>
      </c>
      <c r="BI421" s="148" t="str">
        <f t="shared" si="307"/>
        <v>Kickball in Hillel - Field 1 (MEX1-USA2)</v>
      </c>
      <c r="BJ421" s="148" t="str">
        <f t="shared" si="308"/>
        <v>Ch E Male Kickball-- CHILD EM - MEX 1 vs. CHILD EM - USA 2</v>
      </c>
      <c r="BK421" s="148" t="str">
        <f t="shared" si="309"/>
        <v>Kickball</v>
      </c>
      <c r="BL421" s="148" t="str">
        <f t="shared" si="310"/>
        <v>CHILD EM - MEX 1</v>
      </c>
      <c r="BM421" s="148" t="str">
        <f t="shared" si="311"/>
        <v>CHILD EM - USA 2</v>
      </c>
      <c r="BN421" s="148" t="str">
        <f t="shared" si="312"/>
        <v>Round - 1</v>
      </c>
      <c r="BP421" s="148" t="str">
        <f t="shared" si="313"/>
        <v>no t, f, or sf</v>
      </c>
      <c r="BQ421" s="148" t="str">
        <f t="shared" si="314"/>
        <v/>
      </c>
    </row>
    <row r="422" spans="1:69" ht="15" customHeight="1" x14ac:dyDescent="0.2">
      <c r="A422" s="376">
        <v>420</v>
      </c>
      <c r="B422" s="443" t="s">
        <v>732</v>
      </c>
      <c r="C422" s="315" t="s">
        <v>518</v>
      </c>
      <c r="D422" s="378">
        <v>1</v>
      </c>
      <c r="E422" s="378">
        <v>1</v>
      </c>
      <c r="F422" s="315" t="s">
        <v>770</v>
      </c>
      <c r="G422" s="316">
        <v>43063</v>
      </c>
      <c r="H422" s="454">
        <v>0.40277777777777773</v>
      </c>
      <c r="I422" s="325" t="s">
        <v>770</v>
      </c>
      <c r="J422" s="443" t="s">
        <v>706</v>
      </c>
      <c r="K422" s="315">
        <v>51</v>
      </c>
      <c r="L422" s="444" t="s">
        <v>717</v>
      </c>
      <c r="M422" s="444">
        <v>51</v>
      </c>
      <c r="N422" s="444" t="s">
        <v>716</v>
      </c>
      <c r="O422" s="153" t="str">
        <f>IF(L422&lt;&gt;"",IFERROR(VLOOKUP(B422&amp;L422,Pools!$A$2:$D$130,3,FALSE),""),"")</f>
        <v/>
      </c>
      <c r="P422" s="388">
        <v>5</v>
      </c>
      <c r="Q422" s="388">
        <v>9</v>
      </c>
      <c r="R422" s="306" t="str">
        <f t="shared" si="270"/>
        <v>5-9</v>
      </c>
      <c r="S422" s="153"/>
      <c r="T422" s="148" t="str">
        <f t="shared" si="271"/>
        <v>Completed</v>
      </c>
      <c r="U422" s="153"/>
      <c r="V422" s="153"/>
      <c r="W422" s="387">
        <f t="shared" si="272"/>
        <v>-4</v>
      </c>
      <c r="X422" s="387">
        <f t="shared" si="273"/>
        <v>4</v>
      </c>
      <c r="Y422" s="301">
        <f t="shared" si="274"/>
        <v>0</v>
      </c>
      <c r="Z422" s="301">
        <f t="shared" si="275"/>
        <v>2</v>
      </c>
      <c r="AA422" s="323" t="str">
        <f>CONCATENATE("                x[team1,team2,sport,'",IF(OR(I422="x",I422=""),VLOOKUP('Schedule from TM'!J422,Tables!$P$3:$Q$33,2,FALSE),'Schedule from TM'!I422),",",J422,"','",IF(OR(F422="x",F422=""),VLOOKUP('Schedule from TM'!G422,Tables!$U$3:$V$14,2,FALSE),'Schedule from TM'!F422),",",TEXT(G422,"mm/dd/yyyy"),"','",TEXT(H422,"h:mm:ss AM/PM"),"'].ub=0.0      #",B422)</f>
        <v xml:space="preserve">                x[team1,team2,sport,'21,Hillel - Field 4','11,11/24/2017','9:40:00 AM'].ub=0.0      #Ch E Male Kickball</v>
      </c>
      <c r="AB422" s="301" t="str">
        <f t="shared" si="276"/>
        <v>,,Ch E Male Kickball,,1,CHILD EM - MEX 1</v>
      </c>
      <c r="AC422" s="153" t="str">
        <f t="shared" si="277"/>
        <v>Ch E Male KickballCHILD EM - MEX 1</v>
      </c>
      <c r="AD422" s="301" t="str">
        <f t="shared" si="278"/>
        <v>,,Ch E Male Kickball,,1,CHILD EM - VEN 3</v>
      </c>
      <c r="AE422" s="153" t="str">
        <f t="shared" si="279"/>
        <v>Ch E Male KickballCHILD EM - VEN 3</v>
      </c>
      <c r="AF422" s="383">
        <f t="shared" si="280"/>
        <v>0</v>
      </c>
      <c r="AG422" s="383">
        <f t="shared" si="281"/>
        <v>1</v>
      </c>
      <c r="AH422" s="383">
        <f t="shared" si="282"/>
        <v>0</v>
      </c>
      <c r="AI422" s="383">
        <f t="shared" si="283"/>
        <v>1</v>
      </c>
      <c r="AJ422" s="383">
        <f t="shared" si="284"/>
        <v>0</v>
      </c>
      <c r="AK422" s="383">
        <f t="shared" si="285"/>
        <v>0</v>
      </c>
      <c r="AM422" s="148" t="str">
        <f t="shared" si="286"/>
        <v>Schedulled</v>
      </c>
      <c r="AN422" s="148" t="str">
        <f t="shared" si="287"/>
        <v/>
      </c>
      <c r="AO422" s="156">
        <f t="shared" si="288"/>
        <v>43063.402777777781</v>
      </c>
      <c r="AP422" s="148" t="str">
        <f t="shared" si="289"/>
        <v>11/24/2017 09:40-&gt;Hillel - Field 4</v>
      </c>
      <c r="AQ422" s="374">
        <f t="shared" si="290"/>
        <v>1</v>
      </c>
      <c r="AR422" s="148" t="str">
        <f t="shared" si="291"/>
        <v>MEX1</v>
      </c>
      <c r="AS422" s="148" t="str">
        <f t="shared" si="292"/>
        <v>VEN3</v>
      </c>
      <c r="AT422" s="157" t="str">
        <f t="shared" si="293"/>
        <v>MEX1-VEN3</v>
      </c>
      <c r="AU422" s="157" t="str">
        <f t="shared" si="294"/>
        <v xml:space="preserve">MEX1-VEN3 </v>
      </c>
      <c r="AV422" s="157" t="str">
        <f t="shared" si="295"/>
        <v>CHILDREN E MALE</v>
      </c>
      <c r="AW422" s="157" t="str">
        <f t="shared" si="296"/>
        <v>Kickball</v>
      </c>
      <c r="AX422" s="376">
        <f t="shared" si="297"/>
        <v>420</v>
      </c>
      <c r="AY422" s="148" t="str">
        <f t="shared" si="298"/>
        <v>CHILD EM - MEX 1-&gt;CHILD EM - VEN 3</v>
      </c>
      <c r="AZ422" s="148" t="str">
        <f t="shared" si="299"/>
        <v>11/24/2017 09:40-&gt;CHILD EM - MEX 1</v>
      </c>
      <c r="BA422" s="148" t="str">
        <f t="shared" si="300"/>
        <v>11/24/2017 09:40-&gt;CHILD EM - VEN 3</v>
      </c>
      <c r="BB422" s="374">
        <f t="shared" si="301"/>
        <v>1</v>
      </c>
      <c r="BC422" s="374">
        <f t="shared" si="302"/>
        <v>1</v>
      </c>
      <c r="BD422" s="148" t="str">
        <f t="shared" si="303"/>
        <v>no conflict</v>
      </c>
      <c r="BF422" s="148" t="str">
        <f t="shared" si="304"/>
        <v>11/24/2017 09:40-&gt;CHILD EM - MEX 1</v>
      </c>
      <c r="BG422" s="148" t="str">
        <f t="shared" si="305"/>
        <v>11/24/2017 09:40-&gt;CHILD EM - VEN 3</v>
      </c>
      <c r="BH422" s="148" t="str">
        <f t="shared" si="306"/>
        <v>11/24/2017 09:40-&gt;Hillel - Field 4</v>
      </c>
      <c r="BI422" s="148" t="str">
        <f t="shared" si="307"/>
        <v>Kickball in Hillel - Field 4 (MEX1-VEN3)</v>
      </c>
      <c r="BJ422" s="148" t="str">
        <f t="shared" si="308"/>
        <v>Ch E Male Kickball-- CHILD EM - MEX 1 vs. CHILD EM - VEN 3</v>
      </c>
      <c r="BK422" s="148" t="str">
        <f t="shared" si="309"/>
        <v>Kickball</v>
      </c>
      <c r="BL422" s="148" t="str">
        <f t="shared" si="310"/>
        <v>CHILD EM - MEX 1</v>
      </c>
      <c r="BM422" s="148" t="str">
        <f t="shared" si="311"/>
        <v>CHILD EM - VEN 3</v>
      </c>
      <c r="BN422" s="148" t="str">
        <f t="shared" si="312"/>
        <v>Round - 1</v>
      </c>
      <c r="BP422" s="148" t="str">
        <f t="shared" si="313"/>
        <v>no t, f, or sf</v>
      </c>
      <c r="BQ422" s="148" t="str">
        <f t="shared" si="314"/>
        <v/>
      </c>
    </row>
    <row r="423" spans="1:69" ht="15" customHeight="1" x14ac:dyDescent="0.2">
      <c r="A423" s="376">
        <v>421</v>
      </c>
      <c r="B423" s="315" t="s">
        <v>732</v>
      </c>
      <c r="C423" s="315" t="s">
        <v>518</v>
      </c>
      <c r="D423" s="378">
        <v>1</v>
      </c>
      <c r="E423" s="378">
        <v>1</v>
      </c>
      <c r="F423" s="315" t="s">
        <v>770</v>
      </c>
      <c r="G423" s="316">
        <v>43063</v>
      </c>
      <c r="H423" s="454">
        <v>0.47222222222222227</v>
      </c>
      <c r="I423" s="325" t="s">
        <v>770</v>
      </c>
      <c r="J423" s="443" t="s">
        <v>705</v>
      </c>
      <c r="K423" s="315">
        <v>51</v>
      </c>
      <c r="L423" s="444" t="s">
        <v>621</v>
      </c>
      <c r="M423" s="444">
        <v>51</v>
      </c>
      <c r="N423" s="444" t="s">
        <v>620</v>
      </c>
      <c r="O423" s="153" t="str">
        <f>IF(L423&lt;&gt;"",IFERROR(VLOOKUP(B423&amp;L423,Pools!$A$2:$D$130,3,FALSE),""),"")</f>
        <v/>
      </c>
      <c r="P423" s="388">
        <v>3</v>
      </c>
      <c r="Q423" s="388">
        <v>6</v>
      </c>
      <c r="R423" s="306" t="str">
        <f t="shared" si="270"/>
        <v>3-6</v>
      </c>
      <c r="S423" s="153"/>
      <c r="T423" s="148" t="str">
        <f t="shared" si="271"/>
        <v>Completed</v>
      </c>
      <c r="U423" s="153"/>
      <c r="V423" s="153"/>
      <c r="W423" s="387">
        <f t="shared" si="272"/>
        <v>-3</v>
      </c>
      <c r="X423" s="387">
        <f t="shared" si="273"/>
        <v>3</v>
      </c>
      <c r="Y423" s="301">
        <f t="shared" si="274"/>
        <v>0</v>
      </c>
      <c r="Z423" s="301">
        <f t="shared" si="275"/>
        <v>2</v>
      </c>
      <c r="AA423" s="323" t="str">
        <f>CONCATENATE("                x[team1,team2,sport,'",IF(OR(I423="x",I423=""),VLOOKUP('Schedule from TM'!J423,Tables!$P$3:$Q$33,2,FALSE),'Schedule from TM'!I423),",",J423,"','",IF(OR(F423="x",F423=""),VLOOKUP('Schedule from TM'!G423,Tables!$U$3:$V$14,2,FALSE),'Schedule from TM'!F423),",",TEXT(G423,"mm/dd/yyyy"),"','",TEXT(H423,"h:mm:ss AM/PM"),"'].ub=0.0      #",B423)</f>
        <v xml:space="preserve">                x[team1,team2,sport,'21,Hillel - Field 3','11,11/24/2017','11:20:00 AM'].ub=0.0      #Ch E Male Kickball</v>
      </c>
      <c r="AB423" s="301" t="str">
        <f t="shared" si="276"/>
        <v>,,Ch E Male Kickball,,1,CHILD EM - USA 1</v>
      </c>
      <c r="AC423" s="153" t="str">
        <f t="shared" si="277"/>
        <v>Ch E Male KickballCHILD EM - USA 1</v>
      </c>
      <c r="AD423" s="301" t="str">
        <f t="shared" si="278"/>
        <v>,,Ch E Male Kickball,,1,CHILD EM - PER</v>
      </c>
      <c r="AE423" s="153" t="str">
        <f t="shared" si="279"/>
        <v>Ch E Male KickballCHILD EM - PER</v>
      </c>
      <c r="AF423" s="383">
        <f t="shared" si="280"/>
        <v>0</v>
      </c>
      <c r="AG423" s="383">
        <f t="shared" si="281"/>
        <v>1</v>
      </c>
      <c r="AH423" s="383">
        <f t="shared" si="282"/>
        <v>0</v>
      </c>
      <c r="AI423" s="383">
        <f t="shared" si="283"/>
        <v>1</v>
      </c>
      <c r="AJ423" s="383">
        <f t="shared" si="284"/>
        <v>0</v>
      </c>
      <c r="AK423" s="383">
        <f t="shared" si="285"/>
        <v>0</v>
      </c>
      <c r="AM423" s="148" t="str">
        <f t="shared" si="286"/>
        <v>Schedulled</v>
      </c>
      <c r="AN423" s="148" t="str">
        <f t="shared" si="287"/>
        <v/>
      </c>
      <c r="AO423" s="156">
        <f t="shared" si="288"/>
        <v>43063.472222222219</v>
      </c>
      <c r="AP423" s="148" t="str">
        <f t="shared" si="289"/>
        <v>11/24/2017 11:20-&gt;Hillel - Field 3</v>
      </c>
      <c r="AQ423" s="374">
        <f t="shared" si="290"/>
        <v>1</v>
      </c>
      <c r="AR423" s="148" t="str">
        <f t="shared" si="291"/>
        <v>USA1</v>
      </c>
      <c r="AS423" s="148" t="str">
        <f t="shared" si="292"/>
        <v>PER</v>
      </c>
      <c r="AT423" s="157" t="str">
        <f t="shared" si="293"/>
        <v>USA1-PER</v>
      </c>
      <c r="AU423" s="157" t="str">
        <f t="shared" si="294"/>
        <v xml:space="preserve">USA1-PER </v>
      </c>
      <c r="AV423" s="157" t="str">
        <f t="shared" si="295"/>
        <v>CHILDREN E MALE</v>
      </c>
      <c r="AW423" s="157" t="str">
        <f t="shared" si="296"/>
        <v>Kickball</v>
      </c>
      <c r="AX423" s="376">
        <f t="shared" si="297"/>
        <v>421</v>
      </c>
      <c r="AY423" s="148" t="str">
        <f t="shared" si="298"/>
        <v>CHILD EM - USA 1-&gt;CHILD EM - PER</v>
      </c>
      <c r="AZ423" s="148" t="str">
        <f t="shared" si="299"/>
        <v>11/24/2017 11:20-&gt;CHILD EM - USA 1</v>
      </c>
      <c r="BA423" s="148" t="str">
        <f t="shared" si="300"/>
        <v>11/24/2017 11:20-&gt;CHILD EM - PER</v>
      </c>
      <c r="BB423" s="374">
        <f t="shared" si="301"/>
        <v>1</v>
      </c>
      <c r="BC423" s="374">
        <f t="shared" si="302"/>
        <v>1</v>
      </c>
      <c r="BD423" s="148" t="str">
        <f t="shared" si="303"/>
        <v>no conflict</v>
      </c>
      <c r="BF423" s="148" t="str">
        <f t="shared" si="304"/>
        <v>11/24/2017 11:20-&gt;CHILD EM - USA 1</v>
      </c>
      <c r="BG423" s="148" t="str">
        <f t="shared" si="305"/>
        <v>11/24/2017 11:20-&gt;CHILD EM - PER</v>
      </c>
      <c r="BH423" s="148" t="str">
        <f t="shared" si="306"/>
        <v>11/24/2017 11:20-&gt;Hillel - Field 3</v>
      </c>
      <c r="BI423" s="148" t="str">
        <f t="shared" si="307"/>
        <v>Kickball in Hillel - Field 3 (USA1-PER)</v>
      </c>
      <c r="BJ423" s="148" t="str">
        <f t="shared" si="308"/>
        <v>Ch E Male Kickball-- CHILD EM - USA 1 vs. CHILD EM - PER</v>
      </c>
      <c r="BK423" s="148" t="str">
        <f t="shared" si="309"/>
        <v>Kickball</v>
      </c>
      <c r="BL423" s="148" t="str">
        <f t="shared" si="310"/>
        <v>CHILD EM - USA 1</v>
      </c>
      <c r="BM423" s="148" t="str">
        <f t="shared" si="311"/>
        <v>CHILD EM - PER</v>
      </c>
      <c r="BN423" s="148" t="str">
        <f t="shared" si="312"/>
        <v>Round - 1</v>
      </c>
      <c r="BP423" s="148" t="str">
        <f t="shared" si="313"/>
        <v>no t, f, or sf</v>
      </c>
      <c r="BQ423" s="148" t="str">
        <f t="shared" si="314"/>
        <v/>
      </c>
    </row>
    <row r="424" spans="1:69" ht="15" customHeight="1" x14ac:dyDescent="0.2">
      <c r="A424" s="376">
        <v>422</v>
      </c>
      <c r="B424" s="441" t="s">
        <v>732</v>
      </c>
      <c r="C424" s="441" t="s">
        <v>518</v>
      </c>
      <c r="D424" s="450">
        <v>1</v>
      </c>
      <c r="E424" s="450">
        <v>1</v>
      </c>
      <c r="F424" s="315" t="s">
        <v>770</v>
      </c>
      <c r="G424" s="320">
        <v>43063</v>
      </c>
      <c r="H424" s="454">
        <v>0.47222222222222227</v>
      </c>
      <c r="I424" s="325" t="s">
        <v>770</v>
      </c>
      <c r="J424" s="441" t="s">
        <v>706</v>
      </c>
      <c r="K424" s="441">
        <v>51</v>
      </c>
      <c r="L424" s="441" t="s">
        <v>716</v>
      </c>
      <c r="M424" s="441">
        <v>51</v>
      </c>
      <c r="N424" s="441" t="s">
        <v>718</v>
      </c>
      <c r="O424" s="153" t="str">
        <f>IF(L424&lt;&gt;"",IFERROR(VLOOKUP(B424&amp;L424,Pools!$A$2:$D$130,3,FALSE),""),"")</f>
        <v/>
      </c>
      <c r="P424" s="388">
        <v>4</v>
      </c>
      <c r="Q424" s="388">
        <v>6</v>
      </c>
      <c r="R424" s="306" t="str">
        <f t="shared" si="270"/>
        <v>4-6</v>
      </c>
      <c r="S424" s="153"/>
      <c r="T424" s="148" t="str">
        <f t="shared" si="271"/>
        <v>Completed</v>
      </c>
      <c r="U424" s="153"/>
      <c r="V424" s="153"/>
      <c r="W424" s="387">
        <f t="shared" si="272"/>
        <v>-2</v>
      </c>
      <c r="X424" s="387">
        <f t="shared" si="273"/>
        <v>2</v>
      </c>
      <c r="Y424" s="301">
        <f t="shared" si="274"/>
        <v>0</v>
      </c>
      <c r="Z424" s="301">
        <f t="shared" si="275"/>
        <v>2</v>
      </c>
      <c r="AA424" s="323" t="str">
        <f>CONCATENATE("                x[team1,team2,sport,'",IF(OR(I424="x",I424=""),VLOOKUP('Schedule from TM'!J424,Tables!$P$3:$Q$33,2,FALSE),'Schedule from TM'!I424),",",J424,"','",IF(OR(F424="x",F424=""),VLOOKUP('Schedule from TM'!G424,Tables!$U$3:$V$14,2,FALSE),'Schedule from TM'!F424),",",TEXT(G424,"mm/dd/yyyy"),"','",TEXT(H424,"h:mm:ss AM/PM"),"'].ub=0.0      #",B424)</f>
        <v xml:space="preserve">                x[team1,team2,sport,'21,Hillel - Field 4','11,11/24/2017','11:20:00 AM'].ub=0.0      #Ch E Male Kickball</v>
      </c>
      <c r="AB424" s="301" t="str">
        <f t="shared" si="276"/>
        <v>,,Ch E Male Kickball,,1,CHILD EM - VEN 3</v>
      </c>
      <c r="AC424" s="153" t="str">
        <f t="shared" si="277"/>
        <v>Ch E Male KickballCHILD EM - VEN 3</v>
      </c>
      <c r="AD424" s="301" t="str">
        <f t="shared" si="278"/>
        <v>,,Ch E Male Kickball,,1,CHILD EM - MEX 2</v>
      </c>
      <c r="AE424" s="153" t="str">
        <f t="shared" si="279"/>
        <v>Ch E Male KickballCHILD EM - MEX 2</v>
      </c>
      <c r="AF424" s="383">
        <f t="shared" si="280"/>
        <v>0</v>
      </c>
      <c r="AG424" s="383">
        <f t="shared" si="281"/>
        <v>1</v>
      </c>
      <c r="AH424" s="383">
        <f t="shared" si="282"/>
        <v>0</v>
      </c>
      <c r="AI424" s="383">
        <f t="shared" si="283"/>
        <v>1</v>
      </c>
      <c r="AJ424" s="383">
        <f t="shared" si="284"/>
        <v>0</v>
      </c>
      <c r="AK424" s="383">
        <f t="shared" si="285"/>
        <v>0</v>
      </c>
      <c r="AM424" s="148" t="str">
        <f t="shared" si="286"/>
        <v>Schedulled</v>
      </c>
      <c r="AN424" s="148" t="str">
        <f t="shared" si="287"/>
        <v/>
      </c>
      <c r="AO424" s="156">
        <f t="shared" si="288"/>
        <v>43063.472222222219</v>
      </c>
      <c r="AP424" s="148" t="str">
        <f t="shared" si="289"/>
        <v>11/24/2017 11:20-&gt;Hillel - Field 4</v>
      </c>
      <c r="AQ424" s="374">
        <f t="shared" si="290"/>
        <v>1</v>
      </c>
      <c r="AR424" s="148" t="str">
        <f t="shared" si="291"/>
        <v>VEN3</v>
      </c>
      <c r="AS424" s="148" t="str">
        <f t="shared" si="292"/>
        <v>MEX2</v>
      </c>
      <c r="AT424" s="157" t="str">
        <f t="shared" si="293"/>
        <v>VEN3-MEX2</v>
      </c>
      <c r="AU424" s="157" t="str">
        <f t="shared" si="294"/>
        <v xml:space="preserve">VEN3-MEX2 </v>
      </c>
      <c r="AV424" s="157" t="str">
        <f t="shared" si="295"/>
        <v>CHILDREN E MALE</v>
      </c>
      <c r="AW424" s="157" t="str">
        <f t="shared" si="296"/>
        <v>Kickball</v>
      </c>
      <c r="AX424" s="376">
        <f t="shared" si="297"/>
        <v>422</v>
      </c>
      <c r="AY424" s="148" t="str">
        <f t="shared" si="298"/>
        <v>CHILD EM - VEN 3-&gt;CHILD EM - MEX 2</v>
      </c>
      <c r="AZ424" s="148" t="str">
        <f t="shared" si="299"/>
        <v>11/24/2017 11:20-&gt;CHILD EM - VEN 3</v>
      </c>
      <c r="BA424" s="148" t="str">
        <f t="shared" si="300"/>
        <v>11/24/2017 11:20-&gt;CHILD EM - MEX 2</v>
      </c>
      <c r="BB424" s="374">
        <f t="shared" si="301"/>
        <v>1</v>
      </c>
      <c r="BC424" s="374">
        <f t="shared" si="302"/>
        <v>1</v>
      </c>
      <c r="BD424" s="148" t="str">
        <f t="shared" si="303"/>
        <v>no conflict</v>
      </c>
      <c r="BF424" s="148" t="str">
        <f t="shared" si="304"/>
        <v>11/24/2017 11:20-&gt;CHILD EM - VEN 3</v>
      </c>
      <c r="BG424" s="148" t="str">
        <f t="shared" si="305"/>
        <v>11/24/2017 11:20-&gt;CHILD EM - MEX 2</v>
      </c>
      <c r="BH424" s="148" t="str">
        <f t="shared" si="306"/>
        <v>11/24/2017 11:20-&gt;Hillel - Field 4</v>
      </c>
      <c r="BI424" s="148" t="str">
        <f t="shared" si="307"/>
        <v>Kickball in Hillel - Field 4 (VEN3-MEX2)</v>
      </c>
      <c r="BJ424" s="148" t="str">
        <f t="shared" si="308"/>
        <v>Ch E Male Kickball-- CHILD EM - VEN 3 vs. CHILD EM - MEX 2</v>
      </c>
      <c r="BK424" s="148" t="str">
        <f t="shared" si="309"/>
        <v>Kickball</v>
      </c>
      <c r="BL424" s="148" t="str">
        <f t="shared" si="310"/>
        <v>CHILD EM - VEN 3</v>
      </c>
      <c r="BM424" s="148" t="str">
        <f t="shared" si="311"/>
        <v>CHILD EM - MEX 2</v>
      </c>
      <c r="BN424" s="148" t="str">
        <f t="shared" si="312"/>
        <v>Round - 1</v>
      </c>
      <c r="BP424" s="148" t="str">
        <f t="shared" si="313"/>
        <v>no t, f, or sf</v>
      </c>
      <c r="BQ424" s="148" t="str">
        <f t="shared" si="314"/>
        <v/>
      </c>
    </row>
    <row r="425" spans="1:69" ht="15" customHeight="1" x14ac:dyDescent="0.2">
      <c r="A425" s="376">
        <v>423</v>
      </c>
      <c r="B425" s="441" t="s">
        <v>732</v>
      </c>
      <c r="C425" s="441" t="s">
        <v>518</v>
      </c>
      <c r="D425" s="450">
        <v>1</v>
      </c>
      <c r="E425" s="450">
        <v>1</v>
      </c>
      <c r="F425" s="315" t="s">
        <v>770</v>
      </c>
      <c r="G425" s="320">
        <v>43065</v>
      </c>
      <c r="H425" s="418">
        <v>0.33333333333333331</v>
      </c>
      <c r="I425" s="325" t="s">
        <v>770</v>
      </c>
      <c r="J425" s="441" t="s">
        <v>704</v>
      </c>
      <c r="K425" s="441">
        <v>51</v>
      </c>
      <c r="L425" s="441" t="s">
        <v>717</v>
      </c>
      <c r="M425" s="441">
        <v>51</v>
      </c>
      <c r="N425" s="441" t="s">
        <v>625</v>
      </c>
      <c r="O425" s="153" t="str">
        <f>IF(L425&lt;&gt;"",IFERROR(VLOOKUP(B425&amp;L425,Pools!$A$2:$D$130,3,FALSE),""),"")</f>
        <v/>
      </c>
      <c r="P425" s="388">
        <v>0</v>
      </c>
      <c r="Q425" s="388">
        <v>5</v>
      </c>
      <c r="R425" s="306" t="str">
        <f t="shared" si="270"/>
        <v>0-5</v>
      </c>
      <c r="S425" s="153"/>
      <c r="T425" s="148" t="str">
        <f t="shared" si="271"/>
        <v>Completed</v>
      </c>
      <c r="U425" s="153"/>
      <c r="V425" s="153"/>
      <c r="W425" s="387">
        <f t="shared" si="272"/>
        <v>-5</v>
      </c>
      <c r="X425" s="387">
        <f t="shared" si="273"/>
        <v>5</v>
      </c>
      <c r="Y425" s="301">
        <f t="shared" si="274"/>
        <v>0</v>
      </c>
      <c r="Z425" s="301">
        <f t="shared" si="275"/>
        <v>2</v>
      </c>
      <c r="AA425" s="323" t="str">
        <f>CONCATENATE("                x[team1,team2,sport,'",IF(OR(I425="x",I425=""),VLOOKUP('Schedule from TM'!J425,Tables!$P$3:$Q$33,2,FALSE),'Schedule from TM'!I425),",",J425,"','",IF(OR(F425="x",F425=""),VLOOKUP('Schedule from TM'!G425,Tables!$U$3:$V$14,2,FALSE),'Schedule from TM'!F425),",",TEXT(G425,"mm/dd/yyyy"),"','",TEXT(H425,"h:mm:ss AM/PM"),"'].ub=0.0      #",B425)</f>
        <v xml:space="preserve">                x[team1,team2,sport,'21,Hillel - Field 2','21,11/26/2017','8:00:00 AM'].ub=0.0      #Ch E Male Kickball</v>
      </c>
      <c r="AB425" s="301" t="str">
        <f t="shared" si="276"/>
        <v>,,Ch E Male Kickball,,1,CHILD EM - MEX 1</v>
      </c>
      <c r="AC425" s="153" t="str">
        <f t="shared" si="277"/>
        <v>Ch E Male KickballCHILD EM - MEX 1</v>
      </c>
      <c r="AD425" s="301" t="str">
        <f t="shared" si="278"/>
        <v>,,Ch E Male Kickball,,1,CHILD EM - VEN 2</v>
      </c>
      <c r="AE425" s="153" t="str">
        <f t="shared" si="279"/>
        <v>Ch E Male KickballCHILD EM - VEN 2</v>
      </c>
      <c r="AF425" s="383">
        <f t="shared" si="280"/>
        <v>0</v>
      </c>
      <c r="AG425" s="383">
        <f t="shared" si="281"/>
        <v>1</v>
      </c>
      <c r="AH425" s="383">
        <f t="shared" si="282"/>
        <v>0</v>
      </c>
      <c r="AI425" s="383">
        <f t="shared" si="283"/>
        <v>1</v>
      </c>
      <c r="AJ425" s="383">
        <f t="shared" si="284"/>
        <v>0</v>
      </c>
      <c r="AK425" s="383">
        <f t="shared" si="285"/>
        <v>0</v>
      </c>
      <c r="AM425" s="148" t="str">
        <f t="shared" si="286"/>
        <v>Schedulled</v>
      </c>
      <c r="AN425" s="148" t="str">
        <f t="shared" si="287"/>
        <v/>
      </c>
      <c r="AO425" s="156">
        <f t="shared" si="288"/>
        <v>43065.333333333336</v>
      </c>
      <c r="AP425" s="148" t="str">
        <f t="shared" si="289"/>
        <v>11/26/2017 08:00-&gt;Hillel - Field 2</v>
      </c>
      <c r="AQ425" s="374">
        <f t="shared" si="290"/>
        <v>1</v>
      </c>
      <c r="AR425" s="148" t="str">
        <f t="shared" si="291"/>
        <v>MEX1</v>
      </c>
      <c r="AS425" s="148" t="str">
        <f t="shared" si="292"/>
        <v>VEN2</v>
      </c>
      <c r="AT425" s="157" t="str">
        <f t="shared" si="293"/>
        <v>MEX1-VEN2</v>
      </c>
      <c r="AU425" s="157" t="str">
        <f t="shared" si="294"/>
        <v xml:space="preserve">MEX1-VEN2 </v>
      </c>
      <c r="AV425" s="157" t="str">
        <f t="shared" si="295"/>
        <v>CHILDREN E MALE</v>
      </c>
      <c r="AW425" s="157" t="str">
        <f t="shared" si="296"/>
        <v>Kickball</v>
      </c>
      <c r="AX425" s="376">
        <f t="shared" si="297"/>
        <v>423</v>
      </c>
      <c r="AY425" s="148" t="str">
        <f t="shared" si="298"/>
        <v>CHILD EM - MEX 1-&gt;CHILD EM - VEN 2</v>
      </c>
      <c r="AZ425" s="148" t="str">
        <f t="shared" si="299"/>
        <v>11/26/2017 08:00-&gt;CHILD EM - MEX 1</v>
      </c>
      <c r="BA425" s="148" t="str">
        <f t="shared" si="300"/>
        <v>11/26/2017 08:00-&gt;CHILD EM - VEN 2</v>
      </c>
      <c r="BB425" s="374">
        <f t="shared" si="301"/>
        <v>1</v>
      </c>
      <c r="BC425" s="374">
        <f t="shared" si="302"/>
        <v>1</v>
      </c>
      <c r="BD425" s="148" t="str">
        <f t="shared" si="303"/>
        <v>no conflict</v>
      </c>
      <c r="BF425" s="148" t="str">
        <f t="shared" si="304"/>
        <v>11/26/2017 08:00-&gt;CHILD EM - MEX 1</v>
      </c>
      <c r="BG425" s="148" t="str">
        <f t="shared" si="305"/>
        <v>11/26/2017 08:00-&gt;CHILD EM - VEN 2</v>
      </c>
      <c r="BH425" s="148" t="str">
        <f t="shared" si="306"/>
        <v>11/26/2017 08:00-&gt;Hillel - Field 2</v>
      </c>
      <c r="BI425" s="148" t="str">
        <f t="shared" si="307"/>
        <v>Kickball in Hillel - Field 2 (MEX1-VEN2)</v>
      </c>
      <c r="BJ425" s="148" t="str">
        <f t="shared" si="308"/>
        <v>Ch E Male Kickball-- CHILD EM - MEX 1 vs. CHILD EM - VEN 2</v>
      </c>
      <c r="BK425" s="148" t="str">
        <f t="shared" si="309"/>
        <v>Kickball</v>
      </c>
      <c r="BL425" s="148" t="str">
        <f t="shared" si="310"/>
        <v>CHILD EM - MEX 1</v>
      </c>
      <c r="BM425" s="148" t="str">
        <f t="shared" si="311"/>
        <v>CHILD EM - VEN 2</v>
      </c>
      <c r="BN425" s="148" t="str">
        <f t="shared" si="312"/>
        <v>Round - 1</v>
      </c>
      <c r="BP425" s="148" t="str">
        <f t="shared" si="313"/>
        <v>no t, f, or sf</v>
      </c>
      <c r="BQ425" s="148" t="str">
        <f t="shared" si="314"/>
        <v/>
      </c>
    </row>
    <row r="426" spans="1:69" ht="15" customHeight="1" x14ac:dyDescent="0.2">
      <c r="A426" s="376">
        <v>424</v>
      </c>
      <c r="B426" s="328" t="s">
        <v>62</v>
      </c>
      <c r="C426" s="315" t="s">
        <v>518</v>
      </c>
      <c r="D426" s="378">
        <v>1</v>
      </c>
      <c r="E426" s="378">
        <v>1</v>
      </c>
      <c r="F426" s="315" t="s">
        <v>770</v>
      </c>
      <c r="G426" s="316">
        <v>43058</v>
      </c>
      <c r="H426" s="317">
        <v>0.4375</v>
      </c>
      <c r="I426" s="325" t="s">
        <v>770</v>
      </c>
      <c r="J426" s="444" t="s">
        <v>692</v>
      </c>
      <c r="K426" s="315">
        <v>51</v>
      </c>
      <c r="L426" s="319" t="s">
        <v>616</v>
      </c>
      <c r="M426" s="315">
        <v>51</v>
      </c>
      <c r="N426" s="319" t="s">
        <v>717</v>
      </c>
      <c r="O426" s="153" t="str">
        <f>IF(L426&lt;&gt;"",IFERROR(VLOOKUP(B426&amp;L426,Pools!$A$2:$D$130,3,FALSE),""),"")</f>
        <v/>
      </c>
      <c r="P426" s="388">
        <v>3</v>
      </c>
      <c r="Q426" s="388">
        <v>1</v>
      </c>
      <c r="R426" s="306" t="str">
        <f t="shared" si="270"/>
        <v>3-1</v>
      </c>
      <c r="S426" s="153"/>
      <c r="T426" s="148" t="str">
        <f t="shared" si="271"/>
        <v>Completed</v>
      </c>
      <c r="U426" s="153"/>
      <c r="V426" s="153"/>
      <c r="W426" s="387">
        <f t="shared" si="272"/>
        <v>2</v>
      </c>
      <c r="X426" s="387">
        <f t="shared" si="273"/>
        <v>-2</v>
      </c>
      <c r="Y426" s="301">
        <f t="shared" si="274"/>
        <v>2</v>
      </c>
      <c r="Z426" s="301">
        <f t="shared" si="275"/>
        <v>0</v>
      </c>
      <c r="AA426" s="323" t="str">
        <f>CONCATENATE("                x[team1,team2,sport,'",IF(OR(I426="x",I426=""),VLOOKUP('Schedule from TM'!J426,Tables!$P$3:$Q$33,2,FALSE),'Schedule from TM'!I426),",",J426,"','",IF(OR(F426="x",F426=""),VLOOKUP('Schedule from TM'!G426,Tables!$U$3:$V$14,2,FALSE),'Schedule from TM'!F426),",",TEXT(G426,"mm/dd/yyyy"),"','",TEXT(H426,"h:mm:ss AM/PM"),"'].ub=0.0      #",B426)</f>
        <v xml:space="preserve">                x[team1,team2,sport,'11,JCC Back Field 3','11,11/19/2017','10:30:00 AM'].ub=0.0      #Ch E Male Mini Soccer</v>
      </c>
      <c r="AB426" s="301" t="str">
        <f t="shared" si="276"/>
        <v>,,Ch E Male Mini Soccer,,1,CHILD EM - ARG 1</v>
      </c>
      <c r="AC426" s="153" t="str">
        <f t="shared" si="277"/>
        <v>Ch E Male Mini SoccerCHILD EM - ARG 1</v>
      </c>
      <c r="AD426" s="301" t="str">
        <f t="shared" si="278"/>
        <v>,,Ch E Male Mini Soccer,,1,CHILD EM - MEX 1</v>
      </c>
      <c r="AE426" s="153" t="str">
        <f t="shared" si="279"/>
        <v>Ch E Male Mini SoccerCHILD EM - MEX 1</v>
      </c>
      <c r="AF426" s="383">
        <f t="shared" si="280"/>
        <v>1</v>
      </c>
      <c r="AG426" s="383">
        <f t="shared" si="281"/>
        <v>0</v>
      </c>
      <c r="AH426" s="383">
        <f t="shared" si="282"/>
        <v>0</v>
      </c>
      <c r="AI426" s="383">
        <f t="shared" si="283"/>
        <v>0</v>
      </c>
      <c r="AJ426" s="383">
        <f t="shared" si="284"/>
        <v>1</v>
      </c>
      <c r="AK426" s="383">
        <f t="shared" si="285"/>
        <v>0</v>
      </c>
      <c r="AM426" s="148" t="str">
        <f t="shared" si="286"/>
        <v>Schedulled</v>
      </c>
      <c r="AN426" s="148" t="str">
        <f t="shared" si="287"/>
        <v/>
      </c>
      <c r="AO426" s="156">
        <f t="shared" si="288"/>
        <v>43058.4375</v>
      </c>
      <c r="AP426" s="148" t="str">
        <f t="shared" si="289"/>
        <v>11/19/2017 10:30-&gt;JCC Back Field 3</v>
      </c>
      <c r="AQ426" s="374">
        <f t="shared" si="290"/>
        <v>1</v>
      </c>
      <c r="AR426" s="148" t="str">
        <f t="shared" si="291"/>
        <v>ARG1</v>
      </c>
      <c r="AS426" s="148" t="str">
        <f t="shared" si="292"/>
        <v>MEX1</v>
      </c>
      <c r="AT426" s="157" t="str">
        <f t="shared" si="293"/>
        <v>ARG1-MEX1</v>
      </c>
      <c r="AU426" s="157" t="str">
        <f t="shared" si="294"/>
        <v xml:space="preserve">ARG1-MEX1 </v>
      </c>
      <c r="AV426" s="157" t="str">
        <f t="shared" si="295"/>
        <v>CHILDREN E MALE</v>
      </c>
      <c r="AW426" s="157" t="str">
        <f t="shared" si="296"/>
        <v>Soccer</v>
      </c>
      <c r="AX426" s="376">
        <f t="shared" si="297"/>
        <v>424</v>
      </c>
      <c r="AY426" s="148" t="str">
        <f t="shared" si="298"/>
        <v>CHILD EM - ARG 1-&gt;CHILD EM - MEX 1</v>
      </c>
      <c r="AZ426" s="148" t="str">
        <f t="shared" si="299"/>
        <v>11/19/2017 10:30-&gt;CHILD EM - ARG 1</v>
      </c>
      <c r="BA426" s="148" t="str">
        <f t="shared" si="300"/>
        <v>11/19/2017 10:30-&gt;CHILD EM - MEX 1</v>
      </c>
      <c r="BB426" s="374">
        <f t="shared" si="301"/>
        <v>1</v>
      </c>
      <c r="BC426" s="374">
        <f t="shared" si="302"/>
        <v>1</v>
      </c>
      <c r="BD426" s="148" t="str">
        <f t="shared" si="303"/>
        <v>no conflict</v>
      </c>
      <c r="BF426" s="148" t="str">
        <f t="shared" si="304"/>
        <v>11/19/2017 10:30-&gt;CHILD EM - ARG 1</v>
      </c>
      <c r="BG426" s="148" t="str">
        <f t="shared" si="305"/>
        <v>11/19/2017 10:30-&gt;CHILD EM - MEX 1</v>
      </c>
      <c r="BH426" s="148" t="str">
        <f t="shared" si="306"/>
        <v>11/19/2017 10:30-&gt;JCC Back Field 3</v>
      </c>
      <c r="BI426" s="148" t="str">
        <f t="shared" si="307"/>
        <v>Soccer in JCC Back Field 3 (ARG1-MEX1)</v>
      </c>
      <c r="BJ426" s="148" t="str">
        <f t="shared" si="308"/>
        <v>Ch E Male Mini Soccer-- CHILD EM - ARG 1 vs. CHILD EM - MEX 1</v>
      </c>
      <c r="BK426" s="148" t="str">
        <f t="shared" si="309"/>
        <v>Soccer</v>
      </c>
      <c r="BL426" s="148" t="str">
        <f t="shared" si="310"/>
        <v>CHILD EM - ARG 1</v>
      </c>
      <c r="BM426" s="148" t="str">
        <f t="shared" si="311"/>
        <v>CHILD EM - MEX 1</v>
      </c>
      <c r="BN426" s="148" t="str">
        <f t="shared" si="312"/>
        <v>Round - 1</v>
      </c>
      <c r="BP426" s="148" t="str">
        <f t="shared" si="313"/>
        <v>no t, f, or sf</v>
      </c>
      <c r="BQ426" s="148" t="str">
        <f t="shared" si="314"/>
        <v/>
      </c>
    </row>
    <row r="427" spans="1:69" ht="15" customHeight="1" x14ac:dyDescent="0.2">
      <c r="A427" s="376">
        <v>425</v>
      </c>
      <c r="B427" s="315" t="s">
        <v>62</v>
      </c>
      <c r="C427" s="315" t="s">
        <v>518</v>
      </c>
      <c r="D427" s="378">
        <v>1</v>
      </c>
      <c r="E427" s="378">
        <v>1</v>
      </c>
      <c r="F427" s="315" t="s">
        <v>770</v>
      </c>
      <c r="G427" s="316">
        <v>43058</v>
      </c>
      <c r="H427" s="317">
        <v>0.4375</v>
      </c>
      <c r="I427" s="325" t="s">
        <v>770</v>
      </c>
      <c r="J427" s="315" t="s">
        <v>693</v>
      </c>
      <c r="K427" s="315">
        <v>51</v>
      </c>
      <c r="L427" s="315" t="s">
        <v>624</v>
      </c>
      <c r="M427" s="315">
        <v>51</v>
      </c>
      <c r="N427" s="315" t="s">
        <v>718</v>
      </c>
      <c r="O427" s="153" t="str">
        <f>IF(L427&lt;&gt;"",IFERROR(VLOOKUP(B427&amp;L427,Pools!$A$2:$D$130,3,FALSE),""),"")</f>
        <v/>
      </c>
      <c r="P427" s="388">
        <v>7</v>
      </c>
      <c r="Q427" s="388">
        <v>4</v>
      </c>
      <c r="R427" s="306" t="str">
        <f t="shared" si="270"/>
        <v>7-4</v>
      </c>
      <c r="S427" s="153"/>
      <c r="T427" s="148" t="str">
        <f t="shared" si="271"/>
        <v>Completed</v>
      </c>
      <c r="U427" s="153"/>
      <c r="V427" s="153"/>
      <c r="W427" s="387">
        <f t="shared" si="272"/>
        <v>3</v>
      </c>
      <c r="X427" s="387">
        <f t="shared" si="273"/>
        <v>-3</v>
      </c>
      <c r="Y427" s="301">
        <f t="shared" si="274"/>
        <v>2</v>
      </c>
      <c r="Z427" s="301">
        <f t="shared" si="275"/>
        <v>0</v>
      </c>
      <c r="AA427" s="323" t="str">
        <f>CONCATENATE("                x[team1,team2,sport,'",IF(OR(I427="x",I427=""),VLOOKUP('Schedule from TM'!J427,Tables!$P$3:$Q$33,2,FALSE),'Schedule from TM'!I427),",",J427,"','",IF(OR(F427="x",F427=""),VLOOKUP('Schedule from TM'!G427,Tables!$U$3:$V$14,2,FALSE),'Schedule from TM'!F427),",",TEXT(G427,"mm/dd/yyyy"),"','",TEXT(H427,"h:mm:ss AM/PM"),"'].ub=0.0      #",B427)</f>
        <v xml:space="preserve">                x[team1,team2,sport,'11,JCC Back Field 2','11,11/19/2017','10:30:00 AM'].ub=0.0      #Ch E Male Mini Soccer</v>
      </c>
      <c r="AB427" s="301" t="str">
        <f t="shared" si="276"/>
        <v>,,Ch E Male Mini Soccer,,1,CHILD EM - VEN 1</v>
      </c>
      <c r="AC427" s="153" t="str">
        <f t="shared" si="277"/>
        <v>Ch E Male Mini SoccerCHILD EM - VEN 1</v>
      </c>
      <c r="AD427" s="301" t="str">
        <f t="shared" si="278"/>
        <v>,,Ch E Male Mini Soccer,,1,CHILD EM - MEX 2</v>
      </c>
      <c r="AE427" s="153" t="str">
        <f t="shared" si="279"/>
        <v>Ch E Male Mini SoccerCHILD EM - MEX 2</v>
      </c>
      <c r="AF427" s="383">
        <f t="shared" si="280"/>
        <v>1</v>
      </c>
      <c r="AG427" s="383">
        <f t="shared" si="281"/>
        <v>0</v>
      </c>
      <c r="AH427" s="383">
        <f t="shared" si="282"/>
        <v>0</v>
      </c>
      <c r="AI427" s="383">
        <f t="shared" si="283"/>
        <v>0</v>
      </c>
      <c r="AJ427" s="383">
        <f t="shared" si="284"/>
        <v>1</v>
      </c>
      <c r="AK427" s="383">
        <f t="shared" si="285"/>
        <v>0</v>
      </c>
      <c r="AM427" s="148" t="str">
        <f t="shared" si="286"/>
        <v>Schedulled</v>
      </c>
      <c r="AN427" s="148" t="str">
        <f t="shared" si="287"/>
        <v/>
      </c>
      <c r="AO427" s="156">
        <f t="shared" si="288"/>
        <v>43058.4375</v>
      </c>
      <c r="AP427" s="148" t="str">
        <f t="shared" si="289"/>
        <v>11/19/2017 10:30-&gt;JCC Back Field 2</v>
      </c>
      <c r="AQ427" s="374">
        <f t="shared" si="290"/>
        <v>1</v>
      </c>
      <c r="AR427" s="148" t="str">
        <f t="shared" si="291"/>
        <v>VEN1</v>
      </c>
      <c r="AS427" s="148" t="str">
        <f t="shared" si="292"/>
        <v>MEX2</v>
      </c>
      <c r="AT427" s="157" t="str">
        <f t="shared" si="293"/>
        <v>VEN1-MEX2</v>
      </c>
      <c r="AU427" s="157" t="str">
        <f t="shared" si="294"/>
        <v xml:space="preserve">VEN1-MEX2 </v>
      </c>
      <c r="AV427" s="157" t="str">
        <f t="shared" si="295"/>
        <v>CHILDREN E MALE</v>
      </c>
      <c r="AW427" s="157" t="str">
        <f t="shared" si="296"/>
        <v>Soccer</v>
      </c>
      <c r="AX427" s="376">
        <f t="shared" si="297"/>
        <v>425</v>
      </c>
      <c r="AY427" s="148" t="str">
        <f t="shared" si="298"/>
        <v>CHILD EM - VEN 1-&gt;CHILD EM - MEX 2</v>
      </c>
      <c r="AZ427" s="148" t="str">
        <f t="shared" si="299"/>
        <v>11/19/2017 10:30-&gt;CHILD EM - VEN 1</v>
      </c>
      <c r="BA427" s="148" t="str">
        <f t="shared" si="300"/>
        <v>11/19/2017 10:30-&gt;CHILD EM - MEX 2</v>
      </c>
      <c r="BB427" s="374">
        <f t="shared" si="301"/>
        <v>1</v>
      </c>
      <c r="BC427" s="374">
        <f t="shared" si="302"/>
        <v>1</v>
      </c>
      <c r="BD427" s="148" t="str">
        <f t="shared" si="303"/>
        <v>no conflict</v>
      </c>
      <c r="BF427" s="148" t="str">
        <f t="shared" si="304"/>
        <v>11/19/2017 10:30-&gt;CHILD EM - VEN 1</v>
      </c>
      <c r="BG427" s="148" t="str">
        <f t="shared" si="305"/>
        <v>11/19/2017 10:30-&gt;CHILD EM - MEX 2</v>
      </c>
      <c r="BH427" s="148" t="str">
        <f t="shared" si="306"/>
        <v>11/19/2017 10:30-&gt;JCC Back Field 2</v>
      </c>
      <c r="BI427" s="148" t="str">
        <f t="shared" si="307"/>
        <v>Soccer in JCC Back Field 2 (VEN1-MEX2)</v>
      </c>
      <c r="BJ427" s="148" t="str">
        <f t="shared" si="308"/>
        <v>Ch E Male Mini Soccer-- CHILD EM - VEN 1 vs. CHILD EM - MEX 2</v>
      </c>
      <c r="BK427" s="148" t="str">
        <f t="shared" si="309"/>
        <v>Soccer</v>
      </c>
      <c r="BL427" s="148" t="str">
        <f t="shared" si="310"/>
        <v>CHILD EM - VEN 1</v>
      </c>
      <c r="BM427" s="148" t="str">
        <f t="shared" si="311"/>
        <v>CHILD EM - MEX 2</v>
      </c>
      <c r="BN427" s="148" t="str">
        <f t="shared" si="312"/>
        <v>Round - 1</v>
      </c>
      <c r="BP427" s="148" t="str">
        <f t="shared" si="313"/>
        <v>no t, f, or sf</v>
      </c>
      <c r="BQ427" s="148" t="str">
        <f t="shared" si="314"/>
        <v/>
      </c>
    </row>
    <row r="428" spans="1:69" ht="15" customHeight="1" x14ac:dyDescent="0.2">
      <c r="A428" s="376">
        <v>426</v>
      </c>
      <c r="B428" s="319" t="s">
        <v>62</v>
      </c>
      <c r="C428" s="319" t="s">
        <v>518</v>
      </c>
      <c r="D428" s="376">
        <v>1</v>
      </c>
      <c r="E428" s="376">
        <v>1</v>
      </c>
      <c r="F428" s="315" t="s">
        <v>770</v>
      </c>
      <c r="G428" s="320">
        <v>43058</v>
      </c>
      <c r="H428" s="318">
        <v>0.47222222222222227</v>
      </c>
      <c r="I428" s="325" t="s">
        <v>770</v>
      </c>
      <c r="J428" s="319" t="s">
        <v>693</v>
      </c>
      <c r="K428" s="319">
        <v>51</v>
      </c>
      <c r="L428" s="319" t="s">
        <v>716</v>
      </c>
      <c r="M428" s="319">
        <v>51</v>
      </c>
      <c r="N428" s="319" t="s">
        <v>621</v>
      </c>
      <c r="O428" s="153" t="str">
        <f>IF(L428&lt;&gt;"",IFERROR(VLOOKUP(B428&amp;L428,Pools!$A$2:$D$130,3,FALSE),""),"")</f>
        <v/>
      </c>
      <c r="P428" s="388">
        <v>10</v>
      </c>
      <c r="Q428" s="388">
        <v>2</v>
      </c>
      <c r="R428" s="306" t="str">
        <f t="shared" si="270"/>
        <v>10-2</v>
      </c>
      <c r="S428" s="153"/>
      <c r="T428" s="148" t="str">
        <f t="shared" si="271"/>
        <v>Completed</v>
      </c>
      <c r="U428" s="153"/>
      <c r="V428" s="153"/>
      <c r="W428" s="387">
        <f t="shared" si="272"/>
        <v>3</v>
      </c>
      <c r="X428" s="387">
        <f t="shared" si="273"/>
        <v>-3</v>
      </c>
      <c r="Y428" s="301">
        <f t="shared" si="274"/>
        <v>2</v>
      </c>
      <c r="Z428" s="301">
        <f t="shared" si="275"/>
        <v>0</v>
      </c>
      <c r="AA428" s="323" t="str">
        <f>CONCATENATE("                x[team1,team2,sport,'",IF(OR(I428="x",I428=""),VLOOKUP('Schedule from TM'!J428,Tables!$P$3:$Q$33,2,FALSE),'Schedule from TM'!I428),",",J428,"','",IF(OR(F428="x",F428=""),VLOOKUP('Schedule from TM'!G428,Tables!$U$3:$V$14,2,FALSE),'Schedule from TM'!F428),",",TEXT(G428,"mm/dd/yyyy"),"','",TEXT(H428,"h:mm:ss AM/PM"),"'].ub=0.0      #",B428)</f>
        <v xml:space="preserve">                x[team1,team2,sport,'11,JCC Back Field 2','11,11/19/2017','11:20:00 AM'].ub=0.0      #Ch E Male Mini Soccer</v>
      </c>
      <c r="AB428" s="301" t="str">
        <f t="shared" si="276"/>
        <v>,,Ch E Male Mini Soccer,,1,CHILD EM - VEN 3</v>
      </c>
      <c r="AC428" s="153" t="str">
        <f t="shared" si="277"/>
        <v>Ch E Male Mini SoccerCHILD EM - VEN 3</v>
      </c>
      <c r="AD428" s="301" t="str">
        <f t="shared" si="278"/>
        <v>,,Ch E Male Mini Soccer,,1,CHILD EM - USA 1</v>
      </c>
      <c r="AE428" s="153" t="str">
        <f t="shared" si="279"/>
        <v>Ch E Male Mini SoccerCHILD EM - USA 1</v>
      </c>
      <c r="AF428" s="383">
        <f t="shared" si="280"/>
        <v>1</v>
      </c>
      <c r="AG428" s="383">
        <f t="shared" si="281"/>
        <v>0</v>
      </c>
      <c r="AH428" s="383">
        <f t="shared" si="282"/>
        <v>0</v>
      </c>
      <c r="AI428" s="383">
        <f t="shared" si="283"/>
        <v>0</v>
      </c>
      <c r="AJ428" s="383">
        <f t="shared" si="284"/>
        <v>1</v>
      </c>
      <c r="AK428" s="383">
        <f t="shared" si="285"/>
        <v>0</v>
      </c>
      <c r="AM428" s="148" t="str">
        <f t="shared" si="286"/>
        <v>Schedulled</v>
      </c>
      <c r="AN428" s="148" t="str">
        <f t="shared" si="287"/>
        <v/>
      </c>
      <c r="AO428" s="156">
        <f t="shared" si="288"/>
        <v>43058.472222222219</v>
      </c>
      <c r="AP428" s="148" t="str">
        <f t="shared" si="289"/>
        <v>11/19/2017 11:20-&gt;JCC Back Field 2</v>
      </c>
      <c r="AQ428" s="374">
        <f t="shared" si="290"/>
        <v>1</v>
      </c>
      <c r="AR428" s="148" t="str">
        <f t="shared" si="291"/>
        <v>VEN3</v>
      </c>
      <c r="AS428" s="148" t="str">
        <f t="shared" si="292"/>
        <v>USA1</v>
      </c>
      <c r="AT428" s="157" t="str">
        <f t="shared" si="293"/>
        <v>VEN3-USA1</v>
      </c>
      <c r="AU428" s="157" t="str">
        <f t="shared" si="294"/>
        <v xml:space="preserve">VEN3-USA1 </v>
      </c>
      <c r="AV428" s="157" t="str">
        <f t="shared" si="295"/>
        <v>CHILDREN E MALE</v>
      </c>
      <c r="AW428" s="157" t="str">
        <f t="shared" si="296"/>
        <v>Soccer</v>
      </c>
      <c r="AX428" s="376">
        <f t="shared" si="297"/>
        <v>426</v>
      </c>
      <c r="AY428" s="148" t="str">
        <f t="shared" si="298"/>
        <v>CHILD EM - VEN 3-&gt;CHILD EM - USA 1</v>
      </c>
      <c r="AZ428" s="148" t="str">
        <f t="shared" si="299"/>
        <v>11/19/2017 11:20-&gt;CHILD EM - VEN 3</v>
      </c>
      <c r="BA428" s="148" t="str">
        <f t="shared" si="300"/>
        <v>11/19/2017 11:20-&gt;CHILD EM - USA 1</v>
      </c>
      <c r="BB428" s="374">
        <f t="shared" si="301"/>
        <v>1</v>
      </c>
      <c r="BC428" s="374">
        <f t="shared" si="302"/>
        <v>1</v>
      </c>
      <c r="BD428" s="148" t="str">
        <f t="shared" si="303"/>
        <v>no conflict</v>
      </c>
      <c r="BF428" s="148" t="str">
        <f t="shared" si="304"/>
        <v>11/19/2017 11:20-&gt;CHILD EM - VEN 3</v>
      </c>
      <c r="BG428" s="148" t="str">
        <f t="shared" si="305"/>
        <v>11/19/2017 11:20-&gt;CHILD EM - USA 1</v>
      </c>
      <c r="BH428" s="148" t="str">
        <f t="shared" si="306"/>
        <v>11/19/2017 11:20-&gt;JCC Back Field 2</v>
      </c>
      <c r="BI428" s="148" t="str">
        <f t="shared" si="307"/>
        <v>Soccer in JCC Back Field 2 (VEN3-USA1)</v>
      </c>
      <c r="BJ428" s="148" t="str">
        <f t="shared" si="308"/>
        <v>Ch E Male Mini Soccer-- CHILD EM - VEN 3 vs. CHILD EM - USA 1</v>
      </c>
      <c r="BK428" s="148" t="str">
        <f t="shared" si="309"/>
        <v>Soccer</v>
      </c>
      <c r="BL428" s="148" t="str">
        <f t="shared" si="310"/>
        <v>CHILD EM - VEN 3</v>
      </c>
      <c r="BM428" s="148" t="str">
        <f t="shared" si="311"/>
        <v>CHILD EM - USA 1</v>
      </c>
      <c r="BN428" s="148" t="str">
        <f t="shared" si="312"/>
        <v>Round - 1</v>
      </c>
      <c r="BP428" s="148" t="str">
        <f t="shared" si="313"/>
        <v>no t, f, or sf</v>
      </c>
      <c r="BQ428" s="148" t="str">
        <f t="shared" si="314"/>
        <v/>
      </c>
    </row>
    <row r="429" spans="1:69" ht="15" customHeight="1" x14ac:dyDescent="0.2">
      <c r="A429" s="376">
        <v>427</v>
      </c>
      <c r="B429" s="319" t="s">
        <v>62</v>
      </c>
      <c r="C429" s="319" t="s">
        <v>518</v>
      </c>
      <c r="D429" s="376">
        <v>1</v>
      </c>
      <c r="E429" s="376">
        <v>1</v>
      </c>
      <c r="F429" s="315" t="s">
        <v>770</v>
      </c>
      <c r="G429" s="320">
        <v>43058</v>
      </c>
      <c r="H429" s="317">
        <v>0.50694444444444442</v>
      </c>
      <c r="I429" s="325" t="s">
        <v>770</v>
      </c>
      <c r="J429" s="441" t="s">
        <v>693</v>
      </c>
      <c r="K429" s="319">
        <v>51</v>
      </c>
      <c r="L429" s="319" t="s">
        <v>618</v>
      </c>
      <c r="M429" s="319">
        <v>51</v>
      </c>
      <c r="N429" s="319" t="s">
        <v>625</v>
      </c>
      <c r="O429" s="153" t="str">
        <f>IF(L429&lt;&gt;"",IFERROR(VLOOKUP(B429&amp;L429,Pools!$A$2:$D$130,3,FALSE),""),"")</f>
        <v/>
      </c>
      <c r="P429" s="388">
        <v>2</v>
      </c>
      <c r="Q429" s="388">
        <v>1</v>
      </c>
      <c r="R429" s="306" t="str">
        <f t="shared" si="270"/>
        <v>2-1</v>
      </c>
      <c r="S429" s="153"/>
      <c r="T429" s="148" t="str">
        <f t="shared" si="271"/>
        <v>Completed</v>
      </c>
      <c r="U429" s="153"/>
      <c r="V429" s="153"/>
      <c r="W429" s="387">
        <f t="shared" si="272"/>
        <v>1</v>
      </c>
      <c r="X429" s="387">
        <f t="shared" si="273"/>
        <v>-1</v>
      </c>
      <c r="Y429" s="301">
        <f t="shared" si="274"/>
        <v>2</v>
      </c>
      <c r="Z429" s="301">
        <f t="shared" si="275"/>
        <v>0</v>
      </c>
      <c r="AA429" s="323" t="str">
        <f>CONCATENATE("                x[team1,team2,sport,'",IF(OR(I429="x",I429=""),VLOOKUP('Schedule from TM'!J429,Tables!$P$3:$Q$33,2,FALSE),'Schedule from TM'!I429),",",J429,"','",IF(OR(F429="x",F429=""),VLOOKUP('Schedule from TM'!G429,Tables!$U$3:$V$14,2,FALSE),'Schedule from TM'!F429),",",TEXT(G429,"mm/dd/yyyy"),"','",TEXT(H429,"h:mm:ss AM/PM"),"'].ub=0.0      #",B429)</f>
        <v xml:space="preserve">                x[team1,team2,sport,'11,JCC Back Field 2','11,11/19/2017','12:10:00 PM'].ub=0.0      #Ch E Male Mini Soccer</v>
      </c>
      <c r="AB429" s="301" t="str">
        <f t="shared" si="276"/>
        <v>,,Ch E Male Mini Soccer,,1,CHILD EM - COL 1</v>
      </c>
      <c r="AC429" s="153" t="str">
        <f t="shared" si="277"/>
        <v>Ch E Male Mini SoccerCHILD EM - COL 1</v>
      </c>
      <c r="AD429" s="301" t="str">
        <f t="shared" si="278"/>
        <v>,,Ch E Male Mini Soccer,,1,CHILD EM - VEN 2</v>
      </c>
      <c r="AE429" s="153" t="str">
        <f t="shared" si="279"/>
        <v>Ch E Male Mini SoccerCHILD EM - VEN 2</v>
      </c>
      <c r="AF429" s="383">
        <f t="shared" si="280"/>
        <v>1</v>
      </c>
      <c r="AG429" s="383">
        <f t="shared" si="281"/>
        <v>0</v>
      </c>
      <c r="AH429" s="383">
        <f t="shared" si="282"/>
        <v>0</v>
      </c>
      <c r="AI429" s="383">
        <f t="shared" si="283"/>
        <v>0</v>
      </c>
      <c r="AJ429" s="383">
        <f t="shared" si="284"/>
        <v>1</v>
      </c>
      <c r="AK429" s="383">
        <f t="shared" si="285"/>
        <v>0</v>
      </c>
      <c r="AM429" s="148" t="str">
        <f t="shared" si="286"/>
        <v>Schedulled</v>
      </c>
      <c r="AN429" s="148" t="str">
        <f t="shared" si="287"/>
        <v/>
      </c>
      <c r="AO429" s="156">
        <f t="shared" si="288"/>
        <v>43058.506944444445</v>
      </c>
      <c r="AP429" s="148" t="str">
        <f t="shared" si="289"/>
        <v>11/19/2017 12:10-&gt;JCC Back Field 2</v>
      </c>
      <c r="AQ429" s="374">
        <f t="shared" si="290"/>
        <v>1</v>
      </c>
      <c r="AR429" s="148" t="str">
        <f t="shared" si="291"/>
        <v>COL1</v>
      </c>
      <c r="AS429" s="148" t="str">
        <f t="shared" si="292"/>
        <v>VEN2</v>
      </c>
      <c r="AT429" s="157" t="str">
        <f t="shared" si="293"/>
        <v>COL1-VEN2</v>
      </c>
      <c r="AU429" s="157" t="str">
        <f t="shared" si="294"/>
        <v xml:space="preserve">COL1-VEN2 </v>
      </c>
      <c r="AV429" s="157" t="str">
        <f t="shared" si="295"/>
        <v>CHILDREN E MALE</v>
      </c>
      <c r="AW429" s="157" t="str">
        <f t="shared" si="296"/>
        <v>Soccer</v>
      </c>
      <c r="AX429" s="376">
        <f t="shared" si="297"/>
        <v>427</v>
      </c>
      <c r="AY429" s="148" t="str">
        <f t="shared" si="298"/>
        <v>CHILD EM - COL 1-&gt;CHILD EM - VEN 2</v>
      </c>
      <c r="AZ429" s="148" t="str">
        <f t="shared" si="299"/>
        <v>11/19/2017 12:10-&gt;CHILD EM - COL 1</v>
      </c>
      <c r="BA429" s="148" t="str">
        <f t="shared" si="300"/>
        <v>11/19/2017 12:10-&gt;CHILD EM - VEN 2</v>
      </c>
      <c r="BB429" s="374">
        <f t="shared" si="301"/>
        <v>1</v>
      </c>
      <c r="BC429" s="374">
        <f t="shared" si="302"/>
        <v>1</v>
      </c>
      <c r="BD429" s="148" t="str">
        <f t="shared" si="303"/>
        <v>no conflict</v>
      </c>
      <c r="BF429" s="148" t="str">
        <f t="shared" si="304"/>
        <v>11/19/2017 12:10-&gt;CHILD EM - COL 1</v>
      </c>
      <c r="BG429" s="148" t="str">
        <f t="shared" si="305"/>
        <v>11/19/2017 12:10-&gt;CHILD EM - VEN 2</v>
      </c>
      <c r="BH429" s="148" t="str">
        <f t="shared" si="306"/>
        <v>11/19/2017 12:10-&gt;JCC Back Field 2</v>
      </c>
      <c r="BI429" s="148" t="str">
        <f t="shared" si="307"/>
        <v>Soccer in JCC Back Field 2 (COL1-VEN2)</v>
      </c>
      <c r="BJ429" s="148" t="str">
        <f t="shared" si="308"/>
        <v>Ch E Male Mini Soccer-- CHILD EM - COL 1 vs. CHILD EM - VEN 2</v>
      </c>
      <c r="BK429" s="148" t="str">
        <f t="shared" si="309"/>
        <v>Soccer</v>
      </c>
      <c r="BL429" s="148" t="str">
        <f t="shared" si="310"/>
        <v>CHILD EM - COL 1</v>
      </c>
      <c r="BM429" s="148" t="str">
        <f t="shared" si="311"/>
        <v>CHILD EM - VEN 2</v>
      </c>
      <c r="BN429" s="148" t="str">
        <f t="shared" si="312"/>
        <v>Round - 1</v>
      </c>
      <c r="BP429" s="148" t="str">
        <f t="shared" si="313"/>
        <v>no t, f, or sf</v>
      </c>
      <c r="BQ429" s="148" t="str">
        <f t="shared" si="314"/>
        <v/>
      </c>
    </row>
    <row r="430" spans="1:69" ht="15" customHeight="1" x14ac:dyDescent="0.2">
      <c r="A430" s="376">
        <v>428</v>
      </c>
      <c r="B430" s="444" t="s">
        <v>62</v>
      </c>
      <c r="C430" s="444" t="s">
        <v>518</v>
      </c>
      <c r="D430" s="451">
        <v>1</v>
      </c>
      <c r="E430" s="451">
        <v>1</v>
      </c>
      <c r="F430" s="315" t="s">
        <v>770</v>
      </c>
      <c r="G430" s="445">
        <v>43058</v>
      </c>
      <c r="H430" s="317">
        <v>0.75</v>
      </c>
      <c r="I430" s="325" t="s">
        <v>770</v>
      </c>
      <c r="J430" s="444" t="s">
        <v>693</v>
      </c>
      <c r="K430" s="444">
        <v>51</v>
      </c>
      <c r="L430" s="444" t="s">
        <v>717</v>
      </c>
      <c r="M430" s="444">
        <v>51</v>
      </c>
      <c r="N430" s="444" t="s">
        <v>624</v>
      </c>
      <c r="O430" s="153" t="str">
        <f>IF(L430&lt;&gt;"",IFERROR(VLOOKUP(B430&amp;L430,Pools!$A$2:$D$130,3,FALSE),""),"")</f>
        <v/>
      </c>
      <c r="P430" s="388">
        <v>0</v>
      </c>
      <c r="Q430" s="388">
        <v>10</v>
      </c>
      <c r="R430" s="306" t="str">
        <f t="shared" si="270"/>
        <v>0-10</v>
      </c>
      <c r="S430" s="153"/>
      <c r="T430" s="148" t="str">
        <f t="shared" si="271"/>
        <v>Completed</v>
      </c>
      <c r="U430" s="153"/>
      <c r="V430" s="153"/>
      <c r="W430" s="387">
        <f t="shared" si="272"/>
        <v>-3</v>
      </c>
      <c r="X430" s="387">
        <f t="shared" si="273"/>
        <v>3</v>
      </c>
      <c r="Y430" s="301">
        <f t="shared" si="274"/>
        <v>0</v>
      </c>
      <c r="Z430" s="301">
        <f t="shared" si="275"/>
        <v>2</v>
      </c>
      <c r="AA430" s="323" t="str">
        <f>CONCATENATE("                x[team1,team2,sport,'",IF(OR(I430="x",I430=""),VLOOKUP('Schedule from TM'!J430,Tables!$P$3:$Q$33,2,FALSE),'Schedule from TM'!I430),",",J430,"','",IF(OR(F430="x",F430=""),VLOOKUP('Schedule from TM'!G430,Tables!$U$3:$V$14,2,FALSE),'Schedule from TM'!F430),",",TEXT(G430,"mm/dd/yyyy"),"','",TEXT(H430,"h:mm:ss AM/PM"),"'].ub=0.0      #",B430)</f>
        <v xml:space="preserve">                x[team1,team2,sport,'11,JCC Back Field 2','11,11/19/2017','6:00:00 PM'].ub=0.0      #Ch E Male Mini Soccer</v>
      </c>
      <c r="AB430" s="301" t="str">
        <f t="shared" si="276"/>
        <v>,,Ch E Male Mini Soccer,,1,CHILD EM - MEX 1</v>
      </c>
      <c r="AC430" s="153" t="str">
        <f t="shared" si="277"/>
        <v>Ch E Male Mini SoccerCHILD EM - MEX 1</v>
      </c>
      <c r="AD430" s="301" t="str">
        <f t="shared" si="278"/>
        <v>,,Ch E Male Mini Soccer,,1,CHILD EM - VEN 1</v>
      </c>
      <c r="AE430" s="153" t="str">
        <f t="shared" si="279"/>
        <v>Ch E Male Mini SoccerCHILD EM - VEN 1</v>
      </c>
      <c r="AF430" s="383">
        <f t="shared" si="280"/>
        <v>0</v>
      </c>
      <c r="AG430" s="383">
        <f t="shared" si="281"/>
        <v>1</v>
      </c>
      <c r="AH430" s="383">
        <f t="shared" si="282"/>
        <v>0</v>
      </c>
      <c r="AI430" s="383">
        <f t="shared" si="283"/>
        <v>1</v>
      </c>
      <c r="AJ430" s="383">
        <f t="shared" si="284"/>
        <v>0</v>
      </c>
      <c r="AK430" s="383">
        <f t="shared" si="285"/>
        <v>0</v>
      </c>
      <c r="AM430" s="148" t="str">
        <f t="shared" si="286"/>
        <v>Schedulled</v>
      </c>
      <c r="AN430" s="148" t="str">
        <f t="shared" si="287"/>
        <v/>
      </c>
      <c r="AO430" s="156">
        <f t="shared" si="288"/>
        <v>43058.75</v>
      </c>
      <c r="AP430" s="148" t="str">
        <f t="shared" si="289"/>
        <v>11/19/2017 18:00-&gt;JCC Back Field 2</v>
      </c>
      <c r="AQ430" s="374">
        <f t="shared" si="290"/>
        <v>1</v>
      </c>
      <c r="AR430" s="148" t="str">
        <f t="shared" si="291"/>
        <v>MEX1</v>
      </c>
      <c r="AS430" s="148" t="str">
        <f t="shared" si="292"/>
        <v>VEN1</v>
      </c>
      <c r="AT430" s="157" t="str">
        <f t="shared" si="293"/>
        <v>MEX1-VEN1</v>
      </c>
      <c r="AU430" s="157" t="str">
        <f t="shared" si="294"/>
        <v xml:space="preserve">MEX1-VEN1 </v>
      </c>
      <c r="AV430" s="157" t="str">
        <f t="shared" si="295"/>
        <v>CHILDREN E MALE</v>
      </c>
      <c r="AW430" s="157" t="str">
        <f t="shared" si="296"/>
        <v>Soccer</v>
      </c>
      <c r="AX430" s="376">
        <f t="shared" si="297"/>
        <v>428</v>
      </c>
      <c r="AY430" s="148" t="str">
        <f t="shared" si="298"/>
        <v>CHILD EM - MEX 1-&gt;CHILD EM - VEN 1</v>
      </c>
      <c r="AZ430" s="148" t="str">
        <f t="shared" si="299"/>
        <v>11/19/2017 18:00-&gt;CHILD EM - MEX 1</v>
      </c>
      <c r="BA430" s="148" t="str">
        <f t="shared" si="300"/>
        <v>11/19/2017 18:00-&gt;CHILD EM - VEN 1</v>
      </c>
      <c r="BB430" s="374">
        <f t="shared" si="301"/>
        <v>1</v>
      </c>
      <c r="BC430" s="374">
        <f t="shared" si="302"/>
        <v>1</v>
      </c>
      <c r="BD430" s="148" t="str">
        <f t="shared" si="303"/>
        <v>no conflict</v>
      </c>
      <c r="BF430" s="148" t="str">
        <f t="shared" si="304"/>
        <v>11/19/2017 18:00-&gt;CHILD EM - MEX 1</v>
      </c>
      <c r="BG430" s="148" t="str">
        <f t="shared" si="305"/>
        <v>11/19/2017 18:00-&gt;CHILD EM - VEN 1</v>
      </c>
      <c r="BH430" s="148" t="str">
        <f t="shared" si="306"/>
        <v>11/19/2017 18:00-&gt;JCC Back Field 2</v>
      </c>
      <c r="BI430" s="148" t="str">
        <f t="shared" si="307"/>
        <v>Soccer in JCC Back Field 2 (MEX1-VEN1)</v>
      </c>
      <c r="BJ430" s="148" t="str">
        <f t="shared" si="308"/>
        <v>Ch E Male Mini Soccer-- CHILD EM - MEX 1 vs. CHILD EM - VEN 1</v>
      </c>
      <c r="BK430" s="148" t="str">
        <f t="shared" si="309"/>
        <v>Soccer</v>
      </c>
      <c r="BL430" s="148" t="str">
        <f t="shared" si="310"/>
        <v>CHILD EM - MEX 1</v>
      </c>
      <c r="BM430" s="148" t="str">
        <f t="shared" si="311"/>
        <v>CHILD EM - VEN 1</v>
      </c>
      <c r="BN430" s="148" t="str">
        <f t="shared" si="312"/>
        <v>Round - 1</v>
      </c>
      <c r="BP430" s="148" t="str">
        <f t="shared" si="313"/>
        <v>no t, f, or sf</v>
      </c>
      <c r="BQ430" s="148" t="str">
        <f t="shared" si="314"/>
        <v/>
      </c>
    </row>
    <row r="431" spans="1:69" ht="15" customHeight="1" x14ac:dyDescent="0.2">
      <c r="A431" s="376">
        <v>429</v>
      </c>
      <c r="B431" s="319" t="s">
        <v>62</v>
      </c>
      <c r="C431" s="319" t="s">
        <v>518</v>
      </c>
      <c r="D431" s="376">
        <v>1</v>
      </c>
      <c r="E431" s="376">
        <v>1</v>
      </c>
      <c r="F431" s="315" t="s">
        <v>770</v>
      </c>
      <c r="G431" s="320">
        <v>43062</v>
      </c>
      <c r="H431" s="318">
        <v>0.4375</v>
      </c>
      <c r="I431" s="325" t="s">
        <v>770</v>
      </c>
      <c r="J431" s="296" t="s">
        <v>692</v>
      </c>
      <c r="K431" s="319">
        <v>51</v>
      </c>
      <c r="L431" s="319" t="s">
        <v>625</v>
      </c>
      <c r="M431" s="319">
        <v>51</v>
      </c>
      <c r="N431" s="319" t="s">
        <v>620</v>
      </c>
      <c r="O431" s="153" t="str">
        <f>IF(L431&lt;&gt;"",IFERROR(VLOOKUP(B431&amp;L431,Pools!$A$2:$D$130,3,FALSE),""),"")</f>
        <v/>
      </c>
      <c r="P431" s="388">
        <v>3</v>
      </c>
      <c r="Q431" s="388">
        <v>2</v>
      </c>
      <c r="R431" s="306" t="str">
        <f t="shared" si="270"/>
        <v>3-2</v>
      </c>
      <c r="S431" s="153"/>
      <c r="T431" s="148" t="str">
        <f t="shared" si="271"/>
        <v>Completed</v>
      </c>
      <c r="U431" s="153"/>
      <c r="V431" s="153"/>
      <c r="W431" s="387">
        <f t="shared" si="272"/>
        <v>1</v>
      </c>
      <c r="X431" s="387">
        <f t="shared" si="273"/>
        <v>-1</v>
      </c>
      <c r="Y431" s="301">
        <f t="shared" si="274"/>
        <v>2</v>
      </c>
      <c r="Z431" s="301">
        <f t="shared" si="275"/>
        <v>0</v>
      </c>
      <c r="AA431" s="323" t="str">
        <f>CONCATENATE("                x[team1,team2,sport,'",IF(OR(I431="x",I431=""),VLOOKUP('Schedule from TM'!J431,Tables!$P$3:$Q$33,2,FALSE),'Schedule from TM'!I431),",",J431,"','",IF(OR(F431="x",F431=""),VLOOKUP('Schedule from TM'!G431,Tables!$U$3:$V$14,2,FALSE),'Schedule from TM'!F431),",",TEXT(G431,"mm/dd/yyyy"),"','",TEXT(H431,"h:mm:ss AM/PM"),"'].ub=0.0      #",B431)</f>
        <v xml:space="preserve">                x[team1,team2,sport,'11,JCC Back Field 3','11,11/23/2017','10:30:00 AM'].ub=0.0      #Ch E Male Mini Soccer</v>
      </c>
      <c r="AB431" s="301" t="str">
        <f t="shared" si="276"/>
        <v>,,Ch E Male Mini Soccer,,1,CHILD EM - VEN 2</v>
      </c>
      <c r="AC431" s="153" t="str">
        <f t="shared" si="277"/>
        <v>Ch E Male Mini SoccerCHILD EM - VEN 2</v>
      </c>
      <c r="AD431" s="301" t="str">
        <f t="shared" si="278"/>
        <v>,,Ch E Male Mini Soccer,,1,CHILD EM - PER</v>
      </c>
      <c r="AE431" s="153" t="str">
        <f t="shared" si="279"/>
        <v>Ch E Male Mini SoccerCHILD EM - PER</v>
      </c>
      <c r="AF431" s="383">
        <f t="shared" si="280"/>
        <v>1</v>
      </c>
      <c r="AG431" s="383">
        <f t="shared" si="281"/>
        <v>0</v>
      </c>
      <c r="AH431" s="383">
        <f t="shared" si="282"/>
        <v>0</v>
      </c>
      <c r="AI431" s="383">
        <f t="shared" si="283"/>
        <v>0</v>
      </c>
      <c r="AJ431" s="383">
        <f t="shared" si="284"/>
        <v>1</v>
      </c>
      <c r="AK431" s="383">
        <f t="shared" si="285"/>
        <v>0</v>
      </c>
      <c r="AM431" s="148" t="str">
        <f t="shared" si="286"/>
        <v>Schedulled</v>
      </c>
      <c r="AN431" s="148" t="str">
        <f t="shared" si="287"/>
        <v/>
      </c>
      <c r="AO431" s="156">
        <f t="shared" si="288"/>
        <v>43062.4375</v>
      </c>
      <c r="AP431" s="148" t="str">
        <f t="shared" si="289"/>
        <v>11/23/2017 10:30-&gt;JCC Back Field 3</v>
      </c>
      <c r="AQ431" s="374">
        <f t="shared" si="290"/>
        <v>1</v>
      </c>
      <c r="AR431" s="148" t="str">
        <f t="shared" si="291"/>
        <v>VEN2</v>
      </c>
      <c r="AS431" s="148" t="str">
        <f t="shared" si="292"/>
        <v>PER</v>
      </c>
      <c r="AT431" s="157" t="str">
        <f t="shared" si="293"/>
        <v>VEN2-PER</v>
      </c>
      <c r="AU431" s="157" t="str">
        <f t="shared" si="294"/>
        <v xml:space="preserve">VEN2-PER </v>
      </c>
      <c r="AV431" s="157" t="str">
        <f t="shared" si="295"/>
        <v>CHILDREN E MALE</v>
      </c>
      <c r="AW431" s="157" t="str">
        <f t="shared" si="296"/>
        <v>Soccer</v>
      </c>
      <c r="AX431" s="376">
        <f t="shared" si="297"/>
        <v>429</v>
      </c>
      <c r="AY431" s="148" t="str">
        <f t="shared" si="298"/>
        <v>CHILD EM - VEN 2-&gt;CHILD EM - PER</v>
      </c>
      <c r="AZ431" s="148" t="str">
        <f t="shared" si="299"/>
        <v>11/23/2017 10:30-&gt;CHILD EM - VEN 2</v>
      </c>
      <c r="BA431" s="148" t="str">
        <f t="shared" si="300"/>
        <v>11/23/2017 10:30-&gt;CHILD EM - PER</v>
      </c>
      <c r="BB431" s="374">
        <f t="shared" si="301"/>
        <v>1</v>
      </c>
      <c r="BC431" s="374">
        <f t="shared" si="302"/>
        <v>1</v>
      </c>
      <c r="BD431" s="148" t="str">
        <f t="shared" si="303"/>
        <v>no conflict</v>
      </c>
      <c r="BF431" s="148" t="str">
        <f t="shared" si="304"/>
        <v>11/23/2017 10:30-&gt;CHILD EM - VEN 2</v>
      </c>
      <c r="BG431" s="148" t="str">
        <f t="shared" si="305"/>
        <v>11/23/2017 10:30-&gt;CHILD EM - PER</v>
      </c>
      <c r="BH431" s="148" t="str">
        <f t="shared" si="306"/>
        <v>11/23/2017 10:30-&gt;JCC Back Field 3</v>
      </c>
      <c r="BI431" s="148" t="str">
        <f t="shared" si="307"/>
        <v>Soccer in JCC Back Field 3 (VEN2-PER)</v>
      </c>
      <c r="BJ431" s="148" t="str">
        <f t="shared" si="308"/>
        <v>Ch E Male Mini Soccer-- CHILD EM - VEN 2 vs. CHILD EM - PER</v>
      </c>
      <c r="BK431" s="148" t="str">
        <f t="shared" si="309"/>
        <v>Soccer</v>
      </c>
      <c r="BL431" s="148" t="str">
        <f t="shared" si="310"/>
        <v>CHILD EM - VEN 2</v>
      </c>
      <c r="BM431" s="148" t="str">
        <f t="shared" si="311"/>
        <v>CHILD EM - PER</v>
      </c>
      <c r="BN431" s="148" t="str">
        <f t="shared" si="312"/>
        <v>Round - 1</v>
      </c>
      <c r="BP431" s="148" t="str">
        <f t="shared" si="313"/>
        <v>no t, f, or sf</v>
      </c>
      <c r="BQ431" s="148" t="str">
        <f t="shared" si="314"/>
        <v/>
      </c>
    </row>
    <row r="432" spans="1:69" ht="15" customHeight="1" x14ac:dyDescent="0.2">
      <c r="A432" s="376">
        <v>430</v>
      </c>
      <c r="B432" s="319" t="s">
        <v>62</v>
      </c>
      <c r="C432" s="319" t="s">
        <v>518</v>
      </c>
      <c r="D432" s="376">
        <v>1</v>
      </c>
      <c r="E432" s="376">
        <v>1</v>
      </c>
      <c r="F432" s="315" t="s">
        <v>770</v>
      </c>
      <c r="G432" s="320">
        <v>43059</v>
      </c>
      <c r="H432" s="317">
        <v>0.68055555555555547</v>
      </c>
      <c r="I432" s="325" t="s">
        <v>770</v>
      </c>
      <c r="J432" s="319" t="s">
        <v>695</v>
      </c>
      <c r="K432" s="319">
        <v>51</v>
      </c>
      <c r="L432" s="319" t="s">
        <v>618</v>
      </c>
      <c r="M432" s="319">
        <v>51</v>
      </c>
      <c r="N432" s="319" t="s">
        <v>622</v>
      </c>
      <c r="O432" s="153" t="str">
        <f>IF(L432&lt;&gt;"",IFERROR(VLOOKUP(B432&amp;L432,Pools!$A$2:$D$130,3,FALSE),""),"")</f>
        <v/>
      </c>
      <c r="P432" s="388">
        <v>10</v>
      </c>
      <c r="Q432" s="388">
        <v>4</v>
      </c>
      <c r="R432" s="306" t="str">
        <f t="shared" si="270"/>
        <v>10-4</v>
      </c>
      <c r="S432" s="153"/>
      <c r="T432" s="148" t="str">
        <f t="shared" si="271"/>
        <v>Completed</v>
      </c>
      <c r="U432" s="153"/>
      <c r="V432" s="153"/>
      <c r="W432" s="387">
        <f t="shared" si="272"/>
        <v>3</v>
      </c>
      <c r="X432" s="387">
        <f t="shared" si="273"/>
        <v>-3</v>
      </c>
      <c r="Y432" s="301">
        <f t="shared" si="274"/>
        <v>2</v>
      </c>
      <c r="Z432" s="301">
        <f t="shared" si="275"/>
        <v>0</v>
      </c>
      <c r="AA432" s="323" t="str">
        <f>CONCATENATE("                x[team1,team2,sport,'",IF(OR(I432="x",I432=""),VLOOKUP('Schedule from TM'!J432,Tables!$P$3:$Q$33,2,FALSE),'Schedule from TM'!I432),",",J432,"','",IF(OR(F432="x",F432=""),VLOOKUP('Schedule from TM'!G432,Tables!$U$3:$V$14,2,FALSE),'Schedule from TM'!F432),",",TEXT(G432,"mm/dd/yyyy"),"','",TEXT(H432,"h:mm:ss AM/PM"),"'].ub=0.0      #",B432)</f>
        <v xml:space="preserve">                x[team1,team2,sport,'11,JCC Back Field 1','22,11/20/2017','4:20:00 PM'].ub=0.0      #Ch E Male Mini Soccer</v>
      </c>
      <c r="AB432" s="301" t="str">
        <f t="shared" si="276"/>
        <v>,,Ch E Male Mini Soccer,,1,CHILD EM - COL 1</v>
      </c>
      <c r="AC432" s="153" t="str">
        <f t="shared" si="277"/>
        <v>Ch E Male Mini SoccerCHILD EM - COL 1</v>
      </c>
      <c r="AD432" s="301" t="str">
        <f t="shared" si="278"/>
        <v>,,Ch E Male Mini Soccer,,1,CHILD EM - USA 2</v>
      </c>
      <c r="AE432" s="153" t="str">
        <f t="shared" si="279"/>
        <v>Ch E Male Mini SoccerCHILD EM - USA 2</v>
      </c>
      <c r="AF432" s="383">
        <f t="shared" si="280"/>
        <v>1</v>
      </c>
      <c r="AG432" s="383">
        <f t="shared" si="281"/>
        <v>0</v>
      </c>
      <c r="AH432" s="383">
        <f t="shared" si="282"/>
        <v>0</v>
      </c>
      <c r="AI432" s="383">
        <f t="shared" si="283"/>
        <v>0</v>
      </c>
      <c r="AJ432" s="383">
        <f t="shared" si="284"/>
        <v>1</v>
      </c>
      <c r="AK432" s="383">
        <f t="shared" si="285"/>
        <v>0</v>
      </c>
      <c r="AM432" s="148" t="str">
        <f t="shared" si="286"/>
        <v>Schedulled</v>
      </c>
      <c r="AN432" s="148" t="str">
        <f t="shared" si="287"/>
        <v/>
      </c>
      <c r="AO432" s="156">
        <f t="shared" si="288"/>
        <v>43059.680555555555</v>
      </c>
      <c r="AP432" s="148" t="str">
        <f t="shared" si="289"/>
        <v>11/20/2017 16:20-&gt;JCC Back Field 1</v>
      </c>
      <c r="AQ432" s="374">
        <f t="shared" si="290"/>
        <v>1</v>
      </c>
      <c r="AR432" s="148" t="str">
        <f t="shared" si="291"/>
        <v>COL1</v>
      </c>
      <c r="AS432" s="148" t="str">
        <f t="shared" si="292"/>
        <v>USA2</v>
      </c>
      <c r="AT432" s="157" t="str">
        <f t="shared" si="293"/>
        <v>COL1-USA2</v>
      </c>
      <c r="AU432" s="157" t="str">
        <f t="shared" si="294"/>
        <v xml:space="preserve">COL1-USA2 </v>
      </c>
      <c r="AV432" s="157" t="str">
        <f t="shared" si="295"/>
        <v>CHILDREN E MALE</v>
      </c>
      <c r="AW432" s="157" t="str">
        <f t="shared" si="296"/>
        <v>Soccer</v>
      </c>
      <c r="AX432" s="376">
        <f t="shared" si="297"/>
        <v>430</v>
      </c>
      <c r="AY432" s="148" t="str">
        <f t="shared" si="298"/>
        <v>CHILD EM - COL 1-&gt;CHILD EM - USA 2</v>
      </c>
      <c r="AZ432" s="148" t="str">
        <f t="shared" si="299"/>
        <v>11/20/2017 16:20-&gt;CHILD EM - COL 1</v>
      </c>
      <c r="BA432" s="148" t="str">
        <f t="shared" si="300"/>
        <v>11/20/2017 16:20-&gt;CHILD EM - USA 2</v>
      </c>
      <c r="BB432" s="374">
        <f t="shared" si="301"/>
        <v>1</v>
      </c>
      <c r="BC432" s="374">
        <f t="shared" si="302"/>
        <v>1</v>
      </c>
      <c r="BD432" s="148" t="str">
        <f t="shared" si="303"/>
        <v>no conflict</v>
      </c>
      <c r="BF432" s="148" t="str">
        <f t="shared" si="304"/>
        <v>11/20/2017 16:20-&gt;CHILD EM - COL 1</v>
      </c>
      <c r="BG432" s="148" t="str">
        <f t="shared" si="305"/>
        <v>11/20/2017 16:20-&gt;CHILD EM - USA 2</v>
      </c>
      <c r="BH432" s="148" t="str">
        <f t="shared" si="306"/>
        <v>11/20/2017 16:20-&gt;JCC Back Field 1</v>
      </c>
      <c r="BI432" s="148" t="str">
        <f t="shared" si="307"/>
        <v>Soccer in JCC Back Field 1 (COL1-USA2)</v>
      </c>
      <c r="BJ432" s="148" t="str">
        <f t="shared" si="308"/>
        <v>Ch E Male Mini Soccer-- CHILD EM - COL 1 vs. CHILD EM - USA 2</v>
      </c>
      <c r="BK432" s="148" t="str">
        <f t="shared" si="309"/>
        <v>Soccer</v>
      </c>
      <c r="BL432" s="148" t="str">
        <f t="shared" si="310"/>
        <v>CHILD EM - COL 1</v>
      </c>
      <c r="BM432" s="148" t="str">
        <f t="shared" si="311"/>
        <v>CHILD EM - USA 2</v>
      </c>
      <c r="BN432" s="148" t="str">
        <f t="shared" si="312"/>
        <v>Round - 1</v>
      </c>
      <c r="BP432" s="148" t="str">
        <f t="shared" si="313"/>
        <v>no t, f, or sf</v>
      </c>
      <c r="BQ432" s="148" t="str">
        <f t="shared" si="314"/>
        <v/>
      </c>
    </row>
    <row r="433" spans="1:69" ht="15" customHeight="1" x14ac:dyDescent="0.2">
      <c r="A433" s="376">
        <v>431</v>
      </c>
      <c r="B433" s="315" t="s">
        <v>62</v>
      </c>
      <c r="C433" s="315" t="s">
        <v>518</v>
      </c>
      <c r="D433" s="378">
        <v>1</v>
      </c>
      <c r="E433" s="378">
        <v>1</v>
      </c>
      <c r="F433" s="315" t="s">
        <v>770</v>
      </c>
      <c r="G433" s="316">
        <v>43059</v>
      </c>
      <c r="H433" s="317">
        <v>0.68055555555555547</v>
      </c>
      <c r="I433" s="325" t="s">
        <v>770</v>
      </c>
      <c r="J433" s="315" t="s">
        <v>692</v>
      </c>
      <c r="K433" s="315">
        <v>51</v>
      </c>
      <c r="L433" s="315" t="s">
        <v>621</v>
      </c>
      <c r="M433" s="315">
        <v>51</v>
      </c>
      <c r="N433" s="315" t="s">
        <v>718</v>
      </c>
      <c r="O433" s="153" t="str">
        <f>IF(L433&lt;&gt;"",IFERROR(VLOOKUP(B433&amp;L433,Pools!$A$2:$D$130,3,FALSE),""),"")</f>
        <v/>
      </c>
      <c r="P433" s="388">
        <v>1</v>
      </c>
      <c r="Q433" s="388">
        <v>14</v>
      </c>
      <c r="R433" s="306" t="str">
        <f t="shared" si="270"/>
        <v>1-14</v>
      </c>
      <c r="S433" s="153"/>
      <c r="T433" s="148" t="str">
        <f t="shared" si="271"/>
        <v>Completed</v>
      </c>
      <c r="U433" s="153"/>
      <c r="V433" s="153"/>
      <c r="W433" s="387">
        <f t="shared" si="272"/>
        <v>-3</v>
      </c>
      <c r="X433" s="387">
        <f t="shared" si="273"/>
        <v>3</v>
      </c>
      <c r="Y433" s="301">
        <f t="shared" si="274"/>
        <v>0</v>
      </c>
      <c r="Z433" s="301">
        <f t="shared" si="275"/>
        <v>2</v>
      </c>
      <c r="AA433" s="323" t="str">
        <f>CONCATENATE("                x[team1,team2,sport,'",IF(OR(I433="x",I433=""),VLOOKUP('Schedule from TM'!J433,Tables!$P$3:$Q$33,2,FALSE),'Schedule from TM'!I433),",",J433,"','",IF(OR(F433="x",F433=""),VLOOKUP('Schedule from TM'!G433,Tables!$U$3:$V$14,2,FALSE),'Schedule from TM'!F433),",",TEXT(G433,"mm/dd/yyyy"),"','",TEXT(H433,"h:mm:ss AM/PM"),"'].ub=0.0      #",B433)</f>
        <v xml:space="preserve">                x[team1,team2,sport,'11,JCC Back Field 3','22,11/20/2017','4:20:00 PM'].ub=0.0      #Ch E Male Mini Soccer</v>
      </c>
      <c r="AB433" s="301" t="str">
        <f t="shared" si="276"/>
        <v>,,Ch E Male Mini Soccer,,1,CHILD EM - USA 1</v>
      </c>
      <c r="AC433" s="153" t="str">
        <f t="shared" si="277"/>
        <v>Ch E Male Mini SoccerCHILD EM - USA 1</v>
      </c>
      <c r="AD433" s="301" t="str">
        <f t="shared" si="278"/>
        <v>,,Ch E Male Mini Soccer,,1,CHILD EM - MEX 2</v>
      </c>
      <c r="AE433" s="153" t="str">
        <f t="shared" si="279"/>
        <v>Ch E Male Mini SoccerCHILD EM - MEX 2</v>
      </c>
      <c r="AF433" s="383">
        <f t="shared" si="280"/>
        <v>0</v>
      </c>
      <c r="AG433" s="383">
        <f t="shared" si="281"/>
        <v>1</v>
      </c>
      <c r="AH433" s="383">
        <f t="shared" si="282"/>
        <v>0</v>
      </c>
      <c r="AI433" s="383">
        <f t="shared" si="283"/>
        <v>1</v>
      </c>
      <c r="AJ433" s="383">
        <f t="shared" si="284"/>
        <v>0</v>
      </c>
      <c r="AK433" s="383">
        <f t="shared" si="285"/>
        <v>0</v>
      </c>
      <c r="AM433" s="148" t="str">
        <f t="shared" si="286"/>
        <v>Schedulled</v>
      </c>
      <c r="AN433" s="148" t="str">
        <f t="shared" si="287"/>
        <v/>
      </c>
      <c r="AO433" s="156">
        <f t="shared" si="288"/>
        <v>43059.680555555555</v>
      </c>
      <c r="AP433" s="148" t="str">
        <f t="shared" si="289"/>
        <v>11/20/2017 16:20-&gt;JCC Back Field 3</v>
      </c>
      <c r="AQ433" s="374">
        <f t="shared" si="290"/>
        <v>1</v>
      </c>
      <c r="AR433" s="148" t="str">
        <f t="shared" si="291"/>
        <v>USA1</v>
      </c>
      <c r="AS433" s="148" t="str">
        <f t="shared" si="292"/>
        <v>MEX2</v>
      </c>
      <c r="AT433" s="157" t="str">
        <f t="shared" si="293"/>
        <v>USA1-MEX2</v>
      </c>
      <c r="AU433" s="157" t="str">
        <f t="shared" si="294"/>
        <v xml:space="preserve">USA1-MEX2 </v>
      </c>
      <c r="AV433" s="157" t="str">
        <f t="shared" si="295"/>
        <v>CHILDREN E MALE</v>
      </c>
      <c r="AW433" s="157" t="str">
        <f t="shared" si="296"/>
        <v>Soccer</v>
      </c>
      <c r="AX433" s="376">
        <f t="shared" si="297"/>
        <v>431</v>
      </c>
      <c r="AY433" s="148" t="str">
        <f t="shared" si="298"/>
        <v>CHILD EM - USA 1-&gt;CHILD EM - MEX 2</v>
      </c>
      <c r="AZ433" s="148" t="str">
        <f t="shared" si="299"/>
        <v>11/20/2017 16:20-&gt;CHILD EM - USA 1</v>
      </c>
      <c r="BA433" s="148" t="str">
        <f t="shared" si="300"/>
        <v>11/20/2017 16:20-&gt;CHILD EM - MEX 2</v>
      </c>
      <c r="BB433" s="374">
        <f t="shared" si="301"/>
        <v>1</v>
      </c>
      <c r="BC433" s="374">
        <f t="shared" si="302"/>
        <v>1</v>
      </c>
      <c r="BD433" s="148" t="str">
        <f t="shared" si="303"/>
        <v>no conflict</v>
      </c>
      <c r="BF433" s="148" t="str">
        <f t="shared" si="304"/>
        <v>11/20/2017 16:20-&gt;CHILD EM - USA 1</v>
      </c>
      <c r="BG433" s="148" t="str">
        <f t="shared" si="305"/>
        <v>11/20/2017 16:20-&gt;CHILD EM - MEX 2</v>
      </c>
      <c r="BH433" s="148" t="str">
        <f t="shared" si="306"/>
        <v>11/20/2017 16:20-&gt;JCC Back Field 3</v>
      </c>
      <c r="BI433" s="148" t="str">
        <f t="shared" si="307"/>
        <v>Soccer in JCC Back Field 3 (USA1-MEX2)</v>
      </c>
      <c r="BJ433" s="148" t="str">
        <f t="shared" si="308"/>
        <v>Ch E Male Mini Soccer-- CHILD EM - USA 1 vs. CHILD EM - MEX 2</v>
      </c>
      <c r="BK433" s="148" t="str">
        <f t="shared" si="309"/>
        <v>Soccer</v>
      </c>
      <c r="BL433" s="148" t="str">
        <f t="shared" si="310"/>
        <v>CHILD EM - USA 1</v>
      </c>
      <c r="BM433" s="148" t="str">
        <f t="shared" si="311"/>
        <v>CHILD EM - MEX 2</v>
      </c>
      <c r="BN433" s="148" t="str">
        <f t="shared" si="312"/>
        <v>Round - 1</v>
      </c>
      <c r="BP433" s="148" t="str">
        <f t="shared" si="313"/>
        <v>no t, f, or sf</v>
      </c>
      <c r="BQ433" s="148" t="str">
        <f t="shared" si="314"/>
        <v/>
      </c>
    </row>
    <row r="434" spans="1:69" ht="15" customHeight="1" x14ac:dyDescent="0.2">
      <c r="A434" s="376">
        <v>432</v>
      </c>
      <c r="B434" s="441" t="s">
        <v>62</v>
      </c>
      <c r="C434" s="441" t="s">
        <v>518</v>
      </c>
      <c r="D434" s="450">
        <v>1</v>
      </c>
      <c r="E434" s="450">
        <v>1</v>
      </c>
      <c r="F434" s="315" t="s">
        <v>770</v>
      </c>
      <c r="G434" s="320">
        <v>43059</v>
      </c>
      <c r="H434" s="318">
        <v>0.71527777777777779</v>
      </c>
      <c r="I434" s="325" t="s">
        <v>770</v>
      </c>
      <c r="J434" s="441" t="s">
        <v>692</v>
      </c>
      <c r="K434" s="441">
        <v>51</v>
      </c>
      <c r="L434" s="319" t="s">
        <v>616</v>
      </c>
      <c r="M434" s="441">
        <v>51</v>
      </c>
      <c r="N434" s="319" t="s">
        <v>716</v>
      </c>
      <c r="O434" s="153" t="str">
        <f>IF(L434&lt;&gt;"",IFERROR(VLOOKUP(B434&amp;L434,Pools!$A$2:$D$130,3,FALSE),""),"")</f>
        <v/>
      </c>
      <c r="P434" s="388">
        <v>1</v>
      </c>
      <c r="Q434" s="388">
        <v>2</v>
      </c>
      <c r="R434" s="306" t="str">
        <f t="shared" si="270"/>
        <v>1-2</v>
      </c>
      <c r="S434" s="153"/>
      <c r="T434" s="148" t="str">
        <f t="shared" si="271"/>
        <v>Completed</v>
      </c>
      <c r="U434" s="153"/>
      <c r="V434" s="153"/>
      <c r="W434" s="387">
        <f t="shared" si="272"/>
        <v>-1</v>
      </c>
      <c r="X434" s="387">
        <f t="shared" si="273"/>
        <v>1</v>
      </c>
      <c r="Y434" s="301">
        <f t="shared" si="274"/>
        <v>0</v>
      </c>
      <c r="Z434" s="301">
        <f t="shared" si="275"/>
        <v>2</v>
      </c>
      <c r="AA434" s="323" t="str">
        <f>CONCATENATE("                x[team1,team2,sport,'",IF(OR(I434="x",I434=""),VLOOKUP('Schedule from TM'!J434,Tables!$P$3:$Q$33,2,FALSE),'Schedule from TM'!I434),",",J434,"','",IF(OR(F434="x",F434=""),VLOOKUP('Schedule from TM'!G434,Tables!$U$3:$V$14,2,FALSE),'Schedule from TM'!F434),",",TEXT(G434,"mm/dd/yyyy"),"','",TEXT(H434,"h:mm:ss AM/PM"),"'].ub=0.0      #",B434)</f>
        <v xml:space="preserve">                x[team1,team2,sport,'11,JCC Back Field 3','22,11/20/2017','5:10:00 PM'].ub=0.0      #Ch E Male Mini Soccer</v>
      </c>
      <c r="AB434" s="301" t="str">
        <f t="shared" si="276"/>
        <v>,,Ch E Male Mini Soccer,,1,CHILD EM - ARG 1</v>
      </c>
      <c r="AC434" s="153" t="str">
        <f t="shared" si="277"/>
        <v>Ch E Male Mini SoccerCHILD EM - ARG 1</v>
      </c>
      <c r="AD434" s="301" t="str">
        <f t="shared" si="278"/>
        <v>,,Ch E Male Mini Soccer,,1,CHILD EM - VEN 3</v>
      </c>
      <c r="AE434" s="153" t="str">
        <f t="shared" si="279"/>
        <v>Ch E Male Mini SoccerCHILD EM - VEN 3</v>
      </c>
      <c r="AF434" s="383">
        <f t="shared" si="280"/>
        <v>0</v>
      </c>
      <c r="AG434" s="383">
        <f t="shared" si="281"/>
        <v>1</v>
      </c>
      <c r="AH434" s="383">
        <f t="shared" si="282"/>
        <v>0</v>
      </c>
      <c r="AI434" s="383">
        <f t="shared" si="283"/>
        <v>1</v>
      </c>
      <c r="AJ434" s="383">
        <f t="shared" si="284"/>
        <v>0</v>
      </c>
      <c r="AK434" s="383">
        <f t="shared" si="285"/>
        <v>0</v>
      </c>
      <c r="AM434" s="148" t="str">
        <f t="shared" si="286"/>
        <v>Schedulled</v>
      </c>
      <c r="AN434" s="148" t="str">
        <f t="shared" si="287"/>
        <v/>
      </c>
      <c r="AO434" s="156">
        <f t="shared" si="288"/>
        <v>43059.715277777781</v>
      </c>
      <c r="AP434" s="148" t="str">
        <f t="shared" si="289"/>
        <v>11/20/2017 17:10-&gt;JCC Back Field 3</v>
      </c>
      <c r="AQ434" s="374">
        <f t="shared" si="290"/>
        <v>1</v>
      </c>
      <c r="AR434" s="148" t="str">
        <f t="shared" si="291"/>
        <v>ARG1</v>
      </c>
      <c r="AS434" s="148" t="str">
        <f t="shared" si="292"/>
        <v>VEN3</v>
      </c>
      <c r="AT434" s="157" t="str">
        <f t="shared" si="293"/>
        <v>ARG1-VEN3</v>
      </c>
      <c r="AU434" s="157" t="str">
        <f t="shared" si="294"/>
        <v xml:space="preserve">ARG1-VEN3 </v>
      </c>
      <c r="AV434" s="157" t="str">
        <f t="shared" si="295"/>
        <v>CHILDREN E MALE</v>
      </c>
      <c r="AW434" s="157" t="str">
        <f t="shared" si="296"/>
        <v>Soccer</v>
      </c>
      <c r="AX434" s="376">
        <f t="shared" si="297"/>
        <v>432</v>
      </c>
      <c r="AY434" s="148" t="str">
        <f t="shared" si="298"/>
        <v>CHILD EM - ARG 1-&gt;CHILD EM - VEN 3</v>
      </c>
      <c r="AZ434" s="148" t="str">
        <f t="shared" si="299"/>
        <v>11/20/2017 17:10-&gt;CHILD EM - ARG 1</v>
      </c>
      <c r="BA434" s="148" t="str">
        <f t="shared" si="300"/>
        <v>11/20/2017 17:10-&gt;CHILD EM - VEN 3</v>
      </c>
      <c r="BB434" s="374">
        <f t="shared" si="301"/>
        <v>1</v>
      </c>
      <c r="BC434" s="374">
        <f t="shared" si="302"/>
        <v>1</v>
      </c>
      <c r="BD434" s="148" t="str">
        <f t="shared" si="303"/>
        <v>no conflict</v>
      </c>
      <c r="BF434" s="148" t="str">
        <f t="shared" si="304"/>
        <v>11/20/2017 17:10-&gt;CHILD EM - ARG 1</v>
      </c>
      <c r="BG434" s="148" t="str">
        <f t="shared" si="305"/>
        <v>11/20/2017 17:10-&gt;CHILD EM - VEN 3</v>
      </c>
      <c r="BH434" s="148" t="str">
        <f t="shared" si="306"/>
        <v>11/20/2017 17:10-&gt;JCC Back Field 3</v>
      </c>
      <c r="BI434" s="148" t="str">
        <f t="shared" si="307"/>
        <v>Soccer in JCC Back Field 3 (ARG1-VEN3)</v>
      </c>
      <c r="BJ434" s="148" t="str">
        <f t="shared" si="308"/>
        <v>Ch E Male Mini Soccer-- CHILD EM - ARG 1 vs. CHILD EM - VEN 3</v>
      </c>
      <c r="BK434" s="148" t="str">
        <f t="shared" si="309"/>
        <v>Soccer</v>
      </c>
      <c r="BL434" s="148" t="str">
        <f t="shared" si="310"/>
        <v>CHILD EM - ARG 1</v>
      </c>
      <c r="BM434" s="148" t="str">
        <f t="shared" si="311"/>
        <v>CHILD EM - VEN 3</v>
      </c>
      <c r="BN434" s="148" t="str">
        <f t="shared" si="312"/>
        <v>Round - 1</v>
      </c>
      <c r="BP434" s="148" t="str">
        <f t="shared" si="313"/>
        <v>no t, f, or sf</v>
      </c>
      <c r="BQ434" s="148" t="str">
        <f t="shared" si="314"/>
        <v/>
      </c>
    </row>
    <row r="435" spans="1:69" ht="15" customHeight="1" x14ac:dyDescent="0.2">
      <c r="A435" s="376">
        <v>433</v>
      </c>
      <c r="B435" s="315" t="s">
        <v>62</v>
      </c>
      <c r="C435" s="315" t="s">
        <v>518</v>
      </c>
      <c r="D435" s="378">
        <v>1</v>
      </c>
      <c r="E435" s="378">
        <v>1</v>
      </c>
      <c r="F435" s="315" t="s">
        <v>770</v>
      </c>
      <c r="G435" s="316">
        <v>43059</v>
      </c>
      <c r="H435" s="317">
        <v>0.75</v>
      </c>
      <c r="I435" s="325" t="s">
        <v>770</v>
      </c>
      <c r="J435" s="315" t="s">
        <v>692</v>
      </c>
      <c r="K435" s="315">
        <v>51</v>
      </c>
      <c r="L435" s="315" t="s">
        <v>621</v>
      </c>
      <c r="M435" s="315">
        <v>51</v>
      </c>
      <c r="N435" s="315" t="s">
        <v>620</v>
      </c>
      <c r="O435" s="153" t="str">
        <f>IF(L435&lt;&gt;"",IFERROR(VLOOKUP(B435&amp;L435,Pools!$A$2:$D$130,3,FALSE),""),"")</f>
        <v/>
      </c>
      <c r="P435" s="388">
        <v>0</v>
      </c>
      <c r="Q435" s="388">
        <v>9</v>
      </c>
      <c r="R435" s="306" t="str">
        <f t="shared" si="270"/>
        <v>0-9</v>
      </c>
      <c r="S435" s="153"/>
      <c r="T435" s="148" t="str">
        <f t="shared" si="271"/>
        <v>Completed</v>
      </c>
      <c r="U435" s="153"/>
      <c r="V435" s="153"/>
      <c r="W435" s="387">
        <f t="shared" si="272"/>
        <v>-3</v>
      </c>
      <c r="X435" s="387">
        <f t="shared" si="273"/>
        <v>3</v>
      </c>
      <c r="Y435" s="301">
        <f t="shared" si="274"/>
        <v>0</v>
      </c>
      <c r="Z435" s="301">
        <f t="shared" si="275"/>
        <v>2</v>
      </c>
      <c r="AA435" s="323" t="str">
        <f>CONCATENATE("                x[team1,team2,sport,'",IF(OR(I435="x",I435=""),VLOOKUP('Schedule from TM'!J435,Tables!$P$3:$Q$33,2,FALSE),'Schedule from TM'!I435),",",J435,"','",IF(OR(F435="x",F435=""),VLOOKUP('Schedule from TM'!G435,Tables!$U$3:$V$14,2,FALSE),'Schedule from TM'!F435),",",TEXT(G435,"mm/dd/yyyy"),"','",TEXT(H435,"h:mm:ss AM/PM"),"'].ub=0.0      #",B435)</f>
        <v xml:space="preserve">                x[team1,team2,sport,'11,JCC Back Field 3','22,11/20/2017','6:00:00 PM'].ub=0.0      #Ch E Male Mini Soccer</v>
      </c>
      <c r="AB435" s="301" t="str">
        <f t="shared" si="276"/>
        <v>,,Ch E Male Mini Soccer,,1,CHILD EM - USA 1</v>
      </c>
      <c r="AC435" s="153" t="str">
        <f t="shared" si="277"/>
        <v>Ch E Male Mini SoccerCHILD EM - USA 1</v>
      </c>
      <c r="AD435" s="301" t="str">
        <f t="shared" si="278"/>
        <v>,,Ch E Male Mini Soccer,,1,CHILD EM - PER</v>
      </c>
      <c r="AE435" s="153" t="str">
        <f t="shared" si="279"/>
        <v>Ch E Male Mini SoccerCHILD EM - PER</v>
      </c>
      <c r="AF435" s="383">
        <f t="shared" si="280"/>
        <v>0</v>
      </c>
      <c r="AG435" s="383">
        <f t="shared" si="281"/>
        <v>1</v>
      </c>
      <c r="AH435" s="383">
        <f t="shared" si="282"/>
        <v>0</v>
      </c>
      <c r="AI435" s="383">
        <f t="shared" si="283"/>
        <v>1</v>
      </c>
      <c r="AJ435" s="383">
        <f t="shared" si="284"/>
        <v>0</v>
      </c>
      <c r="AK435" s="383">
        <f t="shared" si="285"/>
        <v>0</v>
      </c>
      <c r="AM435" s="148" t="str">
        <f t="shared" si="286"/>
        <v>Schedulled</v>
      </c>
      <c r="AN435" s="148" t="str">
        <f t="shared" si="287"/>
        <v/>
      </c>
      <c r="AO435" s="156">
        <f t="shared" si="288"/>
        <v>43059.75</v>
      </c>
      <c r="AP435" s="148" t="str">
        <f t="shared" si="289"/>
        <v>11/20/2017 18:00-&gt;JCC Back Field 3</v>
      </c>
      <c r="AQ435" s="374">
        <f t="shared" si="290"/>
        <v>1</v>
      </c>
      <c r="AR435" s="148" t="str">
        <f t="shared" si="291"/>
        <v>USA1</v>
      </c>
      <c r="AS435" s="148" t="str">
        <f t="shared" si="292"/>
        <v>PER</v>
      </c>
      <c r="AT435" s="157" t="str">
        <f t="shared" si="293"/>
        <v>USA1-PER</v>
      </c>
      <c r="AU435" s="157" t="str">
        <f t="shared" si="294"/>
        <v xml:space="preserve">USA1-PER </v>
      </c>
      <c r="AV435" s="157" t="str">
        <f t="shared" si="295"/>
        <v>CHILDREN E MALE</v>
      </c>
      <c r="AW435" s="157" t="str">
        <f t="shared" si="296"/>
        <v>Soccer</v>
      </c>
      <c r="AX435" s="376">
        <f t="shared" si="297"/>
        <v>433</v>
      </c>
      <c r="AY435" s="148" t="str">
        <f t="shared" si="298"/>
        <v>CHILD EM - USA 1-&gt;CHILD EM - PER</v>
      </c>
      <c r="AZ435" s="148" t="str">
        <f t="shared" si="299"/>
        <v>11/20/2017 18:00-&gt;CHILD EM - USA 1</v>
      </c>
      <c r="BA435" s="148" t="str">
        <f t="shared" si="300"/>
        <v>11/20/2017 18:00-&gt;CHILD EM - PER</v>
      </c>
      <c r="BB435" s="374">
        <f t="shared" si="301"/>
        <v>1</v>
      </c>
      <c r="BC435" s="374">
        <f t="shared" si="302"/>
        <v>1</v>
      </c>
      <c r="BD435" s="148" t="str">
        <f t="shared" si="303"/>
        <v>no conflict</v>
      </c>
      <c r="BF435" s="148" t="str">
        <f t="shared" si="304"/>
        <v>11/20/2017 18:00-&gt;CHILD EM - USA 1</v>
      </c>
      <c r="BG435" s="148" t="str">
        <f t="shared" si="305"/>
        <v>11/20/2017 18:00-&gt;CHILD EM - PER</v>
      </c>
      <c r="BH435" s="148" t="str">
        <f t="shared" si="306"/>
        <v>11/20/2017 18:00-&gt;JCC Back Field 3</v>
      </c>
      <c r="BI435" s="148" t="str">
        <f t="shared" si="307"/>
        <v>Soccer in JCC Back Field 3 (USA1-PER)</v>
      </c>
      <c r="BJ435" s="148" t="str">
        <f t="shared" si="308"/>
        <v>Ch E Male Mini Soccer-- CHILD EM - USA 1 vs. CHILD EM - PER</v>
      </c>
      <c r="BK435" s="148" t="str">
        <f t="shared" si="309"/>
        <v>Soccer</v>
      </c>
      <c r="BL435" s="148" t="str">
        <f t="shared" si="310"/>
        <v>CHILD EM - USA 1</v>
      </c>
      <c r="BM435" s="148" t="str">
        <f t="shared" si="311"/>
        <v>CHILD EM - PER</v>
      </c>
      <c r="BN435" s="148" t="str">
        <f t="shared" si="312"/>
        <v>Round - 1</v>
      </c>
      <c r="BP435" s="148" t="str">
        <f t="shared" si="313"/>
        <v>no t, f, or sf</v>
      </c>
      <c r="BQ435" s="148" t="str">
        <f t="shared" si="314"/>
        <v/>
      </c>
    </row>
    <row r="436" spans="1:69" ht="15" customHeight="1" x14ac:dyDescent="0.2">
      <c r="A436" s="376">
        <v>434</v>
      </c>
      <c r="B436" s="441" t="s">
        <v>62</v>
      </c>
      <c r="C436" s="441" t="s">
        <v>518</v>
      </c>
      <c r="D436" s="450">
        <v>1</v>
      </c>
      <c r="E436" s="450">
        <v>1</v>
      </c>
      <c r="F436" s="315" t="s">
        <v>770</v>
      </c>
      <c r="G436" s="320">
        <v>43059</v>
      </c>
      <c r="H436" s="318">
        <v>0.81944444444444453</v>
      </c>
      <c r="I436" s="325" t="s">
        <v>770</v>
      </c>
      <c r="J436" s="441" t="s">
        <v>694</v>
      </c>
      <c r="K436" s="441">
        <v>51</v>
      </c>
      <c r="L436" s="441" t="s">
        <v>716</v>
      </c>
      <c r="M436" s="441">
        <v>51</v>
      </c>
      <c r="N436" s="441" t="s">
        <v>620</v>
      </c>
      <c r="O436" s="153" t="str">
        <f>IF(L436&lt;&gt;"",IFERROR(VLOOKUP(B436&amp;L436,Pools!$A$2:$D$130,3,FALSE),""),"")</f>
        <v/>
      </c>
      <c r="P436" s="388">
        <v>1</v>
      </c>
      <c r="Q436" s="388">
        <v>5</v>
      </c>
      <c r="R436" s="306" t="str">
        <f t="shared" si="270"/>
        <v>1-5</v>
      </c>
      <c r="S436" s="153"/>
      <c r="T436" s="148" t="str">
        <f t="shared" si="271"/>
        <v>Completed</v>
      </c>
      <c r="U436" s="153"/>
      <c r="V436" s="153"/>
      <c r="W436" s="387">
        <f t="shared" si="272"/>
        <v>-3</v>
      </c>
      <c r="X436" s="387">
        <f t="shared" si="273"/>
        <v>3</v>
      </c>
      <c r="Y436" s="301">
        <f t="shared" si="274"/>
        <v>0</v>
      </c>
      <c r="Z436" s="301">
        <f t="shared" si="275"/>
        <v>2</v>
      </c>
      <c r="AA436" s="323" t="str">
        <f>CONCATENATE("                x[team1,team2,sport,'",IF(OR(I436="x",I436=""),VLOOKUP('Schedule from TM'!J436,Tables!$P$3:$Q$33,2,FALSE),'Schedule from TM'!I436),",",J436,"','",IF(OR(F436="x",F436=""),VLOOKUP('Schedule from TM'!G436,Tables!$U$3:$V$14,2,FALSE),'Schedule from TM'!F436),",",TEXT(G436,"mm/dd/yyyy"),"','",TEXT(H436,"h:mm:ss AM/PM"),"'].ub=0.0      #",B436)</f>
        <v xml:space="preserve">                x[team1,team2,sport,'11,JCC Back Field 4','22,11/20/2017','7:40:00 PM'].ub=0.0      #Ch E Male Mini Soccer</v>
      </c>
      <c r="AB436" s="301" t="str">
        <f t="shared" si="276"/>
        <v>,,Ch E Male Mini Soccer,,1,CHILD EM - VEN 3</v>
      </c>
      <c r="AC436" s="153" t="str">
        <f t="shared" si="277"/>
        <v>Ch E Male Mini SoccerCHILD EM - VEN 3</v>
      </c>
      <c r="AD436" s="301" t="str">
        <f t="shared" si="278"/>
        <v>,,Ch E Male Mini Soccer,,1,CHILD EM - PER</v>
      </c>
      <c r="AE436" s="153" t="str">
        <f t="shared" si="279"/>
        <v>Ch E Male Mini SoccerCHILD EM - PER</v>
      </c>
      <c r="AF436" s="383">
        <f t="shared" si="280"/>
        <v>0</v>
      </c>
      <c r="AG436" s="383">
        <f t="shared" si="281"/>
        <v>1</v>
      </c>
      <c r="AH436" s="383">
        <f t="shared" si="282"/>
        <v>0</v>
      </c>
      <c r="AI436" s="383">
        <f t="shared" si="283"/>
        <v>1</v>
      </c>
      <c r="AJ436" s="383">
        <f t="shared" si="284"/>
        <v>0</v>
      </c>
      <c r="AK436" s="383">
        <f t="shared" si="285"/>
        <v>0</v>
      </c>
      <c r="AM436" s="148" t="str">
        <f t="shared" si="286"/>
        <v>Schedulled</v>
      </c>
      <c r="AN436" s="148" t="str">
        <f t="shared" si="287"/>
        <v/>
      </c>
      <c r="AO436" s="156">
        <f t="shared" si="288"/>
        <v>43059.819444444445</v>
      </c>
      <c r="AP436" s="148" t="str">
        <f t="shared" si="289"/>
        <v>11/20/2017 19:40-&gt;JCC Back Field 4</v>
      </c>
      <c r="AQ436" s="374">
        <f t="shared" si="290"/>
        <v>1</v>
      </c>
      <c r="AR436" s="148" t="str">
        <f t="shared" si="291"/>
        <v>VEN3</v>
      </c>
      <c r="AS436" s="148" t="str">
        <f t="shared" si="292"/>
        <v>PER</v>
      </c>
      <c r="AT436" s="157" t="str">
        <f t="shared" si="293"/>
        <v>VEN3-PER</v>
      </c>
      <c r="AU436" s="157" t="str">
        <f t="shared" si="294"/>
        <v xml:space="preserve">VEN3-PER </v>
      </c>
      <c r="AV436" s="157" t="str">
        <f t="shared" si="295"/>
        <v>CHILDREN E MALE</v>
      </c>
      <c r="AW436" s="157" t="str">
        <f t="shared" si="296"/>
        <v>Soccer</v>
      </c>
      <c r="AX436" s="376">
        <f t="shared" si="297"/>
        <v>434</v>
      </c>
      <c r="AY436" s="148" t="str">
        <f t="shared" si="298"/>
        <v>CHILD EM - VEN 3-&gt;CHILD EM - PER</v>
      </c>
      <c r="AZ436" s="148" t="str">
        <f t="shared" si="299"/>
        <v>11/20/2017 19:40-&gt;CHILD EM - VEN 3</v>
      </c>
      <c r="BA436" s="148" t="str">
        <f t="shared" si="300"/>
        <v>11/20/2017 19:40-&gt;CHILD EM - PER</v>
      </c>
      <c r="BB436" s="374">
        <f t="shared" si="301"/>
        <v>1</v>
      </c>
      <c r="BC436" s="374">
        <f t="shared" si="302"/>
        <v>1</v>
      </c>
      <c r="BD436" s="148" t="str">
        <f t="shared" si="303"/>
        <v>no conflict</v>
      </c>
      <c r="BF436" s="148" t="str">
        <f t="shared" si="304"/>
        <v>11/20/2017 19:40-&gt;CHILD EM - VEN 3</v>
      </c>
      <c r="BG436" s="148" t="str">
        <f t="shared" si="305"/>
        <v>11/20/2017 19:40-&gt;CHILD EM - PER</v>
      </c>
      <c r="BH436" s="148" t="str">
        <f t="shared" si="306"/>
        <v>11/20/2017 19:40-&gt;JCC Back Field 4</v>
      </c>
      <c r="BI436" s="148" t="str">
        <f t="shared" si="307"/>
        <v>Soccer in JCC Back Field 4 (VEN3-PER)</v>
      </c>
      <c r="BJ436" s="148" t="str">
        <f t="shared" si="308"/>
        <v>Ch E Male Mini Soccer-- CHILD EM - VEN 3 vs. CHILD EM - PER</v>
      </c>
      <c r="BK436" s="148" t="str">
        <f t="shared" si="309"/>
        <v>Soccer</v>
      </c>
      <c r="BL436" s="148" t="str">
        <f t="shared" si="310"/>
        <v>CHILD EM - VEN 3</v>
      </c>
      <c r="BM436" s="148" t="str">
        <f t="shared" si="311"/>
        <v>CHILD EM - PER</v>
      </c>
      <c r="BN436" s="148" t="str">
        <f t="shared" si="312"/>
        <v>Round - 1</v>
      </c>
      <c r="BP436" s="148" t="str">
        <f t="shared" si="313"/>
        <v>no t, f, or sf</v>
      </c>
      <c r="BQ436" s="148" t="str">
        <f t="shared" si="314"/>
        <v/>
      </c>
    </row>
    <row r="437" spans="1:69" ht="15" customHeight="1" x14ac:dyDescent="0.2">
      <c r="A437" s="376">
        <v>435</v>
      </c>
      <c r="B437" s="444" t="s">
        <v>62</v>
      </c>
      <c r="C437" s="315" t="s">
        <v>518</v>
      </c>
      <c r="D437" s="378">
        <v>1</v>
      </c>
      <c r="E437" s="378">
        <v>1</v>
      </c>
      <c r="F437" s="315" t="s">
        <v>770</v>
      </c>
      <c r="G437" s="316">
        <v>43061</v>
      </c>
      <c r="H437" s="317">
        <v>0.75</v>
      </c>
      <c r="I437" s="325" t="s">
        <v>770</v>
      </c>
      <c r="J437" s="315" t="s">
        <v>693</v>
      </c>
      <c r="K437" s="315">
        <v>51</v>
      </c>
      <c r="L437" s="444" t="s">
        <v>618</v>
      </c>
      <c r="M437" s="315">
        <v>51</v>
      </c>
      <c r="N437" s="444" t="s">
        <v>624</v>
      </c>
      <c r="O437" s="153" t="str">
        <f>IF(L437&lt;&gt;"",IFERROR(VLOOKUP(B437&amp;L437,Pools!$A$2:$D$130,3,FALSE),""),"")</f>
        <v/>
      </c>
      <c r="P437" s="388">
        <v>1</v>
      </c>
      <c r="Q437" s="388">
        <v>4</v>
      </c>
      <c r="R437" s="306" t="str">
        <f t="shared" si="270"/>
        <v>1-4</v>
      </c>
      <c r="S437" s="153"/>
      <c r="T437" s="148" t="str">
        <f t="shared" si="271"/>
        <v>Completed</v>
      </c>
      <c r="U437" s="153"/>
      <c r="V437" s="153"/>
      <c r="W437" s="387">
        <f t="shared" si="272"/>
        <v>-3</v>
      </c>
      <c r="X437" s="387">
        <f t="shared" si="273"/>
        <v>3</v>
      </c>
      <c r="Y437" s="301">
        <f t="shared" si="274"/>
        <v>0</v>
      </c>
      <c r="Z437" s="301">
        <f t="shared" si="275"/>
        <v>2</v>
      </c>
      <c r="AA437" s="323" t="str">
        <f>CONCATENATE("                x[team1,team2,sport,'",IF(OR(I437="x",I437=""),VLOOKUP('Schedule from TM'!J437,Tables!$P$3:$Q$33,2,FALSE),'Schedule from TM'!I437),",",J437,"','",IF(OR(F437="x",F437=""),VLOOKUP('Schedule from TM'!G437,Tables!$U$3:$V$14,2,FALSE),'Schedule from TM'!F437),",",TEXT(G437,"mm/dd/yyyy"),"','",TEXT(H437,"h:mm:ss AM/PM"),"'].ub=0.0      #",B437)</f>
        <v xml:space="preserve">                x[team1,team2,sport,'11,JCC Back Field 2','22,11/22/2017','6:00:00 PM'].ub=0.0      #Ch E Male Mini Soccer</v>
      </c>
      <c r="AB437" s="301" t="str">
        <f t="shared" si="276"/>
        <v>,,Ch E Male Mini Soccer,,1,CHILD EM - COL 1</v>
      </c>
      <c r="AC437" s="153" t="str">
        <f t="shared" si="277"/>
        <v>Ch E Male Mini SoccerCHILD EM - COL 1</v>
      </c>
      <c r="AD437" s="301" t="str">
        <f t="shared" si="278"/>
        <v>,,Ch E Male Mini Soccer,,1,CHILD EM - VEN 1</v>
      </c>
      <c r="AE437" s="153" t="str">
        <f t="shared" si="279"/>
        <v>Ch E Male Mini SoccerCHILD EM - VEN 1</v>
      </c>
      <c r="AF437" s="383">
        <f t="shared" si="280"/>
        <v>0</v>
      </c>
      <c r="AG437" s="383">
        <f t="shared" si="281"/>
        <v>1</v>
      </c>
      <c r="AH437" s="383">
        <f t="shared" si="282"/>
        <v>0</v>
      </c>
      <c r="AI437" s="383">
        <f t="shared" si="283"/>
        <v>1</v>
      </c>
      <c r="AJ437" s="383">
        <f t="shared" si="284"/>
        <v>0</v>
      </c>
      <c r="AK437" s="383">
        <f t="shared" si="285"/>
        <v>0</v>
      </c>
      <c r="AM437" s="148" t="str">
        <f t="shared" si="286"/>
        <v>Schedulled</v>
      </c>
      <c r="AN437" s="148" t="str">
        <f t="shared" si="287"/>
        <v/>
      </c>
      <c r="AO437" s="156">
        <f t="shared" si="288"/>
        <v>43061.75</v>
      </c>
      <c r="AP437" s="148" t="str">
        <f t="shared" si="289"/>
        <v>11/22/2017 18:00-&gt;JCC Back Field 2</v>
      </c>
      <c r="AQ437" s="374">
        <f t="shared" si="290"/>
        <v>1</v>
      </c>
      <c r="AR437" s="148" t="str">
        <f t="shared" si="291"/>
        <v>COL1</v>
      </c>
      <c r="AS437" s="148" t="str">
        <f t="shared" si="292"/>
        <v>VEN1</v>
      </c>
      <c r="AT437" s="157" t="str">
        <f t="shared" si="293"/>
        <v>COL1-VEN1</v>
      </c>
      <c r="AU437" s="157" t="str">
        <f t="shared" si="294"/>
        <v xml:space="preserve">COL1-VEN1 </v>
      </c>
      <c r="AV437" s="157" t="str">
        <f t="shared" si="295"/>
        <v>CHILDREN E MALE</v>
      </c>
      <c r="AW437" s="157" t="str">
        <f t="shared" si="296"/>
        <v>Soccer</v>
      </c>
      <c r="AX437" s="376">
        <f t="shared" si="297"/>
        <v>435</v>
      </c>
      <c r="AY437" s="148" t="str">
        <f t="shared" si="298"/>
        <v>CHILD EM - COL 1-&gt;CHILD EM - VEN 1</v>
      </c>
      <c r="AZ437" s="148" t="str">
        <f t="shared" si="299"/>
        <v>11/22/2017 18:00-&gt;CHILD EM - COL 1</v>
      </c>
      <c r="BA437" s="148" t="str">
        <f t="shared" si="300"/>
        <v>11/22/2017 18:00-&gt;CHILD EM - VEN 1</v>
      </c>
      <c r="BB437" s="374">
        <f t="shared" si="301"/>
        <v>1</v>
      </c>
      <c r="BC437" s="374">
        <f t="shared" si="302"/>
        <v>1</v>
      </c>
      <c r="BD437" s="148" t="str">
        <f t="shared" si="303"/>
        <v>no conflict</v>
      </c>
      <c r="BF437" s="148" t="str">
        <f t="shared" si="304"/>
        <v>11/22/2017 18:00-&gt;CHILD EM - COL 1</v>
      </c>
      <c r="BG437" s="148" t="str">
        <f t="shared" si="305"/>
        <v>11/22/2017 18:00-&gt;CHILD EM - VEN 1</v>
      </c>
      <c r="BH437" s="148" t="str">
        <f t="shared" si="306"/>
        <v>11/22/2017 18:00-&gt;JCC Back Field 2</v>
      </c>
      <c r="BI437" s="148" t="str">
        <f t="shared" si="307"/>
        <v>Soccer in JCC Back Field 2 (COL1-VEN1)</v>
      </c>
      <c r="BJ437" s="148" t="str">
        <f t="shared" si="308"/>
        <v>Ch E Male Mini Soccer-- CHILD EM - COL 1 vs. CHILD EM - VEN 1</v>
      </c>
      <c r="BK437" s="148" t="str">
        <f t="shared" si="309"/>
        <v>Soccer</v>
      </c>
      <c r="BL437" s="148" t="str">
        <f t="shared" si="310"/>
        <v>CHILD EM - COL 1</v>
      </c>
      <c r="BM437" s="148" t="str">
        <f t="shared" si="311"/>
        <v>CHILD EM - VEN 1</v>
      </c>
      <c r="BN437" s="148" t="str">
        <f t="shared" si="312"/>
        <v>Round - 1</v>
      </c>
      <c r="BP437" s="148" t="str">
        <f t="shared" si="313"/>
        <v>no t, f, or sf</v>
      </c>
      <c r="BQ437" s="148" t="str">
        <f t="shared" si="314"/>
        <v/>
      </c>
    </row>
    <row r="438" spans="1:69" ht="15" customHeight="1" x14ac:dyDescent="0.2">
      <c r="A438" s="376">
        <v>436</v>
      </c>
      <c r="B438" s="315" t="s">
        <v>62</v>
      </c>
      <c r="C438" s="315" t="s">
        <v>518</v>
      </c>
      <c r="D438" s="378">
        <v>1</v>
      </c>
      <c r="E438" s="378">
        <v>1</v>
      </c>
      <c r="F438" s="315" t="s">
        <v>770</v>
      </c>
      <c r="G438" s="316">
        <v>43062</v>
      </c>
      <c r="H438" s="317">
        <v>0.36805555555555558</v>
      </c>
      <c r="I438" s="325" t="s">
        <v>770</v>
      </c>
      <c r="J438" s="315" t="s">
        <v>694</v>
      </c>
      <c r="K438" s="315">
        <v>51</v>
      </c>
      <c r="L438" s="315" t="s">
        <v>616</v>
      </c>
      <c r="M438" s="315">
        <v>51</v>
      </c>
      <c r="N438" s="315" t="s">
        <v>625</v>
      </c>
      <c r="O438" s="153" t="str">
        <f>IF(L438&lt;&gt;"",IFERROR(VLOOKUP(B438&amp;L438,Pools!$A$2:$D$130,3,FALSE),""),"")</f>
        <v/>
      </c>
      <c r="P438" s="388">
        <v>3</v>
      </c>
      <c r="Q438" s="388">
        <v>1</v>
      </c>
      <c r="R438" s="306" t="str">
        <f t="shared" si="270"/>
        <v>3-1</v>
      </c>
      <c r="S438" s="153"/>
      <c r="T438" s="148" t="str">
        <f t="shared" si="271"/>
        <v>Completed</v>
      </c>
      <c r="U438" s="153"/>
      <c r="V438" s="153"/>
      <c r="W438" s="387">
        <f t="shared" si="272"/>
        <v>2</v>
      </c>
      <c r="X438" s="387">
        <f t="shared" si="273"/>
        <v>-2</v>
      </c>
      <c r="Y438" s="301">
        <f t="shared" si="274"/>
        <v>2</v>
      </c>
      <c r="Z438" s="301">
        <f t="shared" si="275"/>
        <v>0</v>
      </c>
      <c r="AA438" s="323" t="str">
        <f>CONCATENATE("                x[team1,team2,sport,'",IF(OR(I438="x",I438=""),VLOOKUP('Schedule from TM'!J438,Tables!$P$3:$Q$33,2,FALSE),'Schedule from TM'!I438),",",J438,"','",IF(OR(F438="x",F438=""),VLOOKUP('Schedule from TM'!G438,Tables!$U$3:$V$14,2,FALSE),'Schedule from TM'!F438),",",TEXT(G438,"mm/dd/yyyy"),"','",TEXT(H438,"h:mm:ss AM/PM"),"'].ub=0.0      #",B438)</f>
        <v xml:space="preserve">                x[team1,team2,sport,'11,JCC Back Field 4','11,11/23/2017','8:50:00 AM'].ub=0.0      #Ch E Male Mini Soccer</v>
      </c>
      <c r="AB438" s="301" t="str">
        <f t="shared" si="276"/>
        <v>,,Ch E Male Mini Soccer,,1,CHILD EM - ARG 1</v>
      </c>
      <c r="AC438" s="153" t="str">
        <f t="shared" si="277"/>
        <v>Ch E Male Mini SoccerCHILD EM - ARG 1</v>
      </c>
      <c r="AD438" s="301" t="str">
        <f t="shared" si="278"/>
        <v>,,Ch E Male Mini Soccer,,1,CHILD EM - VEN 2</v>
      </c>
      <c r="AE438" s="153" t="str">
        <f t="shared" si="279"/>
        <v>Ch E Male Mini SoccerCHILD EM - VEN 2</v>
      </c>
      <c r="AF438" s="383">
        <f t="shared" si="280"/>
        <v>1</v>
      </c>
      <c r="AG438" s="383">
        <f t="shared" si="281"/>
        <v>0</v>
      </c>
      <c r="AH438" s="383">
        <f t="shared" si="282"/>
        <v>0</v>
      </c>
      <c r="AI438" s="383">
        <f t="shared" si="283"/>
        <v>0</v>
      </c>
      <c r="AJ438" s="383">
        <f t="shared" si="284"/>
        <v>1</v>
      </c>
      <c r="AK438" s="383">
        <f t="shared" si="285"/>
        <v>0</v>
      </c>
      <c r="AM438" s="148" t="str">
        <f t="shared" si="286"/>
        <v>Schedulled</v>
      </c>
      <c r="AN438" s="148" t="str">
        <f t="shared" si="287"/>
        <v/>
      </c>
      <c r="AO438" s="156">
        <f t="shared" si="288"/>
        <v>43062.368055555555</v>
      </c>
      <c r="AP438" s="148" t="str">
        <f t="shared" si="289"/>
        <v>11/23/2017 08:50-&gt;JCC Back Field 4</v>
      </c>
      <c r="AQ438" s="374">
        <f t="shared" si="290"/>
        <v>1</v>
      </c>
      <c r="AR438" s="148" t="str">
        <f t="shared" si="291"/>
        <v>ARG1</v>
      </c>
      <c r="AS438" s="148" t="str">
        <f t="shared" si="292"/>
        <v>VEN2</v>
      </c>
      <c r="AT438" s="157" t="str">
        <f t="shared" si="293"/>
        <v>ARG1-VEN2</v>
      </c>
      <c r="AU438" s="157" t="str">
        <f t="shared" si="294"/>
        <v xml:space="preserve">ARG1-VEN2 </v>
      </c>
      <c r="AV438" s="157" t="str">
        <f t="shared" si="295"/>
        <v>CHILDREN E MALE</v>
      </c>
      <c r="AW438" s="157" t="str">
        <f t="shared" si="296"/>
        <v>Soccer</v>
      </c>
      <c r="AX438" s="376">
        <f t="shared" si="297"/>
        <v>436</v>
      </c>
      <c r="AY438" s="148" t="str">
        <f t="shared" si="298"/>
        <v>CHILD EM - ARG 1-&gt;CHILD EM - VEN 2</v>
      </c>
      <c r="AZ438" s="148" t="str">
        <f t="shared" si="299"/>
        <v>11/23/2017 08:50-&gt;CHILD EM - ARG 1</v>
      </c>
      <c r="BA438" s="148" t="str">
        <f t="shared" si="300"/>
        <v>11/23/2017 08:50-&gt;CHILD EM - VEN 2</v>
      </c>
      <c r="BB438" s="374">
        <f t="shared" si="301"/>
        <v>1</v>
      </c>
      <c r="BC438" s="374">
        <f t="shared" si="302"/>
        <v>1</v>
      </c>
      <c r="BD438" s="148" t="str">
        <f t="shared" si="303"/>
        <v>no conflict</v>
      </c>
      <c r="BF438" s="148" t="str">
        <f t="shared" si="304"/>
        <v>11/23/2017 08:50-&gt;CHILD EM - ARG 1</v>
      </c>
      <c r="BG438" s="148" t="str">
        <f t="shared" si="305"/>
        <v>11/23/2017 08:50-&gt;CHILD EM - VEN 2</v>
      </c>
      <c r="BH438" s="148" t="str">
        <f t="shared" si="306"/>
        <v>11/23/2017 08:50-&gt;JCC Back Field 4</v>
      </c>
      <c r="BI438" s="148" t="str">
        <f t="shared" si="307"/>
        <v>Soccer in JCC Back Field 4 (ARG1-VEN2)</v>
      </c>
      <c r="BJ438" s="148" t="str">
        <f t="shared" si="308"/>
        <v>Ch E Male Mini Soccer-- CHILD EM - ARG 1 vs. CHILD EM - VEN 2</v>
      </c>
      <c r="BK438" s="148" t="str">
        <f t="shared" si="309"/>
        <v>Soccer</v>
      </c>
      <c r="BL438" s="148" t="str">
        <f t="shared" si="310"/>
        <v>CHILD EM - ARG 1</v>
      </c>
      <c r="BM438" s="148" t="str">
        <f t="shared" si="311"/>
        <v>CHILD EM - VEN 2</v>
      </c>
      <c r="BN438" s="148" t="str">
        <f t="shared" si="312"/>
        <v>Round - 1</v>
      </c>
      <c r="BP438" s="148" t="str">
        <f t="shared" si="313"/>
        <v>no t, f, or sf</v>
      </c>
      <c r="BQ438" s="148" t="str">
        <f t="shared" si="314"/>
        <v/>
      </c>
    </row>
    <row r="439" spans="1:69" ht="15" customHeight="1" x14ac:dyDescent="0.2">
      <c r="A439" s="376">
        <v>437</v>
      </c>
      <c r="B439" s="444" t="s">
        <v>62</v>
      </c>
      <c r="C439" s="444" t="s">
        <v>518</v>
      </c>
      <c r="D439" s="451">
        <v>1</v>
      </c>
      <c r="E439" s="451">
        <v>1</v>
      </c>
      <c r="F439" s="315" t="s">
        <v>770</v>
      </c>
      <c r="G439" s="445">
        <v>43062</v>
      </c>
      <c r="H439" s="317">
        <v>0.47222222222222227</v>
      </c>
      <c r="I439" s="325" t="s">
        <v>770</v>
      </c>
      <c r="J439" s="444" t="s">
        <v>692</v>
      </c>
      <c r="K439" s="444">
        <v>51</v>
      </c>
      <c r="L439" s="444" t="s">
        <v>717</v>
      </c>
      <c r="M439" s="444">
        <v>51</v>
      </c>
      <c r="N439" s="444" t="s">
        <v>622</v>
      </c>
      <c r="O439" s="153" t="str">
        <f>IF(L439&lt;&gt;"",IFERROR(VLOOKUP(B439&amp;L439,Pools!$A$2:$D$130,3,FALSE),""),"")</f>
        <v/>
      </c>
      <c r="P439" s="388">
        <v>1</v>
      </c>
      <c r="Q439" s="388">
        <v>0</v>
      </c>
      <c r="R439" s="306" t="str">
        <f t="shared" si="270"/>
        <v>1-0</v>
      </c>
      <c r="S439" s="153"/>
      <c r="T439" s="148" t="str">
        <f t="shared" si="271"/>
        <v>Completed</v>
      </c>
      <c r="U439" s="153"/>
      <c r="V439" s="153"/>
      <c r="W439" s="387">
        <f t="shared" si="272"/>
        <v>1</v>
      </c>
      <c r="X439" s="387">
        <f t="shared" si="273"/>
        <v>-1</v>
      </c>
      <c r="Y439" s="301">
        <f t="shared" si="274"/>
        <v>2</v>
      </c>
      <c r="Z439" s="301">
        <f t="shared" si="275"/>
        <v>0</v>
      </c>
      <c r="AA439" s="323" t="str">
        <f>CONCATENATE("                x[team1,team2,sport,'",IF(OR(I439="x",I439=""),VLOOKUP('Schedule from TM'!J439,Tables!$P$3:$Q$33,2,FALSE),'Schedule from TM'!I439),",",J439,"','",IF(OR(F439="x",F439=""),VLOOKUP('Schedule from TM'!G439,Tables!$U$3:$V$14,2,FALSE),'Schedule from TM'!F439),",",TEXT(G439,"mm/dd/yyyy"),"','",TEXT(H439,"h:mm:ss AM/PM"),"'].ub=0.0      #",B439)</f>
        <v xml:space="preserve">                x[team1,team2,sport,'11,JCC Back Field 3','11,11/23/2017','11:20:00 AM'].ub=0.0      #Ch E Male Mini Soccer</v>
      </c>
      <c r="AB439" s="301" t="str">
        <f t="shared" si="276"/>
        <v>,,Ch E Male Mini Soccer,,1,CHILD EM - MEX 1</v>
      </c>
      <c r="AC439" s="153" t="str">
        <f t="shared" si="277"/>
        <v>Ch E Male Mini SoccerCHILD EM - MEX 1</v>
      </c>
      <c r="AD439" s="301" t="str">
        <f t="shared" si="278"/>
        <v>,,Ch E Male Mini Soccer,,1,CHILD EM - USA 2</v>
      </c>
      <c r="AE439" s="153" t="str">
        <f t="shared" si="279"/>
        <v>Ch E Male Mini SoccerCHILD EM - USA 2</v>
      </c>
      <c r="AF439" s="383">
        <f t="shared" si="280"/>
        <v>1</v>
      </c>
      <c r="AG439" s="383">
        <f t="shared" si="281"/>
        <v>0</v>
      </c>
      <c r="AH439" s="383">
        <f t="shared" si="282"/>
        <v>0</v>
      </c>
      <c r="AI439" s="383">
        <f t="shared" si="283"/>
        <v>0</v>
      </c>
      <c r="AJ439" s="383">
        <f t="shared" si="284"/>
        <v>1</v>
      </c>
      <c r="AK439" s="383">
        <f t="shared" si="285"/>
        <v>0</v>
      </c>
      <c r="AM439" s="148" t="str">
        <f t="shared" si="286"/>
        <v>Schedulled</v>
      </c>
      <c r="AN439" s="148" t="str">
        <f t="shared" si="287"/>
        <v/>
      </c>
      <c r="AO439" s="156">
        <f t="shared" si="288"/>
        <v>43062.472222222219</v>
      </c>
      <c r="AP439" s="148" t="str">
        <f t="shared" si="289"/>
        <v>11/23/2017 11:20-&gt;JCC Back Field 3</v>
      </c>
      <c r="AQ439" s="374">
        <f t="shared" si="290"/>
        <v>1</v>
      </c>
      <c r="AR439" s="148" t="str">
        <f t="shared" si="291"/>
        <v>MEX1</v>
      </c>
      <c r="AS439" s="148" t="str">
        <f t="shared" si="292"/>
        <v>USA2</v>
      </c>
      <c r="AT439" s="157" t="str">
        <f t="shared" si="293"/>
        <v>MEX1-USA2</v>
      </c>
      <c r="AU439" s="157" t="str">
        <f t="shared" si="294"/>
        <v xml:space="preserve">MEX1-USA2 </v>
      </c>
      <c r="AV439" s="157" t="str">
        <f t="shared" si="295"/>
        <v>CHILDREN E MALE</v>
      </c>
      <c r="AW439" s="157" t="str">
        <f t="shared" si="296"/>
        <v>Soccer</v>
      </c>
      <c r="AX439" s="376">
        <f t="shared" si="297"/>
        <v>437</v>
      </c>
      <c r="AY439" s="148" t="str">
        <f t="shared" si="298"/>
        <v>CHILD EM - MEX 1-&gt;CHILD EM - USA 2</v>
      </c>
      <c r="AZ439" s="148" t="str">
        <f t="shared" si="299"/>
        <v>11/23/2017 11:20-&gt;CHILD EM - MEX 1</v>
      </c>
      <c r="BA439" s="148" t="str">
        <f t="shared" si="300"/>
        <v>11/23/2017 11:20-&gt;CHILD EM - USA 2</v>
      </c>
      <c r="BB439" s="374">
        <f t="shared" si="301"/>
        <v>1</v>
      </c>
      <c r="BC439" s="374">
        <f t="shared" si="302"/>
        <v>1</v>
      </c>
      <c r="BD439" s="148" t="str">
        <f t="shared" si="303"/>
        <v>no conflict</v>
      </c>
      <c r="BF439" s="148" t="str">
        <f t="shared" si="304"/>
        <v>11/23/2017 11:20-&gt;CHILD EM - MEX 1</v>
      </c>
      <c r="BG439" s="148" t="str">
        <f t="shared" si="305"/>
        <v>11/23/2017 11:20-&gt;CHILD EM - USA 2</v>
      </c>
      <c r="BH439" s="148" t="str">
        <f t="shared" si="306"/>
        <v>11/23/2017 11:20-&gt;JCC Back Field 3</v>
      </c>
      <c r="BI439" s="148" t="str">
        <f t="shared" si="307"/>
        <v>Soccer in JCC Back Field 3 (MEX1-USA2)</v>
      </c>
      <c r="BJ439" s="148" t="str">
        <f t="shared" si="308"/>
        <v>Ch E Male Mini Soccer-- CHILD EM - MEX 1 vs. CHILD EM - USA 2</v>
      </c>
      <c r="BK439" s="148" t="str">
        <f t="shared" si="309"/>
        <v>Soccer</v>
      </c>
      <c r="BL439" s="148" t="str">
        <f t="shared" si="310"/>
        <v>CHILD EM - MEX 1</v>
      </c>
      <c r="BM439" s="148" t="str">
        <f t="shared" si="311"/>
        <v>CHILD EM - USA 2</v>
      </c>
      <c r="BN439" s="148" t="str">
        <f t="shared" si="312"/>
        <v>Round - 1</v>
      </c>
      <c r="BP439" s="148" t="str">
        <f t="shared" si="313"/>
        <v>no t, f, or sf</v>
      </c>
      <c r="BQ439" s="148" t="str">
        <f t="shared" si="314"/>
        <v/>
      </c>
    </row>
    <row r="440" spans="1:69" ht="15" customHeight="1" x14ac:dyDescent="0.2">
      <c r="A440" s="376">
        <v>438</v>
      </c>
      <c r="B440" s="315" t="s">
        <v>62</v>
      </c>
      <c r="C440" s="444" t="s">
        <v>518</v>
      </c>
      <c r="D440" s="378">
        <v>1</v>
      </c>
      <c r="E440" s="378">
        <v>1</v>
      </c>
      <c r="F440" s="315" t="s">
        <v>770</v>
      </c>
      <c r="G440" s="316">
        <v>43063</v>
      </c>
      <c r="H440" s="417">
        <v>0.54166666666666663</v>
      </c>
      <c r="I440" s="325" t="s">
        <v>770</v>
      </c>
      <c r="J440" s="443" t="s">
        <v>693</v>
      </c>
      <c r="K440" s="315">
        <v>51</v>
      </c>
      <c r="L440" s="444" t="s">
        <v>718</v>
      </c>
      <c r="M440" s="444">
        <v>51</v>
      </c>
      <c r="N440" s="444" t="s">
        <v>622</v>
      </c>
      <c r="O440" s="153" t="str">
        <f>IF(L440&lt;&gt;"",IFERROR(VLOOKUP(B440&amp;L440,Pools!$A$2:$D$130,3,FALSE),""),"")</f>
        <v/>
      </c>
      <c r="P440" s="388">
        <v>8</v>
      </c>
      <c r="Q440" s="388">
        <v>0</v>
      </c>
      <c r="R440" s="306" t="str">
        <f t="shared" si="270"/>
        <v>8-0</v>
      </c>
      <c r="S440" s="153"/>
      <c r="T440" s="148" t="str">
        <f t="shared" si="271"/>
        <v>Completed</v>
      </c>
      <c r="U440" s="153"/>
      <c r="V440" s="153"/>
      <c r="W440" s="387">
        <f t="shared" si="272"/>
        <v>3</v>
      </c>
      <c r="X440" s="387">
        <f t="shared" si="273"/>
        <v>-3</v>
      </c>
      <c r="Y440" s="301">
        <f t="shared" si="274"/>
        <v>2</v>
      </c>
      <c r="Z440" s="301">
        <f t="shared" si="275"/>
        <v>0</v>
      </c>
      <c r="AA440" s="323" t="str">
        <f>CONCATENATE("                x[team1,team2,sport,'",IF(OR(I440="x",I440=""),VLOOKUP('Schedule from TM'!J440,Tables!$P$3:$Q$33,2,FALSE),'Schedule from TM'!I440),",",J440,"','",IF(OR(F440="x",F440=""),VLOOKUP('Schedule from TM'!G440,Tables!$U$3:$V$14,2,FALSE),'Schedule from TM'!F440),",",TEXT(G440,"mm/dd/yyyy"),"','",TEXT(H440,"h:mm:ss AM/PM"),"'].ub=0.0      #",B440)</f>
        <v xml:space="preserve">                x[team1,team2,sport,'11,JCC Back Field 2','11,11/24/2017','1:00:00 PM'].ub=0.0      #Ch E Male Mini Soccer</v>
      </c>
      <c r="AB440" s="301" t="str">
        <f t="shared" si="276"/>
        <v>,,Ch E Male Mini Soccer,,1,CHILD EM - MEX 2</v>
      </c>
      <c r="AC440" s="153" t="str">
        <f t="shared" si="277"/>
        <v>Ch E Male Mini SoccerCHILD EM - MEX 2</v>
      </c>
      <c r="AD440" s="301" t="str">
        <f t="shared" si="278"/>
        <v>,,Ch E Male Mini Soccer,,1,CHILD EM - USA 2</v>
      </c>
      <c r="AE440" s="153" t="str">
        <f t="shared" si="279"/>
        <v>Ch E Male Mini SoccerCHILD EM - USA 2</v>
      </c>
      <c r="AF440" s="383">
        <f t="shared" si="280"/>
        <v>1</v>
      </c>
      <c r="AG440" s="383">
        <f t="shared" si="281"/>
        <v>0</v>
      </c>
      <c r="AH440" s="383">
        <f t="shared" si="282"/>
        <v>0</v>
      </c>
      <c r="AI440" s="383">
        <f t="shared" si="283"/>
        <v>0</v>
      </c>
      <c r="AJ440" s="383">
        <f t="shared" si="284"/>
        <v>1</v>
      </c>
      <c r="AK440" s="383">
        <f t="shared" si="285"/>
        <v>0</v>
      </c>
      <c r="AM440" s="148" t="str">
        <f t="shared" si="286"/>
        <v>Schedulled</v>
      </c>
      <c r="AN440" s="148" t="str">
        <f t="shared" si="287"/>
        <v/>
      </c>
      <c r="AO440" s="156">
        <f t="shared" si="288"/>
        <v>43063.541666666664</v>
      </c>
      <c r="AP440" s="148" t="str">
        <f t="shared" si="289"/>
        <v>11/24/2017 13:00-&gt;JCC Back Field 2</v>
      </c>
      <c r="AQ440" s="374">
        <f t="shared" si="290"/>
        <v>1</v>
      </c>
      <c r="AR440" s="148" t="str">
        <f t="shared" si="291"/>
        <v>MEX2</v>
      </c>
      <c r="AS440" s="148" t="str">
        <f t="shared" si="292"/>
        <v>USA2</v>
      </c>
      <c r="AT440" s="157" t="str">
        <f t="shared" si="293"/>
        <v>MEX2-USA2</v>
      </c>
      <c r="AU440" s="157" t="str">
        <f t="shared" si="294"/>
        <v xml:space="preserve">MEX2-USA2 </v>
      </c>
      <c r="AV440" s="157" t="str">
        <f t="shared" si="295"/>
        <v>CHILDREN E MALE</v>
      </c>
      <c r="AW440" s="157" t="str">
        <f t="shared" si="296"/>
        <v>Soccer</v>
      </c>
      <c r="AX440" s="376">
        <f t="shared" si="297"/>
        <v>438</v>
      </c>
      <c r="AY440" s="148" t="str">
        <f t="shared" si="298"/>
        <v>CHILD EM - MEX 2-&gt;CHILD EM - USA 2</v>
      </c>
      <c r="AZ440" s="148" t="str">
        <f t="shared" si="299"/>
        <v>11/24/2017 13:00-&gt;CHILD EM - MEX 2</v>
      </c>
      <c r="BA440" s="148" t="str">
        <f t="shared" si="300"/>
        <v>11/24/2017 13:00-&gt;CHILD EM - USA 2</v>
      </c>
      <c r="BB440" s="374">
        <f t="shared" si="301"/>
        <v>1</v>
      </c>
      <c r="BC440" s="374">
        <f t="shared" si="302"/>
        <v>1</v>
      </c>
      <c r="BD440" s="148" t="str">
        <f t="shared" si="303"/>
        <v>no conflict</v>
      </c>
      <c r="BF440" s="148" t="str">
        <f t="shared" si="304"/>
        <v>11/24/2017 13:00-&gt;CHILD EM - MEX 2</v>
      </c>
      <c r="BG440" s="148" t="str">
        <f t="shared" si="305"/>
        <v>11/24/2017 13:00-&gt;CHILD EM - USA 2</v>
      </c>
      <c r="BH440" s="148" t="str">
        <f t="shared" si="306"/>
        <v>11/24/2017 13:00-&gt;JCC Back Field 2</v>
      </c>
      <c r="BI440" s="148" t="str">
        <f t="shared" si="307"/>
        <v>Soccer in JCC Back Field 2 (MEX2-USA2)</v>
      </c>
      <c r="BJ440" s="148" t="str">
        <f t="shared" si="308"/>
        <v>Ch E Male Mini Soccer-- CHILD EM - MEX 2 vs. CHILD EM - USA 2</v>
      </c>
      <c r="BK440" s="148" t="str">
        <f t="shared" si="309"/>
        <v>Soccer</v>
      </c>
      <c r="BL440" s="148" t="str">
        <f t="shared" si="310"/>
        <v>CHILD EM - MEX 2</v>
      </c>
      <c r="BM440" s="148" t="str">
        <f t="shared" si="311"/>
        <v>CHILD EM - USA 2</v>
      </c>
      <c r="BN440" s="148" t="str">
        <f t="shared" si="312"/>
        <v>Round - 1</v>
      </c>
      <c r="BP440" s="148" t="str">
        <f t="shared" si="313"/>
        <v>no t, f, or sf</v>
      </c>
      <c r="BQ440" s="148" t="str">
        <f t="shared" si="314"/>
        <v/>
      </c>
    </row>
    <row r="441" spans="1:69" ht="15" customHeight="1" x14ac:dyDescent="0.2">
      <c r="A441" s="376">
        <v>439</v>
      </c>
      <c r="B441" s="444" t="s">
        <v>66</v>
      </c>
      <c r="C441" s="444" t="s">
        <v>518</v>
      </c>
      <c r="D441" s="451">
        <v>1</v>
      </c>
      <c r="E441" s="451">
        <v>1</v>
      </c>
      <c r="F441" s="315" t="s">
        <v>770</v>
      </c>
      <c r="G441" s="445">
        <v>43058</v>
      </c>
      <c r="H441" s="317">
        <v>0.4375</v>
      </c>
      <c r="I441" s="325" t="s">
        <v>770</v>
      </c>
      <c r="J441" s="444" t="s">
        <v>701</v>
      </c>
      <c r="K441" s="444">
        <v>51</v>
      </c>
      <c r="L441" s="444" t="s">
        <v>618</v>
      </c>
      <c r="M441" s="444">
        <v>51</v>
      </c>
      <c r="N441" s="444" t="s">
        <v>620</v>
      </c>
      <c r="O441" s="153" t="str">
        <f>IF(L441&lt;&gt;"",IFERROR(VLOOKUP(B441&amp;L441,Pools!$A$2:$D$130,3,FALSE),""),"")</f>
        <v/>
      </c>
      <c r="P441" s="388">
        <v>1</v>
      </c>
      <c r="Q441" s="388">
        <v>2</v>
      </c>
      <c r="R441" s="306" t="str">
        <f t="shared" si="270"/>
        <v>1-2</v>
      </c>
      <c r="S441" s="153"/>
      <c r="T441" s="148" t="str">
        <f t="shared" si="271"/>
        <v>Completed</v>
      </c>
      <c r="U441" s="153"/>
      <c r="V441" s="153"/>
      <c r="W441" s="387">
        <f t="shared" si="272"/>
        <v>-1</v>
      </c>
      <c r="X441" s="387">
        <f t="shared" si="273"/>
        <v>1</v>
      </c>
      <c r="Y441" s="301">
        <f t="shared" si="274"/>
        <v>0</v>
      </c>
      <c r="Z441" s="301">
        <f t="shared" si="275"/>
        <v>2</v>
      </c>
      <c r="AA441" s="323" t="str">
        <f>CONCATENATE("                x[team1,team2,sport,'",IF(OR(I441="x",I441=""),VLOOKUP('Schedule from TM'!J441,Tables!$P$3:$Q$33,2,FALSE),'Schedule from TM'!I441),",",J441,"','",IF(OR(F441="x",F441=""),VLOOKUP('Schedule from TM'!G441,Tables!$U$3:$V$14,2,FALSE),'Schedule from TM'!F441),",",TEXT(G441,"mm/dd/yyyy"),"','",TEXT(H441,"h:mm:ss AM/PM"),"'].ub=0.0      #",B441)</f>
        <v xml:space="preserve">                x[team1,team2,sport,'22,Hillel - Volleyball Out','11,11/19/2017','10:30:00 AM'].ub=0.0      #Ch E Male Volleyball</v>
      </c>
      <c r="AB441" s="301" t="str">
        <f t="shared" si="276"/>
        <v>,,Ch E Male Volleyball,,1,CHILD EM - COL 1</v>
      </c>
      <c r="AC441" s="153" t="str">
        <f t="shared" si="277"/>
        <v>Ch E Male VolleyballCHILD EM - COL 1</v>
      </c>
      <c r="AD441" s="301" t="str">
        <f t="shared" si="278"/>
        <v>,,Ch E Male Volleyball,,1,CHILD EM - PER</v>
      </c>
      <c r="AE441" s="153" t="str">
        <f t="shared" si="279"/>
        <v>Ch E Male VolleyballCHILD EM - PER</v>
      </c>
      <c r="AF441" s="383">
        <f t="shared" si="280"/>
        <v>0</v>
      </c>
      <c r="AG441" s="383">
        <f t="shared" si="281"/>
        <v>1</v>
      </c>
      <c r="AH441" s="383">
        <f t="shared" si="282"/>
        <v>0</v>
      </c>
      <c r="AI441" s="383">
        <f t="shared" si="283"/>
        <v>1</v>
      </c>
      <c r="AJ441" s="383">
        <f t="shared" si="284"/>
        <v>0</v>
      </c>
      <c r="AK441" s="383">
        <f t="shared" si="285"/>
        <v>0</v>
      </c>
      <c r="AM441" s="148" t="str">
        <f t="shared" si="286"/>
        <v>Schedulled</v>
      </c>
      <c r="AN441" s="148" t="str">
        <f t="shared" si="287"/>
        <v/>
      </c>
      <c r="AO441" s="156">
        <f t="shared" si="288"/>
        <v>43058.4375</v>
      </c>
      <c r="AP441" s="148" t="str">
        <f t="shared" si="289"/>
        <v>11/19/2017 10:30-&gt;Hillel - Volleyball Out</v>
      </c>
      <c r="AQ441" s="374">
        <f t="shared" si="290"/>
        <v>1</v>
      </c>
      <c r="AR441" s="148" t="str">
        <f t="shared" si="291"/>
        <v>COL1</v>
      </c>
      <c r="AS441" s="148" t="str">
        <f t="shared" si="292"/>
        <v>PER</v>
      </c>
      <c r="AT441" s="157" t="str">
        <f t="shared" si="293"/>
        <v>COL1-PER</v>
      </c>
      <c r="AU441" s="157" t="str">
        <f t="shared" si="294"/>
        <v xml:space="preserve">COL1-PER </v>
      </c>
      <c r="AV441" s="157" t="str">
        <f t="shared" si="295"/>
        <v>CHILDREN E MALE</v>
      </c>
      <c r="AW441" s="157" t="str">
        <f t="shared" si="296"/>
        <v>Volleyball</v>
      </c>
      <c r="AX441" s="376">
        <f t="shared" si="297"/>
        <v>439</v>
      </c>
      <c r="AY441" s="148" t="str">
        <f t="shared" si="298"/>
        <v>CHILD EM - COL 1-&gt;CHILD EM - PER</v>
      </c>
      <c r="AZ441" s="148" t="str">
        <f t="shared" si="299"/>
        <v>11/19/2017 10:30-&gt;CHILD EM - COL 1</v>
      </c>
      <c r="BA441" s="148" t="str">
        <f t="shared" si="300"/>
        <v>11/19/2017 10:30-&gt;CHILD EM - PER</v>
      </c>
      <c r="BB441" s="374">
        <f t="shared" si="301"/>
        <v>1</v>
      </c>
      <c r="BC441" s="374">
        <f t="shared" si="302"/>
        <v>1</v>
      </c>
      <c r="BD441" s="148" t="str">
        <f t="shared" si="303"/>
        <v>no conflict</v>
      </c>
      <c r="BF441" s="148" t="str">
        <f t="shared" si="304"/>
        <v>11/19/2017 10:30-&gt;CHILD EM - COL 1</v>
      </c>
      <c r="BG441" s="148" t="str">
        <f t="shared" si="305"/>
        <v>11/19/2017 10:30-&gt;CHILD EM - PER</v>
      </c>
      <c r="BH441" s="148" t="str">
        <f t="shared" si="306"/>
        <v>11/19/2017 10:30-&gt;Hillel - Volleyball Out</v>
      </c>
      <c r="BI441" s="148" t="str">
        <f t="shared" si="307"/>
        <v>Volleyball in Hillel - Volleyball Out (COL1-PER)</v>
      </c>
      <c r="BJ441" s="148" t="str">
        <f t="shared" si="308"/>
        <v>Ch E Male Volleyball-- CHILD EM - COL 1 vs. CHILD EM - PER</v>
      </c>
      <c r="BK441" s="148" t="str">
        <f t="shared" si="309"/>
        <v>Volleyball</v>
      </c>
      <c r="BL441" s="148" t="str">
        <f t="shared" si="310"/>
        <v>CHILD EM - COL 1</v>
      </c>
      <c r="BM441" s="148" t="str">
        <f t="shared" si="311"/>
        <v>CHILD EM - PER</v>
      </c>
      <c r="BN441" s="148" t="str">
        <f t="shared" si="312"/>
        <v>Round - 1</v>
      </c>
      <c r="BP441" s="148" t="str">
        <f t="shared" si="313"/>
        <v>no t, f, or sf</v>
      </c>
      <c r="BQ441" s="148" t="str">
        <f t="shared" si="314"/>
        <v/>
      </c>
    </row>
    <row r="442" spans="1:69" ht="15" customHeight="1" x14ac:dyDescent="0.2">
      <c r="A442" s="376">
        <v>440</v>
      </c>
      <c r="B442" s="441" t="s">
        <v>66</v>
      </c>
      <c r="C442" s="441" t="s">
        <v>518</v>
      </c>
      <c r="D442" s="450">
        <v>1</v>
      </c>
      <c r="E442" s="450">
        <v>1</v>
      </c>
      <c r="F442" s="315" t="s">
        <v>770</v>
      </c>
      <c r="G442" s="320">
        <v>43058</v>
      </c>
      <c r="H442" s="317">
        <v>0.54166666666666663</v>
      </c>
      <c r="I442" s="325" t="s">
        <v>770</v>
      </c>
      <c r="J442" s="441" t="s">
        <v>701</v>
      </c>
      <c r="K442" s="441">
        <v>51</v>
      </c>
      <c r="L442" s="319" t="s">
        <v>717</v>
      </c>
      <c r="M442" s="441">
        <v>51</v>
      </c>
      <c r="N442" s="319" t="s">
        <v>620</v>
      </c>
      <c r="O442" s="153" t="str">
        <f>IF(L442&lt;&gt;"",IFERROR(VLOOKUP(B442&amp;L442,Pools!$A$2:$D$130,3,FALSE),""),"")</f>
        <v/>
      </c>
      <c r="P442" s="388">
        <v>0</v>
      </c>
      <c r="Q442" s="388">
        <v>2</v>
      </c>
      <c r="R442" s="306" t="str">
        <f t="shared" si="270"/>
        <v>0-2</v>
      </c>
      <c r="S442" s="153"/>
      <c r="T442" s="148" t="str">
        <f t="shared" si="271"/>
        <v>Completed</v>
      </c>
      <c r="U442" s="153"/>
      <c r="V442" s="153"/>
      <c r="W442" s="387">
        <f t="shared" si="272"/>
        <v>-2</v>
      </c>
      <c r="X442" s="387">
        <f t="shared" si="273"/>
        <v>2</v>
      </c>
      <c r="Y442" s="301">
        <f t="shared" si="274"/>
        <v>0</v>
      </c>
      <c r="Z442" s="301">
        <f t="shared" si="275"/>
        <v>2</v>
      </c>
      <c r="AA442" s="323" t="str">
        <f>CONCATENATE("                x[team1,team2,sport,'",IF(OR(I442="x",I442=""),VLOOKUP('Schedule from TM'!J442,Tables!$P$3:$Q$33,2,FALSE),'Schedule from TM'!I442),",",J442,"','",IF(OR(F442="x",F442=""),VLOOKUP('Schedule from TM'!G442,Tables!$U$3:$V$14,2,FALSE),'Schedule from TM'!F442),",",TEXT(G442,"mm/dd/yyyy"),"','",TEXT(H442,"h:mm:ss AM/PM"),"'].ub=0.0      #",B442)</f>
        <v xml:space="preserve">                x[team1,team2,sport,'22,Hillel - Volleyball Out','11,11/19/2017','1:00:00 PM'].ub=0.0      #Ch E Male Volleyball</v>
      </c>
      <c r="AB442" s="301" t="str">
        <f t="shared" si="276"/>
        <v>,,Ch E Male Volleyball,,1,CHILD EM - MEX 1</v>
      </c>
      <c r="AC442" s="153" t="str">
        <f t="shared" si="277"/>
        <v>Ch E Male VolleyballCHILD EM - MEX 1</v>
      </c>
      <c r="AD442" s="301" t="str">
        <f t="shared" si="278"/>
        <v>,,Ch E Male Volleyball,,1,CHILD EM - PER</v>
      </c>
      <c r="AE442" s="153" t="str">
        <f t="shared" si="279"/>
        <v>Ch E Male VolleyballCHILD EM - PER</v>
      </c>
      <c r="AF442" s="383">
        <f t="shared" si="280"/>
        <v>0</v>
      </c>
      <c r="AG442" s="383">
        <f t="shared" si="281"/>
        <v>1</v>
      </c>
      <c r="AH442" s="383">
        <f t="shared" si="282"/>
        <v>0</v>
      </c>
      <c r="AI442" s="383">
        <f t="shared" si="283"/>
        <v>1</v>
      </c>
      <c r="AJ442" s="383">
        <f t="shared" si="284"/>
        <v>0</v>
      </c>
      <c r="AK442" s="383">
        <f t="shared" si="285"/>
        <v>0</v>
      </c>
      <c r="AM442" s="148" t="str">
        <f t="shared" si="286"/>
        <v>Schedulled</v>
      </c>
      <c r="AN442" s="148" t="str">
        <f t="shared" si="287"/>
        <v/>
      </c>
      <c r="AO442" s="156">
        <f t="shared" si="288"/>
        <v>43058.541666666664</v>
      </c>
      <c r="AP442" s="148" t="str">
        <f t="shared" si="289"/>
        <v>11/19/2017 13:00-&gt;Hillel - Volleyball Out</v>
      </c>
      <c r="AQ442" s="374">
        <f t="shared" si="290"/>
        <v>1</v>
      </c>
      <c r="AR442" s="148" t="str">
        <f t="shared" si="291"/>
        <v>MEX1</v>
      </c>
      <c r="AS442" s="148" t="str">
        <f t="shared" si="292"/>
        <v>PER</v>
      </c>
      <c r="AT442" s="157" t="str">
        <f t="shared" si="293"/>
        <v>MEX1-PER</v>
      </c>
      <c r="AU442" s="157" t="str">
        <f t="shared" si="294"/>
        <v xml:space="preserve">MEX1-PER </v>
      </c>
      <c r="AV442" s="157" t="str">
        <f t="shared" si="295"/>
        <v>CHILDREN E MALE</v>
      </c>
      <c r="AW442" s="157" t="str">
        <f t="shared" si="296"/>
        <v>Volleyball</v>
      </c>
      <c r="AX442" s="376">
        <f t="shared" si="297"/>
        <v>440</v>
      </c>
      <c r="AY442" s="148" t="str">
        <f t="shared" si="298"/>
        <v>CHILD EM - MEX 1-&gt;CHILD EM - PER</v>
      </c>
      <c r="AZ442" s="148" t="str">
        <f t="shared" si="299"/>
        <v>11/19/2017 13:00-&gt;CHILD EM - MEX 1</v>
      </c>
      <c r="BA442" s="148" t="str">
        <f t="shared" si="300"/>
        <v>11/19/2017 13:00-&gt;CHILD EM - PER</v>
      </c>
      <c r="BB442" s="374">
        <f t="shared" si="301"/>
        <v>1</v>
      </c>
      <c r="BC442" s="374">
        <f t="shared" si="302"/>
        <v>1</v>
      </c>
      <c r="BD442" s="148" t="str">
        <f t="shared" si="303"/>
        <v>no conflict</v>
      </c>
      <c r="BF442" s="148" t="str">
        <f t="shared" si="304"/>
        <v>11/19/2017 13:00-&gt;CHILD EM - MEX 1</v>
      </c>
      <c r="BG442" s="148" t="str">
        <f t="shared" si="305"/>
        <v>11/19/2017 13:00-&gt;CHILD EM - PER</v>
      </c>
      <c r="BH442" s="148" t="str">
        <f t="shared" si="306"/>
        <v>11/19/2017 13:00-&gt;Hillel - Volleyball Out</v>
      </c>
      <c r="BI442" s="148" t="str">
        <f t="shared" si="307"/>
        <v>Volleyball in Hillel - Volleyball Out (MEX1-PER)</v>
      </c>
      <c r="BJ442" s="148" t="str">
        <f t="shared" si="308"/>
        <v>Ch E Male Volleyball-- CHILD EM - MEX 1 vs. CHILD EM - PER</v>
      </c>
      <c r="BK442" s="148" t="str">
        <f t="shared" si="309"/>
        <v>Volleyball</v>
      </c>
      <c r="BL442" s="148" t="str">
        <f t="shared" si="310"/>
        <v>CHILD EM - MEX 1</v>
      </c>
      <c r="BM442" s="148" t="str">
        <f t="shared" si="311"/>
        <v>CHILD EM - PER</v>
      </c>
      <c r="BN442" s="148" t="str">
        <f t="shared" si="312"/>
        <v>Round - 1</v>
      </c>
      <c r="BP442" s="148" t="str">
        <f t="shared" si="313"/>
        <v>no t, f, or sf</v>
      </c>
      <c r="BQ442" s="148" t="str">
        <f t="shared" si="314"/>
        <v/>
      </c>
    </row>
    <row r="443" spans="1:69" ht="15" customHeight="1" x14ac:dyDescent="0.2">
      <c r="A443" s="376">
        <v>441</v>
      </c>
      <c r="B443" s="443" t="s">
        <v>66</v>
      </c>
      <c r="C443" s="315" t="s">
        <v>518</v>
      </c>
      <c r="D443" s="378">
        <v>1</v>
      </c>
      <c r="E443" s="378">
        <v>1</v>
      </c>
      <c r="F443" s="315" t="s">
        <v>770</v>
      </c>
      <c r="G443" s="316">
        <v>43058</v>
      </c>
      <c r="H443" s="317">
        <v>0.68055555555555547</v>
      </c>
      <c r="I443" s="325" t="s">
        <v>770</v>
      </c>
      <c r="J443" s="315" t="s">
        <v>701</v>
      </c>
      <c r="K443" s="315">
        <v>51</v>
      </c>
      <c r="L443" s="444" t="s">
        <v>616</v>
      </c>
      <c r="M443" s="315">
        <v>51</v>
      </c>
      <c r="N443" s="444" t="s">
        <v>625</v>
      </c>
      <c r="O443" s="153" t="str">
        <f>IF(L443&lt;&gt;"",IFERROR(VLOOKUP(B443&amp;L443,Pools!$A$2:$D$130,3,FALSE),""),"")</f>
        <v/>
      </c>
      <c r="P443" s="388">
        <v>2</v>
      </c>
      <c r="Q443" s="388">
        <v>0</v>
      </c>
      <c r="R443" s="306" t="str">
        <f t="shared" si="270"/>
        <v>2-0</v>
      </c>
      <c r="S443" s="153"/>
      <c r="T443" s="148" t="str">
        <f t="shared" si="271"/>
        <v>Completed</v>
      </c>
      <c r="U443" s="153"/>
      <c r="V443" s="153"/>
      <c r="W443" s="387">
        <f t="shared" si="272"/>
        <v>2</v>
      </c>
      <c r="X443" s="387">
        <f t="shared" si="273"/>
        <v>-2</v>
      </c>
      <c r="Y443" s="301">
        <f t="shared" si="274"/>
        <v>2</v>
      </c>
      <c r="Z443" s="301">
        <f t="shared" si="275"/>
        <v>0</v>
      </c>
      <c r="AA443" s="323" t="str">
        <f>CONCATENATE("                x[team1,team2,sport,'",IF(OR(I443="x",I443=""),VLOOKUP('Schedule from TM'!J443,Tables!$P$3:$Q$33,2,FALSE),'Schedule from TM'!I443),",",J443,"','",IF(OR(F443="x",F443=""),VLOOKUP('Schedule from TM'!G443,Tables!$U$3:$V$14,2,FALSE),'Schedule from TM'!F443),",",TEXT(G443,"mm/dd/yyyy"),"','",TEXT(H443,"h:mm:ss AM/PM"),"'].ub=0.0      #",B443)</f>
        <v xml:space="preserve">                x[team1,team2,sport,'22,Hillel - Volleyball Out','11,11/19/2017','4:20:00 PM'].ub=0.0      #Ch E Male Volleyball</v>
      </c>
      <c r="AB443" s="301" t="str">
        <f t="shared" si="276"/>
        <v>,,Ch E Male Volleyball,,1,CHILD EM - ARG 1</v>
      </c>
      <c r="AC443" s="153" t="str">
        <f t="shared" si="277"/>
        <v>Ch E Male VolleyballCHILD EM - ARG 1</v>
      </c>
      <c r="AD443" s="301" t="str">
        <f t="shared" si="278"/>
        <v>,,Ch E Male Volleyball,,1,CHILD EM - VEN 2</v>
      </c>
      <c r="AE443" s="153" t="str">
        <f t="shared" si="279"/>
        <v>Ch E Male VolleyballCHILD EM - VEN 2</v>
      </c>
      <c r="AF443" s="383">
        <f t="shared" si="280"/>
        <v>1</v>
      </c>
      <c r="AG443" s="383">
        <f t="shared" si="281"/>
        <v>0</v>
      </c>
      <c r="AH443" s="383">
        <f t="shared" si="282"/>
        <v>0</v>
      </c>
      <c r="AI443" s="383">
        <f t="shared" si="283"/>
        <v>0</v>
      </c>
      <c r="AJ443" s="383">
        <f t="shared" si="284"/>
        <v>1</v>
      </c>
      <c r="AK443" s="383">
        <f t="shared" si="285"/>
        <v>0</v>
      </c>
      <c r="AM443" s="148" t="str">
        <f t="shared" si="286"/>
        <v>Schedulled</v>
      </c>
      <c r="AN443" s="148" t="str">
        <f t="shared" si="287"/>
        <v/>
      </c>
      <c r="AO443" s="156">
        <f t="shared" si="288"/>
        <v>43058.680555555555</v>
      </c>
      <c r="AP443" s="148" t="str">
        <f t="shared" si="289"/>
        <v>11/19/2017 16:20-&gt;Hillel - Volleyball Out</v>
      </c>
      <c r="AQ443" s="374">
        <f t="shared" si="290"/>
        <v>1</v>
      </c>
      <c r="AR443" s="148" t="str">
        <f t="shared" si="291"/>
        <v>ARG1</v>
      </c>
      <c r="AS443" s="148" t="str">
        <f t="shared" si="292"/>
        <v>VEN2</v>
      </c>
      <c r="AT443" s="157" t="str">
        <f t="shared" si="293"/>
        <v>ARG1-VEN2</v>
      </c>
      <c r="AU443" s="157" t="str">
        <f t="shared" si="294"/>
        <v xml:space="preserve">ARG1-VEN2 </v>
      </c>
      <c r="AV443" s="157" t="str">
        <f t="shared" si="295"/>
        <v>CHILDREN E MALE</v>
      </c>
      <c r="AW443" s="157" t="str">
        <f t="shared" si="296"/>
        <v>Volleyball</v>
      </c>
      <c r="AX443" s="376">
        <f t="shared" si="297"/>
        <v>441</v>
      </c>
      <c r="AY443" s="148" t="str">
        <f t="shared" si="298"/>
        <v>CHILD EM - ARG 1-&gt;CHILD EM - VEN 2</v>
      </c>
      <c r="AZ443" s="148" t="str">
        <f t="shared" si="299"/>
        <v>11/19/2017 16:20-&gt;CHILD EM - ARG 1</v>
      </c>
      <c r="BA443" s="148" t="str">
        <f t="shared" si="300"/>
        <v>11/19/2017 16:20-&gt;CHILD EM - VEN 2</v>
      </c>
      <c r="BB443" s="374">
        <f t="shared" si="301"/>
        <v>1</v>
      </c>
      <c r="BC443" s="374">
        <f t="shared" si="302"/>
        <v>1</v>
      </c>
      <c r="BD443" s="148" t="str">
        <f t="shared" si="303"/>
        <v>no conflict</v>
      </c>
      <c r="BF443" s="148" t="str">
        <f t="shared" si="304"/>
        <v>11/19/2017 16:20-&gt;CHILD EM - ARG 1</v>
      </c>
      <c r="BG443" s="148" t="str">
        <f t="shared" si="305"/>
        <v>11/19/2017 16:20-&gt;CHILD EM - VEN 2</v>
      </c>
      <c r="BH443" s="148" t="str">
        <f t="shared" si="306"/>
        <v>11/19/2017 16:20-&gt;Hillel - Volleyball Out</v>
      </c>
      <c r="BI443" s="148" t="str">
        <f t="shared" si="307"/>
        <v>Volleyball in Hillel - Volleyball Out (ARG1-VEN2)</v>
      </c>
      <c r="BJ443" s="148" t="str">
        <f t="shared" si="308"/>
        <v>Ch E Male Volleyball-- CHILD EM - ARG 1 vs. CHILD EM - VEN 2</v>
      </c>
      <c r="BK443" s="148" t="str">
        <f t="shared" si="309"/>
        <v>Volleyball</v>
      </c>
      <c r="BL443" s="148" t="str">
        <f t="shared" si="310"/>
        <v>CHILD EM - ARG 1</v>
      </c>
      <c r="BM443" s="148" t="str">
        <f t="shared" si="311"/>
        <v>CHILD EM - VEN 2</v>
      </c>
      <c r="BN443" s="148" t="str">
        <f t="shared" si="312"/>
        <v>Round - 1</v>
      </c>
      <c r="BP443" s="148" t="str">
        <f t="shared" si="313"/>
        <v>no t, f, or sf</v>
      </c>
      <c r="BQ443" s="148" t="str">
        <f t="shared" si="314"/>
        <v/>
      </c>
    </row>
    <row r="444" spans="1:69" ht="15" customHeight="1" x14ac:dyDescent="0.2">
      <c r="A444" s="376">
        <v>442</v>
      </c>
      <c r="B444" s="315" t="s">
        <v>66</v>
      </c>
      <c r="C444" s="315" t="s">
        <v>518</v>
      </c>
      <c r="D444" s="378">
        <v>1</v>
      </c>
      <c r="E444" s="378">
        <v>1</v>
      </c>
      <c r="F444" s="315" t="s">
        <v>770</v>
      </c>
      <c r="G444" s="316">
        <v>43059</v>
      </c>
      <c r="H444" s="317">
        <v>0.68055555555555547</v>
      </c>
      <c r="I444" s="325" t="s">
        <v>770</v>
      </c>
      <c r="J444" s="444" t="s">
        <v>697</v>
      </c>
      <c r="K444" s="315">
        <v>51</v>
      </c>
      <c r="L444" s="315" t="s">
        <v>717</v>
      </c>
      <c r="M444" s="315">
        <v>51</v>
      </c>
      <c r="N444" s="315" t="s">
        <v>624</v>
      </c>
      <c r="O444" s="153" t="str">
        <f>IF(L444&lt;&gt;"",IFERROR(VLOOKUP(B444&amp;L444,Pools!$A$2:$D$130,3,FALSE),""),"")</f>
        <v/>
      </c>
      <c r="P444" s="388">
        <v>0</v>
      </c>
      <c r="Q444" s="388">
        <v>2</v>
      </c>
      <c r="R444" s="306" t="str">
        <f t="shared" si="270"/>
        <v>0-2</v>
      </c>
      <c r="S444" s="153"/>
      <c r="T444" s="148" t="str">
        <f t="shared" si="271"/>
        <v>Completed</v>
      </c>
      <c r="U444" s="153"/>
      <c r="V444" s="153"/>
      <c r="W444" s="387">
        <f t="shared" si="272"/>
        <v>-2</v>
      </c>
      <c r="X444" s="387">
        <f t="shared" si="273"/>
        <v>2</v>
      </c>
      <c r="Y444" s="301">
        <f t="shared" si="274"/>
        <v>0</v>
      </c>
      <c r="Z444" s="301">
        <f t="shared" si="275"/>
        <v>2</v>
      </c>
      <c r="AA444" s="323" t="str">
        <f>CONCATENATE("                x[team1,team2,sport,'",IF(OR(I444="x",I444=""),VLOOKUP('Schedule from TM'!J444,Tables!$P$3:$Q$33,2,FALSE),'Schedule from TM'!I444),",",J444,"','",IF(OR(F444="x",F444=""),VLOOKUP('Schedule from TM'!G444,Tables!$U$3:$V$14,2,FALSE),'Schedule from TM'!F444),",",TEXT(G444,"mm/dd/yyyy"),"','",TEXT(H444,"h:mm:ss AM/PM"),"'].ub=0.0      #",B444)</f>
        <v xml:space="preserve">                x[team1,team2,sport,'11,JCC Gym South','22,11/20/2017','4:20:00 PM'].ub=0.0      #Ch E Male Volleyball</v>
      </c>
      <c r="AB444" s="301" t="str">
        <f t="shared" si="276"/>
        <v>,,Ch E Male Volleyball,,1,CHILD EM - MEX 1</v>
      </c>
      <c r="AC444" s="153" t="str">
        <f t="shared" si="277"/>
        <v>Ch E Male VolleyballCHILD EM - MEX 1</v>
      </c>
      <c r="AD444" s="301" t="str">
        <f t="shared" si="278"/>
        <v>,,Ch E Male Volleyball,,1,CHILD EM - VEN 1</v>
      </c>
      <c r="AE444" s="153" t="str">
        <f t="shared" si="279"/>
        <v>Ch E Male VolleyballCHILD EM - VEN 1</v>
      </c>
      <c r="AF444" s="383">
        <f t="shared" si="280"/>
        <v>0</v>
      </c>
      <c r="AG444" s="383">
        <f t="shared" si="281"/>
        <v>1</v>
      </c>
      <c r="AH444" s="383">
        <f t="shared" si="282"/>
        <v>0</v>
      </c>
      <c r="AI444" s="383">
        <f t="shared" si="283"/>
        <v>1</v>
      </c>
      <c r="AJ444" s="383">
        <f t="shared" si="284"/>
        <v>0</v>
      </c>
      <c r="AK444" s="383">
        <f t="shared" si="285"/>
        <v>0</v>
      </c>
      <c r="AM444" s="148" t="str">
        <f t="shared" si="286"/>
        <v>Schedulled</v>
      </c>
      <c r="AN444" s="148" t="str">
        <f t="shared" si="287"/>
        <v/>
      </c>
      <c r="AO444" s="156">
        <f t="shared" si="288"/>
        <v>43059.680555555555</v>
      </c>
      <c r="AP444" s="148" t="str">
        <f t="shared" si="289"/>
        <v>11/20/2017 16:20-&gt;JCC Gym South</v>
      </c>
      <c r="AQ444" s="374">
        <f t="shared" si="290"/>
        <v>1</v>
      </c>
      <c r="AR444" s="148" t="str">
        <f t="shared" si="291"/>
        <v>MEX1</v>
      </c>
      <c r="AS444" s="148" t="str">
        <f t="shared" si="292"/>
        <v>VEN1</v>
      </c>
      <c r="AT444" s="157" t="str">
        <f t="shared" si="293"/>
        <v>MEX1-VEN1</v>
      </c>
      <c r="AU444" s="157" t="str">
        <f t="shared" si="294"/>
        <v xml:space="preserve">MEX1-VEN1 </v>
      </c>
      <c r="AV444" s="157" t="str">
        <f t="shared" si="295"/>
        <v>CHILDREN E MALE</v>
      </c>
      <c r="AW444" s="157" t="str">
        <f t="shared" si="296"/>
        <v>Volleyball</v>
      </c>
      <c r="AX444" s="376">
        <f t="shared" si="297"/>
        <v>442</v>
      </c>
      <c r="AY444" s="148" t="str">
        <f t="shared" si="298"/>
        <v>CHILD EM - MEX 1-&gt;CHILD EM - VEN 1</v>
      </c>
      <c r="AZ444" s="148" t="str">
        <f t="shared" si="299"/>
        <v>11/20/2017 16:20-&gt;CHILD EM - MEX 1</v>
      </c>
      <c r="BA444" s="148" t="str">
        <f t="shared" si="300"/>
        <v>11/20/2017 16:20-&gt;CHILD EM - VEN 1</v>
      </c>
      <c r="BB444" s="374">
        <f t="shared" si="301"/>
        <v>1</v>
      </c>
      <c r="BC444" s="374">
        <f t="shared" si="302"/>
        <v>1</v>
      </c>
      <c r="BD444" s="148" t="str">
        <f t="shared" si="303"/>
        <v>no conflict</v>
      </c>
      <c r="BF444" s="148" t="str">
        <f t="shared" si="304"/>
        <v>11/20/2017 16:20-&gt;CHILD EM - MEX 1</v>
      </c>
      <c r="BG444" s="148" t="str">
        <f t="shared" si="305"/>
        <v>11/20/2017 16:20-&gt;CHILD EM - VEN 1</v>
      </c>
      <c r="BH444" s="148" t="str">
        <f t="shared" si="306"/>
        <v>11/20/2017 16:20-&gt;JCC Gym South</v>
      </c>
      <c r="BI444" s="148" t="str">
        <f t="shared" si="307"/>
        <v>Volleyball in JCC Gym South (MEX1-VEN1)</v>
      </c>
      <c r="BJ444" s="148" t="str">
        <f t="shared" si="308"/>
        <v>Ch E Male Volleyball-- CHILD EM - MEX 1 vs. CHILD EM - VEN 1</v>
      </c>
      <c r="BK444" s="148" t="str">
        <f t="shared" si="309"/>
        <v>Volleyball</v>
      </c>
      <c r="BL444" s="148" t="str">
        <f t="shared" si="310"/>
        <v>CHILD EM - MEX 1</v>
      </c>
      <c r="BM444" s="148" t="str">
        <f t="shared" si="311"/>
        <v>CHILD EM - VEN 1</v>
      </c>
      <c r="BN444" s="148" t="str">
        <f t="shared" si="312"/>
        <v>Round - 1</v>
      </c>
      <c r="BP444" s="148" t="str">
        <f t="shared" si="313"/>
        <v>no t, f, or sf</v>
      </c>
      <c r="BQ444" s="148" t="str">
        <f t="shared" si="314"/>
        <v/>
      </c>
    </row>
    <row r="445" spans="1:69" ht="15" customHeight="1" x14ac:dyDescent="0.2">
      <c r="A445" s="376">
        <v>443</v>
      </c>
      <c r="B445" s="441" t="s">
        <v>66</v>
      </c>
      <c r="C445" s="441" t="s">
        <v>518</v>
      </c>
      <c r="D445" s="450">
        <v>1</v>
      </c>
      <c r="E445" s="450">
        <v>1</v>
      </c>
      <c r="F445" s="315" t="s">
        <v>770</v>
      </c>
      <c r="G445" s="320">
        <v>43059</v>
      </c>
      <c r="H445" s="318">
        <v>0.81944444444444453</v>
      </c>
      <c r="I445" s="325" t="s">
        <v>770</v>
      </c>
      <c r="J445" s="441" t="s">
        <v>697</v>
      </c>
      <c r="K445" s="441">
        <v>51</v>
      </c>
      <c r="L445" s="319" t="s">
        <v>616</v>
      </c>
      <c r="M445" s="441">
        <v>51</v>
      </c>
      <c r="N445" s="319" t="s">
        <v>622</v>
      </c>
      <c r="O445" s="153" t="str">
        <f>IF(L445&lt;&gt;"",IFERROR(VLOOKUP(B445&amp;L445,Pools!$A$2:$D$130,3,FALSE),""),"")</f>
        <v/>
      </c>
      <c r="P445" s="388">
        <v>1</v>
      </c>
      <c r="Q445" s="388">
        <v>2</v>
      </c>
      <c r="R445" s="306" t="str">
        <f t="shared" si="270"/>
        <v>1-2</v>
      </c>
      <c r="S445" s="153"/>
      <c r="T445" s="148" t="str">
        <f t="shared" si="271"/>
        <v>Completed</v>
      </c>
      <c r="U445" s="153"/>
      <c r="V445" s="153"/>
      <c r="W445" s="387">
        <f t="shared" si="272"/>
        <v>-1</v>
      </c>
      <c r="X445" s="387">
        <f t="shared" si="273"/>
        <v>1</v>
      </c>
      <c r="Y445" s="301">
        <f t="shared" si="274"/>
        <v>0</v>
      </c>
      <c r="Z445" s="301">
        <f t="shared" si="275"/>
        <v>2</v>
      </c>
      <c r="AA445" s="323" t="str">
        <f>CONCATENATE("                x[team1,team2,sport,'",IF(OR(I445="x",I445=""),VLOOKUP('Schedule from TM'!J445,Tables!$P$3:$Q$33,2,FALSE),'Schedule from TM'!I445),",",J445,"','",IF(OR(F445="x",F445=""),VLOOKUP('Schedule from TM'!G445,Tables!$U$3:$V$14,2,FALSE),'Schedule from TM'!F445),",",TEXT(G445,"mm/dd/yyyy"),"','",TEXT(H445,"h:mm:ss AM/PM"),"'].ub=0.0      #",B445)</f>
        <v xml:space="preserve">                x[team1,team2,sport,'11,JCC Gym South','22,11/20/2017','7:40:00 PM'].ub=0.0      #Ch E Male Volleyball</v>
      </c>
      <c r="AB445" s="301" t="str">
        <f t="shared" si="276"/>
        <v>,,Ch E Male Volleyball,,1,CHILD EM - ARG 1</v>
      </c>
      <c r="AC445" s="153" t="str">
        <f t="shared" si="277"/>
        <v>Ch E Male VolleyballCHILD EM - ARG 1</v>
      </c>
      <c r="AD445" s="301" t="str">
        <f t="shared" si="278"/>
        <v>,,Ch E Male Volleyball,,1,CHILD EM - USA 2</v>
      </c>
      <c r="AE445" s="153" t="str">
        <f t="shared" si="279"/>
        <v>Ch E Male VolleyballCHILD EM - USA 2</v>
      </c>
      <c r="AF445" s="383">
        <f t="shared" si="280"/>
        <v>0</v>
      </c>
      <c r="AG445" s="383">
        <f t="shared" si="281"/>
        <v>1</v>
      </c>
      <c r="AH445" s="383">
        <f t="shared" si="282"/>
        <v>0</v>
      </c>
      <c r="AI445" s="383">
        <f t="shared" si="283"/>
        <v>1</v>
      </c>
      <c r="AJ445" s="383">
        <f t="shared" si="284"/>
        <v>0</v>
      </c>
      <c r="AK445" s="383">
        <f t="shared" si="285"/>
        <v>0</v>
      </c>
      <c r="AM445" s="148" t="str">
        <f t="shared" si="286"/>
        <v>Schedulled</v>
      </c>
      <c r="AN445" s="148" t="str">
        <f t="shared" si="287"/>
        <v/>
      </c>
      <c r="AO445" s="156">
        <f t="shared" si="288"/>
        <v>43059.819444444445</v>
      </c>
      <c r="AP445" s="148" t="str">
        <f t="shared" si="289"/>
        <v>11/20/2017 19:40-&gt;JCC Gym South</v>
      </c>
      <c r="AQ445" s="374">
        <f t="shared" si="290"/>
        <v>1</v>
      </c>
      <c r="AR445" s="148" t="str">
        <f t="shared" si="291"/>
        <v>ARG1</v>
      </c>
      <c r="AS445" s="148" t="str">
        <f t="shared" si="292"/>
        <v>USA2</v>
      </c>
      <c r="AT445" s="157" t="str">
        <f t="shared" si="293"/>
        <v>ARG1-USA2</v>
      </c>
      <c r="AU445" s="157" t="str">
        <f t="shared" si="294"/>
        <v xml:space="preserve">ARG1-USA2 </v>
      </c>
      <c r="AV445" s="157" t="str">
        <f t="shared" si="295"/>
        <v>CHILDREN E MALE</v>
      </c>
      <c r="AW445" s="157" t="str">
        <f t="shared" si="296"/>
        <v>Volleyball</v>
      </c>
      <c r="AX445" s="376">
        <f t="shared" si="297"/>
        <v>443</v>
      </c>
      <c r="AY445" s="148" t="str">
        <f t="shared" si="298"/>
        <v>CHILD EM - ARG 1-&gt;CHILD EM - USA 2</v>
      </c>
      <c r="AZ445" s="148" t="str">
        <f t="shared" si="299"/>
        <v>11/20/2017 19:40-&gt;CHILD EM - ARG 1</v>
      </c>
      <c r="BA445" s="148" t="str">
        <f t="shared" si="300"/>
        <v>11/20/2017 19:40-&gt;CHILD EM - USA 2</v>
      </c>
      <c r="BB445" s="374">
        <f t="shared" si="301"/>
        <v>1</v>
      </c>
      <c r="BC445" s="374">
        <f t="shared" si="302"/>
        <v>1</v>
      </c>
      <c r="BD445" s="148" t="str">
        <f t="shared" si="303"/>
        <v>no conflict</v>
      </c>
      <c r="BF445" s="148" t="str">
        <f t="shared" si="304"/>
        <v>11/20/2017 19:40-&gt;CHILD EM - ARG 1</v>
      </c>
      <c r="BG445" s="148" t="str">
        <f t="shared" si="305"/>
        <v>11/20/2017 19:40-&gt;CHILD EM - USA 2</v>
      </c>
      <c r="BH445" s="148" t="str">
        <f t="shared" si="306"/>
        <v>11/20/2017 19:40-&gt;JCC Gym South</v>
      </c>
      <c r="BI445" s="148" t="str">
        <f t="shared" si="307"/>
        <v>Volleyball in JCC Gym South (ARG1-USA2)</v>
      </c>
      <c r="BJ445" s="148" t="str">
        <f t="shared" si="308"/>
        <v>Ch E Male Volleyball-- CHILD EM - ARG 1 vs. CHILD EM - USA 2</v>
      </c>
      <c r="BK445" s="148" t="str">
        <f t="shared" si="309"/>
        <v>Volleyball</v>
      </c>
      <c r="BL445" s="148" t="str">
        <f t="shared" si="310"/>
        <v>CHILD EM - ARG 1</v>
      </c>
      <c r="BM445" s="148" t="str">
        <f t="shared" si="311"/>
        <v>CHILD EM - USA 2</v>
      </c>
      <c r="BN445" s="148" t="str">
        <f t="shared" si="312"/>
        <v>Round - 1</v>
      </c>
      <c r="BP445" s="148" t="str">
        <f t="shared" si="313"/>
        <v>no t, f, or sf</v>
      </c>
      <c r="BQ445" s="148" t="str">
        <f t="shared" si="314"/>
        <v/>
      </c>
    </row>
    <row r="446" spans="1:69" ht="15" customHeight="1" x14ac:dyDescent="0.2">
      <c r="A446" s="376">
        <v>444</v>
      </c>
      <c r="B446" s="441" t="s">
        <v>66</v>
      </c>
      <c r="C446" s="441" t="s">
        <v>518</v>
      </c>
      <c r="D446" s="450">
        <v>1</v>
      </c>
      <c r="E446" s="450">
        <v>1</v>
      </c>
      <c r="F446" s="315" t="s">
        <v>770</v>
      </c>
      <c r="G446" s="320">
        <v>43060</v>
      </c>
      <c r="H446" s="318">
        <v>0.81944444444444453</v>
      </c>
      <c r="I446" s="325" t="s">
        <v>770</v>
      </c>
      <c r="J446" s="441" t="s">
        <v>697</v>
      </c>
      <c r="K446" s="441">
        <v>51</v>
      </c>
      <c r="L446" s="441" t="s">
        <v>716</v>
      </c>
      <c r="M446" s="441">
        <v>51</v>
      </c>
      <c r="N446" s="441" t="s">
        <v>622</v>
      </c>
      <c r="O446" s="153" t="str">
        <f>IF(L446&lt;&gt;"",IFERROR(VLOOKUP(B446&amp;L446,Pools!$A$2:$D$130,3,FALSE),""),"")</f>
        <v/>
      </c>
      <c r="P446" s="388">
        <v>2</v>
      </c>
      <c r="Q446" s="388">
        <v>0</v>
      </c>
      <c r="R446" s="306" t="str">
        <f t="shared" si="270"/>
        <v>2-0</v>
      </c>
      <c r="S446" s="153"/>
      <c r="T446" s="148" t="str">
        <f t="shared" si="271"/>
        <v>Completed</v>
      </c>
      <c r="U446" s="153"/>
      <c r="V446" s="153"/>
      <c r="W446" s="387">
        <f t="shared" si="272"/>
        <v>2</v>
      </c>
      <c r="X446" s="387">
        <f t="shared" si="273"/>
        <v>-2</v>
      </c>
      <c r="Y446" s="301">
        <f t="shared" si="274"/>
        <v>2</v>
      </c>
      <c r="Z446" s="301">
        <f t="shared" si="275"/>
        <v>0</v>
      </c>
      <c r="AA446" s="323" t="str">
        <f>CONCATENATE("                x[team1,team2,sport,'",IF(OR(I446="x",I446=""),VLOOKUP('Schedule from TM'!J446,Tables!$P$3:$Q$33,2,FALSE),'Schedule from TM'!I446),",",J446,"','",IF(OR(F446="x",F446=""),VLOOKUP('Schedule from TM'!G446,Tables!$U$3:$V$14,2,FALSE),'Schedule from TM'!F446),",",TEXT(G446,"mm/dd/yyyy"),"','",TEXT(H446,"h:mm:ss AM/PM"),"'].ub=0.0      #",B446)</f>
        <v xml:space="preserve">                x[team1,team2,sport,'11,JCC Gym South','22,11/21/2017','7:40:00 PM'].ub=0.0      #Ch E Male Volleyball</v>
      </c>
      <c r="AB446" s="301" t="str">
        <f t="shared" si="276"/>
        <v>,,Ch E Male Volleyball,,1,CHILD EM - VEN 3</v>
      </c>
      <c r="AC446" s="153" t="str">
        <f t="shared" si="277"/>
        <v>Ch E Male VolleyballCHILD EM - VEN 3</v>
      </c>
      <c r="AD446" s="301" t="str">
        <f t="shared" si="278"/>
        <v>,,Ch E Male Volleyball,,1,CHILD EM - USA 2</v>
      </c>
      <c r="AE446" s="153" t="str">
        <f t="shared" si="279"/>
        <v>Ch E Male VolleyballCHILD EM - USA 2</v>
      </c>
      <c r="AF446" s="383">
        <f t="shared" si="280"/>
        <v>1</v>
      </c>
      <c r="AG446" s="383">
        <f t="shared" si="281"/>
        <v>0</v>
      </c>
      <c r="AH446" s="383">
        <f t="shared" si="282"/>
        <v>0</v>
      </c>
      <c r="AI446" s="383">
        <f t="shared" si="283"/>
        <v>0</v>
      </c>
      <c r="AJ446" s="383">
        <f t="shared" si="284"/>
        <v>1</v>
      </c>
      <c r="AK446" s="383">
        <f t="shared" si="285"/>
        <v>0</v>
      </c>
      <c r="AM446" s="148" t="str">
        <f t="shared" si="286"/>
        <v>Schedulled</v>
      </c>
      <c r="AN446" s="148" t="str">
        <f t="shared" si="287"/>
        <v/>
      </c>
      <c r="AO446" s="156">
        <f t="shared" si="288"/>
        <v>43060.819444444445</v>
      </c>
      <c r="AP446" s="148" t="str">
        <f t="shared" si="289"/>
        <v>11/21/2017 19:40-&gt;JCC Gym South</v>
      </c>
      <c r="AQ446" s="374">
        <f t="shared" si="290"/>
        <v>1</v>
      </c>
      <c r="AR446" s="148" t="str">
        <f t="shared" si="291"/>
        <v>VEN3</v>
      </c>
      <c r="AS446" s="148" t="str">
        <f t="shared" si="292"/>
        <v>USA2</v>
      </c>
      <c r="AT446" s="157" t="str">
        <f t="shared" si="293"/>
        <v>VEN3-USA2</v>
      </c>
      <c r="AU446" s="157" t="str">
        <f t="shared" si="294"/>
        <v xml:space="preserve">VEN3-USA2 </v>
      </c>
      <c r="AV446" s="157" t="str">
        <f t="shared" si="295"/>
        <v>CHILDREN E MALE</v>
      </c>
      <c r="AW446" s="157" t="str">
        <f t="shared" si="296"/>
        <v>Volleyball</v>
      </c>
      <c r="AX446" s="376">
        <f t="shared" si="297"/>
        <v>444</v>
      </c>
      <c r="AY446" s="148" t="str">
        <f t="shared" si="298"/>
        <v>CHILD EM - VEN 3-&gt;CHILD EM - USA 2</v>
      </c>
      <c r="AZ446" s="148" t="str">
        <f t="shared" si="299"/>
        <v>11/21/2017 19:40-&gt;CHILD EM - VEN 3</v>
      </c>
      <c r="BA446" s="148" t="str">
        <f t="shared" si="300"/>
        <v>11/21/2017 19:40-&gt;CHILD EM - USA 2</v>
      </c>
      <c r="BB446" s="374">
        <f t="shared" si="301"/>
        <v>1</v>
      </c>
      <c r="BC446" s="374">
        <f t="shared" si="302"/>
        <v>1</v>
      </c>
      <c r="BD446" s="148" t="str">
        <f t="shared" si="303"/>
        <v>no conflict</v>
      </c>
      <c r="BF446" s="148" t="str">
        <f t="shared" si="304"/>
        <v>11/21/2017 19:40-&gt;CHILD EM - VEN 3</v>
      </c>
      <c r="BG446" s="148" t="str">
        <f t="shared" si="305"/>
        <v>11/21/2017 19:40-&gt;CHILD EM - USA 2</v>
      </c>
      <c r="BH446" s="148" t="str">
        <f t="shared" si="306"/>
        <v>11/21/2017 19:40-&gt;JCC Gym South</v>
      </c>
      <c r="BI446" s="148" t="str">
        <f t="shared" si="307"/>
        <v>Volleyball in JCC Gym South (VEN3-USA2)</v>
      </c>
      <c r="BJ446" s="148" t="str">
        <f t="shared" si="308"/>
        <v>Ch E Male Volleyball-- CHILD EM - VEN 3 vs. CHILD EM - USA 2</v>
      </c>
      <c r="BK446" s="148" t="str">
        <f t="shared" si="309"/>
        <v>Volleyball</v>
      </c>
      <c r="BL446" s="148" t="str">
        <f t="shared" si="310"/>
        <v>CHILD EM - VEN 3</v>
      </c>
      <c r="BM446" s="148" t="str">
        <f t="shared" si="311"/>
        <v>CHILD EM - USA 2</v>
      </c>
      <c r="BN446" s="148" t="str">
        <f t="shared" si="312"/>
        <v>Round - 1</v>
      </c>
      <c r="BP446" s="148" t="str">
        <f t="shared" si="313"/>
        <v>no t, f, or sf</v>
      </c>
      <c r="BQ446" s="148" t="str">
        <f t="shared" si="314"/>
        <v/>
      </c>
    </row>
    <row r="447" spans="1:69" ht="15" customHeight="1" x14ac:dyDescent="0.2">
      <c r="A447" s="376">
        <v>445</v>
      </c>
      <c r="B447" s="319" t="s">
        <v>66</v>
      </c>
      <c r="C447" s="319" t="s">
        <v>518</v>
      </c>
      <c r="D447" s="376">
        <v>1</v>
      </c>
      <c r="E447" s="376">
        <v>1</v>
      </c>
      <c r="F447" s="315" t="s">
        <v>770</v>
      </c>
      <c r="G447" s="320">
        <v>43061</v>
      </c>
      <c r="H447" s="318">
        <v>0.71527777777777779</v>
      </c>
      <c r="I447" s="325" t="s">
        <v>770</v>
      </c>
      <c r="J447" s="319" t="s">
        <v>708</v>
      </c>
      <c r="K447" s="319">
        <v>51</v>
      </c>
      <c r="L447" s="319" t="s">
        <v>716</v>
      </c>
      <c r="M447" s="319">
        <v>51</v>
      </c>
      <c r="N447" s="319" t="s">
        <v>621</v>
      </c>
      <c r="O447" s="153" t="str">
        <f>IF(L447&lt;&gt;"",IFERROR(VLOOKUP(B447&amp;L447,Pools!$A$2:$D$130,3,FALSE),""),"")</f>
        <v/>
      </c>
      <c r="P447" s="388">
        <v>2</v>
      </c>
      <c r="Q447" s="388">
        <v>0</v>
      </c>
      <c r="R447" s="306" t="str">
        <f t="shared" si="270"/>
        <v>2-0</v>
      </c>
      <c r="S447" s="153"/>
      <c r="T447" s="148" t="str">
        <f t="shared" si="271"/>
        <v>Completed</v>
      </c>
      <c r="U447" s="153"/>
      <c r="V447" s="153"/>
      <c r="W447" s="387">
        <f t="shared" si="272"/>
        <v>2</v>
      </c>
      <c r="X447" s="387">
        <f t="shared" si="273"/>
        <v>-2</v>
      </c>
      <c r="Y447" s="301">
        <f t="shared" si="274"/>
        <v>2</v>
      </c>
      <c r="Z447" s="301">
        <f t="shared" si="275"/>
        <v>0</v>
      </c>
      <c r="AA447" s="323" t="str">
        <f>CONCATENATE("                x[team1,team2,sport,'",IF(OR(I447="x",I447=""),VLOOKUP('Schedule from TM'!J447,Tables!$P$3:$Q$33,2,FALSE),'Schedule from TM'!I447),",",J447,"','",IF(OR(F447="x",F447=""),VLOOKUP('Schedule from TM'!G447,Tables!$U$3:$V$14,2,FALSE),'Schedule from TM'!F447),",",TEXT(G447,"mm/dd/yyyy"),"','",TEXT(H447,"h:mm:ss AM/PM"),"'].ub=0.0      #",B447)</f>
        <v xml:space="preserve">                x[team1,team2,sport,'21,Hillel - Gym Volleyball','22,11/22/2017','5:10:00 PM'].ub=0.0      #Ch E Male Volleyball</v>
      </c>
      <c r="AB447" s="301" t="str">
        <f t="shared" si="276"/>
        <v>,,Ch E Male Volleyball,,1,CHILD EM - VEN 3</v>
      </c>
      <c r="AC447" s="153" t="str">
        <f t="shared" si="277"/>
        <v>Ch E Male VolleyballCHILD EM - VEN 3</v>
      </c>
      <c r="AD447" s="301" t="str">
        <f t="shared" si="278"/>
        <v>,,Ch E Male Volleyball,,1,CHILD EM - USA 1</v>
      </c>
      <c r="AE447" s="153" t="str">
        <f t="shared" si="279"/>
        <v>Ch E Male VolleyballCHILD EM - USA 1</v>
      </c>
      <c r="AF447" s="383">
        <f t="shared" si="280"/>
        <v>1</v>
      </c>
      <c r="AG447" s="383">
        <f t="shared" si="281"/>
        <v>0</v>
      </c>
      <c r="AH447" s="383">
        <f t="shared" si="282"/>
        <v>0</v>
      </c>
      <c r="AI447" s="383">
        <f t="shared" si="283"/>
        <v>0</v>
      </c>
      <c r="AJ447" s="383">
        <f t="shared" si="284"/>
        <v>1</v>
      </c>
      <c r="AK447" s="383">
        <f t="shared" si="285"/>
        <v>0</v>
      </c>
      <c r="AM447" s="148" t="str">
        <f t="shared" si="286"/>
        <v>Schedulled</v>
      </c>
      <c r="AN447" s="148" t="str">
        <f t="shared" si="287"/>
        <v/>
      </c>
      <c r="AO447" s="156">
        <f t="shared" si="288"/>
        <v>43061.715277777781</v>
      </c>
      <c r="AP447" s="148" t="str">
        <f t="shared" si="289"/>
        <v>11/22/2017 17:10-&gt;Hillel - Gym Volleyball</v>
      </c>
      <c r="AQ447" s="374">
        <f t="shared" si="290"/>
        <v>1</v>
      </c>
      <c r="AR447" s="148" t="str">
        <f t="shared" si="291"/>
        <v>VEN3</v>
      </c>
      <c r="AS447" s="148" t="str">
        <f t="shared" si="292"/>
        <v>USA1</v>
      </c>
      <c r="AT447" s="157" t="str">
        <f t="shared" si="293"/>
        <v>VEN3-USA1</v>
      </c>
      <c r="AU447" s="157" t="str">
        <f t="shared" si="294"/>
        <v xml:space="preserve">VEN3-USA1 </v>
      </c>
      <c r="AV447" s="157" t="str">
        <f t="shared" si="295"/>
        <v>CHILDREN E MALE</v>
      </c>
      <c r="AW447" s="157" t="str">
        <f t="shared" si="296"/>
        <v>Volleyball</v>
      </c>
      <c r="AX447" s="376">
        <f t="shared" si="297"/>
        <v>445</v>
      </c>
      <c r="AY447" s="148" t="str">
        <f t="shared" si="298"/>
        <v>CHILD EM - VEN 3-&gt;CHILD EM - USA 1</v>
      </c>
      <c r="AZ447" s="148" t="str">
        <f t="shared" si="299"/>
        <v>11/22/2017 17:10-&gt;CHILD EM - VEN 3</v>
      </c>
      <c r="BA447" s="148" t="str">
        <f t="shared" si="300"/>
        <v>11/22/2017 17:10-&gt;CHILD EM - USA 1</v>
      </c>
      <c r="BB447" s="374">
        <f t="shared" si="301"/>
        <v>1</v>
      </c>
      <c r="BC447" s="374">
        <f t="shared" si="302"/>
        <v>1</v>
      </c>
      <c r="BD447" s="148" t="str">
        <f t="shared" si="303"/>
        <v>no conflict</v>
      </c>
      <c r="BF447" s="148" t="str">
        <f t="shared" si="304"/>
        <v>11/22/2017 17:10-&gt;CHILD EM - VEN 3</v>
      </c>
      <c r="BG447" s="148" t="str">
        <f t="shared" si="305"/>
        <v>11/22/2017 17:10-&gt;CHILD EM - USA 1</v>
      </c>
      <c r="BH447" s="148" t="str">
        <f t="shared" si="306"/>
        <v>11/22/2017 17:10-&gt;Hillel - Gym Volleyball</v>
      </c>
      <c r="BI447" s="148" t="str">
        <f t="shared" si="307"/>
        <v>Volleyball in Hillel - Gym Volleyball (VEN3-USA1)</v>
      </c>
      <c r="BJ447" s="148" t="str">
        <f t="shared" si="308"/>
        <v>Ch E Male Volleyball-- CHILD EM - VEN 3 vs. CHILD EM - USA 1</v>
      </c>
      <c r="BK447" s="148" t="str">
        <f t="shared" si="309"/>
        <v>Volleyball</v>
      </c>
      <c r="BL447" s="148" t="str">
        <f t="shared" si="310"/>
        <v>CHILD EM - VEN 3</v>
      </c>
      <c r="BM447" s="148" t="str">
        <f t="shared" si="311"/>
        <v>CHILD EM - USA 1</v>
      </c>
      <c r="BN447" s="148" t="str">
        <f t="shared" si="312"/>
        <v>Round - 1</v>
      </c>
      <c r="BP447" s="148" t="str">
        <f t="shared" si="313"/>
        <v>no t, f, or sf</v>
      </c>
      <c r="BQ447" s="148" t="str">
        <f t="shared" si="314"/>
        <v/>
      </c>
    </row>
    <row r="448" spans="1:69" ht="15" customHeight="1" x14ac:dyDescent="0.2">
      <c r="A448" s="376">
        <v>446</v>
      </c>
      <c r="B448" s="441" t="s">
        <v>66</v>
      </c>
      <c r="C448" s="441" t="s">
        <v>518</v>
      </c>
      <c r="D448" s="450">
        <v>1</v>
      </c>
      <c r="E448" s="450">
        <v>1</v>
      </c>
      <c r="F448" s="315" t="s">
        <v>770</v>
      </c>
      <c r="G448" s="320">
        <v>43062</v>
      </c>
      <c r="H448" s="318">
        <v>0.36805555555555558</v>
      </c>
      <c r="I448" s="325" t="s">
        <v>770</v>
      </c>
      <c r="J448" s="441" t="s">
        <v>697</v>
      </c>
      <c r="K448" s="441">
        <v>51</v>
      </c>
      <c r="L448" s="319" t="s">
        <v>618</v>
      </c>
      <c r="M448" s="441">
        <v>51</v>
      </c>
      <c r="N448" s="319" t="s">
        <v>624</v>
      </c>
      <c r="O448" s="153" t="str">
        <f>IF(L448&lt;&gt;"",IFERROR(VLOOKUP(B448&amp;L448,Pools!$A$2:$D$130,3,FALSE),""),"")</f>
        <v/>
      </c>
      <c r="P448" s="388">
        <v>2</v>
      </c>
      <c r="Q448" s="388">
        <v>0</v>
      </c>
      <c r="R448" s="306" t="str">
        <f t="shared" si="270"/>
        <v>2-0</v>
      </c>
      <c r="S448" s="153"/>
      <c r="T448" s="148" t="str">
        <f t="shared" si="271"/>
        <v>Completed</v>
      </c>
      <c r="U448" s="153"/>
      <c r="V448" s="153"/>
      <c r="W448" s="387">
        <f t="shared" si="272"/>
        <v>2</v>
      </c>
      <c r="X448" s="387">
        <f t="shared" si="273"/>
        <v>-2</v>
      </c>
      <c r="Y448" s="301">
        <f t="shared" si="274"/>
        <v>2</v>
      </c>
      <c r="Z448" s="301">
        <f t="shared" si="275"/>
        <v>0</v>
      </c>
      <c r="AA448" s="323" t="str">
        <f>CONCATENATE("                x[team1,team2,sport,'",IF(OR(I448="x",I448=""),VLOOKUP('Schedule from TM'!J448,Tables!$P$3:$Q$33,2,FALSE),'Schedule from TM'!I448),",",J448,"','",IF(OR(F448="x",F448=""),VLOOKUP('Schedule from TM'!G448,Tables!$U$3:$V$14,2,FALSE),'Schedule from TM'!F448),",",TEXT(G448,"mm/dd/yyyy"),"','",TEXT(H448,"h:mm:ss AM/PM"),"'].ub=0.0      #",B448)</f>
        <v xml:space="preserve">                x[team1,team2,sport,'11,JCC Gym South','11,11/23/2017','8:50:00 AM'].ub=0.0      #Ch E Male Volleyball</v>
      </c>
      <c r="AB448" s="301" t="str">
        <f t="shared" si="276"/>
        <v>,,Ch E Male Volleyball,,1,CHILD EM - COL 1</v>
      </c>
      <c r="AC448" s="153" t="str">
        <f t="shared" si="277"/>
        <v>Ch E Male VolleyballCHILD EM - COL 1</v>
      </c>
      <c r="AD448" s="301" t="str">
        <f t="shared" si="278"/>
        <v>,,Ch E Male Volleyball,,1,CHILD EM - VEN 1</v>
      </c>
      <c r="AE448" s="153" t="str">
        <f t="shared" si="279"/>
        <v>Ch E Male VolleyballCHILD EM - VEN 1</v>
      </c>
      <c r="AF448" s="383">
        <f t="shared" si="280"/>
        <v>1</v>
      </c>
      <c r="AG448" s="383">
        <f t="shared" si="281"/>
        <v>0</v>
      </c>
      <c r="AH448" s="383">
        <f t="shared" si="282"/>
        <v>0</v>
      </c>
      <c r="AI448" s="383">
        <f t="shared" si="283"/>
        <v>0</v>
      </c>
      <c r="AJ448" s="383">
        <f t="shared" si="284"/>
        <v>1</v>
      </c>
      <c r="AK448" s="383">
        <f t="shared" si="285"/>
        <v>0</v>
      </c>
      <c r="AM448" s="148" t="str">
        <f t="shared" si="286"/>
        <v>Schedulled</v>
      </c>
      <c r="AN448" s="148" t="str">
        <f t="shared" si="287"/>
        <v/>
      </c>
      <c r="AO448" s="156">
        <f t="shared" si="288"/>
        <v>43062.368055555555</v>
      </c>
      <c r="AP448" s="148" t="str">
        <f t="shared" si="289"/>
        <v>11/23/2017 08:50-&gt;JCC Gym South</v>
      </c>
      <c r="AQ448" s="374">
        <f t="shared" si="290"/>
        <v>1</v>
      </c>
      <c r="AR448" s="148" t="str">
        <f t="shared" si="291"/>
        <v>COL1</v>
      </c>
      <c r="AS448" s="148" t="str">
        <f t="shared" si="292"/>
        <v>VEN1</v>
      </c>
      <c r="AT448" s="157" t="str">
        <f t="shared" si="293"/>
        <v>COL1-VEN1</v>
      </c>
      <c r="AU448" s="157" t="str">
        <f t="shared" si="294"/>
        <v xml:space="preserve">COL1-VEN1 </v>
      </c>
      <c r="AV448" s="157" t="str">
        <f t="shared" si="295"/>
        <v>CHILDREN E MALE</v>
      </c>
      <c r="AW448" s="157" t="str">
        <f t="shared" si="296"/>
        <v>Volleyball</v>
      </c>
      <c r="AX448" s="376">
        <f t="shared" si="297"/>
        <v>446</v>
      </c>
      <c r="AY448" s="148" t="str">
        <f t="shared" si="298"/>
        <v>CHILD EM - COL 1-&gt;CHILD EM - VEN 1</v>
      </c>
      <c r="AZ448" s="148" t="str">
        <f t="shared" si="299"/>
        <v>11/23/2017 08:50-&gt;CHILD EM - COL 1</v>
      </c>
      <c r="BA448" s="148" t="str">
        <f t="shared" si="300"/>
        <v>11/23/2017 08:50-&gt;CHILD EM - VEN 1</v>
      </c>
      <c r="BB448" s="374">
        <f t="shared" si="301"/>
        <v>1</v>
      </c>
      <c r="BC448" s="374">
        <f t="shared" si="302"/>
        <v>1</v>
      </c>
      <c r="BD448" s="148" t="str">
        <f t="shared" si="303"/>
        <v>no conflict</v>
      </c>
      <c r="BF448" s="148" t="str">
        <f t="shared" si="304"/>
        <v>11/23/2017 08:50-&gt;CHILD EM - COL 1</v>
      </c>
      <c r="BG448" s="148" t="str">
        <f t="shared" si="305"/>
        <v>11/23/2017 08:50-&gt;CHILD EM - VEN 1</v>
      </c>
      <c r="BH448" s="148" t="str">
        <f t="shared" si="306"/>
        <v>11/23/2017 08:50-&gt;JCC Gym South</v>
      </c>
      <c r="BI448" s="148" t="str">
        <f t="shared" si="307"/>
        <v>Volleyball in JCC Gym South (COL1-VEN1)</v>
      </c>
      <c r="BJ448" s="148" t="str">
        <f t="shared" si="308"/>
        <v>Ch E Male Volleyball-- CHILD EM - COL 1 vs. CHILD EM - VEN 1</v>
      </c>
      <c r="BK448" s="148" t="str">
        <f t="shared" si="309"/>
        <v>Volleyball</v>
      </c>
      <c r="BL448" s="148" t="str">
        <f t="shared" si="310"/>
        <v>CHILD EM - COL 1</v>
      </c>
      <c r="BM448" s="148" t="str">
        <f t="shared" si="311"/>
        <v>CHILD EM - VEN 1</v>
      </c>
      <c r="BN448" s="148" t="str">
        <f t="shared" si="312"/>
        <v>Round - 1</v>
      </c>
      <c r="BP448" s="148" t="str">
        <f t="shared" si="313"/>
        <v>no t, f, or sf</v>
      </c>
      <c r="BQ448" s="148" t="str">
        <f t="shared" si="314"/>
        <v/>
      </c>
    </row>
    <row r="449" spans="1:69" ht="15" customHeight="1" x14ac:dyDescent="0.2">
      <c r="A449" s="376">
        <v>447</v>
      </c>
      <c r="B449" s="441" t="s">
        <v>66</v>
      </c>
      <c r="C449" s="441" t="s">
        <v>518</v>
      </c>
      <c r="D449" s="450">
        <v>1</v>
      </c>
      <c r="E449" s="450">
        <v>1</v>
      </c>
      <c r="F449" s="315" t="s">
        <v>770</v>
      </c>
      <c r="G449" s="320">
        <v>43062</v>
      </c>
      <c r="H449" s="317">
        <v>0.64583333333333337</v>
      </c>
      <c r="I449" s="325" t="s">
        <v>770</v>
      </c>
      <c r="J449" s="441" t="s">
        <v>701</v>
      </c>
      <c r="K449" s="441">
        <v>51</v>
      </c>
      <c r="L449" s="441" t="s">
        <v>717</v>
      </c>
      <c r="M449" s="441">
        <v>51</v>
      </c>
      <c r="N449" s="441" t="s">
        <v>625</v>
      </c>
      <c r="O449" s="153" t="str">
        <f>IF(L449&lt;&gt;"",IFERROR(VLOOKUP(B449&amp;L449,Pools!$A$2:$D$130,3,FALSE),""),"")</f>
        <v/>
      </c>
      <c r="P449" s="388">
        <v>0</v>
      </c>
      <c r="Q449" s="388">
        <v>1</v>
      </c>
      <c r="R449" s="306" t="str">
        <f t="shared" si="270"/>
        <v>0-1</v>
      </c>
      <c r="S449" s="153"/>
      <c r="T449" s="148" t="str">
        <f t="shared" si="271"/>
        <v>Completed</v>
      </c>
      <c r="U449" s="153"/>
      <c r="V449" s="153"/>
      <c r="W449" s="387">
        <f t="shared" si="272"/>
        <v>-1</v>
      </c>
      <c r="X449" s="387">
        <f t="shared" si="273"/>
        <v>1</v>
      </c>
      <c r="Y449" s="301">
        <f t="shared" si="274"/>
        <v>0</v>
      </c>
      <c r="Z449" s="301">
        <f t="shared" si="275"/>
        <v>2</v>
      </c>
      <c r="AA449" s="323" t="str">
        <f>CONCATENATE("                x[team1,team2,sport,'",IF(OR(I449="x",I449=""),VLOOKUP('Schedule from TM'!J449,Tables!$P$3:$Q$33,2,FALSE),'Schedule from TM'!I449),",",J449,"','",IF(OR(F449="x",F449=""),VLOOKUP('Schedule from TM'!G449,Tables!$U$3:$V$14,2,FALSE),'Schedule from TM'!F449),",",TEXT(G449,"mm/dd/yyyy"),"','",TEXT(H449,"h:mm:ss AM/PM"),"'].ub=0.0      #",B449)</f>
        <v xml:space="preserve">                x[team1,team2,sport,'22,Hillel - Volleyball Out','11,11/23/2017','3:30:00 PM'].ub=0.0      #Ch E Male Volleyball</v>
      </c>
      <c r="AB449" s="301" t="str">
        <f t="shared" si="276"/>
        <v>,,Ch E Male Volleyball,,1,CHILD EM - MEX 1</v>
      </c>
      <c r="AC449" s="153" t="str">
        <f t="shared" si="277"/>
        <v>Ch E Male VolleyballCHILD EM - MEX 1</v>
      </c>
      <c r="AD449" s="301" t="str">
        <f t="shared" si="278"/>
        <v>,,Ch E Male Volleyball,,1,CHILD EM - VEN 2</v>
      </c>
      <c r="AE449" s="153" t="str">
        <f t="shared" si="279"/>
        <v>Ch E Male VolleyballCHILD EM - VEN 2</v>
      </c>
      <c r="AF449" s="383">
        <f t="shared" si="280"/>
        <v>0</v>
      </c>
      <c r="AG449" s="383">
        <f t="shared" si="281"/>
        <v>1</v>
      </c>
      <c r="AH449" s="383">
        <f t="shared" si="282"/>
        <v>0</v>
      </c>
      <c r="AI449" s="383">
        <f t="shared" si="283"/>
        <v>1</v>
      </c>
      <c r="AJ449" s="383">
        <f t="shared" si="284"/>
        <v>0</v>
      </c>
      <c r="AK449" s="383">
        <f t="shared" si="285"/>
        <v>0</v>
      </c>
      <c r="AM449" s="148" t="str">
        <f t="shared" si="286"/>
        <v>Schedulled</v>
      </c>
      <c r="AN449" s="148" t="str">
        <f t="shared" si="287"/>
        <v/>
      </c>
      <c r="AO449" s="156">
        <f t="shared" si="288"/>
        <v>43062.645833333336</v>
      </c>
      <c r="AP449" s="148" t="str">
        <f t="shared" si="289"/>
        <v>11/23/2017 15:30-&gt;Hillel - Volleyball Out</v>
      </c>
      <c r="AQ449" s="374">
        <f t="shared" si="290"/>
        <v>1</v>
      </c>
      <c r="AR449" s="148" t="str">
        <f t="shared" si="291"/>
        <v>MEX1</v>
      </c>
      <c r="AS449" s="148" t="str">
        <f t="shared" si="292"/>
        <v>VEN2</v>
      </c>
      <c r="AT449" s="157" t="str">
        <f t="shared" si="293"/>
        <v>MEX1-VEN2</v>
      </c>
      <c r="AU449" s="157" t="str">
        <f t="shared" si="294"/>
        <v xml:space="preserve">MEX1-VEN2 </v>
      </c>
      <c r="AV449" s="157" t="str">
        <f t="shared" si="295"/>
        <v>CHILDREN E MALE</v>
      </c>
      <c r="AW449" s="157" t="str">
        <f t="shared" si="296"/>
        <v>Volleyball</v>
      </c>
      <c r="AX449" s="376">
        <f t="shared" si="297"/>
        <v>447</v>
      </c>
      <c r="AY449" s="148" t="str">
        <f t="shared" si="298"/>
        <v>CHILD EM - MEX 1-&gt;CHILD EM - VEN 2</v>
      </c>
      <c r="AZ449" s="148" t="str">
        <f t="shared" si="299"/>
        <v>11/23/2017 15:30-&gt;CHILD EM - MEX 1</v>
      </c>
      <c r="BA449" s="148" t="str">
        <f t="shared" si="300"/>
        <v>11/23/2017 15:30-&gt;CHILD EM - VEN 2</v>
      </c>
      <c r="BB449" s="374">
        <f t="shared" si="301"/>
        <v>1</v>
      </c>
      <c r="BC449" s="374">
        <f t="shared" si="302"/>
        <v>1</v>
      </c>
      <c r="BD449" s="148" t="str">
        <f t="shared" si="303"/>
        <v>no conflict</v>
      </c>
      <c r="BF449" s="148" t="str">
        <f t="shared" si="304"/>
        <v>11/23/2017 15:30-&gt;CHILD EM - MEX 1</v>
      </c>
      <c r="BG449" s="148" t="str">
        <f t="shared" si="305"/>
        <v>11/23/2017 15:30-&gt;CHILD EM - VEN 2</v>
      </c>
      <c r="BH449" s="148" t="str">
        <f t="shared" si="306"/>
        <v>11/23/2017 15:30-&gt;Hillel - Volleyball Out</v>
      </c>
      <c r="BI449" s="148" t="str">
        <f t="shared" si="307"/>
        <v>Volleyball in Hillel - Volleyball Out (MEX1-VEN2)</v>
      </c>
      <c r="BJ449" s="148" t="str">
        <f t="shared" si="308"/>
        <v>Ch E Male Volleyball-- CHILD EM - MEX 1 vs. CHILD EM - VEN 2</v>
      </c>
      <c r="BK449" s="148" t="str">
        <f t="shared" si="309"/>
        <v>Volleyball</v>
      </c>
      <c r="BL449" s="148" t="str">
        <f t="shared" si="310"/>
        <v>CHILD EM - MEX 1</v>
      </c>
      <c r="BM449" s="148" t="str">
        <f t="shared" si="311"/>
        <v>CHILD EM - VEN 2</v>
      </c>
      <c r="BN449" s="148" t="str">
        <f t="shared" si="312"/>
        <v>Round - 1</v>
      </c>
      <c r="BP449" s="148" t="str">
        <f t="shared" si="313"/>
        <v>no t, f, or sf</v>
      </c>
      <c r="BQ449" s="148" t="str">
        <f t="shared" si="314"/>
        <v/>
      </c>
    </row>
    <row r="450" spans="1:69" ht="15" customHeight="1" x14ac:dyDescent="0.2">
      <c r="A450" s="376">
        <v>448</v>
      </c>
      <c r="B450" s="315" t="s">
        <v>66</v>
      </c>
      <c r="C450" s="315" t="s">
        <v>518</v>
      </c>
      <c r="D450" s="378">
        <v>1</v>
      </c>
      <c r="E450" s="378">
        <v>1</v>
      </c>
      <c r="F450" s="315" t="s">
        <v>770</v>
      </c>
      <c r="G450" s="316">
        <v>43062</v>
      </c>
      <c r="H450" s="317">
        <v>0.68055555555555547</v>
      </c>
      <c r="I450" s="325" t="s">
        <v>770</v>
      </c>
      <c r="J450" s="444" t="s">
        <v>701</v>
      </c>
      <c r="K450" s="315">
        <v>51</v>
      </c>
      <c r="L450" s="315" t="s">
        <v>621</v>
      </c>
      <c r="M450" s="315">
        <v>51</v>
      </c>
      <c r="N450" s="315" t="s">
        <v>624</v>
      </c>
      <c r="O450" s="153" t="str">
        <f>IF(L450&lt;&gt;"",IFERROR(VLOOKUP(B450&amp;L450,Pools!$A$2:$D$130,3,FALSE),""),"")</f>
        <v/>
      </c>
      <c r="P450" s="388">
        <v>0</v>
      </c>
      <c r="Q450" s="388">
        <v>2</v>
      </c>
      <c r="R450" s="306" t="str">
        <f t="shared" si="270"/>
        <v>0-2</v>
      </c>
      <c r="S450" s="153"/>
      <c r="T450" s="148" t="str">
        <f t="shared" si="271"/>
        <v>Completed</v>
      </c>
      <c r="U450" s="153"/>
      <c r="V450" s="153"/>
      <c r="W450" s="387">
        <f t="shared" si="272"/>
        <v>-2</v>
      </c>
      <c r="X450" s="387">
        <f t="shared" si="273"/>
        <v>2</v>
      </c>
      <c r="Y450" s="301">
        <f t="shared" si="274"/>
        <v>0</v>
      </c>
      <c r="Z450" s="301">
        <f t="shared" si="275"/>
        <v>2</v>
      </c>
      <c r="AA450" s="323" t="str">
        <f>CONCATENATE("                x[team1,team2,sport,'",IF(OR(I450="x",I450=""),VLOOKUP('Schedule from TM'!J450,Tables!$P$3:$Q$33,2,FALSE),'Schedule from TM'!I450),",",J450,"','",IF(OR(F450="x",F450=""),VLOOKUP('Schedule from TM'!G450,Tables!$U$3:$V$14,2,FALSE),'Schedule from TM'!F450),",",TEXT(G450,"mm/dd/yyyy"),"','",TEXT(H450,"h:mm:ss AM/PM"),"'].ub=0.0      #",B450)</f>
        <v xml:space="preserve">                x[team1,team2,sport,'22,Hillel - Volleyball Out','11,11/23/2017','4:20:00 PM'].ub=0.0      #Ch E Male Volleyball</v>
      </c>
      <c r="AB450" s="301" t="str">
        <f t="shared" si="276"/>
        <v>,,Ch E Male Volleyball,,1,CHILD EM - USA 1</v>
      </c>
      <c r="AC450" s="153" t="str">
        <f t="shared" si="277"/>
        <v>Ch E Male VolleyballCHILD EM - USA 1</v>
      </c>
      <c r="AD450" s="301" t="str">
        <f t="shared" si="278"/>
        <v>,,Ch E Male Volleyball,,1,CHILD EM - VEN 1</v>
      </c>
      <c r="AE450" s="153" t="str">
        <f t="shared" si="279"/>
        <v>Ch E Male VolleyballCHILD EM - VEN 1</v>
      </c>
      <c r="AF450" s="383">
        <f t="shared" si="280"/>
        <v>0</v>
      </c>
      <c r="AG450" s="383">
        <f t="shared" si="281"/>
        <v>1</v>
      </c>
      <c r="AH450" s="383">
        <f t="shared" si="282"/>
        <v>0</v>
      </c>
      <c r="AI450" s="383">
        <f t="shared" si="283"/>
        <v>1</v>
      </c>
      <c r="AJ450" s="383">
        <f t="shared" si="284"/>
        <v>0</v>
      </c>
      <c r="AK450" s="383">
        <f t="shared" si="285"/>
        <v>0</v>
      </c>
      <c r="AM450" s="148" t="str">
        <f t="shared" si="286"/>
        <v>Schedulled</v>
      </c>
      <c r="AN450" s="148" t="str">
        <f t="shared" si="287"/>
        <v/>
      </c>
      <c r="AO450" s="156">
        <f t="shared" si="288"/>
        <v>43062.680555555555</v>
      </c>
      <c r="AP450" s="148" t="str">
        <f t="shared" si="289"/>
        <v>11/23/2017 16:20-&gt;Hillel - Volleyball Out</v>
      </c>
      <c r="AQ450" s="374">
        <f t="shared" si="290"/>
        <v>1</v>
      </c>
      <c r="AR450" s="148" t="str">
        <f t="shared" si="291"/>
        <v>USA1</v>
      </c>
      <c r="AS450" s="148" t="str">
        <f t="shared" si="292"/>
        <v>VEN1</v>
      </c>
      <c r="AT450" s="157" t="str">
        <f t="shared" si="293"/>
        <v>USA1-VEN1</v>
      </c>
      <c r="AU450" s="157" t="str">
        <f t="shared" si="294"/>
        <v xml:space="preserve">USA1-VEN1 </v>
      </c>
      <c r="AV450" s="157" t="str">
        <f t="shared" si="295"/>
        <v>CHILDREN E MALE</v>
      </c>
      <c r="AW450" s="157" t="str">
        <f t="shared" si="296"/>
        <v>Volleyball</v>
      </c>
      <c r="AX450" s="376">
        <f t="shared" si="297"/>
        <v>448</v>
      </c>
      <c r="AY450" s="148" t="str">
        <f t="shared" si="298"/>
        <v>CHILD EM - USA 1-&gt;CHILD EM - VEN 1</v>
      </c>
      <c r="AZ450" s="148" t="str">
        <f t="shared" si="299"/>
        <v>11/23/2017 16:20-&gt;CHILD EM - USA 1</v>
      </c>
      <c r="BA450" s="148" t="str">
        <f t="shared" si="300"/>
        <v>11/23/2017 16:20-&gt;CHILD EM - VEN 1</v>
      </c>
      <c r="BB450" s="374">
        <f t="shared" si="301"/>
        <v>1</v>
      </c>
      <c r="BC450" s="374">
        <f t="shared" si="302"/>
        <v>1</v>
      </c>
      <c r="BD450" s="148" t="str">
        <f t="shared" si="303"/>
        <v>no conflict</v>
      </c>
      <c r="BF450" s="148" t="str">
        <f t="shared" si="304"/>
        <v>11/23/2017 16:20-&gt;CHILD EM - USA 1</v>
      </c>
      <c r="BG450" s="148" t="str">
        <f t="shared" si="305"/>
        <v>11/23/2017 16:20-&gt;CHILD EM - VEN 1</v>
      </c>
      <c r="BH450" s="148" t="str">
        <f t="shared" si="306"/>
        <v>11/23/2017 16:20-&gt;Hillel - Volleyball Out</v>
      </c>
      <c r="BI450" s="148" t="str">
        <f t="shared" si="307"/>
        <v>Volleyball in Hillel - Volleyball Out (USA1-VEN1)</v>
      </c>
      <c r="BJ450" s="148" t="str">
        <f t="shared" si="308"/>
        <v>Ch E Male Volleyball-- CHILD EM - USA 1 vs. CHILD EM - VEN 1</v>
      </c>
      <c r="BK450" s="148" t="str">
        <f t="shared" si="309"/>
        <v>Volleyball</v>
      </c>
      <c r="BL450" s="148" t="str">
        <f t="shared" si="310"/>
        <v>CHILD EM - USA 1</v>
      </c>
      <c r="BM450" s="148" t="str">
        <f t="shared" si="311"/>
        <v>CHILD EM - VEN 1</v>
      </c>
      <c r="BN450" s="148" t="str">
        <f t="shared" si="312"/>
        <v>Round - 1</v>
      </c>
      <c r="BP450" s="148" t="str">
        <f t="shared" si="313"/>
        <v>no t, f, or sf</v>
      </c>
      <c r="BQ450" s="148" t="str">
        <f t="shared" si="314"/>
        <v/>
      </c>
    </row>
    <row r="451" spans="1:69" ht="15" customHeight="1" x14ac:dyDescent="0.2">
      <c r="A451" s="376">
        <v>449</v>
      </c>
      <c r="B451" s="444" t="s">
        <v>66</v>
      </c>
      <c r="C451" s="315" t="s">
        <v>518</v>
      </c>
      <c r="D451" s="378">
        <v>1</v>
      </c>
      <c r="E451" s="378">
        <v>1</v>
      </c>
      <c r="F451" s="315" t="s">
        <v>770</v>
      </c>
      <c r="G451" s="316">
        <v>43063</v>
      </c>
      <c r="H451" s="454">
        <v>0.33333333333333331</v>
      </c>
      <c r="I451" s="325" t="s">
        <v>770</v>
      </c>
      <c r="J451" s="315" t="s">
        <v>697</v>
      </c>
      <c r="K451" s="315">
        <v>51</v>
      </c>
      <c r="L451" s="444" t="s">
        <v>621</v>
      </c>
      <c r="M451" s="315">
        <v>51</v>
      </c>
      <c r="N451" s="444" t="s">
        <v>718</v>
      </c>
      <c r="O451" s="153" t="str">
        <f>IF(L451&lt;&gt;"",IFERROR(VLOOKUP(B451&amp;L451,Pools!$A$2:$D$130,3,FALSE),""),"")</f>
        <v/>
      </c>
      <c r="P451" s="388">
        <v>0</v>
      </c>
      <c r="Q451" s="388">
        <v>2</v>
      </c>
      <c r="R451" s="306" t="str">
        <f t="shared" si="270"/>
        <v>0-2</v>
      </c>
      <c r="S451" s="153"/>
      <c r="T451" s="148" t="str">
        <f t="shared" si="271"/>
        <v>Completed</v>
      </c>
      <c r="U451" s="153"/>
      <c r="V451" s="153"/>
      <c r="W451" s="387">
        <f t="shared" si="272"/>
        <v>-2</v>
      </c>
      <c r="X451" s="387">
        <f t="shared" si="273"/>
        <v>2</v>
      </c>
      <c r="Y451" s="301">
        <f t="shared" si="274"/>
        <v>0</v>
      </c>
      <c r="Z451" s="301">
        <f t="shared" si="275"/>
        <v>2</v>
      </c>
      <c r="AA451" s="323" t="str">
        <f>CONCATENATE("                x[team1,team2,sport,'",IF(OR(I451="x",I451=""),VLOOKUP('Schedule from TM'!J451,Tables!$P$3:$Q$33,2,FALSE),'Schedule from TM'!I451),",",J451,"','",IF(OR(F451="x",F451=""),VLOOKUP('Schedule from TM'!G451,Tables!$U$3:$V$14,2,FALSE),'Schedule from TM'!F451),",",TEXT(G451,"mm/dd/yyyy"),"','",TEXT(H451,"h:mm:ss AM/PM"),"'].ub=0.0      #",B451)</f>
        <v xml:space="preserve">                x[team1,team2,sport,'11,JCC Gym South','11,11/24/2017','8:00:00 AM'].ub=0.0      #Ch E Male Volleyball</v>
      </c>
      <c r="AB451" s="301" t="str">
        <f t="shared" si="276"/>
        <v>,,Ch E Male Volleyball,,1,CHILD EM - USA 1</v>
      </c>
      <c r="AC451" s="153" t="str">
        <f t="shared" si="277"/>
        <v>Ch E Male VolleyballCHILD EM - USA 1</v>
      </c>
      <c r="AD451" s="301" t="str">
        <f t="shared" si="278"/>
        <v>,,Ch E Male Volleyball,,1,CHILD EM - MEX 2</v>
      </c>
      <c r="AE451" s="153" t="str">
        <f t="shared" si="279"/>
        <v>Ch E Male VolleyballCHILD EM - MEX 2</v>
      </c>
      <c r="AF451" s="383">
        <f t="shared" si="280"/>
        <v>0</v>
      </c>
      <c r="AG451" s="383">
        <f t="shared" si="281"/>
        <v>1</v>
      </c>
      <c r="AH451" s="383">
        <f t="shared" si="282"/>
        <v>0</v>
      </c>
      <c r="AI451" s="383">
        <f t="shared" si="283"/>
        <v>1</v>
      </c>
      <c r="AJ451" s="383">
        <f t="shared" si="284"/>
        <v>0</v>
      </c>
      <c r="AK451" s="383">
        <f t="shared" si="285"/>
        <v>0</v>
      </c>
      <c r="AM451" s="148" t="str">
        <f t="shared" si="286"/>
        <v>Schedulled</v>
      </c>
      <c r="AN451" s="148" t="str">
        <f t="shared" si="287"/>
        <v/>
      </c>
      <c r="AO451" s="156">
        <f t="shared" si="288"/>
        <v>43063.333333333336</v>
      </c>
      <c r="AP451" s="148" t="str">
        <f t="shared" si="289"/>
        <v>11/24/2017 08:00-&gt;JCC Gym South</v>
      </c>
      <c r="AQ451" s="374">
        <f t="shared" si="290"/>
        <v>1</v>
      </c>
      <c r="AR451" s="148" t="str">
        <f t="shared" si="291"/>
        <v>USA1</v>
      </c>
      <c r="AS451" s="148" t="str">
        <f t="shared" si="292"/>
        <v>MEX2</v>
      </c>
      <c r="AT451" s="157" t="str">
        <f t="shared" si="293"/>
        <v>USA1-MEX2</v>
      </c>
      <c r="AU451" s="157" t="str">
        <f t="shared" si="294"/>
        <v xml:space="preserve">USA1-MEX2 </v>
      </c>
      <c r="AV451" s="157" t="str">
        <f t="shared" si="295"/>
        <v>CHILDREN E MALE</v>
      </c>
      <c r="AW451" s="157" t="str">
        <f t="shared" si="296"/>
        <v>Volleyball</v>
      </c>
      <c r="AX451" s="376">
        <f t="shared" si="297"/>
        <v>449</v>
      </c>
      <c r="AY451" s="148" t="str">
        <f t="shared" si="298"/>
        <v>CHILD EM - USA 1-&gt;CHILD EM - MEX 2</v>
      </c>
      <c r="AZ451" s="148" t="str">
        <f t="shared" si="299"/>
        <v>11/24/2017 08:00-&gt;CHILD EM - USA 1</v>
      </c>
      <c r="BA451" s="148" t="str">
        <f t="shared" si="300"/>
        <v>11/24/2017 08:00-&gt;CHILD EM - MEX 2</v>
      </c>
      <c r="BB451" s="374">
        <f t="shared" si="301"/>
        <v>1</v>
      </c>
      <c r="BC451" s="374">
        <f t="shared" si="302"/>
        <v>1</v>
      </c>
      <c r="BD451" s="148" t="str">
        <f t="shared" si="303"/>
        <v>no conflict</v>
      </c>
      <c r="BF451" s="148" t="str">
        <f t="shared" si="304"/>
        <v>11/24/2017 08:00-&gt;CHILD EM - USA 1</v>
      </c>
      <c r="BG451" s="148" t="str">
        <f t="shared" si="305"/>
        <v>11/24/2017 08:00-&gt;CHILD EM - MEX 2</v>
      </c>
      <c r="BH451" s="148" t="str">
        <f t="shared" si="306"/>
        <v>11/24/2017 08:00-&gt;JCC Gym South</v>
      </c>
      <c r="BI451" s="148" t="str">
        <f t="shared" si="307"/>
        <v>Volleyball in JCC Gym South (USA1-MEX2)</v>
      </c>
      <c r="BJ451" s="148" t="str">
        <f t="shared" si="308"/>
        <v>Ch E Male Volleyball-- CHILD EM - USA 1 vs. CHILD EM - MEX 2</v>
      </c>
      <c r="BK451" s="148" t="str">
        <f t="shared" si="309"/>
        <v>Volleyball</v>
      </c>
      <c r="BL451" s="148" t="str">
        <f t="shared" si="310"/>
        <v>CHILD EM - USA 1</v>
      </c>
      <c r="BM451" s="148" t="str">
        <f t="shared" si="311"/>
        <v>CHILD EM - MEX 2</v>
      </c>
      <c r="BN451" s="148" t="str">
        <f t="shared" si="312"/>
        <v>Round - 1</v>
      </c>
      <c r="BP451" s="148" t="str">
        <f t="shared" si="313"/>
        <v>no t, f, or sf</v>
      </c>
      <c r="BQ451" s="148" t="str">
        <f t="shared" si="314"/>
        <v/>
      </c>
    </row>
    <row r="452" spans="1:69" ht="15" customHeight="1" x14ac:dyDescent="0.2">
      <c r="A452" s="376">
        <v>450</v>
      </c>
      <c r="B452" s="441" t="s">
        <v>66</v>
      </c>
      <c r="C452" s="441" t="s">
        <v>518</v>
      </c>
      <c r="D452" s="450">
        <v>1</v>
      </c>
      <c r="E452" s="450">
        <v>1</v>
      </c>
      <c r="F452" s="315" t="s">
        <v>770</v>
      </c>
      <c r="G452" s="320">
        <v>43063</v>
      </c>
      <c r="H452" s="418">
        <v>0.36805555555555558</v>
      </c>
      <c r="I452" s="325" t="s">
        <v>770</v>
      </c>
      <c r="J452" s="441" t="s">
        <v>708</v>
      </c>
      <c r="K452" s="441">
        <v>51</v>
      </c>
      <c r="L452" s="441" t="s">
        <v>625</v>
      </c>
      <c r="M452" s="441">
        <v>51</v>
      </c>
      <c r="N452" s="441" t="s">
        <v>716</v>
      </c>
      <c r="O452" s="153" t="str">
        <f>IF(L452&lt;&gt;"",IFERROR(VLOOKUP(B452&amp;L452,Pools!$A$2:$D$130,3,FALSE),""),"")</f>
        <v/>
      </c>
      <c r="P452" s="388">
        <v>0</v>
      </c>
      <c r="Q452" s="388">
        <v>2</v>
      </c>
      <c r="R452" s="306" t="str">
        <f t="shared" si="270"/>
        <v>0-2</v>
      </c>
      <c r="S452" s="153"/>
      <c r="T452" s="148" t="str">
        <f t="shared" si="271"/>
        <v>Completed</v>
      </c>
      <c r="U452" s="153"/>
      <c r="V452" s="153"/>
      <c r="W452" s="387">
        <f t="shared" si="272"/>
        <v>-2</v>
      </c>
      <c r="X452" s="387">
        <f t="shared" si="273"/>
        <v>2</v>
      </c>
      <c r="Y452" s="301">
        <f t="shared" si="274"/>
        <v>0</v>
      </c>
      <c r="Z452" s="301">
        <f t="shared" si="275"/>
        <v>2</v>
      </c>
      <c r="AA452" s="323" t="str">
        <f>CONCATENATE("                x[team1,team2,sport,'",IF(OR(I452="x",I452=""),VLOOKUP('Schedule from TM'!J452,Tables!$P$3:$Q$33,2,FALSE),'Schedule from TM'!I452),",",J452,"','",IF(OR(F452="x",F452=""),VLOOKUP('Schedule from TM'!G452,Tables!$U$3:$V$14,2,FALSE),'Schedule from TM'!F452),",",TEXT(G452,"mm/dd/yyyy"),"','",TEXT(H452,"h:mm:ss AM/PM"),"'].ub=0.0      #",B452)</f>
        <v xml:space="preserve">                x[team1,team2,sport,'21,Hillel - Gym Volleyball','11,11/24/2017','8:50:00 AM'].ub=0.0      #Ch E Male Volleyball</v>
      </c>
      <c r="AB452" s="301" t="str">
        <f t="shared" si="276"/>
        <v>,,Ch E Male Volleyball,,1,CHILD EM - VEN 2</v>
      </c>
      <c r="AC452" s="153" t="str">
        <f t="shared" si="277"/>
        <v>Ch E Male VolleyballCHILD EM - VEN 2</v>
      </c>
      <c r="AD452" s="301" t="str">
        <f t="shared" si="278"/>
        <v>,,Ch E Male Volleyball,,1,CHILD EM - VEN 3</v>
      </c>
      <c r="AE452" s="153" t="str">
        <f t="shared" si="279"/>
        <v>Ch E Male VolleyballCHILD EM - VEN 3</v>
      </c>
      <c r="AF452" s="383">
        <f t="shared" si="280"/>
        <v>0</v>
      </c>
      <c r="AG452" s="383">
        <f t="shared" si="281"/>
        <v>1</v>
      </c>
      <c r="AH452" s="383">
        <f t="shared" si="282"/>
        <v>0</v>
      </c>
      <c r="AI452" s="383">
        <f t="shared" si="283"/>
        <v>1</v>
      </c>
      <c r="AJ452" s="383">
        <f t="shared" si="284"/>
        <v>0</v>
      </c>
      <c r="AK452" s="383">
        <f t="shared" si="285"/>
        <v>0</v>
      </c>
      <c r="AM452" s="148" t="str">
        <f t="shared" si="286"/>
        <v>Schedulled</v>
      </c>
      <c r="AN452" s="148" t="str">
        <f t="shared" si="287"/>
        <v/>
      </c>
      <c r="AO452" s="156">
        <f t="shared" si="288"/>
        <v>43063.368055555555</v>
      </c>
      <c r="AP452" s="148" t="str">
        <f t="shared" si="289"/>
        <v>11/24/2017 08:50-&gt;Hillel - Gym Volleyball</v>
      </c>
      <c r="AQ452" s="374">
        <f t="shared" si="290"/>
        <v>1</v>
      </c>
      <c r="AR452" s="148" t="str">
        <f t="shared" si="291"/>
        <v>VEN2</v>
      </c>
      <c r="AS452" s="148" t="str">
        <f t="shared" si="292"/>
        <v>VEN3</v>
      </c>
      <c r="AT452" s="157" t="str">
        <f t="shared" si="293"/>
        <v>VEN2-VEN3</v>
      </c>
      <c r="AU452" s="157" t="str">
        <f t="shared" si="294"/>
        <v xml:space="preserve">VEN2-VEN3 </v>
      </c>
      <c r="AV452" s="157" t="str">
        <f t="shared" si="295"/>
        <v>CHILDREN E MALE</v>
      </c>
      <c r="AW452" s="157" t="str">
        <f t="shared" si="296"/>
        <v>Volleyball</v>
      </c>
      <c r="AX452" s="376">
        <f t="shared" si="297"/>
        <v>450</v>
      </c>
      <c r="AY452" s="148" t="str">
        <f t="shared" si="298"/>
        <v>CHILD EM - VEN 2-&gt;CHILD EM - VEN 3</v>
      </c>
      <c r="AZ452" s="148" t="str">
        <f t="shared" si="299"/>
        <v>11/24/2017 08:50-&gt;CHILD EM - VEN 2</v>
      </c>
      <c r="BA452" s="148" t="str">
        <f t="shared" si="300"/>
        <v>11/24/2017 08:50-&gt;CHILD EM - VEN 3</v>
      </c>
      <c r="BB452" s="374">
        <f t="shared" si="301"/>
        <v>1</v>
      </c>
      <c r="BC452" s="374">
        <f t="shared" si="302"/>
        <v>1</v>
      </c>
      <c r="BD452" s="148" t="str">
        <f t="shared" si="303"/>
        <v>no conflict</v>
      </c>
      <c r="BF452" s="148" t="str">
        <f t="shared" si="304"/>
        <v>11/24/2017 08:50-&gt;CHILD EM - VEN 2</v>
      </c>
      <c r="BG452" s="148" t="str">
        <f t="shared" si="305"/>
        <v>11/24/2017 08:50-&gt;CHILD EM - VEN 3</v>
      </c>
      <c r="BH452" s="148" t="str">
        <f t="shared" si="306"/>
        <v>11/24/2017 08:50-&gt;Hillel - Gym Volleyball</v>
      </c>
      <c r="BI452" s="148" t="str">
        <f t="shared" si="307"/>
        <v>Volleyball in Hillel - Gym Volleyball (VEN2-VEN3)</v>
      </c>
      <c r="BJ452" s="148" t="str">
        <f t="shared" si="308"/>
        <v>Ch E Male Volleyball-- CHILD EM - VEN 2 vs. CHILD EM - VEN 3</v>
      </c>
      <c r="BK452" s="148" t="str">
        <f t="shared" si="309"/>
        <v>Volleyball</v>
      </c>
      <c r="BL452" s="148" t="str">
        <f t="shared" si="310"/>
        <v>CHILD EM - VEN 2</v>
      </c>
      <c r="BM452" s="148" t="str">
        <f t="shared" si="311"/>
        <v>CHILD EM - VEN 3</v>
      </c>
      <c r="BN452" s="148" t="str">
        <f t="shared" si="312"/>
        <v>Round - 1</v>
      </c>
      <c r="BP452" s="148" t="str">
        <f t="shared" si="313"/>
        <v>no t, f, or sf</v>
      </c>
      <c r="BQ452" s="148" t="str">
        <f t="shared" si="314"/>
        <v/>
      </c>
    </row>
    <row r="453" spans="1:69" ht="15" customHeight="1" x14ac:dyDescent="0.2">
      <c r="A453" s="376">
        <v>451</v>
      </c>
      <c r="B453" s="444" t="s">
        <v>66</v>
      </c>
      <c r="C453" s="444" t="s">
        <v>518</v>
      </c>
      <c r="D453" s="451">
        <v>1</v>
      </c>
      <c r="E453" s="451">
        <v>1</v>
      </c>
      <c r="F453" s="315" t="s">
        <v>770</v>
      </c>
      <c r="G453" s="445">
        <v>43063</v>
      </c>
      <c r="H453" s="454">
        <v>0.36805555555555558</v>
      </c>
      <c r="I453" s="325" t="s">
        <v>770</v>
      </c>
      <c r="J453" s="444" t="s">
        <v>697</v>
      </c>
      <c r="K453" s="444">
        <v>51</v>
      </c>
      <c r="L453" s="444" t="s">
        <v>718</v>
      </c>
      <c r="M453" s="444">
        <v>51</v>
      </c>
      <c r="N453" s="444" t="s">
        <v>622</v>
      </c>
      <c r="O453" s="153" t="str">
        <f>IF(L453&lt;&gt;"",IFERROR(VLOOKUP(B453&amp;L453,Pools!$A$2:$D$130,3,FALSE),""),"")</f>
        <v/>
      </c>
      <c r="P453" s="388">
        <v>2</v>
      </c>
      <c r="Q453" s="388">
        <v>1</v>
      </c>
      <c r="R453" s="306" t="str">
        <f t="shared" si="270"/>
        <v>2-1</v>
      </c>
      <c r="S453" s="153"/>
      <c r="T453" s="148" t="str">
        <f t="shared" si="271"/>
        <v>Completed</v>
      </c>
      <c r="U453" s="153"/>
      <c r="V453" s="153"/>
      <c r="W453" s="387">
        <f t="shared" si="272"/>
        <v>1</v>
      </c>
      <c r="X453" s="387">
        <f t="shared" si="273"/>
        <v>-1</v>
      </c>
      <c r="Y453" s="301">
        <f t="shared" si="274"/>
        <v>2</v>
      </c>
      <c r="Z453" s="301">
        <f t="shared" si="275"/>
        <v>0</v>
      </c>
      <c r="AA453" s="323" t="str">
        <f>CONCATENATE("                x[team1,team2,sport,'",IF(OR(I453="x",I453=""),VLOOKUP('Schedule from TM'!J453,Tables!$P$3:$Q$33,2,FALSE),'Schedule from TM'!I453),",",J453,"','",IF(OR(F453="x",F453=""),VLOOKUP('Schedule from TM'!G453,Tables!$U$3:$V$14,2,FALSE),'Schedule from TM'!F453),",",TEXT(G453,"mm/dd/yyyy"),"','",TEXT(H453,"h:mm:ss AM/PM"),"'].ub=0.0      #",B453)</f>
        <v xml:space="preserve">                x[team1,team2,sport,'11,JCC Gym South','11,11/24/2017','8:50:00 AM'].ub=0.0      #Ch E Male Volleyball</v>
      </c>
      <c r="AB453" s="301" t="str">
        <f t="shared" si="276"/>
        <v>,,Ch E Male Volleyball,,1,CHILD EM - MEX 2</v>
      </c>
      <c r="AC453" s="153" t="str">
        <f t="shared" si="277"/>
        <v>Ch E Male VolleyballCHILD EM - MEX 2</v>
      </c>
      <c r="AD453" s="301" t="str">
        <f t="shared" si="278"/>
        <v>,,Ch E Male Volleyball,,1,CHILD EM - USA 2</v>
      </c>
      <c r="AE453" s="153" t="str">
        <f t="shared" si="279"/>
        <v>Ch E Male VolleyballCHILD EM - USA 2</v>
      </c>
      <c r="AF453" s="383">
        <f t="shared" si="280"/>
        <v>1</v>
      </c>
      <c r="AG453" s="383">
        <f t="shared" si="281"/>
        <v>0</v>
      </c>
      <c r="AH453" s="383">
        <f t="shared" si="282"/>
        <v>0</v>
      </c>
      <c r="AI453" s="383">
        <f t="shared" si="283"/>
        <v>0</v>
      </c>
      <c r="AJ453" s="383">
        <f t="shared" si="284"/>
        <v>1</v>
      </c>
      <c r="AK453" s="383">
        <f t="shared" si="285"/>
        <v>0</v>
      </c>
      <c r="AM453" s="148" t="str">
        <f t="shared" si="286"/>
        <v>Schedulled</v>
      </c>
      <c r="AN453" s="148" t="str">
        <f t="shared" si="287"/>
        <v/>
      </c>
      <c r="AO453" s="156">
        <f t="shared" si="288"/>
        <v>43063.368055555555</v>
      </c>
      <c r="AP453" s="148" t="str">
        <f t="shared" si="289"/>
        <v>11/24/2017 08:50-&gt;JCC Gym South</v>
      </c>
      <c r="AQ453" s="374">
        <f t="shared" si="290"/>
        <v>1</v>
      </c>
      <c r="AR453" s="148" t="str">
        <f t="shared" si="291"/>
        <v>MEX2</v>
      </c>
      <c r="AS453" s="148" t="str">
        <f t="shared" si="292"/>
        <v>USA2</v>
      </c>
      <c r="AT453" s="157" t="str">
        <f t="shared" si="293"/>
        <v>MEX2-USA2</v>
      </c>
      <c r="AU453" s="157" t="str">
        <f t="shared" si="294"/>
        <v xml:space="preserve">MEX2-USA2 </v>
      </c>
      <c r="AV453" s="157" t="str">
        <f t="shared" si="295"/>
        <v>CHILDREN E MALE</v>
      </c>
      <c r="AW453" s="157" t="str">
        <f t="shared" si="296"/>
        <v>Volleyball</v>
      </c>
      <c r="AX453" s="376">
        <f t="shared" si="297"/>
        <v>451</v>
      </c>
      <c r="AY453" s="148" t="str">
        <f t="shared" si="298"/>
        <v>CHILD EM - MEX 2-&gt;CHILD EM - USA 2</v>
      </c>
      <c r="AZ453" s="148" t="str">
        <f t="shared" si="299"/>
        <v>11/24/2017 08:50-&gt;CHILD EM - MEX 2</v>
      </c>
      <c r="BA453" s="148" t="str">
        <f t="shared" si="300"/>
        <v>11/24/2017 08:50-&gt;CHILD EM - USA 2</v>
      </c>
      <c r="BB453" s="374">
        <f t="shared" si="301"/>
        <v>1</v>
      </c>
      <c r="BC453" s="374">
        <f t="shared" si="302"/>
        <v>1</v>
      </c>
      <c r="BD453" s="148" t="str">
        <f t="shared" si="303"/>
        <v>no conflict</v>
      </c>
      <c r="BF453" s="148" t="str">
        <f t="shared" si="304"/>
        <v>11/24/2017 08:50-&gt;CHILD EM - MEX 2</v>
      </c>
      <c r="BG453" s="148" t="str">
        <f t="shared" si="305"/>
        <v>11/24/2017 08:50-&gt;CHILD EM - USA 2</v>
      </c>
      <c r="BH453" s="148" t="str">
        <f t="shared" si="306"/>
        <v>11/24/2017 08:50-&gt;JCC Gym South</v>
      </c>
      <c r="BI453" s="148" t="str">
        <f t="shared" si="307"/>
        <v>Volleyball in JCC Gym South (MEX2-USA2)</v>
      </c>
      <c r="BJ453" s="148" t="str">
        <f t="shared" si="308"/>
        <v>Ch E Male Volleyball-- CHILD EM - MEX 2 vs. CHILD EM - USA 2</v>
      </c>
      <c r="BK453" s="148" t="str">
        <f t="shared" si="309"/>
        <v>Volleyball</v>
      </c>
      <c r="BL453" s="148" t="str">
        <f t="shared" si="310"/>
        <v>CHILD EM - MEX 2</v>
      </c>
      <c r="BM453" s="148" t="str">
        <f t="shared" si="311"/>
        <v>CHILD EM - USA 2</v>
      </c>
      <c r="BN453" s="148" t="str">
        <f t="shared" si="312"/>
        <v>Round - 1</v>
      </c>
      <c r="BP453" s="148" t="str">
        <f t="shared" si="313"/>
        <v>no t, f, or sf</v>
      </c>
      <c r="BQ453" s="148" t="str">
        <f t="shared" si="314"/>
        <v/>
      </c>
    </row>
    <row r="454" spans="1:69" ht="15" customHeight="1" x14ac:dyDescent="0.2">
      <c r="A454" s="376">
        <v>452</v>
      </c>
      <c r="B454" s="444" t="s">
        <v>66</v>
      </c>
      <c r="C454" s="315" t="s">
        <v>518</v>
      </c>
      <c r="D454" s="378">
        <v>1</v>
      </c>
      <c r="E454" s="378">
        <v>1</v>
      </c>
      <c r="F454" s="315" t="s">
        <v>770</v>
      </c>
      <c r="G454" s="316">
        <v>43063</v>
      </c>
      <c r="H454" s="417">
        <v>0.40277777777777773</v>
      </c>
      <c r="I454" s="325" t="s">
        <v>770</v>
      </c>
      <c r="J454" s="315" t="s">
        <v>701</v>
      </c>
      <c r="K454" s="315">
        <v>51</v>
      </c>
      <c r="L454" s="444" t="s">
        <v>616</v>
      </c>
      <c r="M454" s="315">
        <v>51</v>
      </c>
      <c r="N454" s="444" t="s">
        <v>618</v>
      </c>
      <c r="O454" s="153" t="str">
        <f>IF(L454&lt;&gt;"",IFERROR(VLOOKUP(B454&amp;L454,Pools!$A$2:$D$130,3,FALSE),""),"")</f>
        <v/>
      </c>
      <c r="P454" s="388">
        <v>0</v>
      </c>
      <c r="Q454" s="388">
        <v>2</v>
      </c>
      <c r="R454" s="306" t="str">
        <f t="shared" si="270"/>
        <v>0-2</v>
      </c>
      <c r="S454" s="153"/>
      <c r="T454" s="148" t="str">
        <f t="shared" si="271"/>
        <v>Completed</v>
      </c>
      <c r="U454" s="153"/>
      <c r="V454" s="153"/>
      <c r="W454" s="387">
        <f t="shared" si="272"/>
        <v>-2</v>
      </c>
      <c r="X454" s="387">
        <f t="shared" si="273"/>
        <v>2</v>
      </c>
      <c r="Y454" s="301">
        <f t="shared" si="274"/>
        <v>0</v>
      </c>
      <c r="Z454" s="301">
        <f t="shared" si="275"/>
        <v>2</v>
      </c>
      <c r="AA454" s="323" t="str">
        <f>CONCATENATE("                x[team1,team2,sport,'",IF(OR(I454="x",I454=""),VLOOKUP('Schedule from TM'!J454,Tables!$P$3:$Q$33,2,FALSE),'Schedule from TM'!I454),",",J454,"','",IF(OR(F454="x",F454=""),VLOOKUP('Schedule from TM'!G454,Tables!$U$3:$V$14,2,FALSE),'Schedule from TM'!F454),",",TEXT(G454,"mm/dd/yyyy"),"','",TEXT(H454,"h:mm:ss AM/PM"),"'].ub=0.0      #",B454)</f>
        <v xml:space="preserve">                x[team1,team2,sport,'22,Hillel - Volleyball Out','11,11/24/2017','9:40:00 AM'].ub=0.0      #Ch E Male Volleyball</v>
      </c>
      <c r="AB454" s="301" t="str">
        <f t="shared" si="276"/>
        <v>,,Ch E Male Volleyball,,1,CHILD EM - ARG 1</v>
      </c>
      <c r="AC454" s="153" t="str">
        <f t="shared" si="277"/>
        <v>Ch E Male VolleyballCHILD EM - ARG 1</v>
      </c>
      <c r="AD454" s="301" t="str">
        <f t="shared" si="278"/>
        <v>,,Ch E Male Volleyball,,1,CHILD EM - COL 1</v>
      </c>
      <c r="AE454" s="153" t="str">
        <f t="shared" si="279"/>
        <v>Ch E Male VolleyballCHILD EM - COL 1</v>
      </c>
      <c r="AF454" s="383">
        <f t="shared" si="280"/>
        <v>0</v>
      </c>
      <c r="AG454" s="383">
        <f t="shared" si="281"/>
        <v>1</v>
      </c>
      <c r="AH454" s="383">
        <f t="shared" si="282"/>
        <v>0</v>
      </c>
      <c r="AI454" s="383">
        <f t="shared" si="283"/>
        <v>1</v>
      </c>
      <c r="AJ454" s="383">
        <f t="shared" si="284"/>
        <v>0</v>
      </c>
      <c r="AK454" s="383">
        <f t="shared" si="285"/>
        <v>0</v>
      </c>
      <c r="AM454" s="148" t="str">
        <f t="shared" si="286"/>
        <v>Schedulled</v>
      </c>
      <c r="AN454" s="148" t="str">
        <f t="shared" si="287"/>
        <v/>
      </c>
      <c r="AO454" s="156">
        <f t="shared" si="288"/>
        <v>43063.402777777781</v>
      </c>
      <c r="AP454" s="148" t="str">
        <f t="shared" si="289"/>
        <v>11/24/2017 09:40-&gt;Hillel - Volleyball Out</v>
      </c>
      <c r="AQ454" s="374">
        <f t="shared" si="290"/>
        <v>1</v>
      </c>
      <c r="AR454" s="148" t="str">
        <f t="shared" si="291"/>
        <v>ARG1</v>
      </c>
      <c r="AS454" s="148" t="str">
        <f t="shared" si="292"/>
        <v>COL1</v>
      </c>
      <c r="AT454" s="157" t="str">
        <f t="shared" si="293"/>
        <v>ARG1-COL1</v>
      </c>
      <c r="AU454" s="157" t="str">
        <f t="shared" si="294"/>
        <v xml:space="preserve">ARG1-COL1 </v>
      </c>
      <c r="AV454" s="157" t="str">
        <f t="shared" si="295"/>
        <v>CHILDREN E MALE</v>
      </c>
      <c r="AW454" s="157" t="str">
        <f t="shared" si="296"/>
        <v>Volleyball</v>
      </c>
      <c r="AX454" s="376">
        <f t="shared" si="297"/>
        <v>452</v>
      </c>
      <c r="AY454" s="148" t="str">
        <f t="shared" si="298"/>
        <v>CHILD EM - ARG 1-&gt;CHILD EM - COL 1</v>
      </c>
      <c r="AZ454" s="148" t="str">
        <f t="shared" si="299"/>
        <v>11/24/2017 09:40-&gt;CHILD EM - ARG 1</v>
      </c>
      <c r="BA454" s="148" t="str">
        <f t="shared" si="300"/>
        <v>11/24/2017 09:40-&gt;CHILD EM - COL 1</v>
      </c>
      <c r="BB454" s="374">
        <f t="shared" si="301"/>
        <v>1</v>
      </c>
      <c r="BC454" s="374">
        <f t="shared" si="302"/>
        <v>1</v>
      </c>
      <c r="BD454" s="148" t="str">
        <f t="shared" si="303"/>
        <v>no conflict</v>
      </c>
      <c r="BF454" s="148" t="str">
        <f t="shared" si="304"/>
        <v>11/24/2017 09:40-&gt;CHILD EM - ARG 1</v>
      </c>
      <c r="BG454" s="148" t="str">
        <f t="shared" si="305"/>
        <v>11/24/2017 09:40-&gt;CHILD EM - COL 1</v>
      </c>
      <c r="BH454" s="148" t="str">
        <f t="shared" si="306"/>
        <v>11/24/2017 09:40-&gt;Hillel - Volleyball Out</v>
      </c>
      <c r="BI454" s="148" t="str">
        <f t="shared" si="307"/>
        <v>Volleyball in Hillel - Volleyball Out (ARG1-COL1)</v>
      </c>
      <c r="BJ454" s="148" t="str">
        <f t="shared" si="308"/>
        <v>Ch E Male Volleyball-- CHILD EM - ARG 1 vs. CHILD EM - COL 1</v>
      </c>
      <c r="BK454" s="148" t="str">
        <f t="shared" si="309"/>
        <v>Volleyball</v>
      </c>
      <c r="BL454" s="148" t="str">
        <f t="shared" si="310"/>
        <v>CHILD EM - ARG 1</v>
      </c>
      <c r="BM454" s="148" t="str">
        <f t="shared" si="311"/>
        <v>CHILD EM - COL 1</v>
      </c>
      <c r="BN454" s="148" t="str">
        <f t="shared" si="312"/>
        <v>Round - 1</v>
      </c>
      <c r="BP454" s="148" t="str">
        <f t="shared" si="313"/>
        <v>no t, f, or sf</v>
      </c>
      <c r="BQ454" s="148" t="str">
        <f t="shared" si="314"/>
        <v/>
      </c>
    </row>
    <row r="455" spans="1:69" ht="15" customHeight="1" x14ac:dyDescent="0.2">
      <c r="A455" s="376">
        <v>453</v>
      </c>
      <c r="B455" s="444" t="s">
        <v>66</v>
      </c>
      <c r="C455" s="444" t="s">
        <v>518</v>
      </c>
      <c r="D455" s="451">
        <v>1</v>
      </c>
      <c r="E455" s="451">
        <v>1</v>
      </c>
      <c r="F455" s="315" t="s">
        <v>770</v>
      </c>
      <c r="G455" s="445">
        <v>43065</v>
      </c>
      <c r="H455" s="454">
        <v>0.33333333333333331</v>
      </c>
      <c r="I455" s="325" t="s">
        <v>770</v>
      </c>
      <c r="J455" s="444" t="s">
        <v>697</v>
      </c>
      <c r="K455" s="444">
        <v>51</v>
      </c>
      <c r="L455" s="444" t="s">
        <v>718</v>
      </c>
      <c r="M455" s="444">
        <v>51</v>
      </c>
      <c r="N455" s="444" t="s">
        <v>620</v>
      </c>
      <c r="O455" s="153" t="str">
        <f>IF(L455&lt;&gt;"",IFERROR(VLOOKUP(B455&amp;L455,Pools!$A$2:$D$130,3,FALSE),""),"")</f>
        <v/>
      </c>
      <c r="P455" s="388">
        <v>0</v>
      </c>
      <c r="Q455" s="388">
        <v>2</v>
      </c>
      <c r="R455" s="306" t="str">
        <f t="shared" si="270"/>
        <v>0-2</v>
      </c>
      <c r="S455" s="153"/>
      <c r="T455" s="148" t="str">
        <f t="shared" si="271"/>
        <v>Completed</v>
      </c>
      <c r="U455" s="153"/>
      <c r="V455" s="153"/>
      <c r="W455" s="387">
        <f t="shared" si="272"/>
        <v>-2</v>
      </c>
      <c r="X455" s="387">
        <f t="shared" si="273"/>
        <v>2</v>
      </c>
      <c r="Y455" s="301">
        <f t="shared" si="274"/>
        <v>0</v>
      </c>
      <c r="Z455" s="301">
        <f t="shared" si="275"/>
        <v>2</v>
      </c>
      <c r="AA455" s="323" t="str">
        <f>CONCATENATE("                x[team1,team2,sport,'",IF(OR(I455="x",I455=""),VLOOKUP('Schedule from TM'!J455,Tables!$P$3:$Q$33,2,FALSE),'Schedule from TM'!I455),",",J455,"','",IF(OR(F455="x",F455=""),VLOOKUP('Schedule from TM'!G455,Tables!$U$3:$V$14,2,FALSE),'Schedule from TM'!F455),",",TEXT(G455,"mm/dd/yyyy"),"','",TEXT(H455,"h:mm:ss AM/PM"),"'].ub=0.0      #",B455)</f>
        <v xml:space="preserve">                x[team1,team2,sport,'11,JCC Gym South','21,11/26/2017','8:00:00 AM'].ub=0.0      #Ch E Male Volleyball</v>
      </c>
      <c r="AB455" s="301" t="str">
        <f t="shared" si="276"/>
        <v>,,Ch E Male Volleyball,,1,CHILD EM - MEX 2</v>
      </c>
      <c r="AC455" s="153" t="str">
        <f t="shared" si="277"/>
        <v>Ch E Male VolleyballCHILD EM - MEX 2</v>
      </c>
      <c r="AD455" s="301" t="str">
        <f t="shared" si="278"/>
        <v>,,Ch E Male Volleyball,,1,CHILD EM - PER</v>
      </c>
      <c r="AE455" s="153" t="str">
        <f t="shared" si="279"/>
        <v>Ch E Male VolleyballCHILD EM - PER</v>
      </c>
      <c r="AF455" s="383">
        <f t="shared" si="280"/>
        <v>0</v>
      </c>
      <c r="AG455" s="383">
        <f t="shared" si="281"/>
        <v>1</v>
      </c>
      <c r="AH455" s="383">
        <f t="shared" si="282"/>
        <v>0</v>
      </c>
      <c r="AI455" s="383">
        <f t="shared" si="283"/>
        <v>1</v>
      </c>
      <c r="AJ455" s="383">
        <f t="shared" si="284"/>
        <v>0</v>
      </c>
      <c r="AK455" s="383">
        <f t="shared" si="285"/>
        <v>0</v>
      </c>
      <c r="AM455" s="148" t="str">
        <f t="shared" si="286"/>
        <v>Schedulled</v>
      </c>
      <c r="AN455" s="148" t="str">
        <f t="shared" si="287"/>
        <v/>
      </c>
      <c r="AO455" s="156">
        <f t="shared" si="288"/>
        <v>43065.333333333336</v>
      </c>
      <c r="AP455" s="148" t="str">
        <f t="shared" si="289"/>
        <v>11/26/2017 08:00-&gt;JCC Gym South</v>
      </c>
      <c r="AQ455" s="374">
        <f t="shared" si="290"/>
        <v>1</v>
      </c>
      <c r="AR455" s="148" t="str">
        <f t="shared" si="291"/>
        <v>MEX2</v>
      </c>
      <c r="AS455" s="148" t="str">
        <f t="shared" si="292"/>
        <v>PER</v>
      </c>
      <c r="AT455" s="157" t="str">
        <f t="shared" si="293"/>
        <v>MEX2-PER</v>
      </c>
      <c r="AU455" s="157" t="str">
        <f t="shared" si="294"/>
        <v xml:space="preserve">MEX2-PER </v>
      </c>
      <c r="AV455" s="157" t="str">
        <f t="shared" si="295"/>
        <v>CHILDREN E MALE</v>
      </c>
      <c r="AW455" s="157" t="str">
        <f t="shared" si="296"/>
        <v>Volleyball</v>
      </c>
      <c r="AX455" s="376">
        <f t="shared" si="297"/>
        <v>453</v>
      </c>
      <c r="AY455" s="148" t="str">
        <f t="shared" si="298"/>
        <v>CHILD EM - MEX 2-&gt;CHILD EM - PER</v>
      </c>
      <c r="AZ455" s="148" t="str">
        <f t="shared" si="299"/>
        <v>11/26/2017 08:00-&gt;CHILD EM - MEX 2</v>
      </c>
      <c r="BA455" s="148" t="str">
        <f t="shared" si="300"/>
        <v>11/26/2017 08:00-&gt;CHILD EM - PER</v>
      </c>
      <c r="BB455" s="374">
        <f t="shared" si="301"/>
        <v>1</v>
      </c>
      <c r="BC455" s="374">
        <f t="shared" si="302"/>
        <v>1</v>
      </c>
      <c r="BD455" s="148" t="str">
        <f t="shared" si="303"/>
        <v>no conflict</v>
      </c>
      <c r="BF455" s="148" t="str">
        <f t="shared" si="304"/>
        <v>11/26/2017 08:00-&gt;CHILD EM - MEX 2</v>
      </c>
      <c r="BG455" s="148" t="str">
        <f t="shared" si="305"/>
        <v>11/26/2017 08:00-&gt;CHILD EM - PER</v>
      </c>
      <c r="BH455" s="148" t="str">
        <f t="shared" si="306"/>
        <v>11/26/2017 08:00-&gt;JCC Gym South</v>
      </c>
      <c r="BI455" s="148" t="str">
        <f t="shared" si="307"/>
        <v>Volleyball in JCC Gym South (MEX2-PER)</v>
      </c>
      <c r="BJ455" s="148" t="str">
        <f t="shared" si="308"/>
        <v>Ch E Male Volleyball-- CHILD EM - MEX 2 vs. CHILD EM - PER</v>
      </c>
      <c r="BK455" s="148" t="str">
        <f t="shared" si="309"/>
        <v>Volleyball</v>
      </c>
      <c r="BL455" s="148" t="str">
        <f t="shared" si="310"/>
        <v>CHILD EM - MEX 2</v>
      </c>
      <c r="BM455" s="148" t="str">
        <f t="shared" si="311"/>
        <v>CHILD EM - PER</v>
      </c>
      <c r="BN455" s="148" t="str">
        <f t="shared" si="312"/>
        <v>Round - 1</v>
      </c>
      <c r="BP455" s="148" t="str">
        <f t="shared" si="313"/>
        <v>no t, f, or sf</v>
      </c>
      <c r="BQ455" s="148" t="str">
        <f t="shared" si="314"/>
        <v/>
      </c>
    </row>
    <row r="456" spans="1:69" ht="15" customHeight="1" x14ac:dyDescent="0.2">
      <c r="A456" s="376">
        <v>454</v>
      </c>
      <c r="B456" s="121" t="s">
        <v>513</v>
      </c>
      <c r="C456" s="121" t="s">
        <v>518</v>
      </c>
      <c r="D456" s="382">
        <v>1</v>
      </c>
      <c r="E456" s="382">
        <v>1</v>
      </c>
      <c r="F456" s="315" t="s">
        <v>770</v>
      </c>
      <c r="G456" s="206">
        <v>43061</v>
      </c>
      <c r="H456" s="317">
        <v>0.68055555555555547</v>
      </c>
      <c r="I456" s="325" t="s">
        <v>770</v>
      </c>
      <c r="J456" s="121" t="s">
        <v>707</v>
      </c>
      <c r="K456" s="315"/>
      <c r="L456" s="121" t="s">
        <v>629</v>
      </c>
      <c r="M456" s="433"/>
      <c r="N456" s="121" t="s">
        <v>627</v>
      </c>
      <c r="O456" s="153" t="str">
        <f>IF(L456&lt;&gt;"",IFERROR(VLOOKUP(B456&amp;L456,Pools!$A$2:$D$130,3,FALSE),""),"")</f>
        <v/>
      </c>
      <c r="P456" s="388">
        <v>36</v>
      </c>
      <c r="Q456" s="388">
        <v>34</v>
      </c>
      <c r="R456" s="306" t="str">
        <f t="shared" si="270"/>
        <v>36-34</v>
      </c>
      <c r="S456" s="153"/>
      <c r="T456" s="148" t="str">
        <f t="shared" si="271"/>
        <v>Completed</v>
      </c>
      <c r="U456" s="153"/>
      <c r="V456" s="153"/>
      <c r="W456" s="387">
        <f t="shared" si="272"/>
        <v>2</v>
      </c>
      <c r="X456" s="387">
        <f t="shared" si="273"/>
        <v>-2</v>
      </c>
      <c r="Y456" s="301">
        <f t="shared" si="274"/>
        <v>2</v>
      </c>
      <c r="Z456" s="301">
        <f t="shared" si="275"/>
        <v>0</v>
      </c>
      <c r="AA456" s="323" t="str">
        <f>CONCATENATE("                x[team1,team2,sport,'",IF(OR(I456="x",I456=""),VLOOKUP('Schedule from TM'!J456,Tables!$P$3:$Q$33,2,FALSE),'Schedule from TM'!I456),",",J456,"','",IF(OR(F456="x",F456=""),VLOOKUP('Schedule from TM'!G456,Tables!$U$3:$V$14,2,FALSE),'Schedule from TM'!F456),",",TEXT(G456,"mm/dd/yyyy"),"','",TEXT(H456,"h:mm:ss AM/PM"),"'].ub=0.0      #",B456)</f>
        <v xml:space="preserve">                x[team1,team2,sport,'21,Hillel - Gym Basketball','22,11/22/2017','4:20:00 PM'].ub=0.0      #College Male Basketball</v>
      </c>
      <c r="AB456" s="301" t="str">
        <f t="shared" si="276"/>
        <v>,,College Male Basketball,,1,COL M - BIG 12</v>
      </c>
      <c r="AC456" s="153" t="str">
        <f t="shared" si="277"/>
        <v>College Male BasketballCOL M - BIG 12</v>
      </c>
      <c r="AD456" s="301" t="str">
        <f t="shared" si="278"/>
        <v>,,College Male Basketball,,1,COL M - ACC</v>
      </c>
      <c r="AE456" s="153" t="str">
        <f t="shared" si="279"/>
        <v>College Male BasketballCOL M - ACC</v>
      </c>
      <c r="AF456" s="383">
        <f t="shared" si="280"/>
        <v>1</v>
      </c>
      <c r="AG456" s="383">
        <f t="shared" si="281"/>
        <v>0</v>
      </c>
      <c r="AH456" s="383">
        <f t="shared" si="282"/>
        <v>0</v>
      </c>
      <c r="AI456" s="383">
        <f t="shared" si="283"/>
        <v>0</v>
      </c>
      <c r="AJ456" s="383">
        <f t="shared" si="284"/>
        <v>1</v>
      </c>
      <c r="AK456" s="383">
        <f t="shared" si="285"/>
        <v>0</v>
      </c>
      <c r="AM456" s="148" t="str">
        <f t="shared" si="286"/>
        <v>Schedulled</v>
      </c>
      <c r="AN456" s="148" t="str">
        <f t="shared" si="287"/>
        <v/>
      </c>
      <c r="AO456" s="156">
        <f t="shared" si="288"/>
        <v>43061.680555555555</v>
      </c>
      <c r="AP456" s="148" t="str">
        <f t="shared" si="289"/>
        <v>11/22/2017 16:20-&gt;Hillel - Gym Basketball</v>
      </c>
      <c r="AQ456" s="374">
        <f t="shared" si="290"/>
        <v>1</v>
      </c>
      <c r="AR456" s="148" t="str">
        <f t="shared" si="291"/>
        <v>BIG12</v>
      </c>
      <c r="AS456" s="148" t="str">
        <f t="shared" si="292"/>
        <v>ACC</v>
      </c>
      <c r="AT456" s="157" t="str">
        <f t="shared" si="293"/>
        <v>BIG12-ACC</v>
      </c>
      <c r="AU456" s="157" t="str">
        <f t="shared" si="294"/>
        <v xml:space="preserve">BIG12-ACC </v>
      </c>
      <c r="AV456" s="157" t="str">
        <f t="shared" si="295"/>
        <v>COLLEGE</v>
      </c>
      <c r="AW456" s="157" t="str">
        <f t="shared" si="296"/>
        <v>Basketball</v>
      </c>
      <c r="AX456" s="376">
        <f t="shared" si="297"/>
        <v>454</v>
      </c>
      <c r="AY456" s="148" t="str">
        <f t="shared" si="298"/>
        <v>COL M - BIG 12-&gt;COL M - ACC</v>
      </c>
      <c r="AZ456" s="148" t="str">
        <f t="shared" si="299"/>
        <v>11/22/2017 16:20-&gt;COL M - BIG 12</v>
      </c>
      <c r="BA456" s="148" t="str">
        <f t="shared" si="300"/>
        <v>11/22/2017 16:20-&gt;COL M - ACC</v>
      </c>
      <c r="BB456" s="374">
        <f t="shared" si="301"/>
        <v>1</v>
      </c>
      <c r="BC456" s="374">
        <f t="shared" si="302"/>
        <v>1</v>
      </c>
      <c r="BD456" s="148" t="str">
        <f t="shared" si="303"/>
        <v>no conflict</v>
      </c>
      <c r="BF456" s="148" t="str">
        <f t="shared" si="304"/>
        <v>11/22/2017 16:20-&gt;COL M - BIG 12</v>
      </c>
      <c r="BG456" s="148" t="str">
        <f t="shared" si="305"/>
        <v>11/22/2017 16:20-&gt;COL M - ACC</v>
      </c>
      <c r="BH456" s="148" t="str">
        <f t="shared" si="306"/>
        <v>11/22/2017 16:20-&gt;Hillel - Gym Basketball</v>
      </c>
      <c r="BI456" s="148" t="str">
        <f t="shared" si="307"/>
        <v>Basketball in Hillel - Gym Basketball (BIG12-ACC)</v>
      </c>
      <c r="BJ456" s="148" t="str">
        <f t="shared" si="308"/>
        <v>College Male Basketball-- COL M - BIG 12 vs. COL M - ACC</v>
      </c>
      <c r="BK456" s="148" t="str">
        <f t="shared" si="309"/>
        <v>Basketball</v>
      </c>
      <c r="BL456" s="148" t="str">
        <f t="shared" si="310"/>
        <v>COL M - BIG 12</v>
      </c>
      <c r="BM456" s="148" t="str">
        <f t="shared" si="311"/>
        <v>COL M - ACC</v>
      </c>
      <c r="BN456" s="148" t="str">
        <f t="shared" si="312"/>
        <v>Round - 1</v>
      </c>
      <c r="BP456" s="148" t="str">
        <f t="shared" si="313"/>
        <v>no t, f, or sf</v>
      </c>
      <c r="BQ456" s="148" t="str">
        <f t="shared" si="314"/>
        <v/>
      </c>
    </row>
    <row r="457" spans="1:69" ht="15" customHeight="1" x14ac:dyDescent="0.2">
      <c r="A457" s="376">
        <v>455</v>
      </c>
      <c r="B457" s="121" t="s">
        <v>513</v>
      </c>
      <c r="C457" s="121" t="s">
        <v>518</v>
      </c>
      <c r="D457" s="382">
        <v>2</v>
      </c>
      <c r="E457" s="382">
        <v>1</v>
      </c>
      <c r="F457" s="315" t="s">
        <v>770</v>
      </c>
      <c r="G457" s="206">
        <v>43061</v>
      </c>
      <c r="H457" s="318">
        <v>0.71527777777777779</v>
      </c>
      <c r="I457" s="325" t="s">
        <v>770</v>
      </c>
      <c r="J457" s="121" t="s">
        <v>707</v>
      </c>
      <c r="K457" s="315"/>
      <c r="L457" s="121" t="s">
        <v>630</v>
      </c>
      <c r="M457" s="433"/>
      <c r="N457" s="121" t="s">
        <v>632</v>
      </c>
      <c r="O457" s="153" t="str">
        <f>IF(L457&lt;&gt;"",IFERROR(VLOOKUP(B457&amp;L457,Pools!$A$2:$D$130,3,FALSE),""),"")</f>
        <v/>
      </c>
      <c r="P457" s="388">
        <v>47</v>
      </c>
      <c r="Q457" s="388">
        <v>31</v>
      </c>
      <c r="R457" s="306" t="str">
        <f t="shared" si="270"/>
        <v>47-31</v>
      </c>
      <c r="S457" s="153"/>
      <c r="T457" s="148" t="str">
        <f t="shared" si="271"/>
        <v>Completed</v>
      </c>
      <c r="U457" s="153"/>
      <c r="V457" s="153"/>
      <c r="W457" s="387">
        <f t="shared" si="272"/>
        <v>15</v>
      </c>
      <c r="X457" s="387">
        <f t="shared" si="273"/>
        <v>-15</v>
      </c>
      <c r="Y457" s="301">
        <f t="shared" si="274"/>
        <v>2</v>
      </c>
      <c r="Z457" s="301">
        <f t="shared" si="275"/>
        <v>0</v>
      </c>
      <c r="AA457" s="323" t="str">
        <f>CONCATENATE("                x[team1,team2,sport,'",IF(OR(I457="x",I457=""),VLOOKUP('Schedule from TM'!J457,Tables!$P$3:$Q$33,2,FALSE),'Schedule from TM'!I457),",",J457,"','",IF(OR(F457="x",F457=""),VLOOKUP('Schedule from TM'!G457,Tables!$U$3:$V$14,2,FALSE),'Schedule from TM'!F457),",",TEXT(G457,"mm/dd/yyyy"),"','",TEXT(H457,"h:mm:ss AM/PM"),"'].ub=0.0      #",B457)</f>
        <v xml:space="preserve">                x[team1,team2,sport,'21,Hillel - Gym Basketball','22,11/22/2017','5:10:00 PM'].ub=0.0      #College Male Basketball</v>
      </c>
      <c r="AB457" s="301" t="str">
        <f t="shared" si="276"/>
        <v>,,College Male Basketball,,1,COL M - BIG EAST</v>
      </c>
      <c r="AC457" s="153" t="str">
        <f t="shared" si="277"/>
        <v>College Male BasketballCOL M - BIG EAST</v>
      </c>
      <c r="AD457" s="301" t="str">
        <f t="shared" si="278"/>
        <v>,,College Male Basketball,,1,COL M - SEC</v>
      </c>
      <c r="AE457" s="153" t="str">
        <f t="shared" si="279"/>
        <v>College Male BasketballCOL M - SEC</v>
      </c>
      <c r="AF457" s="383">
        <f t="shared" si="280"/>
        <v>1</v>
      </c>
      <c r="AG457" s="383">
        <f t="shared" si="281"/>
        <v>0</v>
      </c>
      <c r="AH457" s="383">
        <f t="shared" si="282"/>
        <v>0</v>
      </c>
      <c r="AI457" s="383">
        <f t="shared" si="283"/>
        <v>0</v>
      </c>
      <c r="AJ457" s="383">
        <f t="shared" si="284"/>
        <v>1</v>
      </c>
      <c r="AK457" s="383">
        <f t="shared" si="285"/>
        <v>0</v>
      </c>
      <c r="AM457" s="148" t="str">
        <f t="shared" si="286"/>
        <v>Schedulled</v>
      </c>
      <c r="AN457" s="148" t="str">
        <f t="shared" si="287"/>
        <v/>
      </c>
      <c r="AO457" s="156">
        <f t="shared" si="288"/>
        <v>43061.715277777781</v>
      </c>
      <c r="AP457" s="148" t="str">
        <f t="shared" si="289"/>
        <v>11/22/2017 17:10-&gt;Hillel - Gym Basketball</v>
      </c>
      <c r="AQ457" s="374">
        <f t="shared" si="290"/>
        <v>1</v>
      </c>
      <c r="AR457" s="148" t="str">
        <f t="shared" si="291"/>
        <v>BIGEAST</v>
      </c>
      <c r="AS457" s="148" t="str">
        <f t="shared" si="292"/>
        <v>SEC</v>
      </c>
      <c r="AT457" s="157" t="str">
        <f t="shared" si="293"/>
        <v>BIGEAST-SEC</v>
      </c>
      <c r="AU457" s="157" t="str">
        <f t="shared" si="294"/>
        <v xml:space="preserve">BIGEAST-SEC </v>
      </c>
      <c r="AV457" s="157" t="str">
        <f t="shared" si="295"/>
        <v>COLLEGE</v>
      </c>
      <c r="AW457" s="157" t="str">
        <f t="shared" si="296"/>
        <v>Basketball</v>
      </c>
      <c r="AX457" s="376">
        <f t="shared" si="297"/>
        <v>455</v>
      </c>
      <c r="AY457" s="148" t="str">
        <f t="shared" si="298"/>
        <v>COL M - BIG EAST-&gt;COL M - SEC</v>
      </c>
      <c r="AZ457" s="148" t="str">
        <f t="shared" si="299"/>
        <v>11/22/2017 17:10-&gt;COL M - BIG EAST</v>
      </c>
      <c r="BA457" s="148" t="str">
        <f t="shared" si="300"/>
        <v>11/22/2017 17:10-&gt;COL M - SEC</v>
      </c>
      <c r="BB457" s="374">
        <f t="shared" si="301"/>
        <v>1</v>
      </c>
      <c r="BC457" s="374">
        <f t="shared" si="302"/>
        <v>1</v>
      </c>
      <c r="BD457" s="148" t="str">
        <f t="shared" si="303"/>
        <v>no conflict</v>
      </c>
      <c r="BF457" s="148" t="str">
        <f t="shared" si="304"/>
        <v>11/22/2017 17:10-&gt;COL M - BIG EAST</v>
      </c>
      <c r="BG457" s="148" t="str">
        <f t="shared" si="305"/>
        <v>11/22/2017 17:10-&gt;COL M - SEC</v>
      </c>
      <c r="BH457" s="148" t="str">
        <f t="shared" si="306"/>
        <v>11/22/2017 17:10-&gt;Hillel - Gym Basketball</v>
      </c>
      <c r="BI457" s="148" t="str">
        <f t="shared" si="307"/>
        <v>Basketball in Hillel - Gym Basketball (BIGEAST-SEC)</v>
      </c>
      <c r="BJ457" s="148" t="str">
        <f t="shared" si="308"/>
        <v>College Male Basketball-- COL M - BIG EAST vs. COL M - SEC</v>
      </c>
      <c r="BK457" s="148" t="str">
        <f t="shared" si="309"/>
        <v>Basketball</v>
      </c>
      <c r="BL457" s="148" t="str">
        <f t="shared" si="310"/>
        <v>COL M - BIG EAST</v>
      </c>
      <c r="BM457" s="148" t="str">
        <f t="shared" si="311"/>
        <v>COL M - SEC</v>
      </c>
      <c r="BN457" s="148" t="str">
        <f t="shared" si="312"/>
        <v>Round - 1</v>
      </c>
      <c r="BP457" s="148" t="str">
        <f t="shared" si="313"/>
        <v>no t, f, or sf</v>
      </c>
      <c r="BQ457" s="148" t="str">
        <f t="shared" si="314"/>
        <v/>
      </c>
    </row>
    <row r="458" spans="1:69" ht="15" customHeight="1" x14ac:dyDescent="0.2">
      <c r="A458" s="376">
        <v>456</v>
      </c>
      <c r="B458" s="121" t="s">
        <v>513</v>
      </c>
      <c r="C458" s="315" t="s">
        <v>518</v>
      </c>
      <c r="D458" s="378">
        <v>1</v>
      </c>
      <c r="E458" s="382">
        <v>1</v>
      </c>
      <c r="F458" s="315" t="s">
        <v>770</v>
      </c>
      <c r="G458" s="206">
        <v>43061</v>
      </c>
      <c r="H458" s="317">
        <v>0.75</v>
      </c>
      <c r="I458" s="325" t="s">
        <v>770</v>
      </c>
      <c r="J458" s="121" t="s">
        <v>707</v>
      </c>
      <c r="K458" s="315"/>
      <c r="L458" s="121" t="s">
        <v>629</v>
      </c>
      <c r="M458" s="433"/>
      <c r="N458" s="121" t="s">
        <v>632</v>
      </c>
      <c r="O458" s="153" t="str">
        <f>IF(L458&lt;&gt;"",IFERROR(VLOOKUP(B458&amp;L458,Pools!$A$2:$D$130,3,FALSE),""),"")</f>
        <v/>
      </c>
      <c r="P458" s="388">
        <v>35</v>
      </c>
      <c r="Q458" s="388">
        <v>38</v>
      </c>
      <c r="R458" s="306" t="str">
        <f t="shared" si="270"/>
        <v>35-38</v>
      </c>
      <c r="S458" s="153"/>
      <c r="T458" s="148" t="str">
        <f t="shared" si="271"/>
        <v>Completed</v>
      </c>
      <c r="U458" s="153"/>
      <c r="V458" s="153"/>
      <c r="W458" s="387">
        <f t="shared" si="272"/>
        <v>-3</v>
      </c>
      <c r="X458" s="387">
        <f t="shared" si="273"/>
        <v>3</v>
      </c>
      <c r="Y458" s="301">
        <f t="shared" si="274"/>
        <v>0</v>
      </c>
      <c r="Z458" s="301">
        <f t="shared" si="275"/>
        <v>2</v>
      </c>
      <c r="AA458" s="323" t="str">
        <f>CONCATENATE("                x[team1,team2,sport,'",IF(OR(I458="x",I458=""),VLOOKUP('Schedule from TM'!J458,Tables!$P$3:$Q$33,2,FALSE),'Schedule from TM'!I458),",",J458,"','",IF(OR(F458="x",F458=""),VLOOKUP('Schedule from TM'!G458,Tables!$U$3:$V$14,2,FALSE),'Schedule from TM'!F458),",",TEXT(G458,"mm/dd/yyyy"),"','",TEXT(H458,"h:mm:ss AM/PM"),"'].ub=0.0      #",B458)</f>
        <v xml:space="preserve">                x[team1,team2,sport,'21,Hillel - Gym Basketball','22,11/22/2017','6:00:00 PM'].ub=0.0      #College Male Basketball</v>
      </c>
      <c r="AB458" s="301" t="str">
        <f t="shared" si="276"/>
        <v>,,College Male Basketball,,1,COL M - BIG 12</v>
      </c>
      <c r="AC458" s="153" t="str">
        <f t="shared" si="277"/>
        <v>College Male BasketballCOL M - BIG 12</v>
      </c>
      <c r="AD458" s="301" t="str">
        <f t="shared" si="278"/>
        <v>,,College Male Basketball,,1,COL M - SEC</v>
      </c>
      <c r="AE458" s="153" t="str">
        <f t="shared" si="279"/>
        <v>College Male BasketballCOL M - SEC</v>
      </c>
      <c r="AF458" s="383">
        <f t="shared" si="280"/>
        <v>0</v>
      </c>
      <c r="AG458" s="383">
        <f t="shared" si="281"/>
        <v>1</v>
      </c>
      <c r="AH458" s="383">
        <f t="shared" si="282"/>
        <v>0</v>
      </c>
      <c r="AI458" s="383">
        <f t="shared" si="283"/>
        <v>1</v>
      </c>
      <c r="AJ458" s="383">
        <f t="shared" si="284"/>
        <v>0</v>
      </c>
      <c r="AK458" s="383">
        <f t="shared" si="285"/>
        <v>0</v>
      </c>
      <c r="AM458" s="148" t="str">
        <f t="shared" si="286"/>
        <v>Schedulled</v>
      </c>
      <c r="AN458" s="148" t="str">
        <f t="shared" si="287"/>
        <v/>
      </c>
      <c r="AO458" s="156">
        <f t="shared" si="288"/>
        <v>43061.75</v>
      </c>
      <c r="AP458" s="148" t="str">
        <f t="shared" si="289"/>
        <v>11/22/2017 18:00-&gt;Hillel - Gym Basketball</v>
      </c>
      <c r="AQ458" s="374">
        <f t="shared" si="290"/>
        <v>1</v>
      </c>
      <c r="AR458" s="148" t="str">
        <f t="shared" si="291"/>
        <v>BIG12</v>
      </c>
      <c r="AS458" s="148" t="str">
        <f t="shared" si="292"/>
        <v>SEC</v>
      </c>
      <c r="AT458" s="157" t="str">
        <f t="shared" si="293"/>
        <v>BIG12-SEC</v>
      </c>
      <c r="AU458" s="157" t="str">
        <f t="shared" si="294"/>
        <v xml:space="preserve">BIG12-SEC </v>
      </c>
      <c r="AV458" s="157" t="str">
        <f t="shared" si="295"/>
        <v>COLLEGE</v>
      </c>
      <c r="AW458" s="157" t="str">
        <f t="shared" si="296"/>
        <v>Basketball</v>
      </c>
      <c r="AX458" s="376">
        <f t="shared" si="297"/>
        <v>456</v>
      </c>
      <c r="AY458" s="148" t="str">
        <f t="shared" si="298"/>
        <v>COL M - BIG 12-&gt;COL M - SEC</v>
      </c>
      <c r="AZ458" s="148" t="str">
        <f t="shared" si="299"/>
        <v>11/22/2017 18:00-&gt;COL M - BIG 12</v>
      </c>
      <c r="BA458" s="148" t="str">
        <f t="shared" si="300"/>
        <v>11/22/2017 18:00-&gt;COL M - SEC</v>
      </c>
      <c r="BB458" s="374">
        <f t="shared" si="301"/>
        <v>1</v>
      </c>
      <c r="BC458" s="374">
        <f t="shared" si="302"/>
        <v>1</v>
      </c>
      <c r="BD458" s="148" t="str">
        <f t="shared" si="303"/>
        <v>no conflict</v>
      </c>
      <c r="BF458" s="148" t="str">
        <f t="shared" si="304"/>
        <v>11/22/2017 18:00-&gt;COL M - BIG 12</v>
      </c>
      <c r="BG458" s="148" t="str">
        <f t="shared" si="305"/>
        <v>11/22/2017 18:00-&gt;COL M - SEC</v>
      </c>
      <c r="BH458" s="148" t="str">
        <f t="shared" si="306"/>
        <v>11/22/2017 18:00-&gt;Hillel - Gym Basketball</v>
      </c>
      <c r="BI458" s="148" t="str">
        <f t="shared" si="307"/>
        <v>Basketball in Hillel - Gym Basketball (BIG12-SEC)</v>
      </c>
      <c r="BJ458" s="148" t="str">
        <f t="shared" si="308"/>
        <v>College Male Basketball-- COL M - BIG 12 vs. COL M - SEC</v>
      </c>
      <c r="BK458" s="148" t="str">
        <f t="shared" si="309"/>
        <v>Basketball</v>
      </c>
      <c r="BL458" s="148" t="str">
        <f t="shared" si="310"/>
        <v>COL M - BIG 12</v>
      </c>
      <c r="BM458" s="148" t="str">
        <f t="shared" si="311"/>
        <v>COL M - SEC</v>
      </c>
      <c r="BN458" s="148" t="str">
        <f t="shared" si="312"/>
        <v>Round - 1</v>
      </c>
      <c r="BP458" s="148" t="str">
        <f t="shared" si="313"/>
        <v>no t, f, or sf</v>
      </c>
      <c r="BQ458" s="148" t="str">
        <f t="shared" si="314"/>
        <v/>
      </c>
    </row>
    <row r="459" spans="1:69" ht="15" customHeight="1" x14ac:dyDescent="0.2">
      <c r="A459" s="376">
        <v>457</v>
      </c>
      <c r="B459" s="121" t="s">
        <v>513</v>
      </c>
      <c r="C459" s="315" t="s">
        <v>518</v>
      </c>
      <c r="D459" s="378">
        <v>1</v>
      </c>
      <c r="E459" s="382">
        <v>1</v>
      </c>
      <c r="F459" s="315" t="s">
        <v>770</v>
      </c>
      <c r="G459" s="206">
        <v>43061</v>
      </c>
      <c r="H459" s="317">
        <v>0.78472222222222221</v>
      </c>
      <c r="I459" s="325" t="s">
        <v>770</v>
      </c>
      <c r="J459" s="121" t="s">
        <v>707</v>
      </c>
      <c r="K459" s="315"/>
      <c r="L459" s="121" t="s">
        <v>627</v>
      </c>
      <c r="M459" s="433"/>
      <c r="N459" s="121" t="s">
        <v>630</v>
      </c>
      <c r="O459" s="153" t="str">
        <f>IF(L459&lt;&gt;"",IFERROR(VLOOKUP(B459&amp;L459,Pools!$A$2:$D$130,3,FALSE),""),"")</f>
        <v/>
      </c>
      <c r="P459" s="388">
        <v>24</v>
      </c>
      <c r="Q459" s="388">
        <v>28</v>
      </c>
      <c r="R459" s="306" t="str">
        <f t="shared" ref="R459:R522" si="315">P459&amp;"-"&amp;Q459</f>
        <v>24-28</v>
      </c>
      <c r="S459" s="153"/>
      <c r="T459" s="148" t="str">
        <f t="shared" ref="T459:T522" si="316">IF(AND(P459&lt;&gt;"",Q459&lt;&gt;""),"Completed","Pending")</f>
        <v>Completed</v>
      </c>
      <c r="U459" s="153"/>
      <c r="V459" s="153"/>
      <c r="W459" s="387">
        <f t="shared" ref="W459:W522" si="317">IF(AW459="Basketball",(IF(P459-Q459&gt;15,15,IF(P459-Q459&lt;-15,-15,(P459-Q459)))),IF(AW459="Soccer",(IF(P459-Q459&gt;3,3,IF(P459-Q459&lt;-3,-3,(P459-Q459)))),IF(AW459="Kickball",(IF(P459-Q459&gt;5,5,IF(P459-Q459&lt;-5,-5,(P459-Q459)))),IF(AW459="Flag Football",(IF(P459-Q459&gt;21,21,IF(P459-Q459&lt;-21,-21,(P459-Q459)))),P459-Q459))))</f>
        <v>-4</v>
      </c>
      <c r="X459" s="387">
        <f t="shared" ref="X459:X522" si="318">IF(AW459="Basketball",(IF(Q459-P459&gt;15,15,IF(Q459-P459&lt;-15,-15,(Q459-P459)))),IF(AW459="Soccer",(IF(Q459-P459&gt;3,3,IF(Q459-P459&lt;-3,-3,(Q459-P459)))),IF(AW459="Kickball",(IF(Q459-P459&gt;5,5,IF(Q459-P459&lt;-5,-5,(Q459-P459)))),IF(AW459="Flag Football",(IF(Q459-P459&gt;21,21,IF(Q459-P459&lt;-21,-21,(Q459-P459)))),Q459-P459))))</f>
        <v>4</v>
      </c>
      <c r="Y459" s="301">
        <f t="shared" ref="Y459:Y522" si="319">IF(T459="Completed",(IF(P459&gt;Q459,2,IF(P459=Q459,1,IF(P459&lt;Q459,0)))),"X")</f>
        <v>0</v>
      </c>
      <c r="Z459" s="301">
        <f t="shared" ref="Z459:Z522" si="320">IF(T459="Completed",(IF(Q459&gt;P459,2,IF(Q459=P459,1,IF(Q459&lt;P459,0)))),"X")</f>
        <v>2</v>
      </c>
      <c r="AA459" s="323" t="str">
        <f>CONCATENATE("                x[team1,team2,sport,'",IF(OR(I459="x",I459=""),VLOOKUP('Schedule from TM'!J459,Tables!$P$3:$Q$33,2,FALSE),'Schedule from TM'!I459),",",J459,"','",IF(OR(F459="x",F459=""),VLOOKUP('Schedule from TM'!G459,Tables!$U$3:$V$14,2,FALSE),'Schedule from TM'!F459),",",TEXT(G459,"mm/dd/yyyy"),"','",TEXT(H459,"h:mm:ss AM/PM"),"'].ub=0.0      #",B459)</f>
        <v xml:space="preserve">                x[team1,team2,sport,'21,Hillel - Gym Basketball','22,11/22/2017','6:50:00 PM'].ub=0.0      #College Male Basketball</v>
      </c>
      <c r="AB459" s="301" t="str">
        <f t="shared" ref="AB459:AB522" si="321">",,"&amp;B459&amp;","&amp;O459&amp;",1,"&amp;L459</f>
        <v>,,College Male Basketball,,1,COL M - ACC</v>
      </c>
      <c r="AC459" s="153" t="str">
        <f t="shared" ref="AC459:AC522" si="322">B459&amp;O459&amp;L459</f>
        <v>College Male BasketballCOL M - ACC</v>
      </c>
      <c r="AD459" s="301" t="str">
        <f t="shared" ref="AD459:AD522" si="323">",,"&amp;B459&amp;","&amp;O459&amp;",1,"&amp;N459</f>
        <v>,,College Male Basketball,,1,COL M - BIG EAST</v>
      </c>
      <c r="AE459" s="153" t="str">
        <f t="shared" ref="AE459:AE522" si="324">B459&amp;O459&amp;N459</f>
        <v>College Male BasketballCOL M - BIG EAST</v>
      </c>
      <c r="AF459" s="383">
        <f t="shared" ref="AF459:AF522" si="325">IF(Y459=2,1,0)</f>
        <v>0</v>
      </c>
      <c r="AG459" s="383">
        <f t="shared" ref="AG459:AG522" si="326">IF(Y459=0,1,0)</f>
        <v>1</v>
      </c>
      <c r="AH459" s="383">
        <f t="shared" ref="AH459:AH522" si="327">IF(Y459=1,1,0)</f>
        <v>0</v>
      </c>
      <c r="AI459" s="383">
        <f t="shared" ref="AI459:AI522" si="328">IF(Z459=2,1,0)</f>
        <v>1</v>
      </c>
      <c r="AJ459" s="383">
        <f t="shared" ref="AJ459:AJ522" si="329">IF(Z459=0,1,0)</f>
        <v>0</v>
      </c>
      <c r="AK459" s="383">
        <f t="shared" ref="AK459:AK522" si="330">IF(Z459=1,1,0)</f>
        <v>0</v>
      </c>
      <c r="AM459" s="148" t="str">
        <f t="shared" ref="AM459:AM522" si="331">IF(G459&amp;H459&amp;J459&lt;&gt;"","Schedulled","Not Schedulled")</f>
        <v>Schedulled</v>
      </c>
      <c r="AN459" s="148" t="str">
        <f t="shared" ref="AN459:AN522" si="332">IF(AND(AM459="schedulled",L459&amp;N459=""),"Schedulled no team","")</f>
        <v/>
      </c>
      <c r="AO459" s="156">
        <f t="shared" ref="AO459:AO522" si="333">G459+H459</f>
        <v>43061.784722222219</v>
      </c>
      <c r="AP459" s="148" t="str">
        <f t="shared" ref="AP459:AP522" si="334">TEXT(AO459,"MM/DD/YYYY HH:MM")&amp;"-&gt;"&amp;J459</f>
        <v>11/22/2017 18:50-&gt;Hillel - Gym Basketball</v>
      </c>
      <c r="AQ459" s="374">
        <f t="shared" ref="AQ459:AQ522" si="335">IF(AM459="not schedulled", 0,COUNTIF($AP$11:$AP$1051,AP459))</f>
        <v>1</v>
      </c>
      <c r="AR459" s="148" t="str">
        <f t="shared" ref="AR459:AR522" si="336">IFERROR(VLOOKUP(L459,teams_table,3,FALSE),"")</f>
        <v>ACC</v>
      </c>
      <c r="AS459" s="148" t="str">
        <f t="shared" ref="AS459:AS522" si="337">IFERROR(VLOOKUP(N459,teams_table,3,FALSE),"")</f>
        <v>BIGEAST</v>
      </c>
      <c r="AT459" s="157" t="str">
        <f t="shared" ref="AT459:AT522" si="338">IF(AR459&amp;AS459&lt;&gt;"",AR459&amp;"-"&amp;AS459,"")</f>
        <v>ACC-BIGEAST</v>
      </c>
      <c r="AU459" s="157" t="str">
        <f t="shared" ref="AU459:AU522" si="339">IF(AT459="","",AT459&amp;" ")&amp;IF(C459="final",AW459&amp;" Final","")&amp;IF(C459="semi-final",AW459&amp;" Semi-Final","")&amp;IF(C459="Tournament",AW459&amp;" Tournament","")</f>
        <v xml:space="preserve">ACC-BIGEAST </v>
      </c>
      <c r="AV459" s="157" t="str">
        <f t="shared" ref="AV459:AV522" si="340">IFERROR(VLOOKUP(B459,events_table,2,FALSE),"")</f>
        <v>COLLEGE</v>
      </c>
      <c r="AW459" s="157" t="str">
        <f t="shared" ref="AW459:AW522" si="341">IFERROR(VLOOKUP(B459,events_table,3,0),"")</f>
        <v>Basketball</v>
      </c>
      <c r="AX459" s="376">
        <f t="shared" ref="AX459:AX522" si="342">A459</f>
        <v>457</v>
      </c>
      <c r="AY459" s="148" t="str">
        <f t="shared" ref="AY459:AY522" si="343">L459&amp;"-&gt;"&amp;N459</f>
        <v>COL M - ACC-&gt;COL M - BIG EAST</v>
      </c>
      <c r="AZ459" s="148" t="str">
        <f t="shared" ref="AZ459:AZ522" si="344">TEXT(AO459,"MM/DD/YYYY HH:MM")&amp;"-&gt;"&amp;L459</f>
        <v>11/22/2017 18:50-&gt;COL M - ACC</v>
      </c>
      <c r="BA459" s="148" t="str">
        <f t="shared" ref="BA459:BA522" si="345">TEXT(AO459,"MM/DD/YYYY HH:MM")&amp;"-&gt;"&amp;N459</f>
        <v>11/22/2017 18:50-&gt;COL M - BIG EAST</v>
      </c>
      <c r="BB459" s="374">
        <f t="shared" ref="BB459:BB522" si="346">IF(OR(AM459="not schedulled",AN459="schedulled no team"),0,COUNTIF($AZ$11:$BA$1051,AZ459))</f>
        <v>1</v>
      </c>
      <c r="BC459" s="374">
        <f t="shared" ref="BC459:BC522" si="347">IF(OR(AM459="not schedulled",AN459="schedulled no team"),0,COUNTIF($AZ$11:$BA$1051,BA459))</f>
        <v>1</v>
      </c>
      <c r="BD459" s="148" t="str">
        <f t="shared" ref="BD459:BD522" si="348">IF(OR(BB459&gt;1,BC459&gt;1),"conflict","no conflict")</f>
        <v>no conflict</v>
      </c>
      <c r="BF459" s="148" t="str">
        <f t="shared" ref="BF459:BF522" si="349">TEXT(AO459,"MM/DD/YYYY HH:MM")&amp;"-&gt;"&amp;L459</f>
        <v>11/22/2017 18:50-&gt;COL M - ACC</v>
      </c>
      <c r="BG459" s="148" t="str">
        <f t="shared" ref="BG459:BG522" si="350">TEXT(AO459,"MM/DD/YYYY HH:MM")&amp;"-&gt;"&amp;N459</f>
        <v>11/22/2017 18:50-&gt;COL M - BIG EAST</v>
      </c>
      <c r="BH459" s="148" t="str">
        <f t="shared" ref="BH459:BH522" si="351">TEXT(AO459,"MM/DD/YYYY HH:MM")&amp;"-&gt;"&amp;J459</f>
        <v>11/22/2017 18:50-&gt;Hillel - Gym Basketball</v>
      </c>
      <c r="BI459" s="148" t="str">
        <f t="shared" ref="BI459:BI522" si="352">AW459&amp; " in "&amp;J459 &amp;" ("&amp;AT459&amp;")"</f>
        <v>Basketball in Hillel - Gym Basketball (ACC-BIGEAST)</v>
      </c>
      <c r="BJ459" s="148" t="str">
        <f t="shared" ref="BJ459:BJ522" si="353">B459 &amp;"-- " &amp;L459&amp;" vs. "&amp;N459</f>
        <v>College Male Basketball-- COL M - ACC vs. COL M - BIG EAST</v>
      </c>
      <c r="BK459" s="148" t="str">
        <f t="shared" ref="BK459:BK522" si="354">AW459</f>
        <v>Basketball</v>
      </c>
      <c r="BL459" s="148" t="str">
        <f t="shared" ref="BL459:BL522" si="355">L459</f>
        <v>COL M - ACC</v>
      </c>
      <c r="BM459" s="148" t="str">
        <f t="shared" ref="BM459:BM522" si="356">N459</f>
        <v>COL M - BIG EAST</v>
      </c>
      <c r="BN459" s="148" t="str">
        <f t="shared" ref="BN459:BN522" si="357">C459</f>
        <v>Round - 1</v>
      </c>
      <c r="BP459" s="148" t="str">
        <f t="shared" ref="BP459:BP522" si="358">IF(OR(NOT(ISERR(SEARCH("final",C459))),NOT(ISERR(SEARCH("tournament",C459)))),TEXT(AO459,"MM/DD/YYYY HH:MM")&amp;"-&gt;"&amp;AV459,IF(B459="","no game","no t, f, or sf"))</f>
        <v>no t, f, or sf</v>
      </c>
      <c r="BQ459" s="148" t="str">
        <f t="shared" ref="BQ459:BQ522" si="359">IF(BP459&lt;&gt;"no t, f, or sf",AW459&amp;" "&amp;C459&amp;" in "&amp;J459,"")</f>
        <v/>
      </c>
    </row>
    <row r="460" spans="1:69" ht="15" customHeight="1" x14ac:dyDescent="0.2">
      <c r="A460" s="376">
        <v>458</v>
      </c>
      <c r="B460" s="121" t="s">
        <v>513</v>
      </c>
      <c r="C460" s="315" t="s">
        <v>518</v>
      </c>
      <c r="D460" s="378">
        <v>1</v>
      </c>
      <c r="E460" s="382">
        <v>1</v>
      </c>
      <c r="F460" s="315" t="s">
        <v>770</v>
      </c>
      <c r="G460" s="206">
        <v>43061</v>
      </c>
      <c r="H460" s="318">
        <v>0.81944444444444453</v>
      </c>
      <c r="I460" s="325" t="s">
        <v>770</v>
      </c>
      <c r="J460" s="121" t="s">
        <v>707</v>
      </c>
      <c r="K460" s="315"/>
      <c r="L460" s="121" t="s">
        <v>629</v>
      </c>
      <c r="M460" s="433"/>
      <c r="N460" s="121" t="s">
        <v>630</v>
      </c>
      <c r="O460" s="153" t="str">
        <f>IF(L460&lt;&gt;"",IFERROR(VLOOKUP(B460&amp;L460,Pools!$A$2:$D$130,3,FALSE),""),"")</f>
        <v/>
      </c>
      <c r="P460" s="388">
        <v>29</v>
      </c>
      <c r="Q460" s="388">
        <v>46</v>
      </c>
      <c r="R460" s="306" t="str">
        <f t="shared" si="315"/>
        <v>29-46</v>
      </c>
      <c r="S460" s="153"/>
      <c r="T460" s="148" t="str">
        <f t="shared" si="316"/>
        <v>Completed</v>
      </c>
      <c r="U460" s="153"/>
      <c r="V460" s="153"/>
      <c r="W460" s="387">
        <f t="shared" si="317"/>
        <v>-15</v>
      </c>
      <c r="X460" s="387">
        <f t="shared" si="318"/>
        <v>15</v>
      </c>
      <c r="Y460" s="301">
        <f t="shared" si="319"/>
        <v>0</v>
      </c>
      <c r="Z460" s="301">
        <f t="shared" si="320"/>
        <v>2</v>
      </c>
      <c r="AA460" s="323" t="str">
        <f>CONCATENATE("                x[team1,team2,sport,'",IF(OR(I460="x",I460=""),VLOOKUP('Schedule from TM'!J460,Tables!$P$3:$Q$33,2,FALSE),'Schedule from TM'!I460),",",J460,"','",IF(OR(F460="x",F460=""),VLOOKUP('Schedule from TM'!G460,Tables!$U$3:$V$14,2,FALSE),'Schedule from TM'!F460),",",TEXT(G460,"mm/dd/yyyy"),"','",TEXT(H460,"h:mm:ss AM/PM"),"'].ub=0.0      #",B460)</f>
        <v xml:space="preserve">                x[team1,team2,sport,'21,Hillel - Gym Basketball','22,11/22/2017','7:40:00 PM'].ub=0.0      #College Male Basketball</v>
      </c>
      <c r="AB460" s="301" t="str">
        <f t="shared" si="321"/>
        <v>,,College Male Basketball,,1,COL M - BIG 12</v>
      </c>
      <c r="AC460" s="153" t="str">
        <f t="shared" si="322"/>
        <v>College Male BasketballCOL M - BIG 12</v>
      </c>
      <c r="AD460" s="301" t="str">
        <f t="shared" si="323"/>
        <v>,,College Male Basketball,,1,COL M - BIG EAST</v>
      </c>
      <c r="AE460" s="153" t="str">
        <f t="shared" si="324"/>
        <v>College Male BasketballCOL M - BIG EAST</v>
      </c>
      <c r="AF460" s="383">
        <f t="shared" si="325"/>
        <v>0</v>
      </c>
      <c r="AG460" s="383">
        <f t="shared" si="326"/>
        <v>1</v>
      </c>
      <c r="AH460" s="383">
        <f t="shared" si="327"/>
        <v>0</v>
      </c>
      <c r="AI460" s="383">
        <f t="shared" si="328"/>
        <v>1</v>
      </c>
      <c r="AJ460" s="383">
        <f t="shared" si="329"/>
        <v>0</v>
      </c>
      <c r="AK460" s="383">
        <f t="shared" si="330"/>
        <v>0</v>
      </c>
      <c r="AM460" s="148" t="str">
        <f t="shared" si="331"/>
        <v>Schedulled</v>
      </c>
      <c r="AN460" s="148" t="str">
        <f t="shared" si="332"/>
        <v/>
      </c>
      <c r="AO460" s="156">
        <f t="shared" si="333"/>
        <v>43061.819444444445</v>
      </c>
      <c r="AP460" s="148" t="str">
        <f t="shared" si="334"/>
        <v>11/22/2017 19:40-&gt;Hillel - Gym Basketball</v>
      </c>
      <c r="AQ460" s="374">
        <f t="shared" si="335"/>
        <v>1</v>
      </c>
      <c r="AR460" s="148" t="str">
        <f t="shared" si="336"/>
        <v>BIG12</v>
      </c>
      <c r="AS460" s="148" t="str">
        <f t="shared" si="337"/>
        <v>BIGEAST</v>
      </c>
      <c r="AT460" s="157" t="str">
        <f t="shared" si="338"/>
        <v>BIG12-BIGEAST</v>
      </c>
      <c r="AU460" s="157" t="str">
        <f t="shared" si="339"/>
        <v xml:space="preserve">BIG12-BIGEAST </v>
      </c>
      <c r="AV460" s="157" t="str">
        <f t="shared" si="340"/>
        <v>COLLEGE</v>
      </c>
      <c r="AW460" s="157" t="str">
        <f t="shared" si="341"/>
        <v>Basketball</v>
      </c>
      <c r="AX460" s="376">
        <f t="shared" si="342"/>
        <v>458</v>
      </c>
      <c r="AY460" s="148" t="str">
        <f t="shared" si="343"/>
        <v>COL M - BIG 12-&gt;COL M - BIG EAST</v>
      </c>
      <c r="AZ460" s="148" t="str">
        <f t="shared" si="344"/>
        <v>11/22/2017 19:40-&gt;COL M - BIG 12</v>
      </c>
      <c r="BA460" s="148" t="str">
        <f t="shared" si="345"/>
        <v>11/22/2017 19:40-&gt;COL M - BIG EAST</v>
      </c>
      <c r="BB460" s="374">
        <f t="shared" si="346"/>
        <v>1</v>
      </c>
      <c r="BC460" s="374">
        <f t="shared" si="347"/>
        <v>1</v>
      </c>
      <c r="BD460" s="148" t="str">
        <f t="shared" si="348"/>
        <v>no conflict</v>
      </c>
      <c r="BF460" s="148" t="str">
        <f t="shared" si="349"/>
        <v>11/22/2017 19:40-&gt;COL M - BIG 12</v>
      </c>
      <c r="BG460" s="148" t="str">
        <f t="shared" si="350"/>
        <v>11/22/2017 19:40-&gt;COL M - BIG EAST</v>
      </c>
      <c r="BH460" s="148" t="str">
        <f t="shared" si="351"/>
        <v>11/22/2017 19:40-&gt;Hillel - Gym Basketball</v>
      </c>
      <c r="BI460" s="148" t="str">
        <f t="shared" si="352"/>
        <v>Basketball in Hillel - Gym Basketball (BIG12-BIGEAST)</v>
      </c>
      <c r="BJ460" s="148" t="str">
        <f t="shared" si="353"/>
        <v>College Male Basketball-- COL M - BIG 12 vs. COL M - BIG EAST</v>
      </c>
      <c r="BK460" s="148" t="str">
        <f t="shared" si="354"/>
        <v>Basketball</v>
      </c>
      <c r="BL460" s="148" t="str">
        <f t="shared" si="355"/>
        <v>COL M - BIG 12</v>
      </c>
      <c r="BM460" s="148" t="str">
        <f t="shared" si="356"/>
        <v>COL M - BIG EAST</v>
      </c>
      <c r="BN460" s="148" t="str">
        <f t="shared" si="357"/>
        <v>Round - 1</v>
      </c>
      <c r="BP460" s="148" t="str">
        <f t="shared" si="358"/>
        <v>no t, f, or sf</v>
      </c>
      <c r="BQ460" s="148" t="str">
        <f t="shared" si="359"/>
        <v/>
      </c>
    </row>
    <row r="461" spans="1:69" ht="15" customHeight="1" x14ac:dyDescent="0.2">
      <c r="A461" s="376">
        <v>459</v>
      </c>
      <c r="B461" s="121" t="s">
        <v>513</v>
      </c>
      <c r="C461" s="315" t="s">
        <v>518</v>
      </c>
      <c r="D461" s="378">
        <v>1</v>
      </c>
      <c r="E461" s="382">
        <v>1</v>
      </c>
      <c r="F461" s="315" t="s">
        <v>770</v>
      </c>
      <c r="G461" s="206">
        <v>43061</v>
      </c>
      <c r="H461" s="318">
        <v>0.85416666666666663</v>
      </c>
      <c r="I461" s="325" t="s">
        <v>770</v>
      </c>
      <c r="J461" s="121" t="s">
        <v>707</v>
      </c>
      <c r="K461" s="315"/>
      <c r="L461" s="121" t="s">
        <v>632</v>
      </c>
      <c r="M461" s="433"/>
      <c r="N461" s="121" t="s">
        <v>627</v>
      </c>
      <c r="O461" s="153" t="str">
        <f>IF(L461&lt;&gt;"",IFERROR(VLOOKUP(B461&amp;L461,Pools!$A$2:$D$130,3,FALSE),""),"")</f>
        <v/>
      </c>
      <c r="P461" s="388">
        <v>15</v>
      </c>
      <c r="Q461" s="388">
        <v>0</v>
      </c>
      <c r="R461" s="306" t="str">
        <f t="shared" si="315"/>
        <v>15-0</v>
      </c>
      <c r="S461" s="153"/>
      <c r="T461" s="148" t="str">
        <f t="shared" si="316"/>
        <v>Completed</v>
      </c>
      <c r="U461" s="153"/>
      <c r="V461" s="153"/>
      <c r="W461" s="387">
        <f t="shared" si="317"/>
        <v>15</v>
      </c>
      <c r="X461" s="387">
        <f t="shared" si="318"/>
        <v>-15</v>
      </c>
      <c r="Y461" s="301">
        <f t="shared" si="319"/>
        <v>2</v>
      </c>
      <c r="Z461" s="301">
        <f t="shared" si="320"/>
        <v>0</v>
      </c>
      <c r="AA461" s="323" t="str">
        <f>CONCATENATE("                x[team1,team2,sport,'",IF(OR(I461="x",I461=""),VLOOKUP('Schedule from TM'!J461,Tables!$P$3:$Q$33,2,FALSE),'Schedule from TM'!I461),",",J461,"','",IF(OR(F461="x",F461=""),VLOOKUP('Schedule from TM'!G461,Tables!$U$3:$V$14,2,FALSE),'Schedule from TM'!F461),",",TEXT(G461,"mm/dd/yyyy"),"','",TEXT(H461,"h:mm:ss AM/PM"),"'].ub=0.0      #",B461)</f>
        <v xml:space="preserve">                x[team1,team2,sport,'21,Hillel - Gym Basketball','22,11/22/2017','8:30:00 PM'].ub=0.0      #College Male Basketball</v>
      </c>
      <c r="AB461" s="301" t="str">
        <f t="shared" si="321"/>
        <v>,,College Male Basketball,,1,COL M - SEC</v>
      </c>
      <c r="AC461" s="153" t="str">
        <f t="shared" si="322"/>
        <v>College Male BasketballCOL M - SEC</v>
      </c>
      <c r="AD461" s="301" t="str">
        <f t="shared" si="323"/>
        <v>,,College Male Basketball,,1,COL M - ACC</v>
      </c>
      <c r="AE461" s="153" t="str">
        <f t="shared" si="324"/>
        <v>College Male BasketballCOL M - ACC</v>
      </c>
      <c r="AF461" s="383">
        <f t="shared" si="325"/>
        <v>1</v>
      </c>
      <c r="AG461" s="383">
        <f t="shared" si="326"/>
        <v>0</v>
      </c>
      <c r="AH461" s="383">
        <f t="shared" si="327"/>
        <v>0</v>
      </c>
      <c r="AI461" s="383">
        <f t="shared" si="328"/>
        <v>0</v>
      </c>
      <c r="AJ461" s="383">
        <f t="shared" si="329"/>
        <v>1</v>
      </c>
      <c r="AK461" s="383">
        <f t="shared" si="330"/>
        <v>0</v>
      </c>
      <c r="AM461" s="148" t="str">
        <f t="shared" si="331"/>
        <v>Schedulled</v>
      </c>
      <c r="AN461" s="148" t="str">
        <f t="shared" si="332"/>
        <v/>
      </c>
      <c r="AO461" s="156">
        <f t="shared" si="333"/>
        <v>43061.854166666664</v>
      </c>
      <c r="AP461" s="148" t="str">
        <f t="shared" si="334"/>
        <v>11/22/2017 20:30-&gt;Hillel - Gym Basketball</v>
      </c>
      <c r="AQ461" s="374">
        <f t="shared" si="335"/>
        <v>1</v>
      </c>
      <c r="AR461" s="148" t="str">
        <f t="shared" si="336"/>
        <v>SEC</v>
      </c>
      <c r="AS461" s="148" t="str">
        <f t="shared" si="337"/>
        <v>ACC</v>
      </c>
      <c r="AT461" s="157" t="str">
        <f t="shared" si="338"/>
        <v>SEC-ACC</v>
      </c>
      <c r="AU461" s="157" t="str">
        <f t="shared" si="339"/>
        <v xml:space="preserve">SEC-ACC </v>
      </c>
      <c r="AV461" s="157" t="str">
        <f t="shared" si="340"/>
        <v>COLLEGE</v>
      </c>
      <c r="AW461" s="157" t="str">
        <f t="shared" si="341"/>
        <v>Basketball</v>
      </c>
      <c r="AX461" s="376">
        <f t="shared" si="342"/>
        <v>459</v>
      </c>
      <c r="AY461" s="148" t="str">
        <f t="shared" si="343"/>
        <v>COL M - SEC-&gt;COL M - ACC</v>
      </c>
      <c r="AZ461" s="148" t="str">
        <f t="shared" si="344"/>
        <v>11/22/2017 20:30-&gt;COL M - SEC</v>
      </c>
      <c r="BA461" s="148" t="str">
        <f t="shared" si="345"/>
        <v>11/22/2017 20:30-&gt;COL M - ACC</v>
      </c>
      <c r="BB461" s="374">
        <f t="shared" si="346"/>
        <v>1</v>
      </c>
      <c r="BC461" s="374">
        <f t="shared" si="347"/>
        <v>1</v>
      </c>
      <c r="BD461" s="148" t="str">
        <f t="shared" si="348"/>
        <v>no conflict</v>
      </c>
      <c r="BF461" s="148" t="str">
        <f t="shared" si="349"/>
        <v>11/22/2017 20:30-&gt;COL M - SEC</v>
      </c>
      <c r="BG461" s="148" t="str">
        <f t="shared" si="350"/>
        <v>11/22/2017 20:30-&gt;COL M - ACC</v>
      </c>
      <c r="BH461" s="148" t="str">
        <f t="shared" si="351"/>
        <v>11/22/2017 20:30-&gt;Hillel - Gym Basketball</v>
      </c>
      <c r="BI461" s="148" t="str">
        <f t="shared" si="352"/>
        <v>Basketball in Hillel - Gym Basketball (SEC-ACC)</v>
      </c>
      <c r="BJ461" s="148" t="str">
        <f t="shared" si="353"/>
        <v>College Male Basketball-- COL M - SEC vs. COL M - ACC</v>
      </c>
      <c r="BK461" s="148" t="str">
        <f t="shared" si="354"/>
        <v>Basketball</v>
      </c>
      <c r="BL461" s="148" t="str">
        <f t="shared" si="355"/>
        <v>COL M - SEC</v>
      </c>
      <c r="BM461" s="148" t="str">
        <f t="shared" si="356"/>
        <v>COL M - ACC</v>
      </c>
      <c r="BN461" s="148" t="str">
        <f t="shared" si="357"/>
        <v>Round - 1</v>
      </c>
      <c r="BP461" s="148" t="str">
        <f t="shared" si="358"/>
        <v>no t, f, or sf</v>
      </c>
      <c r="BQ461" s="148" t="str">
        <f t="shared" si="359"/>
        <v/>
      </c>
    </row>
    <row r="462" spans="1:69" ht="15" customHeight="1" x14ac:dyDescent="0.2">
      <c r="A462" s="376">
        <v>460</v>
      </c>
      <c r="B462" s="121" t="s">
        <v>514</v>
      </c>
      <c r="C462" s="121" t="s">
        <v>518</v>
      </c>
      <c r="D462" s="382">
        <v>2</v>
      </c>
      <c r="E462" s="382">
        <v>1</v>
      </c>
      <c r="F462" s="315" t="s">
        <v>770</v>
      </c>
      <c r="G462" s="206">
        <v>43063</v>
      </c>
      <c r="H462" s="454">
        <v>0.50694444444444442</v>
      </c>
      <c r="I462" s="325" t="s">
        <v>770</v>
      </c>
      <c r="J462" s="121" t="s">
        <v>704</v>
      </c>
      <c r="K462" s="444"/>
      <c r="L462" s="121" t="s">
        <v>627</v>
      </c>
      <c r="M462" s="433"/>
      <c r="N462" s="121" t="s">
        <v>629</v>
      </c>
      <c r="O462" s="153" t="str">
        <f>IF(L462&lt;&gt;"",IFERROR(VLOOKUP(B462&amp;L462,Pools!$A$2:$D$130,3,FALSE),""),"")</f>
        <v/>
      </c>
      <c r="P462" s="388">
        <v>6</v>
      </c>
      <c r="Q462" s="388">
        <v>29</v>
      </c>
      <c r="R462" s="306" t="str">
        <f t="shared" si="315"/>
        <v>6-29</v>
      </c>
      <c r="S462" s="153"/>
      <c r="T462" s="148" t="str">
        <f t="shared" si="316"/>
        <v>Completed</v>
      </c>
      <c r="U462" s="153"/>
      <c r="V462" s="153"/>
      <c r="W462" s="387">
        <f t="shared" si="317"/>
        <v>-21</v>
      </c>
      <c r="X462" s="387">
        <f t="shared" si="318"/>
        <v>21</v>
      </c>
      <c r="Y462" s="301">
        <f t="shared" si="319"/>
        <v>0</v>
      </c>
      <c r="Z462" s="301">
        <f t="shared" si="320"/>
        <v>2</v>
      </c>
      <c r="AA462" s="323" t="str">
        <f>CONCATENATE("                x[team1,team2,sport,'",IF(OR(I462="x",I462=""),VLOOKUP('Schedule from TM'!J462,Tables!$P$3:$Q$33,2,FALSE),'Schedule from TM'!I462),",",J462,"','",IF(OR(F462="x",F462=""),VLOOKUP('Schedule from TM'!G462,Tables!$U$3:$V$14,2,FALSE),'Schedule from TM'!F462),",",TEXT(G462,"mm/dd/yyyy"),"','",TEXT(H462,"h:mm:ss AM/PM"),"'].ub=0.0      #",B462)</f>
        <v xml:space="preserve">                x[team1,team2,sport,'21,Hillel - Field 2','11,11/24/2017','12:10:00 PM'].ub=0.0      #College Male Flag Football</v>
      </c>
      <c r="AB462" s="301" t="str">
        <f t="shared" si="321"/>
        <v>,,College Male Flag Football,,1,COL M - ACC</v>
      </c>
      <c r="AC462" s="153" t="str">
        <f t="shared" si="322"/>
        <v>College Male Flag FootballCOL M - ACC</v>
      </c>
      <c r="AD462" s="301" t="str">
        <f t="shared" si="323"/>
        <v>,,College Male Flag Football,,1,COL M - BIG 12</v>
      </c>
      <c r="AE462" s="153" t="str">
        <f t="shared" si="324"/>
        <v>College Male Flag FootballCOL M - BIG 12</v>
      </c>
      <c r="AF462" s="383">
        <f t="shared" si="325"/>
        <v>0</v>
      </c>
      <c r="AG462" s="383">
        <f t="shared" si="326"/>
        <v>1</v>
      </c>
      <c r="AH462" s="383">
        <f t="shared" si="327"/>
        <v>0</v>
      </c>
      <c r="AI462" s="383">
        <f t="shared" si="328"/>
        <v>1</v>
      </c>
      <c r="AJ462" s="383">
        <f t="shared" si="329"/>
        <v>0</v>
      </c>
      <c r="AK462" s="383">
        <f t="shared" si="330"/>
        <v>0</v>
      </c>
      <c r="AM462" s="148" t="str">
        <f t="shared" si="331"/>
        <v>Schedulled</v>
      </c>
      <c r="AN462" s="148" t="str">
        <f t="shared" si="332"/>
        <v/>
      </c>
      <c r="AO462" s="156">
        <f t="shared" si="333"/>
        <v>43063.506944444445</v>
      </c>
      <c r="AP462" s="148" t="str">
        <f t="shared" si="334"/>
        <v>11/24/2017 12:10-&gt;Hillel - Field 2</v>
      </c>
      <c r="AQ462" s="374">
        <f t="shared" si="335"/>
        <v>1</v>
      </c>
      <c r="AR462" s="148" t="str">
        <f t="shared" si="336"/>
        <v>ACC</v>
      </c>
      <c r="AS462" s="148" t="str">
        <f t="shared" si="337"/>
        <v>BIG12</v>
      </c>
      <c r="AT462" s="157" t="str">
        <f t="shared" si="338"/>
        <v>ACC-BIG12</v>
      </c>
      <c r="AU462" s="157" t="str">
        <f t="shared" si="339"/>
        <v xml:space="preserve">ACC-BIG12 </v>
      </c>
      <c r="AV462" s="157" t="str">
        <f t="shared" si="340"/>
        <v>COLLEGE</v>
      </c>
      <c r="AW462" s="157" t="str">
        <f t="shared" si="341"/>
        <v>Flag Football</v>
      </c>
      <c r="AX462" s="376">
        <f t="shared" si="342"/>
        <v>460</v>
      </c>
      <c r="AY462" s="148" t="str">
        <f t="shared" si="343"/>
        <v>COL M - ACC-&gt;COL M - BIG 12</v>
      </c>
      <c r="AZ462" s="148" t="str">
        <f t="shared" si="344"/>
        <v>11/24/2017 12:10-&gt;COL M - ACC</v>
      </c>
      <c r="BA462" s="148" t="str">
        <f t="shared" si="345"/>
        <v>11/24/2017 12:10-&gt;COL M - BIG 12</v>
      </c>
      <c r="BB462" s="374">
        <f t="shared" si="346"/>
        <v>1</v>
      </c>
      <c r="BC462" s="374">
        <f t="shared" si="347"/>
        <v>1</v>
      </c>
      <c r="BD462" s="148" t="str">
        <f t="shared" si="348"/>
        <v>no conflict</v>
      </c>
      <c r="BF462" s="148" t="str">
        <f t="shared" si="349"/>
        <v>11/24/2017 12:10-&gt;COL M - ACC</v>
      </c>
      <c r="BG462" s="148" t="str">
        <f t="shared" si="350"/>
        <v>11/24/2017 12:10-&gt;COL M - BIG 12</v>
      </c>
      <c r="BH462" s="148" t="str">
        <f t="shared" si="351"/>
        <v>11/24/2017 12:10-&gt;Hillel - Field 2</v>
      </c>
      <c r="BI462" s="148" t="str">
        <f t="shared" si="352"/>
        <v>Flag Football in Hillel - Field 2 (ACC-BIG12)</v>
      </c>
      <c r="BJ462" s="148" t="str">
        <f t="shared" si="353"/>
        <v>College Male Flag Football-- COL M - ACC vs. COL M - BIG 12</v>
      </c>
      <c r="BK462" s="148" t="str">
        <f t="shared" si="354"/>
        <v>Flag Football</v>
      </c>
      <c r="BL462" s="148" t="str">
        <f t="shared" si="355"/>
        <v>COL M - ACC</v>
      </c>
      <c r="BM462" s="148" t="str">
        <f t="shared" si="356"/>
        <v>COL M - BIG 12</v>
      </c>
      <c r="BN462" s="148" t="str">
        <f t="shared" si="357"/>
        <v>Round - 1</v>
      </c>
      <c r="BP462" s="148" t="str">
        <f t="shared" si="358"/>
        <v>no t, f, or sf</v>
      </c>
      <c r="BQ462" s="148" t="str">
        <f t="shared" si="359"/>
        <v/>
      </c>
    </row>
    <row r="463" spans="1:69" ht="15" customHeight="1" x14ac:dyDescent="0.2">
      <c r="A463" s="376">
        <v>461</v>
      </c>
      <c r="B463" s="121" t="s">
        <v>514</v>
      </c>
      <c r="C463" s="121" t="s">
        <v>518</v>
      </c>
      <c r="D463" s="382">
        <v>1</v>
      </c>
      <c r="E463" s="382">
        <v>1</v>
      </c>
      <c r="F463" s="315" t="s">
        <v>770</v>
      </c>
      <c r="G463" s="206">
        <v>43063</v>
      </c>
      <c r="H463" s="417">
        <v>0.50694444444444442</v>
      </c>
      <c r="I463" s="325" t="s">
        <v>770</v>
      </c>
      <c r="J463" s="121" t="s">
        <v>705</v>
      </c>
      <c r="K463" s="315"/>
      <c r="L463" s="121" t="s">
        <v>632</v>
      </c>
      <c r="M463" s="433"/>
      <c r="N463" s="121" t="s">
        <v>630</v>
      </c>
      <c r="O463" s="153" t="str">
        <f>IF(L463&lt;&gt;"",IFERROR(VLOOKUP(B463&amp;L463,Pools!$A$2:$D$130,3,FALSE),""),"")</f>
        <v/>
      </c>
      <c r="P463" s="388">
        <v>26</v>
      </c>
      <c r="Q463" s="388">
        <v>35</v>
      </c>
      <c r="R463" s="306" t="str">
        <f t="shared" si="315"/>
        <v>26-35</v>
      </c>
      <c r="S463" s="153"/>
      <c r="T463" s="148" t="str">
        <f t="shared" si="316"/>
        <v>Completed</v>
      </c>
      <c r="U463" s="153"/>
      <c r="V463" s="153"/>
      <c r="W463" s="387">
        <f t="shared" si="317"/>
        <v>-9</v>
      </c>
      <c r="X463" s="387">
        <f t="shared" si="318"/>
        <v>9</v>
      </c>
      <c r="Y463" s="301">
        <f t="shared" si="319"/>
        <v>0</v>
      </c>
      <c r="Z463" s="301">
        <f t="shared" si="320"/>
        <v>2</v>
      </c>
      <c r="AA463" s="323" t="str">
        <f>CONCATENATE("                x[team1,team2,sport,'",IF(OR(I463="x",I463=""),VLOOKUP('Schedule from TM'!J463,Tables!$P$3:$Q$33,2,FALSE),'Schedule from TM'!I463),",",J463,"','",IF(OR(F463="x",F463=""),VLOOKUP('Schedule from TM'!G463,Tables!$U$3:$V$14,2,FALSE),'Schedule from TM'!F463),",",TEXT(G463,"mm/dd/yyyy"),"','",TEXT(H463,"h:mm:ss AM/PM"),"'].ub=0.0      #",B463)</f>
        <v xml:space="preserve">                x[team1,team2,sport,'21,Hillel - Field 3','11,11/24/2017','12:10:00 PM'].ub=0.0      #College Male Flag Football</v>
      </c>
      <c r="AB463" s="301" t="str">
        <f t="shared" si="321"/>
        <v>,,College Male Flag Football,,1,COL M - SEC</v>
      </c>
      <c r="AC463" s="153" t="str">
        <f t="shared" si="322"/>
        <v>College Male Flag FootballCOL M - SEC</v>
      </c>
      <c r="AD463" s="301" t="str">
        <f t="shared" si="323"/>
        <v>,,College Male Flag Football,,1,COL M - BIG EAST</v>
      </c>
      <c r="AE463" s="153" t="str">
        <f t="shared" si="324"/>
        <v>College Male Flag FootballCOL M - BIG EAST</v>
      </c>
      <c r="AF463" s="383">
        <f t="shared" si="325"/>
        <v>0</v>
      </c>
      <c r="AG463" s="383">
        <f t="shared" si="326"/>
        <v>1</v>
      </c>
      <c r="AH463" s="383">
        <f t="shared" si="327"/>
        <v>0</v>
      </c>
      <c r="AI463" s="383">
        <f t="shared" si="328"/>
        <v>1</v>
      </c>
      <c r="AJ463" s="383">
        <f t="shared" si="329"/>
        <v>0</v>
      </c>
      <c r="AK463" s="383">
        <f t="shared" si="330"/>
        <v>0</v>
      </c>
      <c r="AM463" s="148" t="str">
        <f t="shared" si="331"/>
        <v>Schedulled</v>
      </c>
      <c r="AN463" s="148" t="str">
        <f t="shared" si="332"/>
        <v/>
      </c>
      <c r="AO463" s="156">
        <f t="shared" si="333"/>
        <v>43063.506944444445</v>
      </c>
      <c r="AP463" s="148" t="str">
        <f t="shared" si="334"/>
        <v>11/24/2017 12:10-&gt;Hillel - Field 3</v>
      </c>
      <c r="AQ463" s="374">
        <f t="shared" si="335"/>
        <v>1</v>
      </c>
      <c r="AR463" s="148" t="str">
        <f t="shared" si="336"/>
        <v>SEC</v>
      </c>
      <c r="AS463" s="148" t="str">
        <f t="shared" si="337"/>
        <v>BIGEAST</v>
      </c>
      <c r="AT463" s="157" t="str">
        <f t="shared" si="338"/>
        <v>SEC-BIGEAST</v>
      </c>
      <c r="AU463" s="157" t="str">
        <f t="shared" si="339"/>
        <v xml:space="preserve">SEC-BIGEAST </v>
      </c>
      <c r="AV463" s="157" t="str">
        <f t="shared" si="340"/>
        <v>COLLEGE</v>
      </c>
      <c r="AW463" s="157" t="str">
        <f t="shared" si="341"/>
        <v>Flag Football</v>
      </c>
      <c r="AX463" s="376">
        <f t="shared" si="342"/>
        <v>461</v>
      </c>
      <c r="AY463" s="148" t="str">
        <f t="shared" si="343"/>
        <v>COL M - SEC-&gt;COL M - BIG EAST</v>
      </c>
      <c r="AZ463" s="148" t="str">
        <f t="shared" si="344"/>
        <v>11/24/2017 12:10-&gt;COL M - SEC</v>
      </c>
      <c r="BA463" s="148" t="str">
        <f t="shared" si="345"/>
        <v>11/24/2017 12:10-&gt;COL M - BIG EAST</v>
      </c>
      <c r="BB463" s="374">
        <f t="shared" si="346"/>
        <v>1</v>
      </c>
      <c r="BC463" s="374">
        <f t="shared" si="347"/>
        <v>1</v>
      </c>
      <c r="BD463" s="148" t="str">
        <f t="shared" si="348"/>
        <v>no conflict</v>
      </c>
      <c r="BF463" s="148" t="str">
        <f t="shared" si="349"/>
        <v>11/24/2017 12:10-&gt;COL M - SEC</v>
      </c>
      <c r="BG463" s="148" t="str">
        <f t="shared" si="350"/>
        <v>11/24/2017 12:10-&gt;COL M - BIG EAST</v>
      </c>
      <c r="BH463" s="148" t="str">
        <f t="shared" si="351"/>
        <v>11/24/2017 12:10-&gt;Hillel - Field 3</v>
      </c>
      <c r="BI463" s="148" t="str">
        <f t="shared" si="352"/>
        <v>Flag Football in Hillel - Field 3 (SEC-BIGEAST)</v>
      </c>
      <c r="BJ463" s="148" t="str">
        <f t="shared" si="353"/>
        <v>College Male Flag Football-- COL M - SEC vs. COL M - BIG EAST</v>
      </c>
      <c r="BK463" s="148" t="str">
        <f t="shared" si="354"/>
        <v>Flag Football</v>
      </c>
      <c r="BL463" s="148" t="str">
        <f t="shared" si="355"/>
        <v>COL M - SEC</v>
      </c>
      <c r="BM463" s="148" t="str">
        <f t="shared" si="356"/>
        <v>COL M - BIG EAST</v>
      </c>
      <c r="BN463" s="148" t="str">
        <f t="shared" si="357"/>
        <v>Round - 1</v>
      </c>
      <c r="BP463" s="148" t="str">
        <f t="shared" si="358"/>
        <v>no t, f, or sf</v>
      </c>
      <c r="BQ463" s="148" t="str">
        <f t="shared" si="359"/>
        <v/>
      </c>
    </row>
    <row r="464" spans="1:69" ht="15" customHeight="1" x14ac:dyDescent="0.2">
      <c r="A464" s="376">
        <v>462</v>
      </c>
      <c r="B464" s="121" t="s">
        <v>514</v>
      </c>
      <c r="C464" s="444" t="s">
        <v>518</v>
      </c>
      <c r="D464" s="451">
        <v>1</v>
      </c>
      <c r="E464" s="382">
        <v>1</v>
      </c>
      <c r="F464" s="315" t="s">
        <v>770</v>
      </c>
      <c r="G464" s="206">
        <v>43063</v>
      </c>
      <c r="H464" s="417">
        <v>0.54166666666666663</v>
      </c>
      <c r="I464" s="325" t="s">
        <v>770</v>
      </c>
      <c r="J464" s="121" t="s">
        <v>703</v>
      </c>
      <c r="K464" s="444"/>
      <c r="L464" s="121" t="s">
        <v>632</v>
      </c>
      <c r="M464" s="433"/>
      <c r="N464" s="121" t="s">
        <v>629</v>
      </c>
      <c r="O464" s="153" t="str">
        <f>IF(L464&lt;&gt;"",IFERROR(VLOOKUP(B464&amp;L464,Pools!$A$2:$D$130,3,FALSE),""),"")</f>
        <v/>
      </c>
      <c r="P464" s="388">
        <v>19</v>
      </c>
      <c r="Q464" s="388">
        <v>28</v>
      </c>
      <c r="R464" s="306" t="str">
        <f t="shared" si="315"/>
        <v>19-28</v>
      </c>
      <c r="S464" s="153"/>
      <c r="T464" s="148" t="str">
        <f t="shared" si="316"/>
        <v>Completed</v>
      </c>
      <c r="U464" s="153"/>
      <c r="V464" s="153"/>
      <c r="W464" s="387">
        <f t="shared" si="317"/>
        <v>-9</v>
      </c>
      <c r="X464" s="387">
        <f t="shared" si="318"/>
        <v>9</v>
      </c>
      <c r="Y464" s="301">
        <f t="shared" si="319"/>
        <v>0</v>
      </c>
      <c r="Z464" s="301">
        <f t="shared" si="320"/>
        <v>2</v>
      </c>
      <c r="AA464" s="323" t="str">
        <f>CONCATENATE("                x[team1,team2,sport,'",IF(OR(I464="x",I464=""),VLOOKUP('Schedule from TM'!J464,Tables!$P$3:$Q$33,2,FALSE),'Schedule from TM'!I464),",",J464,"','",IF(OR(F464="x",F464=""),VLOOKUP('Schedule from TM'!G464,Tables!$U$3:$V$14,2,FALSE),'Schedule from TM'!F464),",",TEXT(G464,"mm/dd/yyyy"),"','",TEXT(H464,"h:mm:ss AM/PM"),"'].ub=0.0      #",B464)</f>
        <v xml:space="preserve">                x[team1,team2,sport,'21,Hillel - Field 1','11,11/24/2017','1:00:00 PM'].ub=0.0      #College Male Flag Football</v>
      </c>
      <c r="AB464" s="301" t="str">
        <f t="shared" si="321"/>
        <v>,,College Male Flag Football,,1,COL M - SEC</v>
      </c>
      <c r="AC464" s="153" t="str">
        <f t="shared" si="322"/>
        <v>College Male Flag FootballCOL M - SEC</v>
      </c>
      <c r="AD464" s="301" t="str">
        <f t="shared" si="323"/>
        <v>,,College Male Flag Football,,1,COL M - BIG 12</v>
      </c>
      <c r="AE464" s="153" t="str">
        <f t="shared" si="324"/>
        <v>College Male Flag FootballCOL M - BIG 12</v>
      </c>
      <c r="AF464" s="383">
        <f t="shared" si="325"/>
        <v>0</v>
      </c>
      <c r="AG464" s="383">
        <f t="shared" si="326"/>
        <v>1</v>
      </c>
      <c r="AH464" s="383">
        <f t="shared" si="327"/>
        <v>0</v>
      </c>
      <c r="AI464" s="383">
        <f t="shared" si="328"/>
        <v>1</v>
      </c>
      <c r="AJ464" s="383">
        <f t="shared" si="329"/>
        <v>0</v>
      </c>
      <c r="AK464" s="383">
        <f t="shared" si="330"/>
        <v>0</v>
      </c>
      <c r="AM464" s="148" t="str">
        <f t="shared" si="331"/>
        <v>Schedulled</v>
      </c>
      <c r="AN464" s="148" t="str">
        <f t="shared" si="332"/>
        <v/>
      </c>
      <c r="AO464" s="156">
        <f t="shared" si="333"/>
        <v>43063.541666666664</v>
      </c>
      <c r="AP464" s="148" t="str">
        <f t="shared" si="334"/>
        <v>11/24/2017 13:00-&gt;Hillel - Field 1</v>
      </c>
      <c r="AQ464" s="374">
        <f t="shared" si="335"/>
        <v>1</v>
      </c>
      <c r="AR464" s="148" t="str">
        <f t="shared" si="336"/>
        <v>SEC</v>
      </c>
      <c r="AS464" s="148" t="str">
        <f t="shared" si="337"/>
        <v>BIG12</v>
      </c>
      <c r="AT464" s="157" t="str">
        <f t="shared" si="338"/>
        <v>SEC-BIG12</v>
      </c>
      <c r="AU464" s="157" t="str">
        <f t="shared" si="339"/>
        <v xml:space="preserve">SEC-BIG12 </v>
      </c>
      <c r="AV464" s="157" t="str">
        <f t="shared" si="340"/>
        <v>COLLEGE</v>
      </c>
      <c r="AW464" s="157" t="str">
        <f t="shared" si="341"/>
        <v>Flag Football</v>
      </c>
      <c r="AX464" s="376">
        <f t="shared" si="342"/>
        <v>462</v>
      </c>
      <c r="AY464" s="148" t="str">
        <f t="shared" si="343"/>
        <v>COL M - SEC-&gt;COL M - BIG 12</v>
      </c>
      <c r="AZ464" s="148" t="str">
        <f t="shared" si="344"/>
        <v>11/24/2017 13:00-&gt;COL M - SEC</v>
      </c>
      <c r="BA464" s="148" t="str">
        <f t="shared" si="345"/>
        <v>11/24/2017 13:00-&gt;COL M - BIG 12</v>
      </c>
      <c r="BB464" s="374">
        <f t="shared" si="346"/>
        <v>1</v>
      </c>
      <c r="BC464" s="374">
        <f t="shared" si="347"/>
        <v>1</v>
      </c>
      <c r="BD464" s="148" t="str">
        <f t="shared" si="348"/>
        <v>no conflict</v>
      </c>
      <c r="BF464" s="148" t="str">
        <f t="shared" si="349"/>
        <v>11/24/2017 13:00-&gt;COL M - SEC</v>
      </c>
      <c r="BG464" s="148" t="str">
        <f t="shared" si="350"/>
        <v>11/24/2017 13:00-&gt;COL M - BIG 12</v>
      </c>
      <c r="BH464" s="148" t="str">
        <f t="shared" si="351"/>
        <v>11/24/2017 13:00-&gt;Hillel - Field 1</v>
      </c>
      <c r="BI464" s="148" t="str">
        <f t="shared" si="352"/>
        <v>Flag Football in Hillel - Field 1 (SEC-BIG12)</v>
      </c>
      <c r="BJ464" s="148" t="str">
        <f t="shared" si="353"/>
        <v>College Male Flag Football-- COL M - SEC vs. COL M - BIG 12</v>
      </c>
      <c r="BK464" s="148" t="str">
        <f t="shared" si="354"/>
        <v>Flag Football</v>
      </c>
      <c r="BL464" s="148" t="str">
        <f t="shared" si="355"/>
        <v>COL M - SEC</v>
      </c>
      <c r="BM464" s="148" t="str">
        <f t="shared" si="356"/>
        <v>COL M - BIG 12</v>
      </c>
      <c r="BN464" s="148" t="str">
        <f t="shared" si="357"/>
        <v>Round - 1</v>
      </c>
      <c r="BP464" s="148" t="str">
        <f t="shared" si="358"/>
        <v>no t, f, or sf</v>
      </c>
      <c r="BQ464" s="148" t="str">
        <f t="shared" si="359"/>
        <v/>
      </c>
    </row>
    <row r="465" spans="1:69" ht="15" customHeight="1" x14ac:dyDescent="0.2">
      <c r="A465" s="376">
        <v>463</v>
      </c>
      <c r="B465" s="121" t="s">
        <v>514</v>
      </c>
      <c r="C465" s="315" t="s">
        <v>518</v>
      </c>
      <c r="D465" s="378">
        <v>1</v>
      </c>
      <c r="E465" s="382">
        <v>1</v>
      </c>
      <c r="F465" s="315" t="s">
        <v>770</v>
      </c>
      <c r="G465" s="206">
        <v>43063</v>
      </c>
      <c r="H465" s="417">
        <v>0.54166666666666663</v>
      </c>
      <c r="I465" s="325" t="s">
        <v>770</v>
      </c>
      <c r="J465" s="121" t="s">
        <v>704</v>
      </c>
      <c r="K465" s="315"/>
      <c r="L465" s="121" t="s">
        <v>630</v>
      </c>
      <c r="M465" s="433"/>
      <c r="N465" s="121" t="s">
        <v>627</v>
      </c>
      <c r="O465" s="153" t="str">
        <f>IF(L465&lt;&gt;"",IFERROR(VLOOKUP(B465&amp;L465,Pools!$A$2:$D$130,3,FALSE),""),"")</f>
        <v/>
      </c>
      <c r="P465" s="388">
        <v>19</v>
      </c>
      <c r="Q465" s="388">
        <v>13</v>
      </c>
      <c r="R465" s="306" t="str">
        <f t="shared" si="315"/>
        <v>19-13</v>
      </c>
      <c r="S465" s="153"/>
      <c r="T465" s="148" t="str">
        <f t="shared" si="316"/>
        <v>Completed</v>
      </c>
      <c r="U465" s="153"/>
      <c r="V465" s="153"/>
      <c r="W465" s="387">
        <f t="shared" si="317"/>
        <v>6</v>
      </c>
      <c r="X465" s="387">
        <f t="shared" si="318"/>
        <v>-6</v>
      </c>
      <c r="Y465" s="301">
        <f t="shared" si="319"/>
        <v>2</v>
      </c>
      <c r="Z465" s="301">
        <f t="shared" si="320"/>
        <v>0</v>
      </c>
      <c r="AA465" s="323" t="str">
        <f>CONCATENATE("                x[team1,team2,sport,'",IF(OR(I465="x",I465=""),VLOOKUP('Schedule from TM'!J465,Tables!$P$3:$Q$33,2,FALSE),'Schedule from TM'!I465),",",J465,"','",IF(OR(F465="x",F465=""),VLOOKUP('Schedule from TM'!G465,Tables!$U$3:$V$14,2,FALSE),'Schedule from TM'!F465),",",TEXT(G465,"mm/dd/yyyy"),"','",TEXT(H465,"h:mm:ss AM/PM"),"'].ub=0.0      #",B465)</f>
        <v xml:space="preserve">                x[team1,team2,sport,'21,Hillel - Field 2','11,11/24/2017','1:00:00 PM'].ub=0.0      #College Male Flag Football</v>
      </c>
      <c r="AB465" s="301" t="str">
        <f t="shared" si="321"/>
        <v>,,College Male Flag Football,,1,COL M - BIG EAST</v>
      </c>
      <c r="AC465" s="153" t="str">
        <f t="shared" si="322"/>
        <v>College Male Flag FootballCOL M - BIG EAST</v>
      </c>
      <c r="AD465" s="301" t="str">
        <f t="shared" si="323"/>
        <v>,,College Male Flag Football,,1,COL M - ACC</v>
      </c>
      <c r="AE465" s="153" t="str">
        <f t="shared" si="324"/>
        <v>College Male Flag FootballCOL M - ACC</v>
      </c>
      <c r="AF465" s="383">
        <f t="shared" si="325"/>
        <v>1</v>
      </c>
      <c r="AG465" s="383">
        <f t="shared" si="326"/>
        <v>0</v>
      </c>
      <c r="AH465" s="383">
        <f t="shared" si="327"/>
        <v>0</v>
      </c>
      <c r="AI465" s="383">
        <f t="shared" si="328"/>
        <v>0</v>
      </c>
      <c r="AJ465" s="383">
        <f t="shared" si="329"/>
        <v>1</v>
      </c>
      <c r="AK465" s="383">
        <f t="shared" si="330"/>
        <v>0</v>
      </c>
      <c r="AM465" s="148" t="str">
        <f t="shared" si="331"/>
        <v>Schedulled</v>
      </c>
      <c r="AN465" s="148" t="str">
        <f t="shared" si="332"/>
        <v/>
      </c>
      <c r="AO465" s="156">
        <f t="shared" si="333"/>
        <v>43063.541666666664</v>
      </c>
      <c r="AP465" s="148" t="str">
        <f t="shared" si="334"/>
        <v>11/24/2017 13:00-&gt;Hillel - Field 2</v>
      </c>
      <c r="AQ465" s="374">
        <f t="shared" si="335"/>
        <v>1</v>
      </c>
      <c r="AR465" s="148" t="str">
        <f t="shared" si="336"/>
        <v>BIGEAST</v>
      </c>
      <c r="AS465" s="148" t="str">
        <f t="shared" si="337"/>
        <v>ACC</v>
      </c>
      <c r="AT465" s="157" t="str">
        <f t="shared" si="338"/>
        <v>BIGEAST-ACC</v>
      </c>
      <c r="AU465" s="157" t="str">
        <f t="shared" si="339"/>
        <v xml:space="preserve">BIGEAST-ACC </v>
      </c>
      <c r="AV465" s="157" t="str">
        <f t="shared" si="340"/>
        <v>COLLEGE</v>
      </c>
      <c r="AW465" s="157" t="str">
        <f t="shared" si="341"/>
        <v>Flag Football</v>
      </c>
      <c r="AX465" s="376">
        <f t="shared" si="342"/>
        <v>463</v>
      </c>
      <c r="AY465" s="148" t="str">
        <f t="shared" si="343"/>
        <v>COL M - BIG EAST-&gt;COL M - ACC</v>
      </c>
      <c r="AZ465" s="148" t="str">
        <f t="shared" si="344"/>
        <v>11/24/2017 13:00-&gt;COL M - BIG EAST</v>
      </c>
      <c r="BA465" s="148" t="str">
        <f t="shared" si="345"/>
        <v>11/24/2017 13:00-&gt;COL M - ACC</v>
      </c>
      <c r="BB465" s="374">
        <f t="shared" si="346"/>
        <v>1</v>
      </c>
      <c r="BC465" s="374">
        <f t="shared" si="347"/>
        <v>1</v>
      </c>
      <c r="BD465" s="148" t="str">
        <f t="shared" si="348"/>
        <v>no conflict</v>
      </c>
      <c r="BF465" s="148" t="str">
        <f t="shared" si="349"/>
        <v>11/24/2017 13:00-&gt;COL M - BIG EAST</v>
      </c>
      <c r="BG465" s="148" t="str">
        <f t="shared" si="350"/>
        <v>11/24/2017 13:00-&gt;COL M - ACC</v>
      </c>
      <c r="BH465" s="148" t="str">
        <f t="shared" si="351"/>
        <v>11/24/2017 13:00-&gt;Hillel - Field 2</v>
      </c>
      <c r="BI465" s="148" t="str">
        <f t="shared" si="352"/>
        <v>Flag Football in Hillel - Field 2 (BIGEAST-ACC)</v>
      </c>
      <c r="BJ465" s="148" t="str">
        <f t="shared" si="353"/>
        <v>College Male Flag Football-- COL M - BIG EAST vs. COL M - ACC</v>
      </c>
      <c r="BK465" s="148" t="str">
        <f t="shared" si="354"/>
        <v>Flag Football</v>
      </c>
      <c r="BL465" s="148" t="str">
        <f t="shared" si="355"/>
        <v>COL M - BIG EAST</v>
      </c>
      <c r="BM465" s="148" t="str">
        <f t="shared" si="356"/>
        <v>COL M - ACC</v>
      </c>
      <c r="BN465" s="148" t="str">
        <f t="shared" si="357"/>
        <v>Round - 1</v>
      </c>
      <c r="BP465" s="148" t="str">
        <f t="shared" si="358"/>
        <v>no t, f, or sf</v>
      </c>
      <c r="BQ465" s="148" t="str">
        <f t="shared" si="359"/>
        <v/>
      </c>
    </row>
    <row r="466" spans="1:69" ht="15" customHeight="1" x14ac:dyDescent="0.2">
      <c r="A466" s="376">
        <v>464</v>
      </c>
      <c r="B466" s="121" t="s">
        <v>514</v>
      </c>
      <c r="C466" s="444" t="s">
        <v>518</v>
      </c>
      <c r="D466" s="451">
        <v>1</v>
      </c>
      <c r="E466" s="382">
        <v>1</v>
      </c>
      <c r="F466" s="315" t="s">
        <v>770</v>
      </c>
      <c r="G466" s="206">
        <v>43063</v>
      </c>
      <c r="H466" s="454">
        <v>0.57638888888888895</v>
      </c>
      <c r="I466" s="325" t="s">
        <v>770</v>
      </c>
      <c r="J466" s="121" t="s">
        <v>703</v>
      </c>
      <c r="K466" s="444"/>
      <c r="L466" s="121" t="s">
        <v>632</v>
      </c>
      <c r="M466" s="433"/>
      <c r="N466" s="121" t="s">
        <v>627</v>
      </c>
      <c r="O466" s="153" t="str">
        <f>IF(L466&lt;&gt;"",IFERROR(VLOOKUP(B466&amp;L466,Pools!$A$2:$D$130,3,FALSE),""),"")</f>
        <v/>
      </c>
      <c r="P466" s="388">
        <v>0</v>
      </c>
      <c r="Q466" s="388">
        <v>21</v>
      </c>
      <c r="R466" s="306" t="str">
        <f t="shared" si="315"/>
        <v>0-21</v>
      </c>
      <c r="S466" s="153"/>
      <c r="T466" s="148" t="str">
        <f t="shared" si="316"/>
        <v>Completed</v>
      </c>
      <c r="U466" s="153"/>
      <c r="V466" s="153"/>
      <c r="W466" s="387">
        <f t="shared" si="317"/>
        <v>-21</v>
      </c>
      <c r="X466" s="387">
        <f t="shared" si="318"/>
        <v>21</v>
      </c>
      <c r="Y466" s="301">
        <f t="shared" si="319"/>
        <v>0</v>
      </c>
      <c r="Z466" s="301">
        <f t="shared" si="320"/>
        <v>2</v>
      </c>
      <c r="AA466" s="323" t="str">
        <f>CONCATENATE("                x[team1,team2,sport,'",IF(OR(I466="x",I466=""),VLOOKUP('Schedule from TM'!J466,Tables!$P$3:$Q$33,2,FALSE),'Schedule from TM'!I466),",",J466,"','",IF(OR(F466="x",F466=""),VLOOKUP('Schedule from TM'!G466,Tables!$U$3:$V$14,2,FALSE),'Schedule from TM'!F466),",",TEXT(G466,"mm/dd/yyyy"),"','",TEXT(H466,"h:mm:ss AM/PM"),"'].ub=0.0      #",B466)</f>
        <v xml:space="preserve">                x[team1,team2,sport,'21,Hillel - Field 1','11,11/24/2017','1:50:00 PM'].ub=0.0      #College Male Flag Football</v>
      </c>
      <c r="AB466" s="301" t="str">
        <f t="shared" si="321"/>
        <v>,,College Male Flag Football,,1,COL M - SEC</v>
      </c>
      <c r="AC466" s="153" t="str">
        <f t="shared" si="322"/>
        <v>College Male Flag FootballCOL M - SEC</v>
      </c>
      <c r="AD466" s="301" t="str">
        <f t="shared" si="323"/>
        <v>,,College Male Flag Football,,1,COL M - ACC</v>
      </c>
      <c r="AE466" s="153" t="str">
        <f t="shared" si="324"/>
        <v>College Male Flag FootballCOL M - ACC</v>
      </c>
      <c r="AF466" s="383">
        <f t="shared" si="325"/>
        <v>0</v>
      </c>
      <c r="AG466" s="383">
        <f t="shared" si="326"/>
        <v>1</v>
      </c>
      <c r="AH466" s="383">
        <f t="shared" si="327"/>
        <v>0</v>
      </c>
      <c r="AI466" s="383">
        <f t="shared" si="328"/>
        <v>1</v>
      </c>
      <c r="AJ466" s="383">
        <f t="shared" si="329"/>
        <v>0</v>
      </c>
      <c r="AK466" s="383">
        <f t="shared" si="330"/>
        <v>0</v>
      </c>
      <c r="AM466" s="148" t="str">
        <f t="shared" si="331"/>
        <v>Schedulled</v>
      </c>
      <c r="AN466" s="148" t="str">
        <f t="shared" si="332"/>
        <v/>
      </c>
      <c r="AO466" s="156">
        <f t="shared" si="333"/>
        <v>43063.576388888891</v>
      </c>
      <c r="AP466" s="148" t="str">
        <f t="shared" si="334"/>
        <v>11/24/2017 13:50-&gt;Hillel - Field 1</v>
      </c>
      <c r="AQ466" s="374">
        <f t="shared" si="335"/>
        <v>1</v>
      </c>
      <c r="AR466" s="148" t="str">
        <f t="shared" si="336"/>
        <v>SEC</v>
      </c>
      <c r="AS466" s="148" t="str">
        <f t="shared" si="337"/>
        <v>ACC</v>
      </c>
      <c r="AT466" s="157" t="str">
        <f t="shared" si="338"/>
        <v>SEC-ACC</v>
      </c>
      <c r="AU466" s="157" t="str">
        <f t="shared" si="339"/>
        <v xml:space="preserve">SEC-ACC </v>
      </c>
      <c r="AV466" s="157" t="str">
        <f t="shared" si="340"/>
        <v>COLLEGE</v>
      </c>
      <c r="AW466" s="157" t="str">
        <f t="shared" si="341"/>
        <v>Flag Football</v>
      </c>
      <c r="AX466" s="376">
        <f t="shared" si="342"/>
        <v>464</v>
      </c>
      <c r="AY466" s="148" t="str">
        <f t="shared" si="343"/>
        <v>COL M - SEC-&gt;COL M - ACC</v>
      </c>
      <c r="AZ466" s="148" t="str">
        <f t="shared" si="344"/>
        <v>11/24/2017 13:50-&gt;COL M - SEC</v>
      </c>
      <c r="BA466" s="148" t="str">
        <f t="shared" si="345"/>
        <v>11/24/2017 13:50-&gt;COL M - ACC</v>
      </c>
      <c r="BB466" s="374">
        <f t="shared" si="346"/>
        <v>1</v>
      </c>
      <c r="BC466" s="374">
        <f t="shared" si="347"/>
        <v>1</v>
      </c>
      <c r="BD466" s="148" t="str">
        <f t="shared" si="348"/>
        <v>no conflict</v>
      </c>
      <c r="BF466" s="148" t="str">
        <f t="shared" si="349"/>
        <v>11/24/2017 13:50-&gt;COL M - SEC</v>
      </c>
      <c r="BG466" s="148" t="str">
        <f t="shared" si="350"/>
        <v>11/24/2017 13:50-&gt;COL M - ACC</v>
      </c>
      <c r="BH466" s="148" t="str">
        <f t="shared" si="351"/>
        <v>11/24/2017 13:50-&gt;Hillel - Field 1</v>
      </c>
      <c r="BI466" s="148" t="str">
        <f t="shared" si="352"/>
        <v>Flag Football in Hillel - Field 1 (SEC-ACC)</v>
      </c>
      <c r="BJ466" s="148" t="str">
        <f t="shared" si="353"/>
        <v>College Male Flag Football-- COL M - SEC vs. COL M - ACC</v>
      </c>
      <c r="BK466" s="148" t="str">
        <f t="shared" si="354"/>
        <v>Flag Football</v>
      </c>
      <c r="BL466" s="148" t="str">
        <f t="shared" si="355"/>
        <v>COL M - SEC</v>
      </c>
      <c r="BM466" s="148" t="str">
        <f t="shared" si="356"/>
        <v>COL M - ACC</v>
      </c>
      <c r="BN466" s="148" t="str">
        <f t="shared" si="357"/>
        <v>Round - 1</v>
      </c>
      <c r="BP466" s="148" t="str">
        <f t="shared" si="358"/>
        <v>no t, f, or sf</v>
      </c>
      <c r="BQ466" s="148" t="str">
        <f t="shared" si="359"/>
        <v/>
      </c>
    </row>
    <row r="467" spans="1:69" ht="15" customHeight="1" x14ac:dyDescent="0.2">
      <c r="A467" s="376">
        <v>465</v>
      </c>
      <c r="B467" s="121" t="s">
        <v>514</v>
      </c>
      <c r="C467" s="444" t="s">
        <v>518</v>
      </c>
      <c r="D467" s="451">
        <v>1</v>
      </c>
      <c r="E467" s="382">
        <v>1</v>
      </c>
      <c r="F467" s="315" t="s">
        <v>770</v>
      </c>
      <c r="G467" s="206">
        <v>43063</v>
      </c>
      <c r="H467" s="454">
        <v>0.61111111111111105</v>
      </c>
      <c r="I467" s="325" t="s">
        <v>770</v>
      </c>
      <c r="J467" s="121" t="s">
        <v>703</v>
      </c>
      <c r="K467" s="444"/>
      <c r="L467" s="121" t="s">
        <v>629</v>
      </c>
      <c r="M467" s="433"/>
      <c r="N467" s="121" t="s">
        <v>630</v>
      </c>
      <c r="O467" s="153" t="str">
        <f>IF(L467&lt;&gt;"",IFERROR(VLOOKUP(B467&amp;L467,Pools!$A$2:$D$130,3,FALSE),""),"")</f>
        <v/>
      </c>
      <c r="P467" s="388">
        <v>39</v>
      </c>
      <c r="Q467" s="388">
        <v>23</v>
      </c>
      <c r="R467" s="306" t="str">
        <f t="shared" si="315"/>
        <v>39-23</v>
      </c>
      <c r="S467" s="153"/>
      <c r="T467" s="148" t="str">
        <f t="shared" si="316"/>
        <v>Completed</v>
      </c>
      <c r="U467" s="153"/>
      <c r="V467" s="153"/>
      <c r="W467" s="387">
        <f t="shared" si="317"/>
        <v>16</v>
      </c>
      <c r="X467" s="387">
        <f t="shared" si="318"/>
        <v>-16</v>
      </c>
      <c r="Y467" s="301">
        <f t="shared" si="319"/>
        <v>2</v>
      </c>
      <c r="Z467" s="301">
        <f t="shared" si="320"/>
        <v>0</v>
      </c>
      <c r="AA467" s="323" t="str">
        <f>CONCATENATE("                x[team1,team2,sport,'",IF(OR(I467="x",I467=""),VLOOKUP('Schedule from TM'!J467,Tables!$P$3:$Q$33,2,FALSE),'Schedule from TM'!I467),",",J467,"','",IF(OR(F467="x",F467=""),VLOOKUP('Schedule from TM'!G467,Tables!$U$3:$V$14,2,FALSE),'Schedule from TM'!F467),",",TEXT(G467,"mm/dd/yyyy"),"','",TEXT(H467,"h:mm:ss AM/PM"),"'].ub=0.0      #",B467)</f>
        <v xml:space="preserve">                x[team1,team2,sport,'21,Hillel - Field 1','11,11/24/2017','2:40:00 PM'].ub=0.0      #College Male Flag Football</v>
      </c>
      <c r="AB467" s="301" t="str">
        <f t="shared" si="321"/>
        <v>,,College Male Flag Football,,1,COL M - BIG 12</v>
      </c>
      <c r="AC467" s="153" t="str">
        <f t="shared" si="322"/>
        <v>College Male Flag FootballCOL M - BIG 12</v>
      </c>
      <c r="AD467" s="301" t="str">
        <f t="shared" si="323"/>
        <v>,,College Male Flag Football,,1,COL M - BIG EAST</v>
      </c>
      <c r="AE467" s="153" t="str">
        <f t="shared" si="324"/>
        <v>College Male Flag FootballCOL M - BIG EAST</v>
      </c>
      <c r="AF467" s="383">
        <f t="shared" si="325"/>
        <v>1</v>
      </c>
      <c r="AG467" s="383">
        <f t="shared" si="326"/>
        <v>0</v>
      </c>
      <c r="AH467" s="383">
        <f t="shared" si="327"/>
        <v>0</v>
      </c>
      <c r="AI467" s="383">
        <f t="shared" si="328"/>
        <v>0</v>
      </c>
      <c r="AJ467" s="383">
        <f t="shared" si="329"/>
        <v>1</v>
      </c>
      <c r="AK467" s="383">
        <f t="shared" si="330"/>
        <v>0</v>
      </c>
      <c r="AM467" s="148" t="str">
        <f t="shared" si="331"/>
        <v>Schedulled</v>
      </c>
      <c r="AN467" s="148" t="str">
        <f t="shared" si="332"/>
        <v/>
      </c>
      <c r="AO467" s="156">
        <f t="shared" si="333"/>
        <v>43063.611111111109</v>
      </c>
      <c r="AP467" s="148" t="str">
        <f t="shared" si="334"/>
        <v>11/24/2017 14:40-&gt;Hillel - Field 1</v>
      </c>
      <c r="AQ467" s="374">
        <f t="shared" si="335"/>
        <v>1</v>
      </c>
      <c r="AR467" s="148" t="str">
        <f t="shared" si="336"/>
        <v>BIG12</v>
      </c>
      <c r="AS467" s="148" t="str">
        <f t="shared" si="337"/>
        <v>BIGEAST</v>
      </c>
      <c r="AT467" s="157" t="str">
        <f t="shared" si="338"/>
        <v>BIG12-BIGEAST</v>
      </c>
      <c r="AU467" s="157" t="str">
        <f t="shared" si="339"/>
        <v xml:space="preserve">BIG12-BIGEAST </v>
      </c>
      <c r="AV467" s="157" t="str">
        <f t="shared" si="340"/>
        <v>COLLEGE</v>
      </c>
      <c r="AW467" s="157" t="str">
        <f t="shared" si="341"/>
        <v>Flag Football</v>
      </c>
      <c r="AX467" s="376">
        <f t="shared" si="342"/>
        <v>465</v>
      </c>
      <c r="AY467" s="148" t="str">
        <f t="shared" si="343"/>
        <v>COL M - BIG 12-&gt;COL M - BIG EAST</v>
      </c>
      <c r="AZ467" s="148" t="str">
        <f t="shared" si="344"/>
        <v>11/24/2017 14:40-&gt;COL M - BIG 12</v>
      </c>
      <c r="BA467" s="148" t="str">
        <f t="shared" si="345"/>
        <v>11/24/2017 14:40-&gt;COL M - BIG EAST</v>
      </c>
      <c r="BB467" s="374">
        <f t="shared" si="346"/>
        <v>1</v>
      </c>
      <c r="BC467" s="374">
        <f t="shared" si="347"/>
        <v>1</v>
      </c>
      <c r="BD467" s="148" t="str">
        <f t="shared" si="348"/>
        <v>no conflict</v>
      </c>
      <c r="BF467" s="148" t="str">
        <f t="shared" si="349"/>
        <v>11/24/2017 14:40-&gt;COL M - BIG 12</v>
      </c>
      <c r="BG467" s="148" t="str">
        <f t="shared" si="350"/>
        <v>11/24/2017 14:40-&gt;COL M - BIG EAST</v>
      </c>
      <c r="BH467" s="148" t="str">
        <f t="shared" si="351"/>
        <v>11/24/2017 14:40-&gt;Hillel - Field 1</v>
      </c>
      <c r="BI467" s="148" t="str">
        <f t="shared" si="352"/>
        <v>Flag Football in Hillel - Field 1 (BIG12-BIGEAST)</v>
      </c>
      <c r="BJ467" s="148" t="str">
        <f t="shared" si="353"/>
        <v>College Male Flag Football-- COL M - BIG 12 vs. COL M - BIG EAST</v>
      </c>
      <c r="BK467" s="148" t="str">
        <f t="shared" si="354"/>
        <v>Flag Football</v>
      </c>
      <c r="BL467" s="148" t="str">
        <f t="shared" si="355"/>
        <v>COL M - BIG 12</v>
      </c>
      <c r="BM467" s="148" t="str">
        <f t="shared" si="356"/>
        <v>COL M - BIG EAST</v>
      </c>
      <c r="BN467" s="148" t="str">
        <f t="shared" si="357"/>
        <v>Round - 1</v>
      </c>
      <c r="BP467" s="148" t="str">
        <f t="shared" si="358"/>
        <v>no t, f, or sf</v>
      </c>
      <c r="BQ467" s="148" t="str">
        <f t="shared" si="359"/>
        <v/>
      </c>
    </row>
    <row r="468" spans="1:69" ht="15" customHeight="1" x14ac:dyDescent="0.2">
      <c r="A468" s="376">
        <v>466</v>
      </c>
      <c r="B468" s="121" t="s">
        <v>512</v>
      </c>
      <c r="C468" s="121" t="s">
        <v>518</v>
      </c>
      <c r="D468" s="382">
        <v>2</v>
      </c>
      <c r="E468" s="382">
        <v>1</v>
      </c>
      <c r="F468" s="315" t="s">
        <v>770</v>
      </c>
      <c r="G468" s="206">
        <v>43064</v>
      </c>
      <c r="H468" s="122">
        <v>0.78472222222222221</v>
      </c>
      <c r="I468" s="325" t="s">
        <v>770</v>
      </c>
      <c r="J468" s="121" t="s">
        <v>704</v>
      </c>
      <c r="K468" s="441"/>
      <c r="L468" s="121" t="s">
        <v>630</v>
      </c>
      <c r="M468" s="433"/>
      <c r="N468" s="121" t="s">
        <v>632</v>
      </c>
      <c r="O468" s="153" t="str">
        <f>IF(L468&lt;&gt;"",IFERROR(VLOOKUP(B468&amp;L468,Pools!$A$2:$D$130,3,FALSE),""),"")</f>
        <v/>
      </c>
      <c r="P468" s="388"/>
      <c r="Q468" s="388"/>
      <c r="R468" s="306" t="str">
        <f t="shared" si="315"/>
        <v>-</v>
      </c>
      <c r="S468" s="153"/>
      <c r="T468" s="148" t="str">
        <f t="shared" si="316"/>
        <v>Pending</v>
      </c>
      <c r="U468" s="153"/>
      <c r="V468" s="153"/>
      <c r="W468" s="387">
        <f t="shared" si="317"/>
        <v>0</v>
      </c>
      <c r="X468" s="387">
        <f t="shared" si="318"/>
        <v>0</v>
      </c>
      <c r="Y468" s="301" t="str">
        <f t="shared" si="319"/>
        <v>X</v>
      </c>
      <c r="Z468" s="301" t="str">
        <f t="shared" si="320"/>
        <v>X</v>
      </c>
      <c r="AA468" s="323" t="str">
        <f>CONCATENATE("                x[team1,team2,sport,'",IF(OR(I468="x",I468=""),VLOOKUP('Schedule from TM'!J468,Tables!$P$3:$Q$33,2,FALSE),'Schedule from TM'!I468),",",J468,"','",IF(OR(F468="x",F468=""),VLOOKUP('Schedule from TM'!G468,Tables!$U$3:$V$14,2,FALSE),'Schedule from TM'!F468),",",TEXT(G468,"mm/dd/yyyy"),"','",TEXT(H468,"h:mm:ss AM/PM"),"'].ub=0.0      #",B468)</f>
        <v xml:space="preserve">                x[team1,team2,sport,'21,Hillel - Field 2','21,11/25/2017','6:50:00 PM'].ub=0.0      #College Male Mini Soccer</v>
      </c>
      <c r="AB468" s="301" t="str">
        <f t="shared" si="321"/>
        <v>,,College Male Mini Soccer,,1,COL M - BIG EAST</v>
      </c>
      <c r="AC468" s="153" t="str">
        <f t="shared" si="322"/>
        <v>College Male Mini SoccerCOL M - BIG EAST</v>
      </c>
      <c r="AD468" s="301" t="str">
        <f t="shared" si="323"/>
        <v>,,College Male Mini Soccer,,1,COL M - SEC</v>
      </c>
      <c r="AE468" s="153" t="str">
        <f t="shared" si="324"/>
        <v>College Male Mini SoccerCOL M - SEC</v>
      </c>
      <c r="AF468" s="383">
        <f t="shared" si="325"/>
        <v>0</v>
      </c>
      <c r="AG468" s="383">
        <f t="shared" si="326"/>
        <v>0</v>
      </c>
      <c r="AH468" s="383">
        <f t="shared" si="327"/>
        <v>0</v>
      </c>
      <c r="AI468" s="383">
        <f t="shared" si="328"/>
        <v>0</v>
      </c>
      <c r="AJ468" s="383">
        <f t="shared" si="329"/>
        <v>0</v>
      </c>
      <c r="AK468" s="383">
        <f t="shared" si="330"/>
        <v>0</v>
      </c>
      <c r="AM468" s="148" t="str">
        <f t="shared" si="331"/>
        <v>Schedulled</v>
      </c>
      <c r="AN468" s="148" t="str">
        <f t="shared" si="332"/>
        <v/>
      </c>
      <c r="AO468" s="156">
        <f t="shared" si="333"/>
        <v>43064.784722222219</v>
      </c>
      <c r="AP468" s="148" t="str">
        <f t="shared" si="334"/>
        <v>11/25/2017 18:50-&gt;Hillel - Field 2</v>
      </c>
      <c r="AQ468" s="374">
        <f t="shared" si="335"/>
        <v>1</v>
      </c>
      <c r="AR468" s="148" t="str">
        <f t="shared" si="336"/>
        <v>BIGEAST</v>
      </c>
      <c r="AS468" s="148" t="str">
        <f t="shared" si="337"/>
        <v>SEC</v>
      </c>
      <c r="AT468" s="157" t="str">
        <f t="shared" si="338"/>
        <v>BIGEAST-SEC</v>
      </c>
      <c r="AU468" s="157" t="str">
        <f t="shared" si="339"/>
        <v xml:space="preserve">BIGEAST-SEC </v>
      </c>
      <c r="AV468" s="157" t="str">
        <f t="shared" si="340"/>
        <v>COLLEGE</v>
      </c>
      <c r="AW468" s="157" t="str">
        <f t="shared" si="341"/>
        <v>Soccer</v>
      </c>
      <c r="AX468" s="376">
        <f t="shared" si="342"/>
        <v>466</v>
      </c>
      <c r="AY468" s="148" t="str">
        <f t="shared" si="343"/>
        <v>COL M - BIG EAST-&gt;COL M - SEC</v>
      </c>
      <c r="AZ468" s="148" t="str">
        <f t="shared" si="344"/>
        <v>11/25/2017 18:50-&gt;COL M - BIG EAST</v>
      </c>
      <c r="BA468" s="148" t="str">
        <f t="shared" si="345"/>
        <v>11/25/2017 18:50-&gt;COL M - SEC</v>
      </c>
      <c r="BB468" s="374">
        <f t="shared" si="346"/>
        <v>1</v>
      </c>
      <c r="BC468" s="374">
        <f t="shared" si="347"/>
        <v>1</v>
      </c>
      <c r="BD468" s="148" t="str">
        <f t="shared" si="348"/>
        <v>no conflict</v>
      </c>
      <c r="BF468" s="148" t="str">
        <f t="shared" si="349"/>
        <v>11/25/2017 18:50-&gt;COL M - BIG EAST</v>
      </c>
      <c r="BG468" s="148" t="str">
        <f t="shared" si="350"/>
        <v>11/25/2017 18:50-&gt;COL M - SEC</v>
      </c>
      <c r="BH468" s="148" t="str">
        <f t="shared" si="351"/>
        <v>11/25/2017 18:50-&gt;Hillel - Field 2</v>
      </c>
      <c r="BI468" s="148" t="str">
        <f t="shared" si="352"/>
        <v>Soccer in Hillel - Field 2 (BIGEAST-SEC)</v>
      </c>
      <c r="BJ468" s="148" t="str">
        <f t="shared" si="353"/>
        <v>College Male Mini Soccer-- COL M - BIG EAST vs. COL M - SEC</v>
      </c>
      <c r="BK468" s="148" t="str">
        <f t="shared" si="354"/>
        <v>Soccer</v>
      </c>
      <c r="BL468" s="148" t="str">
        <f t="shared" si="355"/>
        <v>COL M - BIG EAST</v>
      </c>
      <c r="BM468" s="148" t="str">
        <f t="shared" si="356"/>
        <v>COL M - SEC</v>
      </c>
      <c r="BN468" s="148" t="str">
        <f t="shared" si="357"/>
        <v>Round - 1</v>
      </c>
      <c r="BP468" s="148" t="str">
        <f t="shared" si="358"/>
        <v>no t, f, or sf</v>
      </c>
      <c r="BQ468" s="148" t="str">
        <f t="shared" si="359"/>
        <v/>
      </c>
    </row>
    <row r="469" spans="1:69" ht="15" customHeight="1" x14ac:dyDescent="0.2">
      <c r="A469" s="376">
        <v>467</v>
      </c>
      <c r="B469" s="121" t="s">
        <v>512</v>
      </c>
      <c r="C469" s="121" t="s">
        <v>518</v>
      </c>
      <c r="D469" s="382">
        <v>1</v>
      </c>
      <c r="E469" s="382">
        <v>1</v>
      </c>
      <c r="F469" s="315" t="s">
        <v>770</v>
      </c>
      <c r="G469" s="206">
        <v>43064</v>
      </c>
      <c r="H469" s="122">
        <v>0.78472222222222221</v>
      </c>
      <c r="I469" s="325" t="s">
        <v>770</v>
      </c>
      <c r="J469" s="121" t="s">
        <v>703</v>
      </c>
      <c r="K469" s="444"/>
      <c r="L469" s="121" t="s">
        <v>627</v>
      </c>
      <c r="M469" s="433"/>
      <c r="N469" s="121" t="s">
        <v>629</v>
      </c>
      <c r="O469" s="153" t="str">
        <f>IF(L469&lt;&gt;"",IFERROR(VLOOKUP(B469&amp;L469,Pools!$A$2:$D$130,3,FALSE),""),"")</f>
        <v/>
      </c>
      <c r="P469" s="388"/>
      <c r="Q469" s="388"/>
      <c r="R469" s="306" t="str">
        <f t="shared" si="315"/>
        <v>-</v>
      </c>
      <c r="S469" s="153"/>
      <c r="T469" s="148" t="str">
        <f t="shared" si="316"/>
        <v>Pending</v>
      </c>
      <c r="U469" s="153"/>
      <c r="V469" s="153"/>
      <c r="W469" s="387">
        <f t="shared" si="317"/>
        <v>0</v>
      </c>
      <c r="X469" s="387">
        <f t="shared" si="318"/>
        <v>0</v>
      </c>
      <c r="Y469" s="301" t="str">
        <f t="shared" si="319"/>
        <v>X</v>
      </c>
      <c r="Z469" s="301" t="str">
        <f t="shared" si="320"/>
        <v>X</v>
      </c>
      <c r="AA469" s="323" t="str">
        <f>CONCATENATE("                x[team1,team2,sport,'",IF(OR(I469="x",I469=""),VLOOKUP('Schedule from TM'!J469,Tables!$P$3:$Q$33,2,FALSE),'Schedule from TM'!I469),",",J469,"','",IF(OR(F469="x",F469=""),VLOOKUP('Schedule from TM'!G469,Tables!$U$3:$V$14,2,FALSE),'Schedule from TM'!F469),",",TEXT(G469,"mm/dd/yyyy"),"','",TEXT(H469,"h:mm:ss AM/PM"),"'].ub=0.0      #",B469)</f>
        <v xml:space="preserve">                x[team1,team2,sport,'21,Hillel - Field 1','21,11/25/2017','6:50:00 PM'].ub=0.0      #College Male Mini Soccer</v>
      </c>
      <c r="AB469" s="301" t="str">
        <f t="shared" si="321"/>
        <v>,,College Male Mini Soccer,,1,COL M - ACC</v>
      </c>
      <c r="AC469" s="153" t="str">
        <f t="shared" si="322"/>
        <v>College Male Mini SoccerCOL M - ACC</v>
      </c>
      <c r="AD469" s="301" t="str">
        <f t="shared" si="323"/>
        <v>,,College Male Mini Soccer,,1,COL M - BIG 12</v>
      </c>
      <c r="AE469" s="153" t="str">
        <f t="shared" si="324"/>
        <v>College Male Mini SoccerCOL M - BIG 12</v>
      </c>
      <c r="AF469" s="383">
        <f t="shared" si="325"/>
        <v>0</v>
      </c>
      <c r="AG469" s="383">
        <f t="shared" si="326"/>
        <v>0</v>
      </c>
      <c r="AH469" s="383">
        <f t="shared" si="327"/>
        <v>0</v>
      </c>
      <c r="AI469" s="383">
        <f t="shared" si="328"/>
        <v>0</v>
      </c>
      <c r="AJ469" s="383">
        <f t="shared" si="329"/>
        <v>0</v>
      </c>
      <c r="AK469" s="383">
        <f t="shared" si="330"/>
        <v>0</v>
      </c>
      <c r="AM469" s="148" t="str">
        <f t="shared" si="331"/>
        <v>Schedulled</v>
      </c>
      <c r="AN469" s="148" t="str">
        <f t="shared" si="332"/>
        <v/>
      </c>
      <c r="AO469" s="156">
        <f t="shared" si="333"/>
        <v>43064.784722222219</v>
      </c>
      <c r="AP469" s="148" t="str">
        <f t="shared" si="334"/>
        <v>11/25/2017 18:50-&gt;Hillel - Field 1</v>
      </c>
      <c r="AQ469" s="374">
        <f t="shared" si="335"/>
        <v>1</v>
      </c>
      <c r="AR469" s="148" t="str">
        <f t="shared" si="336"/>
        <v>ACC</v>
      </c>
      <c r="AS469" s="148" t="str">
        <f t="shared" si="337"/>
        <v>BIG12</v>
      </c>
      <c r="AT469" s="157" t="str">
        <f t="shared" si="338"/>
        <v>ACC-BIG12</v>
      </c>
      <c r="AU469" s="157" t="str">
        <f t="shared" si="339"/>
        <v xml:space="preserve">ACC-BIG12 </v>
      </c>
      <c r="AV469" s="157" t="str">
        <f t="shared" si="340"/>
        <v>COLLEGE</v>
      </c>
      <c r="AW469" s="157" t="str">
        <f t="shared" si="341"/>
        <v>Soccer</v>
      </c>
      <c r="AX469" s="376">
        <f t="shared" si="342"/>
        <v>467</v>
      </c>
      <c r="AY469" s="148" t="str">
        <f t="shared" si="343"/>
        <v>COL M - ACC-&gt;COL M - BIG 12</v>
      </c>
      <c r="AZ469" s="148" t="str">
        <f t="shared" si="344"/>
        <v>11/25/2017 18:50-&gt;COL M - ACC</v>
      </c>
      <c r="BA469" s="148" t="str">
        <f t="shared" si="345"/>
        <v>11/25/2017 18:50-&gt;COL M - BIG 12</v>
      </c>
      <c r="BB469" s="374">
        <f t="shared" si="346"/>
        <v>1</v>
      </c>
      <c r="BC469" s="374">
        <f t="shared" si="347"/>
        <v>1</v>
      </c>
      <c r="BD469" s="148" t="str">
        <f t="shared" si="348"/>
        <v>no conflict</v>
      </c>
      <c r="BF469" s="148" t="str">
        <f t="shared" si="349"/>
        <v>11/25/2017 18:50-&gt;COL M - ACC</v>
      </c>
      <c r="BG469" s="148" t="str">
        <f t="shared" si="350"/>
        <v>11/25/2017 18:50-&gt;COL M - BIG 12</v>
      </c>
      <c r="BH469" s="148" t="str">
        <f t="shared" si="351"/>
        <v>11/25/2017 18:50-&gt;Hillel - Field 1</v>
      </c>
      <c r="BI469" s="148" t="str">
        <f t="shared" si="352"/>
        <v>Soccer in Hillel - Field 1 (ACC-BIG12)</v>
      </c>
      <c r="BJ469" s="148" t="str">
        <f t="shared" si="353"/>
        <v>College Male Mini Soccer-- COL M - ACC vs. COL M - BIG 12</v>
      </c>
      <c r="BK469" s="148" t="str">
        <f t="shared" si="354"/>
        <v>Soccer</v>
      </c>
      <c r="BL469" s="148" t="str">
        <f t="shared" si="355"/>
        <v>COL M - ACC</v>
      </c>
      <c r="BM469" s="148" t="str">
        <f t="shared" si="356"/>
        <v>COL M - BIG 12</v>
      </c>
      <c r="BN469" s="148" t="str">
        <f t="shared" si="357"/>
        <v>Round - 1</v>
      </c>
      <c r="BP469" s="148" t="str">
        <f t="shared" si="358"/>
        <v>no t, f, or sf</v>
      </c>
      <c r="BQ469" s="148" t="str">
        <f t="shared" si="359"/>
        <v/>
      </c>
    </row>
    <row r="470" spans="1:69" ht="15" customHeight="1" x14ac:dyDescent="0.2">
      <c r="A470" s="376">
        <v>468</v>
      </c>
      <c r="B470" s="121" t="s">
        <v>512</v>
      </c>
      <c r="C470" s="315" t="s">
        <v>518</v>
      </c>
      <c r="D470" s="378">
        <v>1</v>
      </c>
      <c r="E470" s="382">
        <v>1</v>
      </c>
      <c r="F470" s="315" t="s">
        <v>770</v>
      </c>
      <c r="G470" s="206">
        <v>43064</v>
      </c>
      <c r="H470" s="418">
        <v>0.81944444444444453</v>
      </c>
      <c r="I470" s="325" t="s">
        <v>770</v>
      </c>
      <c r="J470" s="121" t="s">
        <v>704</v>
      </c>
      <c r="K470" s="444"/>
      <c r="L470" s="121" t="s">
        <v>629</v>
      </c>
      <c r="M470"/>
      <c r="N470" s="121" t="s">
        <v>630</v>
      </c>
      <c r="O470" s="153" t="str">
        <f>IF(L470&lt;&gt;"",IFERROR(VLOOKUP(B470&amp;L470,Pools!$A$2:$D$130,3,FALSE),""),"")</f>
        <v/>
      </c>
      <c r="P470" s="388"/>
      <c r="Q470" s="388"/>
      <c r="R470" s="306" t="str">
        <f t="shared" si="315"/>
        <v>-</v>
      </c>
      <c r="S470" s="153"/>
      <c r="T470" s="148" t="str">
        <f t="shared" si="316"/>
        <v>Pending</v>
      </c>
      <c r="U470" s="153"/>
      <c r="V470" s="153"/>
      <c r="W470" s="387">
        <f t="shared" si="317"/>
        <v>0</v>
      </c>
      <c r="X470" s="387">
        <f t="shared" si="318"/>
        <v>0</v>
      </c>
      <c r="Y470" s="301" t="str">
        <f t="shared" si="319"/>
        <v>X</v>
      </c>
      <c r="Z470" s="301" t="str">
        <f t="shared" si="320"/>
        <v>X</v>
      </c>
      <c r="AA470" s="323" t="str">
        <f>CONCATENATE("                x[team1,team2,sport,'",IF(OR(I470="x",I470=""),VLOOKUP('Schedule from TM'!J470,Tables!$P$3:$Q$33,2,FALSE),'Schedule from TM'!I470),",",J470,"','",IF(OR(F470="x",F470=""),VLOOKUP('Schedule from TM'!G470,Tables!$U$3:$V$14,2,FALSE),'Schedule from TM'!F470),",",TEXT(G470,"mm/dd/yyyy"),"','",TEXT(H470,"h:mm:ss AM/PM"),"'].ub=0.0      #",B470)</f>
        <v xml:space="preserve">                x[team1,team2,sport,'21,Hillel - Field 2','21,11/25/2017','7:40:00 PM'].ub=0.0      #College Male Mini Soccer</v>
      </c>
      <c r="AB470" s="301" t="str">
        <f t="shared" si="321"/>
        <v>,,College Male Mini Soccer,,1,COL M - BIG 12</v>
      </c>
      <c r="AC470" s="153" t="str">
        <f t="shared" si="322"/>
        <v>College Male Mini SoccerCOL M - BIG 12</v>
      </c>
      <c r="AD470" s="301" t="str">
        <f t="shared" si="323"/>
        <v>,,College Male Mini Soccer,,1,COL M - BIG EAST</v>
      </c>
      <c r="AE470" s="153" t="str">
        <f t="shared" si="324"/>
        <v>College Male Mini SoccerCOL M - BIG EAST</v>
      </c>
      <c r="AF470" s="383">
        <f t="shared" si="325"/>
        <v>0</v>
      </c>
      <c r="AG470" s="383">
        <f t="shared" si="326"/>
        <v>0</v>
      </c>
      <c r="AH470" s="383">
        <f t="shared" si="327"/>
        <v>0</v>
      </c>
      <c r="AI470" s="383">
        <f t="shared" si="328"/>
        <v>0</v>
      </c>
      <c r="AJ470" s="383">
        <f t="shared" si="329"/>
        <v>0</v>
      </c>
      <c r="AK470" s="383">
        <f t="shared" si="330"/>
        <v>0</v>
      </c>
      <c r="AM470" s="148" t="str">
        <f t="shared" si="331"/>
        <v>Schedulled</v>
      </c>
      <c r="AN470" s="148" t="str">
        <f t="shared" si="332"/>
        <v/>
      </c>
      <c r="AO470" s="156">
        <f t="shared" si="333"/>
        <v>43064.819444444445</v>
      </c>
      <c r="AP470" s="148" t="str">
        <f t="shared" si="334"/>
        <v>11/25/2017 19:40-&gt;Hillel - Field 2</v>
      </c>
      <c r="AQ470" s="374">
        <f t="shared" si="335"/>
        <v>1</v>
      </c>
      <c r="AR470" s="148" t="str">
        <f t="shared" si="336"/>
        <v>BIG12</v>
      </c>
      <c r="AS470" s="148" t="str">
        <f t="shared" si="337"/>
        <v>BIGEAST</v>
      </c>
      <c r="AT470" s="157" t="str">
        <f t="shared" si="338"/>
        <v>BIG12-BIGEAST</v>
      </c>
      <c r="AU470" s="157" t="str">
        <f t="shared" si="339"/>
        <v xml:space="preserve">BIG12-BIGEAST </v>
      </c>
      <c r="AV470" s="157" t="str">
        <f t="shared" si="340"/>
        <v>COLLEGE</v>
      </c>
      <c r="AW470" s="157" t="str">
        <f t="shared" si="341"/>
        <v>Soccer</v>
      </c>
      <c r="AX470" s="376">
        <f t="shared" si="342"/>
        <v>468</v>
      </c>
      <c r="AY470" s="148" t="str">
        <f t="shared" si="343"/>
        <v>COL M - BIG 12-&gt;COL M - BIG EAST</v>
      </c>
      <c r="AZ470" s="148" t="str">
        <f t="shared" si="344"/>
        <v>11/25/2017 19:40-&gt;COL M - BIG 12</v>
      </c>
      <c r="BA470" s="148" t="str">
        <f t="shared" si="345"/>
        <v>11/25/2017 19:40-&gt;COL M - BIG EAST</v>
      </c>
      <c r="BB470" s="374">
        <f t="shared" si="346"/>
        <v>1</v>
      </c>
      <c r="BC470" s="374">
        <f t="shared" si="347"/>
        <v>1</v>
      </c>
      <c r="BD470" s="148" t="str">
        <f t="shared" si="348"/>
        <v>no conflict</v>
      </c>
      <c r="BF470" s="148" t="str">
        <f t="shared" si="349"/>
        <v>11/25/2017 19:40-&gt;COL M - BIG 12</v>
      </c>
      <c r="BG470" s="148" t="str">
        <f t="shared" si="350"/>
        <v>11/25/2017 19:40-&gt;COL M - BIG EAST</v>
      </c>
      <c r="BH470" s="148" t="str">
        <f t="shared" si="351"/>
        <v>11/25/2017 19:40-&gt;Hillel - Field 2</v>
      </c>
      <c r="BI470" s="148" t="str">
        <f t="shared" si="352"/>
        <v>Soccer in Hillel - Field 2 (BIG12-BIGEAST)</v>
      </c>
      <c r="BJ470" s="148" t="str">
        <f t="shared" si="353"/>
        <v>College Male Mini Soccer-- COL M - BIG 12 vs. COL M - BIG EAST</v>
      </c>
      <c r="BK470" s="148" t="str">
        <f t="shared" si="354"/>
        <v>Soccer</v>
      </c>
      <c r="BL470" s="148" t="str">
        <f t="shared" si="355"/>
        <v>COL M - BIG 12</v>
      </c>
      <c r="BM470" s="148" t="str">
        <f t="shared" si="356"/>
        <v>COL M - BIG EAST</v>
      </c>
      <c r="BN470" s="148" t="str">
        <f t="shared" si="357"/>
        <v>Round - 1</v>
      </c>
      <c r="BP470" s="148" t="str">
        <f t="shared" si="358"/>
        <v>no t, f, or sf</v>
      </c>
      <c r="BQ470" s="148" t="str">
        <f t="shared" si="359"/>
        <v/>
      </c>
    </row>
    <row r="471" spans="1:69" ht="15" customHeight="1" x14ac:dyDescent="0.2">
      <c r="A471" s="376">
        <v>469</v>
      </c>
      <c r="B471" s="121" t="s">
        <v>512</v>
      </c>
      <c r="C471" s="444" t="s">
        <v>518</v>
      </c>
      <c r="D471" s="451">
        <v>1</v>
      </c>
      <c r="E471" s="382">
        <v>1</v>
      </c>
      <c r="F471" s="315" t="s">
        <v>770</v>
      </c>
      <c r="G471" s="206">
        <v>43064</v>
      </c>
      <c r="H471" s="418">
        <v>0.81944444444444453</v>
      </c>
      <c r="I471" s="325" t="s">
        <v>770</v>
      </c>
      <c r="J471" s="121" t="s">
        <v>703</v>
      </c>
      <c r="K471" s="319"/>
      <c r="L471" s="121" t="s">
        <v>627</v>
      </c>
      <c r="M471" s="433"/>
      <c r="N471" s="121" t="s">
        <v>632</v>
      </c>
      <c r="O471" s="153" t="str">
        <f>IF(L471&lt;&gt;"",IFERROR(VLOOKUP(B471&amp;L471,Pools!$A$2:$D$130,3,FALSE),""),"")</f>
        <v/>
      </c>
      <c r="P471" s="388"/>
      <c r="Q471" s="388"/>
      <c r="R471" s="306" t="str">
        <f t="shared" si="315"/>
        <v>-</v>
      </c>
      <c r="S471" s="153"/>
      <c r="T471" s="148" t="str">
        <f t="shared" si="316"/>
        <v>Pending</v>
      </c>
      <c r="U471" s="153"/>
      <c r="V471" s="153"/>
      <c r="W471" s="387">
        <f t="shared" si="317"/>
        <v>0</v>
      </c>
      <c r="X471" s="387">
        <f t="shared" si="318"/>
        <v>0</v>
      </c>
      <c r="Y471" s="301" t="str">
        <f t="shared" si="319"/>
        <v>X</v>
      </c>
      <c r="Z471" s="301" t="str">
        <f t="shared" si="320"/>
        <v>X</v>
      </c>
      <c r="AA471" s="323" t="str">
        <f>CONCATENATE("                x[team1,team2,sport,'",IF(OR(I471="x",I471=""),VLOOKUP('Schedule from TM'!J471,Tables!$P$3:$Q$33,2,FALSE),'Schedule from TM'!I471),",",J471,"','",IF(OR(F471="x",F471=""),VLOOKUP('Schedule from TM'!G471,Tables!$U$3:$V$14,2,FALSE),'Schedule from TM'!F471),",",TEXT(G471,"mm/dd/yyyy"),"','",TEXT(H471,"h:mm:ss AM/PM"),"'].ub=0.0      #",B471)</f>
        <v xml:space="preserve">                x[team1,team2,sport,'21,Hillel - Field 1','21,11/25/2017','7:40:00 PM'].ub=0.0      #College Male Mini Soccer</v>
      </c>
      <c r="AB471" s="301" t="str">
        <f t="shared" si="321"/>
        <v>,,College Male Mini Soccer,,1,COL M - ACC</v>
      </c>
      <c r="AC471" s="153" t="str">
        <f t="shared" si="322"/>
        <v>College Male Mini SoccerCOL M - ACC</v>
      </c>
      <c r="AD471" s="301" t="str">
        <f t="shared" si="323"/>
        <v>,,College Male Mini Soccer,,1,COL M - SEC</v>
      </c>
      <c r="AE471" s="153" t="str">
        <f t="shared" si="324"/>
        <v>College Male Mini SoccerCOL M - SEC</v>
      </c>
      <c r="AF471" s="383">
        <f t="shared" si="325"/>
        <v>0</v>
      </c>
      <c r="AG471" s="383">
        <f t="shared" si="326"/>
        <v>0</v>
      </c>
      <c r="AH471" s="383">
        <f t="shared" si="327"/>
        <v>0</v>
      </c>
      <c r="AI471" s="383">
        <f t="shared" si="328"/>
        <v>0</v>
      </c>
      <c r="AJ471" s="383">
        <f t="shared" si="329"/>
        <v>0</v>
      </c>
      <c r="AK471" s="383">
        <f t="shared" si="330"/>
        <v>0</v>
      </c>
      <c r="AM471" s="148" t="str">
        <f t="shared" si="331"/>
        <v>Schedulled</v>
      </c>
      <c r="AN471" s="148" t="str">
        <f t="shared" si="332"/>
        <v/>
      </c>
      <c r="AO471" s="156">
        <f t="shared" si="333"/>
        <v>43064.819444444445</v>
      </c>
      <c r="AP471" s="148" t="str">
        <f t="shared" si="334"/>
        <v>11/25/2017 19:40-&gt;Hillel - Field 1</v>
      </c>
      <c r="AQ471" s="374">
        <f t="shared" si="335"/>
        <v>1</v>
      </c>
      <c r="AR471" s="148" t="str">
        <f t="shared" si="336"/>
        <v>ACC</v>
      </c>
      <c r="AS471" s="148" t="str">
        <f t="shared" si="337"/>
        <v>SEC</v>
      </c>
      <c r="AT471" s="157" t="str">
        <f t="shared" si="338"/>
        <v>ACC-SEC</v>
      </c>
      <c r="AU471" s="157" t="str">
        <f t="shared" si="339"/>
        <v xml:space="preserve">ACC-SEC </v>
      </c>
      <c r="AV471" s="157" t="str">
        <f t="shared" si="340"/>
        <v>COLLEGE</v>
      </c>
      <c r="AW471" s="157" t="str">
        <f t="shared" si="341"/>
        <v>Soccer</v>
      </c>
      <c r="AX471" s="376">
        <f t="shared" si="342"/>
        <v>469</v>
      </c>
      <c r="AY471" s="148" t="str">
        <f t="shared" si="343"/>
        <v>COL M - ACC-&gt;COL M - SEC</v>
      </c>
      <c r="AZ471" s="148" t="str">
        <f t="shared" si="344"/>
        <v>11/25/2017 19:40-&gt;COL M - ACC</v>
      </c>
      <c r="BA471" s="148" t="str">
        <f t="shared" si="345"/>
        <v>11/25/2017 19:40-&gt;COL M - SEC</v>
      </c>
      <c r="BB471" s="374">
        <f t="shared" si="346"/>
        <v>1</v>
      </c>
      <c r="BC471" s="374">
        <f t="shared" si="347"/>
        <v>1</v>
      </c>
      <c r="BD471" s="148" t="str">
        <f t="shared" si="348"/>
        <v>no conflict</v>
      </c>
      <c r="BF471" s="148" t="str">
        <f t="shared" si="349"/>
        <v>11/25/2017 19:40-&gt;COL M - ACC</v>
      </c>
      <c r="BG471" s="148" t="str">
        <f t="shared" si="350"/>
        <v>11/25/2017 19:40-&gt;COL M - SEC</v>
      </c>
      <c r="BH471" s="148" t="str">
        <f t="shared" si="351"/>
        <v>11/25/2017 19:40-&gt;Hillel - Field 1</v>
      </c>
      <c r="BI471" s="148" t="str">
        <f t="shared" si="352"/>
        <v>Soccer in Hillel - Field 1 (ACC-SEC)</v>
      </c>
      <c r="BJ471" s="148" t="str">
        <f t="shared" si="353"/>
        <v>College Male Mini Soccer-- COL M - ACC vs. COL M - SEC</v>
      </c>
      <c r="BK471" s="148" t="str">
        <f t="shared" si="354"/>
        <v>Soccer</v>
      </c>
      <c r="BL471" s="148" t="str">
        <f t="shared" si="355"/>
        <v>COL M - ACC</v>
      </c>
      <c r="BM471" s="148" t="str">
        <f t="shared" si="356"/>
        <v>COL M - SEC</v>
      </c>
      <c r="BN471" s="148" t="str">
        <f t="shared" si="357"/>
        <v>Round - 1</v>
      </c>
      <c r="BP471" s="148" t="str">
        <f t="shared" si="358"/>
        <v>no t, f, or sf</v>
      </c>
      <c r="BQ471" s="148" t="str">
        <f t="shared" si="359"/>
        <v/>
      </c>
    </row>
    <row r="472" spans="1:69" ht="15" customHeight="1" x14ac:dyDescent="0.2">
      <c r="A472" s="376">
        <v>470</v>
      </c>
      <c r="B472" s="121" t="s">
        <v>512</v>
      </c>
      <c r="C472" s="315" t="s">
        <v>518</v>
      </c>
      <c r="D472" s="378">
        <v>1</v>
      </c>
      <c r="E472" s="382">
        <v>1</v>
      </c>
      <c r="F472" s="315" t="s">
        <v>770</v>
      </c>
      <c r="G472" s="206">
        <v>43064</v>
      </c>
      <c r="H472" s="122">
        <v>0.85416666666666663</v>
      </c>
      <c r="I472" s="325" t="s">
        <v>770</v>
      </c>
      <c r="J472" s="121" t="s">
        <v>704</v>
      </c>
      <c r="K472" s="315"/>
      <c r="L472" s="121" t="s">
        <v>632</v>
      </c>
      <c r="M472" s="433"/>
      <c r="N472" s="121" t="s">
        <v>629</v>
      </c>
      <c r="O472" s="153" t="str">
        <f>IF(L472&lt;&gt;"",IFERROR(VLOOKUP(B472&amp;L472,Pools!$A$2:$D$130,3,FALSE),""),"")</f>
        <v/>
      </c>
      <c r="P472" s="388"/>
      <c r="Q472" s="388"/>
      <c r="R472" s="306" t="str">
        <f t="shared" si="315"/>
        <v>-</v>
      </c>
      <c r="S472" s="153"/>
      <c r="T472" s="148" t="str">
        <f t="shared" si="316"/>
        <v>Pending</v>
      </c>
      <c r="U472" s="153"/>
      <c r="V472" s="153"/>
      <c r="W472" s="387">
        <f t="shared" si="317"/>
        <v>0</v>
      </c>
      <c r="X472" s="387">
        <f t="shared" si="318"/>
        <v>0</v>
      </c>
      <c r="Y472" s="301" t="str">
        <f t="shared" si="319"/>
        <v>X</v>
      </c>
      <c r="Z472" s="301" t="str">
        <f t="shared" si="320"/>
        <v>X</v>
      </c>
      <c r="AA472" s="323" t="str">
        <f>CONCATENATE("                x[team1,team2,sport,'",IF(OR(I472="x",I472=""),VLOOKUP('Schedule from TM'!J472,Tables!$P$3:$Q$33,2,FALSE),'Schedule from TM'!I472),",",J472,"','",IF(OR(F472="x",F472=""),VLOOKUP('Schedule from TM'!G472,Tables!$U$3:$V$14,2,FALSE),'Schedule from TM'!F472),",",TEXT(G472,"mm/dd/yyyy"),"','",TEXT(H472,"h:mm:ss AM/PM"),"'].ub=0.0      #",B472)</f>
        <v xml:space="preserve">                x[team1,team2,sport,'21,Hillel - Field 2','21,11/25/2017','8:30:00 PM'].ub=0.0      #College Male Mini Soccer</v>
      </c>
      <c r="AB472" s="301" t="str">
        <f t="shared" si="321"/>
        <v>,,College Male Mini Soccer,,1,COL M - SEC</v>
      </c>
      <c r="AC472" s="153" t="str">
        <f t="shared" si="322"/>
        <v>College Male Mini SoccerCOL M - SEC</v>
      </c>
      <c r="AD472" s="301" t="str">
        <f t="shared" si="323"/>
        <v>,,College Male Mini Soccer,,1,COL M - BIG 12</v>
      </c>
      <c r="AE472" s="153" t="str">
        <f t="shared" si="324"/>
        <v>College Male Mini SoccerCOL M - BIG 12</v>
      </c>
      <c r="AF472" s="383">
        <f t="shared" si="325"/>
        <v>0</v>
      </c>
      <c r="AG472" s="383">
        <f t="shared" si="326"/>
        <v>0</v>
      </c>
      <c r="AH472" s="383">
        <f t="shared" si="327"/>
        <v>0</v>
      </c>
      <c r="AI472" s="383">
        <f t="shared" si="328"/>
        <v>0</v>
      </c>
      <c r="AJ472" s="383">
        <f t="shared" si="329"/>
        <v>0</v>
      </c>
      <c r="AK472" s="383">
        <f t="shared" si="330"/>
        <v>0</v>
      </c>
      <c r="AM472" s="148" t="str">
        <f t="shared" si="331"/>
        <v>Schedulled</v>
      </c>
      <c r="AN472" s="148" t="str">
        <f t="shared" si="332"/>
        <v/>
      </c>
      <c r="AO472" s="156">
        <f t="shared" si="333"/>
        <v>43064.854166666664</v>
      </c>
      <c r="AP472" s="148" t="str">
        <f t="shared" si="334"/>
        <v>11/25/2017 20:30-&gt;Hillel - Field 2</v>
      </c>
      <c r="AQ472" s="374">
        <f t="shared" si="335"/>
        <v>1</v>
      </c>
      <c r="AR472" s="148" t="str">
        <f t="shared" si="336"/>
        <v>SEC</v>
      </c>
      <c r="AS472" s="148" t="str">
        <f t="shared" si="337"/>
        <v>BIG12</v>
      </c>
      <c r="AT472" s="157" t="str">
        <f t="shared" si="338"/>
        <v>SEC-BIG12</v>
      </c>
      <c r="AU472" s="157" t="str">
        <f t="shared" si="339"/>
        <v xml:space="preserve">SEC-BIG12 </v>
      </c>
      <c r="AV472" s="157" t="str">
        <f t="shared" si="340"/>
        <v>COLLEGE</v>
      </c>
      <c r="AW472" s="157" t="str">
        <f t="shared" si="341"/>
        <v>Soccer</v>
      </c>
      <c r="AX472" s="376">
        <f t="shared" si="342"/>
        <v>470</v>
      </c>
      <c r="AY472" s="148" t="str">
        <f t="shared" si="343"/>
        <v>COL M - SEC-&gt;COL M - BIG 12</v>
      </c>
      <c r="AZ472" s="148" t="str">
        <f t="shared" si="344"/>
        <v>11/25/2017 20:30-&gt;COL M - SEC</v>
      </c>
      <c r="BA472" s="148" t="str">
        <f t="shared" si="345"/>
        <v>11/25/2017 20:30-&gt;COL M - BIG 12</v>
      </c>
      <c r="BB472" s="374">
        <f t="shared" si="346"/>
        <v>1</v>
      </c>
      <c r="BC472" s="374">
        <f t="shared" si="347"/>
        <v>1</v>
      </c>
      <c r="BD472" s="148" t="str">
        <f t="shared" si="348"/>
        <v>no conflict</v>
      </c>
      <c r="BF472" s="148" t="str">
        <f t="shared" si="349"/>
        <v>11/25/2017 20:30-&gt;COL M - SEC</v>
      </c>
      <c r="BG472" s="148" t="str">
        <f t="shared" si="350"/>
        <v>11/25/2017 20:30-&gt;COL M - BIG 12</v>
      </c>
      <c r="BH472" s="148" t="str">
        <f t="shared" si="351"/>
        <v>11/25/2017 20:30-&gt;Hillel - Field 2</v>
      </c>
      <c r="BI472" s="148" t="str">
        <f t="shared" si="352"/>
        <v>Soccer in Hillel - Field 2 (SEC-BIG12)</v>
      </c>
      <c r="BJ472" s="148" t="str">
        <f t="shared" si="353"/>
        <v>College Male Mini Soccer-- COL M - SEC vs. COL M - BIG 12</v>
      </c>
      <c r="BK472" s="148" t="str">
        <f t="shared" si="354"/>
        <v>Soccer</v>
      </c>
      <c r="BL472" s="148" t="str">
        <f t="shared" si="355"/>
        <v>COL M - SEC</v>
      </c>
      <c r="BM472" s="148" t="str">
        <f t="shared" si="356"/>
        <v>COL M - BIG 12</v>
      </c>
      <c r="BN472" s="148" t="str">
        <f t="shared" si="357"/>
        <v>Round - 1</v>
      </c>
      <c r="BP472" s="148" t="str">
        <f t="shared" si="358"/>
        <v>no t, f, or sf</v>
      </c>
      <c r="BQ472" s="148" t="str">
        <f t="shared" si="359"/>
        <v/>
      </c>
    </row>
    <row r="473" spans="1:69" ht="15" customHeight="1" x14ac:dyDescent="0.2">
      <c r="A473" s="376">
        <v>471</v>
      </c>
      <c r="B473" s="121" t="s">
        <v>512</v>
      </c>
      <c r="C473" s="444" t="s">
        <v>518</v>
      </c>
      <c r="D473" s="451">
        <v>1</v>
      </c>
      <c r="E473" s="382">
        <v>1</v>
      </c>
      <c r="F473" s="315" t="s">
        <v>770</v>
      </c>
      <c r="G473" s="206">
        <v>43064</v>
      </c>
      <c r="H473" s="122">
        <v>0.85416666666666663</v>
      </c>
      <c r="I473" s="325" t="s">
        <v>770</v>
      </c>
      <c r="J473" s="121" t="s">
        <v>703</v>
      </c>
      <c r="K473" s="444"/>
      <c r="L473" s="121" t="s">
        <v>627</v>
      </c>
      <c r="M473" s="433"/>
      <c r="N473" s="121" t="s">
        <v>630</v>
      </c>
      <c r="O473" s="153" t="str">
        <f>IF(L473&lt;&gt;"",IFERROR(VLOOKUP(B473&amp;L473,Pools!$A$2:$D$130,3,FALSE),""),"")</f>
        <v/>
      </c>
      <c r="P473" s="388"/>
      <c r="Q473" s="388"/>
      <c r="R473" s="306" t="str">
        <f t="shared" si="315"/>
        <v>-</v>
      </c>
      <c r="S473" s="153"/>
      <c r="T473" s="148" t="str">
        <f t="shared" si="316"/>
        <v>Pending</v>
      </c>
      <c r="U473" s="153"/>
      <c r="V473" s="153"/>
      <c r="W473" s="387">
        <f t="shared" si="317"/>
        <v>0</v>
      </c>
      <c r="X473" s="387">
        <f t="shared" si="318"/>
        <v>0</v>
      </c>
      <c r="Y473" s="301" t="str">
        <f t="shared" si="319"/>
        <v>X</v>
      </c>
      <c r="Z473" s="301" t="str">
        <f t="shared" si="320"/>
        <v>X</v>
      </c>
      <c r="AA473" s="323" t="str">
        <f>CONCATENATE("                x[team1,team2,sport,'",IF(OR(I473="x",I473=""),VLOOKUP('Schedule from TM'!J473,Tables!$P$3:$Q$33,2,FALSE),'Schedule from TM'!I473),",",J473,"','",IF(OR(F473="x",F473=""),VLOOKUP('Schedule from TM'!G473,Tables!$U$3:$V$14,2,FALSE),'Schedule from TM'!F473),",",TEXT(G473,"mm/dd/yyyy"),"','",TEXT(H473,"h:mm:ss AM/PM"),"'].ub=0.0      #",B473)</f>
        <v xml:space="preserve">                x[team1,team2,sport,'21,Hillel - Field 1','21,11/25/2017','8:30:00 PM'].ub=0.0      #College Male Mini Soccer</v>
      </c>
      <c r="AB473" s="301" t="str">
        <f t="shared" si="321"/>
        <v>,,College Male Mini Soccer,,1,COL M - ACC</v>
      </c>
      <c r="AC473" s="153" t="str">
        <f t="shared" si="322"/>
        <v>College Male Mini SoccerCOL M - ACC</v>
      </c>
      <c r="AD473" s="301" t="str">
        <f t="shared" si="323"/>
        <v>,,College Male Mini Soccer,,1,COL M - BIG EAST</v>
      </c>
      <c r="AE473" s="153" t="str">
        <f t="shared" si="324"/>
        <v>College Male Mini SoccerCOL M - BIG EAST</v>
      </c>
      <c r="AF473" s="383">
        <f t="shared" si="325"/>
        <v>0</v>
      </c>
      <c r="AG473" s="383">
        <f t="shared" si="326"/>
        <v>0</v>
      </c>
      <c r="AH473" s="383">
        <f t="shared" si="327"/>
        <v>0</v>
      </c>
      <c r="AI473" s="383">
        <f t="shared" si="328"/>
        <v>0</v>
      </c>
      <c r="AJ473" s="383">
        <f t="shared" si="329"/>
        <v>0</v>
      </c>
      <c r="AK473" s="383">
        <f t="shared" si="330"/>
        <v>0</v>
      </c>
      <c r="AM473" s="148" t="str">
        <f t="shared" si="331"/>
        <v>Schedulled</v>
      </c>
      <c r="AN473" s="148" t="str">
        <f t="shared" si="332"/>
        <v/>
      </c>
      <c r="AO473" s="156">
        <f t="shared" si="333"/>
        <v>43064.854166666664</v>
      </c>
      <c r="AP473" s="148" t="str">
        <f t="shared" si="334"/>
        <v>11/25/2017 20:30-&gt;Hillel - Field 1</v>
      </c>
      <c r="AQ473" s="374">
        <f t="shared" si="335"/>
        <v>1</v>
      </c>
      <c r="AR473" s="148" t="str">
        <f t="shared" si="336"/>
        <v>ACC</v>
      </c>
      <c r="AS473" s="148" t="str">
        <f t="shared" si="337"/>
        <v>BIGEAST</v>
      </c>
      <c r="AT473" s="157" t="str">
        <f t="shared" si="338"/>
        <v>ACC-BIGEAST</v>
      </c>
      <c r="AU473" s="157" t="str">
        <f t="shared" si="339"/>
        <v xml:space="preserve">ACC-BIGEAST </v>
      </c>
      <c r="AV473" s="157" t="str">
        <f t="shared" si="340"/>
        <v>COLLEGE</v>
      </c>
      <c r="AW473" s="157" t="str">
        <f t="shared" si="341"/>
        <v>Soccer</v>
      </c>
      <c r="AX473" s="376">
        <f t="shared" si="342"/>
        <v>471</v>
      </c>
      <c r="AY473" s="148" t="str">
        <f t="shared" si="343"/>
        <v>COL M - ACC-&gt;COL M - BIG EAST</v>
      </c>
      <c r="AZ473" s="148" t="str">
        <f t="shared" si="344"/>
        <v>11/25/2017 20:30-&gt;COL M - ACC</v>
      </c>
      <c r="BA473" s="148" t="str">
        <f t="shared" si="345"/>
        <v>11/25/2017 20:30-&gt;COL M - BIG EAST</v>
      </c>
      <c r="BB473" s="374">
        <f t="shared" si="346"/>
        <v>1</v>
      </c>
      <c r="BC473" s="374">
        <f t="shared" si="347"/>
        <v>1</v>
      </c>
      <c r="BD473" s="148" t="str">
        <f t="shared" si="348"/>
        <v>no conflict</v>
      </c>
      <c r="BF473" s="148" t="str">
        <f t="shared" si="349"/>
        <v>11/25/2017 20:30-&gt;COL M - ACC</v>
      </c>
      <c r="BG473" s="148" t="str">
        <f t="shared" si="350"/>
        <v>11/25/2017 20:30-&gt;COL M - BIG EAST</v>
      </c>
      <c r="BH473" s="148" t="str">
        <f t="shared" si="351"/>
        <v>11/25/2017 20:30-&gt;Hillel - Field 1</v>
      </c>
      <c r="BI473" s="148" t="str">
        <f t="shared" si="352"/>
        <v>Soccer in Hillel - Field 1 (ACC-BIGEAST)</v>
      </c>
      <c r="BJ473" s="148" t="str">
        <f t="shared" si="353"/>
        <v>College Male Mini Soccer-- COL M - ACC vs. COL M - BIG EAST</v>
      </c>
      <c r="BK473" s="148" t="str">
        <f t="shared" si="354"/>
        <v>Soccer</v>
      </c>
      <c r="BL473" s="148" t="str">
        <f t="shared" si="355"/>
        <v>COL M - ACC</v>
      </c>
      <c r="BM473" s="148" t="str">
        <f t="shared" si="356"/>
        <v>COL M - BIG EAST</v>
      </c>
      <c r="BN473" s="148" t="str">
        <f t="shared" si="357"/>
        <v>Round - 1</v>
      </c>
      <c r="BP473" s="148" t="str">
        <f t="shared" si="358"/>
        <v>no t, f, or sf</v>
      </c>
      <c r="BQ473" s="148" t="str">
        <f t="shared" si="359"/>
        <v/>
      </c>
    </row>
    <row r="474" spans="1:69" ht="15" customHeight="1" x14ac:dyDescent="0.2">
      <c r="A474" s="376">
        <v>472</v>
      </c>
      <c r="B474" s="121" t="s">
        <v>515</v>
      </c>
      <c r="C474" s="121" t="s">
        <v>518</v>
      </c>
      <c r="D474" s="382">
        <v>1</v>
      </c>
      <c r="E474" s="382">
        <v>1</v>
      </c>
      <c r="F474" s="315" t="s">
        <v>770</v>
      </c>
      <c r="G474" s="206">
        <v>43062</v>
      </c>
      <c r="H474" s="317">
        <v>0.36805555555555558</v>
      </c>
      <c r="I474" s="325" t="s">
        <v>770</v>
      </c>
      <c r="J474" s="121" t="s">
        <v>708</v>
      </c>
      <c r="K474" s="315"/>
      <c r="L474" s="121" t="s">
        <v>630</v>
      </c>
      <c r="M474" s="433"/>
      <c r="N474" s="121" t="s">
        <v>627</v>
      </c>
      <c r="O474" s="153" t="str">
        <f>IF(L474&lt;&gt;"",IFERROR(VLOOKUP(B474&amp;L474,Pools!$A$2:$D$130,3,FALSE),""),"")</f>
        <v/>
      </c>
      <c r="P474" s="388">
        <v>0</v>
      </c>
      <c r="Q474" s="388">
        <v>0</v>
      </c>
      <c r="R474" s="306" t="str">
        <f t="shared" si="315"/>
        <v>0-0</v>
      </c>
      <c r="S474" s="153"/>
      <c r="T474" s="148" t="str">
        <f t="shared" si="316"/>
        <v>Completed</v>
      </c>
      <c r="U474" s="153"/>
      <c r="V474" s="153"/>
      <c r="W474" s="387">
        <f t="shared" si="317"/>
        <v>0</v>
      </c>
      <c r="X474" s="387">
        <f t="shared" si="318"/>
        <v>0</v>
      </c>
      <c r="Y474" s="301">
        <f t="shared" si="319"/>
        <v>1</v>
      </c>
      <c r="Z474" s="301">
        <f t="shared" si="320"/>
        <v>1</v>
      </c>
      <c r="AA474" s="323" t="str">
        <f>CONCATENATE("                x[team1,team2,sport,'",IF(OR(I474="x",I474=""),VLOOKUP('Schedule from TM'!J474,Tables!$P$3:$Q$33,2,FALSE),'Schedule from TM'!I474),",",J474,"','",IF(OR(F474="x",F474=""),VLOOKUP('Schedule from TM'!G474,Tables!$U$3:$V$14,2,FALSE),'Schedule from TM'!F474),",",TEXT(G474,"mm/dd/yyyy"),"','",TEXT(H474,"h:mm:ss AM/PM"),"'].ub=0.0      #",B474)</f>
        <v xml:space="preserve">                x[team1,team2,sport,'21,Hillel - Gym Volleyball','11,11/23/2017','8:50:00 AM'].ub=0.0      #College Male Volleyball</v>
      </c>
      <c r="AB474" s="301" t="str">
        <f t="shared" si="321"/>
        <v>,,College Male Volleyball,,1,COL M - BIG EAST</v>
      </c>
      <c r="AC474" s="153" t="str">
        <f t="shared" si="322"/>
        <v>College Male VolleyballCOL M - BIG EAST</v>
      </c>
      <c r="AD474" s="301" t="str">
        <f t="shared" si="323"/>
        <v>,,College Male Volleyball,,1,COL M - ACC</v>
      </c>
      <c r="AE474" s="153" t="str">
        <f t="shared" si="324"/>
        <v>College Male VolleyballCOL M - ACC</v>
      </c>
      <c r="AF474" s="383">
        <f t="shared" si="325"/>
        <v>0</v>
      </c>
      <c r="AG474" s="383">
        <f t="shared" si="326"/>
        <v>0</v>
      </c>
      <c r="AH474" s="383">
        <f t="shared" si="327"/>
        <v>1</v>
      </c>
      <c r="AI474" s="383">
        <f t="shared" si="328"/>
        <v>0</v>
      </c>
      <c r="AJ474" s="383">
        <f t="shared" si="329"/>
        <v>0</v>
      </c>
      <c r="AK474" s="383">
        <f t="shared" si="330"/>
        <v>1</v>
      </c>
      <c r="AM474" s="148" t="str">
        <f t="shared" si="331"/>
        <v>Schedulled</v>
      </c>
      <c r="AN474" s="148" t="str">
        <f t="shared" si="332"/>
        <v/>
      </c>
      <c r="AO474" s="156">
        <f t="shared" si="333"/>
        <v>43062.368055555555</v>
      </c>
      <c r="AP474" s="148" t="str">
        <f t="shared" si="334"/>
        <v>11/23/2017 08:50-&gt;Hillel - Gym Volleyball</v>
      </c>
      <c r="AQ474" s="374">
        <f t="shared" si="335"/>
        <v>1</v>
      </c>
      <c r="AR474" s="148" t="str">
        <f t="shared" si="336"/>
        <v>BIGEAST</v>
      </c>
      <c r="AS474" s="148" t="str">
        <f t="shared" si="337"/>
        <v>ACC</v>
      </c>
      <c r="AT474" s="157" t="str">
        <f t="shared" si="338"/>
        <v>BIGEAST-ACC</v>
      </c>
      <c r="AU474" s="157" t="str">
        <f t="shared" si="339"/>
        <v xml:space="preserve">BIGEAST-ACC </v>
      </c>
      <c r="AV474" s="157" t="str">
        <f t="shared" si="340"/>
        <v>COLLEGE</v>
      </c>
      <c r="AW474" s="157" t="str">
        <f t="shared" si="341"/>
        <v>Volleyball</v>
      </c>
      <c r="AX474" s="376">
        <f t="shared" si="342"/>
        <v>472</v>
      </c>
      <c r="AY474" s="148" t="str">
        <f t="shared" si="343"/>
        <v>COL M - BIG EAST-&gt;COL M - ACC</v>
      </c>
      <c r="AZ474" s="148" t="str">
        <f t="shared" si="344"/>
        <v>11/23/2017 08:50-&gt;COL M - BIG EAST</v>
      </c>
      <c r="BA474" s="148" t="str">
        <f t="shared" si="345"/>
        <v>11/23/2017 08:50-&gt;COL M - ACC</v>
      </c>
      <c r="BB474" s="374">
        <f t="shared" si="346"/>
        <v>1</v>
      </c>
      <c r="BC474" s="374">
        <f t="shared" si="347"/>
        <v>1</v>
      </c>
      <c r="BD474" s="148" t="str">
        <f t="shared" si="348"/>
        <v>no conflict</v>
      </c>
      <c r="BF474" s="148" t="str">
        <f t="shared" si="349"/>
        <v>11/23/2017 08:50-&gt;COL M - BIG EAST</v>
      </c>
      <c r="BG474" s="148" t="str">
        <f t="shared" si="350"/>
        <v>11/23/2017 08:50-&gt;COL M - ACC</v>
      </c>
      <c r="BH474" s="148" t="str">
        <f t="shared" si="351"/>
        <v>11/23/2017 08:50-&gt;Hillel - Gym Volleyball</v>
      </c>
      <c r="BI474" s="148" t="str">
        <f t="shared" si="352"/>
        <v>Volleyball in Hillel - Gym Volleyball (BIGEAST-ACC)</v>
      </c>
      <c r="BJ474" s="148" t="str">
        <f t="shared" si="353"/>
        <v>College Male Volleyball-- COL M - BIG EAST vs. COL M - ACC</v>
      </c>
      <c r="BK474" s="148" t="str">
        <f t="shared" si="354"/>
        <v>Volleyball</v>
      </c>
      <c r="BL474" s="148" t="str">
        <f t="shared" si="355"/>
        <v>COL M - BIG EAST</v>
      </c>
      <c r="BM474" s="148" t="str">
        <f t="shared" si="356"/>
        <v>COL M - ACC</v>
      </c>
      <c r="BN474" s="148" t="str">
        <f t="shared" si="357"/>
        <v>Round - 1</v>
      </c>
      <c r="BP474" s="148" t="str">
        <f t="shared" si="358"/>
        <v>no t, f, or sf</v>
      </c>
      <c r="BQ474" s="148" t="str">
        <f t="shared" si="359"/>
        <v/>
      </c>
    </row>
    <row r="475" spans="1:69" ht="15" customHeight="1" x14ac:dyDescent="0.2">
      <c r="A475" s="376">
        <v>473</v>
      </c>
      <c r="B475" s="121" t="s">
        <v>515</v>
      </c>
      <c r="C475" s="121" t="s">
        <v>518</v>
      </c>
      <c r="D475" s="382">
        <v>2</v>
      </c>
      <c r="E475" s="382">
        <v>1</v>
      </c>
      <c r="F475" s="315" t="s">
        <v>770</v>
      </c>
      <c r="G475" s="206">
        <v>43062</v>
      </c>
      <c r="H475" s="317">
        <v>0.40277777777777773</v>
      </c>
      <c r="I475" s="325" t="s">
        <v>770</v>
      </c>
      <c r="J475" s="121" t="s">
        <v>708</v>
      </c>
      <c r="K475" s="441"/>
      <c r="L475" s="121" t="s">
        <v>632</v>
      </c>
      <c r="M475" s="433"/>
      <c r="N475" s="121" t="s">
        <v>629</v>
      </c>
      <c r="O475" s="153" t="str">
        <f>IF(L475&lt;&gt;"",IFERROR(VLOOKUP(B475&amp;L475,Pools!$A$2:$D$130,3,FALSE),""),"")</f>
        <v/>
      </c>
      <c r="P475" s="388">
        <v>0</v>
      </c>
      <c r="Q475" s="388">
        <v>0</v>
      </c>
      <c r="R475" s="306" t="str">
        <f t="shared" si="315"/>
        <v>0-0</v>
      </c>
      <c r="S475" s="153"/>
      <c r="T475" s="148" t="str">
        <f t="shared" si="316"/>
        <v>Completed</v>
      </c>
      <c r="U475" s="153"/>
      <c r="V475" s="153"/>
      <c r="W475" s="387">
        <f t="shared" si="317"/>
        <v>0</v>
      </c>
      <c r="X475" s="387">
        <f t="shared" si="318"/>
        <v>0</v>
      </c>
      <c r="Y475" s="301">
        <f t="shared" si="319"/>
        <v>1</v>
      </c>
      <c r="Z475" s="301">
        <f t="shared" si="320"/>
        <v>1</v>
      </c>
      <c r="AA475" s="323" t="str">
        <f>CONCATENATE("                x[team1,team2,sport,'",IF(OR(I475="x",I475=""),VLOOKUP('Schedule from TM'!J475,Tables!$P$3:$Q$33,2,FALSE),'Schedule from TM'!I475),",",J475,"','",IF(OR(F475="x",F475=""),VLOOKUP('Schedule from TM'!G475,Tables!$U$3:$V$14,2,FALSE),'Schedule from TM'!F475),",",TEXT(G475,"mm/dd/yyyy"),"','",TEXT(H475,"h:mm:ss AM/PM"),"'].ub=0.0      #",B475)</f>
        <v xml:space="preserve">                x[team1,team2,sport,'21,Hillel - Gym Volleyball','11,11/23/2017','9:40:00 AM'].ub=0.0      #College Male Volleyball</v>
      </c>
      <c r="AB475" s="301" t="str">
        <f t="shared" si="321"/>
        <v>,,College Male Volleyball,,1,COL M - SEC</v>
      </c>
      <c r="AC475" s="153" t="str">
        <f t="shared" si="322"/>
        <v>College Male VolleyballCOL M - SEC</v>
      </c>
      <c r="AD475" s="301" t="str">
        <f t="shared" si="323"/>
        <v>,,College Male Volleyball,,1,COL M - BIG 12</v>
      </c>
      <c r="AE475" s="153" t="str">
        <f t="shared" si="324"/>
        <v>College Male VolleyballCOL M - BIG 12</v>
      </c>
      <c r="AF475" s="383">
        <f t="shared" si="325"/>
        <v>0</v>
      </c>
      <c r="AG475" s="383">
        <f t="shared" si="326"/>
        <v>0</v>
      </c>
      <c r="AH475" s="383">
        <f t="shared" si="327"/>
        <v>1</v>
      </c>
      <c r="AI475" s="383">
        <f t="shared" si="328"/>
        <v>0</v>
      </c>
      <c r="AJ475" s="383">
        <f t="shared" si="329"/>
        <v>0</v>
      </c>
      <c r="AK475" s="383">
        <f t="shared" si="330"/>
        <v>1</v>
      </c>
      <c r="AM475" s="148" t="str">
        <f t="shared" si="331"/>
        <v>Schedulled</v>
      </c>
      <c r="AN475" s="148" t="str">
        <f t="shared" si="332"/>
        <v/>
      </c>
      <c r="AO475" s="156">
        <f t="shared" si="333"/>
        <v>43062.402777777781</v>
      </c>
      <c r="AP475" s="148" t="str">
        <f t="shared" si="334"/>
        <v>11/23/2017 09:40-&gt;Hillel - Gym Volleyball</v>
      </c>
      <c r="AQ475" s="374">
        <f t="shared" si="335"/>
        <v>1</v>
      </c>
      <c r="AR475" s="148" t="str">
        <f t="shared" si="336"/>
        <v>SEC</v>
      </c>
      <c r="AS475" s="148" t="str">
        <f t="shared" si="337"/>
        <v>BIG12</v>
      </c>
      <c r="AT475" s="157" t="str">
        <f t="shared" si="338"/>
        <v>SEC-BIG12</v>
      </c>
      <c r="AU475" s="157" t="str">
        <f t="shared" si="339"/>
        <v xml:space="preserve">SEC-BIG12 </v>
      </c>
      <c r="AV475" s="157" t="str">
        <f t="shared" si="340"/>
        <v>COLLEGE</v>
      </c>
      <c r="AW475" s="157" t="str">
        <f t="shared" si="341"/>
        <v>Volleyball</v>
      </c>
      <c r="AX475" s="376">
        <f t="shared" si="342"/>
        <v>473</v>
      </c>
      <c r="AY475" s="148" t="str">
        <f t="shared" si="343"/>
        <v>COL M - SEC-&gt;COL M - BIG 12</v>
      </c>
      <c r="AZ475" s="148" t="str">
        <f t="shared" si="344"/>
        <v>11/23/2017 09:40-&gt;COL M - SEC</v>
      </c>
      <c r="BA475" s="148" t="str">
        <f t="shared" si="345"/>
        <v>11/23/2017 09:40-&gt;COL M - BIG 12</v>
      </c>
      <c r="BB475" s="374">
        <f t="shared" si="346"/>
        <v>1</v>
      </c>
      <c r="BC475" s="374">
        <f t="shared" si="347"/>
        <v>1</v>
      </c>
      <c r="BD475" s="148" t="str">
        <f t="shared" si="348"/>
        <v>no conflict</v>
      </c>
      <c r="BF475" s="148" t="str">
        <f t="shared" si="349"/>
        <v>11/23/2017 09:40-&gt;COL M - SEC</v>
      </c>
      <c r="BG475" s="148" t="str">
        <f t="shared" si="350"/>
        <v>11/23/2017 09:40-&gt;COL M - BIG 12</v>
      </c>
      <c r="BH475" s="148" t="str">
        <f t="shared" si="351"/>
        <v>11/23/2017 09:40-&gt;Hillel - Gym Volleyball</v>
      </c>
      <c r="BI475" s="148" t="str">
        <f t="shared" si="352"/>
        <v>Volleyball in Hillel - Gym Volleyball (SEC-BIG12)</v>
      </c>
      <c r="BJ475" s="148" t="str">
        <f t="shared" si="353"/>
        <v>College Male Volleyball-- COL M - SEC vs. COL M - BIG 12</v>
      </c>
      <c r="BK475" s="148" t="str">
        <f t="shared" si="354"/>
        <v>Volleyball</v>
      </c>
      <c r="BL475" s="148" t="str">
        <f t="shared" si="355"/>
        <v>COL M - SEC</v>
      </c>
      <c r="BM475" s="148" t="str">
        <f t="shared" si="356"/>
        <v>COL M - BIG 12</v>
      </c>
      <c r="BN475" s="148" t="str">
        <f t="shared" si="357"/>
        <v>Round - 1</v>
      </c>
      <c r="BP475" s="148" t="str">
        <f t="shared" si="358"/>
        <v>no t, f, or sf</v>
      </c>
      <c r="BQ475" s="148" t="str">
        <f t="shared" si="359"/>
        <v/>
      </c>
    </row>
    <row r="476" spans="1:69" ht="15" customHeight="1" x14ac:dyDescent="0.2">
      <c r="A476" s="376">
        <v>474</v>
      </c>
      <c r="B476" s="121" t="s">
        <v>515</v>
      </c>
      <c r="C476" s="315" t="s">
        <v>518</v>
      </c>
      <c r="D476" s="378">
        <v>1</v>
      </c>
      <c r="E476" s="382">
        <v>1</v>
      </c>
      <c r="F476" s="315" t="s">
        <v>770</v>
      </c>
      <c r="G476" s="206">
        <v>43062</v>
      </c>
      <c r="H476" s="317">
        <v>0.4375</v>
      </c>
      <c r="I476" s="325" t="s">
        <v>770</v>
      </c>
      <c r="J476" s="121" t="s">
        <v>708</v>
      </c>
      <c r="K476" s="315"/>
      <c r="L476" s="121" t="s">
        <v>630</v>
      </c>
      <c r="M476" s="433"/>
      <c r="N476" s="121" t="s">
        <v>629</v>
      </c>
      <c r="O476" s="153" t="str">
        <f>IF(L476&lt;&gt;"",IFERROR(VLOOKUP(B476&amp;L476,Pools!$A$2:$D$130,3,FALSE),""),"")</f>
        <v/>
      </c>
      <c r="P476" s="388">
        <v>2</v>
      </c>
      <c r="Q476" s="388">
        <v>0</v>
      </c>
      <c r="R476" s="306" t="str">
        <f t="shared" si="315"/>
        <v>2-0</v>
      </c>
      <c r="S476" s="153"/>
      <c r="T476" s="148" t="str">
        <f t="shared" si="316"/>
        <v>Completed</v>
      </c>
      <c r="U476" s="153"/>
      <c r="V476" s="153"/>
      <c r="W476" s="387">
        <f t="shared" si="317"/>
        <v>2</v>
      </c>
      <c r="X476" s="387">
        <f t="shared" si="318"/>
        <v>-2</v>
      </c>
      <c r="Y476" s="301">
        <f t="shared" si="319"/>
        <v>2</v>
      </c>
      <c r="Z476" s="301">
        <f t="shared" si="320"/>
        <v>0</v>
      </c>
      <c r="AA476" s="323" t="str">
        <f>CONCATENATE("                x[team1,team2,sport,'",IF(OR(I476="x",I476=""),VLOOKUP('Schedule from TM'!J476,Tables!$P$3:$Q$33,2,FALSE),'Schedule from TM'!I476),",",J476,"','",IF(OR(F476="x",F476=""),VLOOKUP('Schedule from TM'!G476,Tables!$U$3:$V$14,2,FALSE),'Schedule from TM'!F476),",",TEXT(G476,"mm/dd/yyyy"),"','",TEXT(H476,"h:mm:ss AM/PM"),"'].ub=0.0      #",B476)</f>
        <v xml:space="preserve">                x[team1,team2,sport,'21,Hillel - Gym Volleyball','11,11/23/2017','10:30:00 AM'].ub=0.0      #College Male Volleyball</v>
      </c>
      <c r="AB476" s="301" t="str">
        <f t="shared" si="321"/>
        <v>,,College Male Volleyball,,1,COL M - BIG EAST</v>
      </c>
      <c r="AC476" s="153" t="str">
        <f t="shared" si="322"/>
        <v>College Male VolleyballCOL M - BIG EAST</v>
      </c>
      <c r="AD476" s="301" t="str">
        <f t="shared" si="323"/>
        <v>,,College Male Volleyball,,1,COL M - BIG 12</v>
      </c>
      <c r="AE476" s="153" t="str">
        <f t="shared" si="324"/>
        <v>College Male VolleyballCOL M - BIG 12</v>
      </c>
      <c r="AF476" s="383">
        <f t="shared" si="325"/>
        <v>1</v>
      </c>
      <c r="AG476" s="383">
        <f t="shared" si="326"/>
        <v>0</v>
      </c>
      <c r="AH476" s="383">
        <f t="shared" si="327"/>
        <v>0</v>
      </c>
      <c r="AI476" s="383">
        <f t="shared" si="328"/>
        <v>0</v>
      </c>
      <c r="AJ476" s="383">
        <f t="shared" si="329"/>
        <v>1</v>
      </c>
      <c r="AK476" s="383">
        <f t="shared" si="330"/>
        <v>0</v>
      </c>
      <c r="AM476" s="148" t="str">
        <f t="shared" si="331"/>
        <v>Schedulled</v>
      </c>
      <c r="AN476" s="148" t="str">
        <f t="shared" si="332"/>
        <v/>
      </c>
      <c r="AO476" s="156">
        <f t="shared" si="333"/>
        <v>43062.4375</v>
      </c>
      <c r="AP476" s="148" t="str">
        <f t="shared" si="334"/>
        <v>11/23/2017 10:30-&gt;Hillel - Gym Volleyball</v>
      </c>
      <c r="AQ476" s="374">
        <f t="shared" si="335"/>
        <v>1</v>
      </c>
      <c r="AR476" s="148" t="str">
        <f t="shared" si="336"/>
        <v>BIGEAST</v>
      </c>
      <c r="AS476" s="148" t="str">
        <f t="shared" si="337"/>
        <v>BIG12</v>
      </c>
      <c r="AT476" s="157" t="str">
        <f t="shared" si="338"/>
        <v>BIGEAST-BIG12</v>
      </c>
      <c r="AU476" s="157" t="str">
        <f t="shared" si="339"/>
        <v xml:space="preserve">BIGEAST-BIG12 </v>
      </c>
      <c r="AV476" s="157" t="str">
        <f t="shared" si="340"/>
        <v>COLLEGE</v>
      </c>
      <c r="AW476" s="157" t="str">
        <f t="shared" si="341"/>
        <v>Volleyball</v>
      </c>
      <c r="AX476" s="376">
        <f t="shared" si="342"/>
        <v>474</v>
      </c>
      <c r="AY476" s="148" t="str">
        <f t="shared" si="343"/>
        <v>COL M - BIG EAST-&gt;COL M - BIG 12</v>
      </c>
      <c r="AZ476" s="148" t="str">
        <f t="shared" si="344"/>
        <v>11/23/2017 10:30-&gt;COL M - BIG EAST</v>
      </c>
      <c r="BA476" s="148" t="str">
        <f t="shared" si="345"/>
        <v>11/23/2017 10:30-&gt;COL M - BIG 12</v>
      </c>
      <c r="BB476" s="374">
        <f t="shared" si="346"/>
        <v>1</v>
      </c>
      <c r="BC476" s="374">
        <f t="shared" si="347"/>
        <v>1</v>
      </c>
      <c r="BD476" s="148" t="str">
        <f t="shared" si="348"/>
        <v>no conflict</v>
      </c>
      <c r="BF476" s="148" t="str">
        <f t="shared" si="349"/>
        <v>11/23/2017 10:30-&gt;COL M - BIG EAST</v>
      </c>
      <c r="BG476" s="148" t="str">
        <f t="shared" si="350"/>
        <v>11/23/2017 10:30-&gt;COL M - BIG 12</v>
      </c>
      <c r="BH476" s="148" t="str">
        <f t="shared" si="351"/>
        <v>11/23/2017 10:30-&gt;Hillel - Gym Volleyball</v>
      </c>
      <c r="BI476" s="148" t="str">
        <f t="shared" si="352"/>
        <v>Volleyball in Hillel - Gym Volleyball (BIGEAST-BIG12)</v>
      </c>
      <c r="BJ476" s="148" t="str">
        <f t="shared" si="353"/>
        <v>College Male Volleyball-- COL M - BIG EAST vs. COL M - BIG 12</v>
      </c>
      <c r="BK476" s="148" t="str">
        <f t="shared" si="354"/>
        <v>Volleyball</v>
      </c>
      <c r="BL476" s="148" t="str">
        <f t="shared" si="355"/>
        <v>COL M - BIG EAST</v>
      </c>
      <c r="BM476" s="148" t="str">
        <f t="shared" si="356"/>
        <v>COL M - BIG 12</v>
      </c>
      <c r="BN476" s="148" t="str">
        <f t="shared" si="357"/>
        <v>Round - 1</v>
      </c>
      <c r="BP476" s="148" t="str">
        <f t="shared" si="358"/>
        <v>no t, f, or sf</v>
      </c>
      <c r="BQ476" s="148" t="str">
        <f t="shared" si="359"/>
        <v/>
      </c>
    </row>
    <row r="477" spans="1:69" ht="15" customHeight="1" x14ac:dyDescent="0.2">
      <c r="A477" s="376">
        <v>475</v>
      </c>
      <c r="B477" s="121" t="s">
        <v>515</v>
      </c>
      <c r="C477" s="315" t="s">
        <v>518</v>
      </c>
      <c r="D477" s="378">
        <v>1</v>
      </c>
      <c r="E477" s="382">
        <v>1</v>
      </c>
      <c r="F477" s="315" t="s">
        <v>770</v>
      </c>
      <c r="G477" s="206">
        <v>43062</v>
      </c>
      <c r="H477" s="317">
        <v>0.47222222222222227</v>
      </c>
      <c r="I477" s="325" t="s">
        <v>770</v>
      </c>
      <c r="J477" s="121" t="s">
        <v>708</v>
      </c>
      <c r="K477" s="315"/>
      <c r="L477" s="121" t="s">
        <v>630</v>
      </c>
      <c r="M477" s="433"/>
      <c r="N477" s="121" t="s">
        <v>632</v>
      </c>
      <c r="O477" s="153" t="str">
        <f>IF(L477&lt;&gt;"",IFERROR(VLOOKUP(B477&amp;L477,Pools!$A$2:$D$130,3,FALSE),""),"")</f>
        <v/>
      </c>
      <c r="P477" s="388">
        <v>2</v>
      </c>
      <c r="Q477" s="388">
        <v>1</v>
      </c>
      <c r="R477" s="306" t="str">
        <f t="shared" si="315"/>
        <v>2-1</v>
      </c>
      <c r="S477" s="153"/>
      <c r="T477" s="148" t="str">
        <f t="shared" si="316"/>
        <v>Completed</v>
      </c>
      <c r="U477" s="153"/>
      <c r="V477" s="153"/>
      <c r="W477" s="387">
        <f t="shared" si="317"/>
        <v>1</v>
      </c>
      <c r="X477" s="387">
        <f t="shared" si="318"/>
        <v>-1</v>
      </c>
      <c r="Y477" s="301">
        <f t="shared" si="319"/>
        <v>2</v>
      </c>
      <c r="Z477" s="301">
        <f t="shared" si="320"/>
        <v>0</v>
      </c>
      <c r="AA477" s="323" t="str">
        <f>CONCATENATE("                x[team1,team2,sport,'",IF(OR(I477="x",I477=""),VLOOKUP('Schedule from TM'!J477,Tables!$P$3:$Q$33,2,FALSE),'Schedule from TM'!I477),",",J477,"','",IF(OR(F477="x",F477=""),VLOOKUP('Schedule from TM'!G477,Tables!$U$3:$V$14,2,FALSE),'Schedule from TM'!F477),",",TEXT(G477,"mm/dd/yyyy"),"','",TEXT(H477,"h:mm:ss AM/PM"),"'].ub=0.0      #",B477)</f>
        <v xml:space="preserve">                x[team1,team2,sport,'21,Hillel - Gym Volleyball','11,11/23/2017','11:20:00 AM'].ub=0.0      #College Male Volleyball</v>
      </c>
      <c r="AB477" s="301" t="str">
        <f t="shared" si="321"/>
        <v>,,College Male Volleyball,,1,COL M - BIG EAST</v>
      </c>
      <c r="AC477" s="153" t="str">
        <f t="shared" si="322"/>
        <v>College Male VolleyballCOL M - BIG EAST</v>
      </c>
      <c r="AD477" s="301" t="str">
        <f t="shared" si="323"/>
        <v>,,College Male Volleyball,,1,COL M - SEC</v>
      </c>
      <c r="AE477" s="153" t="str">
        <f t="shared" si="324"/>
        <v>College Male VolleyballCOL M - SEC</v>
      </c>
      <c r="AF477" s="383">
        <f t="shared" si="325"/>
        <v>1</v>
      </c>
      <c r="AG477" s="383">
        <f t="shared" si="326"/>
        <v>0</v>
      </c>
      <c r="AH477" s="383">
        <f t="shared" si="327"/>
        <v>0</v>
      </c>
      <c r="AI477" s="383">
        <f t="shared" si="328"/>
        <v>0</v>
      </c>
      <c r="AJ477" s="383">
        <f t="shared" si="329"/>
        <v>1</v>
      </c>
      <c r="AK477" s="383">
        <f t="shared" si="330"/>
        <v>0</v>
      </c>
      <c r="AM477" s="148" t="str">
        <f t="shared" si="331"/>
        <v>Schedulled</v>
      </c>
      <c r="AN477" s="148" t="str">
        <f t="shared" si="332"/>
        <v/>
      </c>
      <c r="AO477" s="156">
        <f t="shared" si="333"/>
        <v>43062.472222222219</v>
      </c>
      <c r="AP477" s="148" t="str">
        <f t="shared" si="334"/>
        <v>11/23/2017 11:20-&gt;Hillel - Gym Volleyball</v>
      </c>
      <c r="AQ477" s="374">
        <f t="shared" si="335"/>
        <v>1</v>
      </c>
      <c r="AR477" s="148" t="str">
        <f t="shared" si="336"/>
        <v>BIGEAST</v>
      </c>
      <c r="AS477" s="148" t="str">
        <f t="shared" si="337"/>
        <v>SEC</v>
      </c>
      <c r="AT477" s="157" t="str">
        <f t="shared" si="338"/>
        <v>BIGEAST-SEC</v>
      </c>
      <c r="AU477" s="157" t="str">
        <f t="shared" si="339"/>
        <v xml:space="preserve">BIGEAST-SEC </v>
      </c>
      <c r="AV477" s="157" t="str">
        <f t="shared" si="340"/>
        <v>COLLEGE</v>
      </c>
      <c r="AW477" s="157" t="str">
        <f t="shared" si="341"/>
        <v>Volleyball</v>
      </c>
      <c r="AX477" s="376">
        <f t="shared" si="342"/>
        <v>475</v>
      </c>
      <c r="AY477" s="148" t="str">
        <f t="shared" si="343"/>
        <v>COL M - BIG EAST-&gt;COL M - SEC</v>
      </c>
      <c r="AZ477" s="148" t="str">
        <f t="shared" si="344"/>
        <v>11/23/2017 11:20-&gt;COL M - BIG EAST</v>
      </c>
      <c r="BA477" s="148" t="str">
        <f t="shared" si="345"/>
        <v>11/23/2017 11:20-&gt;COL M - SEC</v>
      </c>
      <c r="BB477" s="374">
        <f t="shared" si="346"/>
        <v>1</v>
      </c>
      <c r="BC477" s="374">
        <f t="shared" si="347"/>
        <v>1</v>
      </c>
      <c r="BD477" s="148" t="str">
        <f t="shared" si="348"/>
        <v>no conflict</v>
      </c>
      <c r="BF477" s="148" t="str">
        <f t="shared" si="349"/>
        <v>11/23/2017 11:20-&gt;COL M - BIG EAST</v>
      </c>
      <c r="BG477" s="148" t="str">
        <f t="shared" si="350"/>
        <v>11/23/2017 11:20-&gt;COL M - SEC</v>
      </c>
      <c r="BH477" s="148" t="str">
        <f t="shared" si="351"/>
        <v>11/23/2017 11:20-&gt;Hillel - Gym Volleyball</v>
      </c>
      <c r="BI477" s="148" t="str">
        <f t="shared" si="352"/>
        <v>Volleyball in Hillel - Gym Volleyball (BIGEAST-SEC)</v>
      </c>
      <c r="BJ477" s="148" t="str">
        <f t="shared" si="353"/>
        <v>College Male Volleyball-- COL M - BIG EAST vs. COL M - SEC</v>
      </c>
      <c r="BK477" s="148" t="str">
        <f t="shared" si="354"/>
        <v>Volleyball</v>
      </c>
      <c r="BL477" s="148" t="str">
        <f t="shared" si="355"/>
        <v>COL M - BIG EAST</v>
      </c>
      <c r="BM477" s="148" t="str">
        <f t="shared" si="356"/>
        <v>COL M - SEC</v>
      </c>
      <c r="BN477" s="148" t="str">
        <f t="shared" si="357"/>
        <v>Round - 1</v>
      </c>
      <c r="BP477" s="148" t="str">
        <f t="shared" si="358"/>
        <v>no t, f, or sf</v>
      </c>
      <c r="BQ477" s="148" t="str">
        <f t="shared" si="359"/>
        <v/>
      </c>
    </row>
    <row r="478" spans="1:69" ht="15" customHeight="1" x14ac:dyDescent="0.2">
      <c r="A478" s="376">
        <v>476</v>
      </c>
      <c r="B478" s="121" t="s">
        <v>515</v>
      </c>
      <c r="C478" s="444" t="s">
        <v>518</v>
      </c>
      <c r="D478" s="451">
        <v>1</v>
      </c>
      <c r="E478" s="382">
        <v>1</v>
      </c>
      <c r="F478" s="315" t="s">
        <v>770</v>
      </c>
      <c r="G478" s="206">
        <v>43062</v>
      </c>
      <c r="H478" s="317">
        <v>0.54166666666666663</v>
      </c>
      <c r="I478" s="325" t="s">
        <v>770</v>
      </c>
      <c r="J478" s="121" t="s">
        <v>708</v>
      </c>
      <c r="K478" s="444"/>
      <c r="L478" s="121" t="s">
        <v>629</v>
      </c>
      <c r="M478" s="433"/>
      <c r="N478" s="121" t="s">
        <v>627</v>
      </c>
      <c r="O478" s="153" t="str">
        <f>IF(L478&lt;&gt;"",IFERROR(VLOOKUP(B478&amp;L478,Pools!$A$2:$D$130,3,FALSE),""),"")</f>
        <v/>
      </c>
      <c r="P478" s="388">
        <v>2</v>
      </c>
      <c r="Q478" s="388">
        <v>1</v>
      </c>
      <c r="R478" s="306" t="str">
        <f t="shared" si="315"/>
        <v>2-1</v>
      </c>
      <c r="S478" s="153"/>
      <c r="T478" s="148" t="str">
        <f t="shared" si="316"/>
        <v>Completed</v>
      </c>
      <c r="U478" s="153"/>
      <c r="V478" s="153"/>
      <c r="W478" s="387">
        <f t="shared" si="317"/>
        <v>1</v>
      </c>
      <c r="X478" s="387">
        <f t="shared" si="318"/>
        <v>-1</v>
      </c>
      <c r="Y478" s="301">
        <f t="shared" si="319"/>
        <v>2</v>
      </c>
      <c r="Z478" s="301">
        <f t="shared" si="320"/>
        <v>0</v>
      </c>
      <c r="AA478" s="323" t="str">
        <f>CONCATENATE("                x[team1,team2,sport,'",IF(OR(I478="x",I478=""),VLOOKUP('Schedule from TM'!J478,Tables!$P$3:$Q$33,2,FALSE),'Schedule from TM'!I478),",",J478,"','",IF(OR(F478="x",F478=""),VLOOKUP('Schedule from TM'!G478,Tables!$U$3:$V$14,2,FALSE),'Schedule from TM'!F478),",",TEXT(G478,"mm/dd/yyyy"),"','",TEXT(H478,"h:mm:ss AM/PM"),"'].ub=0.0      #",B478)</f>
        <v xml:space="preserve">                x[team1,team2,sport,'21,Hillel - Gym Volleyball','11,11/23/2017','1:00:00 PM'].ub=0.0      #College Male Volleyball</v>
      </c>
      <c r="AB478" s="301" t="str">
        <f t="shared" si="321"/>
        <v>,,College Male Volleyball,,1,COL M - BIG 12</v>
      </c>
      <c r="AC478" s="153" t="str">
        <f t="shared" si="322"/>
        <v>College Male VolleyballCOL M - BIG 12</v>
      </c>
      <c r="AD478" s="301" t="str">
        <f t="shared" si="323"/>
        <v>,,College Male Volleyball,,1,COL M - ACC</v>
      </c>
      <c r="AE478" s="153" t="str">
        <f t="shared" si="324"/>
        <v>College Male VolleyballCOL M - ACC</v>
      </c>
      <c r="AF478" s="383">
        <f t="shared" si="325"/>
        <v>1</v>
      </c>
      <c r="AG478" s="383">
        <f t="shared" si="326"/>
        <v>0</v>
      </c>
      <c r="AH478" s="383">
        <f t="shared" si="327"/>
        <v>0</v>
      </c>
      <c r="AI478" s="383">
        <f t="shared" si="328"/>
        <v>0</v>
      </c>
      <c r="AJ478" s="383">
        <f t="shared" si="329"/>
        <v>1</v>
      </c>
      <c r="AK478" s="383">
        <f t="shared" si="330"/>
        <v>0</v>
      </c>
      <c r="AM478" s="148" t="str">
        <f t="shared" si="331"/>
        <v>Schedulled</v>
      </c>
      <c r="AN478" s="148" t="str">
        <f t="shared" si="332"/>
        <v/>
      </c>
      <c r="AO478" s="156">
        <f t="shared" si="333"/>
        <v>43062.541666666664</v>
      </c>
      <c r="AP478" s="148" t="str">
        <f t="shared" si="334"/>
        <v>11/23/2017 13:00-&gt;Hillel - Gym Volleyball</v>
      </c>
      <c r="AQ478" s="374">
        <f t="shared" si="335"/>
        <v>1</v>
      </c>
      <c r="AR478" s="148" t="str">
        <f t="shared" si="336"/>
        <v>BIG12</v>
      </c>
      <c r="AS478" s="148" t="str">
        <f t="shared" si="337"/>
        <v>ACC</v>
      </c>
      <c r="AT478" s="157" t="str">
        <f t="shared" si="338"/>
        <v>BIG12-ACC</v>
      </c>
      <c r="AU478" s="157" t="str">
        <f t="shared" si="339"/>
        <v xml:space="preserve">BIG12-ACC </v>
      </c>
      <c r="AV478" s="157" t="str">
        <f t="shared" si="340"/>
        <v>COLLEGE</v>
      </c>
      <c r="AW478" s="157" t="str">
        <f t="shared" si="341"/>
        <v>Volleyball</v>
      </c>
      <c r="AX478" s="376">
        <f t="shared" si="342"/>
        <v>476</v>
      </c>
      <c r="AY478" s="148" t="str">
        <f t="shared" si="343"/>
        <v>COL M - BIG 12-&gt;COL M - ACC</v>
      </c>
      <c r="AZ478" s="148" t="str">
        <f t="shared" si="344"/>
        <v>11/23/2017 13:00-&gt;COL M - BIG 12</v>
      </c>
      <c r="BA478" s="148" t="str">
        <f t="shared" si="345"/>
        <v>11/23/2017 13:00-&gt;COL M - ACC</v>
      </c>
      <c r="BB478" s="374">
        <f t="shared" si="346"/>
        <v>1</v>
      </c>
      <c r="BC478" s="374">
        <f t="shared" si="347"/>
        <v>1</v>
      </c>
      <c r="BD478" s="148" t="str">
        <f t="shared" si="348"/>
        <v>no conflict</v>
      </c>
      <c r="BF478" s="148" t="str">
        <f t="shared" si="349"/>
        <v>11/23/2017 13:00-&gt;COL M - BIG 12</v>
      </c>
      <c r="BG478" s="148" t="str">
        <f t="shared" si="350"/>
        <v>11/23/2017 13:00-&gt;COL M - ACC</v>
      </c>
      <c r="BH478" s="148" t="str">
        <f t="shared" si="351"/>
        <v>11/23/2017 13:00-&gt;Hillel - Gym Volleyball</v>
      </c>
      <c r="BI478" s="148" t="str">
        <f t="shared" si="352"/>
        <v>Volleyball in Hillel - Gym Volleyball (BIG12-ACC)</v>
      </c>
      <c r="BJ478" s="148" t="str">
        <f t="shared" si="353"/>
        <v>College Male Volleyball-- COL M - BIG 12 vs. COL M - ACC</v>
      </c>
      <c r="BK478" s="148" t="str">
        <f t="shared" si="354"/>
        <v>Volleyball</v>
      </c>
      <c r="BL478" s="148" t="str">
        <f t="shared" si="355"/>
        <v>COL M - BIG 12</v>
      </c>
      <c r="BM478" s="148" t="str">
        <f t="shared" si="356"/>
        <v>COL M - ACC</v>
      </c>
      <c r="BN478" s="148" t="str">
        <f t="shared" si="357"/>
        <v>Round - 1</v>
      </c>
      <c r="BP478" s="148" t="str">
        <f t="shared" si="358"/>
        <v>no t, f, or sf</v>
      </c>
      <c r="BQ478" s="148" t="str">
        <f t="shared" si="359"/>
        <v/>
      </c>
    </row>
    <row r="479" spans="1:69" ht="15" customHeight="1" x14ac:dyDescent="0.2">
      <c r="A479" s="376">
        <v>477</v>
      </c>
      <c r="B479" s="121" t="s">
        <v>515</v>
      </c>
      <c r="C479" s="315" t="s">
        <v>518</v>
      </c>
      <c r="D479" s="378">
        <v>1</v>
      </c>
      <c r="E479" s="382">
        <v>1</v>
      </c>
      <c r="F479" s="315" t="s">
        <v>770</v>
      </c>
      <c r="G479" s="206">
        <v>43062</v>
      </c>
      <c r="H479" s="317">
        <v>0.61111111111111105</v>
      </c>
      <c r="I479" s="325" t="s">
        <v>770</v>
      </c>
      <c r="J479" s="121" t="s">
        <v>708</v>
      </c>
      <c r="K479" s="315"/>
      <c r="L479" s="121" t="s">
        <v>627</v>
      </c>
      <c r="M479" s="433"/>
      <c r="N479" s="121" t="s">
        <v>632</v>
      </c>
      <c r="O479" s="153" t="str">
        <f>IF(L479&lt;&gt;"",IFERROR(VLOOKUP(B479&amp;L479,Pools!$A$2:$D$130,3,FALSE),""),"")</f>
        <v/>
      </c>
      <c r="P479" s="388">
        <v>0</v>
      </c>
      <c r="Q479" s="388">
        <v>2</v>
      </c>
      <c r="R479" s="306" t="str">
        <f t="shared" si="315"/>
        <v>0-2</v>
      </c>
      <c r="S479" s="153"/>
      <c r="T479" s="148" t="str">
        <f t="shared" si="316"/>
        <v>Completed</v>
      </c>
      <c r="U479" s="153"/>
      <c r="V479" s="153"/>
      <c r="W479" s="387">
        <f t="shared" si="317"/>
        <v>-2</v>
      </c>
      <c r="X479" s="387">
        <f t="shared" si="318"/>
        <v>2</v>
      </c>
      <c r="Y479" s="301">
        <f t="shared" si="319"/>
        <v>0</v>
      </c>
      <c r="Z479" s="301">
        <f t="shared" si="320"/>
        <v>2</v>
      </c>
      <c r="AA479" s="323" t="str">
        <f>CONCATENATE("                x[team1,team2,sport,'",IF(OR(I479="x",I479=""),VLOOKUP('Schedule from TM'!J479,Tables!$P$3:$Q$33,2,FALSE),'Schedule from TM'!I479),",",J479,"','",IF(OR(F479="x",F479=""),VLOOKUP('Schedule from TM'!G479,Tables!$U$3:$V$14,2,FALSE),'Schedule from TM'!F479),",",TEXT(G479,"mm/dd/yyyy"),"','",TEXT(H479,"h:mm:ss AM/PM"),"'].ub=0.0      #",B479)</f>
        <v xml:space="preserve">                x[team1,team2,sport,'21,Hillel - Gym Volleyball','11,11/23/2017','2:40:00 PM'].ub=0.0      #College Male Volleyball</v>
      </c>
      <c r="AB479" s="301" t="str">
        <f t="shared" si="321"/>
        <v>,,College Male Volleyball,,1,COL M - ACC</v>
      </c>
      <c r="AC479" s="153" t="str">
        <f t="shared" si="322"/>
        <v>College Male VolleyballCOL M - ACC</v>
      </c>
      <c r="AD479" s="301" t="str">
        <f t="shared" si="323"/>
        <v>,,College Male Volleyball,,1,COL M - SEC</v>
      </c>
      <c r="AE479" s="153" t="str">
        <f t="shared" si="324"/>
        <v>College Male VolleyballCOL M - SEC</v>
      </c>
      <c r="AF479" s="383">
        <f t="shared" si="325"/>
        <v>0</v>
      </c>
      <c r="AG479" s="383">
        <f t="shared" si="326"/>
        <v>1</v>
      </c>
      <c r="AH479" s="383">
        <f t="shared" si="327"/>
        <v>0</v>
      </c>
      <c r="AI479" s="383">
        <f t="shared" si="328"/>
        <v>1</v>
      </c>
      <c r="AJ479" s="383">
        <f t="shared" si="329"/>
        <v>0</v>
      </c>
      <c r="AK479" s="383">
        <f t="shared" si="330"/>
        <v>0</v>
      </c>
      <c r="AM479" s="148" t="str">
        <f t="shared" si="331"/>
        <v>Schedulled</v>
      </c>
      <c r="AN479" s="148" t="str">
        <f t="shared" si="332"/>
        <v/>
      </c>
      <c r="AO479" s="156">
        <f t="shared" si="333"/>
        <v>43062.611111111109</v>
      </c>
      <c r="AP479" s="148" t="str">
        <f t="shared" si="334"/>
        <v>11/23/2017 14:40-&gt;Hillel - Gym Volleyball</v>
      </c>
      <c r="AQ479" s="374">
        <f t="shared" si="335"/>
        <v>1</v>
      </c>
      <c r="AR479" s="148" t="str">
        <f t="shared" si="336"/>
        <v>ACC</v>
      </c>
      <c r="AS479" s="148" t="str">
        <f t="shared" si="337"/>
        <v>SEC</v>
      </c>
      <c r="AT479" s="157" t="str">
        <f t="shared" si="338"/>
        <v>ACC-SEC</v>
      </c>
      <c r="AU479" s="157" t="str">
        <f t="shared" si="339"/>
        <v xml:space="preserve">ACC-SEC </v>
      </c>
      <c r="AV479" s="157" t="str">
        <f t="shared" si="340"/>
        <v>COLLEGE</v>
      </c>
      <c r="AW479" s="157" t="str">
        <f t="shared" si="341"/>
        <v>Volleyball</v>
      </c>
      <c r="AX479" s="376">
        <f t="shared" si="342"/>
        <v>477</v>
      </c>
      <c r="AY479" s="148" t="str">
        <f t="shared" si="343"/>
        <v>COL M - ACC-&gt;COL M - SEC</v>
      </c>
      <c r="AZ479" s="148" t="str">
        <f t="shared" si="344"/>
        <v>11/23/2017 14:40-&gt;COL M - ACC</v>
      </c>
      <c r="BA479" s="148" t="str">
        <f t="shared" si="345"/>
        <v>11/23/2017 14:40-&gt;COL M - SEC</v>
      </c>
      <c r="BB479" s="374">
        <f t="shared" si="346"/>
        <v>1</v>
      </c>
      <c r="BC479" s="374">
        <f t="shared" si="347"/>
        <v>1</v>
      </c>
      <c r="BD479" s="148" t="str">
        <f t="shared" si="348"/>
        <v>no conflict</v>
      </c>
      <c r="BF479" s="148" t="str">
        <f t="shared" si="349"/>
        <v>11/23/2017 14:40-&gt;COL M - ACC</v>
      </c>
      <c r="BG479" s="148" t="str">
        <f t="shared" si="350"/>
        <v>11/23/2017 14:40-&gt;COL M - SEC</v>
      </c>
      <c r="BH479" s="148" t="str">
        <f t="shared" si="351"/>
        <v>11/23/2017 14:40-&gt;Hillel - Gym Volleyball</v>
      </c>
      <c r="BI479" s="148" t="str">
        <f t="shared" si="352"/>
        <v>Volleyball in Hillel - Gym Volleyball (ACC-SEC)</v>
      </c>
      <c r="BJ479" s="148" t="str">
        <f t="shared" si="353"/>
        <v>College Male Volleyball-- COL M - ACC vs. COL M - SEC</v>
      </c>
      <c r="BK479" s="148" t="str">
        <f t="shared" si="354"/>
        <v>Volleyball</v>
      </c>
      <c r="BL479" s="148" t="str">
        <f t="shared" si="355"/>
        <v>COL M - ACC</v>
      </c>
      <c r="BM479" s="148" t="str">
        <f t="shared" si="356"/>
        <v>COL M - SEC</v>
      </c>
      <c r="BN479" s="148" t="str">
        <f t="shared" si="357"/>
        <v>Round - 1</v>
      </c>
      <c r="BP479" s="148" t="str">
        <f t="shared" si="358"/>
        <v>no t, f, or sf</v>
      </c>
      <c r="BQ479" s="148" t="str">
        <f t="shared" si="359"/>
        <v/>
      </c>
    </row>
    <row r="480" spans="1:69" ht="15" customHeight="1" x14ac:dyDescent="0.2">
      <c r="A480" s="376">
        <v>478</v>
      </c>
      <c r="B480" s="315" t="s">
        <v>72</v>
      </c>
      <c r="C480" s="315" t="s">
        <v>518</v>
      </c>
      <c r="D480" s="378">
        <v>1</v>
      </c>
      <c r="E480" s="378">
        <v>1</v>
      </c>
      <c r="F480" s="315" t="s">
        <v>770</v>
      </c>
      <c r="G480" s="316">
        <v>43058</v>
      </c>
      <c r="H480" s="317">
        <v>0.50694444444444442</v>
      </c>
      <c r="I480" s="325" t="s">
        <v>770</v>
      </c>
      <c r="J480" s="315" t="s">
        <v>696</v>
      </c>
      <c r="K480" s="315">
        <v>61</v>
      </c>
      <c r="L480" s="433" t="s">
        <v>639</v>
      </c>
      <c r="M480" s="433">
        <v>61</v>
      </c>
      <c r="N480" s="433" t="s">
        <v>638</v>
      </c>
      <c r="O480" s="153" t="str">
        <f>IF(L480&lt;&gt;"",IFERROR(VLOOKUP(B480&amp;L480,Pools!$A$2:$D$130,3,FALSE),""),"")</f>
        <v/>
      </c>
      <c r="P480" s="388">
        <v>42</v>
      </c>
      <c r="Q480" s="388">
        <v>28</v>
      </c>
      <c r="R480" s="306" t="str">
        <f t="shared" si="315"/>
        <v>42-28</v>
      </c>
      <c r="S480" s="153"/>
      <c r="T480" s="148" t="str">
        <f t="shared" si="316"/>
        <v>Completed</v>
      </c>
      <c r="U480" s="153"/>
      <c r="V480" s="153"/>
      <c r="W480" s="387">
        <f t="shared" si="317"/>
        <v>14</v>
      </c>
      <c r="X480" s="387">
        <f t="shared" si="318"/>
        <v>-14</v>
      </c>
      <c r="Y480" s="301">
        <f t="shared" si="319"/>
        <v>2</v>
      </c>
      <c r="Z480" s="301">
        <f t="shared" si="320"/>
        <v>0</v>
      </c>
      <c r="AA480" s="323" t="str">
        <f>CONCATENATE("                x[team1,team2,sport,'",IF(OR(I480="x",I480=""),VLOOKUP('Schedule from TM'!J480,Tables!$P$3:$Q$33,2,FALSE),'Schedule from TM'!I480),",",J480,"','",IF(OR(F480="x",F480=""),VLOOKUP('Schedule from TM'!G480,Tables!$U$3:$V$14,2,FALSE),'Schedule from TM'!F480),",",TEXT(G480,"mm/dd/yyyy"),"','",TEXT(H480,"h:mm:ss AM/PM"),"'].ub=0.0      #",B480)</f>
        <v xml:space="preserve">                x[team1,team2,sport,'11,JCC Gym North','11,11/19/2017','12:10:00 PM'].ub=0.0      #Junior A Male Basketball</v>
      </c>
      <c r="AB480" s="301" t="str">
        <f t="shared" si="321"/>
        <v>,,Junior A Male Basketball,,1,JR A M - COL 1</v>
      </c>
      <c r="AC480" s="153" t="str">
        <f t="shared" si="322"/>
        <v>Junior A Male BasketballJR A M - COL 1</v>
      </c>
      <c r="AD480" s="301" t="str">
        <f t="shared" si="323"/>
        <v>,,Junior A Male Basketball,,1,JR A M - ARG 2</v>
      </c>
      <c r="AE480" s="153" t="str">
        <f t="shared" si="324"/>
        <v>Junior A Male BasketballJR A M - ARG 2</v>
      </c>
      <c r="AF480" s="383">
        <f t="shared" si="325"/>
        <v>1</v>
      </c>
      <c r="AG480" s="383">
        <f t="shared" si="326"/>
        <v>0</v>
      </c>
      <c r="AH480" s="383">
        <f t="shared" si="327"/>
        <v>0</v>
      </c>
      <c r="AI480" s="383">
        <f t="shared" si="328"/>
        <v>0</v>
      </c>
      <c r="AJ480" s="383">
        <f t="shared" si="329"/>
        <v>1</v>
      </c>
      <c r="AK480" s="383">
        <f t="shared" si="330"/>
        <v>0</v>
      </c>
      <c r="AM480" s="148" t="str">
        <f t="shared" si="331"/>
        <v>Schedulled</v>
      </c>
      <c r="AN480" s="148" t="str">
        <f t="shared" si="332"/>
        <v/>
      </c>
      <c r="AO480" s="156">
        <f t="shared" si="333"/>
        <v>43058.506944444445</v>
      </c>
      <c r="AP480" s="148" t="str">
        <f t="shared" si="334"/>
        <v>11/19/2017 12:10-&gt;JCC Gym North</v>
      </c>
      <c r="AQ480" s="374">
        <f t="shared" si="335"/>
        <v>1</v>
      </c>
      <c r="AR480" s="148" t="str">
        <f t="shared" si="336"/>
        <v>COL1</v>
      </c>
      <c r="AS480" s="148" t="str">
        <f t="shared" si="337"/>
        <v>ARG2</v>
      </c>
      <c r="AT480" s="157" t="str">
        <f t="shared" si="338"/>
        <v>COL1-ARG2</v>
      </c>
      <c r="AU480" s="157" t="str">
        <f t="shared" si="339"/>
        <v xml:space="preserve">COL1-ARG2 </v>
      </c>
      <c r="AV480" s="157" t="str">
        <f t="shared" si="340"/>
        <v>JUNIORS A MALE</v>
      </c>
      <c r="AW480" s="157" t="str">
        <f t="shared" si="341"/>
        <v>Basketball</v>
      </c>
      <c r="AX480" s="376">
        <f t="shared" si="342"/>
        <v>478</v>
      </c>
      <c r="AY480" s="148" t="str">
        <f t="shared" si="343"/>
        <v>JR A M - COL 1-&gt;JR A M - ARG 2</v>
      </c>
      <c r="AZ480" s="148" t="str">
        <f t="shared" si="344"/>
        <v>11/19/2017 12:10-&gt;JR A M - COL 1</v>
      </c>
      <c r="BA480" s="148" t="str">
        <f t="shared" si="345"/>
        <v>11/19/2017 12:10-&gt;JR A M - ARG 2</v>
      </c>
      <c r="BB480" s="374">
        <f t="shared" si="346"/>
        <v>1</v>
      </c>
      <c r="BC480" s="374">
        <f t="shared" si="347"/>
        <v>1</v>
      </c>
      <c r="BD480" s="148" t="str">
        <f t="shared" si="348"/>
        <v>no conflict</v>
      </c>
      <c r="BF480" s="148" t="str">
        <f t="shared" si="349"/>
        <v>11/19/2017 12:10-&gt;JR A M - COL 1</v>
      </c>
      <c r="BG480" s="148" t="str">
        <f t="shared" si="350"/>
        <v>11/19/2017 12:10-&gt;JR A M - ARG 2</v>
      </c>
      <c r="BH480" s="148" t="str">
        <f t="shared" si="351"/>
        <v>11/19/2017 12:10-&gt;JCC Gym North</v>
      </c>
      <c r="BI480" s="148" t="str">
        <f t="shared" si="352"/>
        <v>Basketball in JCC Gym North (COL1-ARG2)</v>
      </c>
      <c r="BJ480" s="148" t="str">
        <f t="shared" si="353"/>
        <v>Junior A Male Basketball-- JR A M - COL 1 vs. JR A M - ARG 2</v>
      </c>
      <c r="BK480" s="148" t="str">
        <f t="shared" si="354"/>
        <v>Basketball</v>
      </c>
      <c r="BL480" s="148" t="str">
        <f t="shared" si="355"/>
        <v>JR A M - COL 1</v>
      </c>
      <c r="BM480" s="148" t="str">
        <f t="shared" si="356"/>
        <v>JR A M - ARG 2</v>
      </c>
      <c r="BN480" s="148" t="str">
        <f t="shared" si="357"/>
        <v>Round - 1</v>
      </c>
      <c r="BP480" s="148" t="str">
        <f t="shared" si="358"/>
        <v>no t, f, or sf</v>
      </c>
      <c r="BQ480" s="148" t="str">
        <f t="shared" si="359"/>
        <v/>
      </c>
    </row>
    <row r="481" spans="1:69" ht="15" customHeight="1" x14ac:dyDescent="0.2">
      <c r="A481" s="376">
        <v>479</v>
      </c>
      <c r="B481" s="315" t="s">
        <v>72</v>
      </c>
      <c r="C481" s="315" t="s">
        <v>518</v>
      </c>
      <c r="D481" s="378">
        <v>1</v>
      </c>
      <c r="E481" s="378">
        <v>1</v>
      </c>
      <c r="F481" s="315" t="s">
        <v>770</v>
      </c>
      <c r="G481" s="316">
        <v>43058</v>
      </c>
      <c r="H481" s="317">
        <v>0.54166666666666663</v>
      </c>
      <c r="I481" s="325" t="s">
        <v>770</v>
      </c>
      <c r="J481" s="315" t="s">
        <v>696</v>
      </c>
      <c r="K481" s="315">
        <v>61</v>
      </c>
      <c r="L481" s="433" t="s">
        <v>719</v>
      </c>
      <c r="M481" s="433">
        <v>61</v>
      </c>
      <c r="N481" s="433" t="s">
        <v>645</v>
      </c>
      <c r="O481" s="153" t="str">
        <f>IF(L481&lt;&gt;"",IFERROR(VLOOKUP(B481&amp;L481,Pools!$A$2:$D$130,3,FALSE),""),"")</f>
        <v/>
      </c>
      <c r="P481" s="388">
        <v>30</v>
      </c>
      <c r="Q481" s="388">
        <v>31</v>
      </c>
      <c r="R481" s="306" t="str">
        <f t="shared" si="315"/>
        <v>30-31</v>
      </c>
      <c r="S481" s="153"/>
      <c r="T481" s="148" t="str">
        <f t="shared" si="316"/>
        <v>Completed</v>
      </c>
      <c r="U481" s="153"/>
      <c r="V481" s="153"/>
      <c r="W481" s="387">
        <f t="shared" si="317"/>
        <v>-1</v>
      </c>
      <c r="X481" s="387">
        <f t="shared" si="318"/>
        <v>1</v>
      </c>
      <c r="Y481" s="301">
        <f t="shared" si="319"/>
        <v>0</v>
      </c>
      <c r="Z481" s="301">
        <f t="shared" si="320"/>
        <v>2</v>
      </c>
      <c r="AA481" s="323" t="str">
        <f>CONCATENATE("                x[team1,team2,sport,'",IF(OR(I481="x",I481=""),VLOOKUP('Schedule from TM'!J481,Tables!$P$3:$Q$33,2,FALSE),'Schedule from TM'!I481),",",J481,"','",IF(OR(F481="x",F481=""),VLOOKUP('Schedule from TM'!G481,Tables!$U$3:$V$14,2,FALSE),'Schedule from TM'!F481),",",TEXT(G481,"mm/dd/yyyy"),"','",TEXT(H481,"h:mm:ss AM/PM"),"'].ub=0.0      #",B481)</f>
        <v xml:space="preserve">                x[team1,team2,sport,'11,JCC Gym North','11,11/19/2017','1:00:00 PM'].ub=0.0      #Junior A Male Basketball</v>
      </c>
      <c r="AB481" s="301" t="str">
        <f t="shared" si="321"/>
        <v>,,Junior A Male Basketball,,1,JR A M - MEX 1</v>
      </c>
      <c r="AC481" s="153" t="str">
        <f t="shared" si="322"/>
        <v>Junior A Male BasketballJR A M - MEX 1</v>
      </c>
      <c r="AD481" s="301" t="str">
        <f t="shared" si="323"/>
        <v>,,Junior A Male Basketball,,1,JR A M - VEN 1</v>
      </c>
      <c r="AE481" s="153" t="str">
        <f t="shared" si="324"/>
        <v>Junior A Male BasketballJR A M - VEN 1</v>
      </c>
      <c r="AF481" s="383">
        <f t="shared" si="325"/>
        <v>0</v>
      </c>
      <c r="AG481" s="383">
        <f t="shared" si="326"/>
        <v>1</v>
      </c>
      <c r="AH481" s="383">
        <f t="shared" si="327"/>
        <v>0</v>
      </c>
      <c r="AI481" s="383">
        <f t="shared" si="328"/>
        <v>1</v>
      </c>
      <c r="AJ481" s="383">
        <f t="shared" si="329"/>
        <v>0</v>
      </c>
      <c r="AK481" s="383">
        <f t="shared" si="330"/>
        <v>0</v>
      </c>
      <c r="AM481" s="148" t="str">
        <f t="shared" si="331"/>
        <v>Schedulled</v>
      </c>
      <c r="AN481" s="148" t="str">
        <f t="shared" si="332"/>
        <v/>
      </c>
      <c r="AO481" s="156">
        <f t="shared" si="333"/>
        <v>43058.541666666664</v>
      </c>
      <c r="AP481" s="148" t="str">
        <f t="shared" si="334"/>
        <v>11/19/2017 13:00-&gt;JCC Gym North</v>
      </c>
      <c r="AQ481" s="374">
        <f t="shared" si="335"/>
        <v>1</v>
      </c>
      <c r="AR481" s="148" t="str">
        <f t="shared" si="336"/>
        <v>MEX1</v>
      </c>
      <c r="AS481" s="148" t="str">
        <f t="shared" si="337"/>
        <v>VEN1</v>
      </c>
      <c r="AT481" s="157" t="str">
        <f t="shared" si="338"/>
        <v>MEX1-VEN1</v>
      </c>
      <c r="AU481" s="157" t="str">
        <f t="shared" si="339"/>
        <v xml:space="preserve">MEX1-VEN1 </v>
      </c>
      <c r="AV481" s="157" t="str">
        <f t="shared" si="340"/>
        <v>JUNIORS A MALE</v>
      </c>
      <c r="AW481" s="157" t="str">
        <f t="shared" si="341"/>
        <v>Basketball</v>
      </c>
      <c r="AX481" s="376">
        <f t="shared" si="342"/>
        <v>479</v>
      </c>
      <c r="AY481" s="148" t="str">
        <f t="shared" si="343"/>
        <v>JR A M - MEX 1-&gt;JR A M - VEN 1</v>
      </c>
      <c r="AZ481" s="148" t="str">
        <f t="shared" si="344"/>
        <v>11/19/2017 13:00-&gt;JR A M - MEX 1</v>
      </c>
      <c r="BA481" s="148" t="str">
        <f t="shared" si="345"/>
        <v>11/19/2017 13:00-&gt;JR A M - VEN 1</v>
      </c>
      <c r="BB481" s="374">
        <f t="shared" si="346"/>
        <v>1</v>
      </c>
      <c r="BC481" s="374">
        <f t="shared" si="347"/>
        <v>1</v>
      </c>
      <c r="BD481" s="148" t="str">
        <f t="shared" si="348"/>
        <v>no conflict</v>
      </c>
      <c r="BF481" s="148" t="str">
        <f t="shared" si="349"/>
        <v>11/19/2017 13:00-&gt;JR A M - MEX 1</v>
      </c>
      <c r="BG481" s="148" t="str">
        <f t="shared" si="350"/>
        <v>11/19/2017 13:00-&gt;JR A M - VEN 1</v>
      </c>
      <c r="BH481" s="148" t="str">
        <f t="shared" si="351"/>
        <v>11/19/2017 13:00-&gt;JCC Gym North</v>
      </c>
      <c r="BI481" s="148" t="str">
        <f t="shared" si="352"/>
        <v>Basketball in JCC Gym North (MEX1-VEN1)</v>
      </c>
      <c r="BJ481" s="148" t="str">
        <f t="shared" si="353"/>
        <v>Junior A Male Basketball-- JR A M - MEX 1 vs. JR A M - VEN 1</v>
      </c>
      <c r="BK481" s="148" t="str">
        <f t="shared" si="354"/>
        <v>Basketball</v>
      </c>
      <c r="BL481" s="148" t="str">
        <f t="shared" si="355"/>
        <v>JR A M - MEX 1</v>
      </c>
      <c r="BM481" s="148" t="str">
        <f t="shared" si="356"/>
        <v>JR A M - VEN 1</v>
      </c>
      <c r="BN481" s="148" t="str">
        <f t="shared" si="357"/>
        <v>Round - 1</v>
      </c>
      <c r="BP481" s="148" t="str">
        <f t="shared" si="358"/>
        <v>no t, f, or sf</v>
      </c>
      <c r="BQ481" s="148" t="str">
        <f t="shared" si="359"/>
        <v/>
      </c>
    </row>
    <row r="482" spans="1:69" ht="15" customHeight="1" x14ac:dyDescent="0.2">
      <c r="A482" s="376">
        <v>480</v>
      </c>
      <c r="B482" s="444" t="s">
        <v>72</v>
      </c>
      <c r="C482" s="444" t="s">
        <v>518</v>
      </c>
      <c r="D482" s="451">
        <v>1</v>
      </c>
      <c r="E482" s="451">
        <v>1</v>
      </c>
      <c r="F482" s="315" t="s">
        <v>770</v>
      </c>
      <c r="G482" s="445">
        <v>43058</v>
      </c>
      <c r="H482" s="317">
        <v>0.57638888888888895</v>
      </c>
      <c r="I482" s="325" t="s">
        <v>770</v>
      </c>
      <c r="J482" s="444" t="s">
        <v>696</v>
      </c>
      <c r="K482" s="444">
        <v>61</v>
      </c>
      <c r="L482" s="444" t="s">
        <v>638</v>
      </c>
      <c r="M482" s="444">
        <v>61</v>
      </c>
      <c r="N482" s="444" t="s">
        <v>642</v>
      </c>
      <c r="O482" s="153" t="str">
        <f>IF(L482&lt;&gt;"",IFERROR(VLOOKUP(B482&amp;L482,Pools!$A$2:$D$130,3,FALSE),""),"")</f>
        <v/>
      </c>
      <c r="P482" s="388">
        <v>26</v>
      </c>
      <c r="Q482" s="388">
        <v>40</v>
      </c>
      <c r="R482" s="306" t="str">
        <f t="shared" si="315"/>
        <v>26-40</v>
      </c>
      <c r="S482" s="153"/>
      <c r="T482" s="148" t="str">
        <f t="shared" si="316"/>
        <v>Completed</v>
      </c>
      <c r="U482" s="153"/>
      <c r="V482" s="153"/>
      <c r="W482" s="387">
        <f t="shared" si="317"/>
        <v>-14</v>
      </c>
      <c r="X482" s="387">
        <f t="shared" si="318"/>
        <v>14</v>
      </c>
      <c r="Y482" s="301">
        <f t="shared" si="319"/>
        <v>0</v>
      </c>
      <c r="Z482" s="301">
        <f t="shared" si="320"/>
        <v>2</v>
      </c>
      <c r="AA482" s="323" t="str">
        <f>CONCATENATE("                x[team1,team2,sport,'",IF(OR(I482="x",I482=""),VLOOKUP('Schedule from TM'!J482,Tables!$P$3:$Q$33,2,FALSE),'Schedule from TM'!I482),",",J482,"','",IF(OR(F482="x",F482=""),VLOOKUP('Schedule from TM'!G482,Tables!$U$3:$V$14,2,FALSE),'Schedule from TM'!F482),",",TEXT(G482,"mm/dd/yyyy"),"','",TEXT(H482,"h:mm:ss AM/PM"),"'].ub=0.0      #",B482)</f>
        <v xml:space="preserve">                x[team1,team2,sport,'11,JCC Gym North','11,11/19/2017','1:50:00 PM'].ub=0.0      #Junior A Male Basketball</v>
      </c>
      <c r="AB482" s="301" t="str">
        <f t="shared" si="321"/>
        <v>,,Junior A Male Basketball,,1,JR A M - ARG 2</v>
      </c>
      <c r="AC482" s="153" t="str">
        <f t="shared" si="322"/>
        <v>Junior A Male BasketballJR A M - ARG 2</v>
      </c>
      <c r="AD482" s="301" t="str">
        <f t="shared" si="323"/>
        <v>,,Junior A Male Basketball,,1,JR A M - USA 1</v>
      </c>
      <c r="AE482" s="153" t="str">
        <f t="shared" si="324"/>
        <v>Junior A Male BasketballJR A M - USA 1</v>
      </c>
      <c r="AF482" s="383">
        <f t="shared" si="325"/>
        <v>0</v>
      </c>
      <c r="AG482" s="383">
        <f t="shared" si="326"/>
        <v>1</v>
      </c>
      <c r="AH482" s="383">
        <f t="shared" si="327"/>
        <v>0</v>
      </c>
      <c r="AI482" s="383">
        <f t="shared" si="328"/>
        <v>1</v>
      </c>
      <c r="AJ482" s="383">
        <f t="shared" si="329"/>
        <v>0</v>
      </c>
      <c r="AK482" s="383">
        <f t="shared" si="330"/>
        <v>0</v>
      </c>
      <c r="AM482" s="148" t="str">
        <f t="shared" si="331"/>
        <v>Schedulled</v>
      </c>
      <c r="AN482" s="148" t="str">
        <f t="shared" si="332"/>
        <v/>
      </c>
      <c r="AO482" s="156">
        <f t="shared" si="333"/>
        <v>43058.576388888891</v>
      </c>
      <c r="AP482" s="148" t="str">
        <f t="shared" si="334"/>
        <v>11/19/2017 13:50-&gt;JCC Gym North</v>
      </c>
      <c r="AQ482" s="374">
        <f t="shared" si="335"/>
        <v>1</v>
      </c>
      <c r="AR482" s="148" t="str">
        <f t="shared" si="336"/>
        <v>ARG2</v>
      </c>
      <c r="AS482" s="148" t="str">
        <f t="shared" si="337"/>
        <v>USA1</v>
      </c>
      <c r="AT482" s="157" t="str">
        <f t="shared" si="338"/>
        <v>ARG2-USA1</v>
      </c>
      <c r="AU482" s="157" t="str">
        <f t="shared" si="339"/>
        <v xml:space="preserve">ARG2-USA1 </v>
      </c>
      <c r="AV482" s="157" t="str">
        <f t="shared" si="340"/>
        <v>JUNIORS A MALE</v>
      </c>
      <c r="AW482" s="157" t="str">
        <f t="shared" si="341"/>
        <v>Basketball</v>
      </c>
      <c r="AX482" s="376">
        <f t="shared" si="342"/>
        <v>480</v>
      </c>
      <c r="AY482" s="148" t="str">
        <f t="shared" si="343"/>
        <v>JR A M - ARG 2-&gt;JR A M - USA 1</v>
      </c>
      <c r="AZ482" s="148" t="str">
        <f t="shared" si="344"/>
        <v>11/19/2017 13:50-&gt;JR A M - ARG 2</v>
      </c>
      <c r="BA482" s="148" t="str">
        <f t="shared" si="345"/>
        <v>11/19/2017 13:50-&gt;JR A M - USA 1</v>
      </c>
      <c r="BB482" s="374">
        <f t="shared" si="346"/>
        <v>1</v>
      </c>
      <c r="BC482" s="374">
        <f t="shared" si="347"/>
        <v>1</v>
      </c>
      <c r="BD482" s="148" t="str">
        <f t="shared" si="348"/>
        <v>no conflict</v>
      </c>
      <c r="BF482" s="148" t="str">
        <f t="shared" si="349"/>
        <v>11/19/2017 13:50-&gt;JR A M - ARG 2</v>
      </c>
      <c r="BG482" s="148" t="str">
        <f t="shared" si="350"/>
        <v>11/19/2017 13:50-&gt;JR A M - USA 1</v>
      </c>
      <c r="BH482" s="148" t="str">
        <f t="shared" si="351"/>
        <v>11/19/2017 13:50-&gt;JCC Gym North</v>
      </c>
      <c r="BI482" s="148" t="str">
        <f t="shared" si="352"/>
        <v>Basketball in JCC Gym North (ARG2-USA1)</v>
      </c>
      <c r="BJ482" s="148" t="str">
        <f t="shared" si="353"/>
        <v>Junior A Male Basketball-- JR A M - ARG 2 vs. JR A M - USA 1</v>
      </c>
      <c r="BK482" s="148" t="str">
        <f t="shared" si="354"/>
        <v>Basketball</v>
      </c>
      <c r="BL482" s="148" t="str">
        <f t="shared" si="355"/>
        <v>JR A M - ARG 2</v>
      </c>
      <c r="BM482" s="148" t="str">
        <f t="shared" si="356"/>
        <v>JR A M - USA 1</v>
      </c>
      <c r="BN482" s="148" t="str">
        <f t="shared" si="357"/>
        <v>Round - 1</v>
      </c>
      <c r="BP482" s="148" t="str">
        <f t="shared" si="358"/>
        <v>no t, f, or sf</v>
      </c>
      <c r="BQ482" s="148" t="str">
        <f t="shared" si="359"/>
        <v/>
      </c>
    </row>
    <row r="483" spans="1:69" ht="15" customHeight="1" x14ac:dyDescent="0.2">
      <c r="A483" s="376">
        <v>481</v>
      </c>
      <c r="B483" s="319" t="s">
        <v>72</v>
      </c>
      <c r="C483" s="319" t="s">
        <v>518</v>
      </c>
      <c r="D483" s="376">
        <v>1</v>
      </c>
      <c r="E483" s="376">
        <v>1</v>
      </c>
      <c r="F483" s="315" t="s">
        <v>770</v>
      </c>
      <c r="G483" s="320">
        <v>43058</v>
      </c>
      <c r="H483" s="317">
        <v>0.61111111111111105</v>
      </c>
      <c r="I483" s="325" t="s">
        <v>770</v>
      </c>
      <c r="J483" s="319" t="s">
        <v>696</v>
      </c>
      <c r="K483" s="319">
        <v>61</v>
      </c>
      <c r="L483" s="433" t="s">
        <v>720</v>
      </c>
      <c r="M483" s="433">
        <v>61</v>
      </c>
      <c r="N483" s="433" t="s">
        <v>643</v>
      </c>
      <c r="O483" s="153" t="str">
        <f>IF(L483&lt;&gt;"",IFERROR(VLOOKUP(B483&amp;L483,Pools!$A$2:$D$130,3,FALSE),""),"")</f>
        <v/>
      </c>
      <c r="P483" s="388">
        <v>40</v>
      </c>
      <c r="Q483" s="388">
        <v>35</v>
      </c>
      <c r="R483" s="306" t="str">
        <f t="shared" si="315"/>
        <v>40-35</v>
      </c>
      <c r="S483" s="153"/>
      <c r="T483" s="148" t="str">
        <f t="shared" si="316"/>
        <v>Completed</v>
      </c>
      <c r="U483" s="153"/>
      <c r="V483" s="153"/>
      <c r="W483" s="387">
        <f t="shared" si="317"/>
        <v>5</v>
      </c>
      <c r="X483" s="387">
        <f t="shared" si="318"/>
        <v>-5</v>
      </c>
      <c r="Y483" s="301">
        <f t="shared" si="319"/>
        <v>2</v>
      </c>
      <c r="Z483" s="301">
        <f t="shared" si="320"/>
        <v>0</v>
      </c>
      <c r="AA483" s="323" t="str">
        <f>CONCATENATE("                x[team1,team2,sport,'",IF(OR(I483="x",I483=""),VLOOKUP('Schedule from TM'!J483,Tables!$P$3:$Q$33,2,FALSE),'Schedule from TM'!I483),",",J483,"','",IF(OR(F483="x",F483=""),VLOOKUP('Schedule from TM'!G483,Tables!$U$3:$V$14,2,FALSE),'Schedule from TM'!F483),",",TEXT(G483,"mm/dd/yyyy"),"','",TEXT(H483,"h:mm:ss AM/PM"),"'].ub=0.0      #",B483)</f>
        <v xml:space="preserve">                x[team1,team2,sport,'11,JCC Gym North','11,11/19/2017','2:40:00 PM'].ub=0.0      #Junior A Male Basketball</v>
      </c>
      <c r="AB483" s="301" t="str">
        <f t="shared" si="321"/>
        <v>,,Junior A Male Basketball,,1,JR A M - MEX 2</v>
      </c>
      <c r="AC483" s="153" t="str">
        <f t="shared" si="322"/>
        <v>Junior A Male BasketballJR A M - MEX 2</v>
      </c>
      <c r="AD483" s="301" t="str">
        <f t="shared" si="323"/>
        <v>,,Junior A Male Basketball,,1,JR A M - USA 2</v>
      </c>
      <c r="AE483" s="153" t="str">
        <f t="shared" si="324"/>
        <v>Junior A Male BasketballJR A M - USA 2</v>
      </c>
      <c r="AF483" s="383">
        <f t="shared" si="325"/>
        <v>1</v>
      </c>
      <c r="AG483" s="383">
        <f t="shared" si="326"/>
        <v>0</v>
      </c>
      <c r="AH483" s="383">
        <f t="shared" si="327"/>
        <v>0</v>
      </c>
      <c r="AI483" s="383">
        <f t="shared" si="328"/>
        <v>0</v>
      </c>
      <c r="AJ483" s="383">
        <f t="shared" si="329"/>
        <v>1</v>
      </c>
      <c r="AK483" s="383">
        <f t="shared" si="330"/>
        <v>0</v>
      </c>
      <c r="AM483" s="148" t="str">
        <f t="shared" si="331"/>
        <v>Schedulled</v>
      </c>
      <c r="AN483" s="148" t="str">
        <f t="shared" si="332"/>
        <v/>
      </c>
      <c r="AO483" s="156">
        <f t="shared" si="333"/>
        <v>43058.611111111109</v>
      </c>
      <c r="AP483" s="148" t="str">
        <f t="shared" si="334"/>
        <v>11/19/2017 14:40-&gt;JCC Gym North</v>
      </c>
      <c r="AQ483" s="374">
        <f t="shared" si="335"/>
        <v>1</v>
      </c>
      <c r="AR483" s="148" t="str">
        <f t="shared" si="336"/>
        <v>MEX2</v>
      </c>
      <c r="AS483" s="148" t="str">
        <f t="shared" si="337"/>
        <v>USA2</v>
      </c>
      <c r="AT483" s="157" t="str">
        <f t="shared" si="338"/>
        <v>MEX2-USA2</v>
      </c>
      <c r="AU483" s="157" t="str">
        <f t="shared" si="339"/>
        <v xml:space="preserve">MEX2-USA2 </v>
      </c>
      <c r="AV483" s="157" t="str">
        <f t="shared" si="340"/>
        <v>JUNIORS A MALE</v>
      </c>
      <c r="AW483" s="157" t="str">
        <f t="shared" si="341"/>
        <v>Basketball</v>
      </c>
      <c r="AX483" s="376">
        <f t="shared" si="342"/>
        <v>481</v>
      </c>
      <c r="AY483" s="148" t="str">
        <f t="shared" si="343"/>
        <v>JR A M - MEX 2-&gt;JR A M - USA 2</v>
      </c>
      <c r="AZ483" s="148" t="str">
        <f t="shared" si="344"/>
        <v>11/19/2017 14:40-&gt;JR A M - MEX 2</v>
      </c>
      <c r="BA483" s="148" t="str">
        <f t="shared" si="345"/>
        <v>11/19/2017 14:40-&gt;JR A M - USA 2</v>
      </c>
      <c r="BB483" s="374">
        <f t="shared" si="346"/>
        <v>1</v>
      </c>
      <c r="BC483" s="374">
        <f t="shared" si="347"/>
        <v>1</v>
      </c>
      <c r="BD483" s="148" t="str">
        <f t="shared" si="348"/>
        <v>no conflict</v>
      </c>
      <c r="BF483" s="148" t="str">
        <f t="shared" si="349"/>
        <v>11/19/2017 14:40-&gt;JR A M - MEX 2</v>
      </c>
      <c r="BG483" s="148" t="str">
        <f t="shared" si="350"/>
        <v>11/19/2017 14:40-&gt;JR A M - USA 2</v>
      </c>
      <c r="BH483" s="148" t="str">
        <f t="shared" si="351"/>
        <v>11/19/2017 14:40-&gt;JCC Gym North</v>
      </c>
      <c r="BI483" s="148" t="str">
        <f t="shared" si="352"/>
        <v>Basketball in JCC Gym North (MEX2-USA2)</v>
      </c>
      <c r="BJ483" s="148" t="str">
        <f t="shared" si="353"/>
        <v>Junior A Male Basketball-- JR A M - MEX 2 vs. JR A M - USA 2</v>
      </c>
      <c r="BK483" s="148" t="str">
        <f t="shared" si="354"/>
        <v>Basketball</v>
      </c>
      <c r="BL483" s="148" t="str">
        <f t="shared" si="355"/>
        <v>JR A M - MEX 2</v>
      </c>
      <c r="BM483" s="148" t="str">
        <f t="shared" si="356"/>
        <v>JR A M - USA 2</v>
      </c>
      <c r="BN483" s="148" t="str">
        <f t="shared" si="357"/>
        <v>Round - 1</v>
      </c>
      <c r="BP483" s="148" t="str">
        <f t="shared" si="358"/>
        <v>no t, f, or sf</v>
      </c>
      <c r="BQ483" s="148" t="str">
        <f t="shared" si="359"/>
        <v/>
      </c>
    </row>
    <row r="484" spans="1:69" ht="15" customHeight="1" x14ac:dyDescent="0.2">
      <c r="A484" s="376">
        <v>482</v>
      </c>
      <c r="B484" s="328" t="s">
        <v>72</v>
      </c>
      <c r="C484" s="315" t="s">
        <v>518</v>
      </c>
      <c r="D484" s="378">
        <v>1</v>
      </c>
      <c r="E484" s="378">
        <v>1</v>
      </c>
      <c r="F484" s="315" t="s">
        <v>770</v>
      </c>
      <c r="G484" s="316">
        <v>43058</v>
      </c>
      <c r="H484" s="317">
        <v>0.68055555555555547</v>
      </c>
      <c r="I484" s="325" t="s">
        <v>770</v>
      </c>
      <c r="J484" s="315" t="s">
        <v>707</v>
      </c>
      <c r="K484" s="315">
        <v>61</v>
      </c>
      <c r="L484" s="441" t="s">
        <v>643</v>
      </c>
      <c r="M484" s="315">
        <v>61</v>
      </c>
      <c r="N484" s="441" t="s">
        <v>646</v>
      </c>
      <c r="O484" s="153" t="str">
        <f>IF(L484&lt;&gt;"",IFERROR(VLOOKUP(B484&amp;L484,Pools!$A$2:$D$130,3,FALSE),""),"")</f>
        <v/>
      </c>
      <c r="P484" s="388">
        <v>37</v>
      </c>
      <c r="Q484" s="388">
        <v>12</v>
      </c>
      <c r="R484" s="306" t="str">
        <f t="shared" si="315"/>
        <v>37-12</v>
      </c>
      <c r="S484" s="153"/>
      <c r="T484" s="148" t="str">
        <f t="shared" si="316"/>
        <v>Completed</v>
      </c>
      <c r="U484" s="153"/>
      <c r="V484" s="153"/>
      <c r="W484" s="387">
        <f t="shared" si="317"/>
        <v>15</v>
      </c>
      <c r="X484" s="387">
        <f t="shared" si="318"/>
        <v>-15</v>
      </c>
      <c r="Y484" s="301">
        <f t="shared" si="319"/>
        <v>2</v>
      </c>
      <c r="Z484" s="301">
        <f t="shared" si="320"/>
        <v>0</v>
      </c>
      <c r="AA484" s="323" t="str">
        <f>CONCATENATE("                x[team1,team2,sport,'",IF(OR(I484="x",I484=""),VLOOKUP('Schedule from TM'!J484,Tables!$P$3:$Q$33,2,FALSE),'Schedule from TM'!I484),",",J484,"','",IF(OR(F484="x",F484=""),VLOOKUP('Schedule from TM'!G484,Tables!$U$3:$V$14,2,FALSE),'Schedule from TM'!F484),",",TEXT(G484,"mm/dd/yyyy"),"','",TEXT(H484,"h:mm:ss AM/PM"),"'].ub=0.0      #",B484)</f>
        <v xml:space="preserve">                x[team1,team2,sport,'21,Hillel - Gym Basketball','11,11/19/2017','4:20:00 PM'].ub=0.0      #Junior A Male Basketball</v>
      </c>
      <c r="AB484" s="301" t="str">
        <f t="shared" si="321"/>
        <v>,,Junior A Male Basketball,,1,JR A M - USA 2</v>
      </c>
      <c r="AC484" s="153" t="str">
        <f t="shared" si="322"/>
        <v>Junior A Male BasketballJR A M - USA 2</v>
      </c>
      <c r="AD484" s="301" t="str">
        <f t="shared" si="323"/>
        <v>,,Junior A Male Basketball,,1,JR A M - VEN 2</v>
      </c>
      <c r="AE484" s="153" t="str">
        <f t="shared" si="324"/>
        <v>Junior A Male BasketballJR A M - VEN 2</v>
      </c>
      <c r="AF484" s="383">
        <f t="shared" si="325"/>
        <v>1</v>
      </c>
      <c r="AG484" s="383">
        <f t="shared" si="326"/>
        <v>0</v>
      </c>
      <c r="AH484" s="383">
        <f t="shared" si="327"/>
        <v>0</v>
      </c>
      <c r="AI484" s="383">
        <f t="shared" si="328"/>
        <v>0</v>
      </c>
      <c r="AJ484" s="383">
        <f t="shared" si="329"/>
        <v>1</v>
      </c>
      <c r="AK484" s="383">
        <f t="shared" si="330"/>
        <v>0</v>
      </c>
      <c r="AM484" s="148" t="str">
        <f t="shared" si="331"/>
        <v>Schedulled</v>
      </c>
      <c r="AN484" s="148" t="str">
        <f t="shared" si="332"/>
        <v/>
      </c>
      <c r="AO484" s="156">
        <f t="shared" si="333"/>
        <v>43058.680555555555</v>
      </c>
      <c r="AP484" s="148" t="str">
        <f t="shared" si="334"/>
        <v>11/19/2017 16:20-&gt;Hillel - Gym Basketball</v>
      </c>
      <c r="AQ484" s="374">
        <f t="shared" si="335"/>
        <v>1</v>
      </c>
      <c r="AR484" s="148" t="str">
        <f t="shared" si="336"/>
        <v>USA2</v>
      </c>
      <c r="AS484" s="148" t="str">
        <f t="shared" si="337"/>
        <v>VEN2</v>
      </c>
      <c r="AT484" s="157" t="str">
        <f t="shared" si="338"/>
        <v>USA2-VEN2</v>
      </c>
      <c r="AU484" s="157" t="str">
        <f t="shared" si="339"/>
        <v xml:space="preserve">USA2-VEN2 </v>
      </c>
      <c r="AV484" s="157" t="str">
        <f t="shared" si="340"/>
        <v>JUNIORS A MALE</v>
      </c>
      <c r="AW484" s="157" t="str">
        <f t="shared" si="341"/>
        <v>Basketball</v>
      </c>
      <c r="AX484" s="376">
        <f t="shared" si="342"/>
        <v>482</v>
      </c>
      <c r="AY484" s="148" t="str">
        <f t="shared" si="343"/>
        <v>JR A M - USA 2-&gt;JR A M - VEN 2</v>
      </c>
      <c r="AZ484" s="148" t="str">
        <f t="shared" si="344"/>
        <v>11/19/2017 16:20-&gt;JR A M - USA 2</v>
      </c>
      <c r="BA484" s="148" t="str">
        <f t="shared" si="345"/>
        <v>11/19/2017 16:20-&gt;JR A M - VEN 2</v>
      </c>
      <c r="BB484" s="374">
        <f t="shared" si="346"/>
        <v>1</v>
      </c>
      <c r="BC484" s="374">
        <f t="shared" si="347"/>
        <v>1</v>
      </c>
      <c r="BD484" s="148" t="str">
        <f t="shared" si="348"/>
        <v>no conflict</v>
      </c>
      <c r="BF484" s="148" t="str">
        <f t="shared" si="349"/>
        <v>11/19/2017 16:20-&gt;JR A M - USA 2</v>
      </c>
      <c r="BG484" s="148" t="str">
        <f t="shared" si="350"/>
        <v>11/19/2017 16:20-&gt;JR A M - VEN 2</v>
      </c>
      <c r="BH484" s="148" t="str">
        <f t="shared" si="351"/>
        <v>11/19/2017 16:20-&gt;Hillel - Gym Basketball</v>
      </c>
      <c r="BI484" s="148" t="str">
        <f t="shared" si="352"/>
        <v>Basketball in Hillel - Gym Basketball (USA2-VEN2)</v>
      </c>
      <c r="BJ484" s="148" t="str">
        <f t="shared" si="353"/>
        <v>Junior A Male Basketball-- JR A M - USA 2 vs. JR A M - VEN 2</v>
      </c>
      <c r="BK484" s="148" t="str">
        <f t="shared" si="354"/>
        <v>Basketball</v>
      </c>
      <c r="BL484" s="148" t="str">
        <f t="shared" si="355"/>
        <v>JR A M - USA 2</v>
      </c>
      <c r="BM484" s="148" t="str">
        <f t="shared" si="356"/>
        <v>JR A M - VEN 2</v>
      </c>
      <c r="BN484" s="148" t="str">
        <f t="shared" si="357"/>
        <v>Round - 1</v>
      </c>
      <c r="BP484" s="148" t="str">
        <f t="shared" si="358"/>
        <v>no t, f, or sf</v>
      </c>
      <c r="BQ484" s="148" t="str">
        <f t="shared" si="359"/>
        <v/>
      </c>
    </row>
    <row r="485" spans="1:69" ht="15" customHeight="1" x14ac:dyDescent="0.2">
      <c r="A485" s="376">
        <v>483</v>
      </c>
      <c r="B485" s="444" t="s">
        <v>72</v>
      </c>
      <c r="C485" s="444" t="s">
        <v>518</v>
      </c>
      <c r="D485" s="451">
        <v>1</v>
      </c>
      <c r="E485" s="451">
        <v>1</v>
      </c>
      <c r="F485" s="315" t="s">
        <v>770</v>
      </c>
      <c r="G485" s="445">
        <v>43058</v>
      </c>
      <c r="H485" s="317">
        <v>0.71527777777777779</v>
      </c>
      <c r="I485" s="325" t="s">
        <v>770</v>
      </c>
      <c r="J485" s="444" t="s">
        <v>707</v>
      </c>
      <c r="K485" s="444">
        <v>61</v>
      </c>
      <c r="L485" s="433" t="s">
        <v>720</v>
      </c>
      <c r="M485" s="433">
        <v>61</v>
      </c>
      <c r="N485" s="433" t="s">
        <v>644</v>
      </c>
      <c r="O485" s="153" t="str">
        <f>IF(L485&lt;&gt;"",IFERROR(VLOOKUP(B485&amp;L485,Pools!$A$2:$D$130,3,FALSE),""),"")</f>
        <v/>
      </c>
      <c r="P485" s="388">
        <v>37</v>
      </c>
      <c r="Q485" s="388">
        <v>27</v>
      </c>
      <c r="R485" s="306" t="str">
        <f t="shared" si="315"/>
        <v>37-27</v>
      </c>
      <c r="S485" s="153"/>
      <c r="T485" s="148" t="str">
        <f t="shared" si="316"/>
        <v>Completed</v>
      </c>
      <c r="U485" s="153"/>
      <c r="V485" s="153"/>
      <c r="W485" s="387">
        <f t="shared" si="317"/>
        <v>10</v>
      </c>
      <c r="X485" s="387">
        <f t="shared" si="318"/>
        <v>-10</v>
      </c>
      <c r="Y485" s="301">
        <f t="shared" si="319"/>
        <v>2</v>
      </c>
      <c r="Z485" s="301">
        <f t="shared" si="320"/>
        <v>0</v>
      </c>
      <c r="AA485" s="323" t="str">
        <f>CONCATENATE("                x[team1,team2,sport,'",IF(OR(I485="x",I485=""),VLOOKUP('Schedule from TM'!J485,Tables!$P$3:$Q$33,2,FALSE),'Schedule from TM'!I485),",",J485,"','",IF(OR(F485="x",F485=""),VLOOKUP('Schedule from TM'!G485,Tables!$U$3:$V$14,2,FALSE),'Schedule from TM'!F485),",",TEXT(G485,"mm/dd/yyyy"),"','",TEXT(H485,"h:mm:ss AM/PM"),"'].ub=0.0      #",B485)</f>
        <v xml:space="preserve">                x[team1,team2,sport,'21,Hillel - Gym Basketball','11,11/19/2017','5:10:00 PM'].ub=0.0      #Junior A Male Basketball</v>
      </c>
      <c r="AB485" s="301" t="str">
        <f t="shared" si="321"/>
        <v>,,Junior A Male Basketball,,1,JR A M - MEX 2</v>
      </c>
      <c r="AC485" s="153" t="str">
        <f t="shared" si="322"/>
        <v>Junior A Male BasketballJR A M - MEX 2</v>
      </c>
      <c r="AD485" s="301" t="str">
        <f t="shared" si="323"/>
        <v>,,Junior A Male Basketball,,1,JR A M - ISR 1</v>
      </c>
      <c r="AE485" s="153" t="str">
        <f t="shared" si="324"/>
        <v>Junior A Male BasketballJR A M - ISR 1</v>
      </c>
      <c r="AF485" s="383">
        <f t="shared" si="325"/>
        <v>1</v>
      </c>
      <c r="AG485" s="383">
        <f t="shared" si="326"/>
        <v>0</v>
      </c>
      <c r="AH485" s="383">
        <f t="shared" si="327"/>
        <v>0</v>
      </c>
      <c r="AI485" s="383">
        <f t="shared" si="328"/>
        <v>0</v>
      </c>
      <c r="AJ485" s="383">
        <f t="shared" si="329"/>
        <v>1</v>
      </c>
      <c r="AK485" s="383">
        <f t="shared" si="330"/>
        <v>0</v>
      </c>
      <c r="AM485" s="148" t="str">
        <f t="shared" si="331"/>
        <v>Schedulled</v>
      </c>
      <c r="AN485" s="148" t="str">
        <f t="shared" si="332"/>
        <v/>
      </c>
      <c r="AO485" s="156">
        <f t="shared" si="333"/>
        <v>43058.715277777781</v>
      </c>
      <c r="AP485" s="148" t="str">
        <f t="shared" si="334"/>
        <v>11/19/2017 17:10-&gt;Hillel - Gym Basketball</v>
      </c>
      <c r="AQ485" s="374">
        <f t="shared" si="335"/>
        <v>1</v>
      </c>
      <c r="AR485" s="148" t="str">
        <f t="shared" si="336"/>
        <v>MEX2</v>
      </c>
      <c r="AS485" s="148" t="str">
        <f t="shared" si="337"/>
        <v>ISR1</v>
      </c>
      <c r="AT485" s="157" t="str">
        <f t="shared" si="338"/>
        <v>MEX2-ISR1</v>
      </c>
      <c r="AU485" s="157" t="str">
        <f t="shared" si="339"/>
        <v xml:space="preserve">MEX2-ISR1 </v>
      </c>
      <c r="AV485" s="157" t="str">
        <f t="shared" si="340"/>
        <v>JUNIORS A MALE</v>
      </c>
      <c r="AW485" s="157" t="str">
        <f t="shared" si="341"/>
        <v>Basketball</v>
      </c>
      <c r="AX485" s="376">
        <f t="shared" si="342"/>
        <v>483</v>
      </c>
      <c r="AY485" s="148" t="str">
        <f t="shared" si="343"/>
        <v>JR A M - MEX 2-&gt;JR A M - ISR 1</v>
      </c>
      <c r="AZ485" s="148" t="str">
        <f t="shared" si="344"/>
        <v>11/19/2017 17:10-&gt;JR A M - MEX 2</v>
      </c>
      <c r="BA485" s="148" t="str">
        <f t="shared" si="345"/>
        <v>11/19/2017 17:10-&gt;JR A M - ISR 1</v>
      </c>
      <c r="BB485" s="374">
        <f t="shared" si="346"/>
        <v>1</v>
      </c>
      <c r="BC485" s="374">
        <f t="shared" si="347"/>
        <v>1</v>
      </c>
      <c r="BD485" s="148" t="str">
        <f t="shared" si="348"/>
        <v>no conflict</v>
      </c>
      <c r="BF485" s="148" t="str">
        <f t="shared" si="349"/>
        <v>11/19/2017 17:10-&gt;JR A M - MEX 2</v>
      </c>
      <c r="BG485" s="148" t="str">
        <f t="shared" si="350"/>
        <v>11/19/2017 17:10-&gt;JR A M - ISR 1</v>
      </c>
      <c r="BH485" s="148" t="str">
        <f t="shared" si="351"/>
        <v>11/19/2017 17:10-&gt;Hillel - Gym Basketball</v>
      </c>
      <c r="BI485" s="148" t="str">
        <f t="shared" si="352"/>
        <v>Basketball in Hillel - Gym Basketball (MEX2-ISR1)</v>
      </c>
      <c r="BJ485" s="148" t="str">
        <f t="shared" si="353"/>
        <v>Junior A Male Basketball-- JR A M - MEX 2 vs. JR A M - ISR 1</v>
      </c>
      <c r="BK485" s="148" t="str">
        <f t="shared" si="354"/>
        <v>Basketball</v>
      </c>
      <c r="BL485" s="148" t="str">
        <f t="shared" si="355"/>
        <v>JR A M - MEX 2</v>
      </c>
      <c r="BM485" s="148" t="str">
        <f t="shared" si="356"/>
        <v>JR A M - ISR 1</v>
      </c>
      <c r="BN485" s="148" t="str">
        <f t="shared" si="357"/>
        <v>Round - 1</v>
      </c>
      <c r="BP485" s="148" t="str">
        <f t="shared" si="358"/>
        <v>no t, f, or sf</v>
      </c>
      <c r="BQ485" s="148" t="str">
        <f t="shared" si="359"/>
        <v/>
      </c>
    </row>
    <row r="486" spans="1:69" ht="15" customHeight="1" x14ac:dyDescent="0.2">
      <c r="A486" s="376">
        <v>484</v>
      </c>
      <c r="B486" s="441" t="s">
        <v>72</v>
      </c>
      <c r="C486" s="441" t="s">
        <v>518</v>
      </c>
      <c r="D486" s="450">
        <v>1</v>
      </c>
      <c r="E486" s="450">
        <v>1</v>
      </c>
      <c r="F486" s="315" t="s">
        <v>770</v>
      </c>
      <c r="G486" s="320">
        <v>43058</v>
      </c>
      <c r="H486" s="318">
        <v>0.75</v>
      </c>
      <c r="I486" s="325" t="s">
        <v>770</v>
      </c>
      <c r="J486" s="441" t="s">
        <v>696</v>
      </c>
      <c r="K486" s="441">
        <v>61</v>
      </c>
      <c r="L486" s="433" t="s">
        <v>637</v>
      </c>
      <c r="M486">
        <v>61</v>
      </c>
      <c r="N486" s="433" t="s">
        <v>645</v>
      </c>
      <c r="O486" s="153" t="str">
        <f>IF(L486&lt;&gt;"",IFERROR(VLOOKUP(B486&amp;L486,Pools!$A$2:$D$130,3,FALSE),""),"")</f>
        <v/>
      </c>
      <c r="P486" s="388">
        <v>15</v>
      </c>
      <c r="Q486" s="388">
        <v>22</v>
      </c>
      <c r="R486" s="306" t="str">
        <f t="shared" si="315"/>
        <v>15-22</v>
      </c>
      <c r="S486" s="153"/>
      <c r="T486" s="148" t="str">
        <f t="shared" si="316"/>
        <v>Completed</v>
      </c>
      <c r="U486" s="153"/>
      <c r="V486" s="153"/>
      <c r="W486" s="387">
        <f t="shared" si="317"/>
        <v>-7</v>
      </c>
      <c r="X486" s="387">
        <f t="shared" si="318"/>
        <v>7</v>
      </c>
      <c r="Y486" s="301">
        <f t="shared" si="319"/>
        <v>0</v>
      </c>
      <c r="Z486" s="301">
        <f t="shared" si="320"/>
        <v>2</v>
      </c>
      <c r="AA486" s="323" t="str">
        <f>CONCATENATE("                x[team1,team2,sport,'",IF(OR(I486="x",I486=""),VLOOKUP('Schedule from TM'!J486,Tables!$P$3:$Q$33,2,FALSE),'Schedule from TM'!I486),",",J486,"','",IF(OR(F486="x",F486=""),VLOOKUP('Schedule from TM'!G486,Tables!$U$3:$V$14,2,FALSE),'Schedule from TM'!F486),",",TEXT(G486,"mm/dd/yyyy"),"','",TEXT(H486,"h:mm:ss AM/PM"),"'].ub=0.0      #",B486)</f>
        <v xml:space="preserve">                x[team1,team2,sport,'11,JCC Gym North','11,11/19/2017','6:00:00 PM'].ub=0.0      #Junior A Male Basketball</v>
      </c>
      <c r="AB486" s="301" t="str">
        <f t="shared" si="321"/>
        <v>,,Junior A Male Basketball,,1,JR A M - ARG 1</v>
      </c>
      <c r="AC486" s="153" t="str">
        <f t="shared" si="322"/>
        <v>Junior A Male BasketballJR A M - ARG 1</v>
      </c>
      <c r="AD486" s="301" t="str">
        <f t="shared" si="323"/>
        <v>,,Junior A Male Basketball,,1,JR A M - VEN 1</v>
      </c>
      <c r="AE486" s="153" t="str">
        <f t="shared" si="324"/>
        <v>Junior A Male BasketballJR A M - VEN 1</v>
      </c>
      <c r="AF486" s="383">
        <f t="shared" si="325"/>
        <v>0</v>
      </c>
      <c r="AG486" s="383">
        <f t="shared" si="326"/>
        <v>1</v>
      </c>
      <c r="AH486" s="383">
        <f t="shared" si="327"/>
        <v>0</v>
      </c>
      <c r="AI486" s="383">
        <f t="shared" si="328"/>
        <v>1</v>
      </c>
      <c r="AJ486" s="383">
        <f t="shared" si="329"/>
        <v>0</v>
      </c>
      <c r="AK486" s="383">
        <f t="shared" si="330"/>
        <v>0</v>
      </c>
      <c r="AM486" s="148" t="str">
        <f t="shared" si="331"/>
        <v>Schedulled</v>
      </c>
      <c r="AN486" s="148" t="str">
        <f t="shared" si="332"/>
        <v/>
      </c>
      <c r="AO486" s="156">
        <f t="shared" si="333"/>
        <v>43058.75</v>
      </c>
      <c r="AP486" s="148" t="str">
        <f t="shared" si="334"/>
        <v>11/19/2017 18:00-&gt;JCC Gym North</v>
      </c>
      <c r="AQ486" s="374">
        <f t="shared" si="335"/>
        <v>1</v>
      </c>
      <c r="AR486" s="148" t="str">
        <f t="shared" si="336"/>
        <v>ARG1</v>
      </c>
      <c r="AS486" s="148" t="str">
        <f t="shared" si="337"/>
        <v>VEN1</v>
      </c>
      <c r="AT486" s="157" t="str">
        <f t="shared" si="338"/>
        <v>ARG1-VEN1</v>
      </c>
      <c r="AU486" s="157" t="str">
        <f t="shared" si="339"/>
        <v xml:space="preserve">ARG1-VEN1 </v>
      </c>
      <c r="AV486" s="157" t="str">
        <f t="shared" si="340"/>
        <v>JUNIORS A MALE</v>
      </c>
      <c r="AW486" s="157" t="str">
        <f t="shared" si="341"/>
        <v>Basketball</v>
      </c>
      <c r="AX486" s="376">
        <f t="shared" si="342"/>
        <v>484</v>
      </c>
      <c r="AY486" s="148" t="str">
        <f t="shared" si="343"/>
        <v>JR A M - ARG 1-&gt;JR A M - VEN 1</v>
      </c>
      <c r="AZ486" s="148" t="str">
        <f t="shared" si="344"/>
        <v>11/19/2017 18:00-&gt;JR A M - ARG 1</v>
      </c>
      <c r="BA486" s="148" t="str">
        <f t="shared" si="345"/>
        <v>11/19/2017 18:00-&gt;JR A M - VEN 1</v>
      </c>
      <c r="BB486" s="374">
        <f t="shared" si="346"/>
        <v>1</v>
      </c>
      <c r="BC486" s="374">
        <f t="shared" si="347"/>
        <v>1</v>
      </c>
      <c r="BD486" s="148" t="str">
        <f t="shared" si="348"/>
        <v>no conflict</v>
      </c>
      <c r="BF486" s="148" t="str">
        <f t="shared" si="349"/>
        <v>11/19/2017 18:00-&gt;JR A M - ARG 1</v>
      </c>
      <c r="BG486" s="148" t="str">
        <f t="shared" si="350"/>
        <v>11/19/2017 18:00-&gt;JR A M - VEN 1</v>
      </c>
      <c r="BH486" s="148" t="str">
        <f t="shared" si="351"/>
        <v>11/19/2017 18:00-&gt;JCC Gym North</v>
      </c>
      <c r="BI486" s="148" t="str">
        <f t="shared" si="352"/>
        <v>Basketball in JCC Gym North (ARG1-VEN1)</v>
      </c>
      <c r="BJ486" s="148" t="str">
        <f t="shared" si="353"/>
        <v>Junior A Male Basketball-- JR A M - ARG 1 vs. JR A M - VEN 1</v>
      </c>
      <c r="BK486" s="148" t="str">
        <f t="shared" si="354"/>
        <v>Basketball</v>
      </c>
      <c r="BL486" s="148" t="str">
        <f t="shared" si="355"/>
        <v>JR A M - ARG 1</v>
      </c>
      <c r="BM486" s="148" t="str">
        <f t="shared" si="356"/>
        <v>JR A M - VEN 1</v>
      </c>
      <c r="BN486" s="148" t="str">
        <f t="shared" si="357"/>
        <v>Round - 1</v>
      </c>
      <c r="BP486" s="148" t="str">
        <f t="shared" si="358"/>
        <v>no t, f, or sf</v>
      </c>
      <c r="BQ486" s="148" t="str">
        <f t="shared" si="359"/>
        <v/>
      </c>
    </row>
    <row r="487" spans="1:69" ht="15" customHeight="1" x14ac:dyDescent="0.2">
      <c r="A487" s="376">
        <v>485</v>
      </c>
      <c r="B487" s="444" t="s">
        <v>72</v>
      </c>
      <c r="C487" s="444" t="s">
        <v>518</v>
      </c>
      <c r="D487" s="451">
        <v>1</v>
      </c>
      <c r="E487" s="451">
        <v>1</v>
      </c>
      <c r="F487" s="315" t="s">
        <v>770</v>
      </c>
      <c r="G487" s="445">
        <v>43059</v>
      </c>
      <c r="H487" s="317">
        <v>0.71527777777777779</v>
      </c>
      <c r="I487" s="325" t="s">
        <v>770</v>
      </c>
      <c r="J487" s="444" t="s">
        <v>707</v>
      </c>
      <c r="K487" s="444">
        <v>61</v>
      </c>
      <c r="L487" s="433" t="s">
        <v>719</v>
      </c>
      <c r="M487" s="433">
        <v>61</v>
      </c>
      <c r="N487" s="433" t="s">
        <v>644</v>
      </c>
      <c r="O487" s="153" t="str">
        <f>IF(L487&lt;&gt;"",IFERROR(VLOOKUP(B487&amp;L487,Pools!$A$2:$D$130,3,FALSE),""),"")</f>
        <v/>
      </c>
      <c r="P487" s="388">
        <v>35</v>
      </c>
      <c r="Q487" s="388">
        <v>28</v>
      </c>
      <c r="R487" s="306" t="str">
        <f t="shared" si="315"/>
        <v>35-28</v>
      </c>
      <c r="S487" s="153"/>
      <c r="T487" s="148" t="str">
        <f t="shared" si="316"/>
        <v>Completed</v>
      </c>
      <c r="U487" s="153"/>
      <c r="V487" s="153"/>
      <c r="W487" s="387">
        <f t="shared" si="317"/>
        <v>7</v>
      </c>
      <c r="X487" s="387">
        <f t="shared" si="318"/>
        <v>-7</v>
      </c>
      <c r="Y487" s="301">
        <f t="shared" si="319"/>
        <v>2</v>
      </c>
      <c r="Z487" s="301">
        <f t="shared" si="320"/>
        <v>0</v>
      </c>
      <c r="AA487" s="323" t="str">
        <f>CONCATENATE("                x[team1,team2,sport,'",IF(OR(I487="x",I487=""),VLOOKUP('Schedule from TM'!J487,Tables!$P$3:$Q$33,2,FALSE),'Schedule from TM'!I487),",",J487,"','",IF(OR(F487="x",F487=""),VLOOKUP('Schedule from TM'!G487,Tables!$U$3:$V$14,2,FALSE),'Schedule from TM'!F487),",",TEXT(G487,"mm/dd/yyyy"),"','",TEXT(H487,"h:mm:ss AM/PM"),"'].ub=0.0      #",B487)</f>
        <v xml:space="preserve">                x[team1,team2,sport,'21,Hillel - Gym Basketball','22,11/20/2017','5:10:00 PM'].ub=0.0      #Junior A Male Basketball</v>
      </c>
      <c r="AB487" s="301" t="str">
        <f t="shared" si="321"/>
        <v>,,Junior A Male Basketball,,1,JR A M - MEX 1</v>
      </c>
      <c r="AC487" s="153" t="str">
        <f t="shared" si="322"/>
        <v>Junior A Male BasketballJR A M - MEX 1</v>
      </c>
      <c r="AD487" s="301" t="str">
        <f t="shared" si="323"/>
        <v>,,Junior A Male Basketball,,1,JR A M - ISR 1</v>
      </c>
      <c r="AE487" s="153" t="str">
        <f t="shared" si="324"/>
        <v>Junior A Male BasketballJR A M - ISR 1</v>
      </c>
      <c r="AF487" s="383">
        <f t="shared" si="325"/>
        <v>1</v>
      </c>
      <c r="AG487" s="383">
        <f t="shared" si="326"/>
        <v>0</v>
      </c>
      <c r="AH487" s="383">
        <f t="shared" si="327"/>
        <v>0</v>
      </c>
      <c r="AI487" s="383">
        <f t="shared" si="328"/>
        <v>0</v>
      </c>
      <c r="AJ487" s="383">
        <f t="shared" si="329"/>
        <v>1</v>
      </c>
      <c r="AK487" s="383">
        <f t="shared" si="330"/>
        <v>0</v>
      </c>
      <c r="AM487" s="148" t="str">
        <f t="shared" si="331"/>
        <v>Schedulled</v>
      </c>
      <c r="AN487" s="148" t="str">
        <f t="shared" si="332"/>
        <v/>
      </c>
      <c r="AO487" s="156">
        <f t="shared" si="333"/>
        <v>43059.715277777781</v>
      </c>
      <c r="AP487" s="148" t="str">
        <f t="shared" si="334"/>
        <v>11/20/2017 17:10-&gt;Hillel - Gym Basketball</v>
      </c>
      <c r="AQ487" s="374">
        <f t="shared" si="335"/>
        <v>1</v>
      </c>
      <c r="AR487" s="148" t="str">
        <f t="shared" si="336"/>
        <v>MEX1</v>
      </c>
      <c r="AS487" s="148" t="str">
        <f t="shared" si="337"/>
        <v>ISR1</v>
      </c>
      <c r="AT487" s="157" t="str">
        <f t="shared" si="338"/>
        <v>MEX1-ISR1</v>
      </c>
      <c r="AU487" s="157" t="str">
        <f t="shared" si="339"/>
        <v xml:space="preserve">MEX1-ISR1 </v>
      </c>
      <c r="AV487" s="157" t="str">
        <f t="shared" si="340"/>
        <v>JUNIORS A MALE</v>
      </c>
      <c r="AW487" s="157" t="str">
        <f t="shared" si="341"/>
        <v>Basketball</v>
      </c>
      <c r="AX487" s="376">
        <f t="shared" si="342"/>
        <v>485</v>
      </c>
      <c r="AY487" s="148" t="str">
        <f t="shared" si="343"/>
        <v>JR A M - MEX 1-&gt;JR A M - ISR 1</v>
      </c>
      <c r="AZ487" s="148" t="str">
        <f t="shared" si="344"/>
        <v>11/20/2017 17:10-&gt;JR A M - MEX 1</v>
      </c>
      <c r="BA487" s="148" t="str">
        <f t="shared" si="345"/>
        <v>11/20/2017 17:10-&gt;JR A M - ISR 1</v>
      </c>
      <c r="BB487" s="374">
        <f t="shared" si="346"/>
        <v>1</v>
      </c>
      <c r="BC487" s="374">
        <f t="shared" si="347"/>
        <v>1</v>
      </c>
      <c r="BD487" s="148" t="str">
        <f t="shared" si="348"/>
        <v>no conflict</v>
      </c>
      <c r="BF487" s="148" t="str">
        <f t="shared" si="349"/>
        <v>11/20/2017 17:10-&gt;JR A M - MEX 1</v>
      </c>
      <c r="BG487" s="148" t="str">
        <f t="shared" si="350"/>
        <v>11/20/2017 17:10-&gt;JR A M - ISR 1</v>
      </c>
      <c r="BH487" s="148" t="str">
        <f t="shared" si="351"/>
        <v>11/20/2017 17:10-&gt;Hillel - Gym Basketball</v>
      </c>
      <c r="BI487" s="148" t="str">
        <f t="shared" si="352"/>
        <v>Basketball in Hillel - Gym Basketball (MEX1-ISR1)</v>
      </c>
      <c r="BJ487" s="148" t="str">
        <f t="shared" si="353"/>
        <v>Junior A Male Basketball-- JR A M - MEX 1 vs. JR A M - ISR 1</v>
      </c>
      <c r="BK487" s="148" t="str">
        <f t="shared" si="354"/>
        <v>Basketball</v>
      </c>
      <c r="BL487" s="148" t="str">
        <f t="shared" si="355"/>
        <v>JR A M - MEX 1</v>
      </c>
      <c r="BM487" s="148" t="str">
        <f t="shared" si="356"/>
        <v>JR A M - ISR 1</v>
      </c>
      <c r="BN487" s="148" t="str">
        <f t="shared" si="357"/>
        <v>Round - 1</v>
      </c>
      <c r="BP487" s="148" t="str">
        <f t="shared" si="358"/>
        <v>no t, f, or sf</v>
      </c>
      <c r="BQ487" s="148" t="str">
        <f t="shared" si="359"/>
        <v/>
      </c>
    </row>
    <row r="488" spans="1:69" ht="15" customHeight="1" x14ac:dyDescent="0.2">
      <c r="A488" s="376">
        <v>486</v>
      </c>
      <c r="B488" s="441" t="s">
        <v>72</v>
      </c>
      <c r="C488" s="441" t="s">
        <v>518</v>
      </c>
      <c r="D488" s="450">
        <v>1</v>
      </c>
      <c r="E488" s="450">
        <v>1</v>
      </c>
      <c r="F488" s="315" t="s">
        <v>770</v>
      </c>
      <c r="G488" s="320">
        <v>43059</v>
      </c>
      <c r="H488" s="318">
        <v>0.75</v>
      </c>
      <c r="I488" s="325" t="s">
        <v>770</v>
      </c>
      <c r="J488" s="441" t="s">
        <v>707</v>
      </c>
      <c r="K488" s="441">
        <v>61</v>
      </c>
      <c r="L488" s="433" t="s">
        <v>637</v>
      </c>
      <c r="M488" s="433">
        <v>61</v>
      </c>
      <c r="N488" s="433" t="s">
        <v>642</v>
      </c>
      <c r="O488" s="153" t="str">
        <f>IF(L488&lt;&gt;"",IFERROR(VLOOKUP(B488&amp;L488,Pools!$A$2:$D$130,3,FALSE),""),"")</f>
        <v/>
      </c>
      <c r="P488" s="388">
        <v>21</v>
      </c>
      <c r="Q488" s="388">
        <v>46</v>
      </c>
      <c r="R488" s="306" t="str">
        <f t="shared" si="315"/>
        <v>21-46</v>
      </c>
      <c r="S488" s="153"/>
      <c r="T488" s="148" t="str">
        <f t="shared" si="316"/>
        <v>Completed</v>
      </c>
      <c r="U488" s="153"/>
      <c r="V488" s="153"/>
      <c r="W488" s="387">
        <f t="shared" si="317"/>
        <v>-15</v>
      </c>
      <c r="X488" s="387">
        <f t="shared" si="318"/>
        <v>15</v>
      </c>
      <c r="Y488" s="301">
        <f t="shared" si="319"/>
        <v>0</v>
      </c>
      <c r="Z488" s="301">
        <f t="shared" si="320"/>
        <v>2</v>
      </c>
      <c r="AA488" s="323" t="str">
        <f>CONCATENATE("                x[team1,team2,sport,'",IF(OR(I488="x",I488=""),VLOOKUP('Schedule from TM'!J488,Tables!$P$3:$Q$33,2,FALSE),'Schedule from TM'!I488),",",J488,"','",IF(OR(F488="x",F488=""),VLOOKUP('Schedule from TM'!G488,Tables!$U$3:$V$14,2,FALSE),'Schedule from TM'!F488),",",TEXT(G488,"mm/dd/yyyy"),"','",TEXT(H488,"h:mm:ss AM/PM"),"'].ub=0.0      #",B488)</f>
        <v xml:space="preserve">                x[team1,team2,sport,'21,Hillel - Gym Basketball','22,11/20/2017','6:00:00 PM'].ub=0.0      #Junior A Male Basketball</v>
      </c>
      <c r="AB488" s="301" t="str">
        <f t="shared" si="321"/>
        <v>,,Junior A Male Basketball,,1,JR A M - ARG 1</v>
      </c>
      <c r="AC488" s="153" t="str">
        <f t="shared" si="322"/>
        <v>Junior A Male BasketballJR A M - ARG 1</v>
      </c>
      <c r="AD488" s="301" t="str">
        <f t="shared" si="323"/>
        <v>,,Junior A Male Basketball,,1,JR A M - USA 1</v>
      </c>
      <c r="AE488" s="153" t="str">
        <f t="shared" si="324"/>
        <v>Junior A Male BasketballJR A M - USA 1</v>
      </c>
      <c r="AF488" s="383">
        <f t="shared" si="325"/>
        <v>0</v>
      </c>
      <c r="AG488" s="383">
        <f t="shared" si="326"/>
        <v>1</v>
      </c>
      <c r="AH488" s="383">
        <f t="shared" si="327"/>
        <v>0</v>
      </c>
      <c r="AI488" s="383">
        <f t="shared" si="328"/>
        <v>1</v>
      </c>
      <c r="AJ488" s="383">
        <f t="shared" si="329"/>
        <v>0</v>
      </c>
      <c r="AK488" s="383">
        <f t="shared" si="330"/>
        <v>0</v>
      </c>
      <c r="AM488" s="148" t="str">
        <f t="shared" si="331"/>
        <v>Schedulled</v>
      </c>
      <c r="AN488" s="148" t="str">
        <f t="shared" si="332"/>
        <v/>
      </c>
      <c r="AO488" s="156">
        <f t="shared" si="333"/>
        <v>43059.75</v>
      </c>
      <c r="AP488" s="148" t="str">
        <f t="shared" si="334"/>
        <v>11/20/2017 18:00-&gt;Hillel - Gym Basketball</v>
      </c>
      <c r="AQ488" s="374">
        <f t="shared" si="335"/>
        <v>1</v>
      </c>
      <c r="AR488" s="148" t="str">
        <f t="shared" si="336"/>
        <v>ARG1</v>
      </c>
      <c r="AS488" s="148" t="str">
        <f t="shared" si="337"/>
        <v>USA1</v>
      </c>
      <c r="AT488" s="157" t="str">
        <f t="shared" si="338"/>
        <v>ARG1-USA1</v>
      </c>
      <c r="AU488" s="157" t="str">
        <f t="shared" si="339"/>
        <v xml:space="preserve">ARG1-USA1 </v>
      </c>
      <c r="AV488" s="157" t="str">
        <f t="shared" si="340"/>
        <v>JUNIORS A MALE</v>
      </c>
      <c r="AW488" s="157" t="str">
        <f t="shared" si="341"/>
        <v>Basketball</v>
      </c>
      <c r="AX488" s="376">
        <f t="shared" si="342"/>
        <v>486</v>
      </c>
      <c r="AY488" s="148" t="str">
        <f t="shared" si="343"/>
        <v>JR A M - ARG 1-&gt;JR A M - USA 1</v>
      </c>
      <c r="AZ488" s="148" t="str">
        <f t="shared" si="344"/>
        <v>11/20/2017 18:00-&gt;JR A M - ARG 1</v>
      </c>
      <c r="BA488" s="148" t="str">
        <f t="shared" si="345"/>
        <v>11/20/2017 18:00-&gt;JR A M - USA 1</v>
      </c>
      <c r="BB488" s="374">
        <f t="shared" si="346"/>
        <v>1</v>
      </c>
      <c r="BC488" s="374">
        <f t="shared" si="347"/>
        <v>1</v>
      </c>
      <c r="BD488" s="148" t="str">
        <f t="shared" si="348"/>
        <v>no conflict</v>
      </c>
      <c r="BF488" s="148" t="str">
        <f t="shared" si="349"/>
        <v>11/20/2017 18:00-&gt;JR A M - ARG 1</v>
      </c>
      <c r="BG488" s="148" t="str">
        <f t="shared" si="350"/>
        <v>11/20/2017 18:00-&gt;JR A M - USA 1</v>
      </c>
      <c r="BH488" s="148" t="str">
        <f t="shared" si="351"/>
        <v>11/20/2017 18:00-&gt;Hillel - Gym Basketball</v>
      </c>
      <c r="BI488" s="148" t="str">
        <f t="shared" si="352"/>
        <v>Basketball in Hillel - Gym Basketball (ARG1-USA1)</v>
      </c>
      <c r="BJ488" s="148" t="str">
        <f t="shared" si="353"/>
        <v>Junior A Male Basketball-- JR A M - ARG 1 vs. JR A M - USA 1</v>
      </c>
      <c r="BK488" s="148" t="str">
        <f t="shared" si="354"/>
        <v>Basketball</v>
      </c>
      <c r="BL488" s="148" t="str">
        <f t="shared" si="355"/>
        <v>JR A M - ARG 1</v>
      </c>
      <c r="BM488" s="148" t="str">
        <f t="shared" si="356"/>
        <v>JR A M - USA 1</v>
      </c>
      <c r="BN488" s="148" t="str">
        <f t="shared" si="357"/>
        <v>Round - 1</v>
      </c>
      <c r="BP488" s="148" t="str">
        <f t="shared" si="358"/>
        <v>no t, f, or sf</v>
      </c>
      <c r="BQ488" s="148" t="str">
        <f t="shared" si="359"/>
        <v/>
      </c>
    </row>
    <row r="489" spans="1:69" ht="15" customHeight="1" x14ac:dyDescent="0.2">
      <c r="A489" s="376">
        <v>487</v>
      </c>
      <c r="B489" s="328" t="s">
        <v>72</v>
      </c>
      <c r="C489" s="315" t="s">
        <v>518</v>
      </c>
      <c r="D489" s="378">
        <v>1</v>
      </c>
      <c r="E489" s="378">
        <v>1</v>
      </c>
      <c r="F489" s="315" t="s">
        <v>770</v>
      </c>
      <c r="G489" s="316">
        <v>43059</v>
      </c>
      <c r="H489" s="317">
        <v>0.85416666666666663</v>
      </c>
      <c r="I489" s="325" t="s">
        <v>770</v>
      </c>
      <c r="J489" s="315" t="s">
        <v>707</v>
      </c>
      <c r="K489" s="315">
        <v>61</v>
      </c>
      <c r="L489" s="441" t="s">
        <v>643</v>
      </c>
      <c r="M489" s="444">
        <v>61</v>
      </c>
      <c r="N489" s="441" t="s">
        <v>645</v>
      </c>
      <c r="O489" s="153" t="str">
        <f>IF(L489&lt;&gt;"",IFERROR(VLOOKUP(B489&amp;L489,Pools!$A$2:$D$130,3,FALSE),""),"")</f>
        <v/>
      </c>
      <c r="P489" s="388">
        <v>30</v>
      </c>
      <c r="Q489" s="388">
        <v>38</v>
      </c>
      <c r="R489" s="306" t="str">
        <f t="shared" si="315"/>
        <v>30-38</v>
      </c>
      <c r="S489" s="153"/>
      <c r="T489" s="148" t="str">
        <f t="shared" si="316"/>
        <v>Completed</v>
      </c>
      <c r="U489" s="153"/>
      <c r="V489" s="153"/>
      <c r="W489" s="387">
        <f t="shared" si="317"/>
        <v>-8</v>
      </c>
      <c r="X489" s="387">
        <f t="shared" si="318"/>
        <v>8</v>
      </c>
      <c r="Y489" s="301">
        <f t="shared" si="319"/>
        <v>0</v>
      </c>
      <c r="Z489" s="301">
        <f t="shared" si="320"/>
        <v>2</v>
      </c>
      <c r="AA489" s="323" t="str">
        <f>CONCATENATE("                x[team1,team2,sport,'",IF(OR(I489="x",I489=""),VLOOKUP('Schedule from TM'!J489,Tables!$P$3:$Q$33,2,FALSE),'Schedule from TM'!I489),",",J489,"','",IF(OR(F489="x",F489=""),VLOOKUP('Schedule from TM'!G489,Tables!$U$3:$V$14,2,FALSE),'Schedule from TM'!F489),",",TEXT(G489,"mm/dd/yyyy"),"','",TEXT(H489,"h:mm:ss AM/PM"),"'].ub=0.0      #",B489)</f>
        <v xml:space="preserve">                x[team1,team2,sport,'21,Hillel - Gym Basketball','22,11/20/2017','8:30:00 PM'].ub=0.0      #Junior A Male Basketball</v>
      </c>
      <c r="AB489" s="301" t="str">
        <f t="shared" si="321"/>
        <v>,,Junior A Male Basketball,,1,JR A M - USA 2</v>
      </c>
      <c r="AC489" s="153" t="str">
        <f t="shared" si="322"/>
        <v>Junior A Male BasketballJR A M - USA 2</v>
      </c>
      <c r="AD489" s="301" t="str">
        <f t="shared" si="323"/>
        <v>,,Junior A Male Basketball,,1,JR A M - VEN 1</v>
      </c>
      <c r="AE489" s="153" t="str">
        <f t="shared" si="324"/>
        <v>Junior A Male BasketballJR A M - VEN 1</v>
      </c>
      <c r="AF489" s="383">
        <f t="shared" si="325"/>
        <v>0</v>
      </c>
      <c r="AG489" s="383">
        <f t="shared" si="326"/>
        <v>1</v>
      </c>
      <c r="AH489" s="383">
        <f t="shared" si="327"/>
        <v>0</v>
      </c>
      <c r="AI489" s="383">
        <f t="shared" si="328"/>
        <v>1</v>
      </c>
      <c r="AJ489" s="383">
        <f t="shared" si="329"/>
        <v>0</v>
      </c>
      <c r="AK489" s="383">
        <f t="shared" si="330"/>
        <v>0</v>
      </c>
      <c r="AM489" s="148" t="str">
        <f t="shared" si="331"/>
        <v>Schedulled</v>
      </c>
      <c r="AN489" s="148" t="str">
        <f t="shared" si="332"/>
        <v/>
      </c>
      <c r="AO489" s="156">
        <f t="shared" si="333"/>
        <v>43059.854166666664</v>
      </c>
      <c r="AP489" s="148" t="str">
        <f t="shared" si="334"/>
        <v>11/20/2017 20:30-&gt;Hillel - Gym Basketball</v>
      </c>
      <c r="AQ489" s="374">
        <f t="shared" si="335"/>
        <v>1</v>
      </c>
      <c r="AR489" s="148" t="str">
        <f t="shared" si="336"/>
        <v>USA2</v>
      </c>
      <c r="AS489" s="148" t="str">
        <f t="shared" si="337"/>
        <v>VEN1</v>
      </c>
      <c r="AT489" s="157" t="str">
        <f t="shared" si="338"/>
        <v>USA2-VEN1</v>
      </c>
      <c r="AU489" s="157" t="str">
        <f t="shared" si="339"/>
        <v xml:space="preserve">USA2-VEN1 </v>
      </c>
      <c r="AV489" s="157" t="str">
        <f t="shared" si="340"/>
        <v>JUNIORS A MALE</v>
      </c>
      <c r="AW489" s="157" t="str">
        <f t="shared" si="341"/>
        <v>Basketball</v>
      </c>
      <c r="AX489" s="376">
        <f t="shared" si="342"/>
        <v>487</v>
      </c>
      <c r="AY489" s="148" t="str">
        <f t="shared" si="343"/>
        <v>JR A M - USA 2-&gt;JR A M - VEN 1</v>
      </c>
      <c r="AZ489" s="148" t="str">
        <f t="shared" si="344"/>
        <v>11/20/2017 20:30-&gt;JR A M - USA 2</v>
      </c>
      <c r="BA489" s="148" t="str">
        <f t="shared" si="345"/>
        <v>11/20/2017 20:30-&gt;JR A M - VEN 1</v>
      </c>
      <c r="BB489" s="374">
        <f t="shared" si="346"/>
        <v>1</v>
      </c>
      <c r="BC489" s="374">
        <f t="shared" si="347"/>
        <v>1</v>
      </c>
      <c r="BD489" s="148" t="str">
        <f t="shared" si="348"/>
        <v>no conflict</v>
      </c>
      <c r="BF489" s="148" t="str">
        <f t="shared" si="349"/>
        <v>11/20/2017 20:30-&gt;JR A M - USA 2</v>
      </c>
      <c r="BG489" s="148" t="str">
        <f t="shared" si="350"/>
        <v>11/20/2017 20:30-&gt;JR A M - VEN 1</v>
      </c>
      <c r="BH489" s="148" t="str">
        <f t="shared" si="351"/>
        <v>11/20/2017 20:30-&gt;Hillel - Gym Basketball</v>
      </c>
      <c r="BI489" s="148" t="str">
        <f t="shared" si="352"/>
        <v>Basketball in Hillel - Gym Basketball (USA2-VEN1)</v>
      </c>
      <c r="BJ489" s="148" t="str">
        <f t="shared" si="353"/>
        <v>Junior A Male Basketball-- JR A M - USA 2 vs. JR A M - VEN 1</v>
      </c>
      <c r="BK489" s="148" t="str">
        <f t="shared" si="354"/>
        <v>Basketball</v>
      </c>
      <c r="BL489" s="148" t="str">
        <f t="shared" si="355"/>
        <v>JR A M - USA 2</v>
      </c>
      <c r="BM489" s="148" t="str">
        <f t="shared" si="356"/>
        <v>JR A M - VEN 1</v>
      </c>
      <c r="BN489" s="148" t="str">
        <f t="shared" si="357"/>
        <v>Round - 1</v>
      </c>
      <c r="BP489" s="148" t="str">
        <f t="shared" si="358"/>
        <v>no t, f, or sf</v>
      </c>
      <c r="BQ489" s="148" t="str">
        <f t="shared" si="359"/>
        <v/>
      </c>
    </row>
    <row r="490" spans="1:69" ht="15" customHeight="1" x14ac:dyDescent="0.2">
      <c r="A490" s="376">
        <v>488</v>
      </c>
      <c r="B490" s="315" t="s">
        <v>72</v>
      </c>
      <c r="C490" s="315" t="s">
        <v>518</v>
      </c>
      <c r="D490" s="378">
        <v>1</v>
      </c>
      <c r="E490" s="378">
        <v>1</v>
      </c>
      <c r="F490" s="315" t="s">
        <v>770</v>
      </c>
      <c r="G490" s="316">
        <v>43060</v>
      </c>
      <c r="H490" s="317">
        <v>0.71527777777777779</v>
      </c>
      <c r="I490" s="325" t="s">
        <v>770</v>
      </c>
      <c r="J490" s="315" t="s">
        <v>696</v>
      </c>
      <c r="K490" s="444">
        <v>61</v>
      </c>
      <c r="L490" t="s">
        <v>719</v>
      </c>
      <c r="M490">
        <v>61</v>
      </c>
      <c r="N490" t="s">
        <v>646</v>
      </c>
      <c r="O490" s="153" t="str">
        <f>IF(L490&lt;&gt;"",IFERROR(VLOOKUP(B490&amp;L490,Pools!$A$2:$D$130,3,FALSE),""),"")</f>
        <v/>
      </c>
      <c r="P490" s="388">
        <v>33</v>
      </c>
      <c r="Q490" s="388">
        <v>0</v>
      </c>
      <c r="R490" s="306" t="str">
        <f t="shared" si="315"/>
        <v>33-0</v>
      </c>
      <c r="S490" s="153"/>
      <c r="T490" s="148" t="str">
        <f t="shared" si="316"/>
        <v>Completed</v>
      </c>
      <c r="U490" s="153"/>
      <c r="V490" s="153"/>
      <c r="W490" s="387">
        <f t="shared" si="317"/>
        <v>15</v>
      </c>
      <c r="X490" s="387">
        <f t="shared" si="318"/>
        <v>-15</v>
      </c>
      <c r="Y490" s="301">
        <f t="shared" si="319"/>
        <v>2</v>
      </c>
      <c r="Z490" s="301">
        <f t="shared" si="320"/>
        <v>0</v>
      </c>
      <c r="AA490" s="323" t="str">
        <f>CONCATENATE("                x[team1,team2,sport,'",IF(OR(I490="x",I490=""),VLOOKUP('Schedule from TM'!J490,Tables!$P$3:$Q$33,2,FALSE),'Schedule from TM'!I490),",",J490,"','",IF(OR(F490="x",F490=""),VLOOKUP('Schedule from TM'!G490,Tables!$U$3:$V$14,2,FALSE),'Schedule from TM'!F490),",",TEXT(G490,"mm/dd/yyyy"),"','",TEXT(H490,"h:mm:ss AM/PM"),"'].ub=0.0      #",B490)</f>
        <v xml:space="preserve">                x[team1,team2,sport,'11,JCC Gym North','22,11/21/2017','5:10:00 PM'].ub=0.0      #Junior A Male Basketball</v>
      </c>
      <c r="AB490" s="301" t="str">
        <f t="shared" si="321"/>
        <v>,,Junior A Male Basketball,,1,JR A M - MEX 1</v>
      </c>
      <c r="AC490" s="153" t="str">
        <f t="shared" si="322"/>
        <v>Junior A Male BasketballJR A M - MEX 1</v>
      </c>
      <c r="AD490" s="301" t="str">
        <f t="shared" si="323"/>
        <v>,,Junior A Male Basketball,,1,JR A M - VEN 2</v>
      </c>
      <c r="AE490" s="153" t="str">
        <f t="shared" si="324"/>
        <v>Junior A Male BasketballJR A M - VEN 2</v>
      </c>
      <c r="AF490" s="383">
        <f t="shared" si="325"/>
        <v>1</v>
      </c>
      <c r="AG490" s="383">
        <f t="shared" si="326"/>
        <v>0</v>
      </c>
      <c r="AH490" s="383">
        <f t="shared" si="327"/>
        <v>0</v>
      </c>
      <c r="AI490" s="383">
        <f t="shared" si="328"/>
        <v>0</v>
      </c>
      <c r="AJ490" s="383">
        <f t="shared" si="329"/>
        <v>1</v>
      </c>
      <c r="AK490" s="383">
        <f t="shared" si="330"/>
        <v>0</v>
      </c>
      <c r="AM490" s="148" t="str">
        <f t="shared" si="331"/>
        <v>Schedulled</v>
      </c>
      <c r="AN490" s="148" t="str">
        <f t="shared" si="332"/>
        <v/>
      </c>
      <c r="AO490" s="156">
        <f t="shared" si="333"/>
        <v>43060.715277777781</v>
      </c>
      <c r="AP490" s="148" t="str">
        <f t="shared" si="334"/>
        <v>11/21/2017 17:10-&gt;JCC Gym North</v>
      </c>
      <c r="AQ490" s="374">
        <f t="shared" si="335"/>
        <v>1</v>
      </c>
      <c r="AR490" s="148" t="str">
        <f t="shared" si="336"/>
        <v>MEX1</v>
      </c>
      <c r="AS490" s="148" t="str">
        <f t="shared" si="337"/>
        <v>VEN2</v>
      </c>
      <c r="AT490" s="157" t="str">
        <f t="shared" si="338"/>
        <v>MEX1-VEN2</v>
      </c>
      <c r="AU490" s="157" t="str">
        <f t="shared" si="339"/>
        <v xml:space="preserve">MEX1-VEN2 </v>
      </c>
      <c r="AV490" s="157" t="str">
        <f t="shared" si="340"/>
        <v>JUNIORS A MALE</v>
      </c>
      <c r="AW490" s="157" t="str">
        <f t="shared" si="341"/>
        <v>Basketball</v>
      </c>
      <c r="AX490" s="376">
        <f t="shared" si="342"/>
        <v>488</v>
      </c>
      <c r="AY490" s="148" t="str">
        <f t="shared" si="343"/>
        <v>JR A M - MEX 1-&gt;JR A M - VEN 2</v>
      </c>
      <c r="AZ490" s="148" t="str">
        <f t="shared" si="344"/>
        <v>11/21/2017 17:10-&gt;JR A M - MEX 1</v>
      </c>
      <c r="BA490" s="148" t="str">
        <f t="shared" si="345"/>
        <v>11/21/2017 17:10-&gt;JR A M - VEN 2</v>
      </c>
      <c r="BB490" s="374">
        <f t="shared" si="346"/>
        <v>1</v>
      </c>
      <c r="BC490" s="374">
        <f t="shared" si="347"/>
        <v>1</v>
      </c>
      <c r="BD490" s="148" t="str">
        <f t="shared" si="348"/>
        <v>no conflict</v>
      </c>
      <c r="BF490" s="148" t="str">
        <f t="shared" si="349"/>
        <v>11/21/2017 17:10-&gt;JR A M - MEX 1</v>
      </c>
      <c r="BG490" s="148" t="str">
        <f t="shared" si="350"/>
        <v>11/21/2017 17:10-&gt;JR A M - VEN 2</v>
      </c>
      <c r="BH490" s="148" t="str">
        <f t="shared" si="351"/>
        <v>11/21/2017 17:10-&gt;JCC Gym North</v>
      </c>
      <c r="BI490" s="148" t="str">
        <f t="shared" si="352"/>
        <v>Basketball in JCC Gym North (MEX1-VEN2)</v>
      </c>
      <c r="BJ490" s="148" t="str">
        <f t="shared" si="353"/>
        <v>Junior A Male Basketball-- JR A M - MEX 1 vs. JR A M - VEN 2</v>
      </c>
      <c r="BK490" s="148" t="str">
        <f t="shared" si="354"/>
        <v>Basketball</v>
      </c>
      <c r="BL490" s="148" t="str">
        <f t="shared" si="355"/>
        <v>JR A M - MEX 1</v>
      </c>
      <c r="BM490" s="148" t="str">
        <f t="shared" si="356"/>
        <v>JR A M - VEN 2</v>
      </c>
      <c r="BN490" s="148" t="str">
        <f t="shared" si="357"/>
        <v>Round - 1</v>
      </c>
      <c r="BP490" s="148" t="str">
        <f t="shared" si="358"/>
        <v>no t, f, or sf</v>
      </c>
      <c r="BQ490" s="148" t="str">
        <f t="shared" si="359"/>
        <v/>
      </c>
    </row>
    <row r="491" spans="1:69" ht="15" customHeight="1" x14ac:dyDescent="0.2">
      <c r="A491" s="376">
        <v>489</v>
      </c>
      <c r="B491" s="441" t="s">
        <v>72</v>
      </c>
      <c r="C491" s="441" t="s">
        <v>518</v>
      </c>
      <c r="D491" s="450">
        <v>1</v>
      </c>
      <c r="E491" s="450">
        <v>1</v>
      </c>
      <c r="F491" s="315" t="s">
        <v>770</v>
      </c>
      <c r="G491" s="320">
        <v>43060</v>
      </c>
      <c r="H491" s="318">
        <v>0.85416666666666663</v>
      </c>
      <c r="I491" s="325" t="s">
        <v>770</v>
      </c>
      <c r="J491" s="441" t="s">
        <v>707</v>
      </c>
      <c r="K491" s="441">
        <v>61</v>
      </c>
      <c r="L491" s="441" t="s">
        <v>644</v>
      </c>
      <c r="M491" s="441">
        <v>61</v>
      </c>
      <c r="N491" s="441" t="s">
        <v>645</v>
      </c>
      <c r="O491" s="153" t="str">
        <f>IF(L491&lt;&gt;"",IFERROR(VLOOKUP(B491&amp;L491,Pools!$A$2:$D$130,3,FALSE),""),"")</f>
        <v/>
      </c>
      <c r="P491" s="388">
        <v>29</v>
      </c>
      <c r="Q491" s="388">
        <v>32</v>
      </c>
      <c r="R491" s="306" t="str">
        <f t="shared" si="315"/>
        <v>29-32</v>
      </c>
      <c r="S491" s="153"/>
      <c r="T491" s="148" t="str">
        <f t="shared" si="316"/>
        <v>Completed</v>
      </c>
      <c r="U491" s="153"/>
      <c r="V491" s="153"/>
      <c r="W491" s="387">
        <f t="shared" si="317"/>
        <v>-3</v>
      </c>
      <c r="X491" s="387">
        <f t="shared" si="318"/>
        <v>3</v>
      </c>
      <c r="Y491" s="301">
        <f t="shared" si="319"/>
        <v>0</v>
      </c>
      <c r="Z491" s="301">
        <f t="shared" si="320"/>
        <v>2</v>
      </c>
      <c r="AA491" s="323" t="str">
        <f>CONCATENATE("                x[team1,team2,sport,'",IF(OR(I491="x",I491=""),VLOOKUP('Schedule from TM'!J491,Tables!$P$3:$Q$33,2,FALSE),'Schedule from TM'!I491),",",J491,"','",IF(OR(F491="x",F491=""),VLOOKUP('Schedule from TM'!G491,Tables!$U$3:$V$14,2,FALSE),'Schedule from TM'!F491),",",TEXT(G491,"mm/dd/yyyy"),"','",TEXT(H491,"h:mm:ss AM/PM"),"'].ub=0.0      #",B491)</f>
        <v xml:space="preserve">                x[team1,team2,sport,'21,Hillel - Gym Basketball','22,11/21/2017','8:30:00 PM'].ub=0.0      #Junior A Male Basketball</v>
      </c>
      <c r="AB491" s="301" t="str">
        <f t="shared" si="321"/>
        <v>,,Junior A Male Basketball,,1,JR A M - ISR 1</v>
      </c>
      <c r="AC491" s="153" t="str">
        <f t="shared" si="322"/>
        <v>Junior A Male BasketballJR A M - ISR 1</v>
      </c>
      <c r="AD491" s="301" t="str">
        <f t="shared" si="323"/>
        <v>,,Junior A Male Basketball,,1,JR A M - VEN 1</v>
      </c>
      <c r="AE491" s="153" t="str">
        <f t="shared" si="324"/>
        <v>Junior A Male BasketballJR A M - VEN 1</v>
      </c>
      <c r="AF491" s="383">
        <f t="shared" si="325"/>
        <v>0</v>
      </c>
      <c r="AG491" s="383">
        <f t="shared" si="326"/>
        <v>1</v>
      </c>
      <c r="AH491" s="383">
        <f t="shared" si="327"/>
        <v>0</v>
      </c>
      <c r="AI491" s="383">
        <f t="shared" si="328"/>
        <v>1</v>
      </c>
      <c r="AJ491" s="383">
        <f t="shared" si="329"/>
        <v>0</v>
      </c>
      <c r="AK491" s="383">
        <f t="shared" si="330"/>
        <v>0</v>
      </c>
      <c r="AM491" s="148" t="str">
        <f t="shared" si="331"/>
        <v>Schedulled</v>
      </c>
      <c r="AN491" s="148" t="str">
        <f t="shared" si="332"/>
        <v/>
      </c>
      <c r="AO491" s="156">
        <f t="shared" si="333"/>
        <v>43060.854166666664</v>
      </c>
      <c r="AP491" s="148" t="str">
        <f t="shared" si="334"/>
        <v>11/21/2017 20:30-&gt;Hillel - Gym Basketball</v>
      </c>
      <c r="AQ491" s="374">
        <f t="shared" si="335"/>
        <v>1</v>
      </c>
      <c r="AR491" s="148" t="str">
        <f t="shared" si="336"/>
        <v>ISR1</v>
      </c>
      <c r="AS491" s="148" t="str">
        <f t="shared" si="337"/>
        <v>VEN1</v>
      </c>
      <c r="AT491" s="157" t="str">
        <f t="shared" si="338"/>
        <v>ISR1-VEN1</v>
      </c>
      <c r="AU491" s="157" t="str">
        <f t="shared" si="339"/>
        <v xml:space="preserve">ISR1-VEN1 </v>
      </c>
      <c r="AV491" s="157" t="str">
        <f t="shared" si="340"/>
        <v>JUNIORS A MALE</v>
      </c>
      <c r="AW491" s="157" t="str">
        <f t="shared" si="341"/>
        <v>Basketball</v>
      </c>
      <c r="AX491" s="376">
        <f t="shared" si="342"/>
        <v>489</v>
      </c>
      <c r="AY491" s="148" t="str">
        <f t="shared" si="343"/>
        <v>JR A M - ISR 1-&gt;JR A M - VEN 1</v>
      </c>
      <c r="AZ491" s="148" t="str">
        <f t="shared" si="344"/>
        <v>11/21/2017 20:30-&gt;JR A M - ISR 1</v>
      </c>
      <c r="BA491" s="148" t="str">
        <f t="shared" si="345"/>
        <v>11/21/2017 20:30-&gt;JR A M - VEN 1</v>
      </c>
      <c r="BB491" s="374">
        <f t="shared" si="346"/>
        <v>1</v>
      </c>
      <c r="BC491" s="374">
        <f t="shared" si="347"/>
        <v>1</v>
      </c>
      <c r="BD491" s="148" t="str">
        <f t="shared" si="348"/>
        <v>no conflict</v>
      </c>
      <c r="BF491" s="148" t="str">
        <f t="shared" si="349"/>
        <v>11/21/2017 20:30-&gt;JR A M - ISR 1</v>
      </c>
      <c r="BG491" s="148" t="str">
        <f t="shared" si="350"/>
        <v>11/21/2017 20:30-&gt;JR A M - VEN 1</v>
      </c>
      <c r="BH491" s="148" t="str">
        <f t="shared" si="351"/>
        <v>11/21/2017 20:30-&gt;Hillel - Gym Basketball</v>
      </c>
      <c r="BI491" s="148" t="str">
        <f t="shared" si="352"/>
        <v>Basketball in Hillel - Gym Basketball (ISR1-VEN1)</v>
      </c>
      <c r="BJ491" s="148" t="str">
        <f t="shared" si="353"/>
        <v>Junior A Male Basketball-- JR A M - ISR 1 vs. JR A M - VEN 1</v>
      </c>
      <c r="BK491" s="148" t="str">
        <f t="shared" si="354"/>
        <v>Basketball</v>
      </c>
      <c r="BL491" s="148" t="str">
        <f t="shared" si="355"/>
        <v>JR A M - ISR 1</v>
      </c>
      <c r="BM491" s="148" t="str">
        <f t="shared" si="356"/>
        <v>JR A M - VEN 1</v>
      </c>
      <c r="BN491" s="148" t="str">
        <f t="shared" si="357"/>
        <v>Round - 1</v>
      </c>
      <c r="BP491" s="148" t="str">
        <f t="shared" si="358"/>
        <v>no t, f, or sf</v>
      </c>
      <c r="BQ491" s="148" t="str">
        <f t="shared" si="359"/>
        <v/>
      </c>
    </row>
    <row r="492" spans="1:69" ht="15" customHeight="1" x14ac:dyDescent="0.2">
      <c r="A492" s="376">
        <v>490</v>
      </c>
      <c r="B492" s="315" t="s">
        <v>72</v>
      </c>
      <c r="C492" s="315" t="s">
        <v>518</v>
      </c>
      <c r="D492" s="378">
        <v>1</v>
      </c>
      <c r="E492" s="378">
        <v>1</v>
      </c>
      <c r="F492" s="315" t="s">
        <v>770</v>
      </c>
      <c r="G492" s="316">
        <v>43061</v>
      </c>
      <c r="H492" s="317">
        <v>0.71527777777777779</v>
      </c>
      <c r="I492" s="325" t="s">
        <v>770</v>
      </c>
      <c r="J492" s="315" t="s">
        <v>696</v>
      </c>
      <c r="K492" s="315">
        <v>61</v>
      </c>
      <c r="L492" t="s">
        <v>637</v>
      </c>
      <c r="M492">
        <v>61</v>
      </c>
      <c r="N492" t="s">
        <v>639</v>
      </c>
      <c r="O492" s="153" t="str">
        <f>IF(L492&lt;&gt;"",IFERROR(VLOOKUP(B492&amp;L492,Pools!$A$2:$D$130,3,FALSE),""),"")</f>
        <v/>
      </c>
      <c r="P492" s="388">
        <v>26</v>
      </c>
      <c r="Q492" s="388">
        <v>30</v>
      </c>
      <c r="R492" s="306" t="str">
        <f t="shared" si="315"/>
        <v>26-30</v>
      </c>
      <c r="S492" s="153"/>
      <c r="T492" s="148" t="str">
        <f t="shared" si="316"/>
        <v>Completed</v>
      </c>
      <c r="U492" s="153"/>
      <c r="V492" s="153"/>
      <c r="W492" s="387">
        <f t="shared" si="317"/>
        <v>-4</v>
      </c>
      <c r="X492" s="387">
        <f t="shared" si="318"/>
        <v>4</v>
      </c>
      <c r="Y492" s="301">
        <f t="shared" si="319"/>
        <v>0</v>
      </c>
      <c r="Z492" s="301">
        <f t="shared" si="320"/>
        <v>2</v>
      </c>
      <c r="AA492" s="323" t="str">
        <f>CONCATENATE("                x[team1,team2,sport,'",IF(OR(I492="x",I492=""),VLOOKUP('Schedule from TM'!J492,Tables!$P$3:$Q$33,2,FALSE),'Schedule from TM'!I492),",",J492,"','",IF(OR(F492="x",F492=""),VLOOKUP('Schedule from TM'!G492,Tables!$U$3:$V$14,2,FALSE),'Schedule from TM'!F492),",",TEXT(G492,"mm/dd/yyyy"),"','",TEXT(H492,"h:mm:ss AM/PM"),"'].ub=0.0      #",B492)</f>
        <v xml:space="preserve">                x[team1,team2,sport,'11,JCC Gym North','22,11/22/2017','5:10:00 PM'].ub=0.0      #Junior A Male Basketball</v>
      </c>
      <c r="AB492" s="301" t="str">
        <f t="shared" si="321"/>
        <v>,,Junior A Male Basketball,,1,JR A M - ARG 1</v>
      </c>
      <c r="AC492" s="153" t="str">
        <f t="shared" si="322"/>
        <v>Junior A Male BasketballJR A M - ARG 1</v>
      </c>
      <c r="AD492" s="301" t="str">
        <f t="shared" si="323"/>
        <v>,,Junior A Male Basketball,,1,JR A M - COL 1</v>
      </c>
      <c r="AE492" s="153" t="str">
        <f t="shared" si="324"/>
        <v>Junior A Male BasketballJR A M - COL 1</v>
      </c>
      <c r="AF492" s="383">
        <f t="shared" si="325"/>
        <v>0</v>
      </c>
      <c r="AG492" s="383">
        <f t="shared" si="326"/>
        <v>1</v>
      </c>
      <c r="AH492" s="383">
        <f t="shared" si="327"/>
        <v>0</v>
      </c>
      <c r="AI492" s="383">
        <f t="shared" si="328"/>
        <v>1</v>
      </c>
      <c r="AJ492" s="383">
        <f t="shared" si="329"/>
        <v>0</v>
      </c>
      <c r="AK492" s="383">
        <f t="shared" si="330"/>
        <v>0</v>
      </c>
      <c r="AM492" s="148" t="str">
        <f t="shared" si="331"/>
        <v>Schedulled</v>
      </c>
      <c r="AN492" s="148" t="str">
        <f t="shared" si="332"/>
        <v/>
      </c>
      <c r="AO492" s="156">
        <f t="shared" si="333"/>
        <v>43061.715277777781</v>
      </c>
      <c r="AP492" s="148" t="str">
        <f t="shared" si="334"/>
        <v>11/22/2017 17:10-&gt;JCC Gym North</v>
      </c>
      <c r="AQ492" s="374">
        <f t="shared" si="335"/>
        <v>1</v>
      </c>
      <c r="AR492" s="148" t="str">
        <f t="shared" si="336"/>
        <v>ARG1</v>
      </c>
      <c r="AS492" s="148" t="str">
        <f t="shared" si="337"/>
        <v>COL1</v>
      </c>
      <c r="AT492" s="157" t="str">
        <f t="shared" si="338"/>
        <v>ARG1-COL1</v>
      </c>
      <c r="AU492" s="157" t="str">
        <f t="shared" si="339"/>
        <v xml:space="preserve">ARG1-COL1 </v>
      </c>
      <c r="AV492" s="157" t="str">
        <f t="shared" si="340"/>
        <v>JUNIORS A MALE</v>
      </c>
      <c r="AW492" s="157" t="str">
        <f t="shared" si="341"/>
        <v>Basketball</v>
      </c>
      <c r="AX492" s="376">
        <f t="shared" si="342"/>
        <v>490</v>
      </c>
      <c r="AY492" s="148" t="str">
        <f t="shared" si="343"/>
        <v>JR A M - ARG 1-&gt;JR A M - COL 1</v>
      </c>
      <c r="AZ492" s="148" t="str">
        <f t="shared" si="344"/>
        <v>11/22/2017 17:10-&gt;JR A M - ARG 1</v>
      </c>
      <c r="BA492" s="148" t="str">
        <f t="shared" si="345"/>
        <v>11/22/2017 17:10-&gt;JR A M - COL 1</v>
      </c>
      <c r="BB492" s="374">
        <f t="shared" si="346"/>
        <v>1</v>
      </c>
      <c r="BC492" s="374">
        <f t="shared" si="347"/>
        <v>1</v>
      </c>
      <c r="BD492" s="148" t="str">
        <f t="shared" si="348"/>
        <v>no conflict</v>
      </c>
      <c r="BF492" s="148" t="str">
        <f t="shared" si="349"/>
        <v>11/22/2017 17:10-&gt;JR A M - ARG 1</v>
      </c>
      <c r="BG492" s="148" t="str">
        <f t="shared" si="350"/>
        <v>11/22/2017 17:10-&gt;JR A M - COL 1</v>
      </c>
      <c r="BH492" s="148" t="str">
        <f t="shared" si="351"/>
        <v>11/22/2017 17:10-&gt;JCC Gym North</v>
      </c>
      <c r="BI492" s="148" t="str">
        <f t="shared" si="352"/>
        <v>Basketball in JCC Gym North (ARG1-COL1)</v>
      </c>
      <c r="BJ492" s="148" t="str">
        <f t="shared" si="353"/>
        <v>Junior A Male Basketball-- JR A M - ARG 1 vs. JR A M - COL 1</v>
      </c>
      <c r="BK492" s="148" t="str">
        <f t="shared" si="354"/>
        <v>Basketball</v>
      </c>
      <c r="BL492" s="148" t="str">
        <f t="shared" si="355"/>
        <v>JR A M - ARG 1</v>
      </c>
      <c r="BM492" s="148" t="str">
        <f t="shared" si="356"/>
        <v>JR A M - COL 1</v>
      </c>
      <c r="BN492" s="148" t="str">
        <f t="shared" si="357"/>
        <v>Round - 1</v>
      </c>
      <c r="BP492" s="148" t="str">
        <f t="shared" si="358"/>
        <v>no t, f, or sf</v>
      </c>
      <c r="BQ492" s="148" t="str">
        <f t="shared" si="359"/>
        <v/>
      </c>
    </row>
    <row r="493" spans="1:69" ht="15" customHeight="1" x14ac:dyDescent="0.2">
      <c r="A493" s="376">
        <v>491</v>
      </c>
      <c r="B493" s="315" t="s">
        <v>72</v>
      </c>
      <c r="C493" s="315" t="s">
        <v>518</v>
      </c>
      <c r="D493" s="378">
        <v>1</v>
      </c>
      <c r="E493" s="378">
        <v>1</v>
      </c>
      <c r="F493" s="315" t="s">
        <v>770</v>
      </c>
      <c r="G493" s="316">
        <v>43062</v>
      </c>
      <c r="H493" s="317">
        <v>0.50694444444444442</v>
      </c>
      <c r="I493" s="325" t="s">
        <v>770</v>
      </c>
      <c r="J493" s="315" t="s">
        <v>696</v>
      </c>
      <c r="K493" s="315">
        <v>61</v>
      </c>
      <c r="L493" t="s">
        <v>719</v>
      </c>
      <c r="M493">
        <v>61</v>
      </c>
      <c r="N493" t="s">
        <v>638</v>
      </c>
      <c r="O493" s="153" t="str">
        <f>IF(L493&lt;&gt;"",IFERROR(VLOOKUP(B493&amp;L493,Pools!$A$2:$D$130,3,FALSE),""),"")</f>
        <v/>
      </c>
      <c r="P493" s="388">
        <v>33</v>
      </c>
      <c r="Q493" s="388">
        <v>31</v>
      </c>
      <c r="R493" s="306" t="str">
        <f t="shared" si="315"/>
        <v>33-31</v>
      </c>
      <c r="S493" s="153"/>
      <c r="T493" s="148" t="str">
        <f t="shared" si="316"/>
        <v>Completed</v>
      </c>
      <c r="U493" s="153"/>
      <c r="V493" s="153"/>
      <c r="W493" s="387">
        <f t="shared" si="317"/>
        <v>2</v>
      </c>
      <c r="X493" s="387">
        <f t="shared" si="318"/>
        <v>-2</v>
      </c>
      <c r="Y493" s="301">
        <f t="shared" si="319"/>
        <v>2</v>
      </c>
      <c r="Z493" s="301">
        <f t="shared" si="320"/>
        <v>0</v>
      </c>
      <c r="AA493" s="323" t="str">
        <f>CONCATENATE("                x[team1,team2,sport,'",IF(OR(I493="x",I493=""),VLOOKUP('Schedule from TM'!J493,Tables!$P$3:$Q$33,2,FALSE),'Schedule from TM'!I493),",",J493,"','",IF(OR(F493="x",F493=""),VLOOKUP('Schedule from TM'!G493,Tables!$U$3:$V$14,2,FALSE),'Schedule from TM'!F493),",",TEXT(G493,"mm/dd/yyyy"),"','",TEXT(H493,"h:mm:ss AM/PM"),"'].ub=0.0      #",B493)</f>
        <v xml:space="preserve">                x[team1,team2,sport,'11,JCC Gym North','11,11/23/2017','12:10:00 PM'].ub=0.0      #Junior A Male Basketball</v>
      </c>
      <c r="AB493" s="301" t="str">
        <f t="shared" si="321"/>
        <v>,,Junior A Male Basketball,,1,JR A M - MEX 1</v>
      </c>
      <c r="AC493" s="153" t="str">
        <f t="shared" si="322"/>
        <v>Junior A Male BasketballJR A M - MEX 1</v>
      </c>
      <c r="AD493" s="301" t="str">
        <f t="shared" si="323"/>
        <v>,,Junior A Male Basketball,,1,JR A M - ARG 2</v>
      </c>
      <c r="AE493" s="153" t="str">
        <f t="shared" si="324"/>
        <v>Junior A Male BasketballJR A M - ARG 2</v>
      </c>
      <c r="AF493" s="383">
        <f t="shared" si="325"/>
        <v>1</v>
      </c>
      <c r="AG493" s="383">
        <f t="shared" si="326"/>
        <v>0</v>
      </c>
      <c r="AH493" s="383">
        <f t="shared" si="327"/>
        <v>0</v>
      </c>
      <c r="AI493" s="383">
        <f t="shared" si="328"/>
        <v>0</v>
      </c>
      <c r="AJ493" s="383">
        <f t="shared" si="329"/>
        <v>1</v>
      </c>
      <c r="AK493" s="383">
        <f t="shared" si="330"/>
        <v>0</v>
      </c>
      <c r="AM493" s="148" t="str">
        <f t="shared" si="331"/>
        <v>Schedulled</v>
      </c>
      <c r="AN493" s="148" t="str">
        <f t="shared" si="332"/>
        <v/>
      </c>
      <c r="AO493" s="156">
        <f t="shared" si="333"/>
        <v>43062.506944444445</v>
      </c>
      <c r="AP493" s="148" t="str">
        <f t="shared" si="334"/>
        <v>11/23/2017 12:10-&gt;JCC Gym North</v>
      </c>
      <c r="AQ493" s="374">
        <f t="shared" si="335"/>
        <v>1</v>
      </c>
      <c r="AR493" s="148" t="str">
        <f t="shared" si="336"/>
        <v>MEX1</v>
      </c>
      <c r="AS493" s="148" t="str">
        <f t="shared" si="337"/>
        <v>ARG2</v>
      </c>
      <c r="AT493" s="157" t="str">
        <f t="shared" si="338"/>
        <v>MEX1-ARG2</v>
      </c>
      <c r="AU493" s="157" t="str">
        <f t="shared" si="339"/>
        <v xml:space="preserve">MEX1-ARG2 </v>
      </c>
      <c r="AV493" s="157" t="str">
        <f t="shared" si="340"/>
        <v>JUNIORS A MALE</v>
      </c>
      <c r="AW493" s="157" t="str">
        <f t="shared" si="341"/>
        <v>Basketball</v>
      </c>
      <c r="AX493" s="376">
        <f t="shared" si="342"/>
        <v>491</v>
      </c>
      <c r="AY493" s="148" t="str">
        <f t="shared" si="343"/>
        <v>JR A M - MEX 1-&gt;JR A M - ARG 2</v>
      </c>
      <c r="AZ493" s="148" t="str">
        <f t="shared" si="344"/>
        <v>11/23/2017 12:10-&gt;JR A M - MEX 1</v>
      </c>
      <c r="BA493" s="148" t="str">
        <f t="shared" si="345"/>
        <v>11/23/2017 12:10-&gt;JR A M - ARG 2</v>
      </c>
      <c r="BB493" s="374">
        <f t="shared" si="346"/>
        <v>1</v>
      </c>
      <c r="BC493" s="374">
        <f t="shared" si="347"/>
        <v>1</v>
      </c>
      <c r="BD493" s="148" t="str">
        <f t="shared" si="348"/>
        <v>no conflict</v>
      </c>
      <c r="BF493" s="148" t="str">
        <f t="shared" si="349"/>
        <v>11/23/2017 12:10-&gt;JR A M - MEX 1</v>
      </c>
      <c r="BG493" s="148" t="str">
        <f t="shared" si="350"/>
        <v>11/23/2017 12:10-&gt;JR A M - ARG 2</v>
      </c>
      <c r="BH493" s="148" t="str">
        <f t="shared" si="351"/>
        <v>11/23/2017 12:10-&gt;JCC Gym North</v>
      </c>
      <c r="BI493" s="148" t="str">
        <f t="shared" si="352"/>
        <v>Basketball in JCC Gym North (MEX1-ARG2)</v>
      </c>
      <c r="BJ493" s="148" t="str">
        <f t="shared" si="353"/>
        <v>Junior A Male Basketball-- JR A M - MEX 1 vs. JR A M - ARG 2</v>
      </c>
      <c r="BK493" s="148" t="str">
        <f t="shared" si="354"/>
        <v>Basketball</v>
      </c>
      <c r="BL493" s="148" t="str">
        <f t="shared" si="355"/>
        <v>JR A M - MEX 1</v>
      </c>
      <c r="BM493" s="148" t="str">
        <f t="shared" si="356"/>
        <v>JR A M - ARG 2</v>
      </c>
      <c r="BN493" s="148" t="str">
        <f t="shared" si="357"/>
        <v>Round - 1</v>
      </c>
      <c r="BP493" s="148" t="str">
        <f t="shared" si="358"/>
        <v>no t, f, or sf</v>
      </c>
      <c r="BQ493" s="148" t="str">
        <f t="shared" si="359"/>
        <v/>
      </c>
    </row>
    <row r="494" spans="1:69" ht="15" customHeight="1" x14ac:dyDescent="0.2">
      <c r="A494" s="376">
        <v>492</v>
      </c>
      <c r="B494" s="315" t="s">
        <v>72</v>
      </c>
      <c r="C494" s="315" t="s">
        <v>518</v>
      </c>
      <c r="D494" s="378">
        <v>1</v>
      </c>
      <c r="E494" s="378">
        <v>1</v>
      </c>
      <c r="F494" s="315" t="s">
        <v>770</v>
      </c>
      <c r="G494" s="316">
        <v>43062</v>
      </c>
      <c r="H494" s="317">
        <v>0.54166666666666663</v>
      </c>
      <c r="I494" s="325" t="s">
        <v>770</v>
      </c>
      <c r="J494" s="315" t="s">
        <v>696</v>
      </c>
      <c r="K494" s="444">
        <v>61</v>
      </c>
      <c r="L494" t="s">
        <v>639</v>
      </c>
      <c r="M494">
        <v>61</v>
      </c>
      <c r="N494" t="s">
        <v>720</v>
      </c>
      <c r="O494" s="153" t="str">
        <f>IF(L494&lt;&gt;"",IFERROR(VLOOKUP(B494&amp;L494,Pools!$A$2:$D$130,3,FALSE),""),"")</f>
        <v/>
      </c>
      <c r="P494" s="388">
        <v>27</v>
      </c>
      <c r="Q494" s="388">
        <v>32</v>
      </c>
      <c r="R494" s="306" t="str">
        <f t="shared" si="315"/>
        <v>27-32</v>
      </c>
      <c r="S494" s="153"/>
      <c r="T494" s="148" t="str">
        <f t="shared" si="316"/>
        <v>Completed</v>
      </c>
      <c r="U494" s="153"/>
      <c r="V494" s="153"/>
      <c r="W494" s="387">
        <f t="shared" si="317"/>
        <v>-5</v>
      </c>
      <c r="X494" s="387">
        <f t="shared" si="318"/>
        <v>5</v>
      </c>
      <c r="Y494" s="301">
        <f t="shared" si="319"/>
        <v>0</v>
      </c>
      <c r="Z494" s="301">
        <f t="shared" si="320"/>
        <v>2</v>
      </c>
      <c r="AA494" s="323" t="str">
        <f>CONCATENATE("                x[team1,team2,sport,'",IF(OR(I494="x",I494=""),VLOOKUP('Schedule from TM'!J494,Tables!$P$3:$Q$33,2,FALSE),'Schedule from TM'!I494),",",J494,"','",IF(OR(F494="x",F494=""),VLOOKUP('Schedule from TM'!G494,Tables!$U$3:$V$14,2,FALSE),'Schedule from TM'!F494),",",TEXT(G494,"mm/dd/yyyy"),"','",TEXT(H494,"h:mm:ss AM/PM"),"'].ub=0.0      #",B494)</f>
        <v xml:space="preserve">                x[team1,team2,sport,'11,JCC Gym North','11,11/23/2017','1:00:00 PM'].ub=0.0      #Junior A Male Basketball</v>
      </c>
      <c r="AB494" s="301" t="str">
        <f t="shared" si="321"/>
        <v>,,Junior A Male Basketball,,1,JR A M - COL 1</v>
      </c>
      <c r="AC494" s="153" t="str">
        <f t="shared" si="322"/>
        <v>Junior A Male BasketballJR A M - COL 1</v>
      </c>
      <c r="AD494" s="301" t="str">
        <f t="shared" si="323"/>
        <v>,,Junior A Male Basketball,,1,JR A M - MEX 2</v>
      </c>
      <c r="AE494" s="153" t="str">
        <f t="shared" si="324"/>
        <v>Junior A Male BasketballJR A M - MEX 2</v>
      </c>
      <c r="AF494" s="383">
        <f t="shared" si="325"/>
        <v>0</v>
      </c>
      <c r="AG494" s="383">
        <f t="shared" si="326"/>
        <v>1</v>
      </c>
      <c r="AH494" s="383">
        <f t="shared" si="327"/>
        <v>0</v>
      </c>
      <c r="AI494" s="383">
        <f t="shared" si="328"/>
        <v>1</v>
      </c>
      <c r="AJ494" s="383">
        <f t="shared" si="329"/>
        <v>0</v>
      </c>
      <c r="AK494" s="383">
        <f t="shared" si="330"/>
        <v>0</v>
      </c>
      <c r="AM494" s="148" t="str">
        <f t="shared" si="331"/>
        <v>Schedulled</v>
      </c>
      <c r="AN494" s="148" t="str">
        <f t="shared" si="332"/>
        <v/>
      </c>
      <c r="AO494" s="156">
        <f t="shared" si="333"/>
        <v>43062.541666666664</v>
      </c>
      <c r="AP494" s="148" t="str">
        <f t="shared" si="334"/>
        <v>11/23/2017 13:00-&gt;JCC Gym North</v>
      </c>
      <c r="AQ494" s="374">
        <f t="shared" si="335"/>
        <v>1</v>
      </c>
      <c r="AR494" s="148" t="str">
        <f t="shared" si="336"/>
        <v>COL1</v>
      </c>
      <c r="AS494" s="148" t="str">
        <f t="shared" si="337"/>
        <v>MEX2</v>
      </c>
      <c r="AT494" s="157" t="str">
        <f t="shared" si="338"/>
        <v>COL1-MEX2</v>
      </c>
      <c r="AU494" s="157" t="str">
        <f t="shared" si="339"/>
        <v xml:space="preserve">COL1-MEX2 </v>
      </c>
      <c r="AV494" s="157" t="str">
        <f t="shared" si="340"/>
        <v>JUNIORS A MALE</v>
      </c>
      <c r="AW494" s="157" t="str">
        <f t="shared" si="341"/>
        <v>Basketball</v>
      </c>
      <c r="AX494" s="376">
        <f t="shared" si="342"/>
        <v>492</v>
      </c>
      <c r="AY494" s="148" t="str">
        <f t="shared" si="343"/>
        <v>JR A M - COL 1-&gt;JR A M - MEX 2</v>
      </c>
      <c r="AZ494" s="148" t="str">
        <f t="shared" si="344"/>
        <v>11/23/2017 13:00-&gt;JR A M - COL 1</v>
      </c>
      <c r="BA494" s="148" t="str">
        <f t="shared" si="345"/>
        <v>11/23/2017 13:00-&gt;JR A M - MEX 2</v>
      </c>
      <c r="BB494" s="374">
        <f t="shared" si="346"/>
        <v>1</v>
      </c>
      <c r="BC494" s="374">
        <f t="shared" si="347"/>
        <v>1</v>
      </c>
      <c r="BD494" s="148" t="str">
        <f t="shared" si="348"/>
        <v>no conflict</v>
      </c>
      <c r="BF494" s="148" t="str">
        <f t="shared" si="349"/>
        <v>11/23/2017 13:00-&gt;JR A M - COL 1</v>
      </c>
      <c r="BG494" s="148" t="str">
        <f t="shared" si="350"/>
        <v>11/23/2017 13:00-&gt;JR A M - MEX 2</v>
      </c>
      <c r="BH494" s="148" t="str">
        <f t="shared" si="351"/>
        <v>11/23/2017 13:00-&gt;JCC Gym North</v>
      </c>
      <c r="BI494" s="148" t="str">
        <f t="shared" si="352"/>
        <v>Basketball in JCC Gym North (COL1-MEX2)</v>
      </c>
      <c r="BJ494" s="148" t="str">
        <f t="shared" si="353"/>
        <v>Junior A Male Basketball-- JR A M - COL 1 vs. JR A M - MEX 2</v>
      </c>
      <c r="BK494" s="148" t="str">
        <f t="shared" si="354"/>
        <v>Basketball</v>
      </c>
      <c r="BL494" s="148" t="str">
        <f t="shared" si="355"/>
        <v>JR A M - COL 1</v>
      </c>
      <c r="BM494" s="148" t="str">
        <f t="shared" si="356"/>
        <v>JR A M - MEX 2</v>
      </c>
      <c r="BN494" s="148" t="str">
        <f t="shared" si="357"/>
        <v>Round - 1</v>
      </c>
      <c r="BP494" s="148" t="str">
        <f t="shared" si="358"/>
        <v>no t, f, or sf</v>
      </c>
      <c r="BQ494" s="148" t="str">
        <f t="shared" si="359"/>
        <v/>
      </c>
    </row>
    <row r="495" spans="1:69" ht="15" customHeight="1" x14ac:dyDescent="0.2">
      <c r="A495" s="376">
        <v>493</v>
      </c>
      <c r="B495" s="444" t="s">
        <v>72</v>
      </c>
      <c r="C495" s="444" t="s">
        <v>518</v>
      </c>
      <c r="D495" s="451">
        <v>1</v>
      </c>
      <c r="E495" s="451">
        <v>1</v>
      </c>
      <c r="F495" s="315" t="s">
        <v>770</v>
      </c>
      <c r="G495" s="445">
        <v>43062</v>
      </c>
      <c r="H495" s="317">
        <v>0.61111111111111105</v>
      </c>
      <c r="I495" s="325" t="s">
        <v>770</v>
      </c>
      <c r="J495" s="444" t="s">
        <v>696</v>
      </c>
      <c r="K495" s="444">
        <v>61</v>
      </c>
      <c r="L495" s="433" t="s">
        <v>637</v>
      </c>
      <c r="M495" s="433">
        <v>61</v>
      </c>
      <c r="N495" s="433" t="s">
        <v>644</v>
      </c>
      <c r="O495" s="153" t="str">
        <f>IF(L495&lt;&gt;"",IFERROR(VLOOKUP(B495&amp;L495,Pools!$A$2:$D$130,3,FALSE),""),"")</f>
        <v/>
      </c>
      <c r="P495" s="388">
        <v>27</v>
      </c>
      <c r="Q495" s="388">
        <v>34</v>
      </c>
      <c r="R495" s="306" t="str">
        <f t="shared" si="315"/>
        <v>27-34</v>
      </c>
      <c r="S495" s="153"/>
      <c r="T495" s="148" t="str">
        <f t="shared" si="316"/>
        <v>Completed</v>
      </c>
      <c r="U495" s="153"/>
      <c r="V495" s="153"/>
      <c r="W495" s="387">
        <f t="shared" si="317"/>
        <v>-7</v>
      </c>
      <c r="X495" s="387">
        <f t="shared" si="318"/>
        <v>7</v>
      </c>
      <c r="Y495" s="301">
        <f t="shared" si="319"/>
        <v>0</v>
      </c>
      <c r="Z495" s="301">
        <f t="shared" si="320"/>
        <v>2</v>
      </c>
      <c r="AA495" s="323" t="str">
        <f>CONCATENATE("                x[team1,team2,sport,'",IF(OR(I495="x",I495=""),VLOOKUP('Schedule from TM'!J495,Tables!$P$3:$Q$33,2,FALSE),'Schedule from TM'!I495),",",J495,"','",IF(OR(F495="x",F495=""),VLOOKUP('Schedule from TM'!G495,Tables!$U$3:$V$14,2,FALSE),'Schedule from TM'!F495),",",TEXT(G495,"mm/dd/yyyy"),"','",TEXT(H495,"h:mm:ss AM/PM"),"'].ub=0.0      #",B495)</f>
        <v xml:space="preserve">                x[team1,team2,sport,'11,JCC Gym North','11,11/23/2017','2:40:00 PM'].ub=0.0      #Junior A Male Basketball</v>
      </c>
      <c r="AB495" s="301" t="str">
        <f t="shared" si="321"/>
        <v>,,Junior A Male Basketball,,1,JR A M - ARG 1</v>
      </c>
      <c r="AC495" s="153" t="str">
        <f t="shared" si="322"/>
        <v>Junior A Male BasketballJR A M - ARG 1</v>
      </c>
      <c r="AD495" s="301" t="str">
        <f t="shared" si="323"/>
        <v>,,Junior A Male Basketball,,1,JR A M - ISR 1</v>
      </c>
      <c r="AE495" s="153" t="str">
        <f t="shared" si="324"/>
        <v>Junior A Male BasketballJR A M - ISR 1</v>
      </c>
      <c r="AF495" s="383">
        <f t="shared" si="325"/>
        <v>0</v>
      </c>
      <c r="AG495" s="383">
        <f t="shared" si="326"/>
        <v>1</v>
      </c>
      <c r="AH495" s="383">
        <f t="shared" si="327"/>
        <v>0</v>
      </c>
      <c r="AI495" s="383">
        <f t="shared" si="328"/>
        <v>1</v>
      </c>
      <c r="AJ495" s="383">
        <f t="shared" si="329"/>
        <v>0</v>
      </c>
      <c r="AK495" s="383">
        <f t="shared" si="330"/>
        <v>0</v>
      </c>
      <c r="AM495" s="148" t="str">
        <f t="shared" si="331"/>
        <v>Schedulled</v>
      </c>
      <c r="AN495" s="148" t="str">
        <f t="shared" si="332"/>
        <v/>
      </c>
      <c r="AO495" s="156">
        <f t="shared" si="333"/>
        <v>43062.611111111109</v>
      </c>
      <c r="AP495" s="148" t="str">
        <f t="shared" si="334"/>
        <v>11/23/2017 14:40-&gt;JCC Gym North</v>
      </c>
      <c r="AQ495" s="374">
        <f t="shared" si="335"/>
        <v>1</v>
      </c>
      <c r="AR495" s="148" t="str">
        <f t="shared" si="336"/>
        <v>ARG1</v>
      </c>
      <c r="AS495" s="148" t="str">
        <f t="shared" si="337"/>
        <v>ISR1</v>
      </c>
      <c r="AT495" s="157" t="str">
        <f t="shared" si="338"/>
        <v>ARG1-ISR1</v>
      </c>
      <c r="AU495" s="157" t="str">
        <f t="shared" si="339"/>
        <v xml:space="preserve">ARG1-ISR1 </v>
      </c>
      <c r="AV495" s="157" t="str">
        <f t="shared" si="340"/>
        <v>JUNIORS A MALE</v>
      </c>
      <c r="AW495" s="157" t="str">
        <f t="shared" si="341"/>
        <v>Basketball</v>
      </c>
      <c r="AX495" s="376">
        <f t="shared" si="342"/>
        <v>493</v>
      </c>
      <c r="AY495" s="148" t="str">
        <f t="shared" si="343"/>
        <v>JR A M - ARG 1-&gt;JR A M - ISR 1</v>
      </c>
      <c r="AZ495" s="148" t="str">
        <f t="shared" si="344"/>
        <v>11/23/2017 14:40-&gt;JR A M - ARG 1</v>
      </c>
      <c r="BA495" s="148" t="str">
        <f t="shared" si="345"/>
        <v>11/23/2017 14:40-&gt;JR A M - ISR 1</v>
      </c>
      <c r="BB495" s="374">
        <f t="shared" si="346"/>
        <v>1</v>
      </c>
      <c r="BC495" s="374">
        <f t="shared" si="347"/>
        <v>1</v>
      </c>
      <c r="BD495" s="148" t="str">
        <f t="shared" si="348"/>
        <v>no conflict</v>
      </c>
      <c r="BF495" s="148" t="str">
        <f t="shared" si="349"/>
        <v>11/23/2017 14:40-&gt;JR A M - ARG 1</v>
      </c>
      <c r="BG495" s="148" t="str">
        <f t="shared" si="350"/>
        <v>11/23/2017 14:40-&gt;JR A M - ISR 1</v>
      </c>
      <c r="BH495" s="148" t="str">
        <f t="shared" si="351"/>
        <v>11/23/2017 14:40-&gt;JCC Gym North</v>
      </c>
      <c r="BI495" s="148" t="str">
        <f t="shared" si="352"/>
        <v>Basketball in JCC Gym North (ARG1-ISR1)</v>
      </c>
      <c r="BJ495" s="148" t="str">
        <f t="shared" si="353"/>
        <v>Junior A Male Basketball-- JR A M - ARG 1 vs. JR A M - ISR 1</v>
      </c>
      <c r="BK495" s="148" t="str">
        <f t="shared" si="354"/>
        <v>Basketball</v>
      </c>
      <c r="BL495" s="148" t="str">
        <f t="shared" si="355"/>
        <v>JR A M - ARG 1</v>
      </c>
      <c r="BM495" s="148" t="str">
        <f t="shared" si="356"/>
        <v>JR A M - ISR 1</v>
      </c>
      <c r="BN495" s="148" t="str">
        <f t="shared" si="357"/>
        <v>Round - 1</v>
      </c>
      <c r="BP495" s="148" t="str">
        <f t="shared" si="358"/>
        <v>no t, f, or sf</v>
      </c>
      <c r="BQ495" s="148" t="str">
        <f t="shared" si="359"/>
        <v/>
      </c>
    </row>
    <row r="496" spans="1:69" ht="15" customHeight="1" x14ac:dyDescent="0.2">
      <c r="A496" s="376">
        <v>494</v>
      </c>
      <c r="B496" s="315" t="s">
        <v>72</v>
      </c>
      <c r="C496" s="315" t="s">
        <v>518</v>
      </c>
      <c r="D496" s="378">
        <v>1</v>
      </c>
      <c r="E496" s="378">
        <v>1</v>
      </c>
      <c r="F496" s="315" t="s">
        <v>770</v>
      </c>
      <c r="G496" s="316">
        <v>43063</v>
      </c>
      <c r="H496" s="454">
        <v>0.40277777777777773</v>
      </c>
      <c r="I496" s="325" t="s">
        <v>770</v>
      </c>
      <c r="J496" s="315" t="s">
        <v>696</v>
      </c>
      <c r="K496" s="315">
        <v>61</v>
      </c>
      <c r="L496" s="433" t="s">
        <v>720</v>
      </c>
      <c r="M496" s="433">
        <v>61</v>
      </c>
      <c r="N496" s="433" t="s">
        <v>642</v>
      </c>
      <c r="O496" s="153" t="str">
        <f>IF(L496&lt;&gt;"",IFERROR(VLOOKUP(B496&amp;L496,Pools!$A$2:$D$130,3,FALSE),""),"")</f>
        <v/>
      </c>
      <c r="P496" s="388">
        <v>35</v>
      </c>
      <c r="Q496" s="388">
        <v>32</v>
      </c>
      <c r="R496" s="306" t="str">
        <f t="shared" si="315"/>
        <v>35-32</v>
      </c>
      <c r="S496" s="153"/>
      <c r="T496" s="148" t="str">
        <f t="shared" si="316"/>
        <v>Completed</v>
      </c>
      <c r="U496" s="153"/>
      <c r="V496" s="153"/>
      <c r="W496" s="387">
        <f t="shared" si="317"/>
        <v>3</v>
      </c>
      <c r="X496" s="387">
        <f t="shared" si="318"/>
        <v>-3</v>
      </c>
      <c r="Y496" s="301">
        <f t="shared" si="319"/>
        <v>2</v>
      </c>
      <c r="Z496" s="301">
        <f t="shared" si="320"/>
        <v>0</v>
      </c>
      <c r="AA496" s="323" t="str">
        <f>CONCATENATE("                x[team1,team2,sport,'",IF(OR(I496="x",I496=""),VLOOKUP('Schedule from TM'!J496,Tables!$P$3:$Q$33,2,FALSE),'Schedule from TM'!I496),",",J496,"','",IF(OR(F496="x",F496=""),VLOOKUP('Schedule from TM'!G496,Tables!$U$3:$V$14,2,FALSE),'Schedule from TM'!F496),",",TEXT(G496,"mm/dd/yyyy"),"','",TEXT(H496,"h:mm:ss AM/PM"),"'].ub=0.0      #",B496)</f>
        <v xml:space="preserve">                x[team1,team2,sport,'11,JCC Gym North','11,11/24/2017','9:40:00 AM'].ub=0.0      #Junior A Male Basketball</v>
      </c>
      <c r="AB496" s="301" t="str">
        <f t="shared" si="321"/>
        <v>,,Junior A Male Basketball,,1,JR A M - MEX 2</v>
      </c>
      <c r="AC496" s="153" t="str">
        <f t="shared" si="322"/>
        <v>Junior A Male BasketballJR A M - MEX 2</v>
      </c>
      <c r="AD496" s="301" t="str">
        <f t="shared" si="323"/>
        <v>,,Junior A Male Basketball,,1,JR A M - USA 1</v>
      </c>
      <c r="AE496" s="153" t="str">
        <f t="shared" si="324"/>
        <v>Junior A Male BasketballJR A M - USA 1</v>
      </c>
      <c r="AF496" s="383">
        <f t="shared" si="325"/>
        <v>1</v>
      </c>
      <c r="AG496" s="383">
        <f t="shared" si="326"/>
        <v>0</v>
      </c>
      <c r="AH496" s="383">
        <f t="shared" si="327"/>
        <v>0</v>
      </c>
      <c r="AI496" s="383">
        <f t="shared" si="328"/>
        <v>0</v>
      </c>
      <c r="AJ496" s="383">
        <f t="shared" si="329"/>
        <v>1</v>
      </c>
      <c r="AK496" s="383">
        <f t="shared" si="330"/>
        <v>0</v>
      </c>
      <c r="AM496" s="148" t="str">
        <f t="shared" si="331"/>
        <v>Schedulled</v>
      </c>
      <c r="AN496" s="148" t="str">
        <f t="shared" si="332"/>
        <v/>
      </c>
      <c r="AO496" s="156">
        <f t="shared" si="333"/>
        <v>43063.402777777781</v>
      </c>
      <c r="AP496" s="148" t="str">
        <f t="shared" si="334"/>
        <v>11/24/2017 09:40-&gt;JCC Gym North</v>
      </c>
      <c r="AQ496" s="374">
        <f t="shared" si="335"/>
        <v>1</v>
      </c>
      <c r="AR496" s="148" t="str">
        <f t="shared" si="336"/>
        <v>MEX2</v>
      </c>
      <c r="AS496" s="148" t="str">
        <f t="shared" si="337"/>
        <v>USA1</v>
      </c>
      <c r="AT496" s="157" t="str">
        <f t="shared" si="338"/>
        <v>MEX2-USA1</v>
      </c>
      <c r="AU496" s="157" t="str">
        <f t="shared" si="339"/>
        <v xml:space="preserve">MEX2-USA1 </v>
      </c>
      <c r="AV496" s="157" t="str">
        <f t="shared" si="340"/>
        <v>JUNIORS A MALE</v>
      </c>
      <c r="AW496" s="157" t="str">
        <f t="shared" si="341"/>
        <v>Basketball</v>
      </c>
      <c r="AX496" s="376">
        <f t="shared" si="342"/>
        <v>494</v>
      </c>
      <c r="AY496" s="148" t="str">
        <f t="shared" si="343"/>
        <v>JR A M - MEX 2-&gt;JR A M - USA 1</v>
      </c>
      <c r="AZ496" s="148" t="str">
        <f t="shared" si="344"/>
        <v>11/24/2017 09:40-&gt;JR A M - MEX 2</v>
      </c>
      <c r="BA496" s="148" t="str">
        <f t="shared" si="345"/>
        <v>11/24/2017 09:40-&gt;JR A M - USA 1</v>
      </c>
      <c r="BB496" s="374">
        <f t="shared" si="346"/>
        <v>1</v>
      </c>
      <c r="BC496" s="374">
        <f t="shared" si="347"/>
        <v>1</v>
      </c>
      <c r="BD496" s="148" t="str">
        <f t="shared" si="348"/>
        <v>no conflict</v>
      </c>
      <c r="BF496" s="148" t="str">
        <f t="shared" si="349"/>
        <v>11/24/2017 09:40-&gt;JR A M - MEX 2</v>
      </c>
      <c r="BG496" s="148" t="str">
        <f t="shared" si="350"/>
        <v>11/24/2017 09:40-&gt;JR A M - USA 1</v>
      </c>
      <c r="BH496" s="148" t="str">
        <f t="shared" si="351"/>
        <v>11/24/2017 09:40-&gt;JCC Gym North</v>
      </c>
      <c r="BI496" s="148" t="str">
        <f t="shared" si="352"/>
        <v>Basketball in JCC Gym North (MEX2-USA1)</v>
      </c>
      <c r="BJ496" s="148" t="str">
        <f t="shared" si="353"/>
        <v>Junior A Male Basketball-- JR A M - MEX 2 vs. JR A M - USA 1</v>
      </c>
      <c r="BK496" s="148" t="str">
        <f t="shared" si="354"/>
        <v>Basketball</v>
      </c>
      <c r="BL496" s="148" t="str">
        <f t="shared" si="355"/>
        <v>JR A M - MEX 2</v>
      </c>
      <c r="BM496" s="148" t="str">
        <f t="shared" si="356"/>
        <v>JR A M - USA 1</v>
      </c>
      <c r="BN496" s="148" t="str">
        <f t="shared" si="357"/>
        <v>Round - 1</v>
      </c>
      <c r="BP496" s="148" t="str">
        <f t="shared" si="358"/>
        <v>no t, f, or sf</v>
      </c>
      <c r="BQ496" s="148" t="str">
        <f t="shared" si="359"/>
        <v/>
      </c>
    </row>
    <row r="497" spans="1:69" ht="15" customHeight="1" x14ac:dyDescent="0.2">
      <c r="A497" s="376">
        <v>495</v>
      </c>
      <c r="B497" s="444" t="s">
        <v>72</v>
      </c>
      <c r="C497" s="444" t="s">
        <v>518</v>
      </c>
      <c r="D497" s="451">
        <v>1</v>
      </c>
      <c r="E497" s="451">
        <v>1</v>
      </c>
      <c r="F497" s="315" t="s">
        <v>770</v>
      </c>
      <c r="G497" s="445">
        <v>43063</v>
      </c>
      <c r="H497" s="454">
        <v>0.4375</v>
      </c>
      <c r="I497" s="325" t="s">
        <v>770</v>
      </c>
      <c r="J497" s="443" t="s">
        <v>696</v>
      </c>
      <c r="K497" s="444">
        <v>61</v>
      </c>
      <c r="L497" s="433" t="s">
        <v>639</v>
      </c>
      <c r="M497" s="433">
        <v>61</v>
      </c>
      <c r="N497" s="433" t="s">
        <v>643</v>
      </c>
      <c r="O497" s="153" t="str">
        <f>IF(L497&lt;&gt;"",IFERROR(VLOOKUP(B497&amp;L497,Pools!$A$2:$D$130,3,FALSE),""),"")</f>
        <v/>
      </c>
      <c r="P497" s="388">
        <v>55</v>
      </c>
      <c r="Q497" s="388">
        <v>34</v>
      </c>
      <c r="R497" s="306" t="str">
        <f t="shared" si="315"/>
        <v>55-34</v>
      </c>
      <c r="S497" s="153"/>
      <c r="T497" s="148" t="str">
        <f t="shared" si="316"/>
        <v>Completed</v>
      </c>
      <c r="U497" s="153"/>
      <c r="V497" s="153"/>
      <c r="W497" s="387">
        <f t="shared" si="317"/>
        <v>15</v>
      </c>
      <c r="X497" s="387">
        <f t="shared" si="318"/>
        <v>-15</v>
      </c>
      <c r="Y497" s="301">
        <f t="shared" si="319"/>
        <v>2</v>
      </c>
      <c r="Z497" s="301">
        <f t="shared" si="320"/>
        <v>0</v>
      </c>
      <c r="AA497" s="323" t="str">
        <f>CONCATENATE("                x[team1,team2,sport,'",IF(OR(I497="x",I497=""),VLOOKUP('Schedule from TM'!J497,Tables!$P$3:$Q$33,2,FALSE),'Schedule from TM'!I497),",",J497,"','",IF(OR(F497="x",F497=""),VLOOKUP('Schedule from TM'!G497,Tables!$U$3:$V$14,2,FALSE),'Schedule from TM'!F497),",",TEXT(G497,"mm/dd/yyyy"),"','",TEXT(H497,"h:mm:ss AM/PM"),"'].ub=0.0      #",B497)</f>
        <v xml:space="preserve">                x[team1,team2,sport,'11,JCC Gym North','11,11/24/2017','10:30:00 AM'].ub=0.0      #Junior A Male Basketball</v>
      </c>
      <c r="AB497" s="301" t="str">
        <f t="shared" si="321"/>
        <v>,,Junior A Male Basketball,,1,JR A M - COL 1</v>
      </c>
      <c r="AC497" s="153" t="str">
        <f t="shared" si="322"/>
        <v>Junior A Male BasketballJR A M - COL 1</v>
      </c>
      <c r="AD497" s="301" t="str">
        <f t="shared" si="323"/>
        <v>,,Junior A Male Basketball,,1,JR A M - USA 2</v>
      </c>
      <c r="AE497" s="153" t="str">
        <f t="shared" si="324"/>
        <v>Junior A Male BasketballJR A M - USA 2</v>
      </c>
      <c r="AF497" s="383">
        <f t="shared" si="325"/>
        <v>1</v>
      </c>
      <c r="AG497" s="383">
        <f t="shared" si="326"/>
        <v>0</v>
      </c>
      <c r="AH497" s="383">
        <f t="shared" si="327"/>
        <v>0</v>
      </c>
      <c r="AI497" s="383">
        <f t="shared" si="328"/>
        <v>0</v>
      </c>
      <c r="AJ497" s="383">
        <f t="shared" si="329"/>
        <v>1</v>
      </c>
      <c r="AK497" s="383">
        <f t="shared" si="330"/>
        <v>0</v>
      </c>
      <c r="AM497" s="148" t="str">
        <f t="shared" si="331"/>
        <v>Schedulled</v>
      </c>
      <c r="AN497" s="148" t="str">
        <f t="shared" si="332"/>
        <v/>
      </c>
      <c r="AO497" s="156">
        <f t="shared" si="333"/>
        <v>43063.4375</v>
      </c>
      <c r="AP497" s="148" t="str">
        <f t="shared" si="334"/>
        <v>11/24/2017 10:30-&gt;JCC Gym North</v>
      </c>
      <c r="AQ497" s="374">
        <f t="shared" si="335"/>
        <v>1</v>
      </c>
      <c r="AR497" s="148" t="str">
        <f t="shared" si="336"/>
        <v>COL1</v>
      </c>
      <c r="AS497" s="148" t="str">
        <f t="shared" si="337"/>
        <v>USA2</v>
      </c>
      <c r="AT497" s="157" t="str">
        <f t="shared" si="338"/>
        <v>COL1-USA2</v>
      </c>
      <c r="AU497" s="157" t="str">
        <f t="shared" si="339"/>
        <v xml:space="preserve">COL1-USA2 </v>
      </c>
      <c r="AV497" s="157" t="str">
        <f t="shared" si="340"/>
        <v>JUNIORS A MALE</v>
      </c>
      <c r="AW497" s="157" t="str">
        <f t="shared" si="341"/>
        <v>Basketball</v>
      </c>
      <c r="AX497" s="376">
        <f t="shared" si="342"/>
        <v>495</v>
      </c>
      <c r="AY497" s="148" t="str">
        <f t="shared" si="343"/>
        <v>JR A M - COL 1-&gt;JR A M - USA 2</v>
      </c>
      <c r="AZ497" s="148" t="str">
        <f t="shared" si="344"/>
        <v>11/24/2017 10:30-&gt;JR A M - COL 1</v>
      </c>
      <c r="BA497" s="148" t="str">
        <f t="shared" si="345"/>
        <v>11/24/2017 10:30-&gt;JR A M - USA 2</v>
      </c>
      <c r="BB497" s="374">
        <f t="shared" si="346"/>
        <v>1</v>
      </c>
      <c r="BC497" s="374">
        <f t="shared" si="347"/>
        <v>1</v>
      </c>
      <c r="BD497" s="148" t="str">
        <f t="shared" si="348"/>
        <v>no conflict</v>
      </c>
      <c r="BF497" s="148" t="str">
        <f t="shared" si="349"/>
        <v>11/24/2017 10:30-&gt;JR A M - COL 1</v>
      </c>
      <c r="BG497" s="148" t="str">
        <f t="shared" si="350"/>
        <v>11/24/2017 10:30-&gt;JR A M - USA 2</v>
      </c>
      <c r="BH497" s="148" t="str">
        <f t="shared" si="351"/>
        <v>11/24/2017 10:30-&gt;JCC Gym North</v>
      </c>
      <c r="BI497" s="148" t="str">
        <f t="shared" si="352"/>
        <v>Basketball in JCC Gym North (COL1-USA2)</v>
      </c>
      <c r="BJ497" s="148" t="str">
        <f t="shared" si="353"/>
        <v>Junior A Male Basketball-- JR A M - COL 1 vs. JR A M - USA 2</v>
      </c>
      <c r="BK497" s="148" t="str">
        <f t="shared" si="354"/>
        <v>Basketball</v>
      </c>
      <c r="BL497" s="148" t="str">
        <f t="shared" si="355"/>
        <v>JR A M - COL 1</v>
      </c>
      <c r="BM497" s="148" t="str">
        <f t="shared" si="356"/>
        <v>JR A M - USA 2</v>
      </c>
      <c r="BN497" s="148" t="str">
        <f t="shared" si="357"/>
        <v>Round - 1</v>
      </c>
      <c r="BP497" s="148" t="str">
        <f t="shared" si="358"/>
        <v>no t, f, or sf</v>
      </c>
      <c r="BQ497" s="148" t="str">
        <f t="shared" si="359"/>
        <v/>
      </c>
    </row>
    <row r="498" spans="1:69" ht="15" customHeight="1" x14ac:dyDescent="0.2">
      <c r="A498" s="376">
        <v>496</v>
      </c>
      <c r="B498" s="319" t="s">
        <v>72</v>
      </c>
      <c r="C498" s="319" t="s">
        <v>518</v>
      </c>
      <c r="D498" s="376">
        <v>1</v>
      </c>
      <c r="E498" s="376">
        <v>1</v>
      </c>
      <c r="F498" s="315" t="s">
        <v>770</v>
      </c>
      <c r="G498" s="320">
        <v>43063</v>
      </c>
      <c r="H498" s="454">
        <v>0.57638888888888895</v>
      </c>
      <c r="I498" s="325" t="s">
        <v>770</v>
      </c>
      <c r="J498" s="319" t="s">
        <v>707</v>
      </c>
      <c r="K498" s="319">
        <v>61</v>
      </c>
      <c r="L498" s="319" t="s">
        <v>642</v>
      </c>
      <c r="M498" s="319">
        <v>61</v>
      </c>
      <c r="N498" s="319" t="s">
        <v>646</v>
      </c>
      <c r="O498" s="153" t="str">
        <f>IF(L498&lt;&gt;"",IFERROR(VLOOKUP(B498&amp;L498,Pools!$A$2:$D$130,3,FALSE),""),"")</f>
        <v/>
      </c>
      <c r="P498" s="388">
        <v>49</v>
      </c>
      <c r="Q498" s="388">
        <v>19</v>
      </c>
      <c r="R498" s="306" t="str">
        <f t="shared" si="315"/>
        <v>49-19</v>
      </c>
      <c r="S498" s="153"/>
      <c r="T498" s="148" t="str">
        <f t="shared" si="316"/>
        <v>Completed</v>
      </c>
      <c r="U498" s="153"/>
      <c r="V498" s="153"/>
      <c r="W498" s="387">
        <f t="shared" si="317"/>
        <v>15</v>
      </c>
      <c r="X498" s="387">
        <f t="shared" si="318"/>
        <v>-15</v>
      </c>
      <c r="Y498" s="301">
        <f t="shared" si="319"/>
        <v>2</v>
      </c>
      <c r="Z498" s="301">
        <f t="shared" si="320"/>
        <v>0</v>
      </c>
      <c r="AA498" s="323" t="str">
        <f>CONCATENATE("                x[team1,team2,sport,'",IF(OR(I498="x",I498=""),VLOOKUP('Schedule from TM'!J498,Tables!$P$3:$Q$33,2,FALSE),'Schedule from TM'!I498),",",J498,"','",IF(OR(F498="x",F498=""),VLOOKUP('Schedule from TM'!G498,Tables!$U$3:$V$14,2,FALSE),'Schedule from TM'!F498),",",TEXT(G498,"mm/dd/yyyy"),"','",TEXT(H498,"h:mm:ss AM/PM"),"'].ub=0.0      #",B498)</f>
        <v xml:space="preserve">                x[team1,team2,sport,'21,Hillel - Gym Basketball','11,11/24/2017','1:50:00 PM'].ub=0.0      #Junior A Male Basketball</v>
      </c>
      <c r="AB498" s="301" t="str">
        <f t="shared" si="321"/>
        <v>,,Junior A Male Basketball,,1,JR A M - USA 1</v>
      </c>
      <c r="AC498" s="153" t="str">
        <f t="shared" si="322"/>
        <v>Junior A Male BasketballJR A M - USA 1</v>
      </c>
      <c r="AD498" s="301" t="str">
        <f t="shared" si="323"/>
        <v>,,Junior A Male Basketball,,1,JR A M - VEN 2</v>
      </c>
      <c r="AE498" s="153" t="str">
        <f t="shared" si="324"/>
        <v>Junior A Male BasketballJR A M - VEN 2</v>
      </c>
      <c r="AF498" s="383">
        <f t="shared" si="325"/>
        <v>1</v>
      </c>
      <c r="AG498" s="383">
        <f t="shared" si="326"/>
        <v>0</v>
      </c>
      <c r="AH498" s="383">
        <f t="shared" si="327"/>
        <v>0</v>
      </c>
      <c r="AI498" s="383">
        <f t="shared" si="328"/>
        <v>0</v>
      </c>
      <c r="AJ498" s="383">
        <f t="shared" si="329"/>
        <v>1</v>
      </c>
      <c r="AK498" s="383">
        <f t="shared" si="330"/>
        <v>0</v>
      </c>
      <c r="AM498" s="148" t="str">
        <f t="shared" si="331"/>
        <v>Schedulled</v>
      </c>
      <c r="AN498" s="148" t="str">
        <f t="shared" si="332"/>
        <v/>
      </c>
      <c r="AO498" s="156">
        <f t="shared" si="333"/>
        <v>43063.576388888891</v>
      </c>
      <c r="AP498" s="148" t="str">
        <f t="shared" si="334"/>
        <v>11/24/2017 13:50-&gt;Hillel - Gym Basketball</v>
      </c>
      <c r="AQ498" s="374">
        <f t="shared" si="335"/>
        <v>1</v>
      </c>
      <c r="AR498" s="148" t="str">
        <f t="shared" si="336"/>
        <v>USA1</v>
      </c>
      <c r="AS498" s="148" t="str">
        <f t="shared" si="337"/>
        <v>VEN2</v>
      </c>
      <c r="AT498" s="157" t="str">
        <f t="shared" si="338"/>
        <v>USA1-VEN2</v>
      </c>
      <c r="AU498" s="157" t="str">
        <f t="shared" si="339"/>
        <v xml:space="preserve">USA1-VEN2 </v>
      </c>
      <c r="AV498" s="157" t="str">
        <f t="shared" si="340"/>
        <v>JUNIORS A MALE</v>
      </c>
      <c r="AW498" s="157" t="str">
        <f t="shared" si="341"/>
        <v>Basketball</v>
      </c>
      <c r="AX498" s="376">
        <f t="shared" si="342"/>
        <v>496</v>
      </c>
      <c r="AY498" s="148" t="str">
        <f t="shared" si="343"/>
        <v>JR A M - USA 1-&gt;JR A M - VEN 2</v>
      </c>
      <c r="AZ498" s="148" t="str">
        <f t="shared" si="344"/>
        <v>11/24/2017 13:50-&gt;JR A M - USA 1</v>
      </c>
      <c r="BA498" s="148" t="str">
        <f t="shared" si="345"/>
        <v>11/24/2017 13:50-&gt;JR A M - VEN 2</v>
      </c>
      <c r="BB498" s="374">
        <f t="shared" si="346"/>
        <v>1</v>
      </c>
      <c r="BC498" s="374">
        <f t="shared" si="347"/>
        <v>1</v>
      </c>
      <c r="BD498" s="148" t="str">
        <f t="shared" si="348"/>
        <v>no conflict</v>
      </c>
      <c r="BF498" s="148" t="str">
        <f t="shared" si="349"/>
        <v>11/24/2017 13:50-&gt;JR A M - USA 1</v>
      </c>
      <c r="BG498" s="148" t="str">
        <f t="shared" si="350"/>
        <v>11/24/2017 13:50-&gt;JR A M - VEN 2</v>
      </c>
      <c r="BH498" s="148" t="str">
        <f t="shared" si="351"/>
        <v>11/24/2017 13:50-&gt;Hillel - Gym Basketball</v>
      </c>
      <c r="BI498" s="148" t="str">
        <f t="shared" si="352"/>
        <v>Basketball in Hillel - Gym Basketball (USA1-VEN2)</v>
      </c>
      <c r="BJ498" s="148" t="str">
        <f t="shared" si="353"/>
        <v>Junior A Male Basketball-- JR A M - USA 1 vs. JR A M - VEN 2</v>
      </c>
      <c r="BK498" s="148" t="str">
        <f t="shared" si="354"/>
        <v>Basketball</v>
      </c>
      <c r="BL498" s="148" t="str">
        <f t="shared" si="355"/>
        <v>JR A M - USA 1</v>
      </c>
      <c r="BM498" s="148" t="str">
        <f t="shared" si="356"/>
        <v>JR A M - VEN 2</v>
      </c>
      <c r="BN498" s="148" t="str">
        <f t="shared" si="357"/>
        <v>Round - 1</v>
      </c>
      <c r="BP498" s="148" t="str">
        <f t="shared" si="358"/>
        <v>no t, f, or sf</v>
      </c>
      <c r="BQ498" s="148" t="str">
        <f t="shared" si="359"/>
        <v/>
      </c>
    </row>
    <row r="499" spans="1:69" ht="15" customHeight="1" x14ac:dyDescent="0.2">
      <c r="A499" s="376">
        <v>497</v>
      </c>
      <c r="B499" s="441" t="s">
        <v>72</v>
      </c>
      <c r="C499" s="441" t="s">
        <v>518</v>
      </c>
      <c r="D499" s="450">
        <v>1</v>
      </c>
      <c r="E499" s="450">
        <v>1</v>
      </c>
      <c r="F499" s="315" t="s">
        <v>770</v>
      </c>
      <c r="G499" s="320">
        <v>43063</v>
      </c>
      <c r="H499" s="454">
        <v>0.64583333333333337</v>
      </c>
      <c r="I499" s="325" t="s">
        <v>770</v>
      </c>
      <c r="J499" s="315" t="s">
        <v>696</v>
      </c>
      <c r="K499" s="441">
        <v>61</v>
      </c>
      <c r="L499" s="441" t="s">
        <v>638</v>
      </c>
      <c r="M499" s="441">
        <v>61</v>
      </c>
      <c r="N499" s="441" t="s">
        <v>646</v>
      </c>
      <c r="O499" s="153" t="str">
        <f>IF(L499&lt;&gt;"",IFERROR(VLOOKUP(B499&amp;L499,Pools!$A$2:$D$130,3,FALSE),""),"")</f>
        <v/>
      </c>
      <c r="P499" s="388">
        <v>42</v>
      </c>
      <c r="Q499" s="388">
        <v>22</v>
      </c>
      <c r="R499" s="306" t="str">
        <f t="shared" si="315"/>
        <v>42-22</v>
      </c>
      <c r="S499" s="153"/>
      <c r="T499" s="148" t="str">
        <f t="shared" si="316"/>
        <v>Completed</v>
      </c>
      <c r="U499" s="153"/>
      <c r="V499" s="153"/>
      <c r="W499" s="387">
        <f t="shared" si="317"/>
        <v>15</v>
      </c>
      <c r="X499" s="387">
        <f t="shared" si="318"/>
        <v>-15</v>
      </c>
      <c r="Y499" s="301">
        <f t="shared" si="319"/>
        <v>2</v>
      </c>
      <c r="Z499" s="301">
        <f t="shared" si="320"/>
        <v>0</v>
      </c>
      <c r="AA499" s="323" t="str">
        <f>CONCATENATE("                x[team1,team2,sport,'",IF(OR(I499="x",I499=""),VLOOKUP('Schedule from TM'!J499,Tables!$P$3:$Q$33,2,FALSE),'Schedule from TM'!I499),",",J499,"','",IF(OR(F499="x",F499=""),VLOOKUP('Schedule from TM'!G499,Tables!$U$3:$V$14,2,FALSE),'Schedule from TM'!F499),",",TEXT(G499,"mm/dd/yyyy"),"','",TEXT(H499,"h:mm:ss AM/PM"),"'].ub=0.0      #",B499)</f>
        <v xml:space="preserve">                x[team1,team2,sport,'11,JCC Gym North','11,11/24/2017','3:30:00 PM'].ub=0.0      #Junior A Male Basketball</v>
      </c>
      <c r="AB499" s="301" t="str">
        <f t="shared" si="321"/>
        <v>,,Junior A Male Basketball,,1,JR A M - ARG 2</v>
      </c>
      <c r="AC499" s="153" t="str">
        <f t="shared" si="322"/>
        <v>Junior A Male BasketballJR A M - ARG 2</v>
      </c>
      <c r="AD499" s="301" t="str">
        <f t="shared" si="323"/>
        <v>,,Junior A Male Basketball,,1,JR A M - VEN 2</v>
      </c>
      <c r="AE499" s="153" t="str">
        <f t="shared" si="324"/>
        <v>Junior A Male BasketballJR A M - VEN 2</v>
      </c>
      <c r="AF499" s="383">
        <f t="shared" si="325"/>
        <v>1</v>
      </c>
      <c r="AG499" s="383">
        <f t="shared" si="326"/>
        <v>0</v>
      </c>
      <c r="AH499" s="383">
        <f t="shared" si="327"/>
        <v>0</v>
      </c>
      <c r="AI499" s="383">
        <f t="shared" si="328"/>
        <v>0</v>
      </c>
      <c r="AJ499" s="383">
        <f t="shared" si="329"/>
        <v>1</v>
      </c>
      <c r="AK499" s="383">
        <f t="shared" si="330"/>
        <v>0</v>
      </c>
      <c r="AM499" s="148" t="str">
        <f t="shared" si="331"/>
        <v>Schedulled</v>
      </c>
      <c r="AN499" s="148" t="str">
        <f t="shared" si="332"/>
        <v/>
      </c>
      <c r="AO499" s="156">
        <f t="shared" si="333"/>
        <v>43063.645833333336</v>
      </c>
      <c r="AP499" s="148" t="str">
        <f t="shared" si="334"/>
        <v>11/24/2017 15:30-&gt;JCC Gym North</v>
      </c>
      <c r="AQ499" s="374">
        <f t="shared" si="335"/>
        <v>1</v>
      </c>
      <c r="AR499" s="148" t="str">
        <f t="shared" si="336"/>
        <v>ARG2</v>
      </c>
      <c r="AS499" s="148" t="str">
        <f t="shared" si="337"/>
        <v>VEN2</v>
      </c>
      <c r="AT499" s="157" t="str">
        <f t="shared" si="338"/>
        <v>ARG2-VEN2</v>
      </c>
      <c r="AU499" s="157" t="str">
        <f t="shared" si="339"/>
        <v xml:space="preserve">ARG2-VEN2 </v>
      </c>
      <c r="AV499" s="157" t="str">
        <f t="shared" si="340"/>
        <v>JUNIORS A MALE</v>
      </c>
      <c r="AW499" s="157" t="str">
        <f t="shared" si="341"/>
        <v>Basketball</v>
      </c>
      <c r="AX499" s="376">
        <f t="shared" si="342"/>
        <v>497</v>
      </c>
      <c r="AY499" s="148" t="str">
        <f t="shared" si="343"/>
        <v>JR A M - ARG 2-&gt;JR A M - VEN 2</v>
      </c>
      <c r="AZ499" s="148" t="str">
        <f t="shared" si="344"/>
        <v>11/24/2017 15:30-&gt;JR A M - ARG 2</v>
      </c>
      <c r="BA499" s="148" t="str">
        <f t="shared" si="345"/>
        <v>11/24/2017 15:30-&gt;JR A M - VEN 2</v>
      </c>
      <c r="BB499" s="374">
        <f t="shared" si="346"/>
        <v>1</v>
      </c>
      <c r="BC499" s="374">
        <f t="shared" si="347"/>
        <v>1</v>
      </c>
      <c r="BD499" s="148" t="str">
        <f t="shared" si="348"/>
        <v>no conflict</v>
      </c>
      <c r="BF499" s="148" t="str">
        <f t="shared" si="349"/>
        <v>11/24/2017 15:30-&gt;JR A M - ARG 2</v>
      </c>
      <c r="BG499" s="148" t="str">
        <f t="shared" si="350"/>
        <v>11/24/2017 15:30-&gt;JR A M - VEN 2</v>
      </c>
      <c r="BH499" s="148" t="str">
        <f t="shared" si="351"/>
        <v>11/24/2017 15:30-&gt;JCC Gym North</v>
      </c>
      <c r="BI499" s="148" t="str">
        <f t="shared" si="352"/>
        <v>Basketball in JCC Gym North (ARG2-VEN2)</v>
      </c>
      <c r="BJ499" s="148" t="str">
        <f t="shared" si="353"/>
        <v>Junior A Male Basketball-- JR A M - ARG 2 vs. JR A M - VEN 2</v>
      </c>
      <c r="BK499" s="148" t="str">
        <f t="shared" si="354"/>
        <v>Basketball</v>
      </c>
      <c r="BL499" s="148" t="str">
        <f t="shared" si="355"/>
        <v>JR A M - ARG 2</v>
      </c>
      <c r="BM499" s="148" t="str">
        <f t="shared" si="356"/>
        <v>JR A M - VEN 2</v>
      </c>
      <c r="BN499" s="148" t="str">
        <f t="shared" si="357"/>
        <v>Round - 1</v>
      </c>
      <c r="BP499" s="148" t="str">
        <f t="shared" si="358"/>
        <v>no t, f, or sf</v>
      </c>
      <c r="BQ499" s="148" t="str">
        <f t="shared" si="359"/>
        <v/>
      </c>
    </row>
    <row r="500" spans="1:69" ht="15" customHeight="1" x14ac:dyDescent="0.2">
      <c r="A500" s="376">
        <v>498</v>
      </c>
      <c r="B500" s="444" t="s">
        <v>73</v>
      </c>
      <c r="C500" s="444" t="s">
        <v>518</v>
      </c>
      <c r="D500" s="451">
        <v>1</v>
      </c>
      <c r="E500" s="451">
        <v>1</v>
      </c>
      <c r="F500" s="315" t="s">
        <v>770</v>
      </c>
      <c r="G500" s="445">
        <v>43057</v>
      </c>
      <c r="H500" s="317">
        <v>0.78472222222222221</v>
      </c>
      <c r="I500" s="325" t="s">
        <v>770</v>
      </c>
      <c r="J500" s="444" t="s">
        <v>703</v>
      </c>
      <c r="K500" s="444">
        <v>61</v>
      </c>
      <c r="L500" s="433" t="s">
        <v>637</v>
      </c>
      <c r="M500" s="433">
        <v>61</v>
      </c>
      <c r="N500" s="433" t="s">
        <v>644</v>
      </c>
      <c r="O500" s="153" t="str">
        <f>IF(L500&lt;&gt;"",IFERROR(VLOOKUP(B500&amp;L500,Pools!$A$2:$D$130,3,FALSE),""),"")</f>
        <v/>
      </c>
      <c r="P500" s="388">
        <v>13</v>
      </c>
      <c r="Q500" s="388">
        <v>14</v>
      </c>
      <c r="R500" s="306" t="str">
        <f t="shared" si="315"/>
        <v>13-14</v>
      </c>
      <c r="S500" s="153"/>
      <c r="T500" s="148" t="str">
        <f t="shared" si="316"/>
        <v>Completed</v>
      </c>
      <c r="U500" s="153"/>
      <c r="V500" s="153"/>
      <c r="W500" s="387">
        <f t="shared" si="317"/>
        <v>-1</v>
      </c>
      <c r="X500" s="387">
        <f t="shared" si="318"/>
        <v>1</v>
      </c>
      <c r="Y500" s="301">
        <f t="shared" si="319"/>
        <v>0</v>
      </c>
      <c r="Z500" s="301">
        <f t="shared" si="320"/>
        <v>2</v>
      </c>
      <c r="AA500" s="323" t="str">
        <f>CONCATENATE("                x[team1,team2,sport,'",IF(OR(I500="x",I500=""),VLOOKUP('Schedule from TM'!J500,Tables!$P$3:$Q$33,2,FALSE),'Schedule from TM'!I500),",",J500,"','",IF(OR(F500="x",F500=""),VLOOKUP('Schedule from TM'!G500,Tables!$U$3:$V$14,2,FALSE),'Schedule from TM'!F500),",",TEXT(G500,"mm/dd/yyyy"),"','",TEXT(H500,"h:mm:ss AM/PM"),"'].ub=0.0      #",B500)</f>
        <v xml:space="preserve">                x[team1,team2,sport,'21,Hillel - Field 1','21,11/18/2017','6:50:00 PM'].ub=0.0      #Junior A Male Flag Football</v>
      </c>
      <c r="AB500" s="301" t="str">
        <f t="shared" si="321"/>
        <v>,,Junior A Male Flag Football,,1,JR A M - ARG 1</v>
      </c>
      <c r="AC500" s="153" t="str">
        <f t="shared" si="322"/>
        <v>Junior A Male Flag FootballJR A M - ARG 1</v>
      </c>
      <c r="AD500" s="301" t="str">
        <f t="shared" si="323"/>
        <v>,,Junior A Male Flag Football,,1,JR A M - ISR 1</v>
      </c>
      <c r="AE500" s="153" t="str">
        <f t="shared" si="324"/>
        <v>Junior A Male Flag FootballJR A M - ISR 1</v>
      </c>
      <c r="AF500" s="383">
        <f t="shared" si="325"/>
        <v>0</v>
      </c>
      <c r="AG500" s="383">
        <f t="shared" si="326"/>
        <v>1</v>
      </c>
      <c r="AH500" s="383">
        <f t="shared" si="327"/>
        <v>0</v>
      </c>
      <c r="AI500" s="383">
        <f t="shared" si="328"/>
        <v>1</v>
      </c>
      <c r="AJ500" s="383">
        <f t="shared" si="329"/>
        <v>0</v>
      </c>
      <c r="AK500" s="383">
        <f t="shared" si="330"/>
        <v>0</v>
      </c>
      <c r="AM500" s="148" t="str">
        <f t="shared" si="331"/>
        <v>Schedulled</v>
      </c>
      <c r="AN500" s="148" t="str">
        <f t="shared" si="332"/>
        <v/>
      </c>
      <c r="AO500" s="156">
        <f t="shared" si="333"/>
        <v>43057.784722222219</v>
      </c>
      <c r="AP500" s="148" t="str">
        <f t="shared" si="334"/>
        <v>11/18/2017 18:50-&gt;Hillel - Field 1</v>
      </c>
      <c r="AQ500" s="374">
        <f t="shared" si="335"/>
        <v>1</v>
      </c>
      <c r="AR500" s="148" t="str">
        <f t="shared" si="336"/>
        <v>ARG1</v>
      </c>
      <c r="AS500" s="148" t="str">
        <f t="shared" si="337"/>
        <v>ISR1</v>
      </c>
      <c r="AT500" s="157" t="str">
        <f t="shared" si="338"/>
        <v>ARG1-ISR1</v>
      </c>
      <c r="AU500" s="157" t="str">
        <f t="shared" si="339"/>
        <v xml:space="preserve">ARG1-ISR1 </v>
      </c>
      <c r="AV500" s="157" t="str">
        <f t="shared" si="340"/>
        <v>JUNIORS A MALE</v>
      </c>
      <c r="AW500" s="157" t="str">
        <f t="shared" si="341"/>
        <v>Flag Football</v>
      </c>
      <c r="AX500" s="376">
        <f t="shared" si="342"/>
        <v>498</v>
      </c>
      <c r="AY500" s="148" t="str">
        <f t="shared" si="343"/>
        <v>JR A M - ARG 1-&gt;JR A M - ISR 1</v>
      </c>
      <c r="AZ500" s="148" t="str">
        <f t="shared" si="344"/>
        <v>11/18/2017 18:50-&gt;JR A M - ARG 1</v>
      </c>
      <c r="BA500" s="148" t="str">
        <f t="shared" si="345"/>
        <v>11/18/2017 18:50-&gt;JR A M - ISR 1</v>
      </c>
      <c r="BB500" s="374">
        <f t="shared" si="346"/>
        <v>1</v>
      </c>
      <c r="BC500" s="374">
        <f t="shared" si="347"/>
        <v>1</v>
      </c>
      <c r="BD500" s="148" t="str">
        <f t="shared" si="348"/>
        <v>no conflict</v>
      </c>
      <c r="BF500" s="148" t="str">
        <f t="shared" si="349"/>
        <v>11/18/2017 18:50-&gt;JR A M - ARG 1</v>
      </c>
      <c r="BG500" s="148" t="str">
        <f t="shared" si="350"/>
        <v>11/18/2017 18:50-&gt;JR A M - ISR 1</v>
      </c>
      <c r="BH500" s="148" t="str">
        <f t="shared" si="351"/>
        <v>11/18/2017 18:50-&gt;Hillel - Field 1</v>
      </c>
      <c r="BI500" s="148" t="str">
        <f t="shared" si="352"/>
        <v>Flag Football in Hillel - Field 1 (ARG1-ISR1)</v>
      </c>
      <c r="BJ500" s="148" t="str">
        <f t="shared" si="353"/>
        <v>Junior A Male Flag Football-- JR A M - ARG 1 vs. JR A M - ISR 1</v>
      </c>
      <c r="BK500" s="148" t="str">
        <f t="shared" si="354"/>
        <v>Flag Football</v>
      </c>
      <c r="BL500" s="148" t="str">
        <f t="shared" si="355"/>
        <v>JR A M - ARG 1</v>
      </c>
      <c r="BM500" s="148" t="str">
        <f t="shared" si="356"/>
        <v>JR A M - ISR 1</v>
      </c>
      <c r="BN500" s="148" t="str">
        <f t="shared" si="357"/>
        <v>Round - 1</v>
      </c>
      <c r="BP500" s="148" t="str">
        <f t="shared" si="358"/>
        <v>no t, f, or sf</v>
      </c>
      <c r="BQ500" s="148" t="str">
        <f t="shared" si="359"/>
        <v/>
      </c>
    </row>
    <row r="501" spans="1:69" ht="15" customHeight="1" x14ac:dyDescent="0.2">
      <c r="A501" s="376">
        <v>499</v>
      </c>
      <c r="B501" s="328" t="s">
        <v>73</v>
      </c>
      <c r="C501" s="444" t="s">
        <v>518</v>
      </c>
      <c r="D501" s="451">
        <v>1</v>
      </c>
      <c r="E501" s="451">
        <v>1</v>
      </c>
      <c r="F501" s="315" t="s">
        <v>770</v>
      </c>
      <c r="G501" s="445">
        <v>43057</v>
      </c>
      <c r="H501" s="317">
        <v>0.78472222222222221</v>
      </c>
      <c r="I501" s="325" t="s">
        <v>770</v>
      </c>
      <c r="J501" s="444" t="s">
        <v>705</v>
      </c>
      <c r="K501" s="444">
        <v>61</v>
      </c>
      <c r="L501" s="319" t="s">
        <v>638</v>
      </c>
      <c r="M501" s="444">
        <v>61</v>
      </c>
      <c r="N501" s="319" t="s">
        <v>646</v>
      </c>
      <c r="O501" s="153" t="str">
        <f>IF(L501&lt;&gt;"",IFERROR(VLOOKUP(B501&amp;L501,Pools!$A$2:$D$130,3,FALSE),""),"")</f>
        <v/>
      </c>
      <c r="P501" s="388">
        <v>12</v>
      </c>
      <c r="Q501" s="388">
        <v>44</v>
      </c>
      <c r="R501" s="306" t="str">
        <f t="shared" si="315"/>
        <v>12-44</v>
      </c>
      <c r="S501" s="153"/>
      <c r="T501" s="148" t="str">
        <f t="shared" si="316"/>
        <v>Completed</v>
      </c>
      <c r="U501" s="153"/>
      <c r="V501" s="153"/>
      <c r="W501" s="387">
        <f t="shared" si="317"/>
        <v>-21</v>
      </c>
      <c r="X501" s="387">
        <f t="shared" si="318"/>
        <v>21</v>
      </c>
      <c r="Y501" s="301">
        <f t="shared" si="319"/>
        <v>0</v>
      </c>
      <c r="Z501" s="301">
        <f t="shared" si="320"/>
        <v>2</v>
      </c>
      <c r="AA501" s="323" t="str">
        <f>CONCATENATE("                x[team1,team2,sport,'",IF(OR(I501="x",I501=""),VLOOKUP('Schedule from TM'!J501,Tables!$P$3:$Q$33,2,FALSE),'Schedule from TM'!I501),",",J501,"','",IF(OR(F501="x",F501=""),VLOOKUP('Schedule from TM'!G501,Tables!$U$3:$V$14,2,FALSE),'Schedule from TM'!F501),",",TEXT(G501,"mm/dd/yyyy"),"','",TEXT(H501,"h:mm:ss AM/PM"),"'].ub=0.0      #",B501)</f>
        <v xml:space="preserve">                x[team1,team2,sport,'21,Hillel - Field 3','21,11/18/2017','6:50:00 PM'].ub=0.0      #Junior A Male Flag Football</v>
      </c>
      <c r="AB501" s="301" t="str">
        <f t="shared" si="321"/>
        <v>,,Junior A Male Flag Football,,1,JR A M - ARG 2</v>
      </c>
      <c r="AC501" s="153" t="str">
        <f t="shared" si="322"/>
        <v>Junior A Male Flag FootballJR A M - ARG 2</v>
      </c>
      <c r="AD501" s="301" t="str">
        <f t="shared" si="323"/>
        <v>,,Junior A Male Flag Football,,1,JR A M - VEN 2</v>
      </c>
      <c r="AE501" s="153" t="str">
        <f t="shared" si="324"/>
        <v>Junior A Male Flag FootballJR A M - VEN 2</v>
      </c>
      <c r="AF501" s="383">
        <f t="shared" si="325"/>
        <v>0</v>
      </c>
      <c r="AG501" s="383">
        <f t="shared" si="326"/>
        <v>1</v>
      </c>
      <c r="AH501" s="383">
        <f t="shared" si="327"/>
        <v>0</v>
      </c>
      <c r="AI501" s="383">
        <f t="shared" si="328"/>
        <v>1</v>
      </c>
      <c r="AJ501" s="383">
        <f t="shared" si="329"/>
        <v>0</v>
      </c>
      <c r="AK501" s="383">
        <f t="shared" si="330"/>
        <v>0</v>
      </c>
      <c r="AM501" s="148" t="str">
        <f t="shared" si="331"/>
        <v>Schedulled</v>
      </c>
      <c r="AN501" s="148" t="str">
        <f t="shared" si="332"/>
        <v/>
      </c>
      <c r="AO501" s="156">
        <f t="shared" si="333"/>
        <v>43057.784722222219</v>
      </c>
      <c r="AP501" s="148" t="str">
        <f t="shared" si="334"/>
        <v>11/18/2017 18:50-&gt;Hillel - Field 3</v>
      </c>
      <c r="AQ501" s="374">
        <f t="shared" si="335"/>
        <v>1</v>
      </c>
      <c r="AR501" s="148" t="str">
        <f t="shared" si="336"/>
        <v>ARG2</v>
      </c>
      <c r="AS501" s="148" t="str">
        <f t="shared" si="337"/>
        <v>VEN2</v>
      </c>
      <c r="AT501" s="157" t="str">
        <f t="shared" si="338"/>
        <v>ARG2-VEN2</v>
      </c>
      <c r="AU501" s="157" t="str">
        <f t="shared" si="339"/>
        <v xml:space="preserve">ARG2-VEN2 </v>
      </c>
      <c r="AV501" s="157" t="str">
        <f t="shared" si="340"/>
        <v>JUNIORS A MALE</v>
      </c>
      <c r="AW501" s="157" t="str">
        <f t="shared" si="341"/>
        <v>Flag Football</v>
      </c>
      <c r="AX501" s="376">
        <f t="shared" si="342"/>
        <v>499</v>
      </c>
      <c r="AY501" s="148" t="str">
        <f t="shared" si="343"/>
        <v>JR A M - ARG 2-&gt;JR A M - VEN 2</v>
      </c>
      <c r="AZ501" s="148" t="str">
        <f t="shared" si="344"/>
        <v>11/18/2017 18:50-&gt;JR A M - ARG 2</v>
      </c>
      <c r="BA501" s="148" t="str">
        <f t="shared" si="345"/>
        <v>11/18/2017 18:50-&gt;JR A M - VEN 2</v>
      </c>
      <c r="BB501" s="374">
        <f t="shared" si="346"/>
        <v>1</v>
      </c>
      <c r="BC501" s="374">
        <f t="shared" si="347"/>
        <v>1</v>
      </c>
      <c r="BD501" s="148" t="str">
        <f t="shared" si="348"/>
        <v>no conflict</v>
      </c>
      <c r="BF501" s="148" t="str">
        <f t="shared" si="349"/>
        <v>11/18/2017 18:50-&gt;JR A M - ARG 2</v>
      </c>
      <c r="BG501" s="148" t="str">
        <f t="shared" si="350"/>
        <v>11/18/2017 18:50-&gt;JR A M - VEN 2</v>
      </c>
      <c r="BH501" s="148" t="str">
        <f t="shared" si="351"/>
        <v>11/18/2017 18:50-&gt;Hillel - Field 3</v>
      </c>
      <c r="BI501" s="148" t="str">
        <f t="shared" si="352"/>
        <v>Flag Football in Hillel - Field 3 (ARG2-VEN2)</v>
      </c>
      <c r="BJ501" s="148" t="str">
        <f t="shared" si="353"/>
        <v>Junior A Male Flag Football-- JR A M - ARG 2 vs. JR A M - VEN 2</v>
      </c>
      <c r="BK501" s="148" t="str">
        <f t="shared" si="354"/>
        <v>Flag Football</v>
      </c>
      <c r="BL501" s="148" t="str">
        <f t="shared" si="355"/>
        <v>JR A M - ARG 2</v>
      </c>
      <c r="BM501" s="148" t="str">
        <f t="shared" si="356"/>
        <v>JR A M - VEN 2</v>
      </c>
      <c r="BN501" s="148" t="str">
        <f t="shared" si="357"/>
        <v>Round - 1</v>
      </c>
      <c r="BP501" s="148" t="str">
        <f t="shared" si="358"/>
        <v>no t, f, or sf</v>
      </c>
      <c r="BQ501" s="148" t="str">
        <f t="shared" si="359"/>
        <v/>
      </c>
    </row>
    <row r="502" spans="1:69" ht="15" customHeight="1" x14ac:dyDescent="0.2">
      <c r="A502" s="376">
        <v>500</v>
      </c>
      <c r="B502" s="444" t="s">
        <v>73</v>
      </c>
      <c r="C502" s="444" t="s">
        <v>518</v>
      </c>
      <c r="D502" s="451">
        <v>1</v>
      </c>
      <c r="E502" s="451">
        <v>1</v>
      </c>
      <c r="F502" s="315" t="s">
        <v>770</v>
      </c>
      <c r="G502" s="445">
        <v>43057</v>
      </c>
      <c r="H502" s="318">
        <v>0.85416666666666663</v>
      </c>
      <c r="I502" s="325" t="s">
        <v>770</v>
      </c>
      <c r="J502" s="444" t="s">
        <v>703</v>
      </c>
      <c r="K502" s="444">
        <v>61</v>
      </c>
      <c r="L502" s="433" t="s">
        <v>720</v>
      </c>
      <c r="M502" s="433">
        <v>61</v>
      </c>
      <c r="N502" s="433" t="s">
        <v>644</v>
      </c>
      <c r="O502" s="153" t="str">
        <f>IF(L502&lt;&gt;"",IFERROR(VLOOKUP(B502&amp;L502,Pools!$A$2:$D$130,3,FALSE),""),"")</f>
        <v/>
      </c>
      <c r="P502" s="388">
        <v>28</v>
      </c>
      <c r="Q502" s="388">
        <v>16</v>
      </c>
      <c r="R502" s="306" t="str">
        <f t="shared" si="315"/>
        <v>28-16</v>
      </c>
      <c r="S502" s="153"/>
      <c r="T502" s="148" t="str">
        <f t="shared" si="316"/>
        <v>Completed</v>
      </c>
      <c r="U502" s="153"/>
      <c r="V502" s="153"/>
      <c r="W502" s="387">
        <f t="shared" si="317"/>
        <v>12</v>
      </c>
      <c r="X502" s="387">
        <f t="shared" si="318"/>
        <v>-12</v>
      </c>
      <c r="Y502" s="301">
        <f t="shared" si="319"/>
        <v>2</v>
      </c>
      <c r="Z502" s="301">
        <f t="shared" si="320"/>
        <v>0</v>
      </c>
      <c r="AA502" s="323" t="str">
        <f>CONCATENATE("                x[team1,team2,sport,'",IF(OR(I502="x",I502=""),VLOOKUP('Schedule from TM'!J502,Tables!$P$3:$Q$33,2,FALSE),'Schedule from TM'!I502),",",J502,"','",IF(OR(F502="x",F502=""),VLOOKUP('Schedule from TM'!G502,Tables!$U$3:$V$14,2,FALSE),'Schedule from TM'!F502),",",TEXT(G502,"mm/dd/yyyy"),"','",TEXT(H502,"h:mm:ss AM/PM"),"'].ub=0.0      #",B502)</f>
        <v xml:space="preserve">                x[team1,team2,sport,'21,Hillel - Field 1','21,11/18/2017','8:30:00 PM'].ub=0.0      #Junior A Male Flag Football</v>
      </c>
      <c r="AB502" s="301" t="str">
        <f t="shared" si="321"/>
        <v>,,Junior A Male Flag Football,,1,JR A M - MEX 2</v>
      </c>
      <c r="AC502" s="153" t="str">
        <f t="shared" si="322"/>
        <v>Junior A Male Flag FootballJR A M - MEX 2</v>
      </c>
      <c r="AD502" s="301" t="str">
        <f t="shared" si="323"/>
        <v>,,Junior A Male Flag Football,,1,JR A M - ISR 1</v>
      </c>
      <c r="AE502" s="153" t="str">
        <f t="shared" si="324"/>
        <v>Junior A Male Flag FootballJR A M - ISR 1</v>
      </c>
      <c r="AF502" s="383">
        <f t="shared" si="325"/>
        <v>1</v>
      </c>
      <c r="AG502" s="383">
        <f t="shared" si="326"/>
        <v>0</v>
      </c>
      <c r="AH502" s="383">
        <f t="shared" si="327"/>
        <v>0</v>
      </c>
      <c r="AI502" s="383">
        <f t="shared" si="328"/>
        <v>0</v>
      </c>
      <c r="AJ502" s="383">
        <f t="shared" si="329"/>
        <v>1</v>
      </c>
      <c r="AK502" s="383">
        <f t="shared" si="330"/>
        <v>0</v>
      </c>
      <c r="AM502" s="148" t="str">
        <f t="shared" si="331"/>
        <v>Schedulled</v>
      </c>
      <c r="AN502" s="148" t="str">
        <f t="shared" si="332"/>
        <v/>
      </c>
      <c r="AO502" s="156">
        <f t="shared" si="333"/>
        <v>43057.854166666664</v>
      </c>
      <c r="AP502" s="148" t="str">
        <f t="shared" si="334"/>
        <v>11/18/2017 20:30-&gt;Hillel - Field 1</v>
      </c>
      <c r="AQ502" s="374">
        <f t="shared" si="335"/>
        <v>1</v>
      </c>
      <c r="AR502" s="148" t="str">
        <f t="shared" si="336"/>
        <v>MEX2</v>
      </c>
      <c r="AS502" s="148" t="str">
        <f t="shared" si="337"/>
        <v>ISR1</v>
      </c>
      <c r="AT502" s="157" t="str">
        <f t="shared" si="338"/>
        <v>MEX2-ISR1</v>
      </c>
      <c r="AU502" s="157" t="str">
        <f t="shared" si="339"/>
        <v xml:space="preserve">MEX2-ISR1 </v>
      </c>
      <c r="AV502" s="157" t="str">
        <f t="shared" si="340"/>
        <v>JUNIORS A MALE</v>
      </c>
      <c r="AW502" s="157" t="str">
        <f t="shared" si="341"/>
        <v>Flag Football</v>
      </c>
      <c r="AX502" s="376">
        <f t="shared" si="342"/>
        <v>500</v>
      </c>
      <c r="AY502" s="148" t="str">
        <f t="shared" si="343"/>
        <v>JR A M - MEX 2-&gt;JR A M - ISR 1</v>
      </c>
      <c r="AZ502" s="148" t="str">
        <f t="shared" si="344"/>
        <v>11/18/2017 20:30-&gt;JR A M - MEX 2</v>
      </c>
      <c r="BA502" s="148" t="str">
        <f t="shared" si="345"/>
        <v>11/18/2017 20:30-&gt;JR A M - ISR 1</v>
      </c>
      <c r="BB502" s="374">
        <f t="shared" si="346"/>
        <v>1</v>
      </c>
      <c r="BC502" s="374">
        <f t="shared" si="347"/>
        <v>1</v>
      </c>
      <c r="BD502" s="148" t="str">
        <f t="shared" si="348"/>
        <v>no conflict</v>
      </c>
      <c r="BF502" s="148" t="str">
        <f t="shared" si="349"/>
        <v>11/18/2017 20:30-&gt;JR A M - MEX 2</v>
      </c>
      <c r="BG502" s="148" t="str">
        <f t="shared" si="350"/>
        <v>11/18/2017 20:30-&gt;JR A M - ISR 1</v>
      </c>
      <c r="BH502" s="148" t="str">
        <f t="shared" si="351"/>
        <v>11/18/2017 20:30-&gt;Hillel - Field 1</v>
      </c>
      <c r="BI502" s="148" t="str">
        <f t="shared" si="352"/>
        <v>Flag Football in Hillel - Field 1 (MEX2-ISR1)</v>
      </c>
      <c r="BJ502" s="148" t="str">
        <f t="shared" si="353"/>
        <v>Junior A Male Flag Football-- JR A M - MEX 2 vs. JR A M - ISR 1</v>
      </c>
      <c r="BK502" s="148" t="str">
        <f t="shared" si="354"/>
        <v>Flag Football</v>
      </c>
      <c r="BL502" s="148" t="str">
        <f t="shared" si="355"/>
        <v>JR A M - MEX 2</v>
      </c>
      <c r="BM502" s="148" t="str">
        <f t="shared" si="356"/>
        <v>JR A M - ISR 1</v>
      </c>
      <c r="BN502" s="148" t="str">
        <f t="shared" si="357"/>
        <v>Round - 1</v>
      </c>
      <c r="BP502" s="148" t="str">
        <f t="shared" si="358"/>
        <v>no t, f, or sf</v>
      </c>
      <c r="BQ502" s="148" t="str">
        <f t="shared" si="359"/>
        <v/>
      </c>
    </row>
    <row r="503" spans="1:69" ht="15" customHeight="1" x14ac:dyDescent="0.2">
      <c r="A503" s="376">
        <v>501</v>
      </c>
      <c r="B503" s="444" t="s">
        <v>73</v>
      </c>
      <c r="C503" s="444" t="s">
        <v>518</v>
      </c>
      <c r="D503" s="451">
        <v>1</v>
      </c>
      <c r="E503" s="451">
        <v>1</v>
      </c>
      <c r="F503" s="315" t="s">
        <v>770</v>
      </c>
      <c r="G503" s="445">
        <v>43058</v>
      </c>
      <c r="H503" s="317">
        <v>0.57638888888888895</v>
      </c>
      <c r="I503" s="325" t="s">
        <v>770</v>
      </c>
      <c r="J503" s="444" t="s">
        <v>704</v>
      </c>
      <c r="K503" s="444">
        <v>61</v>
      </c>
      <c r="L503" s="433" t="s">
        <v>639</v>
      </c>
      <c r="M503" s="433">
        <v>61</v>
      </c>
      <c r="N503" s="433" t="s">
        <v>646</v>
      </c>
      <c r="O503" s="153" t="str">
        <f>IF(L503&lt;&gt;"",IFERROR(VLOOKUP(B503&amp;L503,Pools!$A$2:$D$130,3,FALSE),""),"")</f>
        <v/>
      </c>
      <c r="P503" s="388">
        <v>20</v>
      </c>
      <c r="Q503" s="388">
        <v>33</v>
      </c>
      <c r="R503" s="306" t="str">
        <f t="shared" si="315"/>
        <v>20-33</v>
      </c>
      <c r="S503" s="153"/>
      <c r="T503" s="148" t="str">
        <f t="shared" si="316"/>
        <v>Completed</v>
      </c>
      <c r="U503" s="153"/>
      <c r="V503" s="153"/>
      <c r="W503" s="387">
        <f t="shared" si="317"/>
        <v>-13</v>
      </c>
      <c r="X503" s="387">
        <f t="shared" si="318"/>
        <v>13</v>
      </c>
      <c r="Y503" s="301">
        <f t="shared" si="319"/>
        <v>0</v>
      </c>
      <c r="Z503" s="301">
        <f t="shared" si="320"/>
        <v>2</v>
      </c>
      <c r="AA503" s="323" t="str">
        <f>CONCATENATE("                x[team1,team2,sport,'",IF(OR(I503="x",I503=""),VLOOKUP('Schedule from TM'!J503,Tables!$P$3:$Q$33,2,FALSE),'Schedule from TM'!I503),",",J503,"','",IF(OR(F503="x",F503=""),VLOOKUP('Schedule from TM'!G503,Tables!$U$3:$V$14,2,FALSE),'Schedule from TM'!F503),",",TEXT(G503,"mm/dd/yyyy"),"','",TEXT(H503,"h:mm:ss AM/PM"),"'].ub=0.0      #",B503)</f>
        <v xml:space="preserve">                x[team1,team2,sport,'21,Hillel - Field 2','11,11/19/2017','1:50:00 PM'].ub=0.0      #Junior A Male Flag Football</v>
      </c>
      <c r="AB503" s="301" t="str">
        <f t="shared" si="321"/>
        <v>,,Junior A Male Flag Football,,1,JR A M - COL 1</v>
      </c>
      <c r="AC503" s="153" t="str">
        <f t="shared" si="322"/>
        <v>Junior A Male Flag FootballJR A M - COL 1</v>
      </c>
      <c r="AD503" s="301" t="str">
        <f t="shared" si="323"/>
        <v>,,Junior A Male Flag Football,,1,JR A M - VEN 2</v>
      </c>
      <c r="AE503" s="153" t="str">
        <f t="shared" si="324"/>
        <v>Junior A Male Flag FootballJR A M - VEN 2</v>
      </c>
      <c r="AF503" s="383">
        <f t="shared" si="325"/>
        <v>0</v>
      </c>
      <c r="AG503" s="383">
        <f t="shared" si="326"/>
        <v>1</v>
      </c>
      <c r="AH503" s="383">
        <f t="shared" si="327"/>
        <v>0</v>
      </c>
      <c r="AI503" s="383">
        <f t="shared" si="328"/>
        <v>1</v>
      </c>
      <c r="AJ503" s="383">
        <f t="shared" si="329"/>
        <v>0</v>
      </c>
      <c r="AK503" s="383">
        <f t="shared" si="330"/>
        <v>0</v>
      </c>
      <c r="AM503" s="148" t="str">
        <f t="shared" si="331"/>
        <v>Schedulled</v>
      </c>
      <c r="AN503" s="148" t="str">
        <f t="shared" si="332"/>
        <v/>
      </c>
      <c r="AO503" s="156">
        <f t="shared" si="333"/>
        <v>43058.576388888891</v>
      </c>
      <c r="AP503" s="148" t="str">
        <f t="shared" si="334"/>
        <v>11/19/2017 13:50-&gt;Hillel - Field 2</v>
      </c>
      <c r="AQ503" s="374">
        <f t="shared" si="335"/>
        <v>1</v>
      </c>
      <c r="AR503" s="148" t="str">
        <f t="shared" si="336"/>
        <v>COL1</v>
      </c>
      <c r="AS503" s="148" t="str">
        <f t="shared" si="337"/>
        <v>VEN2</v>
      </c>
      <c r="AT503" s="157" t="str">
        <f t="shared" si="338"/>
        <v>COL1-VEN2</v>
      </c>
      <c r="AU503" s="157" t="str">
        <f t="shared" si="339"/>
        <v xml:space="preserve">COL1-VEN2 </v>
      </c>
      <c r="AV503" s="157" t="str">
        <f t="shared" si="340"/>
        <v>JUNIORS A MALE</v>
      </c>
      <c r="AW503" s="157" t="str">
        <f t="shared" si="341"/>
        <v>Flag Football</v>
      </c>
      <c r="AX503" s="376">
        <f t="shared" si="342"/>
        <v>501</v>
      </c>
      <c r="AY503" s="148" t="str">
        <f t="shared" si="343"/>
        <v>JR A M - COL 1-&gt;JR A M - VEN 2</v>
      </c>
      <c r="AZ503" s="148" t="str">
        <f t="shared" si="344"/>
        <v>11/19/2017 13:50-&gt;JR A M - COL 1</v>
      </c>
      <c r="BA503" s="148" t="str">
        <f t="shared" si="345"/>
        <v>11/19/2017 13:50-&gt;JR A M - VEN 2</v>
      </c>
      <c r="BB503" s="374">
        <f t="shared" si="346"/>
        <v>1</v>
      </c>
      <c r="BC503" s="374">
        <f t="shared" si="347"/>
        <v>1</v>
      </c>
      <c r="BD503" s="148" t="str">
        <f t="shared" si="348"/>
        <v>no conflict</v>
      </c>
      <c r="BF503" s="148" t="str">
        <f t="shared" si="349"/>
        <v>11/19/2017 13:50-&gt;JR A M - COL 1</v>
      </c>
      <c r="BG503" s="148" t="str">
        <f t="shared" si="350"/>
        <v>11/19/2017 13:50-&gt;JR A M - VEN 2</v>
      </c>
      <c r="BH503" s="148" t="str">
        <f t="shared" si="351"/>
        <v>11/19/2017 13:50-&gt;Hillel - Field 2</v>
      </c>
      <c r="BI503" s="148" t="str">
        <f t="shared" si="352"/>
        <v>Flag Football in Hillel - Field 2 (COL1-VEN2)</v>
      </c>
      <c r="BJ503" s="148" t="str">
        <f t="shared" si="353"/>
        <v>Junior A Male Flag Football-- JR A M - COL 1 vs. JR A M - VEN 2</v>
      </c>
      <c r="BK503" s="148" t="str">
        <f t="shared" si="354"/>
        <v>Flag Football</v>
      </c>
      <c r="BL503" s="148" t="str">
        <f t="shared" si="355"/>
        <v>JR A M - COL 1</v>
      </c>
      <c r="BM503" s="148" t="str">
        <f t="shared" si="356"/>
        <v>JR A M - VEN 2</v>
      </c>
      <c r="BN503" s="148" t="str">
        <f t="shared" si="357"/>
        <v>Round - 1</v>
      </c>
      <c r="BP503" s="148" t="str">
        <f t="shared" si="358"/>
        <v>no t, f, or sf</v>
      </c>
      <c r="BQ503" s="148" t="str">
        <f t="shared" si="359"/>
        <v/>
      </c>
    </row>
    <row r="504" spans="1:69" ht="15" customHeight="1" x14ac:dyDescent="0.2">
      <c r="A504" s="376">
        <v>502</v>
      </c>
      <c r="B504" s="328" t="s">
        <v>73</v>
      </c>
      <c r="C504" s="315" t="s">
        <v>518</v>
      </c>
      <c r="D504" s="378">
        <v>1</v>
      </c>
      <c r="E504" s="378">
        <v>1</v>
      </c>
      <c r="F504" s="315" t="s">
        <v>770</v>
      </c>
      <c r="G504" s="316">
        <v>43058</v>
      </c>
      <c r="H504" s="317">
        <v>0.64583333333333337</v>
      </c>
      <c r="I504" s="325" t="s">
        <v>770</v>
      </c>
      <c r="J504" s="315" t="s">
        <v>703</v>
      </c>
      <c r="K504" s="315">
        <v>61</v>
      </c>
      <c r="L504" s="441" t="s">
        <v>638</v>
      </c>
      <c r="M504" s="315">
        <v>61</v>
      </c>
      <c r="N504" s="441" t="s">
        <v>645</v>
      </c>
      <c r="O504" s="153" t="str">
        <f>IF(L504&lt;&gt;"",IFERROR(VLOOKUP(B504&amp;L504,Pools!$A$2:$D$130,3,FALSE),""),"")</f>
        <v/>
      </c>
      <c r="P504" s="388">
        <v>34</v>
      </c>
      <c r="Q504" s="388">
        <v>31</v>
      </c>
      <c r="R504" s="306" t="str">
        <f t="shared" si="315"/>
        <v>34-31</v>
      </c>
      <c r="S504" s="153"/>
      <c r="T504" s="148" t="str">
        <f t="shared" si="316"/>
        <v>Completed</v>
      </c>
      <c r="U504" s="153"/>
      <c r="V504" s="153"/>
      <c r="W504" s="387">
        <f t="shared" si="317"/>
        <v>3</v>
      </c>
      <c r="X504" s="387">
        <f t="shared" si="318"/>
        <v>-3</v>
      </c>
      <c r="Y504" s="301">
        <f t="shared" si="319"/>
        <v>2</v>
      </c>
      <c r="Z504" s="301">
        <f t="shared" si="320"/>
        <v>0</v>
      </c>
      <c r="AA504" s="323" t="str">
        <f>CONCATENATE("                x[team1,team2,sport,'",IF(OR(I504="x",I504=""),VLOOKUP('Schedule from TM'!J504,Tables!$P$3:$Q$33,2,FALSE),'Schedule from TM'!I504),",",J504,"','",IF(OR(F504="x",F504=""),VLOOKUP('Schedule from TM'!G504,Tables!$U$3:$V$14,2,FALSE),'Schedule from TM'!F504),",",TEXT(G504,"mm/dd/yyyy"),"','",TEXT(H504,"h:mm:ss AM/PM"),"'].ub=0.0      #",B504)</f>
        <v xml:space="preserve">                x[team1,team2,sport,'21,Hillel - Field 1','11,11/19/2017','3:30:00 PM'].ub=0.0      #Junior A Male Flag Football</v>
      </c>
      <c r="AB504" s="301" t="str">
        <f t="shared" si="321"/>
        <v>,,Junior A Male Flag Football,,1,JR A M - ARG 2</v>
      </c>
      <c r="AC504" s="153" t="str">
        <f t="shared" si="322"/>
        <v>Junior A Male Flag FootballJR A M - ARG 2</v>
      </c>
      <c r="AD504" s="301" t="str">
        <f t="shared" si="323"/>
        <v>,,Junior A Male Flag Football,,1,JR A M - VEN 1</v>
      </c>
      <c r="AE504" s="153" t="str">
        <f t="shared" si="324"/>
        <v>Junior A Male Flag FootballJR A M - VEN 1</v>
      </c>
      <c r="AF504" s="383">
        <f t="shared" si="325"/>
        <v>1</v>
      </c>
      <c r="AG504" s="383">
        <f t="shared" si="326"/>
        <v>0</v>
      </c>
      <c r="AH504" s="383">
        <f t="shared" si="327"/>
        <v>0</v>
      </c>
      <c r="AI504" s="383">
        <f t="shared" si="328"/>
        <v>0</v>
      </c>
      <c r="AJ504" s="383">
        <f t="shared" si="329"/>
        <v>1</v>
      </c>
      <c r="AK504" s="383">
        <f t="shared" si="330"/>
        <v>0</v>
      </c>
      <c r="AM504" s="148" t="str">
        <f t="shared" si="331"/>
        <v>Schedulled</v>
      </c>
      <c r="AN504" s="148" t="str">
        <f t="shared" si="332"/>
        <v/>
      </c>
      <c r="AO504" s="156">
        <f t="shared" si="333"/>
        <v>43058.645833333336</v>
      </c>
      <c r="AP504" s="148" t="str">
        <f t="shared" si="334"/>
        <v>11/19/2017 15:30-&gt;Hillel - Field 1</v>
      </c>
      <c r="AQ504" s="374">
        <f t="shared" si="335"/>
        <v>1</v>
      </c>
      <c r="AR504" s="148" t="str">
        <f t="shared" si="336"/>
        <v>ARG2</v>
      </c>
      <c r="AS504" s="148" t="str">
        <f t="shared" si="337"/>
        <v>VEN1</v>
      </c>
      <c r="AT504" s="157" t="str">
        <f t="shared" si="338"/>
        <v>ARG2-VEN1</v>
      </c>
      <c r="AU504" s="157" t="str">
        <f t="shared" si="339"/>
        <v xml:space="preserve">ARG2-VEN1 </v>
      </c>
      <c r="AV504" s="157" t="str">
        <f t="shared" si="340"/>
        <v>JUNIORS A MALE</v>
      </c>
      <c r="AW504" s="157" t="str">
        <f t="shared" si="341"/>
        <v>Flag Football</v>
      </c>
      <c r="AX504" s="376">
        <f t="shared" si="342"/>
        <v>502</v>
      </c>
      <c r="AY504" s="148" t="str">
        <f t="shared" si="343"/>
        <v>JR A M - ARG 2-&gt;JR A M - VEN 1</v>
      </c>
      <c r="AZ504" s="148" t="str">
        <f t="shared" si="344"/>
        <v>11/19/2017 15:30-&gt;JR A M - ARG 2</v>
      </c>
      <c r="BA504" s="148" t="str">
        <f t="shared" si="345"/>
        <v>11/19/2017 15:30-&gt;JR A M - VEN 1</v>
      </c>
      <c r="BB504" s="374">
        <f t="shared" si="346"/>
        <v>1</v>
      </c>
      <c r="BC504" s="374">
        <f t="shared" si="347"/>
        <v>1</v>
      </c>
      <c r="BD504" s="148" t="str">
        <f t="shared" si="348"/>
        <v>no conflict</v>
      </c>
      <c r="BF504" s="148" t="str">
        <f t="shared" si="349"/>
        <v>11/19/2017 15:30-&gt;JR A M - ARG 2</v>
      </c>
      <c r="BG504" s="148" t="str">
        <f t="shared" si="350"/>
        <v>11/19/2017 15:30-&gt;JR A M - VEN 1</v>
      </c>
      <c r="BH504" s="148" t="str">
        <f t="shared" si="351"/>
        <v>11/19/2017 15:30-&gt;Hillel - Field 1</v>
      </c>
      <c r="BI504" s="148" t="str">
        <f t="shared" si="352"/>
        <v>Flag Football in Hillel - Field 1 (ARG2-VEN1)</v>
      </c>
      <c r="BJ504" s="148" t="str">
        <f t="shared" si="353"/>
        <v>Junior A Male Flag Football-- JR A M - ARG 2 vs. JR A M - VEN 1</v>
      </c>
      <c r="BK504" s="148" t="str">
        <f t="shared" si="354"/>
        <v>Flag Football</v>
      </c>
      <c r="BL504" s="148" t="str">
        <f t="shared" si="355"/>
        <v>JR A M - ARG 2</v>
      </c>
      <c r="BM504" s="148" t="str">
        <f t="shared" si="356"/>
        <v>JR A M - VEN 1</v>
      </c>
      <c r="BN504" s="148" t="str">
        <f t="shared" si="357"/>
        <v>Round - 1</v>
      </c>
      <c r="BP504" s="148" t="str">
        <f t="shared" si="358"/>
        <v>no t, f, or sf</v>
      </c>
      <c r="BQ504" s="148" t="str">
        <f t="shared" si="359"/>
        <v/>
      </c>
    </row>
    <row r="505" spans="1:69" ht="15" customHeight="1" x14ac:dyDescent="0.2">
      <c r="A505" s="376">
        <v>503</v>
      </c>
      <c r="B505" s="444" t="s">
        <v>73</v>
      </c>
      <c r="C505" s="444" t="s">
        <v>518</v>
      </c>
      <c r="D505" s="451">
        <v>1</v>
      </c>
      <c r="E505" s="451">
        <v>1</v>
      </c>
      <c r="F505" s="315" t="s">
        <v>770</v>
      </c>
      <c r="G505" s="445">
        <v>43058</v>
      </c>
      <c r="H505" s="317">
        <v>0.71527777777777779</v>
      </c>
      <c r="I505" s="325" t="s">
        <v>770</v>
      </c>
      <c r="J505" s="444" t="s">
        <v>703</v>
      </c>
      <c r="K505" s="444">
        <v>61</v>
      </c>
      <c r="L505" s="433" t="s">
        <v>719</v>
      </c>
      <c r="M505" s="433">
        <v>61</v>
      </c>
      <c r="N505" s="433" t="s">
        <v>639</v>
      </c>
      <c r="O505" s="153" t="str">
        <f>IF(L505&lt;&gt;"",IFERROR(VLOOKUP(B505&amp;L505,Pools!$A$2:$D$130,3,FALSE),""),"")</f>
        <v/>
      </c>
      <c r="P505" s="388">
        <v>35</v>
      </c>
      <c r="Q505" s="388">
        <v>7</v>
      </c>
      <c r="R505" s="306" t="str">
        <f t="shared" si="315"/>
        <v>35-7</v>
      </c>
      <c r="S505" s="153"/>
      <c r="T505" s="148" t="str">
        <f t="shared" si="316"/>
        <v>Completed</v>
      </c>
      <c r="U505" s="153"/>
      <c r="V505" s="153"/>
      <c r="W505" s="387">
        <f t="shared" si="317"/>
        <v>21</v>
      </c>
      <c r="X505" s="387">
        <f t="shared" si="318"/>
        <v>-21</v>
      </c>
      <c r="Y505" s="301">
        <f t="shared" si="319"/>
        <v>2</v>
      </c>
      <c r="Z505" s="301">
        <f t="shared" si="320"/>
        <v>0</v>
      </c>
      <c r="AA505" s="323" t="str">
        <f>CONCATENATE("                x[team1,team2,sport,'",IF(OR(I505="x",I505=""),VLOOKUP('Schedule from TM'!J505,Tables!$P$3:$Q$33,2,FALSE),'Schedule from TM'!I505),",",J505,"','",IF(OR(F505="x",F505=""),VLOOKUP('Schedule from TM'!G505,Tables!$U$3:$V$14,2,FALSE),'Schedule from TM'!F505),",",TEXT(G505,"mm/dd/yyyy"),"','",TEXT(H505,"h:mm:ss AM/PM"),"'].ub=0.0      #",B505)</f>
        <v xml:space="preserve">                x[team1,team2,sport,'21,Hillel - Field 1','11,11/19/2017','5:10:00 PM'].ub=0.0      #Junior A Male Flag Football</v>
      </c>
      <c r="AB505" s="301" t="str">
        <f t="shared" si="321"/>
        <v>,,Junior A Male Flag Football,,1,JR A M - MEX 1</v>
      </c>
      <c r="AC505" s="153" t="str">
        <f t="shared" si="322"/>
        <v>Junior A Male Flag FootballJR A M - MEX 1</v>
      </c>
      <c r="AD505" s="301" t="str">
        <f t="shared" si="323"/>
        <v>,,Junior A Male Flag Football,,1,JR A M - COL 1</v>
      </c>
      <c r="AE505" s="153" t="str">
        <f t="shared" si="324"/>
        <v>Junior A Male Flag FootballJR A M - COL 1</v>
      </c>
      <c r="AF505" s="383">
        <f t="shared" si="325"/>
        <v>1</v>
      </c>
      <c r="AG505" s="383">
        <f t="shared" si="326"/>
        <v>0</v>
      </c>
      <c r="AH505" s="383">
        <f t="shared" si="327"/>
        <v>0</v>
      </c>
      <c r="AI505" s="383">
        <f t="shared" si="328"/>
        <v>0</v>
      </c>
      <c r="AJ505" s="383">
        <f t="shared" si="329"/>
        <v>1</v>
      </c>
      <c r="AK505" s="383">
        <f t="shared" si="330"/>
        <v>0</v>
      </c>
      <c r="AM505" s="148" t="str">
        <f t="shared" si="331"/>
        <v>Schedulled</v>
      </c>
      <c r="AN505" s="148" t="str">
        <f t="shared" si="332"/>
        <v/>
      </c>
      <c r="AO505" s="156">
        <f t="shared" si="333"/>
        <v>43058.715277777781</v>
      </c>
      <c r="AP505" s="148" t="str">
        <f t="shared" si="334"/>
        <v>11/19/2017 17:10-&gt;Hillel - Field 1</v>
      </c>
      <c r="AQ505" s="374">
        <f t="shared" si="335"/>
        <v>1</v>
      </c>
      <c r="AR505" s="148" t="str">
        <f t="shared" si="336"/>
        <v>MEX1</v>
      </c>
      <c r="AS505" s="148" t="str">
        <f t="shared" si="337"/>
        <v>COL1</v>
      </c>
      <c r="AT505" s="157" t="str">
        <f t="shared" si="338"/>
        <v>MEX1-COL1</v>
      </c>
      <c r="AU505" s="157" t="str">
        <f t="shared" si="339"/>
        <v xml:space="preserve">MEX1-COL1 </v>
      </c>
      <c r="AV505" s="157" t="str">
        <f t="shared" si="340"/>
        <v>JUNIORS A MALE</v>
      </c>
      <c r="AW505" s="157" t="str">
        <f t="shared" si="341"/>
        <v>Flag Football</v>
      </c>
      <c r="AX505" s="376">
        <f t="shared" si="342"/>
        <v>503</v>
      </c>
      <c r="AY505" s="148" t="str">
        <f t="shared" si="343"/>
        <v>JR A M - MEX 1-&gt;JR A M - COL 1</v>
      </c>
      <c r="AZ505" s="148" t="str">
        <f t="shared" si="344"/>
        <v>11/19/2017 17:10-&gt;JR A M - MEX 1</v>
      </c>
      <c r="BA505" s="148" t="str">
        <f t="shared" si="345"/>
        <v>11/19/2017 17:10-&gt;JR A M - COL 1</v>
      </c>
      <c r="BB505" s="374">
        <f t="shared" si="346"/>
        <v>1</v>
      </c>
      <c r="BC505" s="374">
        <f t="shared" si="347"/>
        <v>1</v>
      </c>
      <c r="BD505" s="148" t="str">
        <f t="shared" si="348"/>
        <v>no conflict</v>
      </c>
      <c r="BF505" s="148" t="str">
        <f t="shared" si="349"/>
        <v>11/19/2017 17:10-&gt;JR A M - MEX 1</v>
      </c>
      <c r="BG505" s="148" t="str">
        <f t="shared" si="350"/>
        <v>11/19/2017 17:10-&gt;JR A M - COL 1</v>
      </c>
      <c r="BH505" s="148" t="str">
        <f t="shared" si="351"/>
        <v>11/19/2017 17:10-&gt;Hillel - Field 1</v>
      </c>
      <c r="BI505" s="148" t="str">
        <f t="shared" si="352"/>
        <v>Flag Football in Hillel - Field 1 (MEX1-COL1)</v>
      </c>
      <c r="BJ505" s="148" t="str">
        <f t="shared" si="353"/>
        <v>Junior A Male Flag Football-- JR A M - MEX 1 vs. JR A M - COL 1</v>
      </c>
      <c r="BK505" s="148" t="str">
        <f t="shared" si="354"/>
        <v>Flag Football</v>
      </c>
      <c r="BL505" s="148" t="str">
        <f t="shared" si="355"/>
        <v>JR A M - MEX 1</v>
      </c>
      <c r="BM505" s="148" t="str">
        <f t="shared" si="356"/>
        <v>JR A M - COL 1</v>
      </c>
      <c r="BN505" s="148" t="str">
        <f t="shared" si="357"/>
        <v>Round - 1</v>
      </c>
      <c r="BP505" s="148" t="str">
        <f t="shared" si="358"/>
        <v>no t, f, or sf</v>
      </c>
      <c r="BQ505" s="148" t="str">
        <f t="shared" si="359"/>
        <v/>
      </c>
    </row>
    <row r="506" spans="1:69" ht="15" customHeight="1" x14ac:dyDescent="0.2">
      <c r="A506" s="376">
        <v>504</v>
      </c>
      <c r="B506" s="319" t="s">
        <v>73</v>
      </c>
      <c r="C506" s="319" t="s">
        <v>518</v>
      </c>
      <c r="D506" s="376">
        <v>1</v>
      </c>
      <c r="E506" s="376">
        <v>1</v>
      </c>
      <c r="F506" s="315" t="s">
        <v>770</v>
      </c>
      <c r="G506" s="320">
        <v>43058</v>
      </c>
      <c r="H506" s="318">
        <v>0.85416666666666663</v>
      </c>
      <c r="I506" s="325" t="s">
        <v>770</v>
      </c>
      <c r="J506" s="319" t="s">
        <v>703</v>
      </c>
      <c r="K506" s="319">
        <v>61</v>
      </c>
      <c r="L506" s="433" t="s">
        <v>637</v>
      </c>
      <c r="M506" s="433">
        <v>61</v>
      </c>
      <c r="N506" s="433" t="s">
        <v>643</v>
      </c>
      <c r="O506" s="153" t="str">
        <f>IF(L506&lt;&gt;"",IFERROR(VLOOKUP(B506&amp;L506,Pools!$A$2:$D$130,3,FALSE),""),"")</f>
        <v/>
      </c>
      <c r="P506" s="388">
        <v>23</v>
      </c>
      <c r="Q506" s="388">
        <v>28</v>
      </c>
      <c r="R506" s="306" t="str">
        <f t="shared" si="315"/>
        <v>23-28</v>
      </c>
      <c r="S506" s="153"/>
      <c r="T506" s="148" t="str">
        <f t="shared" si="316"/>
        <v>Completed</v>
      </c>
      <c r="U506" s="153"/>
      <c r="V506" s="153"/>
      <c r="W506" s="387">
        <f t="shared" si="317"/>
        <v>-5</v>
      </c>
      <c r="X506" s="387">
        <f t="shared" si="318"/>
        <v>5</v>
      </c>
      <c r="Y506" s="301">
        <f t="shared" si="319"/>
        <v>0</v>
      </c>
      <c r="Z506" s="301">
        <f t="shared" si="320"/>
        <v>2</v>
      </c>
      <c r="AA506" s="323" t="str">
        <f>CONCATENATE("                x[team1,team2,sport,'",IF(OR(I506="x",I506=""),VLOOKUP('Schedule from TM'!J506,Tables!$P$3:$Q$33,2,FALSE),'Schedule from TM'!I506),",",J506,"','",IF(OR(F506="x",F506=""),VLOOKUP('Schedule from TM'!G506,Tables!$U$3:$V$14,2,FALSE),'Schedule from TM'!F506),",",TEXT(G506,"mm/dd/yyyy"),"','",TEXT(H506,"h:mm:ss AM/PM"),"'].ub=0.0      #",B506)</f>
        <v xml:space="preserve">                x[team1,team2,sport,'21,Hillel - Field 1','11,11/19/2017','8:30:00 PM'].ub=0.0      #Junior A Male Flag Football</v>
      </c>
      <c r="AB506" s="301" t="str">
        <f t="shared" si="321"/>
        <v>,,Junior A Male Flag Football,,1,JR A M - ARG 1</v>
      </c>
      <c r="AC506" s="153" t="str">
        <f t="shared" si="322"/>
        <v>Junior A Male Flag FootballJR A M - ARG 1</v>
      </c>
      <c r="AD506" s="301" t="str">
        <f t="shared" si="323"/>
        <v>,,Junior A Male Flag Football,,1,JR A M - USA 2</v>
      </c>
      <c r="AE506" s="153" t="str">
        <f t="shared" si="324"/>
        <v>Junior A Male Flag FootballJR A M - USA 2</v>
      </c>
      <c r="AF506" s="383">
        <f t="shared" si="325"/>
        <v>0</v>
      </c>
      <c r="AG506" s="383">
        <f t="shared" si="326"/>
        <v>1</v>
      </c>
      <c r="AH506" s="383">
        <f t="shared" si="327"/>
        <v>0</v>
      </c>
      <c r="AI506" s="383">
        <f t="shared" si="328"/>
        <v>1</v>
      </c>
      <c r="AJ506" s="383">
        <f t="shared" si="329"/>
        <v>0</v>
      </c>
      <c r="AK506" s="383">
        <f t="shared" si="330"/>
        <v>0</v>
      </c>
      <c r="AM506" s="148" t="str">
        <f t="shared" si="331"/>
        <v>Schedulled</v>
      </c>
      <c r="AN506" s="148" t="str">
        <f t="shared" si="332"/>
        <v/>
      </c>
      <c r="AO506" s="156">
        <f t="shared" si="333"/>
        <v>43058.854166666664</v>
      </c>
      <c r="AP506" s="148" t="str">
        <f t="shared" si="334"/>
        <v>11/19/2017 20:30-&gt;Hillel - Field 1</v>
      </c>
      <c r="AQ506" s="374">
        <f t="shared" si="335"/>
        <v>1</v>
      </c>
      <c r="AR506" s="148" t="str">
        <f t="shared" si="336"/>
        <v>ARG1</v>
      </c>
      <c r="AS506" s="148" t="str">
        <f t="shared" si="337"/>
        <v>USA2</v>
      </c>
      <c r="AT506" s="157" t="str">
        <f t="shared" si="338"/>
        <v>ARG1-USA2</v>
      </c>
      <c r="AU506" s="157" t="str">
        <f t="shared" si="339"/>
        <v xml:space="preserve">ARG1-USA2 </v>
      </c>
      <c r="AV506" s="157" t="str">
        <f t="shared" si="340"/>
        <v>JUNIORS A MALE</v>
      </c>
      <c r="AW506" s="157" t="str">
        <f t="shared" si="341"/>
        <v>Flag Football</v>
      </c>
      <c r="AX506" s="376">
        <f t="shared" si="342"/>
        <v>504</v>
      </c>
      <c r="AY506" s="148" t="str">
        <f t="shared" si="343"/>
        <v>JR A M - ARG 1-&gt;JR A M - USA 2</v>
      </c>
      <c r="AZ506" s="148" t="str">
        <f t="shared" si="344"/>
        <v>11/19/2017 20:30-&gt;JR A M - ARG 1</v>
      </c>
      <c r="BA506" s="148" t="str">
        <f t="shared" si="345"/>
        <v>11/19/2017 20:30-&gt;JR A M - USA 2</v>
      </c>
      <c r="BB506" s="374">
        <f t="shared" si="346"/>
        <v>1</v>
      </c>
      <c r="BC506" s="374">
        <f t="shared" si="347"/>
        <v>1</v>
      </c>
      <c r="BD506" s="148" t="str">
        <f t="shared" si="348"/>
        <v>no conflict</v>
      </c>
      <c r="BF506" s="148" t="str">
        <f t="shared" si="349"/>
        <v>11/19/2017 20:30-&gt;JR A M - ARG 1</v>
      </c>
      <c r="BG506" s="148" t="str">
        <f t="shared" si="350"/>
        <v>11/19/2017 20:30-&gt;JR A M - USA 2</v>
      </c>
      <c r="BH506" s="148" t="str">
        <f t="shared" si="351"/>
        <v>11/19/2017 20:30-&gt;Hillel - Field 1</v>
      </c>
      <c r="BI506" s="148" t="str">
        <f t="shared" si="352"/>
        <v>Flag Football in Hillel - Field 1 (ARG1-USA2)</v>
      </c>
      <c r="BJ506" s="148" t="str">
        <f t="shared" si="353"/>
        <v>Junior A Male Flag Football-- JR A M - ARG 1 vs. JR A M - USA 2</v>
      </c>
      <c r="BK506" s="148" t="str">
        <f t="shared" si="354"/>
        <v>Flag Football</v>
      </c>
      <c r="BL506" s="148" t="str">
        <f t="shared" si="355"/>
        <v>JR A M - ARG 1</v>
      </c>
      <c r="BM506" s="148" t="str">
        <f t="shared" si="356"/>
        <v>JR A M - USA 2</v>
      </c>
      <c r="BN506" s="148" t="str">
        <f t="shared" si="357"/>
        <v>Round - 1</v>
      </c>
      <c r="BP506" s="148" t="str">
        <f t="shared" si="358"/>
        <v>no t, f, or sf</v>
      </c>
      <c r="BQ506" s="148" t="str">
        <f t="shared" si="359"/>
        <v/>
      </c>
    </row>
    <row r="507" spans="1:69" ht="15" customHeight="1" x14ac:dyDescent="0.2">
      <c r="A507" s="376">
        <v>505</v>
      </c>
      <c r="B507" s="444" t="s">
        <v>73</v>
      </c>
      <c r="C507" s="444" t="s">
        <v>518</v>
      </c>
      <c r="D507" s="451">
        <v>1</v>
      </c>
      <c r="E507" s="451">
        <v>1</v>
      </c>
      <c r="F507" s="315" t="s">
        <v>770</v>
      </c>
      <c r="G507" s="445">
        <v>43059</v>
      </c>
      <c r="H507" s="317">
        <v>0.81944444444444453</v>
      </c>
      <c r="I507" s="325" t="s">
        <v>770</v>
      </c>
      <c r="J507" s="444" t="s">
        <v>704</v>
      </c>
      <c r="K507" s="444">
        <v>61</v>
      </c>
      <c r="L507" s="433" t="s">
        <v>719</v>
      </c>
      <c r="M507" s="433">
        <v>61</v>
      </c>
      <c r="N507" s="433" t="s">
        <v>642</v>
      </c>
      <c r="O507" s="153" t="str">
        <f>IF(L507&lt;&gt;"",IFERROR(VLOOKUP(B507&amp;L507,Pools!$A$2:$D$130,3,FALSE),""),"")</f>
        <v/>
      </c>
      <c r="P507" s="388">
        <v>19</v>
      </c>
      <c r="Q507" s="388">
        <v>22</v>
      </c>
      <c r="R507" s="306" t="str">
        <f t="shared" si="315"/>
        <v>19-22</v>
      </c>
      <c r="S507" s="153"/>
      <c r="T507" s="148" t="str">
        <f t="shared" si="316"/>
        <v>Completed</v>
      </c>
      <c r="U507" s="153"/>
      <c r="V507" s="153"/>
      <c r="W507" s="387">
        <f t="shared" si="317"/>
        <v>-3</v>
      </c>
      <c r="X507" s="387">
        <f t="shared" si="318"/>
        <v>3</v>
      </c>
      <c r="Y507" s="301">
        <f t="shared" si="319"/>
        <v>0</v>
      </c>
      <c r="Z507" s="301">
        <f t="shared" si="320"/>
        <v>2</v>
      </c>
      <c r="AA507" s="323" t="str">
        <f>CONCATENATE("                x[team1,team2,sport,'",IF(OR(I507="x",I507=""),VLOOKUP('Schedule from TM'!J507,Tables!$P$3:$Q$33,2,FALSE),'Schedule from TM'!I507),",",J507,"','",IF(OR(F507="x",F507=""),VLOOKUP('Schedule from TM'!G507,Tables!$U$3:$V$14,2,FALSE),'Schedule from TM'!F507),",",TEXT(G507,"mm/dd/yyyy"),"','",TEXT(H507,"h:mm:ss AM/PM"),"'].ub=0.0      #",B507)</f>
        <v xml:space="preserve">                x[team1,team2,sport,'21,Hillel - Field 2','22,11/20/2017','7:40:00 PM'].ub=0.0      #Junior A Male Flag Football</v>
      </c>
      <c r="AB507" s="301" t="str">
        <f t="shared" si="321"/>
        <v>,,Junior A Male Flag Football,,1,JR A M - MEX 1</v>
      </c>
      <c r="AC507" s="153" t="str">
        <f t="shared" si="322"/>
        <v>Junior A Male Flag FootballJR A M - MEX 1</v>
      </c>
      <c r="AD507" s="301" t="str">
        <f t="shared" si="323"/>
        <v>,,Junior A Male Flag Football,,1,JR A M - USA 1</v>
      </c>
      <c r="AE507" s="153" t="str">
        <f t="shared" si="324"/>
        <v>Junior A Male Flag FootballJR A M - USA 1</v>
      </c>
      <c r="AF507" s="383">
        <f t="shared" si="325"/>
        <v>0</v>
      </c>
      <c r="AG507" s="383">
        <f t="shared" si="326"/>
        <v>1</v>
      </c>
      <c r="AH507" s="383">
        <f t="shared" si="327"/>
        <v>0</v>
      </c>
      <c r="AI507" s="383">
        <f t="shared" si="328"/>
        <v>1</v>
      </c>
      <c r="AJ507" s="383">
        <f t="shared" si="329"/>
        <v>0</v>
      </c>
      <c r="AK507" s="383">
        <f t="shared" si="330"/>
        <v>0</v>
      </c>
      <c r="AM507" s="148" t="str">
        <f t="shared" si="331"/>
        <v>Schedulled</v>
      </c>
      <c r="AN507" s="148" t="str">
        <f t="shared" si="332"/>
        <v/>
      </c>
      <c r="AO507" s="156">
        <f t="shared" si="333"/>
        <v>43059.819444444445</v>
      </c>
      <c r="AP507" s="148" t="str">
        <f t="shared" si="334"/>
        <v>11/20/2017 19:40-&gt;Hillel - Field 2</v>
      </c>
      <c r="AQ507" s="374">
        <f t="shared" si="335"/>
        <v>1</v>
      </c>
      <c r="AR507" s="148" t="str">
        <f t="shared" si="336"/>
        <v>MEX1</v>
      </c>
      <c r="AS507" s="148" t="str">
        <f t="shared" si="337"/>
        <v>USA1</v>
      </c>
      <c r="AT507" s="157" t="str">
        <f t="shared" si="338"/>
        <v>MEX1-USA1</v>
      </c>
      <c r="AU507" s="157" t="str">
        <f t="shared" si="339"/>
        <v xml:space="preserve">MEX1-USA1 </v>
      </c>
      <c r="AV507" s="157" t="str">
        <f t="shared" si="340"/>
        <v>JUNIORS A MALE</v>
      </c>
      <c r="AW507" s="157" t="str">
        <f t="shared" si="341"/>
        <v>Flag Football</v>
      </c>
      <c r="AX507" s="376">
        <f t="shared" si="342"/>
        <v>505</v>
      </c>
      <c r="AY507" s="148" t="str">
        <f t="shared" si="343"/>
        <v>JR A M - MEX 1-&gt;JR A M - USA 1</v>
      </c>
      <c r="AZ507" s="148" t="str">
        <f t="shared" si="344"/>
        <v>11/20/2017 19:40-&gt;JR A M - MEX 1</v>
      </c>
      <c r="BA507" s="148" t="str">
        <f t="shared" si="345"/>
        <v>11/20/2017 19:40-&gt;JR A M - USA 1</v>
      </c>
      <c r="BB507" s="374">
        <f t="shared" si="346"/>
        <v>1</v>
      </c>
      <c r="BC507" s="374">
        <f t="shared" si="347"/>
        <v>1</v>
      </c>
      <c r="BD507" s="148" t="str">
        <f t="shared" si="348"/>
        <v>no conflict</v>
      </c>
      <c r="BF507" s="148" t="str">
        <f t="shared" si="349"/>
        <v>11/20/2017 19:40-&gt;JR A M - MEX 1</v>
      </c>
      <c r="BG507" s="148" t="str">
        <f t="shared" si="350"/>
        <v>11/20/2017 19:40-&gt;JR A M - USA 1</v>
      </c>
      <c r="BH507" s="148" t="str">
        <f t="shared" si="351"/>
        <v>11/20/2017 19:40-&gt;Hillel - Field 2</v>
      </c>
      <c r="BI507" s="148" t="str">
        <f t="shared" si="352"/>
        <v>Flag Football in Hillel - Field 2 (MEX1-USA1)</v>
      </c>
      <c r="BJ507" s="148" t="str">
        <f t="shared" si="353"/>
        <v>Junior A Male Flag Football-- JR A M - MEX 1 vs. JR A M - USA 1</v>
      </c>
      <c r="BK507" s="148" t="str">
        <f t="shared" si="354"/>
        <v>Flag Football</v>
      </c>
      <c r="BL507" s="148" t="str">
        <f t="shared" si="355"/>
        <v>JR A M - MEX 1</v>
      </c>
      <c r="BM507" s="148" t="str">
        <f t="shared" si="356"/>
        <v>JR A M - USA 1</v>
      </c>
      <c r="BN507" s="148" t="str">
        <f t="shared" si="357"/>
        <v>Round - 1</v>
      </c>
      <c r="BP507" s="148" t="str">
        <f t="shared" si="358"/>
        <v>no t, f, or sf</v>
      </c>
      <c r="BQ507" s="148" t="str">
        <f t="shared" si="359"/>
        <v/>
      </c>
    </row>
    <row r="508" spans="1:69" ht="15" customHeight="1" x14ac:dyDescent="0.2">
      <c r="A508" s="376">
        <v>506</v>
      </c>
      <c r="B508" s="319" t="s">
        <v>73</v>
      </c>
      <c r="C508" s="319" t="s">
        <v>518</v>
      </c>
      <c r="D508" s="376">
        <v>1</v>
      </c>
      <c r="E508" s="376">
        <v>1</v>
      </c>
      <c r="F508" s="315" t="s">
        <v>770</v>
      </c>
      <c r="G508" s="320">
        <v>43059</v>
      </c>
      <c r="H508" s="318">
        <v>0.81944444444444453</v>
      </c>
      <c r="I508" s="325" t="s">
        <v>770</v>
      </c>
      <c r="J508" s="296" t="s">
        <v>703</v>
      </c>
      <c r="K508" s="319">
        <v>61</v>
      </c>
      <c r="L508" s="433" t="s">
        <v>639</v>
      </c>
      <c r="M508" s="433">
        <v>61</v>
      </c>
      <c r="N508" s="433" t="s">
        <v>638</v>
      </c>
      <c r="O508" s="153" t="str">
        <f>IF(L508&lt;&gt;"",IFERROR(VLOOKUP(B508&amp;L508,Pools!$A$2:$D$130,3,FALSE),""),"")</f>
        <v/>
      </c>
      <c r="P508" s="388">
        <v>28</v>
      </c>
      <c r="Q508" s="388">
        <v>25</v>
      </c>
      <c r="R508" s="306" t="str">
        <f t="shared" si="315"/>
        <v>28-25</v>
      </c>
      <c r="S508" s="153"/>
      <c r="T508" s="148" t="str">
        <f t="shared" si="316"/>
        <v>Completed</v>
      </c>
      <c r="U508" s="153"/>
      <c r="V508" s="153"/>
      <c r="W508" s="387">
        <f t="shared" si="317"/>
        <v>3</v>
      </c>
      <c r="X508" s="387">
        <f t="shared" si="318"/>
        <v>-3</v>
      </c>
      <c r="Y508" s="301">
        <f t="shared" si="319"/>
        <v>2</v>
      </c>
      <c r="Z508" s="301">
        <f t="shared" si="320"/>
        <v>0</v>
      </c>
      <c r="AA508" s="323" t="str">
        <f>CONCATENATE("                x[team1,team2,sport,'",IF(OR(I508="x",I508=""),VLOOKUP('Schedule from TM'!J508,Tables!$P$3:$Q$33,2,FALSE),'Schedule from TM'!I508),",",J508,"','",IF(OR(F508="x",F508=""),VLOOKUP('Schedule from TM'!G508,Tables!$U$3:$V$14,2,FALSE),'Schedule from TM'!F508),",",TEXT(G508,"mm/dd/yyyy"),"','",TEXT(H508,"h:mm:ss AM/PM"),"'].ub=0.0      #",B508)</f>
        <v xml:space="preserve">                x[team1,team2,sport,'21,Hillel - Field 1','22,11/20/2017','7:40:00 PM'].ub=0.0      #Junior A Male Flag Football</v>
      </c>
      <c r="AB508" s="301" t="str">
        <f t="shared" si="321"/>
        <v>,,Junior A Male Flag Football,,1,JR A M - COL 1</v>
      </c>
      <c r="AC508" s="153" t="str">
        <f t="shared" si="322"/>
        <v>Junior A Male Flag FootballJR A M - COL 1</v>
      </c>
      <c r="AD508" s="301" t="str">
        <f t="shared" si="323"/>
        <v>,,Junior A Male Flag Football,,1,JR A M - ARG 2</v>
      </c>
      <c r="AE508" s="153" t="str">
        <f t="shared" si="324"/>
        <v>Junior A Male Flag FootballJR A M - ARG 2</v>
      </c>
      <c r="AF508" s="383">
        <f t="shared" si="325"/>
        <v>1</v>
      </c>
      <c r="AG508" s="383">
        <f t="shared" si="326"/>
        <v>0</v>
      </c>
      <c r="AH508" s="383">
        <f t="shared" si="327"/>
        <v>0</v>
      </c>
      <c r="AI508" s="383">
        <f t="shared" si="328"/>
        <v>0</v>
      </c>
      <c r="AJ508" s="383">
        <f t="shared" si="329"/>
        <v>1</v>
      </c>
      <c r="AK508" s="383">
        <f t="shared" si="330"/>
        <v>0</v>
      </c>
      <c r="AM508" s="148" t="str">
        <f t="shared" si="331"/>
        <v>Schedulled</v>
      </c>
      <c r="AN508" s="148" t="str">
        <f t="shared" si="332"/>
        <v/>
      </c>
      <c r="AO508" s="156">
        <f t="shared" si="333"/>
        <v>43059.819444444445</v>
      </c>
      <c r="AP508" s="148" t="str">
        <f t="shared" si="334"/>
        <v>11/20/2017 19:40-&gt;Hillel - Field 1</v>
      </c>
      <c r="AQ508" s="374">
        <f t="shared" si="335"/>
        <v>1</v>
      </c>
      <c r="AR508" s="148" t="str">
        <f t="shared" si="336"/>
        <v>COL1</v>
      </c>
      <c r="AS508" s="148" t="str">
        <f t="shared" si="337"/>
        <v>ARG2</v>
      </c>
      <c r="AT508" s="157" t="str">
        <f t="shared" si="338"/>
        <v>COL1-ARG2</v>
      </c>
      <c r="AU508" s="157" t="str">
        <f t="shared" si="339"/>
        <v xml:space="preserve">COL1-ARG2 </v>
      </c>
      <c r="AV508" s="157" t="str">
        <f t="shared" si="340"/>
        <v>JUNIORS A MALE</v>
      </c>
      <c r="AW508" s="157" t="str">
        <f t="shared" si="341"/>
        <v>Flag Football</v>
      </c>
      <c r="AX508" s="376">
        <f t="shared" si="342"/>
        <v>506</v>
      </c>
      <c r="AY508" s="148" t="str">
        <f t="shared" si="343"/>
        <v>JR A M - COL 1-&gt;JR A M - ARG 2</v>
      </c>
      <c r="AZ508" s="148" t="str">
        <f t="shared" si="344"/>
        <v>11/20/2017 19:40-&gt;JR A M - COL 1</v>
      </c>
      <c r="BA508" s="148" t="str">
        <f t="shared" si="345"/>
        <v>11/20/2017 19:40-&gt;JR A M - ARG 2</v>
      </c>
      <c r="BB508" s="374">
        <f t="shared" si="346"/>
        <v>1</v>
      </c>
      <c r="BC508" s="374">
        <f t="shared" si="347"/>
        <v>1</v>
      </c>
      <c r="BD508" s="148" t="str">
        <f t="shared" si="348"/>
        <v>no conflict</v>
      </c>
      <c r="BF508" s="148" t="str">
        <f t="shared" si="349"/>
        <v>11/20/2017 19:40-&gt;JR A M - COL 1</v>
      </c>
      <c r="BG508" s="148" t="str">
        <f t="shared" si="350"/>
        <v>11/20/2017 19:40-&gt;JR A M - ARG 2</v>
      </c>
      <c r="BH508" s="148" t="str">
        <f t="shared" si="351"/>
        <v>11/20/2017 19:40-&gt;Hillel - Field 1</v>
      </c>
      <c r="BI508" s="148" t="str">
        <f t="shared" si="352"/>
        <v>Flag Football in Hillel - Field 1 (COL1-ARG2)</v>
      </c>
      <c r="BJ508" s="148" t="str">
        <f t="shared" si="353"/>
        <v>Junior A Male Flag Football-- JR A M - COL 1 vs. JR A M - ARG 2</v>
      </c>
      <c r="BK508" s="148" t="str">
        <f t="shared" si="354"/>
        <v>Flag Football</v>
      </c>
      <c r="BL508" s="148" t="str">
        <f t="shared" si="355"/>
        <v>JR A M - COL 1</v>
      </c>
      <c r="BM508" s="148" t="str">
        <f t="shared" si="356"/>
        <v>JR A M - ARG 2</v>
      </c>
      <c r="BN508" s="148" t="str">
        <f t="shared" si="357"/>
        <v>Round - 1</v>
      </c>
      <c r="BP508" s="148" t="str">
        <f t="shared" si="358"/>
        <v>no t, f, or sf</v>
      </c>
      <c r="BQ508" s="148" t="str">
        <f t="shared" si="359"/>
        <v/>
      </c>
    </row>
    <row r="509" spans="1:69" ht="15" customHeight="1" x14ac:dyDescent="0.2">
      <c r="A509" s="376">
        <v>507</v>
      </c>
      <c r="B509" s="315" t="s">
        <v>73</v>
      </c>
      <c r="C509" s="315" t="s">
        <v>518</v>
      </c>
      <c r="D509" s="378">
        <v>1</v>
      </c>
      <c r="E509" s="378">
        <v>1</v>
      </c>
      <c r="F509" s="315" t="s">
        <v>770</v>
      </c>
      <c r="G509" s="316">
        <v>43060</v>
      </c>
      <c r="H509" s="318">
        <v>0.81944444444444453</v>
      </c>
      <c r="I509" s="325" t="s">
        <v>770</v>
      </c>
      <c r="J509" s="444" t="s">
        <v>703</v>
      </c>
      <c r="K509" s="315">
        <v>61</v>
      </c>
      <c r="L509" s="433" t="s">
        <v>720</v>
      </c>
      <c r="M509" s="433">
        <v>61</v>
      </c>
      <c r="N509" s="433" t="s">
        <v>646</v>
      </c>
      <c r="O509" s="153" t="str">
        <f>IF(L509&lt;&gt;"",IFERROR(VLOOKUP(B509&amp;L509,Pools!$A$2:$D$130,3,FALSE),""),"")</f>
        <v/>
      </c>
      <c r="P509" s="388">
        <v>34</v>
      </c>
      <c r="Q509" s="388">
        <v>19</v>
      </c>
      <c r="R509" s="306" t="str">
        <f t="shared" si="315"/>
        <v>34-19</v>
      </c>
      <c r="S509" s="153"/>
      <c r="T509" s="148" t="str">
        <f t="shared" si="316"/>
        <v>Completed</v>
      </c>
      <c r="U509" s="153"/>
      <c r="V509" s="153"/>
      <c r="W509" s="387">
        <f t="shared" si="317"/>
        <v>15</v>
      </c>
      <c r="X509" s="387">
        <f t="shared" si="318"/>
        <v>-15</v>
      </c>
      <c r="Y509" s="301">
        <f t="shared" si="319"/>
        <v>2</v>
      </c>
      <c r="Z509" s="301">
        <f t="shared" si="320"/>
        <v>0</v>
      </c>
      <c r="AA509" s="323" t="str">
        <f>CONCATENATE("                x[team1,team2,sport,'",IF(OR(I509="x",I509=""),VLOOKUP('Schedule from TM'!J509,Tables!$P$3:$Q$33,2,FALSE),'Schedule from TM'!I509),",",J509,"','",IF(OR(F509="x",F509=""),VLOOKUP('Schedule from TM'!G509,Tables!$U$3:$V$14,2,FALSE),'Schedule from TM'!F509),",",TEXT(G509,"mm/dd/yyyy"),"','",TEXT(H509,"h:mm:ss AM/PM"),"'].ub=0.0      #",B509)</f>
        <v xml:space="preserve">                x[team1,team2,sport,'21,Hillel - Field 1','22,11/21/2017','7:40:00 PM'].ub=0.0      #Junior A Male Flag Football</v>
      </c>
      <c r="AB509" s="301" t="str">
        <f t="shared" si="321"/>
        <v>,,Junior A Male Flag Football,,1,JR A M - MEX 2</v>
      </c>
      <c r="AC509" s="153" t="str">
        <f t="shared" si="322"/>
        <v>Junior A Male Flag FootballJR A M - MEX 2</v>
      </c>
      <c r="AD509" s="301" t="str">
        <f t="shared" si="323"/>
        <v>,,Junior A Male Flag Football,,1,JR A M - VEN 2</v>
      </c>
      <c r="AE509" s="153" t="str">
        <f t="shared" si="324"/>
        <v>Junior A Male Flag FootballJR A M - VEN 2</v>
      </c>
      <c r="AF509" s="383">
        <f t="shared" si="325"/>
        <v>1</v>
      </c>
      <c r="AG509" s="383">
        <f t="shared" si="326"/>
        <v>0</v>
      </c>
      <c r="AH509" s="383">
        <f t="shared" si="327"/>
        <v>0</v>
      </c>
      <c r="AI509" s="383">
        <f t="shared" si="328"/>
        <v>0</v>
      </c>
      <c r="AJ509" s="383">
        <f t="shared" si="329"/>
        <v>1</v>
      </c>
      <c r="AK509" s="383">
        <f t="shared" si="330"/>
        <v>0</v>
      </c>
      <c r="AM509" s="148" t="str">
        <f t="shared" si="331"/>
        <v>Schedulled</v>
      </c>
      <c r="AN509" s="148" t="str">
        <f t="shared" si="332"/>
        <v/>
      </c>
      <c r="AO509" s="156">
        <f t="shared" si="333"/>
        <v>43060.819444444445</v>
      </c>
      <c r="AP509" s="148" t="str">
        <f t="shared" si="334"/>
        <v>11/21/2017 19:40-&gt;Hillel - Field 1</v>
      </c>
      <c r="AQ509" s="374">
        <f t="shared" si="335"/>
        <v>1</v>
      </c>
      <c r="AR509" s="148" t="str">
        <f t="shared" si="336"/>
        <v>MEX2</v>
      </c>
      <c r="AS509" s="148" t="str">
        <f t="shared" si="337"/>
        <v>VEN2</v>
      </c>
      <c r="AT509" s="157" t="str">
        <f t="shared" si="338"/>
        <v>MEX2-VEN2</v>
      </c>
      <c r="AU509" s="157" t="str">
        <f t="shared" si="339"/>
        <v xml:space="preserve">MEX2-VEN2 </v>
      </c>
      <c r="AV509" s="157" t="str">
        <f t="shared" si="340"/>
        <v>JUNIORS A MALE</v>
      </c>
      <c r="AW509" s="157" t="str">
        <f t="shared" si="341"/>
        <v>Flag Football</v>
      </c>
      <c r="AX509" s="376">
        <f t="shared" si="342"/>
        <v>507</v>
      </c>
      <c r="AY509" s="148" t="str">
        <f t="shared" si="343"/>
        <v>JR A M - MEX 2-&gt;JR A M - VEN 2</v>
      </c>
      <c r="AZ509" s="148" t="str">
        <f t="shared" si="344"/>
        <v>11/21/2017 19:40-&gt;JR A M - MEX 2</v>
      </c>
      <c r="BA509" s="148" t="str">
        <f t="shared" si="345"/>
        <v>11/21/2017 19:40-&gt;JR A M - VEN 2</v>
      </c>
      <c r="BB509" s="374">
        <f t="shared" si="346"/>
        <v>1</v>
      </c>
      <c r="BC509" s="374">
        <f t="shared" si="347"/>
        <v>1</v>
      </c>
      <c r="BD509" s="148" t="str">
        <f t="shared" si="348"/>
        <v>no conflict</v>
      </c>
      <c r="BF509" s="148" t="str">
        <f t="shared" si="349"/>
        <v>11/21/2017 19:40-&gt;JR A M - MEX 2</v>
      </c>
      <c r="BG509" s="148" t="str">
        <f t="shared" si="350"/>
        <v>11/21/2017 19:40-&gt;JR A M - VEN 2</v>
      </c>
      <c r="BH509" s="148" t="str">
        <f t="shared" si="351"/>
        <v>11/21/2017 19:40-&gt;Hillel - Field 1</v>
      </c>
      <c r="BI509" s="148" t="str">
        <f t="shared" si="352"/>
        <v>Flag Football in Hillel - Field 1 (MEX2-VEN2)</v>
      </c>
      <c r="BJ509" s="148" t="str">
        <f t="shared" si="353"/>
        <v>Junior A Male Flag Football-- JR A M - MEX 2 vs. JR A M - VEN 2</v>
      </c>
      <c r="BK509" s="148" t="str">
        <f t="shared" si="354"/>
        <v>Flag Football</v>
      </c>
      <c r="BL509" s="148" t="str">
        <f t="shared" si="355"/>
        <v>JR A M - MEX 2</v>
      </c>
      <c r="BM509" s="148" t="str">
        <f t="shared" si="356"/>
        <v>JR A M - VEN 2</v>
      </c>
      <c r="BN509" s="148" t="str">
        <f t="shared" si="357"/>
        <v>Round - 1</v>
      </c>
      <c r="BP509" s="148" t="str">
        <f t="shared" si="358"/>
        <v>no t, f, or sf</v>
      </c>
      <c r="BQ509" s="148" t="str">
        <f t="shared" si="359"/>
        <v/>
      </c>
    </row>
    <row r="510" spans="1:69" ht="15" customHeight="1" x14ac:dyDescent="0.2">
      <c r="A510" s="376">
        <v>508</v>
      </c>
      <c r="B510" s="443" t="s">
        <v>73</v>
      </c>
      <c r="C510" s="444" t="s">
        <v>518</v>
      </c>
      <c r="D510" s="451">
        <v>1</v>
      </c>
      <c r="E510" s="451">
        <v>1</v>
      </c>
      <c r="F510" s="315" t="s">
        <v>770</v>
      </c>
      <c r="G510" s="445">
        <v>43060</v>
      </c>
      <c r="H510" s="317">
        <v>0.85416666666666663</v>
      </c>
      <c r="I510" s="325" t="s">
        <v>770</v>
      </c>
      <c r="J510" s="444" t="s">
        <v>703</v>
      </c>
      <c r="K510" s="444">
        <v>61</v>
      </c>
      <c r="L510" s="444" t="s">
        <v>638</v>
      </c>
      <c r="M510" s="444">
        <v>61</v>
      </c>
      <c r="N510" s="444" t="s">
        <v>643</v>
      </c>
      <c r="O510" s="153" t="str">
        <f>IF(L510&lt;&gt;"",IFERROR(VLOOKUP(B510&amp;L510,Pools!$A$2:$D$130,3,FALSE),""),"")</f>
        <v/>
      </c>
      <c r="P510" s="388">
        <v>0</v>
      </c>
      <c r="Q510" s="388">
        <v>33</v>
      </c>
      <c r="R510" s="306" t="str">
        <f t="shared" si="315"/>
        <v>0-33</v>
      </c>
      <c r="S510" s="153"/>
      <c r="T510" s="148" t="str">
        <f t="shared" si="316"/>
        <v>Completed</v>
      </c>
      <c r="U510" s="153"/>
      <c r="V510" s="153"/>
      <c r="W510" s="387">
        <f t="shared" si="317"/>
        <v>-21</v>
      </c>
      <c r="X510" s="387">
        <f t="shared" si="318"/>
        <v>21</v>
      </c>
      <c r="Y510" s="301">
        <f t="shared" si="319"/>
        <v>0</v>
      </c>
      <c r="Z510" s="301">
        <f t="shared" si="320"/>
        <v>2</v>
      </c>
      <c r="AA510" s="323" t="str">
        <f>CONCATENATE("                x[team1,team2,sport,'",IF(OR(I510="x",I510=""),VLOOKUP('Schedule from TM'!J510,Tables!$P$3:$Q$33,2,FALSE),'Schedule from TM'!I510),",",J510,"','",IF(OR(F510="x",F510=""),VLOOKUP('Schedule from TM'!G510,Tables!$U$3:$V$14,2,FALSE),'Schedule from TM'!F510),",",TEXT(G510,"mm/dd/yyyy"),"','",TEXT(H510,"h:mm:ss AM/PM"),"'].ub=0.0      #",B510)</f>
        <v xml:space="preserve">                x[team1,team2,sport,'21,Hillel - Field 1','22,11/21/2017','8:30:00 PM'].ub=0.0      #Junior A Male Flag Football</v>
      </c>
      <c r="AB510" s="301" t="str">
        <f t="shared" si="321"/>
        <v>,,Junior A Male Flag Football,,1,JR A M - ARG 2</v>
      </c>
      <c r="AC510" s="153" t="str">
        <f t="shared" si="322"/>
        <v>Junior A Male Flag FootballJR A M - ARG 2</v>
      </c>
      <c r="AD510" s="301" t="str">
        <f t="shared" si="323"/>
        <v>,,Junior A Male Flag Football,,1,JR A M - USA 2</v>
      </c>
      <c r="AE510" s="153" t="str">
        <f t="shared" si="324"/>
        <v>Junior A Male Flag FootballJR A M - USA 2</v>
      </c>
      <c r="AF510" s="383">
        <f t="shared" si="325"/>
        <v>0</v>
      </c>
      <c r="AG510" s="383">
        <f t="shared" si="326"/>
        <v>1</v>
      </c>
      <c r="AH510" s="383">
        <f t="shared" si="327"/>
        <v>0</v>
      </c>
      <c r="AI510" s="383">
        <f t="shared" si="328"/>
        <v>1</v>
      </c>
      <c r="AJ510" s="383">
        <f t="shared" si="329"/>
        <v>0</v>
      </c>
      <c r="AK510" s="383">
        <f t="shared" si="330"/>
        <v>0</v>
      </c>
      <c r="AM510" s="148" t="str">
        <f t="shared" si="331"/>
        <v>Schedulled</v>
      </c>
      <c r="AN510" s="148" t="str">
        <f t="shared" si="332"/>
        <v/>
      </c>
      <c r="AO510" s="156">
        <f t="shared" si="333"/>
        <v>43060.854166666664</v>
      </c>
      <c r="AP510" s="148" t="str">
        <f t="shared" si="334"/>
        <v>11/21/2017 20:30-&gt;Hillel - Field 1</v>
      </c>
      <c r="AQ510" s="374">
        <f t="shared" si="335"/>
        <v>1</v>
      </c>
      <c r="AR510" s="148" t="str">
        <f t="shared" si="336"/>
        <v>ARG2</v>
      </c>
      <c r="AS510" s="148" t="str">
        <f t="shared" si="337"/>
        <v>USA2</v>
      </c>
      <c r="AT510" s="157" t="str">
        <f t="shared" si="338"/>
        <v>ARG2-USA2</v>
      </c>
      <c r="AU510" s="157" t="str">
        <f t="shared" si="339"/>
        <v xml:space="preserve">ARG2-USA2 </v>
      </c>
      <c r="AV510" s="157" t="str">
        <f t="shared" si="340"/>
        <v>JUNIORS A MALE</v>
      </c>
      <c r="AW510" s="157" t="str">
        <f t="shared" si="341"/>
        <v>Flag Football</v>
      </c>
      <c r="AX510" s="376">
        <f t="shared" si="342"/>
        <v>508</v>
      </c>
      <c r="AY510" s="148" t="str">
        <f t="shared" si="343"/>
        <v>JR A M - ARG 2-&gt;JR A M - USA 2</v>
      </c>
      <c r="AZ510" s="148" t="str">
        <f t="shared" si="344"/>
        <v>11/21/2017 20:30-&gt;JR A M - ARG 2</v>
      </c>
      <c r="BA510" s="148" t="str">
        <f t="shared" si="345"/>
        <v>11/21/2017 20:30-&gt;JR A M - USA 2</v>
      </c>
      <c r="BB510" s="374">
        <f t="shared" si="346"/>
        <v>1</v>
      </c>
      <c r="BC510" s="374">
        <f t="shared" si="347"/>
        <v>1</v>
      </c>
      <c r="BD510" s="148" t="str">
        <f t="shared" si="348"/>
        <v>no conflict</v>
      </c>
      <c r="BF510" s="148" t="str">
        <f t="shared" si="349"/>
        <v>11/21/2017 20:30-&gt;JR A M - ARG 2</v>
      </c>
      <c r="BG510" s="148" t="str">
        <f t="shared" si="350"/>
        <v>11/21/2017 20:30-&gt;JR A M - USA 2</v>
      </c>
      <c r="BH510" s="148" t="str">
        <f t="shared" si="351"/>
        <v>11/21/2017 20:30-&gt;Hillel - Field 1</v>
      </c>
      <c r="BI510" s="148" t="str">
        <f t="shared" si="352"/>
        <v>Flag Football in Hillel - Field 1 (ARG2-USA2)</v>
      </c>
      <c r="BJ510" s="148" t="str">
        <f t="shared" si="353"/>
        <v>Junior A Male Flag Football-- JR A M - ARG 2 vs. JR A M - USA 2</v>
      </c>
      <c r="BK510" s="148" t="str">
        <f t="shared" si="354"/>
        <v>Flag Football</v>
      </c>
      <c r="BL510" s="148" t="str">
        <f t="shared" si="355"/>
        <v>JR A M - ARG 2</v>
      </c>
      <c r="BM510" s="148" t="str">
        <f t="shared" si="356"/>
        <v>JR A M - USA 2</v>
      </c>
      <c r="BN510" s="148" t="str">
        <f t="shared" si="357"/>
        <v>Round - 1</v>
      </c>
      <c r="BP510" s="148" t="str">
        <f t="shared" si="358"/>
        <v>no t, f, or sf</v>
      </c>
      <c r="BQ510" s="148" t="str">
        <f t="shared" si="359"/>
        <v/>
      </c>
    </row>
    <row r="511" spans="1:69" ht="15" customHeight="1" x14ac:dyDescent="0.2">
      <c r="A511" s="376">
        <v>509</v>
      </c>
      <c r="B511" s="444" t="s">
        <v>73</v>
      </c>
      <c r="C511" s="444" t="s">
        <v>518</v>
      </c>
      <c r="D511" s="451">
        <v>1</v>
      </c>
      <c r="E511" s="451">
        <v>1</v>
      </c>
      <c r="F511" s="315" t="s">
        <v>770</v>
      </c>
      <c r="G511" s="445">
        <v>43061</v>
      </c>
      <c r="H511" s="317">
        <v>0.75</v>
      </c>
      <c r="I511" s="325" t="s">
        <v>770</v>
      </c>
      <c r="J511" s="443" t="s">
        <v>704</v>
      </c>
      <c r="K511" s="444">
        <v>61</v>
      </c>
      <c r="L511" s="433" t="s">
        <v>720</v>
      </c>
      <c r="M511" s="433">
        <v>61</v>
      </c>
      <c r="N511" s="433" t="s">
        <v>645</v>
      </c>
      <c r="O511" s="153" t="str">
        <f>IF(L511&lt;&gt;"",IFERROR(VLOOKUP(B511&amp;L511,Pools!$A$2:$D$130,3,FALSE),""),"")</f>
        <v/>
      </c>
      <c r="P511" s="388">
        <v>41</v>
      </c>
      <c r="Q511" s="388">
        <v>30</v>
      </c>
      <c r="R511" s="306" t="str">
        <f t="shared" si="315"/>
        <v>41-30</v>
      </c>
      <c r="S511" s="153"/>
      <c r="T511" s="148" t="str">
        <f t="shared" si="316"/>
        <v>Completed</v>
      </c>
      <c r="U511" s="153"/>
      <c r="V511" s="153"/>
      <c r="W511" s="387">
        <f t="shared" si="317"/>
        <v>11</v>
      </c>
      <c r="X511" s="387">
        <f t="shared" si="318"/>
        <v>-11</v>
      </c>
      <c r="Y511" s="301">
        <f t="shared" si="319"/>
        <v>2</v>
      </c>
      <c r="Z511" s="301">
        <f t="shared" si="320"/>
        <v>0</v>
      </c>
      <c r="AA511" s="323" t="str">
        <f>CONCATENATE("                x[team1,team2,sport,'",IF(OR(I511="x",I511=""),VLOOKUP('Schedule from TM'!J511,Tables!$P$3:$Q$33,2,FALSE),'Schedule from TM'!I511),",",J511,"','",IF(OR(F511="x",F511=""),VLOOKUP('Schedule from TM'!G511,Tables!$U$3:$V$14,2,FALSE),'Schedule from TM'!F511),",",TEXT(G511,"mm/dd/yyyy"),"','",TEXT(H511,"h:mm:ss AM/PM"),"'].ub=0.0      #",B511)</f>
        <v xml:space="preserve">                x[team1,team2,sport,'21,Hillel - Field 2','22,11/22/2017','6:00:00 PM'].ub=0.0      #Junior A Male Flag Football</v>
      </c>
      <c r="AB511" s="301" t="str">
        <f t="shared" si="321"/>
        <v>,,Junior A Male Flag Football,,1,JR A M - MEX 2</v>
      </c>
      <c r="AC511" s="153" t="str">
        <f t="shared" si="322"/>
        <v>Junior A Male Flag FootballJR A M - MEX 2</v>
      </c>
      <c r="AD511" s="301" t="str">
        <f t="shared" si="323"/>
        <v>,,Junior A Male Flag Football,,1,JR A M - VEN 1</v>
      </c>
      <c r="AE511" s="153" t="str">
        <f t="shared" si="324"/>
        <v>Junior A Male Flag FootballJR A M - VEN 1</v>
      </c>
      <c r="AF511" s="383">
        <f t="shared" si="325"/>
        <v>1</v>
      </c>
      <c r="AG511" s="383">
        <f t="shared" si="326"/>
        <v>0</v>
      </c>
      <c r="AH511" s="383">
        <f t="shared" si="327"/>
        <v>0</v>
      </c>
      <c r="AI511" s="383">
        <f t="shared" si="328"/>
        <v>0</v>
      </c>
      <c r="AJ511" s="383">
        <f t="shared" si="329"/>
        <v>1</v>
      </c>
      <c r="AK511" s="383">
        <f t="shared" si="330"/>
        <v>0</v>
      </c>
      <c r="AM511" s="148" t="str">
        <f t="shared" si="331"/>
        <v>Schedulled</v>
      </c>
      <c r="AN511" s="148" t="str">
        <f t="shared" si="332"/>
        <v/>
      </c>
      <c r="AO511" s="156">
        <f t="shared" si="333"/>
        <v>43061.75</v>
      </c>
      <c r="AP511" s="148" t="str">
        <f t="shared" si="334"/>
        <v>11/22/2017 18:00-&gt;Hillel - Field 2</v>
      </c>
      <c r="AQ511" s="374">
        <f t="shared" si="335"/>
        <v>1</v>
      </c>
      <c r="AR511" s="148" t="str">
        <f t="shared" si="336"/>
        <v>MEX2</v>
      </c>
      <c r="AS511" s="148" t="str">
        <f t="shared" si="337"/>
        <v>VEN1</v>
      </c>
      <c r="AT511" s="157" t="str">
        <f t="shared" si="338"/>
        <v>MEX2-VEN1</v>
      </c>
      <c r="AU511" s="157" t="str">
        <f t="shared" si="339"/>
        <v xml:space="preserve">MEX2-VEN1 </v>
      </c>
      <c r="AV511" s="157" t="str">
        <f t="shared" si="340"/>
        <v>JUNIORS A MALE</v>
      </c>
      <c r="AW511" s="157" t="str">
        <f t="shared" si="341"/>
        <v>Flag Football</v>
      </c>
      <c r="AX511" s="376">
        <f t="shared" si="342"/>
        <v>509</v>
      </c>
      <c r="AY511" s="148" t="str">
        <f t="shared" si="343"/>
        <v>JR A M - MEX 2-&gt;JR A M - VEN 1</v>
      </c>
      <c r="AZ511" s="148" t="str">
        <f t="shared" si="344"/>
        <v>11/22/2017 18:00-&gt;JR A M - MEX 2</v>
      </c>
      <c r="BA511" s="148" t="str">
        <f t="shared" si="345"/>
        <v>11/22/2017 18:00-&gt;JR A M - VEN 1</v>
      </c>
      <c r="BB511" s="374">
        <f t="shared" si="346"/>
        <v>1</v>
      </c>
      <c r="BC511" s="374">
        <f t="shared" si="347"/>
        <v>1</v>
      </c>
      <c r="BD511" s="148" t="str">
        <f t="shared" si="348"/>
        <v>no conflict</v>
      </c>
      <c r="BF511" s="148" t="str">
        <f t="shared" si="349"/>
        <v>11/22/2017 18:00-&gt;JR A M - MEX 2</v>
      </c>
      <c r="BG511" s="148" t="str">
        <f t="shared" si="350"/>
        <v>11/22/2017 18:00-&gt;JR A M - VEN 1</v>
      </c>
      <c r="BH511" s="148" t="str">
        <f t="shared" si="351"/>
        <v>11/22/2017 18:00-&gt;Hillel - Field 2</v>
      </c>
      <c r="BI511" s="148" t="str">
        <f t="shared" si="352"/>
        <v>Flag Football in Hillel - Field 2 (MEX2-VEN1)</v>
      </c>
      <c r="BJ511" s="148" t="str">
        <f t="shared" si="353"/>
        <v>Junior A Male Flag Football-- JR A M - MEX 2 vs. JR A M - VEN 1</v>
      </c>
      <c r="BK511" s="148" t="str">
        <f t="shared" si="354"/>
        <v>Flag Football</v>
      </c>
      <c r="BL511" s="148" t="str">
        <f t="shared" si="355"/>
        <v>JR A M - MEX 2</v>
      </c>
      <c r="BM511" s="148" t="str">
        <f t="shared" si="356"/>
        <v>JR A M - VEN 1</v>
      </c>
      <c r="BN511" s="148" t="str">
        <f t="shared" si="357"/>
        <v>Round - 1</v>
      </c>
      <c r="BP511" s="148" t="str">
        <f t="shared" si="358"/>
        <v>no t, f, or sf</v>
      </c>
      <c r="BQ511" s="148" t="str">
        <f t="shared" si="359"/>
        <v/>
      </c>
    </row>
    <row r="512" spans="1:69" ht="15" customHeight="1" x14ac:dyDescent="0.2">
      <c r="A512" s="376">
        <v>510</v>
      </c>
      <c r="B512" s="444" t="s">
        <v>73</v>
      </c>
      <c r="C512" s="444" t="s">
        <v>518</v>
      </c>
      <c r="D512" s="378">
        <v>1</v>
      </c>
      <c r="E512" s="378">
        <v>1</v>
      </c>
      <c r="F512" s="315" t="s">
        <v>770</v>
      </c>
      <c r="G512" s="445">
        <v>43061</v>
      </c>
      <c r="H512" s="318">
        <v>0.81944444444444453</v>
      </c>
      <c r="I512" s="325" t="s">
        <v>770</v>
      </c>
      <c r="J512" s="444" t="s">
        <v>704</v>
      </c>
      <c r="K512" s="444">
        <v>61</v>
      </c>
      <c r="L512" s="433" t="s">
        <v>637</v>
      </c>
      <c r="M512" s="433">
        <v>61</v>
      </c>
      <c r="N512" s="433" t="s">
        <v>720</v>
      </c>
      <c r="O512" s="153" t="str">
        <f>IF(L512&lt;&gt;"",IFERROR(VLOOKUP(B512&amp;L512,Pools!$A$2:$D$130,3,FALSE),""),"")</f>
        <v/>
      </c>
      <c r="P512" s="388">
        <v>23</v>
      </c>
      <c r="Q512" s="388">
        <v>38</v>
      </c>
      <c r="R512" s="306" t="str">
        <f t="shared" si="315"/>
        <v>23-38</v>
      </c>
      <c r="S512" s="153"/>
      <c r="T512" s="148" t="str">
        <f t="shared" si="316"/>
        <v>Completed</v>
      </c>
      <c r="U512" s="153"/>
      <c r="V512" s="153"/>
      <c r="W512" s="387">
        <f t="shared" si="317"/>
        <v>-15</v>
      </c>
      <c r="X512" s="387">
        <f t="shared" si="318"/>
        <v>15</v>
      </c>
      <c r="Y512" s="301">
        <f t="shared" si="319"/>
        <v>0</v>
      </c>
      <c r="Z512" s="301">
        <f t="shared" si="320"/>
        <v>2</v>
      </c>
      <c r="AA512" s="323" t="str">
        <f>CONCATENATE("                x[team1,team2,sport,'",IF(OR(I512="x",I512=""),VLOOKUP('Schedule from TM'!J512,Tables!$P$3:$Q$33,2,FALSE),'Schedule from TM'!I512),",",J512,"','",IF(OR(F512="x",F512=""),VLOOKUP('Schedule from TM'!G512,Tables!$U$3:$V$14,2,FALSE),'Schedule from TM'!F512),",",TEXT(G512,"mm/dd/yyyy"),"','",TEXT(H512,"h:mm:ss AM/PM"),"'].ub=0.0      #",B512)</f>
        <v xml:space="preserve">                x[team1,team2,sport,'21,Hillel - Field 2','22,11/22/2017','7:40:00 PM'].ub=0.0      #Junior A Male Flag Football</v>
      </c>
      <c r="AB512" s="301" t="str">
        <f t="shared" si="321"/>
        <v>,,Junior A Male Flag Football,,1,JR A M - ARG 1</v>
      </c>
      <c r="AC512" s="153" t="str">
        <f t="shared" si="322"/>
        <v>Junior A Male Flag FootballJR A M - ARG 1</v>
      </c>
      <c r="AD512" s="301" t="str">
        <f t="shared" si="323"/>
        <v>,,Junior A Male Flag Football,,1,JR A M - MEX 2</v>
      </c>
      <c r="AE512" s="153" t="str">
        <f t="shared" si="324"/>
        <v>Junior A Male Flag FootballJR A M - MEX 2</v>
      </c>
      <c r="AF512" s="383">
        <f t="shared" si="325"/>
        <v>0</v>
      </c>
      <c r="AG512" s="383">
        <f t="shared" si="326"/>
        <v>1</v>
      </c>
      <c r="AH512" s="383">
        <f t="shared" si="327"/>
        <v>0</v>
      </c>
      <c r="AI512" s="383">
        <f t="shared" si="328"/>
        <v>1</v>
      </c>
      <c r="AJ512" s="383">
        <f t="shared" si="329"/>
        <v>0</v>
      </c>
      <c r="AK512" s="383">
        <f t="shared" si="330"/>
        <v>0</v>
      </c>
      <c r="AM512" s="148" t="str">
        <f t="shared" si="331"/>
        <v>Schedulled</v>
      </c>
      <c r="AN512" s="148" t="str">
        <f t="shared" si="332"/>
        <v/>
      </c>
      <c r="AO512" s="156">
        <f t="shared" si="333"/>
        <v>43061.819444444445</v>
      </c>
      <c r="AP512" s="148" t="str">
        <f t="shared" si="334"/>
        <v>11/22/2017 19:40-&gt;Hillel - Field 2</v>
      </c>
      <c r="AQ512" s="374">
        <f t="shared" si="335"/>
        <v>1</v>
      </c>
      <c r="AR512" s="148" t="str">
        <f t="shared" si="336"/>
        <v>ARG1</v>
      </c>
      <c r="AS512" s="148" t="str">
        <f t="shared" si="337"/>
        <v>MEX2</v>
      </c>
      <c r="AT512" s="157" t="str">
        <f t="shared" si="338"/>
        <v>ARG1-MEX2</v>
      </c>
      <c r="AU512" s="157" t="str">
        <f t="shared" si="339"/>
        <v xml:space="preserve">ARG1-MEX2 </v>
      </c>
      <c r="AV512" s="157" t="str">
        <f t="shared" si="340"/>
        <v>JUNIORS A MALE</v>
      </c>
      <c r="AW512" s="157" t="str">
        <f t="shared" si="341"/>
        <v>Flag Football</v>
      </c>
      <c r="AX512" s="376">
        <f t="shared" si="342"/>
        <v>510</v>
      </c>
      <c r="AY512" s="148" t="str">
        <f t="shared" si="343"/>
        <v>JR A M - ARG 1-&gt;JR A M - MEX 2</v>
      </c>
      <c r="AZ512" s="148" t="str">
        <f t="shared" si="344"/>
        <v>11/22/2017 19:40-&gt;JR A M - ARG 1</v>
      </c>
      <c r="BA512" s="148" t="str">
        <f t="shared" si="345"/>
        <v>11/22/2017 19:40-&gt;JR A M - MEX 2</v>
      </c>
      <c r="BB512" s="374">
        <f t="shared" si="346"/>
        <v>1</v>
      </c>
      <c r="BC512" s="374">
        <f t="shared" si="347"/>
        <v>1</v>
      </c>
      <c r="BD512" s="148" t="str">
        <f t="shared" si="348"/>
        <v>no conflict</v>
      </c>
      <c r="BF512" s="148" t="str">
        <f t="shared" si="349"/>
        <v>11/22/2017 19:40-&gt;JR A M - ARG 1</v>
      </c>
      <c r="BG512" s="148" t="str">
        <f t="shared" si="350"/>
        <v>11/22/2017 19:40-&gt;JR A M - MEX 2</v>
      </c>
      <c r="BH512" s="148" t="str">
        <f t="shared" si="351"/>
        <v>11/22/2017 19:40-&gt;Hillel - Field 2</v>
      </c>
      <c r="BI512" s="148" t="str">
        <f t="shared" si="352"/>
        <v>Flag Football in Hillel - Field 2 (ARG1-MEX2)</v>
      </c>
      <c r="BJ512" s="148" t="str">
        <f t="shared" si="353"/>
        <v>Junior A Male Flag Football-- JR A M - ARG 1 vs. JR A M - MEX 2</v>
      </c>
      <c r="BK512" s="148" t="str">
        <f t="shared" si="354"/>
        <v>Flag Football</v>
      </c>
      <c r="BL512" s="148" t="str">
        <f t="shared" si="355"/>
        <v>JR A M - ARG 1</v>
      </c>
      <c r="BM512" s="148" t="str">
        <f t="shared" si="356"/>
        <v>JR A M - MEX 2</v>
      </c>
      <c r="BN512" s="148" t="str">
        <f t="shared" si="357"/>
        <v>Round - 1</v>
      </c>
      <c r="BP512" s="148" t="str">
        <f t="shared" si="358"/>
        <v>no t, f, or sf</v>
      </c>
      <c r="BQ512" s="148" t="str">
        <f t="shared" si="359"/>
        <v/>
      </c>
    </row>
    <row r="513" spans="1:69" ht="15" customHeight="1" x14ac:dyDescent="0.2">
      <c r="A513" s="376">
        <v>511</v>
      </c>
      <c r="B513" s="444" t="s">
        <v>73</v>
      </c>
      <c r="C513" s="444" t="s">
        <v>518</v>
      </c>
      <c r="D513" s="451">
        <v>1</v>
      </c>
      <c r="E513" s="451">
        <v>1</v>
      </c>
      <c r="F513" s="315" t="s">
        <v>770</v>
      </c>
      <c r="G513" s="445">
        <v>43062</v>
      </c>
      <c r="H513" s="317">
        <v>0.54166666666666663</v>
      </c>
      <c r="I513" s="325" t="s">
        <v>770</v>
      </c>
      <c r="J513" s="444" t="s">
        <v>706</v>
      </c>
      <c r="K513" s="444">
        <v>61</v>
      </c>
      <c r="L513" s="433" t="s">
        <v>637</v>
      </c>
      <c r="M513" s="433">
        <v>61</v>
      </c>
      <c r="N513" s="433" t="s">
        <v>646</v>
      </c>
      <c r="O513" s="153" t="str">
        <f>IF(L513&lt;&gt;"",IFERROR(VLOOKUP(B513&amp;L513,Pools!$A$2:$D$130,3,FALSE),""),"")</f>
        <v/>
      </c>
      <c r="P513" s="388">
        <v>12</v>
      </c>
      <c r="Q513" s="388">
        <v>32</v>
      </c>
      <c r="R513" s="306" t="str">
        <f t="shared" si="315"/>
        <v>12-32</v>
      </c>
      <c r="S513" s="153"/>
      <c r="T513" s="148" t="str">
        <f t="shared" si="316"/>
        <v>Completed</v>
      </c>
      <c r="U513" s="153"/>
      <c r="V513" s="153"/>
      <c r="W513" s="387">
        <f t="shared" si="317"/>
        <v>-20</v>
      </c>
      <c r="X513" s="387">
        <f t="shared" si="318"/>
        <v>20</v>
      </c>
      <c r="Y513" s="301">
        <f t="shared" si="319"/>
        <v>0</v>
      </c>
      <c r="Z513" s="301">
        <f t="shared" si="320"/>
        <v>2</v>
      </c>
      <c r="AA513" s="323" t="str">
        <f>CONCATENATE("                x[team1,team2,sport,'",IF(OR(I513="x",I513=""),VLOOKUP('Schedule from TM'!J513,Tables!$P$3:$Q$33,2,FALSE),'Schedule from TM'!I513),",",J513,"','",IF(OR(F513="x",F513=""),VLOOKUP('Schedule from TM'!G513,Tables!$U$3:$V$14,2,FALSE),'Schedule from TM'!F513),",",TEXT(G513,"mm/dd/yyyy"),"','",TEXT(H513,"h:mm:ss AM/PM"),"'].ub=0.0      #",B513)</f>
        <v xml:space="preserve">                x[team1,team2,sport,'21,Hillel - Field 4','11,11/23/2017','1:00:00 PM'].ub=0.0      #Junior A Male Flag Football</v>
      </c>
      <c r="AB513" s="301" t="str">
        <f t="shared" si="321"/>
        <v>,,Junior A Male Flag Football,,1,JR A M - ARG 1</v>
      </c>
      <c r="AC513" s="153" t="str">
        <f t="shared" si="322"/>
        <v>Junior A Male Flag FootballJR A M - ARG 1</v>
      </c>
      <c r="AD513" s="301" t="str">
        <f t="shared" si="323"/>
        <v>,,Junior A Male Flag Football,,1,JR A M - VEN 2</v>
      </c>
      <c r="AE513" s="153" t="str">
        <f t="shared" si="324"/>
        <v>Junior A Male Flag FootballJR A M - VEN 2</v>
      </c>
      <c r="AF513" s="383">
        <f t="shared" si="325"/>
        <v>0</v>
      </c>
      <c r="AG513" s="383">
        <f t="shared" si="326"/>
        <v>1</v>
      </c>
      <c r="AH513" s="383">
        <f t="shared" si="327"/>
        <v>0</v>
      </c>
      <c r="AI513" s="383">
        <f t="shared" si="328"/>
        <v>1</v>
      </c>
      <c r="AJ513" s="383">
        <f t="shared" si="329"/>
        <v>0</v>
      </c>
      <c r="AK513" s="383">
        <f t="shared" si="330"/>
        <v>0</v>
      </c>
      <c r="AM513" s="148" t="str">
        <f t="shared" si="331"/>
        <v>Schedulled</v>
      </c>
      <c r="AN513" s="148" t="str">
        <f t="shared" si="332"/>
        <v/>
      </c>
      <c r="AO513" s="156">
        <f t="shared" si="333"/>
        <v>43062.541666666664</v>
      </c>
      <c r="AP513" s="148" t="str">
        <f t="shared" si="334"/>
        <v>11/23/2017 13:00-&gt;Hillel - Field 4</v>
      </c>
      <c r="AQ513" s="374">
        <f t="shared" si="335"/>
        <v>1</v>
      </c>
      <c r="AR513" s="148" t="str">
        <f t="shared" si="336"/>
        <v>ARG1</v>
      </c>
      <c r="AS513" s="148" t="str">
        <f t="shared" si="337"/>
        <v>VEN2</v>
      </c>
      <c r="AT513" s="157" t="str">
        <f t="shared" si="338"/>
        <v>ARG1-VEN2</v>
      </c>
      <c r="AU513" s="157" t="str">
        <f t="shared" si="339"/>
        <v xml:space="preserve">ARG1-VEN2 </v>
      </c>
      <c r="AV513" s="157" t="str">
        <f t="shared" si="340"/>
        <v>JUNIORS A MALE</v>
      </c>
      <c r="AW513" s="157" t="str">
        <f t="shared" si="341"/>
        <v>Flag Football</v>
      </c>
      <c r="AX513" s="376">
        <f t="shared" si="342"/>
        <v>511</v>
      </c>
      <c r="AY513" s="148" t="str">
        <f t="shared" si="343"/>
        <v>JR A M - ARG 1-&gt;JR A M - VEN 2</v>
      </c>
      <c r="AZ513" s="148" t="str">
        <f t="shared" si="344"/>
        <v>11/23/2017 13:00-&gt;JR A M - ARG 1</v>
      </c>
      <c r="BA513" s="148" t="str">
        <f t="shared" si="345"/>
        <v>11/23/2017 13:00-&gt;JR A M - VEN 2</v>
      </c>
      <c r="BB513" s="374">
        <f t="shared" si="346"/>
        <v>1</v>
      </c>
      <c r="BC513" s="374">
        <f t="shared" si="347"/>
        <v>1</v>
      </c>
      <c r="BD513" s="148" t="str">
        <f t="shared" si="348"/>
        <v>no conflict</v>
      </c>
      <c r="BF513" s="148" t="str">
        <f t="shared" si="349"/>
        <v>11/23/2017 13:00-&gt;JR A M - ARG 1</v>
      </c>
      <c r="BG513" s="148" t="str">
        <f t="shared" si="350"/>
        <v>11/23/2017 13:00-&gt;JR A M - VEN 2</v>
      </c>
      <c r="BH513" s="148" t="str">
        <f t="shared" si="351"/>
        <v>11/23/2017 13:00-&gt;Hillel - Field 4</v>
      </c>
      <c r="BI513" s="148" t="str">
        <f t="shared" si="352"/>
        <v>Flag Football in Hillel - Field 4 (ARG1-VEN2)</v>
      </c>
      <c r="BJ513" s="148" t="str">
        <f t="shared" si="353"/>
        <v>Junior A Male Flag Football-- JR A M - ARG 1 vs. JR A M - VEN 2</v>
      </c>
      <c r="BK513" s="148" t="str">
        <f t="shared" si="354"/>
        <v>Flag Football</v>
      </c>
      <c r="BL513" s="148" t="str">
        <f t="shared" si="355"/>
        <v>JR A M - ARG 1</v>
      </c>
      <c r="BM513" s="148" t="str">
        <f t="shared" si="356"/>
        <v>JR A M - VEN 2</v>
      </c>
      <c r="BN513" s="148" t="str">
        <f t="shared" si="357"/>
        <v>Round - 1</v>
      </c>
      <c r="BP513" s="148" t="str">
        <f t="shared" si="358"/>
        <v>no t, f, or sf</v>
      </c>
      <c r="BQ513" s="148" t="str">
        <f t="shared" si="359"/>
        <v/>
      </c>
    </row>
    <row r="514" spans="1:69" ht="15" customHeight="1" x14ac:dyDescent="0.2">
      <c r="A514" s="376">
        <v>512</v>
      </c>
      <c r="B514" s="441" t="s">
        <v>73</v>
      </c>
      <c r="C514" s="441" t="s">
        <v>518</v>
      </c>
      <c r="D514" s="450">
        <v>1</v>
      </c>
      <c r="E514" s="450">
        <v>1</v>
      </c>
      <c r="F514" s="315" t="s">
        <v>770</v>
      </c>
      <c r="G514" s="320">
        <v>43062</v>
      </c>
      <c r="H514" s="317">
        <v>0.54166666666666663</v>
      </c>
      <c r="I514" s="325" t="s">
        <v>770</v>
      </c>
      <c r="J514" s="441" t="s">
        <v>703</v>
      </c>
      <c r="K514" s="441">
        <v>61</v>
      </c>
      <c r="L514" s="441" t="s">
        <v>644</v>
      </c>
      <c r="M514" s="441">
        <v>61</v>
      </c>
      <c r="N514" s="441" t="s">
        <v>642</v>
      </c>
      <c r="O514" s="153" t="str">
        <f>IF(L514&lt;&gt;"",IFERROR(VLOOKUP(B514&amp;L514,Pools!$A$2:$D$130,3,FALSE),""),"")</f>
        <v/>
      </c>
      <c r="P514" s="388">
        <v>6</v>
      </c>
      <c r="Q514" s="388">
        <v>26</v>
      </c>
      <c r="R514" s="306" t="str">
        <f t="shared" si="315"/>
        <v>6-26</v>
      </c>
      <c r="S514" s="153"/>
      <c r="T514" s="148" t="str">
        <f t="shared" si="316"/>
        <v>Completed</v>
      </c>
      <c r="U514" s="153"/>
      <c r="V514" s="153"/>
      <c r="W514" s="387">
        <f t="shared" si="317"/>
        <v>-20</v>
      </c>
      <c r="X514" s="387">
        <f t="shared" si="318"/>
        <v>20</v>
      </c>
      <c r="Y514" s="301">
        <f t="shared" si="319"/>
        <v>0</v>
      </c>
      <c r="Z514" s="301">
        <f t="shared" si="320"/>
        <v>2</v>
      </c>
      <c r="AA514" s="323" t="str">
        <f>CONCATENATE("                x[team1,team2,sport,'",IF(OR(I514="x",I514=""),VLOOKUP('Schedule from TM'!J514,Tables!$P$3:$Q$33,2,FALSE),'Schedule from TM'!I514),",",J514,"','",IF(OR(F514="x",F514=""),VLOOKUP('Schedule from TM'!G514,Tables!$U$3:$V$14,2,FALSE),'Schedule from TM'!F514),",",TEXT(G514,"mm/dd/yyyy"),"','",TEXT(H514,"h:mm:ss AM/PM"),"'].ub=0.0      #",B514)</f>
        <v xml:space="preserve">                x[team1,team2,sport,'21,Hillel - Field 1','11,11/23/2017','1:00:00 PM'].ub=0.0      #Junior A Male Flag Football</v>
      </c>
      <c r="AB514" s="301" t="str">
        <f t="shared" si="321"/>
        <v>,,Junior A Male Flag Football,,1,JR A M - ISR 1</v>
      </c>
      <c r="AC514" s="153" t="str">
        <f t="shared" si="322"/>
        <v>Junior A Male Flag FootballJR A M - ISR 1</v>
      </c>
      <c r="AD514" s="301" t="str">
        <f t="shared" si="323"/>
        <v>,,Junior A Male Flag Football,,1,JR A M - USA 1</v>
      </c>
      <c r="AE514" s="153" t="str">
        <f t="shared" si="324"/>
        <v>Junior A Male Flag FootballJR A M - USA 1</v>
      </c>
      <c r="AF514" s="383">
        <f t="shared" si="325"/>
        <v>0</v>
      </c>
      <c r="AG514" s="383">
        <f t="shared" si="326"/>
        <v>1</v>
      </c>
      <c r="AH514" s="383">
        <f t="shared" si="327"/>
        <v>0</v>
      </c>
      <c r="AI514" s="383">
        <f t="shared" si="328"/>
        <v>1</v>
      </c>
      <c r="AJ514" s="383">
        <f t="shared" si="329"/>
        <v>0</v>
      </c>
      <c r="AK514" s="383">
        <f t="shared" si="330"/>
        <v>0</v>
      </c>
      <c r="AM514" s="148" t="str">
        <f t="shared" si="331"/>
        <v>Schedulled</v>
      </c>
      <c r="AN514" s="148" t="str">
        <f t="shared" si="332"/>
        <v/>
      </c>
      <c r="AO514" s="156">
        <f t="shared" si="333"/>
        <v>43062.541666666664</v>
      </c>
      <c r="AP514" s="148" t="str">
        <f t="shared" si="334"/>
        <v>11/23/2017 13:00-&gt;Hillel - Field 1</v>
      </c>
      <c r="AQ514" s="374">
        <f t="shared" si="335"/>
        <v>1</v>
      </c>
      <c r="AR514" s="148" t="str">
        <f t="shared" si="336"/>
        <v>ISR1</v>
      </c>
      <c r="AS514" s="148" t="str">
        <f t="shared" si="337"/>
        <v>USA1</v>
      </c>
      <c r="AT514" s="157" t="str">
        <f t="shared" si="338"/>
        <v>ISR1-USA1</v>
      </c>
      <c r="AU514" s="157" t="str">
        <f t="shared" si="339"/>
        <v xml:space="preserve">ISR1-USA1 </v>
      </c>
      <c r="AV514" s="157" t="str">
        <f t="shared" si="340"/>
        <v>JUNIORS A MALE</v>
      </c>
      <c r="AW514" s="157" t="str">
        <f t="shared" si="341"/>
        <v>Flag Football</v>
      </c>
      <c r="AX514" s="376">
        <f t="shared" si="342"/>
        <v>512</v>
      </c>
      <c r="AY514" s="148" t="str">
        <f t="shared" si="343"/>
        <v>JR A M - ISR 1-&gt;JR A M - USA 1</v>
      </c>
      <c r="AZ514" s="148" t="str">
        <f t="shared" si="344"/>
        <v>11/23/2017 13:00-&gt;JR A M - ISR 1</v>
      </c>
      <c r="BA514" s="148" t="str">
        <f t="shared" si="345"/>
        <v>11/23/2017 13:00-&gt;JR A M - USA 1</v>
      </c>
      <c r="BB514" s="374">
        <f t="shared" si="346"/>
        <v>1</v>
      </c>
      <c r="BC514" s="374">
        <f t="shared" si="347"/>
        <v>1</v>
      </c>
      <c r="BD514" s="148" t="str">
        <f t="shared" si="348"/>
        <v>no conflict</v>
      </c>
      <c r="BF514" s="148" t="str">
        <f t="shared" si="349"/>
        <v>11/23/2017 13:00-&gt;JR A M - ISR 1</v>
      </c>
      <c r="BG514" s="148" t="str">
        <f t="shared" si="350"/>
        <v>11/23/2017 13:00-&gt;JR A M - USA 1</v>
      </c>
      <c r="BH514" s="148" t="str">
        <f t="shared" si="351"/>
        <v>11/23/2017 13:00-&gt;Hillel - Field 1</v>
      </c>
      <c r="BI514" s="148" t="str">
        <f t="shared" si="352"/>
        <v>Flag Football in Hillel - Field 1 (ISR1-USA1)</v>
      </c>
      <c r="BJ514" s="148" t="str">
        <f t="shared" si="353"/>
        <v>Junior A Male Flag Football-- JR A M - ISR 1 vs. JR A M - USA 1</v>
      </c>
      <c r="BK514" s="148" t="str">
        <f t="shared" si="354"/>
        <v>Flag Football</v>
      </c>
      <c r="BL514" s="148" t="str">
        <f t="shared" si="355"/>
        <v>JR A M - ISR 1</v>
      </c>
      <c r="BM514" s="148" t="str">
        <f t="shared" si="356"/>
        <v>JR A M - USA 1</v>
      </c>
      <c r="BN514" s="148" t="str">
        <f t="shared" si="357"/>
        <v>Round - 1</v>
      </c>
      <c r="BP514" s="148" t="str">
        <f t="shared" si="358"/>
        <v>no t, f, or sf</v>
      </c>
      <c r="BQ514" s="148" t="str">
        <f t="shared" si="359"/>
        <v/>
      </c>
    </row>
    <row r="515" spans="1:69" ht="15" customHeight="1" x14ac:dyDescent="0.2">
      <c r="A515" s="376">
        <v>513</v>
      </c>
      <c r="B515" s="444" t="s">
        <v>73</v>
      </c>
      <c r="C515" s="444" t="s">
        <v>518</v>
      </c>
      <c r="D515" s="451">
        <v>1</v>
      </c>
      <c r="E515" s="451">
        <v>1</v>
      </c>
      <c r="F515" s="315" t="s">
        <v>770</v>
      </c>
      <c r="G515" s="445">
        <v>43062</v>
      </c>
      <c r="H515" s="317">
        <v>0.57638888888888895</v>
      </c>
      <c r="I515" s="325" t="s">
        <v>770</v>
      </c>
      <c r="J515" s="444" t="s">
        <v>703</v>
      </c>
      <c r="K515" s="444">
        <v>61</v>
      </c>
      <c r="L515" s="433" t="s">
        <v>719</v>
      </c>
      <c r="M515" s="433">
        <v>61</v>
      </c>
      <c r="N515" s="433" t="s">
        <v>643</v>
      </c>
      <c r="O515" s="153" t="str">
        <f>IF(L515&lt;&gt;"",IFERROR(VLOOKUP(B515&amp;L515,Pools!$A$2:$D$130,3,FALSE),""),"")</f>
        <v/>
      </c>
      <c r="P515" s="388">
        <v>25</v>
      </c>
      <c r="Q515" s="388">
        <v>19</v>
      </c>
      <c r="R515" s="306" t="str">
        <f t="shared" si="315"/>
        <v>25-19</v>
      </c>
      <c r="S515" s="153"/>
      <c r="T515" s="148" t="str">
        <f t="shared" si="316"/>
        <v>Completed</v>
      </c>
      <c r="U515" s="153"/>
      <c r="V515" s="153"/>
      <c r="W515" s="387">
        <f t="shared" si="317"/>
        <v>6</v>
      </c>
      <c r="X515" s="387">
        <f t="shared" si="318"/>
        <v>-6</v>
      </c>
      <c r="Y515" s="301">
        <f t="shared" si="319"/>
        <v>2</v>
      </c>
      <c r="Z515" s="301">
        <f t="shared" si="320"/>
        <v>0</v>
      </c>
      <c r="AA515" s="323" t="str">
        <f>CONCATENATE("                x[team1,team2,sport,'",IF(OR(I515="x",I515=""),VLOOKUP('Schedule from TM'!J515,Tables!$P$3:$Q$33,2,FALSE),'Schedule from TM'!I515),",",J515,"','",IF(OR(F515="x",F515=""),VLOOKUP('Schedule from TM'!G515,Tables!$U$3:$V$14,2,FALSE),'Schedule from TM'!F515),",",TEXT(G515,"mm/dd/yyyy"),"','",TEXT(H515,"h:mm:ss AM/PM"),"'].ub=0.0      #",B515)</f>
        <v xml:space="preserve">                x[team1,team2,sport,'21,Hillel - Field 1','11,11/23/2017','1:50:00 PM'].ub=0.0      #Junior A Male Flag Football</v>
      </c>
      <c r="AB515" s="301" t="str">
        <f t="shared" si="321"/>
        <v>,,Junior A Male Flag Football,,1,JR A M - MEX 1</v>
      </c>
      <c r="AC515" s="153" t="str">
        <f t="shared" si="322"/>
        <v>Junior A Male Flag FootballJR A M - MEX 1</v>
      </c>
      <c r="AD515" s="301" t="str">
        <f t="shared" si="323"/>
        <v>,,Junior A Male Flag Football,,1,JR A M - USA 2</v>
      </c>
      <c r="AE515" s="153" t="str">
        <f t="shared" si="324"/>
        <v>Junior A Male Flag FootballJR A M - USA 2</v>
      </c>
      <c r="AF515" s="383">
        <f t="shared" si="325"/>
        <v>1</v>
      </c>
      <c r="AG515" s="383">
        <f t="shared" si="326"/>
        <v>0</v>
      </c>
      <c r="AH515" s="383">
        <f t="shared" si="327"/>
        <v>0</v>
      </c>
      <c r="AI515" s="383">
        <f t="shared" si="328"/>
        <v>0</v>
      </c>
      <c r="AJ515" s="383">
        <f t="shared" si="329"/>
        <v>1</v>
      </c>
      <c r="AK515" s="383">
        <f t="shared" si="330"/>
        <v>0</v>
      </c>
      <c r="AM515" s="148" t="str">
        <f t="shared" si="331"/>
        <v>Schedulled</v>
      </c>
      <c r="AN515" s="148" t="str">
        <f t="shared" si="332"/>
        <v/>
      </c>
      <c r="AO515" s="156">
        <f t="shared" si="333"/>
        <v>43062.576388888891</v>
      </c>
      <c r="AP515" s="148" t="str">
        <f t="shared" si="334"/>
        <v>11/23/2017 13:50-&gt;Hillel - Field 1</v>
      </c>
      <c r="AQ515" s="374">
        <f t="shared" si="335"/>
        <v>1</v>
      </c>
      <c r="AR515" s="148" t="str">
        <f t="shared" si="336"/>
        <v>MEX1</v>
      </c>
      <c r="AS515" s="148" t="str">
        <f t="shared" si="337"/>
        <v>USA2</v>
      </c>
      <c r="AT515" s="157" t="str">
        <f t="shared" si="338"/>
        <v>MEX1-USA2</v>
      </c>
      <c r="AU515" s="157" t="str">
        <f t="shared" si="339"/>
        <v xml:space="preserve">MEX1-USA2 </v>
      </c>
      <c r="AV515" s="157" t="str">
        <f t="shared" si="340"/>
        <v>JUNIORS A MALE</v>
      </c>
      <c r="AW515" s="157" t="str">
        <f t="shared" si="341"/>
        <v>Flag Football</v>
      </c>
      <c r="AX515" s="376">
        <f t="shared" si="342"/>
        <v>513</v>
      </c>
      <c r="AY515" s="148" t="str">
        <f t="shared" si="343"/>
        <v>JR A M - MEX 1-&gt;JR A M - USA 2</v>
      </c>
      <c r="AZ515" s="148" t="str">
        <f t="shared" si="344"/>
        <v>11/23/2017 13:50-&gt;JR A M - MEX 1</v>
      </c>
      <c r="BA515" s="148" t="str">
        <f t="shared" si="345"/>
        <v>11/23/2017 13:50-&gt;JR A M - USA 2</v>
      </c>
      <c r="BB515" s="374">
        <f t="shared" si="346"/>
        <v>1</v>
      </c>
      <c r="BC515" s="374">
        <f t="shared" si="347"/>
        <v>1</v>
      </c>
      <c r="BD515" s="148" t="str">
        <f t="shared" si="348"/>
        <v>no conflict</v>
      </c>
      <c r="BF515" s="148" t="str">
        <f t="shared" si="349"/>
        <v>11/23/2017 13:50-&gt;JR A M - MEX 1</v>
      </c>
      <c r="BG515" s="148" t="str">
        <f t="shared" si="350"/>
        <v>11/23/2017 13:50-&gt;JR A M - USA 2</v>
      </c>
      <c r="BH515" s="148" t="str">
        <f t="shared" si="351"/>
        <v>11/23/2017 13:50-&gt;Hillel - Field 1</v>
      </c>
      <c r="BI515" s="148" t="str">
        <f t="shared" si="352"/>
        <v>Flag Football in Hillel - Field 1 (MEX1-USA2)</v>
      </c>
      <c r="BJ515" s="148" t="str">
        <f t="shared" si="353"/>
        <v>Junior A Male Flag Football-- JR A M - MEX 1 vs. JR A M - USA 2</v>
      </c>
      <c r="BK515" s="148" t="str">
        <f t="shared" si="354"/>
        <v>Flag Football</v>
      </c>
      <c r="BL515" s="148" t="str">
        <f t="shared" si="355"/>
        <v>JR A M - MEX 1</v>
      </c>
      <c r="BM515" s="148" t="str">
        <f t="shared" si="356"/>
        <v>JR A M - USA 2</v>
      </c>
      <c r="BN515" s="148" t="str">
        <f t="shared" si="357"/>
        <v>Round - 1</v>
      </c>
      <c r="BP515" s="148" t="str">
        <f t="shared" si="358"/>
        <v>no t, f, or sf</v>
      </c>
      <c r="BQ515" s="148" t="str">
        <f t="shared" si="359"/>
        <v/>
      </c>
    </row>
    <row r="516" spans="1:69" ht="15" customHeight="1" x14ac:dyDescent="0.2">
      <c r="A516" s="376">
        <v>514</v>
      </c>
      <c r="B516" s="441" t="s">
        <v>73</v>
      </c>
      <c r="C516" s="441" t="s">
        <v>518</v>
      </c>
      <c r="D516" s="450">
        <v>1</v>
      </c>
      <c r="E516" s="450">
        <v>1</v>
      </c>
      <c r="F516" s="315" t="s">
        <v>770</v>
      </c>
      <c r="G516" s="320">
        <v>43062</v>
      </c>
      <c r="H516" s="317">
        <v>0.64583333333333337</v>
      </c>
      <c r="I516" s="325" t="s">
        <v>770</v>
      </c>
      <c r="J516" s="441" t="s">
        <v>703</v>
      </c>
      <c r="K516" s="441">
        <v>61</v>
      </c>
      <c r="L516" s="433" t="s">
        <v>719</v>
      </c>
      <c r="M516" s="433">
        <v>61</v>
      </c>
      <c r="N516" s="433" t="s">
        <v>645</v>
      </c>
      <c r="O516" s="153" t="str">
        <f>IF(L516&lt;&gt;"",IFERROR(VLOOKUP(B516&amp;L516,Pools!$A$2:$D$130,3,FALSE),""),"")</f>
        <v/>
      </c>
      <c r="P516" s="388">
        <v>34</v>
      </c>
      <c r="Q516" s="388">
        <v>32</v>
      </c>
      <c r="R516" s="306" t="str">
        <f t="shared" si="315"/>
        <v>34-32</v>
      </c>
      <c r="S516" s="153"/>
      <c r="T516" s="148" t="str">
        <f t="shared" si="316"/>
        <v>Completed</v>
      </c>
      <c r="U516" s="153"/>
      <c r="V516" s="153"/>
      <c r="W516" s="387">
        <f t="shared" si="317"/>
        <v>2</v>
      </c>
      <c r="X516" s="387">
        <f t="shared" si="318"/>
        <v>-2</v>
      </c>
      <c r="Y516" s="301">
        <f t="shared" si="319"/>
        <v>2</v>
      </c>
      <c r="Z516" s="301">
        <f t="shared" si="320"/>
        <v>0</v>
      </c>
      <c r="AA516" s="323" t="str">
        <f>CONCATENATE("                x[team1,team2,sport,'",IF(OR(I516="x",I516=""),VLOOKUP('Schedule from TM'!J516,Tables!$P$3:$Q$33,2,FALSE),'Schedule from TM'!I516),",",J516,"','",IF(OR(F516="x",F516=""),VLOOKUP('Schedule from TM'!G516,Tables!$U$3:$V$14,2,FALSE),'Schedule from TM'!F516),",",TEXT(G516,"mm/dd/yyyy"),"','",TEXT(H516,"h:mm:ss AM/PM"),"'].ub=0.0      #",B516)</f>
        <v xml:space="preserve">                x[team1,team2,sport,'21,Hillel - Field 1','11,11/23/2017','3:30:00 PM'].ub=0.0      #Junior A Male Flag Football</v>
      </c>
      <c r="AB516" s="301" t="str">
        <f t="shared" si="321"/>
        <v>,,Junior A Male Flag Football,,1,JR A M - MEX 1</v>
      </c>
      <c r="AC516" s="153" t="str">
        <f t="shared" si="322"/>
        <v>Junior A Male Flag FootballJR A M - MEX 1</v>
      </c>
      <c r="AD516" s="301" t="str">
        <f t="shared" si="323"/>
        <v>,,Junior A Male Flag Football,,1,JR A M - VEN 1</v>
      </c>
      <c r="AE516" s="153" t="str">
        <f t="shared" si="324"/>
        <v>Junior A Male Flag FootballJR A M - VEN 1</v>
      </c>
      <c r="AF516" s="383">
        <f t="shared" si="325"/>
        <v>1</v>
      </c>
      <c r="AG516" s="383">
        <f t="shared" si="326"/>
        <v>0</v>
      </c>
      <c r="AH516" s="383">
        <f t="shared" si="327"/>
        <v>0</v>
      </c>
      <c r="AI516" s="383">
        <f t="shared" si="328"/>
        <v>0</v>
      </c>
      <c r="AJ516" s="383">
        <f t="shared" si="329"/>
        <v>1</v>
      </c>
      <c r="AK516" s="383">
        <f t="shared" si="330"/>
        <v>0</v>
      </c>
      <c r="AM516" s="148" t="str">
        <f t="shared" si="331"/>
        <v>Schedulled</v>
      </c>
      <c r="AN516" s="148" t="str">
        <f t="shared" si="332"/>
        <v/>
      </c>
      <c r="AO516" s="156">
        <f t="shared" si="333"/>
        <v>43062.645833333336</v>
      </c>
      <c r="AP516" s="148" t="str">
        <f t="shared" si="334"/>
        <v>11/23/2017 15:30-&gt;Hillel - Field 1</v>
      </c>
      <c r="AQ516" s="374">
        <f t="shared" si="335"/>
        <v>1</v>
      </c>
      <c r="AR516" s="148" t="str">
        <f t="shared" si="336"/>
        <v>MEX1</v>
      </c>
      <c r="AS516" s="148" t="str">
        <f t="shared" si="337"/>
        <v>VEN1</v>
      </c>
      <c r="AT516" s="157" t="str">
        <f t="shared" si="338"/>
        <v>MEX1-VEN1</v>
      </c>
      <c r="AU516" s="157" t="str">
        <f t="shared" si="339"/>
        <v xml:space="preserve">MEX1-VEN1 </v>
      </c>
      <c r="AV516" s="157" t="str">
        <f t="shared" si="340"/>
        <v>JUNIORS A MALE</v>
      </c>
      <c r="AW516" s="157" t="str">
        <f t="shared" si="341"/>
        <v>Flag Football</v>
      </c>
      <c r="AX516" s="376">
        <f t="shared" si="342"/>
        <v>514</v>
      </c>
      <c r="AY516" s="148" t="str">
        <f t="shared" si="343"/>
        <v>JR A M - MEX 1-&gt;JR A M - VEN 1</v>
      </c>
      <c r="AZ516" s="148" t="str">
        <f t="shared" si="344"/>
        <v>11/23/2017 15:30-&gt;JR A M - MEX 1</v>
      </c>
      <c r="BA516" s="148" t="str">
        <f t="shared" si="345"/>
        <v>11/23/2017 15:30-&gt;JR A M - VEN 1</v>
      </c>
      <c r="BB516" s="374">
        <f t="shared" si="346"/>
        <v>1</v>
      </c>
      <c r="BC516" s="374">
        <f t="shared" si="347"/>
        <v>1</v>
      </c>
      <c r="BD516" s="148" t="str">
        <f t="shared" si="348"/>
        <v>no conflict</v>
      </c>
      <c r="BF516" s="148" t="str">
        <f t="shared" si="349"/>
        <v>11/23/2017 15:30-&gt;JR A M - MEX 1</v>
      </c>
      <c r="BG516" s="148" t="str">
        <f t="shared" si="350"/>
        <v>11/23/2017 15:30-&gt;JR A M - VEN 1</v>
      </c>
      <c r="BH516" s="148" t="str">
        <f t="shared" si="351"/>
        <v>11/23/2017 15:30-&gt;Hillel - Field 1</v>
      </c>
      <c r="BI516" s="148" t="str">
        <f t="shared" si="352"/>
        <v>Flag Football in Hillel - Field 1 (MEX1-VEN1)</v>
      </c>
      <c r="BJ516" s="148" t="str">
        <f t="shared" si="353"/>
        <v>Junior A Male Flag Football-- JR A M - MEX 1 vs. JR A M - VEN 1</v>
      </c>
      <c r="BK516" s="148" t="str">
        <f t="shared" si="354"/>
        <v>Flag Football</v>
      </c>
      <c r="BL516" s="148" t="str">
        <f t="shared" si="355"/>
        <v>JR A M - MEX 1</v>
      </c>
      <c r="BM516" s="148" t="str">
        <f t="shared" si="356"/>
        <v>JR A M - VEN 1</v>
      </c>
      <c r="BN516" s="148" t="str">
        <f t="shared" si="357"/>
        <v>Round - 1</v>
      </c>
      <c r="BP516" s="148" t="str">
        <f t="shared" si="358"/>
        <v>no t, f, or sf</v>
      </c>
      <c r="BQ516" s="148" t="str">
        <f t="shared" si="359"/>
        <v/>
      </c>
    </row>
    <row r="517" spans="1:69" ht="15" customHeight="1" x14ac:dyDescent="0.2">
      <c r="A517" s="376">
        <v>515</v>
      </c>
      <c r="B517" s="319" t="s">
        <v>73</v>
      </c>
      <c r="C517" s="319" t="s">
        <v>518</v>
      </c>
      <c r="D517" s="376">
        <v>1</v>
      </c>
      <c r="E517" s="376">
        <v>1</v>
      </c>
      <c r="F517" s="315" t="s">
        <v>770</v>
      </c>
      <c r="G517" s="320">
        <v>43062</v>
      </c>
      <c r="H517" s="317">
        <v>0.68055555555555547</v>
      </c>
      <c r="I517" s="325" t="s">
        <v>770</v>
      </c>
      <c r="J517" s="328" t="s">
        <v>704</v>
      </c>
      <c r="K517" s="319">
        <v>61</v>
      </c>
      <c r="L517" s="319" t="s">
        <v>642</v>
      </c>
      <c r="M517" s="319">
        <v>61</v>
      </c>
      <c r="N517" s="319" t="s">
        <v>643</v>
      </c>
      <c r="O517" s="153" t="str">
        <f>IF(L517&lt;&gt;"",IFERROR(VLOOKUP(B517&amp;L517,Pools!$A$2:$D$130,3,FALSE),""),"")</f>
        <v/>
      </c>
      <c r="P517" s="388">
        <v>37</v>
      </c>
      <c r="Q517" s="388">
        <v>30</v>
      </c>
      <c r="R517" s="306" t="str">
        <f t="shared" si="315"/>
        <v>37-30</v>
      </c>
      <c r="S517" s="153"/>
      <c r="T517" s="148" t="str">
        <f t="shared" si="316"/>
        <v>Completed</v>
      </c>
      <c r="U517" s="153"/>
      <c r="V517" s="153"/>
      <c r="W517" s="387">
        <f t="shared" si="317"/>
        <v>7</v>
      </c>
      <c r="X517" s="387">
        <f t="shared" si="318"/>
        <v>-7</v>
      </c>
      <c r="Y517" s="301">
        <f t="shared" si="319"/>
        <v>2</v>
      </c>
      <c r="Z517" s="301">
        <f t="shared" si="320"/>
        <v>0</v>
      </c>
      <c r="AA517" s="323" t="str">
        <f>CONCATENATE("                x[team1,team2,sport,'",IF(OR(I517="x",I517=""),VLOOKUP('Schedule from TM'!J517,Tables!$P$3:$Q$33,2,FALSE),'Schedule from TM'!I517),",",J517,"','",IF(OR(F517="x",F517=""),VLOOKUP('Schedule from TM'!G517,Tables!$U$3:$V$14,2,FALSE),'Schedule from TM'!F517),",",TEXT(G517,"mm/dd/yyyy"),"','",TEXT(H517,"h:mm:ss AM/PM"),"'].ub=0.0      #",B517)</f>
        <v xml:space="preserve">                x[team1,team2,sport,'21,Hillel - Field 2','11,11/23/2017','4:20:00 PM'].ub=0.0      #Junior A Male Flag Football</v>
      </c>
      <c r="AB517" s="301" t="str">
        <f t="shared" si="321"/>
        <v>,,Junior A Male Flag Football,,1,JR A M - USA 1</v>
      </c>
      <c r="AC517" s="153" t="str">
        <f t="shared" si="322"/>
        <v>Junior A Male Flag FootballJR A M - USA 1</v>
      </c>
      <c r="AD517" s="301" t="str">
        <f t="shared" si="323"/>
        <v>,,Junior A Male Flag Football,,1,JR A M - USA 2</v>
      </c>
      <c r="AE517" s="153" t="str">
        <f t="shared" si="324"/>
        <v>Junior A Male Flag FootballJR A M - USA 2</v>
      </c>
      <c r="AF517" s="383">
        <f t="shared" si="325"/>
        <v>1</v>
      </c>
      <c r="AG517" s="383">
        <f t="shared" si="326"/>
        <v>0</v>
      </c>
      <c r="AH517" s="383">
        <f t="shared" si="327"/>
        <v>0</v>
      </c>
      <c r="AI517" s="383">
        <f t="shared" si="328"/>
        <v>0</v>
      </c>
      <c r="AJ517" s="383">
        <f t="shared" si="329"/>
        <v>1</v>
      </c>
      <c r="AK517" s="383">
        <f t="shared" si="330"/>
        <v>0</v>
      </c>
      <c r="AM517" s="148" t="str">
        <f t="shared" si="331"/>
        <v>Schedulled</v>
      </c>
      <c r="AN517" s="148" t="str">
        <f t="shared" si="332"/>
        <v/>
      </c>
      <c r="AO517" s="156">
        <f t="shared" si="333"/>
        <v>43062.680555555555</v>
      </c>
      <c r="AP517" s="148" t="str">
        <f t="shared" si="334"/>
        <v>11/23/2017 16:20-&gt;Hillel - Field 2</v>
      </c>
      <c r="AQ517" s="374">
        <f t="shared" si="335"/>
        <v>1</v>
      </c>
      <c r="AR517" s="148" t="str">
        <f t="shared" si="336"/>
        <v>USA1</v>
      </c>
      <c r="AS517" s="148" t="str">
        <f t="shared" si="337"/>
        <v>USA2</v>
      </c>
      <c r="AT517" s="157" t="str">
        <f t="shared" si="338"/>
        <v>USA1-USA2</v>
      </c>
      <c r="AU517" s="157" t="str">
        <f t="shared" si="339"/>
        <v xml:space="preserve">USA1-USA2 </v>
      </c>
      <c r="AV517" s="157" t="str">
        <f t="shared" si="340"/>
        <v>JUNIORS A MALE</v>
      </c>
      <c r="AW517" s="157" t="str">
        <f t="shared" si="341"/>
        <v>Flag Football</v>
      </c>
      <c r="AX517" s="376">
        <f t="shared" si="342"/>
        <v>515</v>
      </c>
      <c r="AY517" s="148" t="str">
        <f t="shared" si="343"/>
        <v>JR A M - USA 1-&gt;JR A M - USA 2</v>
      </c>
      <c r="AZ517" s="148" t="str">
        <f t="shared" si="344"/>
        <v>11/23/2017 16:20-&gt;JR A M - USA 1</v>
      </c>
      <c r="BA517" s="148" t="str">
        <f t="shared" si="345"/>
        <v>11/23/2017 16:20-&gt;JR A M - USA 2</v>
      </c>
      <c r="BB517" s="374">
        <f t="shared" si="346"/>
        <v>1</v>
      </c>
      <c r="BC517" s="374">
        <f t="shared" si="347"/>
        <v>1</v>
      </c>
      <c r="BD517" s="148" t="str">
        <f t="shared" si="348"/>
        <v>no conflict</v>
      </c>
      <c r="BF517" s="148" t="str">
        <f t="shared" si="349"/>
        <v>11/23/2017 16:20-&gt;JR A M - USA 1</v>
      </c>
      <c r="BG517" s="148" t="str">
        <f t="shared" si="350"/>
        <v>11/23/2017 16:20-&gt;JR A M - USA 2</v>
      </c>
      <c r="BH517" s="148" t="str">
        <f t="shared" si="351"/>
        <v>11/23/2017 16:20-&gt;Hillel - Field 2</v>
      </c>
      <c r="BI517" s="148" t="str">
        <f t="shared" si="352"/>
        <v>Flag Football in Hillel - Field 2 (USA1-USA2)</v>
      </c>
      <c r="BJ517" s="148" t="str">
        <f t="shared" si="353"/>
        <v>Junior A Male Flag Football-- JR A M - USA 1 vs. JR A M - USA 2</v>
      </c>
      <c r="BK517" s="148" t="str">
        <f t="shared" si="354"/>
        <v>Flag Football</v>
      </c>
      <c r="BL517" s="148" t="str">
        <f t="shared" si="355"/>
        <v>JR A M - USA 1</v>
      </c>
      <c r="BM517" s="148" t="str">
        <f t="shared" si="356"/>
        <v>JR A M - USA 2</v>
      </c>
      <c r="BN517" s="148" t="str">
        <f t="shared" si="357"/>
        <v>Round - 1</v>
      </c>
      <c r="BP517" s="148" t="str">
        <f t="shared" si="358"/>
        <v>no t, f, or sf</v>
      </c>
      <c r="BQ517" s="148" t="str">
        <f t="shared" si="359"/>
        <v/>
      </c>
    </row>
    <row r="518" spans="1:69" ht="15" customHeight="1" x14ac:dyDescent="0.2">
      <c r="A518" s="376">
        <v>516</v>
      </c>
      <c r="B518" s="444" t="s">
        <v>73</v>
      </c>
      <c r="C518" s="444" t="s">
        <v>518</v>
      </c>
      <c r="D518" s="451">
        <v>1</v>
      </c>
      <c r="E518" s="451">
        <v>1</v>
      </c>
      <c r="F518" s="315" t="s">
        <v>770</v>
      </c>
      <c r="G518" s="445">
        <v>43063</v>
      </c>
      <c r="H518" s="454">
        <v>0.64583333333333337</v>
      </c>
      <c r="I518" s="325" t="s">
        <v>770</v>
      </c>
      <c r="J518" s="444" t="s">
        <v>704</v>
      </c>
      <c r="K518" s="444">
        <v>61</v>
      </c>
      <c r="L518" s="433" t="s">
        <v>639</v>
      </c>
      <c r="M518" s="433">
        <v>61</v>
      </c>
      <c r="N518" s="433" t="s">
        <v>644</v>
      </c>
      <c r="O518" s="153" t="str">
        <f>IF(L518&lt;&gt;"",IFERROR(VLOOKUP(B518&amp;L518,Pools!$A$2:$D$130,3,FALSE),""),"")</f>
        <v/>
      </c>
      <c r="P518" s="388">
        <v>14</v>
      </c>
      <c r="Q518" s="388">
        <v>26</v>
      </c>
      <c r="R518" s="306" t="str">
        <f t="shared" si="315"/>
        <v>14-26</v>
      </c>
      <c r="S518" s="153"/>
      <c r="T518" s="148" t="str">
        <f t="shared" si="316"/>
        <v>Completed</v>
      </c>
      <c r="U518" s="153"/>
      <c r="V518" s="153"/>
      <c r="W518" s="387">
        <f t="shared" si="317"/>
        <v>-12</v>
      </c>
      <c r="X518" s="387">
        <f t="shared" si="318"/>
        <v>12</v>
      </c>
      <c r="Y518" s="301">
        <f t="shared" si="319"/>
        <v>0</v>
      </c>
      <c r="Z518" s="301">
        <f t="shared" si="320"/>
        <v>2</v>
      </c>
      <c r="AA518" s="323" t="str">
        <f>CONCATENATE("                x[team1,team2,sport,'",IF(OR(I518="x",I518=""),VLOOKUP('Schedule from TM'!J518,Tables!$P$3:$Q$33,2,FALSE),'Schedule from TM'!I518),",",J518,"','",IF(OR(F518="x",F518=""),VLOOKUP('Schedule from TM'!G518,Tables!$U$3:$V$14,2,FALSE),'Schedule from TM'!F518),",",TEXT(G518,"mm/dd/yyyy"),"','",TEXT(H518,"h:mm:ss AM/PM"),"'].ub=0.0      #",B518)</f>
        <v xml:space="preserve">                x[team1,team2,sport,'21,Hillel - Field 2','11,11/24/2017','3:30:00 PM'].ub=0.0      #Junior A Male Flag Football</v>
      </c>
      <c r="AB518" s="301" t="str">
        <f t="shared" si="321"/>
        <v>,,Junior A Male Flag Football,,1,JR A M - COL 1</v>
      </c>
      <c r="AC518" s="153" t="str">
        <f t="shared" si="322"/>
        <v>Junior A Male Flag FootballJR A M - COL 1</v>
      </c>
      <c r="AD518" s="301" t="str">
        <f t="shared" si="323"/>
        <v>,,Junior A Male Flag Football,,1,JR A M - ISR 1</v>
      </c>
      <c r="AE518" s="153" t="str">
        <f t="shared" si="324"/>
        <v>Junior A Male Flag FootballJR A M - ISR 1</v>
      </c>
      <c r="AF518" s="383">
        <f t="shared" si="325"/>
        <v>0</v>
      </c>
      <c r="AG518" s="383">
        <f t="shared" si="326"/>
        <v>1</v>
      </c>
      <c r="AH518" s="383">
        <f t="shared" si="327"/>
        <v>0</v>
      </c>
      <c r="AI518" s="383">
        <f t="shared" si="328"/>
        <v>1</v>
      </c>
      <c r="AJ518" s="383">
        <f t="shared" si="329"/>
        <v>0</v>
      </c>
      <c r="AK518" s="383">
        <f t="shared" si="330"/>
        <v>0</v>
      </c>
      <c r="AM518" s="148" t="str">
        <f t="shared" si="331"/>
        <v>Schedulled</v>
      </c>
      <c r="AN518" s="148" t="str">
        <f t="shared" si="332"/>
        <v/>
      </c>
      <c r="AO518" s="156">
        <f t="shared" si="333"/>
        <v>43063.645833333336</v>
      </c>
      <c r="AP518" s="148" t="str">
        <f t="shared" si="334"/>
        <v>11/24/2017 15:30-&gt;Hillel - Field 2</v>
      </c>
      <c r="AQ518" s="374">
        <f t="shared" si="335"/>
        <v>1</v>
      </c>
      <c r="AR518" s="148" t="str">
        <f t="shared" si="336"/>
        <v>COL1</v>
      </c>
      <c r="AS518" s="148" t="str">
        <f t="shared" si="337"/>
        <v>ISR1</v>
      </c>
      <c r="AT518" s="157" t="str">
        <f t="shared" si="338"/>
        <v>COL1-ISR1</v>
      </c>
      <c r="AU518" s="157" t="str">
        <f t="shared" si="339"/>
        <v xml:space="preserve">COL1-ISR1 </v>
      </c>
      <c r="AV518" s="157" t="str">
        <f t="shared" si="340"/>
        <v>JUNIORS A MALE</v>
      </c>
      <c r="AW518" s="157" t="str">
        <f t="shared" si="341"/>
        <v>Flag Football</v>
      </c>
      <c r="AX518" s="376">
        <f t="shared" si="342"/>
        <v>516</v>
      </c>
      <c r="AY518" s="148" t="str">
        <f t="shared" si="343"/>
        <v>JR A M - COL 1-&gt;JR A M - ISR 1</v>
      </c>
      <c r="AZ518" s="148" t="str">
        <f t="shared" si="344"/>
        <v>11/24/2017 15:30-&gt;JR A M - COL 1</v>
      </c>
      <c r="BA518" s="148" t="str">
        <f t="shared" si="345"/>
        <v>11/24/2017 15:30-&gt;JR A M - ISR 1</v>
      </c>
      <c r="BB518" s="374">
        <f t="shared" si="346"/>
        <v>1</v>
      </c>
      <c r="BC518" s="374">
        <f t="shared" si="347"/>
        <v>1</v>
      </c>
      <c r="BD518" s="148" t="str">
        <f t="shared" si="348"/>
        <v>no conflict</v>
      </c>
      <c r="BF518" s="148" t="str">
        <f t="shared" si="349"/>
        <v>11/24/2017 15:30-&gt;JR A M - COL 1</v>
      </c>
      <c r="BG518" s="148" t="str">
        <f t="shared" si="350"/>
        <v>11/24/2017 15:30-&gt;JR A M - ISR 1</v>
      </c>
      <c r="BH518" s="148" t="str">
        <f t="shared" si="351"/>
        <v>11/24/2017 15:30-&gt;Hillel - Field 2</v>
      </c>
      <c r="BI518" s="148" t="str">
        <f t="shared" si="352"/>
        <v>Flag Football in Hillel - Field 2 (COL1-ISR1)</v>
      </c>
      <c r="BJ518" s="148" t="str">
        <f t="shared" si="353"/>
        <v>Junior A Male Flag Football-- JR A M - COL 1 vs. JR A M - ISR 1</v>
      </c>
      <c r="BK518" s="148" t="str">
        <f t="shared" si="354"/>
        <v>Flag Football</v>
      </c>
      <c r="BL518" s="148" t="str">
        <f t="shared" si="355"/>
        <v>JR A M - COL 1</v>
      </c>
      <c r="BM518" s="148" t="str">
        <f t="shared" si="356"/>
        <v>JR A M - ISR 1</v>
      </c>
      <c r="BN518" s="148" t="str">
        <f t="shared" si="357"/>
        <v>Round - 1</v>
      </c>
      <c r="BP518" s="148" t="str">
        <f t="shared" si="358"/>
        <v>no t, f, or sf</v>
      </c>
      <c r="BQ518" s="148" t="str">
        <f t="shared" si="359"/>
        <v/>
      </c>
    </row>
    <row r="519" spans="1:69" ht="15" customHeight="1" x14ac:dyDescent="0.2">
      <c r="A519" s="376">
        <v>517</v>
      </c>
      <c r="B519" s="329" t="s">
        <v>73</v>
      </c>
      <c r="C519" s="329" t="s">
        <v>518</v>
      </c>
      <c r="D519" s="379">
        <v>1</v>
      </c>
      <c r="E519" s="379">
        <v>1</v>
      </c>
      <c r="F519" s="315" t="s">
        <v>770</v>
      </c>
      <c r="G519" s="330">
        <v>43063</v>
      </c>
      <c r="H519" s="454">
        <v>0.64583333333333337</v>
      </c>
      <c r="I519" s="325" t="s">
        <v>770</v>
      </c>
      <c r="J519" s="329" t="s">
        <v>705</v>
      </c>
      <c r="K519" s="329">
        <v>61</v>
      </c>
      <c r="L519" s="329" t="s">
        <v>642</v>
      </c>
      <c r="M519" s="329">
        <v>61</v>
      </c>
      <c r="N519" s="329" t="s">
        <v>645</v>
      </c>
      <c r="O519" s="153" t="str">
        <f>IF(L519&lt;&gt;"",IFERROR(VLOOKUP(B519&amp;L519,Pools!$A$2:$D$130,3,FALSE),""),"")</f>
        <v/>
      </c>
      <c r="P519" s="388">
        <v>29</v>
      </c>
      <c r="Q519" s="388">
        <v>8</v>
      </c>
      <c r="R519" s="306" t="str">
        <f t="shared" si="315"/>
        <v>29-8</v>
      </c>
      <c r="S519" s="153"/>
      <c r="T519" s="148" t="str">
        <f t="shared" si="316"/>
        <v>Completed</v>
      </c>
      <c r="U519" s="153"/>
      <c r="V519" s="153"/>
      <c r="W519" s="387">
        <f t="shared" si="317"/>
        <v>21</v>
      </c>
      <c r="X519" s="387">
        <f t="shared" si="318"/>
        <v>-21</v>
      </c>
      <c r="Y519" s="301">
        <f t="shared" si="319"/>
        <v>2</v>
      </c>
      <c r="Z519" s="301">
        <f t="shared" si="320"/>
        <v>0</v>
      </c>
      <c r="AA519" s="323" t="str">
        <f>CONCATENATE("                x[team1,team2,sport,'",IF(OR(I519="x",I519=""),VLOOKUP('Schedule from TM'!J519,Tables!$P$3:$Q$33,2,FALSE),'Schedule from TM'!I519),",",J519,"','",IF(OR(F519="x",F519=""),VLOOKUP('Schedule from TM'!G519,Tables!$U$3:$V$14,2,FALSE),'Schedule from TM'!F519),",",TEXT(G519,"mm/dd/yyyy"),"','",TEXT(H519,"h:mm:ss AM/PM"),"'].ub=0.0      #",B519)</f>
        <v xml:space="preserve">                x[team1,team2,sport,'21,Hillel - Field 3','11,11/24/2017','3:30:00 PM'].ub=0.0      #Junior A Male Flag Football</v>
      </c>
      <c r="AB519" s="301" t="str">
        <f t="shared" si="321"/>
        <v>,,Junior A Male Flag Football,,1,JR A M - USA 1</v>
      </c>
      <c r="AC519" s="153" t="str">
        <f t="shared" si="322"/>
        <v>Junior A Male Flag FootballJR A M - USA 1</v>
      </c>
      <c r="AD519" s="301" t="str">
        <f t="shared" si="323"/>
        <v>,,Junior A Male Flag Football,,1,JR A M - VEN 1</v>
      </c>
      <c r="AE519" s="153" t="str">
        <f t="shared" si="324"/>
        <v>Junior A Male Flag FootballJR A M - VEN 1</v>
      </c>
      <c r="AF519" s="383">
        <f t="shared" si="325"/>
        <v>1</v>
      </c>
      <c r="AG519" s="383">
        <f t="shared" si="326"/>
        <v>0</v>
      </c>
      <c r="AH519" s="383">
        <f t="shared" si="327"/>
        <v>0</v>
      </c>
      <c r="AI519" s="383">
        <f t="shared" si="328"/>
        <v>0</v>
      </c>
      <c r="AJ519" s="383">
        <f t="shared" si="329"/>
        <v>1</v>
      </c>
      <c r="AK519" s="383">
        <f t="shared" si="330"/>
        <v>0</v>
      </c>
      <c r="AM519" s="148" t="str">
        <f t="shared" si="331"/>
        <v>Schedulled</v>
      </c>
      <c r="AN519" s="148" t="str">
        <f t="shared" si="332"/>
        <v/>
      </c>
      <c r="AO519" s="156">
        <f t="shared" si="333"/>
        <v>43063.645833333336</v>
      </c>
      <c r="AP519" s="148" t="str">
        <f t="shared" si="334"/>
        <v>11/24/2017 15:30-&gt;Hillel - Field 3</v>
      </c>
      <c r="AQ519" s="374">
        <f t="shared" si="335"/>
        <v>1</v>
      </c>
      <c r="AR519" s="148" t="str">
        <f t="shared" si="336"/>
        <v>USA1</v>
      </c>
      <c r="AS519" s="148" t="str">
        <f t="shared" si="337"/>
        <v>VEN1</v>
      </c>
      <c r="AT519" s="157" t="str">
        <f t="shared" si="338"/>
        <v>USA1-VEN1</v>
      </c>
      <c r="AU519" s="157" t="str">
        <f t="shared" si="339"/>
        <v xml:space="preserve">USA1-VEN1 </v>
      </c>
      <c r="AV519" s="157" t="str">
        <f t="shared" si="340"/>
        <v>JUNIORS A MALE</v>
      </c>
      <c r="AW519" s="157" t="str">
        <f t="shared" si="341"/>
        <v>Flag Football</v>
      </c>
      <c r="AX519" s="376">
        <f t="shared" si="342"/>
        <v>517</v>
      </c>
      <c r="AY519" s="148" t="str">
        <f t="shared" si="343"/>
        <v>JR A M - USA 1-&gt;JR A M - VEN 1</v>
      </c>
      <c r="AZ519" s="148" t="str">
        <f t="shared" si="344"/>
        <v>11/24/2017 15:30-&gt;JR A M - USA 1</v>
      </c>
      <c r="BA519" s="148" t="str">
        <f t="shared" si="345"/>
        <v>11/24/2017 15:30-&gt;JR A M - VEN 1</v>
      </c>
      <c r="BB519" s="374">
        <f t="shared" si="346"/>
        <v>1</v>
      </c>
      <c r="BC519" s="374">
        <f t="shared" si="347"/>
        <v>1</v>
      </c>
      <c r="BD519" s="148" t="str">
        <f t="shared" si="348"/>
        <v>no conflict</v>
      </c>
      <c r="BF519" s="148" t="str">
        <f t="shared" si="349"/>
        <v>11/24/2017 15:30-&gt;JR A M - USA 1</v>
      </c>
      <c r="BG519" s="148" t="str">
        <f t="shared" si="350"/>
        <v>11/24/2017 15:30-&gt;JR A M - VEN 1</v>
      </c>
      <c r="BH519" s="148" t="str">
        <f t="shared" si="351"/>
        <v>11/24/2017 15:30-&gt;Hillel - Field 3</v>
      </c>
      <c r="BI519" s="148" t="str">
        <f t="shared" si="352"/>
        <v>Flag Football in Hillel - Field 3 (USA1-VEN1)</v>
      </c>
      <c r="BJ519" s="148" t="str">
        <f t="shared" si="353"/>
        <v>Junior A Male Flag Football-- JR A M - USA 1 vs. JR A M - VEN 1</v>
      </c>
      <c r="BK519" s="148" t="str">
        <f t="shared" si="354"/>
        <v>Flag Football</v>
      </c>
      <c r="BL519" s="148" t="str">
        <f t="shared" si="355"/>
        <v>JR A M - USA 1</v>
      </c>
      <c r="BM519" s="148" t="str">
        <f t="shared" si="356"/>
        <v>JR A M - VEN 1</v>
      </c>
      <c r="BN519" s="148" t="str">
        <f t="shared" si="357"/>
        <v>Round - 1</v>
      </c>
      <c r="BP519" s="148" t="str">
        <f t="shared" si="358"/>
        <v>no t, f, or sf</v>
      </c>
      <c r="BQ519" s="148" t="str">
        <f t="shared" si="359"/>
        <v/>
      </c>
    </row>
    <row r="520" spans="1:69" ht="15" customHeight="1" x14ac:dyDescent="0.2">
      <c r="A520" s="376">
        <v>518</v>
      </c>
      <c r="B520" s="444" t="s">
        <v>71</v>
      </c>
      <c r="C520" s="444" t="s">
        <v>518</v>
      </c>
      <c r="D520" s="451">
        <v>1</v>
      </c>
      <c r="E520" s="451">
        <v>1</v>
      </c>
      <c r="F520" s="315" t="s">
        <v>770</v>
      </c>
      <c r="G520" s="445">
        <v>43058</v>
      </c>
      <c r="H520" s="318">
        <v>0.54166666666666663</v>
      </c>
      <c r="I520" s="325" t="s">
        <v>770</v>
      </c>
      <c r="J520" s="443" t="s">
        <v>692</v>
      </c>
      <c r="K520" s="444">
        <v>61</v>
      </c>
      <c r="L520" s="433" t="s">
        <v>637</v>
      </c>
      <c r="M520" s="433">
        <v>61</v>
      </c>
      <c r="N520" s="433" t="s">
        <v>643</v>
      </c>
      <c r="O520" s="153" t="str">
        <f>IF(L520&lt;&gt;"",IFERROR(VLOOKUP(B520&amp;L520,Pools!$A$2:$D$130,3,FALSE),""),"")</f>
        <v/>
      </c>
      <c r="P520" s="388">
        <v>3</v>
      </c>
      <c r="Q520" s="388">
        <v>2</v>
      </c>
      <c r="R520" s="306" t="str">
        <f t="shared" si="315"/>
        <v>3-2</v>
      </c>
      <c r="S520" s="153"/>
      <c r="T520" s="148" t="str">
        <f t="shared" si="316"/>
        <v>Completed</v>
      </c>
      <c r="U520" s="153"/>
      <c r="V520" s="153"/>
      <c r="W520" s="387">
        <f t="shared" si="317"/>
        <v>1</v>
      </c>
      <c r="X520" s="387">
        <f t="shared" si="318"/>
        <v>-1</v>
      </c>
      <c r="Y520" s="301">
        <f t="shared" si="319"/>
        <v>2</v>
      </c>
      <c r="Z520" s="301">
        <f t="shared" si="320"/>
        <v>0</v>
      </c>
      <c r="AA520" s="323" t="str">
        <f>CONCATENATE("                x[team1,team2,sport,'",IF(OR(I520="x",I520=""),VLOOKUP('Schedule from TM'!J520,Tables!$P$3:$Q$33,2,FALSE),'Schedule from TM'!I520),",",J520,"','",IF(OR(F520="x",F520=""),VLOOKUP('Schedule from TM'!G520,Tables!$U$3:$V$14,2,FALSE),'Schedule from TM'!F520),",",TEXT(G520,"mm/dd/yyyy"),"','",TEXT(H520,"h:mm:ss AM/PM"),"'].ub=0.0      #",B520)</f>
        <v xml:space="preserve">                x[team1,team2,sport,'11,JCC Back Field 3','11,11/19/2017','1:00:00 PM'].ub=0.0      #Junior A Male Mini Soccer</v>
      </c>
      <c r="AB520" s="301" t="str">
        <f t="shared" si="321"/>
        <v>,,Junior A Male Mini Soccer,,1,JR A M - ARG 1</v>
      </c>
      <c r="AC520" s="153" t="str">
        <f t="shared" si="322"/>
        <v>Junior A Male Mini SoccerJR A M - ARG 1</v>
      </c>
      <c r="AD520" s="301" t="str">
        <f t="shared" si="323"/>
        <v>,,Junior A Male Mini Soccer,,1,JR A M - USA 2</v>
      </c>
      <c r="AE520" s="153" t="str">
        <f t="shared" si="324"/>
        <v>Junior A Male Mini SoccerJR A M - USA 2</v>
      </c>
      <c r="AF520" s="383">
        <f t="shared" si="325"/>
        <v>1</v>
      </c>
      <c r="AG520" s="383">
        <f t="shared" si="326"/>
        <v>0</v>
      </c>
      <c r="AH520" s="383">
        <f t="shared" si="327"/>
        <v>0</v>
      </c>
      <c r="AI520" s="383">
        <f t="shared" si="328"/>
        <v>0</v>
      </c>
      <c r="AJ520" s="383">
        <f t="shared" si="329"/>
        <v>1</v>
      </c>
      <c r="AK520" s="383">
        <f t="shared" si="330"/>
        <v>0</v>
      </c>
      <c r="AM520" s="148" t="str">
        <f t="shared" si="331"/>
        <v>Schedulled</v>
      </c>
      <c r="AN520" s="148" t="str">
        <f t="shared" si="332"/>
        <v/>
      </c>
      <c r="AO520" s="156">
        <f t="shared" si="333"/>
        <v>43058.541666666664</v>
      </c>
      <c r="AP520" s="148" t="str">
        <f t="shared" si="334"/>
        <v>11/19/2017 13:00-&gt;JCC Back Field 3</v>
      </c>
      <c r="AQ520" s="374">
        <f t="shared" si="335"/>
        <v>1</v>
      </c>
      <c r="AR520" s="148" t="str">
        <f t="shared" si="336"/>
        <v>ARG1</v>
      </c>
      <c r="AS520" s="148" t="str">
        <f t="shared" si="337"/>
        <v>USA2</v>
      </c>
      <c r="AT520" s="157" t="str">
        <f t="shared" si="338"/>
        <v>ARG1-USA2</v>
      </c>
      <c r="AU520" s="157" t="str">
        <f t="shared" si="339"/>
        <v xml:space="preserve">ARG1-USA2 </v>
      </c>
      <c r="AV520" s="157" t="str">
        <f t="shared" si="340"/>
        <v>JUNIORS A MALE</v>
      </c>
      <c r="AW520" s="157" t="str">
        <f t="shared" si="341"/>
        <v>Soccer</v>
      </c>
      <c r="AX520" s="376">
        <f t="shared" si="342"/>
        <v>518</v>
      </c>
      <c r="AY520" s="148" t="str">
        <f t="shared" si="343"/>
        <v>JR A M - ARG 1-&gt;JR A M - USA 2</v>
      </c>
      <c r="AZ520" s="148" t="str">
        <f t="shared" si="344"/>
        <v>11/19/2017 13:00-&gt;JR A M - ARG 1</v>
      </c>
      <c r="BA520" s="148" t="str">
        <f t="shared" si="345"/>
        <v>11/19/2017 13:00-&gt;JR A M - USA 2</v>
      </c>
      <c r="BB520" s="374">
        <f t="shared" si="346"/>
        <v>1</v>
      </c>
      <c r="BC520" s="374">
        <f t="shared" si="347"/>
        <v>1</v>
      </c>
      <c r="BD520" s="148" t="str">
        <f t="shared" si="348"/>
        <v>no conflict</v>
      </c>
      <c r="BF520" s="148" t="str">
        <f t="shared" si="349"/>
        <v>11/19/2017 13:00-&gt;JR A M - ARG 1</v>
      </c>
      <c r="BG520" s="148" t="str">
        <f t="shared" si="350"/>
        <v>11/19/2017 13:00-&gt;JR A M - USA 2</v>
      </c>
      <c r="BH520" s="148" t="str">
        <f t="shared" si="351"/>
        <v>11/19/2017 13:00-&gt;JCC Back Field 3</v>
      </c>
      <c r="BI520" s="148" t="str">
        <f t="shared" si="352"/>
        <v>Soccer in JCC Back Field 3 (ARG1-USA2)</v>
      </c>
      <c r="BJ520" s="148" t="str">
        <f t="shared" si="353"/>
        <v>Junior A Male Mini Soccer-- JR A M - ARG 1 vs. JR A M - USA 2</v>
      </c>
      <c r="BK520" s="148" t="str">
        <f t="shared" si="354"/>
        <v>Soccer</v>
      </c>
      <c r="BL520" s="148" t="str">
        <f t="shared" si="355"/>
        <v>JR A M - ARG 1</v>
      </c>
      <c r="BM520" s="148" t="str">
        <f t="shared" si="356"/>
        <v>JR A M - USA 2</v>
      </c>
      <c r="BN520" s="148" t="str">
        <f t="shared" si="357"/>
        <v>Round - 1</v>
      </c>
      <c r="BP520" s="148" t="str">
        <f t="shared" si="358"/>
        <v>no t, f, or sf</v>
      </c>
      <c r="BQ520" s="148" t="str">
        <f t="shared" si="359"/>
        <v/>
      </c>
    </row>
    <row r="521" spans="1:69" ht="15" customHeight="1" x14ac:dyDescent="0.2">
      <c r="A521" s="376">
        <v>519</v>
      </c>
      <c r="B521" s="444" t="s">
        <v>71</v>
      </c>
      <c r="C521" s="444" t="s">
        <v>518</v>
      </c>
      <c r="D521" s="451">
        <v>1</v>
      </c>
      <c r="E521" s="451">
        <v>1</v>
      </c>
      <c r="F521" s="315" t="s">
        <v>770</v>
      </c>
      <c r="G521" s="445">
        <v>43057</v>
      </c>
      <c r="H521" s="318">
        <v>0.85416666666666663</v>
      </c>
      <c r="I521" s="325" t="s">
        <v>770</v>
      </c>
      <c r="J521" s="444" t="s">
        <v>693</v>
      </c>
      <c r="K521" s="444">
        <v>61</v>
      </c>
      <c r="L521" s="433" t="s">
        <v>719</v>
      </c>
      <c r="M521" s="433">
        <v>61</v>
      </c>
      <c r="N521" s="433" t="s">
        <v>645</v>
      </c>
      <c r="O521" s="153" t="str">
        <f>IF(L521&lt;&gt;"",IFERROR(VLOOKUP(B521&amp;L521,Pools!$A$2:$D$130,3,FALSE),""),"")</f>
        <v/>
      </c>
      <c r="P521" s="388">
        <v>2</v>
      </c>
      <c r="Q521" s="388">
        <v>3</v>
      </c>
      <c r="R521" s="306" t="str">
        <f t="shared" si="315"/>
        <v>2-3</v>
      </c>
      <c r="S521" s="153"/>
      <c r="T521" s="148" t="str">
        <f t="shared" si="316"/>
        <v>Completed</v>
      </c>
      <c r="U521" s="153"/>
      <c r="V521" s="153"/>
      <c r="W521" s="387">
        <f t="shared" si="317"/>
        <v>-1</v>
      </c>
      <c r="X521" s="387">
        <f t="shared" si="318"/>
        <v>1</v>
      </c>
      <c r="Y521" s="301">
        <f t="shared" si="319"/>
        <v>0</v>
      </c>
      <c r="Z521" s="301">
        <f t="shared" si="320"/>
        <v>2</v>
      </c>
      <c r="AA521" s="323" t="str">
        <f>CONCATENATE("                x[team1,team2,sport,'",IF(OR(I521="x",I521=""),VLOOKUP('Schedule from TM'!J521,Tables!$P$3:$Q$33,2,FALSE),'Schedule from TM'!I521),",",J521,"','",IF(OR(F521="x",F521=""),VLOOKUP('Schedule from TM'!G521,Tables!$U$3:$V$14,2,FALSE),'Schedule from TM'!F521),",",TEXT(G521,"mm/dd/yyyy"),"','",TEXT(H521,"h:mm:ss AM/PM"),"'].ub=0.0      #",B521)</f>
        <v xml:space="preserve">                x[team1,team2,sport,'11,JCC Back Field 2','21,11/18/2017','8:30:00 PM'].ub=0.0      #Junior A Male Mini Soccer</v>
      </c>
      <c r="AB521" s="301" t="str">
        <f t="shared" si="321"/>
        <v>,,Junior A Male Mini Soccer,,1,JR A M - MEX 1</v>
      </c>
      <c r="AC521" s="153" t="str">
        <f t="shared" si="322"/>
        <v>Junior A Male Mini SoccerJR A M - MEX 1</v>
      </c>
      <c r="AD521" s="301" t="str">
        <f t="shared" si="323"/>
        <v>,,Junior A Male Mini Soccer,,1,JR A M - VEN 1</v>
      </c>
      <c r="AE521" s="153" t="str">
        <f t="shared" si="324"/>
        <v>Junior A Male Mini SoccerJR A M - VEN 1</v>
      </c>
      <c r="AF521" s="383">
        <f t="shared" si="325"/>
        <v>0</v>
      </c>
      <c r="AG521" s="383">
        <f t="shared" si="326"/>
        <v>1</v>
      </c>
      <c r="AH521" s="383">
        <f t="shared" si="327"/>
        <v>0</v>
      </c>
      <c r="AI521" s="383">
        <f t="shared" si="328"/>
        <v>1</v>
      </c>
      <c r="AJ521" s="383">
        <f t="shared" si="329"/>
        <v>0</v>
      </c>
      <c r="AK521" s="383">
        <f t="shared" si="330"/>
        <v>0</v>
      </c>
      <c r="AM521" s="148" t="str">
        <f t="shared" si="331"/>
        <v>Schedulled</v>
      </c>
      <c r="AN521" s="148" t="str">
        <f t="shared" si="332"/>
        <v/>
      </c>
      <c r="AO521" s="156">
        <f t="shared" si="333"/>
        <v>43057.854166666664</v>
      </c>
      <c r="AP521" s="148" t="str">
        <f t="shared" si="334"/>
        <v>11/18/2017 20:30-&gt;JCC Back Field 2</v>
      </c>
      <c r="AQ521" s="374">
        <f t="shared" si="335"/>
        <v>1</v>
      </c>
      <c r="AR521" s="148" t="str">
        <f t="shared" si="336"/>
        <v>MEX1</v>
      </c>
      <c r="AS521" s="148" t="str">
        <f t="shared" si="337"/>
        <v>VEN1</v>
      </c>
      <c r="AT521" s="157" t="str">
        <f t="shared" si="338"/>
        <v>MEX1-VEN1</v>
      </c>
      <c r="AU521" s="157" t="str">
        <f t="shared" si="339"/>
        <v xml:space="preserve">MEX1-VEN1 </v>
      </c>
      <c r="AV521" s="157" t="str">
        <f t="shared" si="340"/>
        <v>JUNIORS A MALE</v>
      </c>
      <c r="AW521" s="157" t="str">
        <f t="shared" si="341"/>
        <v>Soccer</v>
      </c>
      <c r="AX521" s="376">
        <f t="shared" si="342"/>
        <v>519</v>
      </c>
      <c r="AY521" s="148" t="str">
        <f t="shared" si="343"/>
        <v>JR A M - MEX 1-&gt;JR A M - VEN 1</v>
      </c>
      <c r="AZ521" s="148" t="str">
        <f t="shared" si="344"/>
        <v>11/18/2017 20:30-&gt;JR A M - MEX 1</v>
      </c>
      <c r="BA521" s="148" t="str">
        <f t="shared" si="345"/>
        <v>11/18/2017 20:30-&gt;JR A M - VEN 1</v>
      </c>
      <c r="BB521" s="374">
        <f t="shared" si="346"/>
        <v>1</v>
      </c>
      <c r="BC521" s="374">
        <f t="shared" si="347"/>
        <v>1</v>
      </c>
      <c r="BD521" s="148" t="str">
        <f t="shared" si="348"/>
        <v>no conflict</v>
      </c>
      <c r="BF521" s="148" t="str">
        <f t="shared" si="349"/>
        <v>11/18/2017 20:30-&gt;JR A M - MEX 1</v>
      </c>
      <c r="BG521" s="148" t="str">
        <f t="shared" si="350"/>
        <v>11/18/2017 20:30-&gt;JR A M - VEN 1</v>
      </c>
      <c r="BH521" s="148" t="str">
        <f t="shared" si="351"/>
        <v>11/18/2017 20:30-&gt;JCC Back Field 2</v>
      </c>
      <c r="BI521" s="148" t="str">
        <f t="shared" si="352"/>
        <v>Soccer in JCC Back Field 2 (MEX1-VEN1)</v>
      </c>
      <c r="BJ521" s="148" t="str">
        <f t="shared" si="353"/>
        <v>Junior A Male Mini Soccer-- JR A M - MEX 1 vs. JR A M - VEN 1</v>
      </c>
      <c r="BK521" s="148" t="str">
        <f t="shared" si="354"/>
        <v>Soccer</v>
      </c>
      <c r="BL521" s="148" t="str">
        <f t="shared" si="355"/>
        <v>JR A M - MEX 1</v>
      </c>
      <c r="BM521" s="148" t="str">
        <f t="shared" si="356"/>
        <v>JR A M - VEN 1</v>
      </c>
      <c r="BN521" s="148" t="str">
        <f t="shared" si="357"/>
        <v>Round - 1</v>
      </c>
      <c r="BP521" s="148" t="str">
        <f t="shared" si="358"/>
        <v>no t, f, or sf</v>
      </c>
      <c r="BQ521" s="148" t="str">
        <f t="shared" si="359"/>
        <v/>
      </c>
    </row>
    <row r="522" spans="1:69" ht="15" customHeight="1" x14ac:dyDescent="0.2">
      <c r="A522" s="376">
        <v>520</v>
      </c>
      <c r="B522" s="441" t="s">
        <v>71</v>
      </c>
      <c r="C522" s="441" t="s">
        <v>518</v>
      </c>
      <c r="D522" s="450">
        <v>1</v>
      </c>
      <c r="E522" s="450">
        <v>1</v>
      </c>
      <c r="F522" s="315" t="s">
        <v>770</v>
      </c>
      <c r="G522" s="320">
        <v>43057</v>
      </c>
      <c r="H522" s="318">
        <v>0.85416666666666663</v>
      </c>
      <c r="I522" s="325" t="s">
        <v>770</v>
      </c>
      <c r="J522" s="441" t="s">
        <v>694</v>
      </c>
      <c r="K522" s="441">
        <v>61</v>
      </c>
      <c r="L522" s="441" t="s">
        <v>642</v>
      </c>
      <c r="M522" s="441">
        <v>61</v>
      </c>
      <c r="N522" s="441" t="s">
        <v>646</v>
      </c>
      <c r="O522" s="153" t="str">
        <f>IF(L522&lt;&gt;"",IFERROR(VLOOKUP(B522&amp;L522,Pools!$A$2:$D$130,3,FALSE),""),"")</f>
        <v/>
      </c>
      <c r="P522" s="388">
        <v>2</v>
      </c>
      <c r="Q522" s="388">
        <v>12</v>
      </c>
      <c r="R522" s="306" t="str">
        <f t="shared" si="315"/>
        <v>2-12</v>
      </c>
      <c r="S522" s="153"/>
      <c r="T522" s="148" t="str">
        <f t="shared" si="316"/>
        <v>Completed</v>
      </c>
      <c r="U522" s="153"/>
      <c r="V522" s="153"/>
      <c r="W522" s="387">
        <f t="shared" si="317"/>
        <v>-3</v>
      </c>
      <c r="X522" s="387">
        <f t="shared" si="318"/>
        <v>3</v>
      </c>
      <c r="Y522" s="301">
        <f t="shared" si="319"/>
        <v>0</v>
      </c>
      <c r="Z522" s="301">
        <f t="shared" si="320"/>
        <v>2</v>
      </c>
      <c r="AA522" s="323" t="str">
        <f>CONCATENATE("                x[team1,team2,sport,'",IF(OR(I522="x",I522=""),VLOOKUP('Schedule from TM'!J522,Tables!$P$3:$Q$33,2,FALSE),'Schedule from TM'!I522),",",J522,"','",IF(OR(F522="x",F522=""),VLOOKUP('Schedule from TM'!G522,Tables!$U$3:$V$14,2,FALSE),'Schedule from TM'!F522),",",TEXT(G522,"mm/dd/yyyy"),"','",TEXT(H522,"h:mm:ss AM/PM"),"'].ub=0.0      #",B522)</f>
        <v xml:space="preserve">                x[team1,team2,sport,'11,JCC Back Field 4','21,11/18/2017','8:30:00 PM'].ub=0.0      #Junior A Male Mini Soccer</v>
      </c>
      <c r="AB522" s="301" t="str">
        <f t="shared" si="321"/>
        <v>,,Junior A Male Mini Soccer,,1,JR A M - USA 1</v>
      </c>
      <c r="AC522" s="153" t="str">
        <f t="shared" si="322"/>
        <v>Junior A Male Mini SoccerJR A M - USA 1</v>
      </c>
      <c r="AD522" s="301" t="str">
        <f t="shared" si="323"/>
        <v>,,Junior A Male Mini Soccer,,1,JR A M - VEN 2</v>
      </c>
      <c r="AE522" s="153" t="str">
        <f t="shared" si="324"/>
        <v>Junior A Male Mini SoccerJR A M - VEN 2</v>
      </c>
      <c r="AF522" s="383">
        <f t="shared" si="325"/>
        <v>0</v>
      </c>
      <c r="AG522" s="383">
        <f t="shared" si="326"/>
        <v>1</v>
      </c>
      <c r="AH522" s="383">
        <f t="shared" si="327"/>
        <v>0</v>
      </c>
      <c r="AI522" s="383">
        <f t="shared" si="328"/>
        <v>1</v>
      </c>
      <c r="AJ522" s="383">
        <f t="shared" si="329"/>
        <v>0</v>
      </c>
      <c r="AK522" s="383">
        <f t="shared" si="330"/>
        <v>0</v>
      </c>
      <c r="AM522" s="148" t="str">
        <f t="shared" si="331"/>
        <v>Schedulled</v>
      </c>
      <c r="AN522" s="148" t="str">
        <f t="shared" si="332"/>
        <v/>
      </c>
      <c r="AO522" s="156">
        <f t="shared" si="333"/>
        <v>43057.854166666664</v>
      </c>
      <c r="AP522" s="148" t="str">
        <f t="shared" si="334"/>
        <v>11/18/2017 20:30-&gt;JCC Back Field 4</v>
      </c>
      <c r="AQ522" s="374">
        <f t="shared" si="335"/>
        <v>1</v>
      </c>
      <c r="AR522" s="148" t="str">
        <f t="shared" si="336"/>
        <v>USA1</v>
      </c>
      <c r="AS522" s="148" t="str">
        <f t="shared" si="337"/>
        <v>VEN2</v>
      </c>
      <c r="AT522" s="157" t="str">
        <f t="shared" si="338"/>
        <v>USA1-VEN2</v>
      </c>
      <c r="AU522" s="157" t="str">
        <f t="shared" si="339"/>
        <v xml:space="preserve">USA1-VEN2 </v>
      </c>
      <c r="AV522" s="157" t="str">
        <f t="shared" si="340"/>
        <v>JUNIORS A MALE</v>
      </c>
      <c r="AW522" s="157" t="str">
        <f t="shared" si="341"/>
        <v>Soccer</v>
      </c>
      <c r="AX522" s="376">
        <f t="shared" si="342"/>
        <v>520</v>
      </c>
      <c r="AY522" s="148" t="str">
        <f t="shared" si="343"/>
        <v>JR A M - USA 1-&gt;JR A M - VEN 2</v>
      </c>
      <c r="AZ522" s="148" t="str">
        <f t="shared" si="344"/>
        <v>11/18/2017 20:30-&gt;JR A M - USA 1</v>
      </c>
      <c r="BA522" s="148" t="str">
        <f t="shared" si="345"/>
        <v>11/18/2017 20:30-&gt;JR A M - VEN 2</v>
      </c>
      <c r="BB522" s="374">
        <f t="shared" si="346"/>
        <v>1</v>
      </c>
      <c r="BC522" s="374">
        <f t="shared" si="347"/>
        <v>1</v>
      </c>
      <c r="BD522" s="148" t="str">
        <f t="shared" si="348"/>
        <v>no conflict</v>
      </c>
      <c r="BF522" s="148" t="str">
        <f t="shared" si="349"/>
        <v>11/18/2017 20:30-&gt;JR A M - USA 1</v>
      </c>
      <c r="BG522" s="148" t="str">
        <f t="shared" si="350"/>
        <v>11/18/2017 20:30-&gt;JR A M - VEN 2</v>
      </c>
      <c r="BH522" s="148" t="str">
        <f t="shared" si="351"/>
        <v>11/18/2017 20:30-&gt;JCC Back Field 4</v>
      </c>
      <c r="BI522" s="148" t="str">
        <f t="shared" si="352"/>
        <v>Soccer in JCC Back Field 4 (USA1-VEN2)</v>
      </c>
      <c r="BJ522" s="148" t="str">
        <f t="shared" si="353"/>
        <v>Junior A Male Mini Soccer-- JR A M - USA 1 vs. JR A M - VEN 2</v>
      </c>
      <c r="BK522" s="148" t="str">
        <f t="shared" si="354"/>
        <v>Soccer</v>
      </c>
      <c r="BL522" s="148" t="str">
        <f t="shared" si="355"/>
        <v>JR A M - USA 1</v>
      </c>
      <c r="BM522" s="148" t="str">
        <f t="shared" si="356"/>
        <v>JR A M - VEN 2</v>
      </c>
      <c r="BN522" s="148" t="str">
        <f t="shared" si="357"/>
        <v>Round - 1</v>
      </c>
      <c r="BP522" s="148" t="str">
        <f t="shared" si="358"/>
        <v>no t, f, or sf</v>
      </c>
      <c r="BQ522" s="148" t="str">
        <f t="shared" si="359"/>
        <v/>
      </c>
    </row>
    <row r="523" spans="1:69" ht="15" customHeight="1" x14ac:dyDescent="0.2">
      <c r="A523" s="376">
        <v>521</v>
      </c>
      <c r="B523" s="441" t="s">
        <v>71</v>
      </c>
      <c r="C523" s="441" t="s">
        <v>518</v>
      </c>
      <c r="D523" s="450">
        <v>1</v>
      </c>
      <c r="E523" s="450">
        <v>1</v>
      </c>
      <c r="F523" s="315" t="s">
        <v>770</v>
      </c>
      <c r="G523" s="320">
        <v>43058</v>
      </c>
      <c r="H523" s="318">
        <v>0.4375</v>
      </c>
      <c r="I523" s="325" t="s">
        <v>770</v>
      </c>
      <c r="J523" s="441" t="s">
        <v>694</v>
      </c>
      <c r="K523" s="441">
        <v>61</v>
      </c>
      <c r="L523" s="433" t="s">
        <v>719</v>
      </c>
      <c r="M523" s="433">
        <v>61</v>
      </c>
      <c r="N523" s="433" t="s">
        <v>646</v>
      </c>
      <c r="O523" s="153" t="str">
        <f>IF(L523&lt;&gt;"",IFERROR(VLOOKUP(B523&amp;L523,Pools!$A$2:$D$130,3,FALSE),""),"")</f>
        <v/>
      </c>
      <c r="P523" s="388">
        <v>1</v>
      </c>
      <c r="Q523" s="388">
        <v>2</v>
      </c>
      <c r="R523" s="306" t="str">
        <f t="shared" ref="R523:R586" si="360">P523&amp;"-"&amp;Q523</f>
        <v>1-2</v>
      </c>
      <c r="S523" s="153"/>
      <c r="T523" s="148" t="str">
        <f t="shared" ref="T523:T586" si="361">IF(AND(P523&lt;&gt;"",Q523&lt;&gt;""),"Completed","Pending")</f>
        <v>Completed</v>
      </c>
      <c r="U523" s="153"/>
      <c r="V523" s="153"/>
      <c r="W523" s="387">
        <f t="shared" ref="W523:W586" si="362">IF(AW523="Basketball",(IF(P523-Q523&gt;15,15,IF(P523-Q523&lt;-15,-15,(P523-Q523)))),IF(AW523="Soccer",(IF(P523-Q523&gt;3,3,IF(P523-Q523&lt;-3,-3,(P523-Q523)))),IF(AW523="Kickball",(IF(P523-Q523&gt;5,5,IF(P523-Q523&lt;-5,-5,(P523-Q523)))),IF(AW523="Flag Football",(IF(P523-Q523&gt;21,21,IF(P523-Q523&lt;-21,-21,(P523-Q523)))),P523-Q523))))</f>
        <v>-1</v>
      </c>
      <c r="X523" s="387">
        <f t="shared" ref="X523:X586" si="363">IF(AW523="Basketball",(IF(Q523-P523&gt;15,15,IF(Q523-P523&lt;-15,-15,(Q523-P523)))),IF(AW523="Soccer",(IF(Q523-P523&gt;3,3,IF(Q523-P523&lt;-3,-3,(Q523-P523)))),IF(AW523="Kickball",(IF(Q523-P523&gt;5,5,IF(Q523-P523&lt;-5,-5,(Q523-P523)))),IF(AW523="Flag Football",(IF(Q523-P523&gt;21,21,IF(Q523-P523&lt;-21,-21,(Q523-P523)))),Q523-P523))))</f>
        <v>1</v>
      </c>
      <c r="Y523" s="301">
        <f t="shared" ref="Y523:Y586" si="364">IF(T523="Completed",(IF(P523&gt;Q523,2,IF(P523=Q523,1,IF(P523&lt;Q523,0)))),"X")</f>
        <v>0</v>
      </c>
      <c r="Z523" s="301">
        <f t="shared" ref="Z523:Z586" si="365">IF(T523="Completed",(IF(Q523&gt;P523,2,IF(Q523=P523,1,IF(Q523&lt;P523,0)))),"X")</f>
        <v>2</v>
      </c>
      <c r="AA523" s="323" t="str">
        <f>CONCATENATE("                x[team1,team2,sport,'",IF(OR(I523="x",I523=""),VLOOKUP('Schedule from TM'!J523,Tables!$P$3:$Q$33,2,FALSE),'Schedule from TM'!I523),",",J523,"','",IF(OR(F523="x",F523=""),VLOOKUP('Schedule from TM'!G523,Tables!$U$3:$V$14,2,FALSE),'Schedule from TM'!F523),",",TEXT(G523,"mm/dd/yyyy"),"','",TEXT(H523,"h:mm:ss AM/PM"),"'].ub=0.0      #",B523)</f>
        <v xml:space="preserve">                x[team1,team2,sport,'11,JCC Back Field 4','11,11/19/2017','10:30:00 AM'].ub=0.0      #Junior A Male Mini Soccer</v>
      </c>
      <c r="AB523" s="301" t="str">
        <f t="shared" ref="AB523:AB586" si="366">",,"&amp;B523&amp;","&amp;O523&amp;",1,"&amp;L523</f>
        <v>,,Junior A Male Mini Soccer,,1,JR A M - MEX 1</v>
      </c>
      <c r="AC523" s="153" t="str">
        <f t="shared" ref="AC523:AC586" si="367">B523&amp;O523&amp;L523</f>
        <v>Junior A Male Mini SoccerJR A M - MEX 1</v>
      </c>
      <c r="AD523" s="301" t="str">
        <f t="shared" ref="AD523:AD586" si="368">",,"&amp;B523&amp;","&amp;O523&amp;",1,"&amp;N523</f>
        <v>,,Junior A Male Mini Soccer,,1,JR A M - VEN 2</v>
      </c>
      <c r="AE523" s="153" t="str">
        <f t="shared" ref="AE523:AE586" si="369">B523&amp;O523&amp;N523</f>
        <v>Junior A Male Mini SoccerJR A M - VEN 2</v>
      </c>
      <c r="AF523" s="383">
        <f t="shared" ref="AF523:AF586" si="370">IF(Y523=2,1,0)</f>
        <v>0</v>
      </c>
      <c r="AG523" s="383">
        <f t="shared" ref="AG523:AG586" si="371">IF(Y523=0,1,0)</f>
        <v>1</v>
      </c>
      <c r="AH523" s="383">
        <f t="shared" ref="AH523:AH586" si="372">IF(Y523=1,1,0)</f>
        <v>0</v>
      </c>
      <c r="AI523" s="383">
        <f t="shared" ref="AI523:AI586" si="373">IF(Z523=2,1,0)</f>
        <v>1</v>
      </c>
      <c r="AJ523" s="383">
        <f t="shared" ref="AJ523:AJ586" si="374">IF(Z523=0,1,0)</f>
        <v>0</v>
      </c>
      <c r="AK523" s="383">
        <f t="shared" ref="AK523:AK586" si="375">IF(Z523=1,1,0)</f>
        <v>0</v>
      </c>
      <c r="AM523" s="148" t="str">
        <f t="shared" ref="AM523:AM586" si="376">IF(G523&amp;H523&amp;J523&lt;&gt;"","Schedulled","Not Schedulled")</f>
        <v>Schedulled</v>
      </c>
      <c r="AN523" s="148" t="str">
        <f t="shared" ref="AN523:AN586" si="377">IF(AND(AM523="schedulled",L523&amp;N523=""),"Schedulled no team","")</f>
        <v/>
      </c>
      <c r="AO523" s="156">
        <f t="shared" ref="AO523:AO586" si="378">G523+H523</f>
        <v>43058.4375</v>
      </c>
      <c r="AP523" s="148" t="str">
        <f t="shared" ref="AP523:AP586" si="379">TEXT(AO523,"MM/DD/YYYY HH:MM")&amp;"-&gt;"&amp;J523</f>
        <v>11/19/2017 10:30-&gt;JCC Back Field 4</v>
      </c>
      <c r="AQ523" s="374">
        <f t="shared" ref="AQ523:AQ586" si="380">IF(AM523="not schedulled", 0,COUNTIF($AP$11:$AP$1051,AP523))</f>
        <v>1</v>
      </c>
      <c r="AR523" s="148" t="str">
        <f t="shared" ref="AR523:AR586" si="381">IFERROR(VLOOKUP(L523,teams_table,3,FALSE),"")</f>
        <v>MEX1</v>
      </c>
      <c r="AS523" s="148" t="str">
        <f t="shared" ref="AS523:AS586" si="382">IFERROR(VLOOKUP(N523,teams_table,3,FALSE),"")</f>
        <v>VEN2</v>
      </c>
      <c r="AT523" s="157" t="str">
        <f t="shared" ref="AT523:AT586" si="383">IF(AR523&amp;AS523&lt;&gt;"",AR523&amp;"-"&amp;AS523,"")</f>
        <v>MEX1-VEN2</v>
      </c>
      <c r="AU523" s="157" t="str">
        <f t="shared" ref="AU523:AU586" si="384">IF(AT523="","",AT523&amp;" ")&amp;IF(C523="final",AW523&amp;" Final","")&amp;IF(C523="semi-final",AW523&amp;" Semi-Final","")&amp;IF(C523="Tournament",AW523&amp;" Tournament","")</f>
        <v xml:space="preserve">MEX1-VEN2 </v>
      </c>
      <c r="AV523" s="157" t="str">
        <f t="shared" ref="AV523:AV586" si="385">IFERROR(VLOOKUP(B523,events_table,2,FALSE),"")</f>
        <v>JUNIORS A MALE</v>
      </c>
      <c r="AW523" s="157" t="str">
        <f t="shared" ref="AW523:AW586" si="386">IFERROR(VLOOKUP(B523,events_table,3,0),"")</f>
        <v>Soccer</v>
      </c>
      <c r="AX523" s="376">
        <f t="shared" ref="AX523:AX586" si="387">A523</f>
        <v>521</v>
      </c>
      <c r="AY523" s="148" t="str">
        <f t="shared" ref="AY523:AY586" si="388">L523&amp;"-&gt;"&amp;N523</f>
        <v>JR A M - MEX 1-&gt;JR A M - VEN 2</v>
      </c>
      <c r="AZ523" s="148" t="str">
        <f t="shared" ref="AZ523:AZ586" si="389">TEXT(AO523,"MM/DD/YYYY HH:MM")&amp;"-&gt;"&amp;L523</f>
        <v>11/19/2017 10:30-&gt;JR A M - MEX 1</v>
      </c>
      <c r="BA523" s="148" t="str">
        <f t="shared" ref="BA523:BA586" si="390">TEXT(AO523,"MM/DD/YYYY HH:MM")&amp;"-&gt;"&amp;N523</f>
        <v>11/19/2017 10:30-&gt;JR A M - VEN 2</v>
      </c>
      <c r="BB523" s="374">
        <f t="shared" ref="BB523:BB586" si="391">IF(OR(AM523="not schedulled",AN523="schedulled no team"),0,COUNTIF($AZ$11:$BA$1051,AZ523))</f>
        <v>1</v>
      </c>
      <c r="BC523" s="374">
        <f t="shared" ref="BC523:BC586" si="392">IF(OR(AM523="not schedulled",AN523="schedulled no team"),0,COUNTIF($AZ$11:$BA$1051,BA523))</f>
        <v>1</v>
      </c>
      <c r="BD523" s="148" t="str">
        <f t="shared" ref="BD523:BD586" si="393">IF(OR(BB523&gt;1,BC523&gt;1),"conflict","no conflict")</f>
        <v>no conflict</v>
      </c>
      <c r="BF523" s="148" t="str">
        <f t="shared" ref="BF523:BF586" si="394">TEXT(AO523,"MM/DD/YYYY HH:MM")&amp;"-&gt;"&amp;L523</f>
        <v>11/19/2017 10:30-&gt;JR A M - MEX 1</v>
      </c>
      <c r="BG523" s="148" t="str">
        <f t="shared" ref="BG523:BG586" si="395">TEXT(AO523,"MM/DD/YYYY HH:MM")&amp;"-&gt;"&amp;N523</f>
        <v>11/19/2017 10:30-&gt;JR A M - VEN 2</v>
      </c>
      <c r="BH523" s="148" t="str">
        <f t="shared" ref="BH523:BH586" si="396">TEXT(AO523,"MM/DD/YYYY HH:MM")&amp;"-&gt;"&amp;J523</f>
        <v>11/19/2017 10:30-&gt;JCC Back Field 4</v>
      </c>
      <c r="BI523" s="148" t="str">
        <f t="shared" ref="BI523:BI586" si="397">AW523&amp; " in "&amp;J523 &amp;" ("&amp;AT523&amp;")"</f>
        <v>Soccer in JCC Back Field 4 (MEX1-VEN2)</v>
      </c>
      <c r="BJ523" s="148" t="str">
        <f t="shared" ref="BJ523:BJ586" si="398">B523 &amp;"-- " &amp;L523&amp;" vs. "&amp;N523</f>
        <v>Junior A Male Mini Soccer-- JR A M - MEX 1 vs. JR A M - VEN 2</v>
      </c>
      <c r="BK523" s="148" t="str">
        <f t="shared" ref="BK523:BK586" si="399">AW523</f>
        <v>Soccer</v>
      </c>
      <c r="BL523" s="148" t="str">
        <f t="shared" ref="BL523:BL586" si="400">L523</f>
        <v>JR A M - MEX 1</v>
      </c>
      <c r="BM523" s="148" t="str">
        <f t="shared" ref="BM523:BM586" si="401">N523</f>
        <v>JR A M - VEN 2</v>
      </c>
      <c r="BN523" s="148" t="str">
        <f t="shared" ref="BN523:BN586" si="402">C523</f>
        <v>Round - 1</v>
      </c>
      <c r="BP523" s="148" t="str">
        <f t="shared" ref="BP523:BP586" si="403">IF(OR(NOT(ISERR(SEARCH("final",C523))),NOT(ISERR(SEARCH("tournament",C523)))),TEXT(AO523,"MM/DD/YYYY HH:MM")&amp;"-&gt;"&amp;AV523,IF(B523="","no game","no t, f, or sf"))</f>
        <v>no t, f, or sf</v>
      </c>
      <c r="BQ523" s="148" t="str">
        <f t="shared" ref="BQ523:BQ586" si="404">IF(BP523&lt;&gt;"no t, f, or sf",AW523&amp;" "&amp;C523&amp;" in "&amp;J523,"")</f>
        <v/>
      </c>
    </row>
    <row r="524" spans="1:69" ht="15" customHeight="1" x14ac:dyDescent="0.2">
      <c r="A524" s="376">
        <v>522</v>
      </c>
      <c r="B524" s="444" t="s">
        <v>71</v>
      </c>
      <c r="C524" s="315" t="s">
        <v>518</v>
      </c>
      <c r="D524" s="378">
        <v>1</v>
      </c>
      <c r="E524" s="378">
        <v>1</v>
      </c>
      <c r="F524" s="315" t="s">
        <v>770</v>
      </c>
      <c r="G524" s="316">
        <v>43058</v>
      </c>
      <c r="H524" s="318">
        <v>0.54166666666666663</v>
      </c>
      <c r="I524" s="325" t="s">
        <v>770</v>
      </c>
      <c r="J524" s="444" t="s">
        <v>694</v>
      </c>
      <c r="K524" s="315">
        <v>61</v>
      </c>
      <c r="L524" s="433" t="s">
        <v>720</v>
      </c>
      <c r="M524" s="433">
        <v>61</v>
      </c>
      <c r="N524" s="433" t="s">
        <v>644</v>
      </c>
      <c r="O524" s="153" t="str">
        <f>IF(L524&lt;&gt;"",IFERROR(VLOOKUP(B524&amp;L524,Pools!$A$2:$D$130,3,FALSE),""),"")</f>
        <v/>
      </c>
      <c r="P524" s="388">
        <v>5</v>
      </c>
      <c r="Q524" s="388">
        <v>1</v>
      </c>
      <c r="R524" s="306" t="str">
        <f t="shared" si="360"/>
        <v>5-1</v>
      </c>
      <c r="S524" s="153"/>
      <c r="T524" s="148" t="str">
        <f t="shared" si="361"/>
        <v>Completed</v>
      </c>
      <c r="U524" s="153"/>
      <c r="V524" s="153"/>
      <c r="W524" s="387">
        <f t="shared" si="362"/>
        <v>3</v>
      </c>
      <c r="X524" s="387">
        <f t="shared" si="363"/>
        <v>-3</v>
      </c>
      <c r="Y524" s="301">
        <f t="shared" si="364"/>
        <v>2</v>
      </c>
      <c r="Z524" s="301">
        <f t="shared" si="365"/>
        <v>0</v>
      </c>
      <c r="AA524" s="323" t="str">
        <f>CONCATENATE("                x[team1,team2,sport,'",IF(OR(I524="x",I524=""),VLOOKUP('Schedule from TM'!J524,Tables!$P$3:$Q$33,2,FALSE),'Schedule from TM'!I524),",",J524,"','",IF(OR(F524="x",F524=""),VLOOKUP('Schedule from TM'!G524,Tables!$U$3:$V$14,2,FALSE),'Schedule from TM'!F524),",",TEXT(G524,"mm/dd/yyyy"),"','",TEXT(H524,"h:mm:ss AM/PM"),"'].ub=0.0      #",B524)</f>
        <v xml:space="preserve">                x[team1,team2,sport,'11,JCC Back Field 4','11,11/19/2017','1:00:00 PM'].ub=0.0      #Junior A Male Mini Soccer</v>
      </c>
      <c r="AB524" s="301" t="str">
        <f t="shared" si="366"/>
        <v>,,Junior A Male Mini Soccer,,1,JR A M - MEX 2</v>
      </c>
      <c r="AC524" s="153" t="str">
        <f t="shared" si="367"/>
        <v>Junior A Male Mini SoccerJR A M - MEX 2</v>
      </c>
      <c r="AD524" s="301" t="str">
        <f t="shared" si="368"/>
        <v>,,Junior A Male Mini Soccer,,1,JR A M - ISR 1</v>
      </c>
      <c r="AE524" s="153" t="str">
        <f t="shared" si="369"/>
        <v>Junior A Male Mini SoccerJR A M - ISR 1</v>
      </c>
      <c r="AF524" s="383">
        <f t="shared" si="370"/>
        <v>1</v>
      </c>
      <c r="AG524" s="383">
        <f t="shared" si="371"/>
        <v>0</v>
      </c>
      <c r="AH524" s="383">
        <f t="shared" si="372"/>
        <v>0</v>
      </c>
      <c r="AI524" s="383">
        <f t="shared" si="373"/>
        <v>0</v>
      </c>
      <c r="AJ524" s="383">
        <f t="shared" si="374"/>
        <v>1</v>
      </c>
      <c r="AK524" s="383">
        <f t="shared" si="375"/>
        <v>0</v>
      </c>
      <c r="AM524" s="148" t="str">
        <f t="shared" si="376"/>
        <v>Schedulled</v>
      </c>
      <c r="AN524" s="148" t="str">
        <f t="shared" si="377"/>
        <v/>
      </c>
      <c r="AO524" s="156">
        <f t="shared" si="378"/>
        <v>43058.541666666664</v>
      </c>
      <c r="AP524" s="148" t="str">
        <f t="shared" si="379"/>
        <v>11/19/2017 13:00-&gt;JCC Back Field 4</v>
      </c>
      <c r="AQ524" s="374">
        <f t="shared" si="380"/>
        <v>1</v>
      </c>
      <c r="AR524" s="148" t="str">
        <f t="shared" si="381"/>
        <v>MEX2</v>
      </c>
      <c r="AS524" s="148" t="str">
        <f t="shared" si="382"/>
        <v>ISR1</v>
      </c>
      <c r="AT524" s="157" t="str">
        <f t="shared" si="383"/>
        <v>MEX2-ISR1</v>
      </c>
      <c r="AU524" s="157" t="str">
        <f t="shared" si="384"/>
        <v xml:space="preserve">MEX2-ISR1 </v>
      </c>
      <c r="AV524" s="157" t="str">
        <f t="shared" si="385"/>
        <v>JUNIORS A MALE</v>
      </c>
      <c r="AW524" s="157" t="str">
        <f t="shared" si="386"/>
        <v>Soccer</v>
      </c>
      <c r="AX524" s="376">
        <f t="shared" si="387"/>
        <v>522</v>
      </c>
      <c r="AY524" s="148" t="str">
        <f t="shared" si="388"/>
        <v>JR A M - MEX 2-&gt;JR A M - ISR 1</v>
      </c>
      <c r="AZ524" s="148" t="str">
        <f t="shared" si="389"/>
        <v>11/19/2017 13:00-&gt;JR A M - MEX 2</v>
      </c>
      <c r="BA524" s="148" t="str">
        <f t="shared" si="390"/>
        <v>11/19/2017 13:00-&gt;JR A M - ISR 1</v>
      </c>
      <c r="BB524" s="374">
        <f t="shared" si="391"/>
        <v>1</v>
      </c>
      <c r="BC524" s="374">
        <f t="shared" si="392"/>
        <v>1</v>
      </c>
      <c r="BD524" s="148" t="str">
        <f t="shared" si="393"/>
        <v>no conflict</v>
      </c>
      <c r="BF524" s="148" t="str">
        <f t="shared" si="394"/>
        <v>11/19/2017 13:00-&gt;JR A M - MEX 2</v>
      </c>
      <c r="BG524" s="148" t="str">
        <f t="shared" si="395"/>
        <v>11/19/2017 13:00-&gt;JR A M - ISR 1</v>
      </c>
      <c r="BH524" s="148" t="str">
        <f t="shared" si="396"/>
        <v>11/19/2017 13:00-&gt;JCC Back Field 4</v>
      </c>
      <c r="BI524" s="148" t="str">
        <f t="shared" si="397"/>
        <v>Soccer in JCC Back Field 4 (MEX2-ISR1)</v>
      </c>
      <c r="BJ524" s="148" t="str">
        <f t="shared" si="398"/>
        <v>Junior A Male Mini Soccer-- JR A M - MEX 2 vs. JR A M - ISR 1</v>
      </c>
      <c r="BK524" s="148" t="str">
        <f t="shared" si="399"/>
        <v>Soccer</v>
      </c>
      <c r="BL524" s="148" t="str">
        <f t="shared" si="400"/>
        <v>JR A M - MEX 2</v>
      </c>
      <c r="BM524" s="148" t="str">
        <f t="shared" si="401"/>
        <v>JR A M - ISR 1</v>
      </c>
      <c r="BN524" s="148" t="str">
        <f t="shared" si="402"/>
        <v>Round - 1</v>
      </c>
      <c r="BP524" s="148" t="str">
        <f t="shared" si="403"/>
        <v>no t, f, or sf</v>
      </c>
      <c r="BQ524" s="148" t="str">
        <f t="shared" si="404"/>
        <v/>
      </c>
    </row>
    <row r="525" spans="1:69" ht="15" customHeight="1" x14ac:dyDescent="0.2">
      <c r="A525" s="376">
        <v>523</v>
      </c>
      <c r="B525" s="315" t="s">
        <v>71</v>
      </c>
      <c r="C525" s="315" t="s">
        <v>518</v>
      </c>
      <c r="D525" s="378">
        <v>1</v>
      </c>
      <c r="E525" s="378">
        <v>1</v>
      </c>
      <c r="F525" s="315" t="s">
        <v>770</v>
      </c>
      <c r="G525" s="316">
        <v>43058</v>
      </c>
      <c r="H525" s="317">
        <v>0.71527777777777779</v>
      </c>
      <c r="I525" s="325" t="s">
        <v>770</v>
      </c>
      <c r="J525" s="444" t="s">
        <v>693</v>
      </c>
      <c r="K525" s="315">
        <v>61</v>
      </c>
      <c r="L525" s="433" t="s">
        <v>638</v>
      </c>
      <c r="M525" s="433">
        <v>61</v>
      </c>
      <c r="N525" s="433" t="s">
        <v>642</v>
      </c>
      <c r="O525" s="153" t="str">
        <f>IF(L525&lt;&gt;"",IFERROR(VLOOKUP(B525&amp;L525,Pools!$A$2:$D$130,3,FALSE),""),"")</f>
        <v/>
      </c>
      <c r="P525" s="388">
        <v>3</v>
      </c>
      <c r="Q525" s="388">
        <v>1</v>
      </c>
      <c r="R525" s="306" t="str">
        <f t="shared" si="360"/>
        <v>3-1</v>
      </c>
      <c r="S525" s="153"/>
      <c r="T525" s="148" t="str">
        <f t="shared" si="361"/>
        <v>Completed</v>
      </c>
      <c r="U525" s="153"/>
      <c r="V525" s="153"/>
      <c r="W525" s="387">
        <f t="shared" si="362"/>
        <v>2</v>
      </c>
      <c r="X525" s="387">
        <f t="shared" si="363"/>
        <v>-2</v>
      </c>
      <c r="Y525" s="301">
        <f t="shared" si="364"/>
        <v>2</v>
      </c>
      <c r="Z525" s="301">
        <f t="shared" si="365"/>
        <v>0</v>
      </c>
      <c r="AA525" s="323" t="str">
        <f>CONCATENATE("                x[team1,team2,sport,'",IF(OR(I525="x",I525=""),VLOOKUP('Schedule from TM'!J525,Tables!$P$3:$Q$33,2,FALSE),'Schedule from TM'!I525),",",J525,"','",IF(OR(F525="x",F525=""),VLOOKUP('Schedule from TM'!G525,Tables!$U$3:$V$14,2,FALSE),'Schedule from TM'!F525),",",TEXT(G525,"mm/dd/yyyy"),"','",TEXT(H525,"h:mm:ss AM/PM"),"'].ub=0.0      #",B525)</f>
        <v xml:space="preserve">                x[team1,team2,sport,'11,JCC Back Field 2','11,11/19/2017','5:10:00 PM'].ub=0.0      #Junior A Male Mini Soccer</v>
      </c>
      <c r="AB525" s="301" t="str">
        <f t="shared" si="366"/>
        <v>,,Junior A Male Mini Soccer,,1,JR A M - ARG 2</v>
      </c>
      <c r="AC525" s="153" t="str">
        <f t="shared" si="367"/>
        <v>Junior A Male Mini SoccerJR A M - ARG 2</v>
      </c>
      <c r="AD525" s="301" t="str">
        <f t="shared" si="368"/>
        <v>,,Junior A Male Mini Soccer,,1,JR A M - USA 1</v>
      </c>
      <c r="AE525" s="153" t="str">
        <f t="shared" si="369"/>
        <v>Junior A Male Mini SoccerJR A M - USA 1</v>
      </c>
      <c r="AF525" s="383">
        <f t="shared" si="370"/>
        <v>1</v>
      </c>
      <c r="AG525" s="383">
        <f t="shared" si="371"/>
        <v>0</v>
      </c>
      <c r="AH525" s="383">
        <f t="shared" si="372"/>
        <v>0</v>
      </c>
      <c r="AI525" s="383">
        <f t="shared" si="373"/>
        <v>0</v>
      </c>
      <c r="AJ525" s="383">
        <f t="shared" si="374"/>
        <v>1</v>
      </c>
      <c r="AK525" s="383">
        <f t="shared" si="375"/>
        <v>0</v>
      </c>
      <c r="AM525" s="148" t="str">
        <f t="shared" si="376"/>
        <v>Schedulled</v>
      </c>
      <c r="AN525" s="148" t="str">
        <f t="shared" si="377"/>
        <v/>
      </c>
      <c r="AO525" s="156">
        <f t="shared" si="378"/>
        <v>43058.715277777781</v>
      </c>
      <c r="AP525" s="148" t="str">
        <f t="shared" si="379"/>
        <v>11/19/2017 17:10-&gt;JCC Back Field 2</v>
      </c>
      <c r="AQ525" s="374">
        <f t="shared" si="380"/>
        <v>1</v>
      </c>
      <c r="AR525" s="148" t="str">
        <f t="shared" si="381"/>
        <v>ARG2</v>
      </c>
      <c r="AS525" s="148" t="str">
        <f t="shared" si="382"/>
        <v>USA1</v>
      </c>
      <c r="AT525" s="157" t="str">
        <f t="shared" si="383"/>
        <v>ARG2-USA1</v>
      </c>
      <c r="AU525" s="157" t="str">
        <f t="shared" si="384"/>
        <v xml:space="preserve">ARG2-USA1 </v>
      </c>
      <c r="AV525" s="157" t="str">
        <f t="shared" si="385"/>
        <v>JUNIORS A MALE</v>
      </c>
      <c r="AW525" s="157" t="str">
        <f t="shared" si="386"/>
        <v>Soccer</v>
      </c>
      <c r="AX525" s="376">
        <f t="shared" si="387"/>
        <v>523</v>
      </c>
      <c r="AY525" s="148" t="str">
        <f t="shared" si="388"/>
        <v>JR A M - ARG 2-&gt;JR A M - USA 1</v>
      </c>
      <c r="AZ525" s="148" t="str">
        <f t="shared" si="389"/>
        <v>11/19/2017 17:10-&gt;JR A M - ARG 2</v>
      </c>
      <c r="BA525" s="148" t="str">
        <f t="shared" si="390"/>
        <v>11/19/2017 17:10-&gt;JR A M - USA 1</v>
      </c>
      <c r="BB525" s="374">
        <f t="shared" si="391"/>
        <v>1</v>
      </c>
      <c r="BC525" s="374">
        <f t="shared" si="392"/>
        <v>1</v>
      </c>
      <c r="BD525" s="148" t="str">
        <f t="shared" si="393"/>
        <v>no conflict</v>
      </c>
      <c r="BF525" s="148" t="str">
        <f t="shared" si="394"/>
        <v>11/19/2017 17:10-&gt;JR A M - ARG 2</v>
      </c>
      <c r="BG525" s="148" t="str">
        <f t="shared" si="395"/>
        <v>11/19/2017 17:10-&gt;JR A M - USA 1</v>
      </c>
      <c r="BH525" s="148" t="str">
        <f t="shared" si="396"/>
        <v>11/19/2017 17:10-&gt;JCC Back Field 2</v>
      </c>
      <c r="BI525" s="148" t="str">
        <f t="shared" si="397"/>
        <v>Soccer in JCC Back Field 2 (ARG2-USA1)</v>
      </c>
      <c r="BJ525" s="148" t="str">
        <f t="shared" si="398"/>
        <v>Junior A Male Mini Soccer-- JR A M - ARG 2 vs. JR A M - USA 1</v>
      </c>
      <c r="BK525" s="148" t="str">
        <f t="shared" si="399"/>
        <v>Soccer</v>
      </c>
      <c r="BL525" s="148" t="str">
        <f t="shared" si="400"/>
        <v>JR A M - ARG 2</v>
      </c>
      <c r="BM525" s="148" t="str">
        <f t="shared" si="401"/>
        <v>JR A M - USA 1</v>
      </c>
      <c r="BN525" s="148" t="str">
        <f t="shared" si="402"/>
        <v>Round - 1</v>
      </c>
      <c r="BP525" s="148" t="str">
        <f t="shared" si="403"/>
        <v>no t, f, or sf</v>
      </c>
      <c r="BQ525" s="148" t="str">
        <f t="shared" si="404"/>
        <v/>
      </c>
    </row>
    <row r="526" spans="1:69" ht="15" customHeight="1" x14ac:dyDescent="0.2">
      <c r="A526" s="376">
        <v>524</v>
      </c>
      <c r="B526" s="319" t="s">
        <v>71</v>
      </c>
      <c r="C526" s="319" t="s">
        <v>518</v>
      </c>
      <c r="D526" s="376">
        <v>1</v>
      </c>
      <c r="E526" s="376">
        <v>1</v>
      </c>
      <c r="F526" s="315" t="s">
        <v>770</v>
      </c>
      <c r="G526" s="320">
        <v>43058</v>
      </c>
      <c r="H526" s="318">
        <v>0.78472222222222221</v>
      </c>
      <c r="I526" s="325" t="s">
        <v>770</v>
      </c>
      <c r="J526" s="319" t="s">
        <v>693</v>
      </c>
      <c r="K526" s="319">
        <v>61</v>
      </c>
      <c r="L526" s="433" t="s">
        <v>639</v>
      </c>
      <c r="M526" s="433">
        <v>61</v>
      </c>
      <c r="N526" s="433" t="s">
        <v>643</v>
      </c>
      <c r="O526" s="153" t="str">
        <f>IF(L526&lt;&gt;"",IFERROR(VLOOKUP(B526&amp;L526,Pools!$A$2:$D$130,3,FALSE),""),"")</f>
        <v/>
      </c>
      <c r="P526" s="388">
        <v>3</v>
      </c>
      <c r="Q526" s="388">
        <v>2</v>
      </c>
      <c r="R526" s="306" t="str">
        <f t="shared" si="360"/>
        <v>3-2</v>
      </c>
      <c r="S526" s="153"/>
      <c r="T526" s="148" t="str">
        <f t="shared" si="361"/>
        <v>Completed</v>
      </c>
      <c r="U526" s="153"/>
      <c r="V526" s="153"/>
      <c r="W526" s="387">
        <f t="shared" si="362"/>
        <v>1</v>
      </c>
      <c r="X526" s="387">
        <f t="shared" si="363"/>
        <v>-1</v>
      </c>
      <c r="Y526" s="301">
        <f t="shared" si="364"/>
        <v>2</v>
      </c>
      <c r="Z526" s="301">
        <f t="shared" si="365"/>
        <v>0</v>
      </c>
      <c r="AA526" s="323" t="str">
        <f>CONCATENATE("                x[team1,team2,sport,'",IF(OR(I526="x",I526=""),VLOOKUP('Schedule from TM'!J526,Tables!$P$3:$Q$33,2,FALSE),'Schedule from TM'!I526),",",J526,"','",IF(OR(F526="x",F526=""),VLOOKUP('Schedule from TM'!G526,Tables!$U$3:$V$14,2,FALSE),'Schedule from TM'!F526),",",TEXT(G526,"mm/dd/yyyy"),"','",TEXT(H526,"h:mm:ss AM/PM"),"'].ub=0.0      #",B526)</f>
        <v xml:space="preserve">                x[team1,team2,sport,'11,JCC Back Field 2','11,11/19/2017','6:50:00 PM'].ub=0.0      #Junior A Male Mini Soccer</v>
      </c>
      <c r="AB526" s="301" t="str">
        <f t="shared" si="366"/>
        <v>,,Junior A Male Mini Soccer,,1,JR A M - COL 1</v>
      </c>
      <c r="AC526" s="153" t="str">
        <f t="shared" si="367"/>
        <v>Junior A Male Mini SoccerJR A M - COL 1</v>
      </c>
      <c r="AD526" s="301" t="str">
        <f t="shared" si="368"/>
        <v>,,Junior A Male Mini Soccer,,1,JR A M - USA 2</v>
      </c>
      <c r="AE526" s="153" t="str">
        <f t="shared" si="369"/>
        <v>Junior A Male Mini SoccerJR A M - USA 2</v>
      </c>
      <c r="AF526" s="383">
        <f t="shared" si="370"/>
        <v>1</v>
      </c>
      <c r="AG526" s="383">
        <f t="shared" si="371"/>
        <v>0</v>
      </c>
      <c r="AH526" s="383">
        <f t="shared" si="372"/>
        <v>0</v>
      </c>
      <c r="AI526" s="383">
        <f t="shared" si="373"/>
        <v>0</v>
      </c>
      <c r="AJ526" s="383">
        <f t="shared" si="374"/>
        <v>1</v>
      </c>
      <c r="AK526" s="383">
        <f t="shared" si="375"/>
        <v>0</v>
      </c>
      <c r="AM526" s="148" t="str">
        <f t="shared" si="376"/>
        <v>Schedulled</v>
      </c>
      <c r="AN526" s="148" t="str">
        <f t="shared" si="377"/>
        <v/>
      </c>
      <c r="AO526" s="156">
        <f t="shared" si="378"/>
        <v>43058.784722222219</v>
      </c>
      <c r="AP526" s="148" t="str">
        <f t="shared" si="379"/>
        <v>11/19/2017 18:50-&gt;JCC Back Field 2</v>
      </c>
      <c r="AQ526" s="374">
        <f t="shared" si="380"/>
        <v>1</v>
      </c>
      <c r="AR526" s="148" t="str">
        <f t="shared" si="381"/>
        <v>COL1</v>
      </c>
      <c r="AS526" s="148" t="str">
        <f t="shared" si="382"/>
        <v>USA2</v>
      </c>
      <c r="AT526" s="157" t="str">
        <f t="shared" si="383"/>
        <v>COL1-USA2</v>
      </c>
      <c r="AU526" s="157" t="str">
        <f t="shared" si="384"/>
        <v xml:space="preserve">COL1-USA2 </v>
      </c>
      <c r="AV526" s="157" t="str">
        <f t="shared" si="385"/>
        <v>JUNIORS A MALE</v>
      </c>
      <c r="AW526" s="157" t="str">
        <f t="shared" si="386"/>
        <v>Soccer</v>
      </c>
      <c r="AX526" s="376">
        <f t="shared" si="387"/>
        <v>524</v>
      </c>
      <c r="AY526" s="148" t="str">
        <f t="shared" si="388"/>
        <v>JR A M - COL 1-&gt;JR A M - USA 2</v>
      </c>
      <c r="AZ526" s="148" t="str">
        <f t="shared" si="389"/>
        <v>11/19/2017 18:50-&gt;JR A M - COL 1</v>
      </c>
      <c r="BA526" s="148" t="str">
        <f t="shared" si="390"/>
        <v>11/19/2017 18:50-&gt;JR A M - USA 2</v>
      </c>
      <c r="BB526" s="374">
        <f t="shared" si="391"/>
        <v>1</v>
      </c>
      <c r="BC526" s="374">
        <f t="shared" si="392"/>
        <v>1</v>
      </c>
      <c r="BD526" s="148" t="str">
        <f t="shared" si="393"/>
        <v>no conflict</v>
      </c>
      <c r="BF526" s="148" t="str">
        <f t="shared" si="394"/>
        <v>11/19/2017 18:50-&gt;JR A M - COL 1</v>
      </c>
      <c r="BG526" s="148" t="str">
        <f t="shared" si="395"/>
        <v>11/19/2017 18:50-&gt;JR A M - USA 2</v>
      </c>
      <c r="BH526" s="148" t="str">
        <f t="shared" si="396"/>
        <v>11/19/2017 18:50-&gt;JCC Back Field 2</v>
      </c>
      <c r="BI526" s="148" t="str">
        <f t="shared" si="397"/>
        <v>Soccer in JCC Back Field 2 (COL1-USA2)</v>
      </c>
      <c r="BJ526" s="148" t="str">
        <f t="shared" si="398"/>
        <v>Junior A Male Mini Soccer-- JR A M - COL 1 vs. JR A M - USA 2</v>
      </c>
      <c r="BK526" s="148" t="str">
        <f t="shared" si="399"/>
        <v>Soccer</v>
      </c>
      <c r="BL526" s="148" t="str">
        <f t="shared" si="400"/>
        <v>JR A M - COL 1</v>
      </c>
      <c r="BM526" s="148" t="str">
        <f t="shared" si="401"/>
        <v>JR A M - USA 2</v>
      </c>
      <c r="BN526" s="148" t="str">
        <f t="shared" si="402"/>
        <v>Round - 1</v>
      </c>
      <c r="BP526" s="148" t="str">
        <f t="shared" si="403"/>
        <v>no t, f, or sf</v>
      </c>
      <c r="BQ526" s="148" t="str">
        <f t="shared" si="404"/>
        <v/>
      </c>
    </row>
    <row r="527" spans="1:69" ht="15" customHeight="1" x14ac:dyDescent="0.2">
      <c r="A527" s="376">
        <v>525</v>
      </c>
      <c r="B527" s="441" t="s">
        <v>71</v>
      </c>
      <c r="C527" s="441" t="s">
        <v>518</v>
      </c>
      <c r="D527" s="450">
        <v>1</v>
      </c>
      <c r="E527" s="450">
        <v>1</v>
      </c>
      <c r="F527" s="315" t="s">
        <v>770</v>
      </c>
      <c r="G527" s="320">
        <v>43060</v>
      </c>
      <c r="H527" s="318">
        <v>0.75</v>
      </c>
      <c r="I527" s="325" t="s">
        <v>770</v>
      </c>
      <c r="J527" s="296" t="s">
        <v>695</v>
      </c>
      <c r="K527" s="441">
        <v>61</v>
      </c>
      <c r="L527" s="433" t="s">
        <v>637</v>
      </c>
      <c r="M527" s="433">
        <v>61</v>
      </c>
      <c r="N527" s="433" t="s">
        <v>644</v>
      </c>
      <c r="O527" s="153" t="str">
        <f>IF(L527&lt;&gt;"",IFERROR(VLOOKUP(B527&amp;L527,Pools!$A$2:$D$130,3,FALSE),""),"")</f>
        <v/>
      </c>
      <c r="P527" s="388">
        <v>9</v>
      </c>
      <c r="Q527" s="388">
        <v>1</v>
      </c>
      <c r="R527" s="306" t="str">
        <f t="shared" si="360"/>
        <v>9-1</v>
      </c>
      <c r="S527" s="153"/>
      <c r="T527" s="148" t="str">
        <f t="shared" si="361"/>
        <v>Completed</v>
      </c>
      <c r="U527" s="153"/>
      <c r="V527" s="153"/>
      <c r="W527" s="387">
        <f t="shared" si="362"/>
        <v>3</v>
      </c>
      <c r="X527" s="387">
        <f t="shared" si="363"/>
        <v>-3</v>
      </c>
      <c r="Y527" s="301">
        <f t="shared" si="364"/>
        <v>2</v>
      </c>
      <c r="Z527" s="301">
        <f t="shared" si="365"/>
        <v>0</v>
      </c>
      <c r="AA527" s="323" t="str">
        <f>CONCATENATE("                x[team1,team2,sport,'",IF(OR(I527="x",I527=""),VLOOKUP('Schedule from TM'!J527,Tables!$P$3:$Q$33,2,FALSE),'Schedule from TM'!I527),",",J527,"','",IF(OR(F527="x",F527=""),VLOOKUP('Schedule from TM'!G527,Tables!$U$3:$V$14,2,FALSE),'Schedule from TM'!F527),",",TEXT(G527,"mm/dd/yyyy"),"','",TEXT(H527,"h:mm:ss AM/PM"),"'].ub=0.0      #",B527)</f>
        <v xml:space="preserve">                x[team1,team2,sport,'11,JCC Back Field 1','22,11/21/2017','6:00:00 PM'].ub=0.0      #Junior A Male Mini Soccer</v>
      </c>
      <c r="AB527" s="301" t="str">
        <f t="shared" si="366"/>
        <v>,,Junior A Male Mini Soccer,,1,JR A M - ARG 1</v>
      </c>
      <c r="AC527" s="153" t="str">
        <f t="shared" si="367"/>
        <v>Junior A Male Mini SoccerJR A M - ARG 1</v>
      </c>
      <c r="AD527" s="301" t="str">
        <f t="shared" si="368"/>
        <v>,,Junior A Male Mini Soccer,,1,JR A M - ISR 1</v>
      </c>
      <c r="AE527" s="153" t="str">
        <f t="shared" si="369"/>
        <v>Junior A Male Mini SoccerJR A M - ISR 1</v>
      </c>
      <c r="AF527" s="383">
        <f t="shared" si="370"/>
        <v>1</v>
      </c>
      <c r="AG527" s="383">
        <f t="shared" si="371"/>
        <v>0</v>
      </c>
      <c r="AH527" s="383">
        <f t="shared" si="372"/>
        <v>0</v>
      </c>
      <c r="AI527" s="383">
        <f t="shared" si="373"/>
        <v>0</v>
      </c>
      <c r="AJ527" s="383">
        <f t="shared" si="374"/>
        <v>1</v>
      </c>
      <c r="AK527" s="383">
        <f t="shared" si="375"/>
        <v>0</v>
      </c>
      <c r="AM527" s="148" t="str">
        <f t="shared" si="376"/>
        <v>Schedulled</v>
      </c>
      <c r="AN527" s="148" t="str">
        <f t="shared" si="377"/>
        <v/>
      </c>
      <c r="AO527" s="156">
        <f t="shared" si="378"/>
        <v>43060.75</v>
      </c>
      <c r="AP527" s="148" t="str">
        <f t="shared" si="379"/>
        <v>11/21/2017 18:00-&gt;JCC Back Field 1</v>
      </c>
      <c r="AQ527" s="374">
        <f t="shared" si="380"/>
        <v>1</v>
      </c>
      <c r="AR527" s="148" t="str">
        <f t="shared" si="381"/>
        <v>ARG1</v>
      </c>
      <c r="AS527" s="148" t="str">
        <f t="shared" si="382"/>
        <v>ISR1</v>
      </c>
      <c r="AT527" s="157" t="str">
        <f t="shared" si="383"/>
        <v>ARG1-ISR1</v>
      </c>
      <c r="AU527" s="157" t="str">
        <f t="shared" si="384"/>
        <v xml:space="preserve">ARG1-ISR1 </v>
      </c>
      <c r="AV527" s="157" t="str">
        <f t="shared" si="385"/>
        <v>JUNIORS A MALE</v>
      </c>
      <c r="AW527" s="157" t="str">
        <f t="shared" si="386"/>
        <v>Soccer</v>
      </c>
      <c r="AX527" s="376">
        <f t="shared" si="387"/>
        <v>525</v>
      </c>
      <c r="AY527" s="148" t="str">
        <f t="shared" si="388"/>
        <v>JR A M - ARG 1-&gt;JR A M - ISR 1</v>
      </c>
      <c r="AZ527" s="148" t="str">
        <f t="shared" si="389"/>
        <v>11/21/2017 18:00-&gt;JR A M - ARG 1</v>
      </c>
      <c r="BA527" s="148" t="str">
        <f t="shared" si="390"/>
        <v>11/21/2017 18:00-&gt;JR A M - ISR 1</v>
      </c>
      <c r="BB527" s="374">
        <f t="shared" si="391"/>
        <v>1</v>
      </c>
      <c r="BC527" s="374">
        <f t="shared" si="392"/>
        <v>1</v>
      </c>
      <c r="BD527" s="148" t="str">
        <f t="shared" si="393"/>
        <v>no conflict</v>
      </c>
      <c r="BF527" s="148" t="str">
        <f t="shared" si="394"/>
        <v>11/21/2017 18:00-&gt;JR A M - ARG 1</v>
      </c>
      <c r="BG527" s="148" t="str">
        <f t="shared" si="395"/>
        <v>11/21/2017 18:00-&gt;JR A M - ISR 1</v>
      </c>
      <c r="BH527" s="148" t="str">
        <f t="shared" si="396"/>
        <v>11/21/2017 18:00-&gt;JCC Back Field 1</v>
      </c>
      <c r="BI527" s="148" t="str">
        <f t="shared" si="397"/>
        <v>Soccer in JCC Back Field 1 (ARG1-ISR1)</v>
      </c>
      <c r="BJ527" s="148" t="str">
        <f t="shared" si="398"/>
        <v>Junior A Male Mini Soccer-- JR A M - ARG 1 vs. JR A M - ISR 1</v>
      </c>
      <c r="BK527" s="148" t="str">
        <f t="shared" si="399"/>
        <v>Soccer</v>
      </c>
      <c r="BL527" s="148" t="str">
        <f t="shared" si="400"/>
        <v>JR A M - ARG 1</v>
      </c>
      <c r="BM527" s="148" t="str">
        <f t="shared" si="401"/>
        <v>JR A M - ISR 1</v>
      </c>
      <c r="BN527" s="148" t="str">
        <f t="shared" si="402"/>
        <v>Round - 1</v>
      </c>
      <c r="BP527" s="148" t="str">
        <f t="shared" si="403"/>
        <v>no t, f, or sf</v>
      </c>
      <c r="BQ527" s="148" t="str">
        <f t="shared" si="404"/>
        <v/>
      </c>
    </row>
    <row r="528" spans="1:69" ht="15" customHeight="1" x14ac:dyDescent="0.2">
      <c r="A528" s="376">
        <v>526</v>
      </c>
      <c r="B528" s="444" t="s">
        <v>71</v>
      </c>
      <c r="C528" s="315" t="s">
        <v>518</v>
      </c>
      <c r="D528" s="378">
        <v>1</v>
      </c>
      <c r="E528" s="378">
        <v>1</v>
      </c>
      <c r="F528" s="315" t="s">
        <v>770</v>
      </c>
      <c r="G528" s="445">
        <v>43060</v>
      </c>
      <c r="H528" s="318">
        <v>0.75</v>
      </c>
      <c r="I528" s="325" t="s">
        <v>770</v>
      </c>
      <c r="J528" s="443" t="s">
        <v>692</v>
      </c>
      <c r="K528" s="444">
        <v>61</v>
      </c>
      <c r="L528" s="433" t="s">
        <v>719</v>
      </c>
      <c r="M528" s="433">
        <v>61</v>
      </c>
      <c r="N528" s="433" t="s">
        <v>639</v>
      </c>
      <c r="O528" s="153" t="str">
        <f>IF(L528&lt;&gt;"",IFERROR(VLOOKUP(B528&amp;L528,Pools!$A$2:$D$130,3,FALSE),""),"")</f>
        <v/>
      </c>
      <c r="P528" s="388">
        <v>3</v>
      </c>
      <c r="Q528" s="388">
        <v>4</v>
      </c>
      <c r="R528" s="306" t="str">
        <f t="shared" si="360"/>
        <v>3-4</v>
      </c>
      <c r="S528" s="153"/>
      <c r="T528" s="148" t="str">
        <f t="shared" si="361"/>
        <v>Completed</v>
      </c>
      <c r="U528" s="153"/>
      <c r="V528" s="153"/>
      <c r="W528" s="387">
        <f t="shared" si="362"/>
        <v>-1</v>
      </c>
      <c r="X528" s="387">
        <f t="shared" si="363"/>
        <v>1</v>
      </c>
      <c r="Y528" s="301">
        <f t="shared" si="364"/>
        <v>0</v>
      </c>
      <c r="Z528" s="301">
        <f t="shared" si="365"/>
        <v>2</v>
      </c>
      <c r="AA528" s="323" t="str">
        <f>CONCATENATE("                x[team1,team2,sport,'",IF(OR(I528="x",I528=""),VLOOKUP('Schedule from TM'!J528,Tables!$P$3:$Q$33,2,FALSE),'Schedule from TM'!I528),",",J528,"','",IF(OR(F528="x",F528=""),VLOOKUP('Schedule from TM'!G528,Tables!$U$3:$V$14,2,FALSE),'Schedule from TM'!F528),",",TEXT(G528,"mm/dd/yyyy"),"','",TEXT(H528,"h:mm:ss AM/PM"),"'].ub=0.0      #",B528)</f>
        <v xml:space="preserve">                x[team1,team2,sport,'11,JCC Back Field 3','22,11/21/2017','6:00:00 PM'].ub=0.0      #Junior A Male Mini Soccer</v>
      </c>
      <c r="AB528" s="301" t="str">
        <f t="shared" si="366"/>
        <v>,,Junior A Male Mini Soccer,,1,JR A M - MEX 1</v>
      </c>
      <c r="AC528" s="153" t="str">
        <f t="shared" si="367"/>
        <v>Junior A Male Mini SoccerJR A M - MEX 1</v>
      </c>
      <c r="AD528" s="301" t="str">
        <f t="shared" si="368"/>
        <v>,,Junior A Male Mini Soccer,,1,JR A M - COL 1</v>
      </c>
      <c r="AE528" s="153" t="str">
        <f t="shared" si="369"/>
        <v>Junior A Male Mini SoccerJR A M - COL 1</v>
      </c>
      <c r="AF528" s="383">
        <f t="shared" si="370"/>
        <v>0</v>
      </c>
      <c r="AG528" s="383">
        <f t="shared" si="371"/>
        <v>1</v>
      </c>
      <c r="AH528" s="383">
        <f t="shared" si="372"/>
        <v>0</v>
      </c>
      <c r="AI528" s="383">
        <f t="shared" si="373"/>
        <v>1</v>
      </c>
      <c r="AJ528" s="383">
        <f t="shared" si="374"/>
        <v>0</v>
      </c>
      <c r="AK528" s="383">
        <f t="shared" si="375"/>
        <v>0</v>
      </c>
      <c r="AM528" s="148" t="str">
        <f t="shared" si="376"/>
        <v>Schedulled</v>
      </c>
      <c r="AN528" s="148" t="str">
        <f t="shared" si="377"/>
        <v/>
      </c>
      <c r="AO528" s="156">
        <f t="shared" si="378"/>
        <v>43060.75</v>
      </c>
      <c r="AP528" s="148" t="str">
        <f t="shared" si="379"/>
        <v>11/21/2017 18:00-&gt;JCC Back Field 3</v>
      </c>
      <c r="AQ528" s="374">
        <f t="shared" si="380"/>
        <v>1</v>
      </c>
      <c r="AR528" s="148" t="str">
        <f t="shared" si="381"/>
        <v>MEX1</v>
      </c>
      <c r="AS528" s="148" t="str">
        <f t="shared" si="382"/>
        <v>COL1</v>
      </c>
      <c r="AT528" s="157" t="str">
        <f t="shared" si="383"/>
        <v>MEX1-COL1</v>
      </c>
      <c r="AU528" s="157" t="str">
        <f t="shared" si="384"/>
        <v xml:space="preserve">MEX1-COL1 </v>
      </c>
      <c r="AV528" s="157" t="str">
        <f t="shared" si="385"/>
        <v>JUNIORS A MALE</v>
      </c>
      <c r="AW528" s="157" t="str">
        <f t="shared" si="386"/>
        <v>Soccer</v>
      </c>
      <c r="AX528" s="376">
        <f t="shared" si="387"/>
        <v>526</v>
      </c>
      <c r="AY528" s="148" t="str">
        <f t="shared" si="388"/>
        <v>JR A M - MEX 1-&gt;JR A M - COL 1</v>
      </c>
      <c r="AZ528" s="148" t="str">
        <f t="shared" si="389"/>
        <v>11/21/2017 18:00-&gt;JR A M - MEX 1</v>
      </c>
      <c r="BA528" s="148" t="str">
        <f t="shared" si="390"/>
        <v>11/21/2017 18:00-&gt;JR A M - COL 1</v>
      </c>
      <c r="BB528" s="374">
        <f t="shared" si="391"/>
        <v>1</v>
      </c>
      <c r="BC528" s="374">
        <f t="shared" si="392"/>
        <v>1</v>
      </c>
      <c r="BD528" s="148" t="str">
        <f t="shared" si="393"/>
        <v>no conflict</v>
      </c>
      <c r="BF528" s="148" t="str">
        <f t="shared" si="394"/>
        <v>11/21/2017 18:00-&gt;JR A M - MEX 1</v>
      </c>
      <c r="BG528" s="148" t="str">
        <f t="shared" si="395"/>
        <v>11/21/2017 18:00-&gt;JR A M - COL 1</v>
      </c>
      <c r="BH528" s="148" t="str">
        <f t="shared" si="396"/>
        <v>11/21/2017 18:00-&gt;JCC Back Field 3</v>
      </c>
      <c r="BI528" s="148" t="str">
        <f t="shared" si="397"/>
        <v>Soccer in JCC Back Field 3 (MEX1-COL1)</v>
      </c>
      <c r="BJ528" s="148" t="str">
        <f t="shared" si="398"/>
        <v>Junior A Male Mini Soccer-- JR A M - MEX 1 vs. JR A M - COL 1</v>
      </c>
      <c r="BK528" s="148" t="str">
        <f t="shared" si="399"/>
        <v>Soccer</v>
      </c>
      <c r="BL528" s="148" t="str">
        <f t="shared" si="400"/>
        <v>JR A M - MEX 1</v>
      </c>
      <c r="BM528" s="148" t="str">
        <f t="shared" si="401"/>
        <v>JR A M - COL 1</v>
      </c>
      <c r="BN528" s="148" t="str">
        <f t="shared" si="402"/>
        <v>Round - 1</v>
      </c>
      <c r="BP528" s="148" t="str">
        <f t="shared" si="403"/>
        <v>no t, f, or sf</v>
      </c>
      <c r="BQ528" s="148" t="str">
        <f t="shared" si="404"/>
        <v/>
      </c>
    </row>
    <row r="529" spans="1:69" ht="16" x14ac:dyDescent="0.2">
      <c r="A529" s="376">
        <v>527</v>
      </c>
      <c r="B529" s="328" t="s">
        <v>71</v>
      </c>
      <c r="C529" s="315" t="s">
        <v>518</v>
      </c>
      <c r="D529" s="378">
        <v>1</v>
      </c>
      <c r="E529" s="378">
        <v>1</v>
      </c>
      <c r="F529" s="315" t="s">
        <v>770</v>
      </c>
      <c r="G529" s="316">
        <v>43061</v>
      </c>
      <c r="H529" s="318">
        <v>0.81944444444444453</v>
      </c>
      <c r="I529" s="325" t="s">
        <v>770</v>
      </c>
      <c r="J529" s="444" t="s">
        <v>694</v>
      </c>
      <c r="K529" s="444">
        <v>61</v>
      </c>
      <c r="L529" s="441" t="s">
        <v>642</v>
      </c>
      <c r="M529" s="444">
        <v>61</v>
      </c>
      <c r="N529" s="441" t="s">
        <v>645</v>
      </c>
      <c r="O529" s="153" t="str">
        <f>IF(L529&lt;&gt;"",IFERROR(VLOOKUP(B529&amp;L529,Pools!$A$2:$D$130,3,FALSE),""),"")</f>
        <v/>
      </c>
      <c r="P529" s="388">
        <v>0</v>
      </c>
      <c r="Q529" s="388">
        <v>9</v>
      </c>
      <c r="R529" s="306" t="str">
        <f t="shared" si="360"/>
        <v>0-9</v>
      </c>
      <c r="S529" s="153"/>
      <c r="T529" s="148" t="str">
        <f t="shared" si="361"/>
        <v>Completed</v>
      </c>
      <c r="U529" s="153"/>
      <c r="V529" s="153"/>
      <c r="W529" s="387">
        <f t="shared" si="362"/>
        <v>-3</v>
      </c>
      <c r="X529" s="387">
        <f t="shared" si="363"/>
        <v>3</v>
      </c>
      <c r="Y529" s="301">
        <f t="shared" si="364"/>
        <v>0</v>
      </c>
      <c r="Z529" s="301">
        <f t="shared" si="365"/>
        <v>2</v>
      </c>
      <c r="AA529" s="323" t="str">
        <f>CONCATENATE("                x[team1,team2,sport,'",IF(OR(I529="x",I529=""),VLOOKUP('Schedule from TM'!J529,Tables!$P$3:$Q$33,2,FALSE),'Schedule from TM'!I529),",",J529,"','",IF(OR(F529="x",F529=""),VLOOKUP('Schedule from TM'!G529,Tables!$U$3:$V$14,2,FALSE),'Schedule from TM'!F529),",",TEXT(G529,"mm/dd/yyyy"),"','",TEXT(H529,"h:mm:ss AM/PM"),"'].ub=0.0      #",B529)</f>
        <v xml:space="preserve">                x[team1,team2,sport,'11,JCC Back Field 4','22,11/22/2017','7:40:00 PM'].ub=0.0      #Junior A Male Mini Soccer</v>
      </c>
      <c r="AB529" s="301" t="str">
        <f t="shared" si="366"/>
        <v>,,Junior A Male Mini Soccer,,1,JR A M - USA 1</v>
      </c>
      <c r="AC529" s="153" t="str">
        <f t="shared" si="367"/>
        <v>Junior A Male Mini SoccerJR A M - USA 1</v>
      </c>
      <c r="AD529" s="301" t="str">
        <f t="shared" si="368"/>
        <v>,,Junior A Male Mini Soccer,,1,JR A M - VEN 1</v>
      </c>
      <c r="AE529" s="153" t="str">
        <f t="shared" si="369"/>
        <v>Junior A Male Mini SoccerJR A M - VEN 1</v>
      </c>
      <c r="AF529" s="383">
        <f t="shared" si="370"/>
        <v>0</v>
      </c>
      <c r="AG529" s="383">
        <f t="shared" si="371"/>
        <v>1</v>
      </c>
      <c r="AH529" s="383">
        <f t="shared" si="372"/>
        <v>0</v>
      </c>
      <c r="AI529" s="383">
        <f t="shared" si="373"/>
        <v>1</v>
      </c>
      <c r="AJ529" s="383">
        <f t="shared" si="374"/>
        <v>0</v>
      </c>
      <c r="AK529" s="383">
        <f t="shared" si="375"/>
        <v>0</v>
      </c>
      <c r="AM529" s="148" t="str">
        <f t="shared" si="376"/>
        <v>Schedulled</v>
      </c>
      <c r="AN529" s="148" t="str">
        <f t="shared" si="377"/>
        <v/>
      </c>
      <c r="AO529" s="156">
        <f t="shared" si="378"/>
        <v>43061.819444444445</v>
      </c>
      <c r="AP529" s="148" t="str">
        <f t="shared" si="379"/>
        <v>11/22/2017 19:40-&gt;JCC Back Field 4</v>
      </c>
      <c r="AQ529" s="374">
        <f t="shared" si="380"/>
        <v>1</v>
      </c>
      <c r="AR529" s="148" t="str">
        <f t="shared" si="381"/>
        <v>USA1</v>
      </c>
      <c r="AS529" s="148" t="str">
        <f t="shared" si="382"/>
        <v>VEN1</v>
      </c>
      <c r="AT529" s="157" t="str">
        <f t="shared" si="383"/>
        <v>USA1-VEN1</v>
      </c>
      <c r="AU529" s="157" t="str">
        <f t="shared" si="384"/>
        <v xml:space="preserve">USA1-VEN1 </v>
      </c>
      <c r="AV529" s="157" t="str">
        <f t="shared" si="385"/>
        <v>JUNIORS A MALE</v>
      </c>
      <c r="AW529" s="157" t="str">
        <f t="shared" si="386"/>
        <v>Soccer</v>
      </c>
      <c r="AX529" s="376">
        <f t="shared" si="387"/>
        <v>527</v>
      </c>
      <c r="AY529" s="148" t="str">
        <f t="shared" si="388"/>
        <v>JR A M - USA 1-&gt;JR A M - VEN 1</v>
      </c>
      <c r="AZ529" s="148" t="str">
        <f t="shared" si="389"/>
        <v>11/22/2017 19:40-&gt;JR A M - USA 1</v>
      </c>
      <c r="BA529" s="148" t="str">
        <f t="shared" si="390"/>
        <v>11/22/2017 19:40-&gt;JR A M - VEN 1</v>
      </c>
      <c r="BB529" s="374">
        <f t="shared" si="391"/>
        <v>1</v>
      </c>
      <c r="BC529" s="374">
        <f t="shared" si="392"/>
        <v>1</v>
      </c>
      <c r="BD529" s="148" t="str">
        <f t="shared" si="393"/>
        <v>no conflict</v>
      </c>
      <c r="BF529" s="148" t="str">
        <f t="shared" si="394"/>
        <v>11/22/2017 19:40-&gt;JR A M - USA 1</v>
      </c>
      <c r="BG529" s="148" t="str">
        <f t="shared" si="395"/>
        <v>11/22/2017 19:40-&gt;JR A M - VEN 1</v>
      </c>
      <c r="BH529" s="148" t="str">
        <f t="shared" si="396"/>
        <v>11/22/2017 19:40-&gt;JCC Back Field 4</v>
      </c>
      <c r="BI529" s="148" t="str">
        <f t="shared" si="397"/>
        <v>Soccer in JCC Back Field 4 (USA1-VEN1)</v>
      </c>
      <c r="BJ529" s="148" t="str">
        <f t="shared" si="398"/>
        <v>Junior A Male Mini Soccer-- JR A M - USA 1 vs. JR A M - VEN 1</v>
      </c>
      <c r="BK529" s="148" t="str">
        <f t="shared" si="399"/>
        <v>Soccer</v>
      </c>
      <c r="BL529" s="148" t="str">
        <f t="shared" si="400"/>
        <v>JR A M - USA 1</v>
      </c>
      <c r="BM529" s="148" t="str">
        <f t="shared" si="401"/>
        <v>JR A M - VEN 1</v>
      </c>
      <c r="BN529" s="148" t="str">
        <f t="shared" si="402"/>
        <v>Round - 1</v>
      </c>
      <c r="BP529" s="148" t="str">
        <f t="shared" si="403"/>
        <v>no t, f, or sf</v>
      </c>
      <c r="BQ529" s="148" t="str">
        <f t="shared" si="404"/>
        <v/>
      </c>
    </row>
    <row r="530" spans="1:69" ht="16" x14ac:dyDescent="0.2">
      <c r="A530" s="376">
        <v>528</v>
      </c>
      <c r="B530" s="441" t="s">
        <v>71</v>
      </c>
      <c r="C530" s="441" t="s">
        <v>518</v>
      </c>
      <c r="D530" s="450">
        <v>1</v>
      </c>
      <c r="E530" s="450">
        <v>1</v>
      </c>
      <c r="F530" s="315" t="s">
        <v>770</v>
      </c>
      <c r="G530" s="320">
        <v>43062</v>
      </c>
      <c r="H530" s="318">
        <v>0.40277777777777773</v>
      </c>
      <c r="I530" s="325" t="s">
        <v>770</v>
      </c>
      <c r="J530" s="296" t="s">
        <v>695</v>
      </c>
      <c r="K530" s="441">
        <v>61</v>
      </c>
      <c r="L530" s="433" t="s">
        <v>637</v>
      </c>
      <c r="M530" s="433">
        <v>61</v>
      </c>
      <c r="N530" s="433" t="s">
        <v>642</v>
      </c>
      <c r="O530" s="153" t="str">
        <f>IF(L530&lt;&gt;"",IFERROR(VLOOKUP(B530&amp;L530,Pools!$A$2:$D$130,3,FALSE),""),"")</f>
        <v/>
      </c>
      <c r="P530" s="388">
        <v>12</v>
      </c>
      <c r="Q530" s="388">
        <v>2</v>
      </c>
      <c r="R530" s="306" t="str">
        <f t="shared" si="360"/>
        <v>12-2</v>
      </c>
      <c r="S530" s="153"/>
      <c r="T530" s="148" t="str">
        <f t="shared" si="361"/>
        <v>Completed</v>
      </c>
      <c r="U530" s="153"/>
      <c r="V530" s="153"/>
      <c r="W530" s="387">
        <f t="shared" si="362"/>
        <v>3</v>
      </c>
      <c r="X530" s="387">
        <f t="shared" si="363"/>
        <v>-3</v>
      </c>
      <c r="Y530" s="301">
        <f t="shared" si="364"/>
        <v>2</v>
      </c>
      <c r="Z530" s="301">
        <f t="shared" si="365"/>
        <v>0</v>
      </c>
      <c r="AA530" s="323" t="str">
        <f>CONCATENATE("                x[team1,team2,sport,'",IF(OR(I530="x",I530=""),VLOOKUP('Schedule from TM'!J530,Tables!$P$3:$Q$33,2,FALSE),'Schedule from TM'!I530),",",J530,"','",IF(OR(F530="x",F530=""),VLOOKUP('Schedule from TM'!G530,Tables!$U$3:$V$14,2,FALSE),'Schedule from TM'!F530),",",TEXT(G530,"mm/dd/yyyy"),"','",TEXT(H530,"h:mm:ss AM/PM"),"'].ub=0.0      #",B530)</f>
        <v xml:space="preserve">                x[team1,team2,sport,'11,JCC Back Field 1','11,11/23/2017','9:40:00 AM'].ub=0.0      #Junior A Male Mini Soccer</v>
      </c>
      <c r="AB530" s="301" t="str">
        <f t="shared" si="366"/>
        <v>,,Junior A Male Mini Soccer,,1,JR A M - ARG 1</v>
      </c>
      <c r="AC530" s="153" t="str">
        <f t="shared" si="367"/>
        <v>Junior A Male Mini SoccerJR A M - ARG 1</v>
      </c>
      <c r="AD530" s="301" t="str">
        <f t="shared" si="368"/>
        <v>,,Junior A Male Mini Soccer,,1,JR A M - USA 1</v>
      </c>
      <c r="AE530" s="153" t="str">
        <f t="shared" si="369"/>
        <v>Junior A Male Mini SoccerJR A M - USA 1</v>
      </c>
      <c r="AF530" s="383">
        <f t="shared" si="370"/>
        <v>1</v>
      </c>
      <c r="AG530" s="383">
        <f t="shared" si="371"/>
        <v>0</v>
      </c>
      <c r="AH530" s="383">
        <f t="shared" si="372"/>
        <v>0</v>
      </c>
      <c r="AI530" s="383">
        <f t="shared" si="373"/>
        <v>0</v>
      </c>
      <c r="AJ530" s="383">
        <f t="shared" si="374"/>
        <v>1</v>
      </c>
      <c r="AK530" s="383">
        <f t="shared" si="375"/>
        <v>0</v>
      </c>
      <c r="AM530" s="148" t="str">
        <f t="shared" si="376"/>
        <v>Schedulled</v>
      </c>
      <c r="AN530" s="148" t="str">
        <f t="shared" si="377"/>
        <v/>
      </c>
      <c r="AO530" s="156">
        <f t="shared" si="378"/>
        <v>43062.402777777781</v>
      </c>
      <c r="AP530" s="148" t="str">
        <f t="shared" si="379"/>
        <v>11/23/2017 09:40-&gt;JCC Back Field 1</v>
      </c>
      <c r="AQ530" s="374">
        <f t="shared" si="380"/>
        <v>1</v>
      </c>
      <c r="AR530" s="148" t="str">
        <f t="shared" si="381"/>
        <v>ARG1</v>
      </c>
      <c r="AS530" s="148" t="str">
        <f t="shared" si="382"/>
        <v>USA1</v>
      </c>
      <c r="AT530" s="157" t="str">
        <f t="shared" si="383"/>
        <v>ARG1-USA1</v>
      </c>
      <c r="AU530" s="157" t="str">
        <f t="shared" si="384"/>
        <v xml:space="preserve">ARG1-USA1 </v>
      </c>
      <c r="AV530" s="157" t="str">
        <f t="shared" si="385"/>
        <v>JUNIORS A MALE</v>
      </c>
      <c r="AW530" s="157" t="str">
        <f t="shared" si="386"/>
        <v>Soccer</v>
      </c>
      <c r="AX530" s="376">
        <f t="shared" si="387"/>
        <v>528</v>
      </c>
      <c r="AY530" s="148" t="str">
        <f t="shared" si="388"/>
        <v>JR A M - ARG 1-&gt;JR A M - USA 1</v>
      </c>
      <c r="AZ530" s="148" t="str">
        <f t="shared" si="389"/>
        <v>11/23/2017 09:40-&gt;JR A M - ARG 1</v>
      </c>
      <c r="BA530" s="148" t="str">
        <f t="shared" si="390"/>
        <v>11/23/2017 09:40-&gt;JR A M - USA 1</v>
      </c>
      <c r="BB530" s="374">
        <f t="shared" si="391"/>
        <v>1</v>
      </c>
      <c r="BC530" s="374">
        <f t="shared" si="392"/>
        <v>1</v>
      </c>
      <c r="BD530" s="148" t="str">
        <f t="shared" si="393"/>
        <v>no conflict</v>
      </c>
      <c r="BF530" s="148" t="str">
        <f t="shared" si="394"/>
        <v>11/23/2017 09:40-&gt;JR A M - ARG 1</v>
      </c>
      <c r="BG530" s="148" t="str">
        <f t="shared" si="395"/>
        <v>11/23/2017 09:40-&gt;JR A M - USA 1</v>
      </c>
      <c r="BH530" s="148" t="str">
        <f t="shared" si="396"/>
        <v>11/23/2017 09:40-&gt;JCC Back Field 1</v>
      </c>
      <c r="BI530" s="148" t="str">
        <f t="shared" si="397"/>
        <v>Soccer in JCC Back Field 1 (ARG1-USA1)</v>
      </c>
      <c r="BJ530" s="148" t="str">
        <f t="shared" si="398"/>
        <v>Junior A Male Mini Soccer-- JR A M - ARG 1 vs. JR A M - USA 1</v>
      </c>
      <c r="BK530" s="148" t="str">
        <f t="shared" si="399"/>
        <v>Soccer</v>
      </c>
      <c r="BL530" s="148" t="str">
        <f t="shared" si="400"/>
        <v>JR A M - ARG 1</v>
      </c>
      <c r="BM530" s="148" t="str">
        <f t="shared" si="401"/>
        <v>JR A M - USA 1</v>
      </c>
      <c r="BN530" s="148" t="str">
        <f t="shared" si="402"/>
        <v>Round - 1</v>
      </c>
      <c r="BP530" s="148" t="str">
        <f t="shared" si="403"/>
        <v>no t, f, or sf</v>
      </c>
      <c r="BQ530" s="148" t="str">
        <f t="shared" si="404"/>
        <v/>
      </c>
    </row>
    <row r="531" spans="1:69" ht="15" customHeight="1" x14ac:dyDescent="0.2">
      <c r="A531" s="376">
        <v>529</v>
      </c>
      <c r="B531" s="328" t="s">
        <v>71</v>
      </c>
      <c r="C531" s="315" t="s">
        <v>518</v>
      </c>
      <c r="D531" s="378">
        <v>1</v>
      </c>
      <c r="E531" s="378">
        <v>1</v>
      </c>
      <c r="F531" s="315" t="s">
        <v>770</v>
      </c>
      <c r="G531" s="316">
        <v>43062</v>
      </c>
      <c r="H531" s="317">
        <v>0.47222222222222227</v>
      </c>
      <c r="I531" s="325" t="s">
        <v>770</v>
      </c>
      <c r="J531" s="315" t="s">
        <v>693</v>
      </c>
      <c r="K531" s="315">
        <v>61</v>
      </c>
      <c r="L531" s="319" t="s">
        <v>643</v>
      </c>
      <c r="M531" s="315">
        <v>61</v>
      </c>
      <c r="N531" s="319" t="s">
        <v>645</v>
      </c>
      <c r="O531" s="153" t="str">
        <f>IF(L531&lt;&gt;"",IFERROR(VLOOKUP(B531&amp;L531,Pools!$A$2:$D$130,3,FALSE),""),"")</f>
        <v/>
      </c>
      <c r="P531" s="388">
        <v>1</v>
      </c>
      <c r="Q531" s="388">
        <v>3</v>
      </c>
      <c r="R531" s="306" t="str">
        <f t="shared" si="360"/>
        <v>1-3</v>
      </c>
      <c r="S531" s="153"/>
      <c r="T531" s="148" t="str">
        <f t="shared" si="361"/>
        <v>Completed</v>
      </c>
      <c r="U531" s="153"/>
      <c r="V531" s="153"/>
      <c r="W531" s="387">
        <f t="shared" si="362"/>
        <v>-2</v>
      </c>
      <c r="X531" s="387">
        <f t="shared" si="363"/>
        <v>2</v>
      </c>
      <c r="Y531" s="301">
        <f t="shared" si="364"/>
        <v>0</v>
      </c>
      <c r="Z531" s="301">
        <f t="shared" si="365"/>
        <v>2</v>
      </c>
      <c r="AA531" s="323" t="str">
        <f>CONCATENATE("                x[team1,team2,sport,'",IF(OR(I531="x",I531=""),VLOOKUP('Schedule from TM'!J531,Tables!$P$3:$Q$33,2,FALSE),'Schedule from TM'!I531),",",J531,"','",IF(OR(F531="x",F531=""),VLOOKUP('Schedule from TM'!G531,Tables!$U$3:$V$14,2,FALSE),'Schedule from TM'!F531),",",TEXT(G531,"mm/dd/yyyy"),"','",TEXT(H531,"h:mm:ss AM/PM"),"'].ub=0.0      #",B531)</f>
        <v xml:space="preserve">                x[team1,team2,sport,'11,JCC Back Field 2','11,11/23/2017','11:20:00 AM'].ub=0.0      #Junior A Male Mini Soccer</v>
      </c>
      <c r="AB531" s="301" t="str">
        <f t="shared" si="366"/>
        <v>,,Junior A Male Mini Soccer,,1,JR A M - USA 2</v>
      </c>
      <c r="AC531" s="153" t="str">
        <f t="shared" si="367"/>
        <v>Junior A Male Mini SoccerJR A M - USA 2</v>
      </c>
      <c r="AD531" s="301" t="str">
        <f t="shared" si="368"/>
        <v>,,Junior A Male Mini Soccer,,1,JR A M - VEN 1</v>
      </c>
      <c r="AE531" s="153" t="str">
        <f t="shared" si="369"/>
        <v>Junior A Male Mini SoccerJR A M - VEN 1</v>
      </c>
      <c r="AF531" s="383">
        <f t="shared" si="370"/>
        <v>0</v>
      </c>
      <c r="AG531" s="383">
        <f t="shared" si="371"/>
        <v>1</v>
      </c>
      <c r="AH531" s="383">
        <f t="shared" si="372"/>
        <v>0</v>
      </c>
      <c r="AI531" s="383">
        <f t="shared" si="373"/>
        <v>1</v>
      </c>
      <c r="AJ531" s="383">
        <f t="shared" si="374"/>
        <v>0</v>
      </c>
      <c r="AK531" s="383">
        <f t="shared" si="375"/>
        <v>0</v>
      </c>
      <c r="AM531" s="148" t="str">
        <f t="shared" si="376"/>
        <v>Schedulled</v>
      </c>
      <c r="AN531" s="148" t="str">
        <f t="shared" si="377"/>
        <v/>
      </c>
      <c r="AO531" s="156">
        <f t="shared" si="378"/>
        <v>43062.472222222219</v>
      </c>
      <c r="AP531" s="148" t="str">
        <f t="shared" si="379"/>
        <v>11/23/2017 11:20-&gt;JCC Back Field 2</v>
      </c>
      <c r="AQ531" s="374">
        <f t="shared" si="380"/>
        <v>1</v>
      </c>
      <c r="AR531" s="148" t="str">
        <f t="shared" si="381"/>
        <v>USA2</v>
      </c>
      <c r="AS531" s="148" t="str">
        <f t="shared" si="382"/>
        <v>VEN1</v>
      </c>
      <c r="AT531" s="157" t="str">
        <f t="shared" si="383"/>
        <v>USA2-VEN1</v>
      </c>
      <c r="AU531" s="157" t="str">
        <f t="shared" si="384"/>
        <v xml:space="preserve">USA2-VEN1 </v>
      </c>
      <c r="AV531" s="157" t="str">
        <f t="shared" si="385"/>
        <v>JUNIORS A MALE</v>
      </c>
      <c r="AW531" s="157" t="str">
        <f t="shared" si="386"/>
        <v>Soccer</v>
      </c>
      <c r="AX531" s="376">
        <f t="shared" si="387"/>
        <v>529</v>
      </c>
      <c r="AY531" s="148" t="str">
        <f t="shared" si="388"/>
        <v>JR A M - USA 2-&gt;JR A M - VEN 1</v>
      </c>
      <c r="AZ531" s="148" t="str">
        <f t="shared" si="389"/>
        <v>11/23/2017 11:20-&gt;JR A M - USA 2</v>
      </c>
      <c r="BA531" s="148" t="str">
        <f t="shared" si="390"/>
        <v>11/23/2017 11:20-&gt;JR A M - VEN 1</v>
      </c>
      <c r="BB531" s="374">
        <f t="shared" si="391"/>
        <v>1</v>
      </c>
      <c r="BC531" s="374">
        <f t="shared" si="392"/>
        <v>1</v>
      </c>
      <c r="BD531" s="148" t="str">
        <f t="shared" si="393"/>
        <v>no conflict</v>
      </c>
      <c r="BF531" s="148" t="str">
        <f t="shared" si="394"/>
        <v>11/23/2017 11:20-&gt;JR A M - USA 2</v>
      </c>
      <c r="BG531" s="148" t="str">
        <f t="shared" si="395"/>
        <v>11/23/2017 11:20-&gt;JR A M - VEN 1</v>
      </c>
      <c r="BH531" s="148" t="str">
        <f t="shared" si="396"/>
        <v>11/23/2017 11:20-&gt;JCC Back Field 2</v>
      </c>
      <c r="BI531" s="148" t="str">
        <f t="shared" si="397"/>
        <v>Soccer in JCC Back Field 2 (USA2-VEN1)</v>
      </c>
      <c r="BJ531" s="148" t="str">
        <f t="shared" si="398"/>
        <v>Junior A Male Mini Soccer-- JR A M - USA 2 vs. JR A M - VEN 1</v>
      </c>
      <c r="BK531" s="148" t="str">
        <f t="shared" si="399"/>
        <v>Soccer</v>
      </c>
      <c r="BL531" s="148" t="str">
        <f t="shared" si="400"/>
        <v>JR A M - USA 2</v>
      </c>
      <c r="BM531" s="148" t="str">
        <f t="shared" si="401"/>
        <v>JR A M - VEN 1</v>
      </c>
      <c r="BN531" s="148" t="str">
        <f t="shared" si="402"/>
        <v>Round - 1</v>
      </c>
      <c r="BP531" s="148" t="str">
        <f t="shared" si="403"/>
        <v>no t, f, or sf</v>
      </c>
      <c r="BQ531" s="148" t="str">
        <f t="shared" si="404"/>
        <v/>
      </c>
    </row>
    <row r="532" spans="1:69" ht="15" customHeight="1" x14ac:dyDescent="0.2">
      <c r="A532" s="376">
        <v>530</v>
      </c>
      <c r="B532" s="441" t="s">
        <v>71</v>
      </c>
      <c r="C532" s="441" t="s">
        <v>518</v>
      </c>
      <c r="D532" s="450">
        <v>1</v>
      </c>
      <c r="E532" s="450">
        <v>1</v>
      </c>
      <c r="F532" s="315" t="s">
        <v>770</v>
      </c>
      <c r="G532" s="320">
        <v>43062</v>
      </c>
      <c r="H532" s="317">
        <v>0.57638888888888895</v>
      </c>
      <c r="I532" s="325" t="s">
        <v>770</v>
      </c>
      <c r="J532" s="441" t="s">
        <v>692</v>
      </c>
      <c r="K532" s="441">
        <v>61</v>
      </c>
      <c r="L532" s="441" t="s">
        <v>638</v>
      </c>
      <c r="M532" s="441">
        <v>61</v>
      </c>
      <c r="N532" s="441" t="s">
        <v>645</v>
      </c>
      <c r="O532" s="153" t="str">
        <f>IF(L532&lt;&gt;"",IFERROR(VLOOKUP(B532&amp;L532,Pools!$A$2:$D$130,3,FALSE),""),"")</f>
        <v/>
      </c>
      <c r="P532" s="388">
        <v>2</v>
      </c>
      <c r="Q532" s="388">
        <v>3</v>
      </c>
      <c r="R532" s="306" t="str">
        <f t="shared" si="360"/>
        <v>2-3</v>
      </c>
      <c r="S532" s="153"/>
      <c r="T532" s="148" t="str">
        <f t="shared" si="361"/>
        <v>Completed</v>
      </c>
      <c r="U532" s="153"/>
      <c r="V532" s="153"/>
      <c r="W532" s="387">
        <f t="shared" si="362"/>
        <v>-1</v>
      </c>
      <c r="X532" s="387">
        <f t="shared" si="363"/>
        <v>1</v>
      </c>
      <c r="Y532" s="301">
        <f t="shared" si="364"/>
        <v>0</v>
      </c>
      <c r="Z532" s="301">
        <f t="shared" si="365"/>
        <v>2</v>
      </c>
      <c r="AA532" s="323" t="str">
        <f>CONCATENATE("                x[team1,team2,sport,'",IF(OR(I532="x",I532=""),VLOOKUP('Schedule from TM'!J532,Tables!$P$3:$Q$33,2,FALSE),'Schedule from TM'!I532),",",J532,"','",IF(OR(F532="x",F532=""),VLOOKUP('Schedule from TM'!G532,Tables!$U$3:$V$14,2,FALSE),'Schedule from TM'!F532),",",TEXT(G532,"mm/dd/yyyy"),"','",TEXT(H532,"h:mm:ss AM/PM"),"'].ub=0.0      #",B532)</f>
        <v xml:space="preserve">                x[team1,team2,sport,'11,JCC Back Field 3','11,11/23/2017','1:50:00 PM'].ub=0.0      #Junior A Male Mini Soccer</v>
      </c>
      <c r="AB532" s="301" t="str">
        <f t="shared" si="366"/>
        <v>,,Junior A Male Mini Soccer,,1,JR A M - ARG 2</v>
      </c>
      <c r="AC532" s="153" t="str">
        <f t="shared" si="367"/>
        <v>Junior A Male Mini SoccerJR A M - ARG 2</v>
      </c>
      <c r="AD532" s="301" t="str">
        <f t="shared" si="368"/>
        <v>,,Junior A Male Mini Soccer,,1,JR A M - VEN 1</v>
      </c>
      <c r="AE532" s="153" t="str">
        <f t="shared" si="369"/>
        <v>Junior A Male Mini SoccerJR A M - VEN 1</v>
      </c>
      <c r="AF532" s="383">
        <f t="shared" si="370"/>
        <v>0</v>
      </c>
      <c r="AG532" s="383">
        <f t="shared" si="371"/>
        <v>1</v>
      </c>
      <c r="AH532" s="383">
        <f t="shared" si="372"/>
        <v>0</v>
      </c>
      <c r="AI532" s="383">
        <f t="shared" si="373"/>
        <v>1</v>
      </c>
      <c r="AJ532" s="383">
        <f t="shared" si="374"/>
        <v>0</v>
      </c>
      <c r="AK532" s="383">
        <f t="shared" si="375"/>
        <v>0</v>
      </c>
      <c r="AM532" s="148" t="str">
        <f t="shared" si="376"/>
        <v>Schedulled</v>
      </c>
      <c r="AN532" s="148" t="str">
        <f t="shared" si="377"/>
        <v/>
      </c>
      <c r="AO532" s="156">
        <f t="shared" si="378"/>
        <v>43062.576388888891</v>
      </c>
      <c r="AP532" s="148" t="str">
        <f t="shared" si="379"/>
        <v>11/23/2017 13:50-&gt;JCC Back Field 3</v>
      </c>
      <c r="AQ532" s="374">
        <f t="shared" si="380"/>
        <v>1</v>
      </c>
      <c r="AR532" s="148" t="str">
        <f t="shared" si="381"/>
        <v>ARG2</v>
      </c>
      <c r="AS532" s="148" t="str">
        <f t="shared" si="382"/>
        <v>VEN1</v>
      </c>
      <c r="AT532" s="157" t="str">
        <f t="shared" si="383"/>
        <v>ARG2-VEN1</v>
      </c>
      <c r="AU532" s="157" t="str">
        <f t="shared" si="384"/>
        <v xml:space="preserve">ARG2-VEN1 </v>
      </c>
      <c r="AV532" s="157" t="str">
        <f t="shared" si="385"/>
        <v>JUNIORS A MALE</v>
      </c>
      <c r="AW532" s="157" t="str">
        <f t="shared" si="386"/>
        <v>Soccer</v>
      </c>
      <c r="AX532" s="376">
        <f t="shared" si="387"/>
        <v>530</v>
      </c>
      <c r="AY532" s="148" t="str">
        <f t="shared" si="388"/>
        <v>JR A M - ARG 2-&gt;JR A M - VEN 1</v>
      </c>
      <c r="AZ532" s="148" t="str">
        <f t="shared" si="389"/>
        <v>11/23/2017 13:50-&gt;JR A M - ARG 2</v>
      </c>
      <c r="BA532" s="148" t="str">
        <f t="shared" si="390"/>
        <v>11/23/2017 13:50-&gt;JR A M - VEN 1</v>
      </c>
      <c r="BB532" s="374">
        <f t="shared" si="391"/>
        <v>1</v>
      </c>
      <c r="BC532" s="374">
        <f t="shared" si="392"/>
        <v>1</v>
      </c>
      <c r="BD532" s="148" t="str">
        <f t="shared" si="393"/>
        <v>no conflict</v>
      </c>
      <c r="BF532" s="148" t="str">
        <f t="shared" si="394"/>
        <v>11/23/2017 13:50-&gt;JR A M - ARG 2</v>
      </c>
      <c r="BG532" s="148" t="str">
        <f t="shared" si="395"/>
        <v>11/23/2017 13:50-&gt;JR A M - VEN 1</v>
      </c>
      <c r="BH532" s="148" t="str">
        <f t="shared" si="396"/>
        <v>11/23/2017 13:50-&gt;JCC Back Field 3</v>
      </c>
      <c r="BI532" s="148" t="str">
        <f t="shared" si="397"/>
        <v>Soccer in JCC Back Field 3 (ARG2-VEN1)</v>
      </c>
      <c r="BJ532" s="148" t="str">
        <f t="shared" si="398"/>
        <v>Junior A Male Mini Soccer-- JR A M - ARG 2 vs. JR A M - VEN 1</v>
      </c>
      <c r="BK532" s="148" t="str">
        <f t="shared" si="399"/>
        <v>Soccer</v>
      </c>
      <c r="BL532" s="148" t="str">
        <f t="shared" si="400"/>
        <v>JR A M - ARG 2</v>
      </c>
      <c r="BM532" s="148" t="str">
        <f t="shared" si="401"/>
        <v>JR A M - VEN 1</v>
      </c>
      <c r="BN532" s="148" t="str">
        <f t="shared" si="402"/>
        <v>Round - 1</v>
      </c>
      <c r="BP532" s="148" t="str">
        <f t="shared" si="403"/>
        <v>no t, f, or sf</v>
      </c>
      <c r="BQ532" s="148" t="str">
        <f t="shared" si="404"/>
        <v/>
      </c>
    </row>
    <row r="533" spans="1:69" ht="15" customHeight="1" x14ac:dyDescent="0.2">
      <c r="A533" s="376">
        <v>531</v>
      </c>
      <c r="B533" s="444" t="s">
        <v>71</v>
      </c>
      <c r="C533" s="444" t="s">
        <v>518</v>
      </c>
      <c r="D533" s="451">
        <v>1</v>
      </c>
      <c r="E533" s="451">
        <v>1</v>
      </c>
      <c r="F533" s="315" t="s">
        <v>770</v>
      </c>
      <c r="G533" s="445">
        <v>43062</v>
      </c>
      <c r="H533" s="317">
        <v>0.61111111111111105</v>
      </c>
      <c r="I533" s="325" t="s">
        <v>770</v>
      </c>
      <c r="J533" s="444" t="s">
        <v>692</v>
      </c>
      <c r="K533" s="444">
        <v>61</v>
      </c>
      <c r="L533" s="433" t="s">
        <v>720</v>
      </c>
      <c r="M533" s="433">
        <v>61</v>
      </c>
      <c r="N533" s="433" t="s">
        <v>646</v>
      </c>
      <c r="O533" s="153" t="str">
        <f>IF(L533&lt;&gt;"",IFERROR(VLOOKUP(B533&amp;L533,Pools!$A$2:$D$130,3,FALSE),""),"")</f>
        <v/>
      </c>
      <c r="P533" s="388">
        <v>0</v>
      </c>
      <c r="Q533" s="388">
        <v>2</v>
      </c>
      <c r="R533" s="306" t="str">
        <f t="shared" si="360"/>
        <v>0-2</v>
      </c>
      <c r="S533" s="153"/>
      <c r="T533" s="148" t="str">
        <f t="shared" si="361"/>
        <v>Completed</v>
      </c>
      <c r="U533" s="153"/>
      <c r="V533" s="153"/>
      <c r="W533" s="387">
        <f t="shared" si="362"/>
        <v>-2</v>
      </c>
      <c r="X533" s="387">
        <f t="shared" si="363"/>
        <v>2</v>
      </c>
      <c r="Y533" s="301">
        <f t="shared" si="364"/>
        <v>0</v>
      </c>
      <c r="Z533" s="301">
        <f t="shared" si="365"/>
        <v>2</v>
      </c>
      <c r="AA533" s="323" t="str">
        <f>CONCATENATE("                x[team1,team2,sport,'",IF(OR(I533="x",I533=""),VLOOKUP('Schedule from TM'!J533,Tables!$P$3:$Q$33,2,FALSE),'Schedule from TM'!I533),",",J533,"','",IF(OR(F533="x",F533=""),VLOOKUP('Schedule from TM'!G533,Tables!$U$3:$V$14,2,FALSE),'Schedule from TM'!F533),",",TEXT(G533,"mm/dd/yyyy"),"','",TEXT(H533,"h:mm:ss AM/PM"),"'].ub=0.0      #",B533)</f>
        <v xml:space="preserve">                x[team1,team2,sport,'11,JCC Back Field 3','11,11/23/2017','2:40:00 PM'].ub=0.0      #Junior A Male Mini Soccer</v>
      </c>
      <c r="AB533" s="301" t="str">
        <f t="shared" si="366"/>
        <v>,,Junior A Male Mini Soccer,,1,JR A M - MEX 2</v>
      </c>
      <c r="AC533" s="153" t="str">
        <f t="shared" si="367"/>
        <v>Junior A Male Mini SoccerJR A M - MEX 2</v>
      </c>
      <c r="AD533" s="301" t="str">
        <f t="shared" si="368"/>
        <v>,,Junior A Male Mini Soccer,,1,JR A M - VEN 2</v>
      </c>
      <c r="AE533" s="153" t="str">
        <f t="shared" si="369"/>
        <v>Junior A Male Mini SoccerJR A M - VEN 2</v>
      </c>
      <c r="AF533" s="383">
        <f t="shared" si="370"/>
        <v>0</v>
      </c>
      <c r="AG533" s="383">
        <f t="shared" si="371"/>
        <v>1</v>
      </c>
      <c r="AH533" s="383">
        <f t="shared" si="372"/>
        <v>0</v>
      </c>
      <c r="AI533" s="383">
        <f t="shared" si="373"/>
        <v>1</v>
      </c>
      <c r="AJ533" s="383">
        <f t="shared" si="374"/>
        <v>0</v>
      </c>
      <c r="AK533" s="383">
        <f t="shared" si="375"/>
        <v>0</v>
      </c>
      <c r="AM533" s="148" t="str">
        <f t="shared" si="376"/>
        <v>Schedulled</v>
      </c>
      <c r="AN533" s="148" t="str">
        <f t="shared" si="377"/>
        <v/>
      </c>
      <c r="AO533" s="156">
        <f t="shared" si="378"/>
        <v>43062.611111111109</v>
      </c>
      <c r="AP533" s="148" t="str">
        <f t="shared" si="379"/>
        <v>11/23/2017 14:40-&gt;JCC Back Field 3</v>
      </c>
      <c r="AQ533" s="374">
        <f t="shared" si="380"/>
        <v>1</v>
      </c>
      <c r="AR533" s="148" t="str">
        <f t="shared" si="381"/>
        <v>MEX2</v>
      </c>
      <c r="AS533" s="148" t="str">
        <f t="shared" si="382"/>
        <v>VEN2</v>
      </c>
      <c r="AT533" s="157" t="str">
        <f t="shared" si="383"/>
        <v>MEX2-VEN2</v>
      </c>
      <c r="AU533" s="157" t="str">
        <f t="shared" si="384"/>
        <v xml:space="preserve">MEX2-VEN2 </v>
      </c>
      <c r="AV533" s="157" t="str">
        <f t="shared" si="385"/>
        <v>JUNIORS A MALE</v>
      </c>
      <c r="AW533" s="157" t="str">
        <f t="shared" si="386"/>
        <v>Soccer</v>
      </c>
      <c r="AX533" s="376">
        <f t="shared" si="387"/>
        <v>531</v>
      </c>
      <c r="AY533" s="148" t="str">
        <f t="shared" si="388"/>
        <v>JR A M - MEX 2-&gt;JR A M - VEN 2</v>
      </c>
      <c r="AZ533" s="148" t="str">
        <f t="shared" si="389"/>
        <v>11/23/2017 14:40-&gt;JR A M - MEX 2</v>
      </c>
      <c r="BA533" s="148" t="str">
        <f t="shared" si="390"/>
        <v>11/23/2017 14:40-&gt;JR A M - VEN 2</v>
      </c>
      <c r="BB533" s="374">
        <f t="shared" si="391"/>
        <v>1</v>
      </c>
      <c r="BC533" s="374">
        <f t="shared" si="392"/>
        <v>1</v>
      </c>
      <c r="BD533" s="148" t="str">
        <f t="shared" si="393"/>
        <v>no conflict</v>
      </c>
      <c r="BF533" s="148" t="str">
        <f t="shared" si="394"/>
        <v>11/23/2017 14:40-&gt;JR A M - MEX 2</v>
      </c>
      <c r="BG533" s="148" t="str">
        <f t="shared" si="395"/>
        <v>11/23/2017 14:40-&gt;JR A M - VEN 2</v>
      </c>
      <c r="BH533" s="148" t="str">
        <f t="shared" si="396"/>
        <v>11/23/2017 14:40-&gt;JCC Back Field 3</v>
      </c>
      <c r="BI533" s="148" t="str">
        <f t="shared" si="397"/>
        <v>Soccer in JCC Back Field 3 (MEX2-VEN2)</v>
      </c>
      <c r="BJ533" s="148" t="str">
        <f t="shared" si="398"/>
        <v>Junior A Male Mini Soccer-- JR A M - MEX 2 vs. JR A M - VEN 2</v>
      </c>
      <c r="BK533" s="148" t="str">
        <f t="shared" si="399"/>
        <v>Soccer</v>
      </c>
      <c r="BL533" s="148" t="str">
        <f t="shared" si="400"/>
        <v>JR A M - MEX 2</v>
      </c>
      <c r="BM533" s="148" t="str">
        <f t="shared" si="401"/>
        <v>JR A M - VEN 2</v>
      </c>
      <c r="BN533" s="148" t="str">
        <f t="shared" si="402"/>
        <v>Round - 1</v>
      </c>
      <c r="BP533" s="148" t="str">
        <f t="shared" si="403"/>
        <v>no t, f, or sf</v>
      </c>
      <c r="BQ533" s="148" t="str">
        <f t="shared" si="404"/>
        <v/>
      </c>
    </row>
    <row r="534" spans="1:69" ht="15" customHeight="1" x14ac:dyDescent="0.2">
      <c r="A534" s="376">
        <v>532</v>
      </c>
      <c r="B534" s="444" t="s">
        <v>71</v>
      </c>
      <c r="C534" s="444" t="s">
        <v>518</v>
      </c>
      <c r="D534" s="451">
        <v>1</v>
      </c>
      <c r="E534" s="451">
        <v>1</v>
      </c>
      <c r="F534" s="315" t="s">
        <v>770</v>
      </c>
      <c r="G534" s="445">
        <v>43062</v>
      </c>
      <c r="H534" s="317">
        <v>0.68055555555555547</v>
      </c>
      <c r="I534" s="325" t="s">
        <v>770</v>
      </c>
      <c r="J534" s="444" t="s">
        <v>694</v>
      </c>
      <c r="K534" s="444">
        <v>61</v>
      </c>
      <c r="L534" s="433" t="s">
        <v>639</v>
      </c>
      <c r="M534" s="433">
        <v>61</v>
      </c>
      <c r="N534" s="433" t="s">
        <v>646</v>
      </c>
      <c r="O534" s="153" t="str">
        <f>IF(L534&lt;&gt;"",IFERROR(VLOOKUP(B534&amp;L534,Pools!$A$2:$D$130,3,FALSE),""),"")</f>
        <v/>
      </c>
      <c r="P534" s="388">
        <v>1</v>
      </c>
      <c r="Q534" s="388">
        <v>3</v>
      </c>
      <c r="R534" s="306" t="str">
        <f t="shared" si="360"/>
        <v>1-3</v>
      </c>
      <c r="S534" s="153"/>
      <c r="T534" s="148" t="str">
        <f t="shared" si="361"/>
        <v>Completed</v>
      </c>
      <c r="U534" s="153"/>
      <c r="V534" s="153"/>
      <c r="W534" s="387">
        <f t="shared" si="362"/>
        <v>-2</v>
      </c>
      <c r="X534" s="387">
        <f t="shared" si="363"/>
        <v>2</v>
      </c>
      <c r="Y534" s="301">
        <f t="shared" si="364"/>
        <v>0</v>
      </c>
      <c r="Z534" s="301">
        <f t="shared" si="365"/>
        <v>2</v>
      </c>
      <c r="AA534" s="323" t="str">
        <f>CONCATENATE("                x[team1,team2,sport,'",IF(OR(I534="x",I534=""),VLOOKUP('Schedule from TM'!J534,Tables!$P$3:$Q$33,2,FALSE),'Schedule from TM'!I534),",",J534,"','",IF(OR(F534="x",F534=""),VLOOKUP('Schedule from TM'!G534,Tables!$U$3:$V$14,2,FALSE),'Schedule from TM'!F534),",",TEXT(G534,"mm/dd/yyyy"),"','",TEXT(H534,"h:mm:ss AM/PM"),"'].ub=0.0      #",B534)</f>
        <v xml:space="preserve">                x[team1,team2,sport,'11,JCC Back Field 4','11,11/23/2017','4:20:00 PM'].ub=0.0      #Junior A Male Mini Soccer</v>
      </c>
      <c r="AB534" s="301" t="str">
        <f t="shared" si="366"/>
        <v>,,Junior A Male Mini Soccer,,1,JR A M - COL 1</v>
      </c>
      <c r="AC534" s="153" t="str">
        <f t="shared" si="367"/>
        <v>Junior A Male Mini SoccerJR A M - COL 1</v>
      </c>
      <c r="AD534" s="301" t="str">
        <f t="shared" si="368"/>
        <v>,,Junior A Male Mini Soccer,,1,JR A M - VEN 2</v>
      </c>
      <c r="AE534" s="153" t="str">
        <f t="shared" si="369"/>
        <v>Junior A Male Mini SoccerJR A M - VEN 2</v>
      </c>
      <c r="AF534" s="383">
        <f t="shared" si="370"/>
        <v>0</v>
      </c>
      <c r="AG534" s="383">
        <f t="shared" si="371"/>
        <v>1</v>
      </c>
      <c r="AH534" s="383">
        <f t="shared" si="372"/>
        <v>0</v>
      </c>
      <c r="AI534" s="383">
        <f t="shared" si="373"/>
        <v>1</v>
      </c>
      <c r="AJ534" s="383">
        <f t="shared" si="374"/>
        <v>0</v>
      </c>
      <c r="AK534" s="383">
        <f t="shared" si="375"/>
        <v>0</v>
      </c>
      <c r="AM534" s="148" t="str">
        <f t="shared" si="376"/>
        <v>Schedulled</v>
      </c>
      <c r="AN534" s="148" t="str">
        <f t="shared" si="377"/>
        <v/>
      </c>
      <c r="AO534" s="156">
        <f t="shared" si="378"/>
        <v>43062.680555555555</v>
      </c>
      <c r="AP534" s="148" t="str">
        <f t="shared" si="379"/>
        <v>11/23/2017 16:20-&gt;JCC Back Field 4</v>
      </c>
      <c r="AQ534" s="374">
        <f t="shared" si="380"/>
        <v>1</v>
      </c>
      <c r="AR534" s="148" t="str">
        <f t="shared" si="381"/>
        <v>COL1</v>
      </c>
      <c r="AS534" s="148" t="str">
        <f t="shared" si="382"/>
        <v>VEN2</v>
      </c>
      <c r="AT534" s="157" t="str">
        <f t="shared" si="383"/>
        <v>COL1-VEN2</v>
      </c>
      <c r="AU534" s="157" t="str">
        <f t="shared" si="384"/>
        <v xml:space="preserve">COL1-VEN2 </v>
      </c>
      <c r="AV534" s="157" t="str">
        <f t="shared" si="385"/>
        <v>JUNIORS A MALE</v>
      </c>
      <c r="AW534" s="157" t="str">
        <f t="shared" si="386"/>
        <v>Soccer</v>
      </c>
      <c r="AX534" s="376">
        <f t="shared" si="387"/>
        <v>532</v>
      </c>
      <c r="AY534" s="148" t="str">
        <f t="shared" si="388"/>
        <v>JR A M - COL 1-&gt;JR A M - VEN 2</v>
      </c>
      <c r="AZ534" s="148" t="str">
        <f t="shared" si="389"/>
        <v>11/23/2017 16:20-&gt;JR A M - COL 1</v>
      </c>
      <c r="BA534" s="148" t="str">
        <f t="shared" si="390"/>
        <v>11/23/2017 16:20-&gt;JR A M - VEN 2</v>
      </c>
      <c r="BB534" s="374">
        <f t="shared" si="391"/>
        <v>1</v>
      </c>
      <c r="BC534" s="374">
        <f t="shared" si="392"/>
        <v>1</v>
      </c>
      <c r="BD534" s="148" t="str">
        <f t="shared" si="393"/>
        <v>no conflict</v>
      </c>
      <c r="BF534" s="148" t="str">
        <f t="shared" si="394"/>
        <v>11/23/2017 16:20-&gt;JR A M - COL 1</v>
      </c>
      <c r="BG534" s="148" t="str">
        <f t="shared" si="395"/>
        <v>11/23/2017 16:20-&gt;JR A M - VEN 2</v>
      </c>
      <c r="BH534" s="148" t="str">
        <f t="shared" si="396"/>
        <v>11/23/2017 16:20-&gt;JCC Back Field 4</v>
      </c>
      <c r="BI534" s="148" t="str">
        <f t="shared" si="397"/>
        <v>Soccer in JCC Back Field 4 (COL1-VEN2)</v>
      </c>
      <c r="BJ534" s="148" t="str">
        <f t="shared" si="398"/>
        <v>Junior A Male Mini Soccer-- JR A M - COL 1 vs. JR A M - VEN 2</v>
      </c>
      <c r="BK534" s="148" t="str">
        <f t="shared" si="399"/>
        <v>Soccer</v>
      </c>
      <c r="BL534" s="148" t="str">
        <f t="shared" si="400"/>
        <v>JR A M - COL 1</v>
      </c>
      <c r="BM534" s="148" t="str">
        <f t="shared" si="401"/>
        <v>JR A M - VEN 2</v>
      </c>
      <c r="BN534" s="148" t="str">
        <f t="shared" si="402"/>
        <v>Round - 1</v>
      </c>
      <c r="BP534" s="148" t="str">
        <f t="shared" si="403"/>
        <v>no t, f, or sf</v>
      </c>
      <c r="BQ534" s="148" t="str">
        <f t="shared" si="404"/>
        <v/>
      </c>
    </row>
    <row r="535" spans="1:69" ht="15" customHeight="1" x14ac:dyDescent="0.2">
      <c r="A535" s="376">
        <v>533</v>
      </c>
      <c r="B535" s="315" t="s">
        <v>71</v>
      </c>
      <c r="C535" s="315" t="s">
        <v>518</v>
      </c>
      <c r="D535" s="378">
        <v>1</v>
      </c>
      <c r="E535" s="378">
        <v>1</v>
      </c>
      <c r="F535" s="315" t="s">
        <v>770</v>
      </c>
      <c r="G535" s="316">
        <v>43062</v>
      </c>
      <c r="H535" s="317">
        <v>0.68055555555555547</v>
      </c>
      <c r="I535" s="325" t="s">
        <v>770</v>
      </c>
      <c r="J535" s="315" t="s">
        <v>692</v>
      </c>
      <c r="K535" s="315">
        <v>61</v>
      </c>
      <c r="L535" s="433" t="s">
        <v>638</v>
      </c>
      <c r="M535" s="433">
        <v>61</v>
      </c>
      <c r="N535" s="433" t="s">
        <v>644</v>
      </c>
      <c r="O535" s="153" t="str">
        <f>IF(L535&lt;&gt;"",IFERROR(VLOOKUP(B535&amp;L535,Pools!$A$2:$D$130,3,FALSE),""),"")</f>
        <v/>
      </c>
      <c r="P535" s="388">
        <v>4</v>
      </c>
      <c r="Q535" s="388">
        <v>2</v>
      </c>
      <c r="R535" s="306" t="str">
        <f t="shared" si="360"/>
        <v>4-2</v>
      </c>
      <c r="S535" s="153"/>
      <c r="T535" s="148" t="str">
        <f t="shared" si="361"/>
        <v>Completed</v>
      </c>
      <c r="U535" s="153"/>
      <c r="V535" s="153"/>
      <c r="W535" s="387">
        <f t="shared" si="362"/>
        <v>2</v>
      </c>
      <c r="X535" s="387">
        <f t="shared" si="363"/>
        <v>-2</v>
      </c>
      <c r="Y535" s="301">
        <f t="shared" si="364"/>
        <v>2</v>
      </c>
      <c r="Z535" s="301">
        <f t="shared" si="365"/>
        <v>0</v>
      </c>
      <c r="AA535" s="323" t="str">
        <f>CONCATENATE("                x[team1,team2,sport,'",IF(OR(I535="x",I535=""),VLOOKUP('Schedule from TM'!J535,Tables!$P$3:$Q$33,2,FALSE),'Schedule from TM'!I535),",",J535,"','",IF(OR(F535="x",F535=""),VLOOKUP('Schedule from TM'!G535,Tables!$U$3:$V$14,2,FALSE),'Schedule from TM'!F535),",",TEXT(G535,"mm/dd/yyyy"),"','",TEXT(H535,"h:mm:ss AM/PM"),"'].ub=0.0      #",B535)</f>
        <v xml:space="preserve">                x[team1,team2,sport,'11,JCC Back Field 3','11,11/23/2017','4:20:00 PM'].ub=0.0      #Junior A Male Mini Soccer</v>
      </c>
      <c r="AB535" s="301" t="str">
        <f t="shared" si="366"/>
        <v>,,Junior A Male Mini Soccer,,1,JR A M - ARG 2</v>
      </c>
      <c r="AC535" s="153" t="str">
        <f t="shared" si="367"/>
        <v>Junior A Male Mini SoccerJR A M - ARG 2</v>
      </c>
      <c r="AD535" s="301" t="str">
        <f t="shared" si="368"/>
        <v>,,Junior A Male Mini Soccer,,1,JR A M - ISR 1</v>
      </c>
      <c r="AE535" s="153" t="str">
        <f t="shared" si="369"/>
        <v>Junior A Male Mini SoccerJR A M - ISR 1</v>
      </c>
      <c r="AF535" s="383">
        <f t="shared" si="370"/>
        <v>1</v>
      </c>
      <c r="AG535" s="383">
        <f t="shared" si="371"/>
        <v>0</v>
      </c>
      <c r="AH535" s="383">
        <f t="shared" si="372"/>
        <v>0</v>
      </c>
      <c r="AI535" s="383">
        <f t="shared" si="373"/>
        <v>0</v>
      </c>
      <c r="AJ535" s="383">
        <f t="shared" si="374"/>
        <v>1</v>
      </c>
      <c r="AK535" s="383">
        <f t="shared" si="375"/>
        <v>0</v>
      </c>
      <c r="AM535" s="148" t="str">
        <f t="shared" si="376"/>
        <v>Schedulled</v>
      </c>
      <c r="AN535" s="148" t="str">
        <f t="shared" si="377"/>
        <v/>
      </c>
      <c r="AO535" s="156">
        <f t="shared" si="378"/>
        <v>43062.680555555555</v>
      </c>
      <c r="AP535" s="148" t="str">
        <f t="shared" si="379"/>
        <v>11/23/2017 16:20-&gt;JCC Back Field 3</v>
      </c>
      <c r="AQ535" s="374">
        <f t="shared" si="380"/>
        <v>1</v>
      </c>
      <c r="AR535" s="148" t="str">
        <f t="shared" si="381"/>
        <v>ARG2</v>
      </c>
      <c r="AS535" s="148" t="str">
        <f t="shared" si="382"/>
        <v>ISR1</v>
      </c>
      <c r="AT535" s="157" t="str">
        <f t="shared" si="383"/>
        <v>ARG2-ISR1</v>
      </c>
      <c r="AU535" s="157" t="str">
        <f t="shared" si="384"/>
        <v xml:space="preserve">ARG2-ISR1 </v>
      </c>
      <c r="AV535" s="157" t="str">
        <f t="shared" si="385"/>
        <v>JUNIORS A MALE</v>
      </c>
      <c r="AW535" s="157" t="str">
        <f t="shared" si="386"/>
        <v>Soccer</v>
      </c>
      <c r="AX535" s="376">
        <f t="shared" si="387"/>
        <v>533</v>
      </c>
      <c r="AY535" s="148" t="str">
        <f t="shared" si="388"/>
        <v>JR A M - ARG 2-&gt;JR A M - ISR 1</v>
      </c>
      <c r="AZ535" s="148" t="str">
        <f t="shared" si="389"/>
        <v>11/23/2017 16:20-&gt;JR A M - ARG 2</v>
      </c>
      <c r="BA535" s="148" t="str">
        <f t="shared" si="390"/>
        <v>11/23/2017 16:20-&gt;JR A M - ISR 1</v>
      </c>
      <c r="BB535" s="374">
        <f t="shared" si="391"/>
        <v>1</v>
      </c>
      <c r="BC535" s="374">
        <f t="shared" si="392"/>
        <v>1</v>
      </c>
      <c r="BD535" s="148" t="str">
        <f t="shared" si="393"/>
        <v>no conflict</v>
      </c>
      <c r="BF535" s="148" t="str">
        <f t="shared" si="394"/>
        <v>11/23/2017 16:20-&gt;JR A M - ARG 2</v>
      </c>
      <c r="BG535" s="148" t="str">
        <f t="shared" si="395"/>
        <v>11/23/2017 16:20-&gt;JR A M - ISR 1</v>
      </c>
      <c r="BH535" s="148" t="str">
        <f t="shared" si="396"/>
        <v>11/23/2017 16:20-&gt;JCC Back Field 3</v>
      </c>
      <c r="BI535" s="148" t="str">
        <f t="shared" si="397"/>
        <v>Soccer in JCC Back Field 3 (ARG2-ISR1)</v>
      </c>
      <c r="BJ535" s="148" t="str">
        <f t="shared" si="398"/>
        <v>Junior A Male Mini Soccer-- JR A M - ARG 2 vs. JR A M - ISR 1</v>
      </c>
      <c r="BK535" s="148" t="str">
        <f t="shared" si="399"/>
        <v>Soccer</v>
      </c>
      <c r="BL535" s="148" t="str">
        <f t="shared" si="400"/>
        <v>JR A M - ARG 2</v>
      </c>
      <c r="BM535" s="148" t="str">
        <f t="shared" si="401"/>
        <v>JR A M - ISR 1</v>
      </c>
      <c r="BN535" s="148" t="str">
        <f t="shared" si="402"/>
        <v>Round - 1</v>
      </c>
      <c r="BP535" s="148" t="str">
        <f t="shared" si="403"/>
        <v>no t, f, or sf</v>
      </c>
      <c r="BQ535" s="148" t="str">
        <f t="shared" si="404"/>
        <v/>
      </c>
    </row>
    <row r="536" spans="1:69" ht="15" customHeight="1" x14ac:dyDescent="0.2">
      <c r="A536" s="376">
        <v>534</v>
      </c>
      <c r="B536" s="121" t="s">
        <v>71</v>
      </c>
      <c r="C536" s="121" t="s">
        <v>518</v>
      </c>
      <c r="D536" s="382">
        <v>1</v>
      </c>
      <c r="E536" s="382">
        <v>1</v>
      </c>
      <c r="F536" s="315" t="s">
        <v>770</v>
      </c>
      <c r="G536" s="206">
        <v>43063</v>
      </c>
      <c r="H536" s="454">
        <v>0.4375</v>
      </c>
      <c r="I536" s="325" t="s">
        <v>770</v>
      </c>
      <c r="J536" s="121" t="s">
        <v>694</v>
      </c>
      <c r="K536" s="121">
        <v>61</v>
      </c>
      <c r="L536" s="433" t="s">
        <v>637</v>
      </c>
      <c r="M536" s="433">
        <v>61</v>
      </c>
      <c r="N536" s="433" t="s">
        <v>719</v>
      </c>
      <c r="O536" s="153" t="str">
        <f>IF(L536&lt;&gt;"",IFERROR(VLOOKUP(B536&amp;L536,Pools!$A$2:$D$130,3,FALSE),""),"")</f>
        <v/>
      </c>
      <c r="P536" s="388">
        <v>3</v>
      </c>
      <c r="Q536" s="388">
        <v>0</v>
      </c>
      <c r="R536" s="306" t="str">
        <f t="shared" si="360"/>
        <v>3-0</v>
      </c>
      <c r="S536" s="153"/>
      <c r="T536" s="148" t="str">
        <f t="shared" si="361"/>
        <v>Completed</v>
      </c>
      <c r="U536" s="153"/>
      <c r="V536" s="153"/>
      <c r="W536" s="387">
        <f t="shared" si="362"/>
        <v>3</v>
      </c>
      <c r="X536" s="387">
        <f t="shared" si="363"/>
        <v>-3</v>
      </c>
      <c r="Y536" s="301">
        <f t="shared" si="364"/>
        <v>2</v>
      </c>
      <c r="Z536" s="301">
        <f t="shared" si="365"/>
        <v>0</v>
      </c>
      <c r="AA536" s="323" t="str">
        <f>CONCATENATE("                x[team1,team2,sport,'",IF(OR(I536="x",I536=""),VLOOKUP('Schedule from TM'!J536,Tables!$P$3:$Q$33,2,FALSE),'Schedule from TM'!I536),",",J536,"','",IF(OR(F536="x",F536=""),VLOOKUP('Schedule from TM'!G536,Tables!$U$3:$V$14,2,FALSE),'Schedule from TM'!F536),",",TEXT(G536,"mm/dd/yyyy"),"','",TEXT(H536,"h:mm:ss AM/PM"),"'].ub=0.0      #",B536)</f>
        <v xml:space="preserve">                x[team1,team2,sport,'11,JCC Back Field 4','11,11/24/2017','10:30:00 AM'].ub=0.0      #Junior A Male Mini Soccer</v>
      </c>
      <c r="AB536" s="301" t="str">
        <f t="shared" si="366"/>
        <v>,,Junior A Male Mini Soccer,,1,JR A M - ARG 1</v>
      </c>
      <c r="AC536" s="153" t="str">
        <f t="shared" si="367"/>
        <v>Junior A Male Mini SoccerJR A M - ARG 1</v>
      </c>
      <c r="AD536" s="301" t="str">
        <f t="shared" si="368"/>
        <v>,,Junior A Male Mini Soccer,,1,JR A M - MEX 1</v>
      </c>
      <c r="AE536" s="153" t="str">
        <f t="shared" si="369"/>
        <v>Junior A Male Mini SoccerJR A M - MEX 1</v>
      </c>
      <c r="AF536" s="383">
        <f t="shared" si="370"/>
        <v>1</v>
      </c>
      <c r="AG536" s="383">
        <f t="shared" si="371"/>
        <v>0</v>
      </c>
      <c r="AH536" s="383">
        <f t="shared" si="372"/>
        <v>0</v>
      </c>
      <c r="AI536" s="383">
        <f t="shared" si="373"/>
        <v>0</v>
      </c>
      <c r="AJ536" s="383">
        <f t="shared" si="374"/>
        <v>1</v>
      </c>
      <c r="AK536" s="383">
        <f t="shared" si="375"/>
        <v>0</v>
      </c>
      <c r="AM536" s="148" t="str">
        <f t="shared" si="376"/>
        <v>Schedulled</v>
      </c>
      <c r="AN536" s="148" t="str">
        <f t="shared" si="377"/>
        <v/>
      </c>
      <c r="AO536" s="156">
        <f t="shared" si="378"/>
        <v>43063.4375</v>
      </c>
      <c r="AP536" s="148" t="str">
        <f t="shared" si="379"/>
        <v>11/24/2017 10:30-&gt;JCC Back Field 4</v>
      </c>
      <c r="AQ536" s="374">
        <f t="shared" si="380"/>
        <v>1</v>
      </c>
      <c r="AR536" s="148" t="str">
        <f t="shared" si="381"/>
        <v>ARG1</v>
      </c>
      <c r="AS536" s="148" t="str">
        <f t="shared" si="382"/>
        <v>MEX1</v>
      </c>
      <c r="AT536" s="157" t="str">
        <f t="shared" si="383"/>
        <v>ARG1-MEX1</v>
      </c>
      <c r="AU536" s="157" t="str">
        <f t="shared" si="384"/>
        <v xml:space="preserve">ARG1-MEX1 </v>
      </c>
      <c r="AV536" s="157" t="str">
        <f t="shared" si="385"/>
        <v>JUNIORS A MALE</v>
      </c>
      <c r="AW536" s="157" t="str">
        <f t="shared" si="386"/>
        <v>Soccer</v>
      </c>
      <c r="AX536" s="376">
        <f t="shared" si="387"/>
        <v>534</v>
      </c>
      <c r="AY536" s="148" t="str">
        <f t="shared" si="388"/>
        <v>JR A M - ARG 1-&gt;JR A M - MEX 1</v>
      </c>
      <c r="AZ536" s="148" t="str">
        <f t="shared" si="389"/>
        <v>11/24/2017 10:30-&gt;JR A M - ARG 1</v>
      </c>
      <c r="BA536" s="148" t="str">
        <f t="shared" si="390"/>
        <v>11/24/2017 10:30-&gt;JR A M - MEX 1</v>
      </c>
      <c r="BB536" s="374">
        <f t="shared" si="391"/>
        <v>1</v>
      </c>
      <c r="BC536" s="374">
        <f t="shared" si="392"/>
        <v>1</v>
      </c>
      <c r="BD536" s="148" t="str">
        <f t="shared" si="393"/>
        <v>no conflict</v>
      </c>
      <c r="BF536" s="148" t="str">
        <f t="shared" si="394"/>
        <v>11/24/2017 10:30-&gt;JR A M - ARG 1</v>
      </c>
      <c r="BG536" s="148" t="str">
        <f t="shared" si="395"/>
        <v>11/24/2017 10:30-&gt;JR A M - MEX 1</v>
      </c>
      <c r="BH536" s="148" t="str">
        <f t="shared" si="396"/>
        <v>11/24/2017 10:30-&gt;JCC Back Field 4</v>
      </c>
      <c r="BI536" s="148" t="str">
        <f t="shared" si="397"/>
        <v>Soccer in JCC Back Field 4 (ARG1-MEX1)</v>
      </c>
      <c r="BJ536" s="148" t="str">
        <f t="shared" si="398"/>
        <v>Junior A Male Mini Soccer-- JR A M - ARG 1 vs. JR A M - MEX 1</v>
      </c>
      <c r="BK536" s="148" t="str">
        <f t="shared" si="399"/>
        <v>Soccer</v>
      </c>
      <c r="BL536" s="148" t="str">
        <f t="shared" si="400"/>
        <v>JR A M - ARG 1</v>
      </c>
      <c r="BM536" s="148" t="str">
        <f t="shared" si="401"/>
        <v>JR A M - MEX 1</v>
      </c>
      <c r="BN536" s="148" t="str">
        <f t="shared" si="402"/>
        <v>Round - 1</v>
      </c>
      <c r="BP536" s="148" t="str">
        <f t="shared" si="403"/>
        <v>no t, f, or sf</v>
      </c>
      <c r="BQ536" s="148" t="str">
        <f t="shared" si="404"/>
        <v/>
      </c>
    </row>
    <row r="537" spans="1:69" ht="15" customHeight="1" x14ac:dyDescent="0.2">
      <c r="A537" s="376">
        <v>535</v>
      </c>
      <c r="B537" s="319" t="s">
        <v>71</v>
      </c>
      <c r="C537" s="319" t="s">
        <v>518</v>
      </c>
      <c r="D537" s="376">
        <v>1</v>
      </c>
      <c r="E537" s="376">
        <v>1</v>
      </c>
      <c r="F537" s="315" t="s">
        <v>770</v>
      </c>
      <c r="G537" s="320">
        <v>43063</v>
      </c>
      <c r="H537" s="454">
        <v>0.50694444444444442</v>
      </c>
      <c r="I537" s="325" t="s">
        <v>770</v>
      </c>
      <c r="J537" s="319" t="s">
        <v>692</v>
      </c>
      <c r="K537" s="319">
        <v>61</v>
      </c>
      <c r="L537" s="433" t="s">
        <v>720</v>
      </c>
      <c r="M537" s="433">
        <v>61</v>
      </c>
      <c r="N537" s="433" t="s">
        <v>638</v>
      </c>
      <c r="O537" s="153" t="str">
        <f>IF(L537&lt;&gt;"",IFERROR(VLOOKUP(B537&amp;L537,Pools!$A$2:$D$130,3,FALSE),""),"")</f>
        <v/>
      </c>
      <c r="P537" s="388">
        <v>3</v>
      </c>
      <c r="Q537" s="388">
        <v>2</v>
      </c>
      <c r="R537" s="306" t="str">
        <f t="shared" si="360"/>
        <v>3-2</v>
      </c>
      <c r="S537" s="153"/>
      <c r="T537" s="148" t="str">
        <f t="shared" si="361"/>
        <v>Completed</v>
      </c>
      <c r="U537" s="153"/>
      <c r="V537" s="153"/>
      <c r="W537" s="387">
        <f t="shared" si="362"/>
        <v>1</v>
      </c>
      <c r="X537" s="387">
        <f t="shared" si="363"/>
        <v>-1</v>
      </c>
      <c r="Y537" s="301">
        <f t="shared" si="364"/>
        <v>2</v>
      </c>
      <c r="Z537" s="301">
        <f t="shared" si="365"/>
        <v>0</v>
      </c>
      <c r="AA537" s="323" t="str">
        <f>CONCATENATE("                x[team1,team2,sport,'",IF(OR(I537="x",I537=""),VLOOKUP('Schedule from TM'!J537,Tables!$P$3:$Q$33,2,FALSE),'Schedule from TM'!I537),",",J537,"','",IF(OR(F537="x",F537=""),VLOOKUP('Schedule from TM'!G537,Tables!$U$3:$V$14,2,FALSE),'Schedule from TM'!F537),",",TEXT(G537,"mm/dd/yyyy"),"','",TEXT(H537,"h:mm:ss AM/PM"),"'].ub=0.0      #",B537)</f>
        <v xml:space="preserve">                x[team1,team2,sport,'11,JCC Back Field 3','11,11/24/2017','12:10:00 PM'].ub=0.0      #Junior A Male Mini Soccer</v>
      </c>
      <c r="AB537" s="301" t="str">
        <f t="shared" si="366"/>
        <v>,,Junior A Male Mini Soccer,,1,JR A M - MEX 2</v>
      </c>
      <c r="AC537" s="153" t="str">
        <f t="shared" si="367"/>
        <v>Junior A Male Mini SoccerJR A M - MEX 2</v>
      </c>
      <c r="AD537" s="301" t="str">
        <f t="shared" si="368"/>
        <v>,,Junior A Male Mini Soccer,,1,JR A M - ARG 2</v>
      </c>
      <c r="AE537" s="153" t="str">
        <f t="shared" si="369"/>
        <v>Junior A Male Mini SoccerJR A M - ARG 2</v>
      </c>
      <c r="AF537" s="383">
        <f t="shared" si="370"/>
        <v>1</v>
      </c>
      <c r="AG537" s="383">
        <f t="shared" si="371"/>
        <v>0</v>
      </c>
      <c r="AH537" s="383">
        <f t="shared" si="372"/>
        <v>0</v>
      </c>
      <c r="AI537" s="383">
        <f t="shared" si="373"/>
        <v>0</v>
      </c>
      <c r="AJ537" s="383">
        <f t="shared" si="374"/>
        <v>1</v>
      </c>
      <c r="AK537" s="383">
        <f t="shared" si="375"/>
        <v>0</v>
      </c>
      <c r="AM537" s="148" t="str">
        <f t="shared" si="376"/>
        <v>Schedulled</v>
      </c>
      <c r="AN537" s="148" t="str">
        <f t="shared" si="377"/>
        <v/>
      </c>
      <c r="AO537" s="156">
        <f t="shared" si="378"/>
        <v>43063.506944444445</v>
      </c>
      <c r="AP537" s="148" t="str">
        <f t="shared" si="379"/>
        <v>11/24/2017 12:10-&gt;JCC Back Field 3</v>
      </c>
      <c r="AQ537" s="374">
        <f t="shared" si="380"/>
        <v>1</v>
      </c>
      <c r="AR537" s="148" t="str">
        <f t="shared" si="381"/>
        <v>MEX2</v>
      </c>
      <c r="AS537" s="148" t="str">
        <f t="shared" si="382"/>
        <v>ARG2</v>
      </c>
      <c r="AT537" s="157" t="str">
        <f t="shared" si="383"/>
        <v>MEX2-ARG2</v>
      </c>
      <c r="AU537" s="157" t="str">
        <f t="shared" si="384"/>
        <v xml:space="preserve">MEX2-ARG2 </v>
      </c>
      <c r="AV537" s="157" t="str">
        <f t="shared" si="385"/>
        <v>JUNIORS A MALE</v>
      </c>
      <c r="AW537" s="157" t="str">
        <f t="shared" si="386"/>
        <v>Soccer</v>
      </c>
      <c r="AX537" s="376">
        <f t="shared" si="387"/>
        <v>535</v>
      </c>
      <c r="AY537" s="148" t="str">
        <f t="shared" si="388"/>
        <v>JR A M - MEX 2-&gt;JR A M - ARG 2</v>
      </c>
      <c r="AZ537" s="148" t="str">
        <f t="shared" si="389"/>
        <v>11/24/2017 12:10-&gt;JR A M - MEX 2</v>
      </c>
      <c r="BA537" s="148" t="str">
        <f t="shared" si="390"/>
        <v>11/24/2017 12:10-&gt;JR A M - ARG 2</v>
      </c>
      <c r="BB537" s="374">
        <f t="shared" si="391"/>
        <v>1</v>
      </c>
      <c r="BC537" s="374">
        <f t="shared" si="392"/>
        <v>1</v>
      </c>
      <c r="BD537" s="148" t="str">
        <f t="shared" si="393"/>
        <v>no conflict</v>
      </c>
      <c r="BF537" s="148" t="str">
        <f t="shared" si="394"/>
        <v>11/24/2017 12:10-&gt;JR A M - MEX 2</v>
      </c>
      <c r="BG537" s="148" t="str">
        <f t="shared" si="395"/>
        <v>11/24/2017 12:10-&gt;JR A M - ARG 2</v>
      </c>
      <c r="BH537" s="148" t="str">
        <f t="shared" si="396"/>
        <v>11/24/2017 12:10-&gt;JCC Back Field 3</v>
      </c>
      <c r="BI537" s="148" t="str">
        <f t="shared" si="397"/>
        <v>Soccer in JCC Back Field 3 (MEX2-ARG2)</v>
      </c>
      <c r="BJ537" s="148" t="str">
        <f t="shared" si="398"/>
        <v>Junior A Male Mini Soccer-- JR A M - MEX 2 vs. JR A M - ARG 2</v>
      </c>
      <c r="BK537" s="148" t="str">
        <f t="shared" si="399"/>
        <v>Soccer</v>
      </c>
      <c r="BL537" s="148" t="str">
        <f t="shared" si="400"/>
        <v>JR A M - MEX 2</v>
      </c>
      <c r="BM537" s="148" t="str">
        <f t="shared" si="401"/>
        <v>JR A M - ARG 2</v>
      </c>
      <c r="BN537" s="148" t="str">
        <f t="shared" si="402"/>
        <v>Round - 1</v>
      </c>
      <c r="BP537" s="148" t="str">
        <f t="shared" si="403"/>
        <v>no t, f, or sf</v>
      </c>
      <c r="BQ537" s="148" t="str">
        <f t="shared" si="404"/>
        <v/>
      </c>
    </row>
    <row r="538" spans="1:69" ht="15" customHeight="1" x14ac:dyDescent="0.2">
      <c r="A538" s="376">
        <v>536</v>
      </c>
      <c r="B538" s="441" t="s">
        <v>71</v>
      </c>
      <c r="C538" s="441" t="s">
        <v>518</v>
      </c>
      <c r="D538" s="450">
        <v>1</v>
      </c>
      <c r="E538" s="450">
        <v>1</v>
      </c>
      <c r="F538" s="315" t="s">
        <v>770</v>
      </c>
      <c r="G538" s="320">
        <v>43063</v>
      </c>
      <c r="H538" s="454">
        <v>0.50694444444444442</v>
      </c>
      <c r="I538" s="325" t="s">
        <v>770</v>
      </c>
      <c r="J538" s="296" t="s">
        <v>693</v>
      </c>
      <c r="K538" s="441">
        <v>61</v>
      </c>
      <c r="L538" s="441" t="s">
        <v>644</v>
      </c>
      <c r="M538" s="441">
        <v>61</v>
      </c>
      <c r="N538" s="441" t="s">
        <v>643</v>
      </c>
      <c r="O538" s="153" t="str">
        <f>IF(L538&lt;&gt;"",IFERROR(VLOOKUP(B538&amp;L538,Pools!$A$2:$D$130,3,FALSE),""),"")</f>
        <v/>
      </c>
      <c r="P538" s="388">
        <v>3</v>
      </c>
      <c r="Q538" s="388">
        <v>2</v>
      </c>
      <c r="R538" s="306" t="str">
        <f t="shared" si="360"/>
        <v>3-2</v>
      </c>
      <c r="S538" s="153"/>
      <c r="T538" s="148" t="str">
        <f t="shared" si="361"/>
        <v>Completed</v>
      </c>
      <c r="U538" s="153"/>
      <c r="V538" s="153"/>
      <c r="W538" s="387">
        <f t="shared" si="362"/>
        <v>1</v>
      </c>
      <c r="X538" s="387">
        <f t="shared" si="363"/>
        <v>-1</v>
      </c>
      <c r="Y538" s="301">
        <f t="shared" si="364"/>
        <v>2</v>
      </c>
      <c r="Z538" s="301">
        <f t="shared" si="365"/>
        <v>0</v>
      </c>
      <c r="AA538" s="323" t="str">
        <f>CONCATENATE("                x[team1,team2,sport,'",IF(OR(I538="x",I538=""),VLOOKUP('Schedule from TM'!J538,Tables!$P$3:$Q$33,2,FALSE),'Schedule from TM'!I538),",",J538,"','",IF(OR(F538="x",F538=""),VLOOKUP('Schedule from TM'!G538,Tables!$U$3:$V$14,2,FALSE),'Schedule from TM'!F538),",",TEXT(G538,"mm/dd/yyyy"),"','",TEXT(H538,"h:mm:ss AM/PM"),"'].ub=0.0      #",B538)</f>
        <v xml:space="preserve">                x[team1,team2,sport,'11,JCC Back Field 2','11,11/24/2017','12:10:00 PM'].ub=0.0      #Junior A Male Mini Soccer</v>
      </c>
      <c r="AB538" s="301" t="str">
        <f t="shared" si="366"/>
        <v>,,Junior A Male Mini Soccer,,1,JR A M - ISR 1</v>
      </c>
      <c r="AC538" s="153" t="str">
        <f t="shared" si="367"/>
        <v>Junior A Male Mini SoccerJR A M - ISR 1</v>
      </c>
      <c r="AD538" s="301" t="str">
        <f t="shared" si="368"/>
        <v>,,Junior A Male Mini Soccer,,1,JR A M - USA 2</v>
      </c>
      <c r="AE538" s="153" t="str">
        <f t="shared" si="369"/>
        <v>Junior A Male Mini SoccerJR A M - USA 2</v>
      </c>
      <c r="AF538" s="383">
        <f t="shared" si="370"/>
        <v>1</v>
      </c>
      <c r="AG538" s="383">
        <f t="shared" si="371"/>
        <v>0</v>
      </c>
      <c r="AH538" s="383">
        <f t="shared" si="372"/>
        <v>0</v>
      </c>
      <c r="AI538" s="383">
        <f t="shared" si="373"/>
        <v>0</v>
      </c>
      <c r="AJ538" s="383">
        <f t="shared" si="374"/>
        <v>1</v>
      </c>
      <c r="AK538" s="383">
        <f t="shared" si="375"/>
        <v>0</v>
      </c>
      <c r="AM538" s="148" t="str">
        <f t="shared" si="376"/>
        <v>Schedulled</v>
      </c>
      <c r="AN538" s="148" t="str">
        <f t="shared" si="377"/>
        <v/>
      </c>
      <c r="AO538" s="156">
        <f t="shared" si="378"/>
        <v>43063.506944444445</v>
      </c>
      <c r="AP538" s="148" t="str">
        <f t="shared" si="379"/>
        <v>11/24/2017 12:10-&gt;JCC Back Field 2</v>
      </c>
      <c r="AQ538" s="374">
        <f t="shared" si="380"/>
        <v>1</v>
      </c>
      <c r="AR538" s="148" t="str">
        <f t="shared" si="381"/>
        <v>ISR1</v>
      </c>
      <c r="AS538" s="148" t="str">
        <f t="shared" si="382"/>
        <v>USA2</v>
      </c>
      <c r="AT538" s="157" t="str">
        <f t="shared" si="383"/>
        <v>ISR1-USA2</v>
      </c>
      <c r="AU538" s="157" t="str">
        <f t="shared" si="384"/>
        <v xml:space="preserve">ISR1-USA2 </v>
      </c>
      <c r="AV538" s="157" t="str">
        <f t="shared" si="385"/>
        <v>JUNIORS A MALE</v>
      </c>
      <c r="AW538" s="157" t="str">
        <f t="shared" si="386"/>
        <v>Soccer</v>
      </c>
      <c r="AX538" s="376">
        <f t="shared" si="387"/>
        <v>536</v>
      </c>
      <c r="AY538" s="148" t="str">
        <f t="shared" si="388"/>
        <v>JR A M - ISR 1-&gt;JR A M - USA 2</v>
      </c>
      <c r="AZ538" s="148" t="str">
        <f t="shared" si="389"/>
        <v>11/24/2017 12:10-&gt;JR A M - ISR 1</v>
      </c>
      <c r="BA538" s="148" t="str">
        <f t="shared" si="390"/>
        <v>11/24/2017 12:10-&gt;JR A M - USA 2</v>
      </c>
      <c r="BB538" s="374">
        <f t="shared" si="391"/>
        <v>1</v>
      </c>
      <c r="BC538" s="374">
        <f t="shared" si="392"/>
        <v>1</v>
      </c>
      <c r="BD538" s="148" t="str">
        <f t="shared" si="393"/>
        <v>no conflict</v>
      </c>
      <c r="BF538" s="148" t="str">
        <f t="shared" si="394"/>
        <v>11/24/2017 12:10-&gt;JR A M - ISR 1</v>
      </c>
      <c r="BG538" s="148" t="str">
        <f t="shared" si="395"/>
        <v>11/24/2017 12:10-&gt;JR A M - USA 2</v>
      </c>
      <c r="BH538" s="148" t="str">
        <f t="shared" si="396"/>
        <v>11/24/2017 12:10-&gt;JCC Back Field 2</v>
      </c>
      <c r="BI538" s="148" t="str">
        <f t="shared" si="397"/>
        <v>Soccer in JCC Back Field 2 (ISR1-USA2)</v>
      </c>
      <c r="BJ538" s="148" t="str">
        <f t="shared" si="398"/>
        <v>Junior A Male Mini Soccer-- JR A M - ISR 1 vs. JR A M - USA 2</v>
      </c>
      <c r="BK538" s="148" t="str">
        <f t="shared" si="399"/>
        <v>Soccer</v>
      </c>
      <c r="BL538" s="148" t="str">
        <f t="shared" si="400"/>
        <v>JR A M - ISR 1</v>
      </c>
      <c r="BM538" s="148" t="str">
        <f t="shared" si="401"/>
        <v>JR A M - USA 2</v>
      </c>
      <c r="BN538" s="148" t="str">
        <f t="shared" si="402"/>
        <v>Round - 1</v>
      </c>
      <c r="BP538" s="148" t="str">
        <f t="shared" si="403"/>
        <v>no t, f, or sf</v>
      </c>
      <c r="BQ538" s="148" t="str">
        <f t="shared" si="404"/>
        <v/>
      </c>
    </row>
    <row r="539" spans="1:69" ht="15" customHeight="1" x14ac:dyDescent="0.2">
      <c r="A539" s="376">
        <v>537</v>
      </c>
      <c r="B539" s="444" t="s">
        <v>71</v>
      </c>
      <c r="C539" s="444" t="s">
        <v>518</v>
      </c>
      <c r="D539" s="451">
        <v>1</v>
      </c>
      <c r="E539" s="451">
        <v>1</v>
      </c>
      <c r="F539" s="315" t="s">
        <v>770</v>
      </c>
      <c r="G539" s="445">
        <v>43063</v>
      </c>
      <c r="H539" s="454">
        <v>0.57638888888888895</v>
      </c>
      <c r="I539" s="325" t="s">
        <v>770</v>
      </c>
      <c r="J539" s="444" t="s">
        <v>692</v>
      </c>
      <c r="K539" s="444">
        <v>61</v>
      </c>
      <c r="L539" s="433" t="s">
        <v>639</v>
      </c>
      <c r="M539" s="433">
        <v>61</v>
      </c>
      <c r="N539" s="433" t="s">
        <v>720</v>
      </c>
      <c r="O539" s="153" t="str">
        <f>IF(L539&lt;&gt;"",IFERROR(VLOOKUP(B539&amp;L539,Pools!$A$2:$D$130,3,FALSE),""),"")</f>
        <v/>
      </c>
      <c r="P539" s="388">
        <v>4</v>
      </c>
      <c r="Q539" s="388">
        <v>2</v>
      </c>
      <c r="R539" s="306" t="str">
        <f t="shared" si="360"/>
        <v>4-2</v>
      </c>
      <c r="S539" s="153"/>
      <c r="T539" s="148" t="str">
        <f t="shared" si="361"/>
        <v>Completed</v>
      </c>
      <c r="U539" s="153"/>
      <c r="V539" s="153"/>
      <c r="W539" s="387">
        <f t="shared" si="362"/>
        <v>2</v>
      </c>
      <c r="X539" s="387">
        <f t="shared" si="363"/>
        <v>-2</v>
      </c>
      <c r="Y539" s="301">
        <f t="shared" si="364"/>
        <v>2</v>
      </c>
      <c r="Z539" s="301">
        <f t="shared" si="365"/>
        <v>0</v>
      </c>
      <c r="AA539" s="323" t="str">
        <f>CONCATENATE("                x[team1,team2,sport,'",IF(OR(I539="x",I539=""),VLOOKUP('Schedule from TM'!J539,Tables!$P$3:$Q$33,2,FALSE),'Schedule from TM'!I539),",",J539,"','",IF(OR(F539="x",F539=""),VLOOKUP('Schedule from TM'!G539,Tables!$U$3:$V$14,2,FALSE),'Schedule from TM'!F539),",",TEXT(G539,"mm/dd/yyyy"),"','",TEXT(H539,"h:mm:ss AM/PM"),"'].ub=0.0      #",B539)</f>
        <v xml:space="preserve">                x[team1,team2,sport,'11,JCC Back Field 3','11,11/24/2017','1:50:00 PM'].ub=0.0      #Junior A Male Mini Soccer</v>
      </c>
      <c r="AB539" s="301" t="str">
        <f t="shared" si="366"/>
        <v>,,Junior A Male Mini Soccer,,1,JR A M - COL 1</v>
      </c>
      <c r="AC539" s="153" t="str">
        <f t="shared" si="367"/>
        <v>Junior A Male Mini SoccerJR A M - COL 1</v>
      </c>
      <c r="AD539" s="301" t="str">
        <f t="shared" si="368"/>
        <v>,,Junior A Male Mini Soccer,,1,JR A M - MEX 2</v>
      </c>
      <c r="AE539" s="153" t="str">
        <f t="shared" si="369"/>
        <v>Junior A Male Mini SoccerJR A M - MEX 2</v>
      </c>
      <c r="AF539" s="383">
        <f t="shared" si="370"/>
        <v>1</v>
      </c>
      <c r="AG539" s="383">
        <f t="shared" si="371"/>
        <v>0</v>
      </c>
      <c r="AH539" s="383">
        <f t="shared" si="372"/>
        <v>0</v>
      </c>
      <c r="AI539" s="383">
        <f t="shared" si="373"/>
        <v>0</v>
      </c>
      <c r="AJ539" s="383">
        <f t="shared" si="374"/>
        <v>1</v>
      </c>
      <c r="AK539" s="383">
        <f t="shared" si="375"/>
        <v>0</v>
      </c>
      <c r="AM539" s="148" t="str">
        <f t="shared" si="376"/>
        <v>Schedulled</v>
      </c>
      <c r="AN539" s="148" t="str">
        <f t="shared" si="377"/>
        <v/>
      </c>
      <c r="AO539" s="156">
        <f t="shared" si="378"/>
        <v>43063.576388888891</v>
      </c>
      <c r="AP539" s="148" t="str">
        <f t="shared" si="379"/>
        <v>11/24/2017 13:50-&gt;JCC Back Field 3</v>
      </c>
      <c r="AQ539" s="374">
        <f t="shared" si="380"/>
        <v>1</v>
      </c>
      <c r="AR539" s="148" t="str">
        <f t="shared" si="381"/>
        <v>COL1</v>
      </c>
      <c r="AS539" s="148" t="str">
        <f t="shared" si="382"/>
        <v>MEX2</v>
      </c>
      <c r="AT539" s="157" t="str">
        <f t="shared" si="383"/>
        <v>COL1-MEX2</v>
      </c>
      <c r="AU539" s="157" t="str">
        <f t="shared" si="384"/>
        <v xml:space="preserve">COL1-MEX2 </v>
      </c>
      <c r="AV539" s="157" t="str">
        <f t="shared" si="385"/>
        <v>JUNIORS A MALE</v>
      </c>
      <c r="AW539" s="157" t="str">
        <f t="shared" si="386"/>
        <v>Soccer</v>
      </c>
      <c r="AX539" s="376">
        <f t="shared" si="387"/>
        <v>537</v>
      </c>
      <c r="AY539" s="148" t="str">
        <f t="shared" si="388"/>
        <v>JR A M - COL 1-&gt;JR A M - MEX 2</v>
      </c>
      <c r="AZ539" s="148" t="str">
        <f t="shared" si="389"/>
        <v>11/24/2017 13:50-&gt;JR A M - COL 1</v>
      </c>
      <c r="BA539" s="148" t="str">
        <f t="shared" si="390"/>
        <v>11/24/2017 13:50-&gt;JR A M - MEX 2</v>
      </c>
      <c r="BB539" s="374">
        <f t="shared" si="391"/>
        <v>1</v>
      </c>
      <c r="BC539" s="374">
        <f t="shared" si="392"/>
        <v>1</v>
      </c>
      <c r="BD539" s="148" t="str">
        <f t="shared" si="393"/>
        <v>no conflict</v>
      </c>
      <c r="BF539" s="148" t="str">
        <f t="shared" si="394"/>
        <v>11/24/2017 13:50-&gt;JR A M - COL 1</v>
      </c>
      <c r="BG539" s="148" t="str">
        <f t="shared" si="395"/>
        <v>11/24/2017 13:50-&gt;JR A M - MEX 2</v>
      </c>
      <c r="BH539" s="148" t="str">
        <f t="shared" si="396"/>
        <v>11/24/2017 13:50-&gt;JCC Back Field 3</v>
      </c>
      <c r="BI539" s="148" t="str">
        <f t="shared" si="397"/>
        <v>Soccer in JCC Back Field 3 (COL1-MEX2)</v>
      </c>
      <c r="BJ539" s="148" t="str">
        <f t="shared" si="398"/>
        <v>Junior A Male Mini Soccer-- JR A M - COL 1 vs. JR A M - MEX 2</v>
      </c>
      <c r="BK539" s="148" t="str">
        <f t="shared" si="399"/>
        <v>Soccer</v>
      </c>
      <c r="BL539" s="148" t="str">
        <f t="shared" si="400"/>
        <v>JR A M - COL 1</v>
      </c>
      <c r="BM539" s="148" t="str">
        <f t="shared" si="401"/>
        <v>JR A M - MEX 2</v>
      </c>
      <c r="BN539" s="148" t="str">
        <f t="shared" si="402"/>
        <v>Round - 1</v>
      </c>
      <c r="BP539" s="148" t="str">
        <f t="shared" si="403"/>
        <v>no t, f, or sf</v>
      </c>
      <c r="BQ539" s="148" t="str">
        <f t="shared" si="404"/>
        <v/>
      </c>
    </row>
    <row r="540" spans="1:69" ht="15" customHeight="1" x14ac:dyDescent="0.2">
      <c r="A540" s="376">
        <v>538</v>
      </c>
      <c r="B540" s="443" t="s">
        <v>74</v>
      </c>
      <c r="C540" s="315" t="s">
        <v>518</v>
      </c>
      <c r="D540" s="378">
        <v>1</v>
      </c>
      <c r="E540" s="378">
        <v>1</v>
      </c>
      <c r="F540" s="315" t="s">
        <v>770</v>
      </c>
      <c r="G540" s="316">
        <v>43057</v>
      </c>
      <c r="H540" s="317">
        <v>0.78472222222222221</v>
      </c>
      <c r="I540" s="325" t="s">
        <v>770</v>
      </c>
      <c r="J540" s="315" t="s">
        <v>708</v>
      </c>
      <c r="K540" s="315">
        <v>61</v>
      </c>
      <c r="L540" s="433" t="s">
        <v>639</v>
      </c>
      <c r="M540" s="433">
        <v>61</v>
      </c>
      <c r="N540" s="433" t="s">
        <v>642</v>
      </c>
      <c r="O540" s="153" t="str">
        <f>IF(L540&lt;&gt;"",IFERROR(VLOOKUP(B540&amp;L540,Pools!$A$2:$D$130,3,FALSE),""),"")</f>
        <v/>
      </c>
      <c r="P540" s="388">
        <v>0</v>
      </c>
      <c r="Q540" s="388">
        <v>2</v>
      </c>
      <c r="R540" s="306" t="str">
        <f t="shared" si="360"/>
        <v>0-2</v>
      </c>
      <c r="S540" s="153"/>
      <c r="T540" s="148" t="str">
        <f t="shared" si="361"/>
        <v>Completed</v>
      </c>
      <c r="U540" s="153"/>
      <c r="V540" s="153"/>
      <c r="W540" s="387">
        <f t="shared" si="362"/>
        <v>-2</v>
      </c>
      <c r="X540" s="387">
        <f t="shared" si="363"/>
        <v>2</v>
      </c>
      <c r="Y540" s="301">
        <f t="shared" si="364"/>
        <v>0</v>
      </c>
      <c r="Z540" s="301">
        <f t="shared" si="365"/>
        <v>2</v>
      </c>
      <c r="AA540" s="323" t="str">
        <f>CONCATENATE("                x[team1,team2,sport,'",IF(OR(I540="x",I540=""),VLOOKUP('Schedule from TM'!J540,Tables!$P$3:$Q$33,2,FALSE),'Schedule from TM'!I540),",",J540,"','",IF(OR(F540="x",F540=""),VLOOKUP('Schedule from TM'!G540,Tables!$U$3:$V$14,2,FALSE),'Schedule from TM'!F540),",",TEXT(G540,"mm/dd/yyyy"),"','",TEXT(H540,"h:mm:ss AM/PM"),"'].ub=0.0      #",B540)</f>
        <v xml:space="preserve">                x[team1,team2,sport,'21,Hillel - Gym Volleyball','21,11/18/2017','6:50:00 PM'].ub=0.0      #Junior A Male Volleyball</v>
      </c>
      <c r="AB540" s="301" t="str">
        <f t="shared" si="366"/>
        <v>,,Junior A Male Volleyball,,1,JR A M - COL 1</v>
      </c>
      <c r="AC540" s="153" t="str">
        <f t="shared" si="367"/>
        <v>Junior A Male VolleyballJR A M - COL 1</v>
      </c>
      <c r="AD540" s="301" t="str">
        <f t="shared" si="368"/>
        <v>,,Junior A Male Volleyball,,1,JR A M - USA 1</v>
      </c>
      <c r="AE540" s="153" t="str">
        <f t="shared" si="369"/>
        <v>Junior A Male VolleyballJR A M - USA 1</v>
      </c>
      <c r="AF540" s="383">
        <f t="shared" si="370"/>
        <v>0</v>
      </c>
      <c r="AG540" s="383">
        <f t="shared" si="371"/>
        <v>1</v>
      </c>
      <c r="AH540" s="383">
        <f t="shared" si="372"/>
        <v>0</v>
      </c>
      <c r="AI540" s="383">
        <f t="shared" si="373"/>
        <v>1</v>
      </c>
      <c r="AJ540" s="383">
        <f t="shared" si="374"/>
        <v>0</v>
      </c>
      <c r="AK540" s="383">
        <f t="shared" si="375"/>
        <v>0</v>
      </c>
      <c r="AM540" s="148" t="str">
        <f t="shared" si="376"/>
        <v>Schedulled</v>
      </c>
      <c r="AN540" s="148" t="str">
        <f t="shared" si="377"/>
        <v/>
      </c>
      <c r="AO540" s="156">
        <f t="shared" si="378"/>
        <v>43057.784722222219</v>
      </c>
      <c r="AP540" s="148" t="str">
        <f t="shared" si="379"/>
        <v>11/18/2017 18:50-&gt;Hillel - Gym Volleyball</v>
      </c>
      <c r="AQ540" s="374">
        <f t="shared" si="380"/>
        <v>1</v>
      </c>
      <c r="AR540" s="148" t="str">
        <f t="shared" si="381"/>
        <v>COL1</v>
      </c>
      <c r="AS540" s="148" t="str">
        <f t="shared" si="382"/>
        <v>USA1</v>
      </c>
      <c r="AT540" s="157" t="str">
        <f t="shared" si="383"/>
        <v>COL1-USA1</v>
      </c>
      <c r="AU540" s="157" t="str">
        <f t="shared" si="384"/>
        <v xml:space="preserve">COL1-USA1 </v>
      </c>
      <c r="AV540" s="157" t="str">
        <f t="shared" si="385"/>
        <v>JUNIORS A MALE</v>
      </c>
      <c r="AW540" s="157" t="str">
        <f t="shared" si="386"/>
        <v>Volleyball</v>
      </c>
      <c r="AX540" s="376">
        <f t="shared" si="387"/>
        <v>538</v>
      </c>
      <c r="AY540" s="148" t="str">
        <f t="shared" si="388"/>
        <v>JR A M - COL 1-&gt;JR A M - USA 1</v>
      </c>
      <c r="AZ540" s="148" t="str">
        <f t="shared" si="389"/>
        <v>11/18/2017 18:50-&gt;JR A M - COL 1</v>
      </c>
      <c r="BA540" s="148" t="str">
        <f t="shared" si="390"/>
        <v>11/18/2017 18:50-&gt;JR A M - USA 1</v>
      </c>
      <c r="BB540" s="374">
        <f t="shared" si="391"/>
        <v>1</v>
      </c>
      <c r="BC540" s="374">
        <f t="shared" si="392"/>
        <v>1</v>
      </c>
      <c r="BD540" s="148" t="str">
        <f t="shared" si="393"/>
        <v>no conflict</v>
      </c>
      <c r="BF540" s="148" t="str">
        <f t="shared" si="394"/>
        <v>11/18/2017 18:50-&gt;JR A M - COL 1</v>
      </c>
      <c r="BG540" s="148" t="str">
        <f t="shared" si="395"/>
        <v>11/18/2017 18:50-&gt;JR A M - USA 1</v>
      </c>
      <c r="BH540" s="148" t="str">
        <f t="shared" si="396"/>
        <v>11/18/2017 18:50-&gt;Hillel - Gym Volleyball</v>
      </c>
      <c r="BI540" s="148" t="str">
        <f t="shared" si="397"/>
        <v>Volleyball in Hillel - Gym Volleyball (COL1-USA1)</v>
      </c>
      <c r="BJ540" s="148" t="str">
        <f t="shared" si="398"/>
        <v>Junior A Male Volleyball-- JR A M - COL 1 vs. JR A M - USA 1</v>
      </c>
      <c r="BK540" s="148" t="str">
        <f t="shared" si="399"/>
        <v>Volleyball</v>
      </c>
      <c r="BL540" s="148" t="str">
        <f t="shared" si="400"/>
        <v>JR A M - COL 1</v>
      </c>
      <c r="BM540" s="148" t="str">
        <f t="shared" si="401"/>
        <v>JR A M - USA 1</v>
      </c>
      <c r="BN540" s="148" t="str">
        <f t="shared" si="402"/>
        <v>Round - 1</v>
      </c>
      <c r="BP540" s="148" t="str">
        <f t="shared" si="403"/>
        <v>no t, f, or sf</v>
      </c>
      <c r="BQ540" s="148" t="str">
        <f t="shared" si="404"/>
        <v/>
      </c>
    </row>
    <row r="541" spans="1:69" ht="15" customHeight="1" x14ac:dyDescent="0.2">
      <c r="A541" s="376">
        <v>539</v>
      </c>
      <c r="B541" s="444" t="s">
        <v>74</v>
      </c>
      <c r="C541" s="444" t="s">
        <v>518</v>
      </c>
      <c r="D541" s="451">
        <v>1</v>
      </c>
      <c r="E541" s="451">
        <v>1</v>
      </c>
      <c r="F541" s="315" t="s">
        <v>770</v>
      </c>
      <c r="G541" s="445">
        <v>43057</v>
      </c>
      <c r="H541" s="317">
        <v>0.81944444444444453</v>
      </c>
      <c r="I541" s="325" t="s">
        <v>770</v>
      </c>
      <c r="J541" s="444" t="s">
        <v>708</v>
      </c>
      <c r="K541" s="444">
        <v>61</v>
      </c>
      <c r="L541" s="433" t="s">
        <v>639</v>
      </c>
      <c r="M541" s="433">
        <v>61</v>
      </c>
      <c r="N541" s="433" t="s">
        <v>643</v>
      </c>
      <c r="O541" s="153" t="str">
        <f>IF(L541&lt;&gt;"",IFERROR(VLOOKUP(B541&amp;L541,Pools!$A$2:$D$130,3,FALSE),""),"")</f>
        <v/>
      </c>
      <c r="P541" s="388">
        <v>2</v>
      </c>
      <c r="Q541" s="388">
        <v>0</v>
      </c>
      <c r="R541" s="306" t="str">
        <f t="shared" si="360"/>
        <v>2-0</v>
      </c>
      <c r="S541" s="153"/>
      <c r="T541" s="148" t="str">
        <f t="shared" si="361"/>
        <v>Completed</v>
      </c>
      <c r="U541" s="153"/>
      <c r="V541" s="153"/>
      <c r="W541" s="387">
        <f t="shared" si="362"/>
        <v>2</v>
      </c>
      <c r="X541" s="387">
        <f t="shared" si="363"/>
        <v>-2</v>
      </c>
      <c r="Y541" s="301">
        <f t="shared" si="364"/>
        <v>2</v>
      </c>
      <c r="Z541" s="301">
        <f t="shared" si="365"/>
        <v>0</v>
      </c>
      <c r="AA541" s="323" t="str">
        <f>CONCATENATE("                x[team1,team2,sport,'",IF(OR(I541="x",I541=""),VLOOKUP('Schedule from TM'!J541,Tables!$P$3:$Q$33,2,FALSE),'Schedule from TM'!I541),",",J541,"','",IF(OR(F541="x",F541=""),VLOOKUP('Schedule from TM'!G541,Tables!$U$3:$V$14,2,FALSE),'Schedule from TM'!F541),",",TEXT(G541,"mm/dd/yyyy"),"','",TEXT(H541,"h:mm:ss AM/PM"),"'].ub=0.0      #",B541)</f>
        <v xml:space="preserve">                x[team1,team2,sport,'21,Hillel - Gym Volleyball','21,11/18/2017','7:40:00 PM'].ub=0.0      #Junior A Male Volleyball</v>
      </c>
      <c r="AB541" s="301" t="str">
        <f t="shared" si="366"/>
        <v>,,Junior A Male Volleyball,,1,JR A M - COL 1</v>
      </c>
      <c r="AC541" s="153" t="str">
        <f t="shared" si="367"/>
        <v>Junior A Male VolleyballJR A M - COL 1</v>
      </c>
      <c r="AD541" s="301" t="str">
        <f t="shared" si="368"/>
        <v>,,Junior A Male Volleyball,,1,JR A M - USA 2</v>
      </c>
      <c r="AE541" s="153" t="str">
        <f t="shared" si="369"/>
        <v>Junior A Male VolleyballJR A M - USA 2</v>
      </c>
      <c r="AF541" s="383">
        <f t="shared" si="370"/>
        <v>1</v>
      </c>
      <c r="AG541" s="383">
        <f t="shared" si="371"/>
        <v>0</v>
      </c>
      <c r="AH541" s="383">
        <f t="shared" si="372"/>
        <v>0</v>
      </c>
      <c r="AI541" s="383">
        <f t="shared" si="373"/>
        <v>0</v>
      </c>
      <c r="AJ541" s="383">
        <f t="shared" si="374"/>
        <v>1</v>
      </c>
      <c r="AK541" s="383">
        <f t="shared" si="375"/>
        <v>0</v>
      </c>
      <c r="AM541" s="148" t="str">
        <f t="shared" si="376"/>
        <v>Schedulled</v>
      </c>
      <c r="AN541" s="148" t="str">
        <f t="shared" si="377"/>
        <v/>
      </c>
      <c r="AO541" s="156">
        <f t="shared" si="378"/>
        <v>43057.819444444445</v>
      </c>
      <c r="AP541" s="148" t="str">
        <f t="shared" si="379"/>
        <v>11/18/2017 19:40-&gt;Hillel - Gym Volleyball</v>
      </c>
      <c r="AQ541" s="374">
        <f t="shared" si="380"/>
        <v>1</v>
      </c>
      <c r="AR541" s="148" t="str">
        <f t="shared" si="381"/>
        <v>COL1</v>
      </c>
      <c r="AS541" s="148" t="str">
        <f t="shared" si="382"/>
        <v>USA2</v>
      </c>
      <c r="AT541" s="157" t="str">
        <f t="shared" si="383"/>
        <v>COL1-USA2</v>
      </c>
      <c r="AU541" s="157" t="str">
        <f t="shared" si="384"/>
        <v xml:space="preserve">COL1-USA2 </v>
      </c>
      <c r="AV541" s="157" t="str">
        <f t="shared" si="385"/>
        <v>JUNIORS A MALE</v>
      </c>
      <c r="AW541" s="157" t="str">
        <f t="shared" si="386"/>
        <v>Volleyball</v>
      </c>
      <c r="AX541" s="376">
        <f t="shared" si="387"/>
        <v>539</v>
      </c>
      <c r="AY541" s="148" t="str">
        <f t="shared" si="388"/>
        <v>JR A M - COL 1-&gt;JR A M - USA 2</v>
      </c>
      <c r="AZ541" s="148" t="str">
        <f t="shared" si="389"/>
        <v>11/18/2017 19:40-&gt;JR A M - COL 1</v>
      </c>
      <c r="BA541" s="148" t="str">
        <f t="shared" si="390"/>
        <v>11/18/2017 19:40-&gt;JR A M - USA 2</v>
      </c>
      <c r="BB541" s="374">
        <f t="shared" si="391"/>
        <v>1</v>
      </c>
      <c r="BC541" s="374">
        <f t="shared" si="392"/>
        <v>1</v>
      </c>
      <c r="BD541" s="148" t="str">
        <f t="shared" si="393"/>
        <v>no conflict</v>
      </c>
      <c r="BF541" s="148" t="str">
        <f t="shared" si="394"/>
        <v>11/18/2017 19:40-&gt;JR A M - COL 1</v>
      </c>
      <c r="BG541" s="148" t="str">
        <f t="shared" si="395"/>
        <v>11/18/2017 19:40-&gt;JR A M - USA 2</v>
      </c>
      <c r="BH541" s="148" t="str">
        <f t="shared" si="396"/>
        <v>11/18/2017 19:40-&gt;Hillel - Gym Volleyball</v>
      </c>
      <c r="BI541" s="148" t="str">
        <f t="shared" si="397"/>
        <v>Volleyball in Hillel - Gym Volleyball (COL1-USA2)</v>
      </c>
      <c r="BJ541" s="148" t="str">
        <f t="shared" si="398"/>
        <v>Junior A Male Volleyball-- JR A M - COL 1 vs. JR A M - USA 2</v>
      </c>
      <c r="BK541" s="148" t="str">
        <f t="shared" si="399"/>
        <v>Volleyball</v>
      </c>
      <c r="BL541" s="148" t="str">
        <f t="shared" si="400"/>
        <v>JR A M - COL 1</v>
      </c>
      <c r="BM541" s="148" t="str">
        <f t="shared" si="401"/>
        <v>JR A M - USA 2</v>
      </c>
      <c r="BN541" s="148" t="str">
        <f t="shared" si="402"/>
        <v>Round - 1</v>
      </c>
      <c r="BP541" s="148" t="str">
        <f t="shared" si="403"/>
        <v>no t, f, or sf</v>
      </c>
      <c r="BQ541" s="148" t="str">
        <f t="shared" si="404"/>
        <v/>
      </c>
    </row>
    <row r="542" spans="1:69" ht="15" customHeight="1" x14ac:dyDescent="0.2">
      <c r="A542" s="376">
        <v>540</v>
      </c>
      <c r="B542" s="315" t="s">
        <v>74</v>
      </c>
      <c r="C542" s="315" t="s">
        <v>518</v>
      </c>
      <c r="D542" s="378">
        <v>1</v>
      </c>
      <c r="E542" s="378">
        <v>1</v>
      </c>
      <c r="F542" s="315" t="s">
        <v>770</v>
      </c>
      <c r="G542" s="316">
        <v>43058</v>
      </c>
      <c r="H542" s="317">
        <v>0.47222222222222227</v>
      </c>
      <c r="I542" s="325" t="s">
        <v>770</v>
      </c>
      <c r="J542" s="315" t="s">
        <v>708</v>
      </c>
      <c r="K542" s="315">
        <v>61</v>
      </c>
      <c r="L542" s="433" t="s">
        <v>720</v>
      </c>
      <c r="M542" s="433">
        <v>61</v>
      </c>
      <c r="N542" s="433" t="s">
        <v>645</v>
      </c>
      <c r="O542" s="153" t="str">
        <f>IF(L542&lt;&gt;"",IFERROR(VLOOKUP(B542&amp;L542,Pools!$A$2:$D$130,3,FALSE),""),"")</f>
        <v/>
      </c>
      <c r="P542" s="388">
        <v>0</v>
      </c>
      <c r="Q542" s="388">
        <v>2</v>
      </c>
      <c r="R542" s="306" t="str">
        <f t="shared" si="360"/>
        <v>0-2</v>
      </c>
      <c r="S542" s="153"/>
      <c r="T542" s="148" t="str">
        <f t="shared" si="361"/>
        <v>Completed</v>
      </c>
      <c r="U542" s="153"/>
      <c r="V542" s="153"/>
      <c r="W542" s="387">
        <f t="shared" si="362"/>
        <v>-2</v>
      </c>
      <c r="X542" s="387">
        <f t="shared" si="363"/>
        <v>2</v>
      </c>
      <c r="Y542" s="301">
        <f t="shared" si="364"/>
        <v>0</v>
      </c>
      <c r="Z542" s="301">
        <f t="shared" si="365"/>
        <v>2</v>
      </c>
      <c r="AA542" s="323" t="str">
        <f>CONCATENATE("                x[team1,team2,sport,'",IF(OR(I542="x",I542=""),VLOOKUP('Schedule from TM'!J542,Tables!$P$3:$Q$33,2,FALSE),'Schedule from TM'!I542),",",J542,"','",IF(OR(F542="x",F542=""),VLOOKUP('Schedule from TM'!G542,Tables!$U$3:$V$14,2,FALSE),'Schedule from TM'!F542),",",TEXT(G542,"mm/dd/yyyy"),"','",TEXT(H542,"h:mm:ss AM/PM"),"'].ub=0.0      #",B542)</f>
        <v xml:space="preserve">                x[team1,team2,sport,'21,Hillel - Gym Volleyball','11,11/19/2017','11:20:00 AM'].ub=0.0      #Junior A Male Volleyball</v>
      </c>
      <c r="AB542" s="301" t="str">
        <f t="shared" si="366"/>
        <v>,,Junior A Male Volleyball,,1,JR A M - MEX 2</v>
      </c>
      <c r="AC542" s="153" t="str">
        <f t="shared" si="367"/>
        <v>Junior A Male VolleyballJR A M - MEX 2</v>
      </c>
      <c r="AD542" s="301" t="str">
        <f t="shared" si="368"/>
        <v>,,Junior A Male Volleyball,,1,JR A M - VEN 1</v>
      </c>
      <c r="AE542" s="153" t="str">
        <f t="shared" si="369"/>
        <v>Junior A Male VolleyballJR A M - VEN 1</v>
      </c>
      <c r="AF542" s="383">
        <f t="shared" si="370"/>
        <v>0</v>
      </c>
      <c r="AG542" s="383">
        <f t="shared" si="371"/>
        <v>1</v>
      </c>
      <c r="AH542" s="383">
        <f t="shared" si="372"/>
        <v>0</v>
      </c>
      <c r="AI542" s="383">
        <f t="shared" si="373"/>
        <v>1</v>
      </c>
      <c r="AJ542" s="383">
        <f t="shared" si="374"/>
        <v>0</v>
      </c>
      <c r="AK542" s="383">
        <f t="shared" si="375"/>
        <v>0</v>
      </c>
      <c r="AM542" s="148" t="str">
        <f t="shared" si="376"/>
        <v>Schedulled</v>
      </c>
      <c r="AN542" s="148" t="str">
        <f t="shared" si="377"/>
        <v/>
      </c>
      <c r="AO542" s="156">
        <f t="shared" si="378"/>
        <v>43058.472222222219</v>
      </c>
      <c r="AP542" s="148" t="str">
        <f t="shared" si="379"/>
        <v>11/19/2017 11:20-&gt;Hillel - Gym Volleyball</v>
      </c>
      <c r="AQ542" s="374">
        <f t="shared" si="380"/>
        <v>1</v>
      </c>
      <c r="AR542" s="148" t="str">
        <f t="shared" si="381"/>
        <v>MEX2</v>
      </c>
      <c r="AS542" s="148" t="str">
        <f t="shared" si="382"/>
        <v>VEN1</v>
      </c>
      <c r="AT542" s="157" t="str">
        <f t="shared" si="383"/>
        <v>MEX2-VEN1</v>
      </c>
      <c r="AU542" s="157" t="str">
        <f t="shared" si="384"/>
        <v xml:space="preserve">MEX2-VEN1 </v>
      </c>
      <c r="AV542" s="157" t="str">
        <f t="shared" si="385"/>
        <v>JUNIORS A MALE</v>
      </c>
      <c r="AW542" s="157" t="str">
        <f t="shared" si="386"/>
        <v>Volleyball</v>
      </c>
      <c r="AX542" s="376">
        <f t="shared" si="387"/>
        <v>540</v>
      </c>
      <c r="AY542" s="148" t="str">
        <f t="shared" si="388"/>
        <v>JR A M - MEX 2-&gt;JR A M - VEN 1</v>
      </c>
      <c r="AZ542" s="148" t="str">
        <f t="shared" si="389"/>
        <v>11/19/2017 11:20-&gt;JR A M - MEX 2</v>
      </c>
      <c r="BA542" s="148" t="str">
        <f t="shared" si="390"/>
        <v>11/19/2017 11:20-&gt;JR A M - VEN 1</v>
      </c>
      <c r="BB542" s="374">
        <f t="shared" si="391"/>
        <v>1</v>
      </c>
      <c r="BC542" s="374">
        <f t="shared" si="392"/>
        <v>1</v>
      </c>
      <c r="BD542" s="148" t="str">
        <f t="shared" si="393"/>
        <v>no conflict</v>
      </c>
      <c r="BF542" s="148" t="str">
        <f t="shared" si="394"/>
        <v>11/19/2017 11:20-&gt;JR A M - MEX 2</v>
      </c>
      <c r="BG542" s="148" t="str">
        <f t="shared" si="395"/>
        <v>11/19/2017 11:20-&gt;JR A M - VEN 1</v>
      </c>
      <c r="BH542" s="148" t="str">
        <f t="shared" si="396"/>
        <v>11/19/2017 11:20-&gt;Hillel - Gym Volleyball</v>
      </c>
      <c r="BI542" s="148" t="str">
        <f t="shared" si="397"/>
        <v>Volleyball in Hillel - Gym Volleyball (MEX2-VEN1)</v>
      </c>
      <c r="BJ542" s="148" t="str">
        <f t="shared" si="398"/>
        <v>Junior A Male Volleyball-- JR A M - MEX 2 vs. JR A M - VEN 1</v>
      </c>
      <c r="BK542" s="148" t="str">
        <f t="shared" si="399"/>
        <v>Volleyball</v>
      </c>
      <c r="BL542" s="148" t="str">
        <f t="shared" si="400"/>
        <v>JR A M - MEX 2</v>
      </c>
      <c r="BM542" s="148" t="str">
        <f t="shared" si="401"/>
        <v>JR A M - VEN 1</v>
      </c>
      <c r="BN542" s="148" t="str">
        <f t="shared" si="402"/>
        <v>Round - 1</v>
      </c>
      <c r="BP542" s="148" t="str">
        <f t="shared" si="403"/>
        <v>no t, f, or sf</v>
      </c>
      <c r="BQ542" s="148" t="str">
        <f t="shared" si="404"/>
        <v/>
      </c>
    </row>
    <row r="543" spans="1:69" ht="15" customHeight="1" x14ac:dyDescent="0.2">
      <c r="A543" s="376">
        <v>541</v>
      </c>
      <c r="B543" s="315" t="s">
        <v>74</v>
      </c>
      <c r="C543" s="315" t="s">
        <v>518</v>
      </c>
      <c r="D543" s="378">
        <v>1</v>
      </c>
      <c r="E543" s="378">
        <v>1</v>
      </c>
      <c r="F543" s="315" t="s">
        <v>770</v>
      </c>
      <c r="G543" s="316">
        <v>43058</v>
      </c>
      <c r="H543" s="317">
        <v>0.64583333333333337</v>
      </c>
      <c r="I543" s="325" t="s">
        <v>770</v>
      </c>
      <c r="J543" s="315" t="s">
        <v>708</v>
      </c>
      <c r="K543" s="315">
        <v>61</v>
      </c>
      <c r="L543" s="433" t="s">
        <v>637</v>
      </c>
      <c r="M543" s="433">
        <v>61</v>
      </c>
      <c r="N543" s="433" t="s">
        <v>642</v>
      </c>
      <c r="O543" s="153" t="str">
        <f>IF(L543&lt;&gt;"",IFERROR(VLOOKUP(B543&amp;L543,Pools!$A$2:$D$130,3,FALSE),""),"")</f>
        <v/>
      </c>
      <c r="P543" s="388">
        <v>2</v>
      </c>
      <c r="Q543" s="388">
        <v>1</v>
      </c>
      <c r="R543" s="306" t="str">
        <f t="shared" si="360"/>
        <v>2-1</v>
      </c>
      <c r="S543" s="153"/>
      <c r="T543" s="148" t="str">
        <f t="shared" si="361"/>
        <v>Completed</v>
      </c>
      <c r="U543" s="153"/>
      <c r="V543" s="153"/>
      <c r="W543" s="387">
        <f t="shared" si="362"/>
        <v>1</v>
      </c>
      <c r="X543" s="387">
        <f t="shared" si="363"/>
        <v>-1</v>
      </c>
      <c r="Y543" s="301">
        <f t="shared" si="364"/>
        <v>2</v>
      </c>
      <c r="Z543" s="301">
        <f t="shared" si="365"/>
        <v>0</v>
      </c>
      <c r="AA543" s="323" t="str">
        <f>CONCATENATE("                x[team1,team2,sport,'",IF(OR(I543="x",I543=""),VLOOKUP('Schedule from TM'!J543,Tables!$P$3:$Q$33,2,FALSE),'Schedule from TM'!I543),",",J543,"','",IF(OR(F543="x",F543=""),VLOOKUP('Schedule from TM'!G543,Tables!$U$3:$V$14,2,FALSE),'Schedule from TM'!F543),",",TEXT(G543,"mm/dd/yyyy"),"','",TEXT(H543,"h:mm:ss AM/PM"),"'].ub=0.0      #",B543)</f>
        <v xml:space="preserve">                x[team1,team2,sport,'21,Hillel - Gym Volleyball','11,11/19/2017','3:30:00 PM'].ub=0.0      #Junior A Male Volleyball</v>
      </c>
      <c r="AB543" s="301" t="str">
        <f t="shared" si="366"/>
        <v>,,Junior A Male Volleyball,,1,JR A M - ARG 1</v>
      </c>
      <c r="AC543" s="153" t="str">
        <f t="shared" si="367"/>
        <v>Junior A Male VolleyballJR A M - ARG 1</v>
      </c>
      <c r="AD543" s="301" t="str">
        <f t="shared" si="368"/>
        <v>,,Junior A Male Volleyball,,1,JR A M - USA 1</v>
      </c>
      <c r="AE543" s="153" t="str">
        <f t="shared" si="369"/>
        <v>Junior A Male VolleyballJR A M - USA 1</v>
      </c>
      <c r="AF543" s="383">
        <f t="shared" si="370"/>
        <v>1</v>
      </c>
      <c r="AG543" s="383">
        <f t="shared" si="371"/>
        <v>0</v>
      </c>
      <c r="AH543" s="383">
        <f t="shared" si="372"/>
        <v>0</v>
      </c>
      <c r="AI543" s="383">
        <f t="shared" si="373"/>
        <v>0</v>
      </c>
      <c r="AJ543" s="383">
        <f t="shared" si="374"/>
        <v>1</v>
      </c>
      <c r="AK543" s="383">
        <f t="shared" si="375"/>
        <v>0</v>
      </c>
      <c r="AM543" s="148" t="str">
        <f t="shared" si="376"/>
        <v>Schedulled</v>
      </c>
      <c r="AN543" s="148" t="str">
        <f t="shared" si="377"/>
        <v/>
      </c>
      <c r="AO543" s="156">
        <f t="shared" si="378"/>
        <v>43058.645833333336</v>
      </c>
      <c r="AP543" s="148" t="str">
        <f t="shared" si="379"/>
        <v>11/19/2017 15:30-&gt;Hillel - Gym Volleyball</v>
      </c>
      <c r="AQ543" s="374">
        <f t="shared" si="380"/>
        <v>1</v>
      </c>
      <c r="AR543" s="148" t="str">
        <f t="shared" si="381"/>
        <v>ARG1</v>
      </c>
      <c r="AS543" s="148" t="str">
        <f t="shared" si="382"/>
        <v>USA1</v>
      </c>
      <c r="AT543" s="157" t="str">
        <f t="shared" si="383"/>
        <v>ARG1-USA1</v>
      </c>
      <c r="AU543" s="157" t="str">
        <f t="shared" si="384"/>
        <v xml:space="preserve">ARG1-USA1 </v>
      </c>
      <c r="AV543" s="157" t="str">
        <f t="shared" si="385"/>
        <v>JUNIORS A MALE</v>
      </c>
      <c r="AW543" s="157" t="str">
        <f t="shared" si="386"/>
        <v>Volleyball</v>
      </c>
      <c r="AX543" s="376">
        <f t="shared" si="387"/>
        <v>541</v>
      </c>
      <c r="AY543" s="148" t="str">
        <f t="shared" si="388"/>
        <v>JR A M - ARG 1-&gt;JR A M - USA 1</v>
      </c>
      <c r="AZ543" s="148" t="str">
        <f t="shared" si="389"/>
        <v>11/19/2017 15:30-&gt;JR A M - ARG 1</v>
      </c>
      <c r="BA543" s="148" t="str">
        <f t="shared" si="390"/>
        <v>11/19/2017 15:30-&gt;JR A M - USA 1</v>
      </c>
      <c r="BB543" s="374">
        <f t="shared" si="391"/>
        <v>1</v>
      </c>
      <c r="BC543" s="374">
        <f t="shared" si="392"/>
        <v>1</v>
      </c>
      <c r="BD543" s="148" t="str">
        <f t="shared" si="393"/>
        <v>no conflict</v>
      </c>
      <c r="BF543" s="148" t="str">
        <f t="shared" si="394"/>
        <v>11/19/2017 15:30-&gt;JR A M - ARG 1</v>
      </c>
      <c r="BG543" s="148" t="str">
        <f t="shared" si="395"/>
        <v>11/19/2017 15:30-&gt;JR A M - USA 1</v>
      </c>
      <c r="BH543" s="148" t="str">
        <f t="shared" si="396"/>
        <v>11/19/2017 15:30-&gt;Hillel - Gym Volleyball</v>
      </c>
      <c r="BI543" s="148" t="str">
        <f t="shared" si="397"/>
        <v>Volleyball in Hillel - Gym Volleyball (ARG1-USA1)</v>
      </c>
      <c r="BJ543" s="148" t="str">
        <f t="shared" si="398"/>
        <v>Junior A Male Volleyball-- JR A M - ARG 1 vs. JR A M - USA 1</v>
      </c>
      <c r="BK543" s="148" t="str">
        <f t="shared" si="399"/>
        <v>Volleyball</v>
      </c>
      <c r="BL543" s="148" t="str">
        <f t="shared" si="400"/>
        <v>JR A M - ARG 1</v>
      </c>
      <c r="BM543" s="148" t="str">
        <f t="shared" si="401"/>
        <v>JR A M - USA 1</v>
      </c>
      <c r="BN543" s="148" t="str">
        <f t="shared" si="402"/>
        <v>Round - 1</v>
      </c>
      <c r="BP543" s="148" t="str">
        <f t="shared" si="403"/>
        <v>no t, f, or sf</v>
      </c>
      <c r="BQ543" s="148" t="str">
        <f t="shared" si="404"/>
        <v/>
      </c>
    </row>
    <row r="544" spans="1:69" ht="15" customHeight="1" x14ac:dyDescent="0.2">
      <c r="A544" s="376">
        <v>542</v>
      </c>
      <c r="B544" s="315" t="s">
        <v>74</v>
      </c>
      <c r="C544" s="315" t="s">
        <v>518</v>
      </c>
      <c r="D544" s="378">
        <v>1</v>
      </c>
      <c r="E544" s="378">
        <v>1</v>
      </c>
      <c r="F544" s="315" t="s">
        <v>770</v>
      </c>
      <c r="G544" s="316">
        <v>43058</v>
      </c>
      <c r="H544" s="317">
        <v>0.64583333333333337</v>
      </c>
      <c r="I544" s="325" t="s">
        <v>770</v>
      </c>
      <c r="J544" s="315" t="s">
        <v>697</v>
      </c>
      <c r="K544" s="315">
        <v>61</v>
      </c>
      <c r="L544" s="433" t="s">
        <v>719</v>
      </c>
      <c r="M544" s="433">
        <v>61</v>
      </c>
      <c r="N544" s="433" t="s">
        <v>644</v>
      </c>
      <c r="O544" s="153" t="str">
        <f>IF(L544&lt;&gt;"",IFERROR(VLOOKUP(B544&amp;L544,Pools!$A$2:$D$130,3,FALSE),""),"")</f>
        <v/>
      </c>
      <c r="P544" s="388">
        <v>1</v>
      </c>
      <c r="Q544" s="388">
        <v>2</v>
      </c>
      <c r="R544" s="306" t="str">
        <f t="shared" si="360"/>
        <v>1-2</v>
      </c>
      <c r="S544" s="153"/>
      <c r="T544" s="148" t="str">
        <f t="shared" si="361"/>
        <v>Completed</v>
      </c>
      <c r="U544" s="153"/>
      <c r="V544" s="153"/>
      <c r="W544" s="387">
        <f t="shared" si="362"/>
        <v>-1</v>
      </c>
      <c r="X544" s="387">
        <f t="shared" si="363"/>
        <v>1</v>
      </c>
      <c r="Y544" s="301">
        <f t="shared" si="364"/>
        <v>0</v>
      </c>
      <c r="Z544" s="301">
        <f t="shared" si="365"/>
        <v>2</v>
      </c>
      <c r="AA544" s="323" t="str">
        <f>CONCATENATE("                x[team1,team2,sport,'",IF(OR(I544="x",I544=""),VLOOKUP('Schedule from TM'!J544,Tables!$P$3:$Q$33,2,FALSE),'Schedule from TM'!I544),",",J544,"','",IF(OR(F544="x",F544=""),VLOOKUP('Schedule from TM'!G544,Tables!$U$3:$V$14,2,FALSE),'Schedule from TM'!F544),",",TEXT(G544,"mm/dd/yyyy"),"','",TEXT(H544,"h:mm:ss AM/PM"),"'].ub=0.0      #",B544)</f>
        <v xml:space="preserve">                x[team1,team2,sport,'11,JCC Gym South','11,11/19/2017','3:30:00 PM'].ub=0.0      #Junior A Male Volleyball</v>
      </c>
      <c r="AB544" s="301" t="str">
        <f t="shared" si="366"/>
        <v>,,Junior A Male Volleyball,,1,JR A M - MEX 1</v>
      </c>
      <c r="AC544" s="153" t="str">
        <f t="shared" si="367"/>
        <v>Junior A Male VolleyballJR A M - MEX 1</v>
      </c>
      <c r="AD544" s="301" t="str">
        <f t="shared" si="368"/>
        <v>,,Junior A Male Volleyball,,1,JR A M - ISR 1</v>
      </c>
      <c r="AE544" s="153" t="str">
        <f t="shared" si="369"/>
        <v>Junior A Male VolleyballJR A M - ISR 1</v>
      </c>
      <c r="AF544" s="383">
        <f t="shared" si="370"/>
        <v>0</v>
      </c>
      <c r="AG544" s="383">
        <f t="shared" si="371"/>
        <v>1</v>
      </c>
      <c r="AH544" s="383">
        <f t="shared" si="372"/>
        <v>0</v>
      </c>
      <c r="AI544" s="383">
        <f t="shared" si="373"/>
        <v>1</v>
      </c>
      <c r="AJ544" s="383">
        <f t="shared" si="374"/>
        <v>0</v>
      </c>
      <c r="AK544" s="383">
        <f t="shared" si="375"/>
        <v>0</v>
      </c>
      <c r="AM544" s="148" t="str">
        <f t="shared" si="376"/>
        <v>Schedulled</v>
      </c>
      <c r="AN544" s="148" t="str">
        <f t="shared" si="377"/>
        <v/>
      </c>
      <c r="AO544" s="156">
        <f t="shared" si="378"/>
        <v>43058.645833333336</v>
      </c>
      <c r="AP544" s="148" t="str">
        <f t="shared" si="379"/>
        <v>11/19/2017 15:30-&gt;JCC Gym South</v>
      </c>
      <c r="AQ544" s="374">
        <f t="shared" si="380"/>
        <v>1</v>
      </c>
      <c r="AR544" s="148" t="str">
        <f t="shared" si="381"/>
        <v>MEX1</v>
      </c>
      <c r="AS544" s="148" t="str">
        <f t="shared" si="382"/>
        <v>ISR1</v>
      </c>
      <c r="AT544" s="157" t="str">
        <f t="shared" si="383"/>
        <v>MEX1-ISR1</v>
      </c>
      <c r="AU544" s="157" t="str">
        <f t="shared" si="384"/>
        <v xml:space="preserve">MEX1-ISR1 </v>
      </c>
      <c r="AV544" s="157" t="str">
        <f t="shared" si="385"/>
        <v>JUNIORS A MALE</v>
      </c>
      <c r="AW544" s="157" t="str">
        <f t="shared" si="386"/>
        <v>Volleyball</v>
      </c>
      <c r="AX544" s="376">
        <f t="shared" si="387"/>
        <v>542</v>
      </c>
      <c r="AY544" s="148" t="str">
        <f t="shared" si="388"/>
        <v>JR A M - MEX 1-&gt;JR A M - ISR 1</v>
      </c>
      <c r="AZ544" s="148" t="str">
        <f t="shared" si="389"/>
        <v>11/19/2017 15:30-&gt;JR A M - MEX 1</v>
      </c>
      <c r="BA544" s="148" t="str">
        <f t="shared" si="390"/>
        <v>11/19/2017 15:30-&gt;JR A M - ISR 1</v>
      </c>
      <c r="BB544" s="374">
        <f t="shared" si="391"/>
        <v>1</v>
      </c>
      <c r="BC544" s="374">
        <f t="shared" si="392"/>
        <v>1</v>
      </c>
      <c r="BD544" s="148" t="str">
        <f t="shared" si="393"/>
        <v>no conflict</v>
      </c>
      <c r="BF544" s="148" t="str">
        <f t="shared" si="394"/>
        <v>11/19/2017 15:30-&gt;JR A M - MEX 1</v>
      </c>
      <c r="BG544" s="148" t="str">
        <f t="shared" si="395"/>
        <v>11/19/2017 15:30-&gt;JR A M - ISR 1</v>
      </c>
      <c r="BH544" s="148" t="str">
        <f t="shared" si="396"/>
        <v>11/19/2017 15:30-&gt;JCC Gym South</v>
      </c>
      <c r="BI544" s="148" t="str">
        <f t="shared" si="397"/>
        <v>Volleyball in JCC Gym South (MEX1-ISR1)</v>
      </c>
      <c r="BJ544" s="148" t="str">
        <f t="shared" si="398"/>
        <v>Junior A Male Volleyball-- JR A M - MEX 1 vs. JR A M - ISR 1</v>
      </c>
      <c r="BK544" s="148" t="str">
        <f t="shared" si="399"/>
        <v>Volleyball</v>
      </c>
      <c r="BL544" s="148" t="str">
        <f t="shared" si="400"/>
        <v>JR A M - MEX 1</v>
      </c>
      <c r="BM544" s="148" t="str">
        <f t="shared" si="401"/>
        <v>JR A M - ISR 1</v>
      </c>
      <c r="BN544" s="148" t="str">
        <f t="shared" si="402"/>
        <v>Round - 1</v>
      </c>
      <c r="BP544" s="148" t="str">
        <f t="shared" si="403"/>
        <v>no t, f, or sf</v>
      </c>
      <c r="BQ544" s="148" t="str">
        <f t="shared" si="404"/>
        <v/>
      </c>
    </row>
    <row r="545" spans="1:69" ht="15" customHeight="1" x14ac:dyDescent="0.2">
      <c r="A545" s="376">
        <v>543</v>
      </c>
      <c r="B545" s="441" t="s">
        <v>74</v>
      </c>
      <c r="C545" s="441" t="s">
        <v>518</v>
      </c>
      <c r="D545" s="450">
        <v>1</v>
      </c>
      <c r="E545" s="450">
        <v>1</v>
      </c>
      <c r="F545" s="315" t="s">
        <v>770</v>
      </c>
      <c r="G545" s="320">
        <v>43058</v>
      </c>
      <c r="H545" s="318">
        <v>0.78472222222222221</v>
      </c>
      <c r="I545" s="325" t="s">
        <v>770</v>
      </c>
      <c r="J545" s="441" t="s">
        <v>697</v>
      </c>
      <c r="K545" s="441">
        <v>61</v>
      </c>
      <c r="L545" s="441" t="s">
        <v>644</v>
      </c>
      <c r="M545" s="441">
        <v>61</v>
      </c>
      <c r="N545" s="441" t="s">
        <v>646</v>
      </c>
      <c r="O545" s="153" t="str">
        <f>IF(L545&lt;&gt;"",IFERROR(VLOOKUP(B545&amp;L545,Pools!$A$2:$D$130,3,FALSE),""),"")</f>
        <v/>
      </c>
      <c r="P545" s="388">
        <v>2</v>
      </c>
      <c r="Q545" s="388">
        <v>0</v>
      </c>
      <c r="R545" s="306" t="str">
        <f t="shared" si="360"/>
        <v>2-0</v>
      </c>
      <c r="S545" s="153"/>
      <c r="T545" s="148" t="str">
        <f t="shared" si="361"/>
        <v>Completed</v>
      </c>
      <c r="U545" s="153"/>
      <c r="V545" s="153"/>
      <c r="W545" s="387">
        <f t="shared" si="362"/>
        <v>2</v>
      </c>
      <c r="X545" s="387">
        <f t="shared" si="363"/>
        <v>-2</v>
      </c>
      <c r="Y545" s="301">
        <f t="shared" si="364"/>
        <v>2</v>
      </c>
      <c r="Z545" s="301">
        <f t="shared" si="365"/>
        <v>0</v>
      </c>
      <c r="AA545" s="323" t="str">
        <f>CONCATENATE("                x[team1,team2,sport,'",IF(OR(I545="x",I545=""),VLOOKUP('Schedule from TM'!J545,Tables!$P$3:$Q$33,2,FALSE),'Schedule from TM'!I545),",",J545,"','",IF(OR(F545="x",F545=""),VLOOKUP('Schedule from TM'!G545,Tables!$U$3:$V$14,2,FALSE),'Schedule from TM'!F545),",",TEXT(G545,"mm/dd/yyyy"),"','",TEXT(H545,"h:mm:ss AM/PM"),"'].ub=0.0      #",B545)</f>
        <v xml:space="preserve">                x[team1,team2,sport,'11,JCC Gym South','11,11/19/2017','6:50:00 PM'].ub=0.0      #Junior A Male Volleyball</v>
      </c>
      <c r="AB545" s="301" t="str">
        <f t="shared" si="366"/>
        <v>,,Junior A Male Volleyball,,1,JR A M - ISR 1</v>
      </c>
      <c r="AC545" s="153" t="str">
        <f t="shared" si="367"/>
        <v>Junior A Male VolleyballJR A M - ISR 1</v>
      </c>
      <c r="AD545" s="301" t="str">
        <f t="shared" si="368"/>
        <v>,,Junior A Male Volleyball,,1,JR A M - VEN 2</v>
      </c>
      <c r="AE545" s="153" t="str">
        <f t="shared" si="369"/>
        <v>Junior A Male VolleyballJR A M - VEN 2</v>
      </c>
      <c r="AF545" s="383">
        <f t="shared" si="370"/>
        <v>1</v>
      </c>
      <c r="AG545" s="383">
        <f t="shared" si="371"/>
        <v>0</v>
      </c>
      <c r="AH545" s="383">
        <f t="shared" si="372"/>
        <v>0</v>
      </c>
      <c r="AI545" s="383">
        <f t="shared" si="373"/>
        <v>0</v>
      </c>
      <c r="AJ545" s="383">
        <f t="shared" si="374"/>
        <v>1</v>
      </c>
      <c r="AK545" s="383">
        <f t="shared" si="375"/>
        <v>0</v>
      </c>
      <c r="AM545" s="148" t="str">
        <f t="shared" si="376"/>
        <v>Schedulled</v>
      </c>
      <c r="AN545" s="148" t="str">
        <f t="shared" si="377"/>
        <v/>
      </c>
      <c r="AO545" s="156">
        <f t="shared" si="378"/>
        <v>43058.784722222219</v>
      </c>
      <c r="AP545" s="148" t="str">
        <f t="shared" si="379"/>
        <v>11/19/2017 18:50-&gt;JCC Gym South</v>
      </c>
      <c r="AQ545" s="374">
        <f t="shared" si="380"/>
        <v>1</v>
      </c>
      <c r="AR545" s="148" t="str">
        <f t="shared" si="381"/>
        <v>ISR1</v>
      </c>
      <c r="AS545" s="148" t="str">
        <f t="shared" si="382"/>
        <v>VEN2</v>
      </c>
      <c r="AT545" s="157" t="str">
        <f t="shared" si="383"/>
        <v>ISR1-VEN2</v>
      </c>
      <c r="AU545" s="157" t="str">
        <f t="shared" si="384"/>
        <v xml:space="preserve">ISR1-VEN2 </v>
      </c>
      <c r="AV545" s="157" t="str">
        <f t="shared" si="385"/>
        <v>JUNIORS A MALE</v>
      </c>
      <c r="AW545" s="157" t="str">
        <f t="shared" si="386"/>
        <v>Volleyball</v>
      </c>
      <c r="AX545" s="376">
        <f t="shared" si="387"/>
        <v>543</v>
      </c>
      <c r="AY545" s="148" t="str">
        <f t="shared" si="388"/>
        <v>JR A M - ISR 1-&gt;JR A M - VEN 2</v>
      </c>
      <c r="AZ545" s="148" t="str">
        <f t="shared" si="389"/>
        <v>11/19/2017 18:50-&gt;JR A M - ISR 1</v>
      </c>
      <c r="BA545" s="148" t="str">
        <f t="shared" si="390"/>
        <v>11/19/2017 18:50-&gt;JR A M - VEN 2</v>
      </c>
      <c r="BB545" s="374">
        <f t="shared" si="391"/>
        <v>1</v>
      </c>
      <c r="BC545" s="374">
        <f t="shared" si="392"/>
        <v>1</v>
      </c>
      <c r="BD545" s="148" t="str">
        <f t="shared" si="393"/>
        <v>no conflict</v>
      </c>
      <c r="BF545" s="148" t="str">
        <f t="shared" si="394"/>
        <v>11/19/2017 18:50-&gt;JR A M - ISR 1</v>
      </c>
      <c r="BG545" s="148" t="str">
        <f t="shared" si="395"/>
        <v>11/19/2017 18:50-&gt;JR A M - VEN 2</v>
      </c>
      <c r="BH545" s="148" t="str">
        <f t="shared" si="396"/>
        <v>11/19/2017 18:50-&gt;JCC Gym South</v>
      </c>
      <c r="BI545" s="148" t="str">
        <f t="shared" si="397"/>
        <v>Volleyball in JCC Gym South (ISR1-VEN2)</v>
      </c>
      <c r="BJ545" s="148" t="str">
        <f t="shared" si="398"/>
        <v>Junior A Male Volleyball-- JR A M - ISR 1 vs. JR A M - VEN 2</v>
      </c>
      <c r="BK545" s="148" t="str">
        <f t="shared" si="399"/>
        <v>Volleyball</v>
      </c>
      <c r="BL545" s="148" t="str">
        <f t="shared" si="400"/>
        <v>JR A M - ISR 1</v>
      </c>
      <c r="BM545" s="148" t="str">
        <f t="shared" si="401"/>
        <v>JR A M - VEN 2</v>
      </c>
      <c r="BN545" s="148" t="str">
        <f t="shared" si="402"/>
        <v>Round - 1</v>
      </c>
      <c r="BP545" s="148" t="str">
        <f t="shared" si="403"/>
        <v>no t, f, or sf</v>
      </c>
      <c r="BQ545" s="148" t="str">
        <f t="shared" si="404"/>
        <v/>
      </c>
    </row>
    <row r="546" spans="1:69" ht="15" customHeight="1" x14ac:dyDescent="0.2">
      <c r="A546" s="376">
        <v>544</v>
      </c>
      <c r="B546" s="444" t="s">
        <v>74</v>
      </c>
      <c r="C546" s="315" t="s">
        <v>518</v>
      </c>
      <c r="D546" s="378">
        <v>1</v>
      </c>
      <c r="E546" s="378">
        <v>1</v>
      </c>
      <c r="F546" s="315" t="s">
        <v>770</v>
      </c>
      <c r="G546" s="316">
        <v>43059</v>
      </c>
      <c r="H546" s="317">
        <v>0.71527777777777779</v>
      </c>
      <c r="I546" s="325" t="s">
        <v>770</v>
      </c>
      <c r="J546" s="444" t="s">
        <v>697</v>
      </c>
      <c r="K546" s="444">
        <v>61</v>
      </c>
      <c r="L546" s="433" t="s">
        <v>720</v>
      </c>
      <c r="M546" s="433">
        <v>61</v>
      </c>
      <c r="N546" s="433" t="s">
        <v>638</v>
      </c>
      <c r="O546" s="153" t="str">
        <f>IF(L546&lt;&gt;"",IFERROR(VLOOKUP(B546&amp;L546,Pools!$A$2:$D$130,3,FALSE),""),"")</f>
        <v/>
      </c>
      <c r="P546" s="388">
        <v>2</v>
      </c>
      <c r="Q546" s="388">
        <v>0</v>
      </c>
      <c r="R546" s="306" t="str">
        <f t="shared" si="360"/>
        <v>2-0</v>
      </c>
      <c r="S546" s="153"/>
      <c r="T546" s="148" t="str">
        <f t="shared" si="361"/>
        <v>Completed</v>
      </c>
      <c r="U546" s="153"/>
      <c r="V546" s="153"/>
      <c r="W546" s="387">
        <f t="shared" si="362"/>
        <v>2</v>
      </c>
      <c r="X546" s="387">
        <f t="shared" si="363"/>
        <v>-2</v>
      </c>
      <c r="Y546" s="301">
        <f t="shared" si="364"/>
        <v>2</v>
      </c>
      <c r="Z546" s="301">
        <f t="shared" si="365"/>
        <v>0</v>
      </c>
      <c r="AA546" s="323" t="str">
        <f>CONCATENATE("                x[team1,team2,sport,'",IF(OR(I546="x",I546=""),VLOOKUP('Schedule from TM'!J546,Tables!$P$3:$Q$33,2,FALSE),'Schedule from TM'!I546),",",J546,"','",IF(OR(F546="x",F546=""),VLOOKUP('Schedule from TM'!G546,Tables!$U$3:$V$14,2,FALSE),'Schedule from TM'!F546),",",TEXT(G546,"mm/dd/yyyy"),"','",TEXT(H546,"h:mm:ss AM/PM"),"'].ub=0.0      #",B546)</f>
        <v xml:space="preserve">                x[team1,team2,sport,'11,JCC Gym South','22,11/20/2017','5:10:00 PM'].ub=0.0      #Junior A Male Volleyball</v>
      </c>
      <c r="AB546" s="301" t="str">
        <f t="shared" si="366"/>
        <v>,,Junior A Male Volleyball,,1,JR A M - MEX 2</v>
      </c>
      <c r="AC546" s="153" t="str">
        <f t="shared" si="367"/>
        <v>Junior A Male VolleyballJR A M - MEX 2</v>
      </c>
      <c r="AD546" s="301" t="str">
        <f t="shared" si="368"/>
        <v>,,Junior A Male Volleyball,,1,JR A M - ARG 2</v>
      </c>
      <c r="AE546" s="153" t="str">
        <f t="shared" si="369"/>
        <v>Junior A Male VolleyballJR A M - ARG 2</v>
      </c>
      <c r="AF546" s="383">
        <f t="shared" si="370"/>
        <v>1</v>
      </c>
      <c r="AG546" s="383">
        <f t="shared" si="371"/>
        <v>0</v>
      </c>
      <c r="AH546" s="383">
        <f t="shared" si="372"/>
        <v>0</v>
      </c>
      <c r="AI546" s="383">
        <f t="shared" si="373"/>
        <v>0</v>
      </c>
      <c r="AJ546" s="383">
        <f t="shared" si="374"/>
        <v>1</v>
      </c>
      <c r="AK546" s="383">
        <f t="shared" si="375"/>
        <v>0</v>
      </c>
      <c r="AM546" s="148" t="str">
        <f t="shared" si="376"/>
        <v>Schedulled</v>
      </c>
      <c r="AN546" s="148" t="str">
        <f t="shared" si="377"/>
        <v/>
      </c>
      <c r="AO546" s="156">
        <f t="shared" si="378"/>
        <v>43059.715277777781</v>
      </c>
      <c r="AP546" s="148" t="str">
        <f t="shared" si="379"/>
        <v>11/20/2017 17:10-&gt;JCC Gym South</v>
      </c>
      <c r="AQ546" s="374">
        <f t="shared" si="380"/>
        <v>1</v>
      </c>
      <c r="AR546" s="148" t="str">
        <f t="shared" si="381"/>
        <v>MEX2</v>
      </c>
      <c r="AS546" s="148" t="str">
        <f t="shared" si="382"/>
        <v>ARG2</v>
      </c>
      <c r="AT546" s="157" t="str">
        <f t="shared" si="383"/>
        <v>MEX2-ARG2</v>
      </c>
      <c r="AU546" s="157" t="str">
        <f t="shared" si="384"/>
        <v xml:space="preserve">MEX2-ARG2 </v>
      </c>
      <c r="AV546" s="157" t="str">
        <f t="shared" si="385"/>
        <v>JUNIORS A MALE</v>
      </c>
      <c r="AW546" s="157" t="str">
        <f t="shared" si="386"/>
        <v>Volleyball</v>
      </c>
      <c r="AX546" s="376">
        <f t="shared" si="387"/>
        <v>544</v>
      </c>
      <c r="AY546" s="148" t="str">
        <f t="shared" si="388"/>
        <v>JR A M - MEX 2-&gt;JR A M - ARG 2</v>
      </c>
      <c r="AZ546" s="148" t="str">
        <f t="shared" si="389"/>
        <v>11/20/2017 17:10-&gt;JR A M - MEX 2</v>
      </c>
      <c r="BA546" s="148" t="str">
        <f t="shared" si="390"/>
        <v>11/20/2017 17:10-&gt;JR A M - ARG 2</v>
      </c>
      <c r="BB546" s="374">
        <f t="shared" si="391"/>
        <v>1</v>
      </c>
      <c r="BC546" s="374">
        <f t="shared" si="392"/>
        <v>1</v>
      </c>
      <c r="BD546" s="148" t="str">
        <f t="shared" si="393"/>
        <v>no conflict</v>
      </c>
      <c r="BF546" s="148" t="str">
        <f t="shared" si="394"/>
        <v>11/20/2017 17:10-&gt;JR A M - MEX 2</v>
      </c>
      <c r="BG546" s="148" t="str">
        <f t="shared" si="395"/>
        <v>11/20/2017 17:10-&gt;JR A M - ARG 2</v>
      </c>
      <c r="BH546" s="148" t="str">
        <f t="shared" si="396"/>
        <v>11/20/2017 17:10-&gt;JCC Gym South</v>
      </c>
      <c r="BI546" s="148" t="str">
        <f t="shared" si="397"/>
        <v>Volleyball in JCC Gym South (MEX2-ARG2)</v>
      </c>
      <c r="BJ546" s="148" t="str">
        <f t="shared" si="398"/>
        <v>Junior A Male Volleyball-- JR A M - MEX 2 vs. JR A M - ARG 2</v>
      </c>
      <c r="BK546" s="148" t="str">
        <f t="shared" si="399"/>
        <v>Volleyball</v>
      </c>
      <c r="BL546" s="148" t="str">
        <f t="shared" si="400"/>
        <v>JR A M - MEX 2</v>
      </c>
      <c r="BM546" s="148" t="str">
        <f t="shared" si="401"/>
        <v>JR A M - ARG 2</v>
      </c>
      <c r="BN546" s="148" t="str">
        <f t="shared" si="402"/>
        <v>Round - 1</v>
      </c>
      <c r="BP546" s="148" t="str">
        <f t="shared" si="403"/>
        <v>no t, f, or sf</v>
      </c>
      <c r="BQ546" s="148" t="str">
        <f t="shared" si="404"/>
        <v/>
      </c>
    </row>
    <row r="547" spans="1:69" ht="15" customHeight="1" x14ac:dyDescent="0.2">
      <c r="A547" s="376">
        <v>545</v>
      </c>
      <c r="B547" s="444" t="s">
        <v>74</v>
      </c>
      <c r="C547" s="315" t="s">
        <v>518</v>
      </c>
      <c r="D547" s="378">
        <v>1</v>
      </c>
      <c r="E547" s="378">
        <v>1</v>
      </c>
      <c r="F547" s="315" t="s">
        <v>770</v>
      </c>
      <c r="G547" s="316">
        <v>43059</v>
      </c>
      <c r="H547" s="317">
        <v>0.75</v>
      </c>
      <c r="I547" s="325" t="s">
        <v>770</v>
      </c>
      <c r="J547" s="444" t="s">
        <v>708</v>
      </c>
      <c r="K547" s="444">
        <v>61</v>
      </c>
      <c r="L547" s="444" t="s">
        <v>645</v>
      </c>
      <c r="M547" s="444">
        <v>61</v>
      </c>
      <c r="N547" s="444" t="s">
        <v>646</v>
      </c>
      <c r="O547" s="153" t="str">
        <f>IF(L547&lt;&gt;"",IFERROR(VLOOKUP(B547&amp;L547,Pools!$A$2:$D$130,3,FALSE),""),"")</f>
        <v/>
      </c>
      <c r="P547" s="388">
        <v>0</v>
      </c>
      <c r="Q547" s="388">
        <v>2</v>
      </c>
      <c r="R547" s="306" t="str">
        <f t="shared" si="360"/>
        <v>0-2</v>
      </c>
      <c r="S547" s="153"/>
      <c r="T547" s="148" t="str">
        <f t="shared" si="361"/>
        <v>Completed</v>
      </c>
      <c r="U547" s="153"/>
      <c r="V547" s="153"/>
      <c r="W547" s="387">
        <f t="shared" si="362"/>
        <v>-2</v>
      </c>
      <c r="X547" s="387">
        <f t="shared" si="363"/>
        <v>2</v>
      </c>
      <c r="Y547" s="301">
        <f t="shared" si="364"/>
        <v>0</v>
      </c>
      <c r="Z547" s="301">
        <f t="shared" si="365"/>
        <v>2</v>
      </c>
      <c r="AA547" s="323" t="str">
        <f>CONCATENATE("                x[team1,team2,sport,'",IF(OR(I547="x",I547=""),VLOOKUP('Schedule from TM'!J547,Tables!$P$3:$Q$33,2,FALSE),'Schedule from TM'!I547),",",J547,"','",IF(OR(F547="x",F547=""),VLOOKUP('Schedule from TM'!G547,Tables!$U$3:$V$14,2,FALSE),'Schedule from TM'!F547),",",TEXT(G547,"mm/dd/yyyy"),"','",TEXT(H547,"h:mm:ss AM/PM"),"'].ub=0.0      #",B547)</f>
        <v xml:space="preserve">                x[team1,team2,sport,'21,Hillel - Gym Volleyball','22,11/20/2017','6:00:00 PM'].ub=0.0      #Junior A Male Volleyball</v>
      </c>
      <c r="AB547" s="301" t="str">
        <f t="shared" si="366"/>
        <v>,,Junior A Male Volleyball,,1,JR A M - VEN 1</v>
      </c>
      <c r="AC547" s="153" t="str">
        <f t="shared" si="367"/>
        <v>Junior A Male VolleyballJR A M - VEN 1</v>
      </c>
      <c r="AD547" s="301" t="str">
        <f t="shared" si="368"/>
        <v>,,Junior A Male Volleyball,,1,JR A M - VEN 2</v>
      </c>
      <c r="AE547" s="153" t="str">
        <f t="shared" si="369"/>
        <v>Junior A Male VolleyballJR A M - VEN 2</v>
      </c>
      <c r="AF547" s="383">
        <f t="shared" si="370"/>
        <v>0</v>
      </c>
      <c r="AG547" s="383">
        <f t="shared" si="371"/>
        <v>1</v>
      </c>
      <c r="AH547" s="383">
        <f t="shared" si="372"/>
        <v>0</v>
      </c>
      <c r="AI547" s="383">
        <f t="shared" si="373"/>
        <v>1</v>
      </c>
      <c r="AJ547" s="383">
        <f t="shared" si="374"/>
        <v>0</v>
      </c>
      <c r="AK547" s="383">
        <f t="shared" si="375"/>
        <v>0</v>
      </c>
      <c r="AM547" s="148" t="str">
        <f t="shared" si="376"/>
        <v>Schedulled</v>
      </c>
      <c r="AN547" s="148" t="str">
        <f t="shared" si="377"/>
        <v/>
      </c>
      <c r="AO547" s="156">
        <f t="shared" si="378"/>
        <v>43059.75</v>
      </c>
      <c r="AP547" s="148" t="str">
        <f t="shared" si="379"/>
        <v>11/20/2017 18:00-&gt;Hillel - Gym Volleyball</v>
      </c>
      <c r="AQ547" s="374">
        <f t="shared" si="380"/>
        <v>1</v>
      </c>
      <c r="AR547" s="148" t="str">
        <f t="shared" si="381"/>
        <v>VEN1</v>
      </c>
      <c r="AS547" s="148" t="str">
        <f t="shared" si="382"/>
        <v>VEN2</v>
      </c>
      <c r="AT547" s="157" t="str">
        <f t="shared" si="383"/>
        <v>VEN1-VEN2</v>
      </c>
      <c r="AU547" s="157" t="str">
        <f t="shared" si="384"/>
        <v xml:space="preserve">VEN1-VEN2 </v>
      </c>
      <c r="AV547" s="157" t="str">
        <f t="shared" si="385"/>
        <v>JUNIORS A MALE</v>
      </c>
      <c r="AW547" s="157" t="str">
        <f t="shared" si="386"/>
        <v>Volleyball</v>
      </c>
      <c r="AX547" s="376">
        <f t="shared" si="387"/>
        <v>545</v>
      </c>
      <c r="AY547" s="148" t="str">
        <f t="shared" si="388"/>
        <v>JR A M - VEN 1-&gt;JR A M - VEN 2</v>
      </c>
      <c r="AZ547" s="148" t="str">
        <f t="shared" si="389"/>
        <v>11/20/2017 18:00-&gt;JR A M - VEN 1</v>
      </c>
      <c r="BA547" s="148" t="str">
        <f t="shared" si="390"/>
        <v>11/20/2017 18:00-&gt;JR A M - VEN 2</v>
      </c>
      <c r="BB547" s="374">
        <f t="shared" si="391"/>
        <v>1</v>
      </c>
      <c r="BC547" s="374">
        <f t="shared" si="392"/>
        <v>1</v>
      </c>
      <c r="BD547" s="148" t="str">
        <f t="shared" si="393"/>
        <v>no conflict</v>
      </c>
      <c r="BF547" s="148" t="str">
        <f t="shared" si="394"/>
        <v>11/20/2017 18:00-&gt;JR A M - VEN 1</v>
      </c>
      <c r="BG547" s="148" t="str">
        <f t="shared" si="395"/>
        <v>11/20/2017 18:00-&gt;JR A M - VEN 2</v>
      </c>
      <c r="BH547" s="148" t="str">
        <f t="shared" si="396"/>
        <v>11/20/2017 18:00-&gt;Hillel - Gym Volleyball</v>
      </c>
      <c r="BI547" s="148" t="str">
        <f t="shared" si="397"/>
        <v>Volleyball in Hillel - Gym Volleyball (VEN1-VEN2)</v>
      </c>
      <c r="BJ547" s="148" t="str">
        <f t="shared" si="398"/>
        <v>Junior A Male Volleyball-- JR A M - VEN 1 vs. JR A M - VEN 2</v>
      </c>
      <c r="BK547" s="148" t="str">
        <f t="shared" si="399"/>
        <v>Volleyball</v>
      </c>
      <c r="BL547" s="148" t="str">
        <f t="shared" si="400"/>
        <v>JR A M - VEN 1</v>
      </c>
      <c r="BM547" s="148" t="str">
        <f t="shared" si="401"/>
        <v>JR A M - VEN 2</v>
      </c>
      <c r="BN547" s="148" t="str">
        <f t="shared" si="402"/>
        <v>Round - 1</v>
      </c>
      <c r="BP547" s="148" t="str">
        <f t="shared" si="403"/>
        <v>no t, f, or sf</v>
      </c>
      <c r="BQ547" s="148" t="str">
        <f t="shared" si="404"/>
        <v/>
      </c>
    </row>
    <row r="548" spans="1:69" ht="15" customHeight="1" x14ac:dyDescent="0.2">
      <c r="A548" s="376">
        <v>546</v>
      </c>
      <c r="B548" s="315" t="s">
        <v>74</v>
      </c>
      <c r="C548" s="315" t="s">
        <v>518</v>
      </c>
      <c r="D548" s="378">
        <v>1</v>
      </c>
      <c r="E548" s="378">
        <v>1</v>
      </c>
      <c r="F548" s="315" t="s">
        <v>770</v>
      </c>
      <c r="G548" s="316">
        <v>43059</v>
      </c>
      <c r="H548" s="317">
        <v>0.78472222222222221</v>
      </c>
      <c r="I548" s="325" t="s">
        <v>770</v>
      </c>
      <c r="J548" s="444" t="s">
        <v>708</v>
      </c>
      <c r="K548" s="444">
        <v>61</v>
      </c>
      <c r="L548" s="433" t="s">
        <v>720</v>
      </c>
      <c r="M548" s="433">
        <v>61</v>
      </c>
      <c r="N548" s="433" t="s">
        <v>643</v>
      </c>
      <c r="O548" s="153" t="str">
        <f>IF(L548&lt;&gt;"",IFERROR(VLOOKUP(B548&amp;L548,Pools!$A$2:$D$130,3,FALSE),""),"")</f>
        <v/>
      </c>
      <c r="P548" s="388">
        <v>2</v>
      </c>
      <c r="Q548" s="388">
        <v>0</v>
      </c>
      <c r="R548" s="306" t="str">
        <f t="shared" si="360"/>
        <v>2-0</v>
      </c>
      <c r="S548" s="153"/>
      <c r="T548" s="148" t="str">
        <f t="shared" si="361"/>
        <v>Completed</v>
      </c>
      <c r="U548" s="153"/>
      <c r="V548" s="153"/>
      <c r="W548" s="387">
        <f t="shared" si="362"/>
        <v>2</v>
      </c>
      <c r="X548" s="387">
        <f t="shared" si="363"/>
        <v>-2</v>
      </c>
      <c r="Y548" s="301">
        <f t="shared" si="364"/>
        <v>2</v>
      </c>
      <c r="Z548" s="301">
        <f t="shared" si="365"/>
        <v>0</v>
      </c>
      <c r="AA548" s="323" t="str">
        <f>CONCATENATE("                x[team1,team2,sport,'",IF(OR(I548="x",I548=""),VLOOKUP('Schedule from TM'!J548,Tables!$P$3:$Q$33,2,FALSE),'Schedule from TM'!I548),",",J548,"','",IF(OR(F548="x",F548=""),VLOOKUP('Schedule from TM'!G548,Tables!$U$3:$V$14,2,FALSE),'Schedule from TM'!F548),",",TEXT(G548,"mm/dd/yyyy"),"','",TEXT(H548,"h:mm:ss AM/PM"),"'].ub=0.0      #",B548)</f>
        <v xml:space="preserve">                x[team1,team2,sport,'21,Hillel - Gym Volleyball','22,11/20/2017','6:50:00 PM'].ub=0.0      #Junior A Male Volleyball</v>
      </c>
      <c r="AB548" s="301" t="str">
        <f t="shared" si="366"/>
        <v>,,Junior A Male Volleyball,,1,JR A M - MEX 2</v>
      </c>
      <c r="AC548" s="153" t="str">
        <f t="shared" si="367"/>
        <v>Junior A Male VolleyballJR A M - MEX 2</v>
      </c>
      <c r="AD548" s="301" t="str">
        <f t="shared" si="368"/>
        <v>,,Junior A Male Volleyball,,1,JR A M - USA 2</v>
      </c>
      <c r="AE548" s="153" t="str">
        <f t="shared" si="369"/>
        <v>Junior A Male VolleyballJR A M - USA 2</v>
      </c>
      <c r="AF548" s="383">
        <f t="shared" si="370"/>
        <v>1</v>
      </c>
      <c r="AG548" s="383">
        <f t="shared" si="371"/>
        <v>0</v>
      </c>
      <c r="AH548" s="383">
        <f t="shared" si="372"/>
        <v>0</v>
      </c>
      <c r="AI548" s="383">
        <f t="shared" si="373"/>
        <v>0</v>
      </c>
      <c r="AJ548" s="383">
        <f t="shared" si="374"/>
        <v>1</v>
      </c>
      <c r="AK548" s="383">
        <f t="shared" si="375"/>
        <v>0</v>
      </c>
      <c r="AM548" s="148" t="str">
        <f t="shared" si="376"/>
        <v>Schedulled</v>
      </c>
      <c r="AN548" s="148" t="str">
        <f t="shared" si="377"/>
        <v/>
      </c>
      <c r="AO548" s="156">
        <f t="shared" si="378"/>
        <v>43059.784722222219</v>
      </c>
      <c r="AP548" s="148" t="str">
        <f t="shared" si="379"/>
        <v>11/20/2017 18:50-&gt;Hillel - Gym Volleyball</v>
      </c>
      <c r="AQ548" s="374">
        <f t="shared" si="380"/>
        <v>1</v>
      </c>
      <c r="AR548" s="148" t="str">
        <f t="shared" si="381"/>
        <v>MEX2</v>
      </c>
      <c r="AS548" s="148" t="str">
        <f t="shared" si="382"/>
        <v>USA2</v>
      </c>
      <c r="AT548" s="157" t="str">
        <f t="shared" si="383"/>
        <v>MEX2-USA2</v>
      </c>
      <c r="AU548" s="157" t="str">
        <f t="shared" si="384"/>
        <v xml:space="preserve">MEX2-USA2 </v>
      </c>
      <c r="AV548" s="157" t="str">
        <f t="shared" si="385"/>
        <v>JUNIORS A MALE</v>
      </c>
      <c r="AW548" s="157" t="str">
        <f t="shared" si="386"/>
        <v>Volleyball</v>
      </c>
      <c r="AX548" s="376">
        <f t="shared" si="387"/>
        <v>546</v>
      </c>
      <c r="AY548" s="148" t="str">
        <f t="shared" si="388"/>
        <v>JR A M - MEX 2-&gt;JR A M - USA 2</v>
      </c>
      <c r="AZ548" s="148" t="str">
        <f t="shared" si="389"/>
        <v>11/20/2017 18:50-&gt;JR A M - MEX 2</v>
      </c>
      <c r="BA548" s="148" t="str">
        <f t="shared" si="390"/>
        <v>11/20/2017 18:50-&gt;JR A M - USA 2</v>
      </c>
      <c r="BB548" s="374">
        <f t="shared" si="391"/>
        <v>1</v>
      </c>
      <c r="BC548" s="374">
        <f t="shared" si="392"/>
        <v>1</v>
      </c>
      <c r="BD548" s="148" t="str">
        <f t="shared" si="393"/>
        <v>no conflict</v>
      </c>
      <c r="BF548" s="148" t="str">
        <f t="shared" si="394"/>
        <v>11/20/2017 18:50-&gt;JR A M - MEX 2</v>
      </c>
      <c r="BG548" s="148" t="str">
        <f t="shared" si="395"/>
        <v>11/20/2017 18:50-&gt;JR A M - USA 2</v>
      </c>
      <c r="BH548" s="148" t="str">
        <f t="shared" si="396"/>
        <v>11/20/2017 18:50-&gt;Hillel - Gym Volleyball</v>
      </c>
      <c r="BI548" s="148" t="str">
        <f t="shared" si="397"/>
        <v>Volleyball in Hillel - Gym Volleyball (MEX2-USA2)</v>
      </c>
      <c r="BJ548" s="148" t="str">
        <f t="shared" si="398"/>
        <v>Junior A Male Volleyball-- JR A M - MEX 2 vs. JR A M - USA 2</v>
      </c>
      <c r="BK548" s="148" t="str">
        <f t="shared" si="399"/>
        <v>Volleyball</v>
      </c>
      <c r="BL548" s="148" t="str">
        <f t="shared" si="400"/>
        <v>JR A M - MEX 2</v>
      </c>
      <c r="BM548" s="148" t="str">
        <f t="shared" si="401"/>
        <v>JR A M - USA 2</v>
      </c>
      <c r="BN548" s="148" t="str">
        <f t="shared" si="402"/>
        <v>Round - 1</v>
      </c>
      <c r="BP548" s="148" t="str">
        <f t="shared" si="403"/>
        <v>no t, f, or sf</v>
      </c>
      <c r="BQ548" s="148" t="str">
        <f t="shared" si="404"/>
        <v/>
      </c>
    </row>
    <row r="549" spans="1:69" ht="15" customHeight="1" x14ac:dyDescent="0.2">
      <c r="A549" s="376">
        <v>547</v>
      </c>
      <c r="B549" s="441" t="s">
        <v>74</v>
      </c>
      <c r="C549" s="441" t="s">
        <v>518</v>
      </c>
      <c r="D549" s="450">
        <v>1</v>
      </c>
      <c r="E549" s="450">
        <v>1</v>
      </c>
      <c r="F549" s="315" t="s">
        <v>770</v>
      </c>
      <c r="G549" s="320">
        <v>43059</v>
      </c>
      <c r="H549" s="318">
        <v>0.85416666666666663</v>
      </c>
      <c r="I549" s="325" t="s">
        <v>770</v>
      </c>
      <c r="J549" s="296" t="s">
        <v>708</v>
      </c>
      <c r="K549" s="441">
        <v>61</v>
      </c>
      <c r="L549" s="433" t="s">
        <v>637</v>
      </c>
      <c r="M549" s="433">
        <v>61</v>
      </c>
      <c r="N549" s="433" t="s">
        <v>646</v>
      </c>
      <c r="O549" s="153" t="str">
        <f>IF(L549&lt;&gt;"",IFERROR(VLOOKUP(B549&amp;L549,Pools!$A$2:$D$130,3,FALSE),""),"")</f>
        <v/>
      </c>
      <c r="P549" s="388">
        <v>2</v>
      </c>
      <c r="Q549" s="388">
        <v>1</v>
      </c>
      <c r="R549" s="306" t="str">
        <f t="shared" si="360"/>
        <v>2-1</v>
      </c>
      <c r="S549" s="153"/>
      <c r="T549" s="148" t="str">
        <f t="shared" si="361"/>
        <v>Completed</v>
      </c>
      <c r="U549" s="153"/>
      <c r="V549" s="153"/>
      <c r="W549" s="387">
        <f t="shared" si="362"/>
        <v>1</v>
      </c>
      <c r="X549" s="387">
        <f t="shared" si="363"/>
        <v>-1</v>
      </c>
      <c r="Y549" s="301">
        <f t="shared" si="364"/>
        <v>2</v>
      </c>
      <c r="Z549" s="301">
        <f t="shared" si="365"/>
        <v>0</v>
      </c>
      <c r="AA549" s="323" t="str">
        <f>CONCATENATE("                x[team1,team2,sport,'",IF(OR(I549="x",I549=""),VLOOKUP('Schedule from TM'!J549,Tables!$P$3:$Q$33,2,FALSE),'Schedule from TM'!I549),",",J549,"','",IF(OR(F549="x",F549=""),VLOOKUP('Schedule from TM'!G549,Tables!$U$3:$V$14,2,FALSE),'Schedule from TM'!F549),",",TEXT(G549,"mm/dd/yyyy"),"','",TEXT(H549,"h:mm:ss AM/PM"),"'].ub=0.0      #",B549)</f>
        <v xml:space="preserve">                x[team1,team2,sport,'21,Hillel - Gym Volleyball','22,11/20/2017','8:30:00 PM'].ub=0.0      #Junior A Male Volleyball</v>
      </c>
      <c r="AB549" s="301" t="str">
        <f t="shared" si="366"/>
        <v>,,Junior A Male Volleyball,,1,JR A M - ARG 1</v>
      </c>
      <c r="AC549" s="153" t="str">
        <f t="shared" si="367"/>
        <v>Junior A Male VolleyballJR A M - ARG 1</v>
      </c>
      <c r="AD549" s="301" t="str">
        <f t="shared" si="368"/>
        <v>,,Junior A Male Volleyball,,1,JR A M - VEN 2</v>
      </c>
      <c r="AE549" s="153" t="str">
        <f t="shared" si="369"/>
        <v>Junior A Male VolleyballJR A M - VEN 2</v>
      </c>
      <c r="AF549" s="383">
        <f t="shared" si="370"/>
        <v>1</v>
      </c>
      <c r="AG549" s="383">
        <f t="shared" si="371"/>
        <v>0</v>
      </c>
      <c r="AH549" s="383">
        <f t="shared" si="372"/>
        <v>0</v>
      </c>
      <c r="AI549" s="383">
        <f t="shared" si="373"/>
        <v>0</v>
      </c>
      <c r="AJ549" s="383">
        <f t="shared" si="374"/>
        <v>1</v>
      </c>
      <c r="AK549" s="383">
        <f t="shared" si="375"/>
        <v>0</v>
      </c>
      <c r="AM549" s="148" t="str">
        <f t="shared" si="376"/>
        <v>Schedulled</v>
      </c>
      <c r="AN549" s="148" t="str">
        <f t="shared" si="377"/>
        <v/>
      </c>
      <c r="AO549" s="156">
        <f t="shared" si="378"/>
        <v>43059.854166666664</v>
      </c>
      <c r="AP549" s="148" t="str">
        <f t="shared" si="379"/>
        <v>11/20/2017 20:30-&gt;Hillel - Gym Volleyball</v>
      </c>
      <c r="AQ549" s="374">
        <f t="shared" si="380"/>
        <v>1</v>
      </c>
      <c r="AR549" s="148" t="str">
        <f t="shared" si="381"/>
        <v>ARG1</v>
      </c>
      <c r="AS549" s="148" t="str">
        <f t="shared" si="382"/>
        <v>VEN2</v>
      </c>
      <c r="AT549" s="157" t="str">
        <f t="shared" si="383"/>
        <v>ARG1-VEN2</v>
      </c>
      <c r="AU549" s="157" t="str">
        <f t="shared" si="384"/>
        <v xml:space="preserve">ARG1-VEN2 </v>
      </c>
      <c r="AV549" s="157" t="str">
        <f t="shared" si="385"/>
        <v>JUNIORS A MALE</v>
      </c>
      <c r="AW549" s="157" t="str">
        <f t="shared" si="386"/>
        <v>Volleyball</v>
      </c>
      <c r="AX549" s="376">
        <f t="shared" si="387"/>
        <v>547</v>
      </c>
      <c r="AY549" s="148" t="str">
        <f t="shared" si="388"/>
        <v>JR A M - ARG 1-&gt;JR A M - VEN 2</v>
      </c>
      <c r="AZ549" s="148" t="str">
        <f t="shared" si="389"/>
        <v>11/20/2017 20:30-&gt;JR A M - ARG 1</v>
      </c>
      <c r="BA549" s="148" t="str">
        <f t="shared" si="390"/>
        <v>11/20/2017 20:30-&gt;JR A M - VEN 2</v>
      </c>
      <c r="BB549" s="374">
        <f t="shared" si="391"/>
        <v>1</v>
      </c>
      <c r="BC549" s="374">
        <f t="shared" si="392"/>
        <v>1</v>
      </c>
      <c r="BD549" s="148" t="str">
        <f t="shared" si="393"/>
        <v>no conflict</v>
      </c>
      <c r="BF549" s="148" t="str">
        <f t="shared" si="394"/>
        <v>11/20/2017 20:30-&gt;JR A M - ARG 1</v>
      </c>
      <c r="BG549" s="148" t="str">
        <f t="shared" si="395"/>
        <v>11/20/2017 20:30-&gt;JR A M - VEN 2</v>
      </c>
      <c r="BH549" s="148" t="str">
        <f t="shared" si="396"/>
        <v>11/20/2017 20:30-&gt;Hillel - Gym Volleyball</v>
      </c>
      <c r="BI549" s="148" t="str">
        <f t="shared" si="397"/>
        <v>Volleyball in Hillel - Gym Volleyball (ARG1-VEN2)</v>
      </c>
      <c r="BJ549" s="148" t="str">
        <f t="shared" si="398"/>
        <v>Junior A Male Volleyball-- JR A M - ARG 1 vs. JR A M - VEN 2</v>
      </c>
      <c r="BK549" s="148" t="str">
        <f t="shared" si="399"/>
        <v>Volleyball</v>
      </c>
      <c r="BL549" s="148" t="str">
        <f t="shared" si="400"/>
        <v>JR A M - ARG 1</v>
      </c>
      <c r="BM549" s="148" t="str">
        <f t="shared" si="401"/>
        <v>JR A M - VEN 2</v>
      </c>
      <c r="BN549" s="148" t="str">
        <f t="shared" si="402"/>
        <v>Round - 1</v>
      </c>
      <c r="BP549" s="148" t="str">
        <f t="shared" si="403"/>
        <v>no t, f, or sf</v>
      </c>
      <c r="BQ549" s="148" t="str">
        <f t="shared" si="404"/>
        <v/>
      </c>
    </row>
    <row r="550" spans="1:69" ht="15" customHeight="1" x14ac:dyDescent="0.2">
      <c r="A550" s="376">
        <v>548</v>
      </c>
      <c r="B550" s="444" t="s">
        <v>74</v>
      </c>
      <c r="C550" s="444" t="s">
        <v>518</v>
      </c>
      <c r="D550" s="451">
        <v>1</v>
      </c>
      <c r="E550" s="451">
        <v>1</v>
      </c>
      <c r="F550" s="315" t="s">
        <v>770</v>
      </c>
      <c r="G550" s="445">
        <v>43060</v>
      </c>
      <c r="H550" s="317">
        <v>0.71527777777777779</v>
      </c>
      <c r="I550" s="325" t="s">
        <v>770</v>
      </c>
      <c r="J550" s="444" t="s">
        <v>697</v>
      </c>
      <c r="K550" s="444">
        <v>61</v>
      </c>
      <c r="L550" s="433" t="s">
        <v>720</v>
      </c>
      <c r="M550" s="433">
        <v>61</v>
      </c>
      <c r="N550" s="433" t="s">
        <v>642</v>
      </c>
      <c r="O550" s="153" t="str">
        <f>IF(L550&lt;&gt;"",IFERROR(VLOOKUP(B550&amp;L550,Pools!$A$2:$D$130,3,FALSE),""),"")</f>
        <v/>
      </c>
      <c r="P550" s="388">
        <v>0</v>
      </c>
      <c r="Q550" s="388">
        <v>2</v>
      </c>
      <c r="R550" s="306" t="str">
        <f t="shared" si="360"/>
        <v>0-2</v>
      </c>
      <c r="S550" s="153"/>
      <c r="T550" s="148" t="str">
        <f t="shared" si="361"/>
        <v>Completed</v>
      </c>
      <c r="U550" s="153"/>
      <c r="V550" s="153"/>
      <c r="W550" s="387">
        <f t="shared" si="362"/>
        <v>-2</v>
      </c>
      <c r="X550" s="387">
        <f t="shared" si="363"/>
        <v>2</v>
      </c>
      <c r="Y550" s="301">
        <f t="shared" si="364"/>
        <v>0</v>
      </c>
      <c r="Z550" s="301">
        <f t="shared" si="365"/>
        <v>2</v>
      </c>
      <c r="AA550" s="323" t="str">
        <f>CONCATENATE("                x[team1,team2,sport,'",IF(OR(I550="x",I550=""),VLOOKUP('Schedule from TM'!J550,Tables!$P$3:$Q$33,2,FALSE),'Schedule from TM'!I550),",",J550,"','",IF(OR(F550="x",F550=""),VLOOKUP('Schedule from TM'!G550,Tables!$U$3:$V$14,2,FALSE),'Schedule from TM'!F550),",",TEXT(G550,"mm/dd/yyyy"),"','",TEXT(H550,"h:mm:ss AM/PM"),"'].ub=0.0      #",B550)</f>
        <v xml:space="preserve">                x[team1,team2,sport,'11,JCC Gym South','22,11/21/2017','5:10:00 PM'].ub=0.0      #Junior A Male Volleyball</v>
      </c>
      <c r="AB550" s="301" t="str">
        <f t="shared" si="366"/>
        <v>,,Junior A Male Volleyball,,1,JR A M - MEX 2</v>
      </c>
      <c r="AC550" s="153" t="str">
        <f t="shared" si="367"/>
        <v>Junior A Male VolleyballJR A M - MEX 2</v>
      </c>
      <c r="AD550" s="301" t="str">
        <f t="shared" si="368"/>
        <v>,,Junior A Male Volleyball,,1,JR A M - USA 1</v>
      </c>
      <c r="AE550" s="153" t="str">
        <f t="shared" si="369"/>
        <v>Junior A Male VolleyballJR A M - USA 1</v>
      </c>
      <c r="AF550" s="383">
        <f t="shared" si="370"/>
        <v>0</v>
      </c>
      <c r="AG550" s="383">
        <f t="shared" si="371"/>
        <v>1</v>
      </c>
      <c r="AH550" s="383">
        <f t="shared" si="372"/>
        <v>0</v>
      </c>
      <c r="AI550" s="383">
        <f t="shared" si="373"/>
        <v>1</v>
      </c>
      <c r="AJ550" s="383">
        <f t="shared" si="374"/>
        <v>0</v>
      </c>
      <c r="AK550" s="383">
        <f t="shared" si="375"/>
        <v>0</v>
      </c>
      <c r="AM550" s="148" t="str">
        <f t="shared" si="376"/>
        <v>Schedulled</v>
      </c>
      <c r="AN550" s="148" t="str">
        <f t="shared" si="377"/>
        <v/>
      </c>
      <c r="AO550" s="156">
        <f t="shared" si="378"/>
        <v>43060.715277777781</v>
      </c>
      <c r="AP550" s="148" t="str">
        <f t="shared" si="379"/>
        <v>11/21/2017 17:10-&gt;JCC Gym South</v>
      </c>
      <c r="AQ550" s="374">
        <f t="shared" si="380"/>
        <v>1</v>
      </c>
      <c r="AR550" s="148" t="str">
        <f t="shared" si="381"/>
        <v>MEX2</v>
      </c>
      <c r="AS550" s="148" t="str">
        <f t="shared" si="382"/>
        <v>USA1</v>
      </c>
      <c r="AT550" s="157" t="str">
        <f t="shared" si="383"/>
        <v>MEX2-USA1</v>
      </c>
      <c r="AU550" s="157" t="str">
        <f t="shared" si="384"/>
        <v xml:space="preserve">MEX2-USA1 </v>
      </c>
      <c r="AV550" s="157" t="str">
        <f t="shared" si="385"/>
        <v>JUNIORS A MALE</v>
      </c>
      <c r="AW550" s="157" t="str">
        <f t="shared" si="386"/>
        <v>Volleyball</v>
      </c>
      <c r="AX550" s="376">
        <f t="shared" si="387"/>
        <v>548</v>
      </c>
      <c r="AY550" s="148" t="str">
        <f t="shared" si="388"/>
        <v>JR A M - MEX 2-&gt;JR A M - USA 1</v>
      </c>
      <c r="AZ550" s="148" t="str">
        <f t="shared" si="389"/>
        <v>11/21/2017 17:10-&gt;JR A M - MEX 2</v>
      </c>
      <c r="BA550" s="148" t="str">
        <f t="shared" si="390"/>
        <v>11/21/2017 17:10-&gt;JR A M - USA 1</v>
      </c>
      <c r="BB550" s="374">
        <f t="shared" si="391"/>
        <v>1</v>
      </c>
      <c r="BC550" s="374">
        <f t="shared" si="392"/>
        <v>1</v>
      </c>
      <c r="BD550" s="148" t="str">
        <f t="shared" si="393"/>
        <v>no conflict</v>
      </c>
      <c r="BF550" s="148" t="str">
        <f t="shared" si="394"/>
        <v>11/21/2017 17:10-&gt;JR A M - MEX 2</v>
      </c>
      <c r="BG550" s="148" t="str">
        <f t="shared" si="395"/>
        <v>11/21/2017 17:10-&gt;JR A M - USA 1</v>
      </c>
      <c r="BH550" s="148" t="str">
        <f t="shared" si="396"/>
        <v>11/21/2017 17:10-&gt;JCC Gym South</v>
      </c>
      <c r="BI550" s="148" t="str">
        <f t="shared" si="397"/>
        <v>Volleyball in JCC Gym South (MEX2-USA1)</v>
      </c>
      <c r="BJ550" s="148" t="str">
        <f t="shared" si="398"/>
        <v>Junior A Male Volleyball-- JR A M - MEX 2 vs. JR A M - USA 1</v>
      </c>
      <c r="BK550" s="148" t="str">
        <f t="shared" si="399"/>
        <v>Volleyball</v>
      </c>
      <c r="BL550" s="148" t="str">
        <f t="shared" si="400"/>
        <v>JR A M - MEX 2</v>
      </c>
      <c r="BM550" s="148" t="str">
        <f t="shared" si="401"/>
        <v>JR A M - USA 1</v>
      </c>
      <c r="BN550" s="148" t="str">
        <f t="shared" si="402"/>
        <v>Round - 1</v>
      </c>
      <c r="BP550" s="148" t="str">
        <f t="shared" si="403"/>
        <v>no t, f, or sf</v>
      </c>
      <c r="BQ550" s="148" t="str">
        <f t="shared" si="404"/>
        <v/>
      </c>
    </row>
    <row r="551" spans="1:69" ht="15" customHeight="1" x14ac:dyDescent="0.2">
      <c r="A551" s="376">
        <v>549</v>
      </c>
      <c r="B551" s="444" t="s">
        <v>74</v>
      </c>
      <c r="C551" s="315" t="s">
        <v>518</v>
      </c>
      <c r="D551" s="378">
        <v>1</v>
      </c>
      <c r="E551" s="378">
        <v>1</v>
      </c>
      <c r="F551" s="315" t="s">
        <v>770</v>
      </c>
      <c r="G551" s="316">
        <v>43060</v>
      </c>
      <c r="H551" s="317">
        <v>0.81944444444444453</v>
      </c>
      <c r="I551" s="325" t="s">
        <v>770</v>
      </c>
      <c r="J551" s="315" t="s">
        <v>708</v>
      </c>
      <c r="K551" s="315">
        <v>61</v>
      </c>
      <c r="L551" s="433" t="s">
        <v>637</v>
      </c>
      <c r="M551" s="433">
        <v>61</v>
      </c>
      <c r="N551" s="433" t="s">
        <v>639</v>
      </c>
      <c r="O551" s="153" t="str">
        <f>IF(L551&lt;&gt;"",IFERROR(VLOOKUP(B551&amp;L551,Pools!$A$2:$D$130,3,FALSE),""),"")</f>
        <v/>
      </c>
      <c r="P551" s="388">
        <v>2</v>
      </c>
      <c r="Q551" s="388">
        <v>1</v>
      </c>
      <c r="R551" s="306" t="str">
        <f t="shared" si="360"/>
        <v>2-1</v>
      </c>
      <c r="S551" s="153"/>
      <c r="T551" s="148" t="str">
        <f t="shared" si="361"/>
        <v>Completed</v>
      </c>
      <c r="U551" s="153"/>
      <c r="V551" s="153"/>
      <c r="W551" s="387">
        <f t="shared" si="362"/>
        <v>1</v>
      </c>
      <c r="X551" s="387">
        <f t="shared" si="363"/>
        <v>-1</v>
      </c>
      <c r="Y551" s="301">
        <f t="shared" si="364"/>
        <v>2</v>
      </c>
      <c r="Z551" s="301">
        <f t="shared" si="365"/>
        <v>0</v>
      </c>
      <c r="AA551" s="323" t="str">
        <f>CONCATENATE("                x[team1,team2,sport,'",IF(OR(I551="x",I551=""),VLOOKUP('Schedule from TM'!J551,Tables!$P$3:$Q$33,2,FALSE),'Schedule from TM'!I551),",",J551,"','",IF(OR(F551="x",F551=""),VLOOKUP('Schedule from TM'!G551,Tables!$U$3:$V$14,2,FALSE),'Schedule from TM'!F551),",",TEXT(G551,"mm/dd/yyyy"),"','",TEXT(H551,"h:mm:ss AM/PM"),"'].ub=0.0      #",B551)</f>
        <v xml:space="preserve">                x[team1,team2,sport,'21,Hillel - Gym Volleyball','22,11/21/2017','7:40:00 PM'].ub=0.0      #Junior A Male Volleyball</v>
      </c>
      <c r="AB551" s="301" t="str">
        <f t="shared" si="366"/>
        <v>,,Junior A Male Volleyball,,1,JR A M - ARG 1</v>
      </c>
      <c r="AC551" s="153" t="str">
        <f t="shared" si="367"/>
        <v>Junior A Male VolleyballJR A M - ARG 1</v>
      </c>
      <c r="AD551" s="301" t="str">
        <f t="shared" si="368"/>
        <v>,,Junior A Male Volleyball,,1,JR A M - COL 1</v>
      </c>
      <c r="AE551" s="153" t="str">
        <f t="shared" si="369"/>
        <v>Junior A Male VolleyballJR A M - COL 1</v>
      </c>
      <c r="AF551" s="383">
        <f t="shared" si="370"/>
        <v>1</v>
      </c>
      <c r="AG551" s="383">
        <f t="shared" si="371"/>
        <v>0</v>
      </c>
      <c r="AH551" s="383">
        <f t="shared" si="372"/>
        <v>0</v>
      </c>
      <c r="AI551" s="383">
        <f t="shared" si="373"/>
        <v>0</v>
      </c>
      <c r="AJ551" s="383">
        <f t="shared" si="374"/>
        <v>1</v>
      </c>
      <c r="AK551" s="383">
        <f t="shared" si="375"/>
        <v>0</v>
      </c>
      <c r="AM551" s="148" t="str">
        <f t="shared" si="376"/>
        <v>Schedulled</v>
      </c>
      <c r="AN551" s="148" t="str">
        <f t="shared" si="377"/>
        <v/>
      </c>
      <c r="AO551" s="156">
        <f t="shared" si="378"/>
        <v>43060.819444444445</v>
      </c>
      <c r="AP551" s="148" t="str">
        <f t="shared" si="379"/>
        <v>11/21/2017 19:40-&gt;Hillel - Gym Volleyball</v>
      </c>
      <c r="AQ551" s="374">
        <f t="shared" si="380"/>
        <v>1</v>
      </c>
      <c r="AR551" s="148" t="str">
        <f t="shared" si="381"/>
        <v>ARG1</v>
      </c>
      <c r="AS551" s="148" t="str">
        <f t="shared" si="382"/>
        <v>COL1</v>
      </c>
      <c r="AT551" s="157" t="str">
        <f t="shared" si="383"/>
        <v>ARG1-COL1</v>
      </c>
      <c r="AU551" s="157" t="str">
        <f t="shared" si="384"/>
        <v xml:space="preserve">ARG1-COL1 </v>
      </c>
      <c r="AV551" s="157" t="str">
        <f t="shared" si="385"/>
        <v>JUNIORS A MALE</v>
      </c>
      <c r="AW551" s="157" t="str">
        <f t="shared" si="386"/>
        <v>Volleyball</v>
      </c>
      <c r="AX551" s="376">
        <f t="shared" si="387"/>
        <v>549</v>
      </c>
      <c r="AY551" s="148" t="str">
        <f t="shared" si="388"/>
        <v>JR A M - ARG 1-&gt;JR A M - COL 1</v>
      </c>
      <c r="AZ551" s="148" t="str">
        <f t="shared" si="389"/>
        <v>11/21/2017 19:40-&gt;JR A M - ARG 1</v>
      </c>
      <c r="BA551" s="148" t="str">
        <f t="shared" si="390"/>
        <v>11/21/2017 19:40-&gt;JR A M - COL 1</v>
      </c>
      <c r="BB551" s="374">
        <f t="shared" si="391"/>
        <v>1</v>
      </c>
      <c r="BC551" s="374">
        <f t="shared" si="392"/>
        <v>1</v>
      </c>
      <c r="BD551" s="148" t="str">
        <f t="shared" si="393"/>
        <v>no conflict</v>
      </c>
      <c r="BF551" s="148" t="str">
        <f t="shared" si="394"/>
        <v>11/21/2017 19:40-&gt;JR A M - ARG 1</v>
      </c>
      <c r="BG551" s="148" t="str">
        <f t="shared" si="395"/>
        <v>11/21/2017 19:40-&gt;JR A M - COL 1</v>
      </c>
      <c r="BH551" s="148" t="str">
        <f t="shared" si="396"/>
        <v>11/21/2017 19:40-&gt;Hillel - Gym Volleyball</v>
      </c>
      <c r="BI551" s="148" t="str">
        <f t="shared" si="397"/>
        <v>Volleyball in Hillel - Gym Volleyball (ARG1-COL1)</v>
      </c>
      <c r="BJ551" s="148" t="str">
        <f t="shared" si="398"/>
        <v>Junior A Male Volleyball-- JR A M - ARG 1 vs. JR A M - COL 1</v>
      </c>
      <c r="BK551" s="148" t="str">
        <f t="shared" si="399"/>
        <v>Volleyball</v>
      </c>
      <c r="BL551" s="148" t="str">
        <f t="shared" si="400"/>
        <v>JR A M - ARG 1</v>
      </c>
      <c r="BM551" s="148" t="str">
        <f t="shared" si="401"/>
        <v>JR A M - COL 1</v>
      </c>
      <c r="BN551" s="148" t="str">
        <f t="shared" si="402"/>
        <v>Round - 1</v>
      </c>
      <c r="BP551" s="148" t="str">
        <f t="shared" si="403"/>
        <v>no t, f, or sf</v>
      </c>
      <c r="BQ551" s="148" t="str">
        <f t="shared" si="404"/>
        <v/>
      </c>
    </row>
    <row r="552" spans="1:69" ht="15" customHeight="1" x14ac:dyDescent="0.2">
      <c r="A552" s="376">
        <v>550</v>
      </c>
      <c r="B552" s="315" t="s">
        <v>74</v>
      </c>
      <c r="C552" s="315" t="s">
        <v>518</v>
      </c>
      <c r="D552" s="378">
        <v>1</v>
      </c>
      <c r="E552" s="378">
        <v>1</v>
      </c>
      <c r="F552" s="315" t="s">
        <v>770</v>
      </c>
      <c r="G552" s="316">
        <v>43061</v>
      </c>
      <c r="H552" s="317">
        <v>0.68055555555555547</v>
      </c>
      <c r="I552" s="325" t="s">
        <v>770</v>
      </c>
      <c r="J552" s="315" t="s">
        <v>697</v>
      </c>
      <c r="K552" s="315">
        <v>61</v>
      </c>
      <c r="L552" s="433" t="s">
        <v>719</v>
      </c>
      <c r="M552" s="433">
        <v>61</v>
      </c>
      <c r="N552" s="433" t="s">
        <v>642</v>
      </c>
      <c r="O552" s="153" t="str">
        <f>IF(L552&lt;&gt;"",IFERROR(VLOOKUP(B552&amp;L552,Pools!$A$2:$D$130,3,FALSE),""),"")</f>
        <v/>
      </c>
      <c r="P552" s="388">
        <v>0</v>
      </c>
      <c r="Q552" s="388">
        <v>2</v>
      </c>
      <c r="R552" s="306" t="str">
        <f t="shared" si="360"/>
        <v>0-2</v>
      </c>
      <c r="S552" s="153"/>
      <c r="T552" s="148" t="str">
        <f t="shared" si="361"/>
        <v>Completed</v>
      </c>
      <c r="U552" s="153"/>
      <c r="V552" s="153"/>
      <c r="W552" s="387">
        <f t="shared" si="362"/>
        <v>-2</v>
      </c>
      <c r="X552" s="387">
        <f t="shared" si="363"/>
        <v>2</v>
      </c>
      <c r="Y552" s="301">
        <f t="shared" si="364"/>
        <v>0</v>
      </c>
      <c r="Z552" s="301">
        <f t="shared" si="365"/>
        <v>2</v>
      </c>
      <c r="AA552" s="323" t="str">
        <f>CONCATENATE("                x[team1,team2,sport,'",IF(OR(I552="x",I552=""),VLOOKUP('Schedule from TM'!J552,Tables!$P$3:$Q$33,2,FALSE),'Schedule from TM'!I552),",",J552,"','",IF(OR(F552="x",F552=""),VLOOKUP('Schedule from TM'!G552,Tables!$U$3:$V$14,2,FALSE),'Schedule from TM'!F552),",",TEXT(G552,"mm/dd/yyyy"),"','",TEXT(H552,"h:mm:ss AM/PM"),"'].ub=0.0      #",B552)</f>
        <v xml:space="preserve">                x[team1,team2,sport,'11,JCC Gym South','22,11/22/2017','4:20:00 PM'].ub=0.0      #Junior A Male Volleyball</v>
      </c>
      <c r="AB552" s="301" t="str">
        <f t="shared" si="366"/>
        <v>,,Junior A Male Volleyball,,1,JR A M - MEX 1</v>
      </c>
      <c r="AC552" s="153" t="str">
        <f t="shared" si="367"/>
        <v>Junior A Male VolleyballJR A M - MEX 1</v>
      </c>
      <c r="AD552" s="301" t="str">
        <f t="shared" si="368"/>
        <v>,,Junior A Male Volleyball,,1,JR A M - USA 1</v>
      </c>
      <c r="AE552" s="153" t="str">
        <f t="shared" si="369"/>
        <v>Junior A Male VolleyballJR A M - USA 1</v>
      </c>
      <c r="AF552" s="383">
        <f t="shared" si="370"/>
        <v>0</v>
      </c>
      <c r="AG552" s="383">
        <f t="shared" si="371"/>
        <v>1</v>
      </c>
      <c r="AH552" s="383">
        <f t="shared" si="372"/>
        <v>0</v>
      </c>
      <c r="AI552" s="383">
        <f t="shared" si="373"/>
        <v>1</v>
      </c>
      <c r="AJ552" s="383">
        <f t="shared" si="374"/>
        <v>0</v>
      </c>
      <c r="AK552" s="383">
        <f t="shared" si="375"/>
        <v>0</v>
      </c>
      <c r="AM552" s="148" t="str">
        <f t="shared" si="376"/>
        <v>Schedulled</v>
      </c>
      <c r="AN552" s="148" t="str">
        <f t="shared" si="377"/>
        <v/>
      </c>
      <c r="AO552" s="156">
        <f t="shared" si="378"/>
        <v>43061.680555555555</v>
      </c>
      <c r="AP552" s="148" t="str">
        <f t="shared" si="379"/>
        <v>11/22/2017 16:20-&gt;JCC Gym South</v>
      </c>
      <c r="AQ552" s="374">
        <f t="shared" si="380"/>
        <v>1</v>
      </c>
      <c r="AR552" s="148" t="str">
        <f t="shared" si="381"/>
        <v>MEX1</v>
      </c>
      <c r="AS552" s="148" t="str">
        <f t="shared" si="382"/>
        <v>USA1</v>
      </c>
      <c r="AT552" s="157" t="str">
        <f t="shared" si="383"/>
        <v>MEX1-USA1</v>
      </c>
      <c r="AU552" s="157" t="str">
        <f t="shared" si="384"/>
        <v xml:space="preserve">MEX1-USA1 </v>
      </c>
      <c r="AV552" s="157" t="str">
        <f t="shared" si="385"/>
        <v>JUNIORS A MALE</v>
      </c>
      <c r="AW552" s="157" t="str">
        <f t="shared" si="386"/>
        <v>Volleyball</v>
      </c>
      <c r="AX552" s="376">
        <f t="shared" si="387"/>
        <v>550</v>
      </c>
      <c r="AY552" s="148" t="str">
        <f t="shared" si="388"/>
        <v>JR A M - MEX 1-&gt;JR A M - USA 1</v>
      </c>
      <c r="AZ552" s="148" t="str">
        <f t="shared" si="389"/>
        <v>11/22/2017 16:20-&gt;JR A M - MEX 1</v>
      </c>
      <c r="BA552" s="148" t="str">
        <f t="shared" si="390"/>
        <v>11/22/2017 16:20-&gt;JR A M - USA 1</v>
      </c>
      <c r="BB552" s="374">
        <f t="shared" si="391"/>
        <v>1</v>
      </c>
      <c r="BC552" s="374">
        <f t="shared" si="392"/>
        <v>1</v>
      </c>
      <c r="BD552" s="148" t="str">
        <f t="shared" si="393"/>
        <v>no conflict</v>
      </c>
      <c r="BF552" s="148" t="str">
        <f t="shared" si="394"/>
        <v>11/22/2017 16:20-&gt;JR A M - MEX 1</v>
      </c>
      <c r="BG552" s="148" t="str">
        <f t="shared" si="395"/>
        <v>11/22/2017 16:20-&gt;JR A M - USA 1</v>
      </c>
      <c r="BH552" s="148" t="str">
        <f t="shared" si="396"/>
        <v>11/22/2017 16:20-&gt;JCC Gym South</v>
      </c>
      <c r="BI552" s="148" t="str">
        <f t="shared" si="397"/>
        <v>Volleyball in JCC Gym South (MEX1-USA1)</v>
      </c>
      <c r="BJ552" s="148" t="str">
        <f t="shared" si="398"/>
        <v>Junior A Male Volleyball-- JR A M - MEX 1 vs. JR A M - USA 1</v>
      </c>
      <c r="BK552" s="148" t="str">
        <f t="shared" si="399"/>
        <v>Volleyball</v>
      </c>
      <c r="BL552" s="148" t="str">
        <f t="shared" si="400"/>
        <v>JR A M - MEX 1</v>
      </c>
      <c r="BM552" s="148" t="str">
        <f t="shared" si="401"/>
        <v>JR A M - USA 1</v>
      </c>
      <c r="BN552" s="148" t="str">
        <f t="shared" si="402"/>
        <v>Round - 1</v>
      </c>
      <c r="BP552" s="148" t="str">
        <f t="shared" si="403"/>
        <v>no t, f, or sf</v>
      </c>
      <c r="BQ552" s="148" t="str">
        <f t="shared" si="404"/>
        <v/>
      </c>
    </row>
    <row r="553" spans="1:69" ht="15" customHeight="1" x14ac:dyDescent="0.2">
      <c r="A553" s="376">
        <v>551</v>
      </c>
      <c r="B553" s="444" t="s">
        <v>74</v>
      </c>
      <c r="C553" s="444" t="s">
        <v>518</v>
      </c>
      <c r="D553" s="451">
        <v>1</v>
      </c>
      <c r="E553" s="451">
        <v>1</v>
      </c>
      <c r="F553" s="315" t="s">
        <v>770</v>
      </c>
      <c r="G553" s="445">
        <v>43061</v>
      </c>
      <c r="H553" s="317">
        <v>0.68055555555555547</v>
      </c>
      <c r="I553" s="325" t="s">
        <v>770</v>
      </c>
      <c r="J553" s="444" t="s">
        <v>708</v>
      </c>
      <c r="K553" s="444">
        <v>61</v>
      </c>
      <c r="L553" s="444" t="s">
        <v>643</v>
      </c>
      <c r="M553" s="444">
        <v>61</v>
      </c>
      <c r="N553" s="444" t="s">
        <v>646</v>
      </c>
      <c r="O553" s="153" t="str">
        <f>IF(L553&lt;&gt;"",IFERROR(VLOOKUP(B553&amp;L553,Pools!$A$2:$D$130,3,FALSE),""),"")</f>
        <v/>
      </c>
      <c r="P553" s="388">
        <v>2</v>
      </c>
      <c r="Q553" s="388">
        <v>0</v>
      </c>
      <c r="R553" s="306" t="str">
        <f t="shared" si="360"/>
        <v>2-0</v>
      </c>
      <c r="S553" s="153"/>
      <c r="T553" s="148" t="str">
        <f t="shared" si="361"/>
        <v>Completed</v>
      </c>
      <c r="U553" s="153"/>
      <c r="V553" s="153"/>
      <c r="W553" s="387">
        <f t="shared" si="362"/>
        <v>2</v>
      </c>
      <c r="X553" s="387">
        <f t="shared" si="363"/>
        <v>-2</v>
      </c>
      <c r="Y553" s="301">
        <f t="shared" si="364"/>
        <v>2</v>
      </c>
      <c r="Z553" s="301">
        <f t="shared" si="365"/>
        <v>0</v>
      </c>
      <c r="AA553" s="323" t="str">
        <f>CONCATENATE("                x[team1,team2,sport,'",IF(OR(I553="x",I553=""),VLOOKUP('Schedule from TM'!J553,Tables!$P$3:$Q$33,2,FALSE),'Schedule from TM'!I553),",",J553,"','",IF(OR(F553="x",F553=""),VLOOKUP('Schedule from TM'!G553,Tables!$U$3:$V$14,2,FALSE),'Schedule from TM'!F553),",",TEXT(G553,"mm/dd/yyyy"),"','",TEXT(H553,"h:mm:ss AM/PM"),"'].ub=0.0      #",B553)</f>
        <v xml:space="preserve">                x[team1,team2,sport,'21,Hillel - Gym Volleyball','22,11/22/2017','4:20:00 PM'].ub=0.0      #Junior A Male Volleyball</v>
      </c>
      <c r="AB553" s="301" t="str">
        <f t="shared" si="366"/>
        <v>,,Junior A Male Volleyball,,1,JR A M - USA 2</v>
      </c>
      <c r="AC553" s="153" t="str">
        <f t="shared" si="367"/>
        <v>Junior A Male VolleyballJR A M - USA 2</v>
      </c>
      <c r="AD553" s="301" t="str">
        <f t="shared" si="368"/>
        <v>,,Junior A Male Volleyball,,1,JR A M - VEN 2</v>
      </c>
      <c r="AE553" s="153" t="str">
        <f t="shared" si="369"/>
        <v>Junior A Male VolleyballJR A M - VEN 2</v>
      </c>
      <c r="AF553" s="383">
        <f t="shared" si="370"/>
        <v>1</v>
      </c>
      <c r="AG553" s="383">
        <f t="shared" si="371"/>
        <v>0</v>
      </c>
      <c r="AH553" s="383">
        <f t="shared" si="372"/>
        <v>0</v>
      </c>
      <c r="AI553" s="383">
        <f t="shared" si="373"/>
        <v>0</v>
      </c>
      <c r="AJ553" s="383">
        <f t="shared" si="374"/>
        <v>1</v>
      </c>
      <c r="AK553" s="383">
        <f t="shared" si="375"/>
        <v>0</v>
      </c>
      <c r="AM553" s="148" t="str">
        <f t="shared" si="376"/>
        <v>Schedulled</v>
      </c>
      <c r="AN553" s="148" t="str">
        <f t="shared" si="377"/>
        <v/>
      </c>
      <c r="AO553" s="156">
        <f t="shared" si="378"/>
        <v>43061.680555555555</v>
      </c>
      <c r="AP553" s="148" t="str">
        <f t="shared" si="379"/>
        <v>11/22/2017 16:20-&gt;Hillel - Gym Volleyball</v>
      </c>
      <c r="AQ553" s="374">
        <f t="shared" si="380"/>
        <v>1</v>
      </c>
      <c r="AR553" s="148" t="str">
        <f t="shared" si="381"/>
        <v>USA2</v>
      </c>
      <c r="AS553" s="148" t="str">
        <f t="shared" si="382"/>
        <v>VEN2</v>
      </c>
      <c r="AT553" s="157" t="str">
        <f t="shared" si="383"/>
        <v>USA2-VEN2</v>
      </c>
      <c r="AU553" s="157" t="str">
        <f t="shared" si="384"/>
        <v xml:space="preserve">USA2-VEN2 </v>
      </c>
      <c r="AV553" s="157" t="str">
        <f t="shared" si="385"/>
        <v>JUNIORS A MALE</v>
      </c>
      <c r="AW553" s="157" t="str">
        <f t="shared" si="386"/>
        <v>Volleyball</v>
      </c>
      <c r="AX553" s="376">
        <f t="shared" si="387"/>
        <v>551</v>
      </c>
      <c r="AY553" s="148" t="str">
        <f t="shared" si="388"/>
        <v>JR A M - USA 2-&gt;JR A M - VEN 2</v>
      </c>
      <c r="AZ553" s="148" t="str">
        <f t="shared" si="389"/>
        <v>11/22/2017 16:20-&gt;JR A M - USA 2</v>
      </c>
      <c r="BA553" s="148" t="str">
        <f t="shared" si="390"/>
        <v>11/22/2017 16:20-&gt;JR A M - VEN 2</v>
      </c>
      <c r="BB553" s="374">
        <f t="shared" si="391"/>
        <v>1</v>
      </c>
      <c r="BC553" s="374">
        <f t="shared" si="392"/>
        <v>1</v>
      </c>
      <c r="BD553" s="148" t="str">
        <f t="shared" si="393"/>
        <v>no conflict</v>
      </c>
      <c r="BF553" s="148" t="str">
        <f t="shared" si="394"/>
        <v>11/22/2017 16:20-&gt;JR A M - USA 2</v>
      </c>
      <c r="BG553" s="148" t="str">
        <f t="shared" si="395"/>
        <v>11/22/2017 16:20-&gt;JR A M - VEN 2</v>
      </c>
      <c r="BH553" s="148" t="str">
        <f t="shared" si="396"/>
        <v>11/22/2017 16:20-&gt;Hillel - Gym Volleyball</v>
      </c>
      <c r="BI553" s="148" t="str">
        <f t="shared" si="397"/>
        <v>Volleyball in Hillel - Gym Volleyball (USA2-VEN2)</v>
      </c>
      <c r="BJ553" s="148" t="str">
        <f t="shared" si="398"/>
        <v>Junior A Male Volleyball-- JR A M - USA 2 vs. JR A M - VEN 2</v>
      </c>
      <c r="BK553" s="148" t="str">
        <f t="shared" si="399"/>
        <v>Volleyball</v>
      </c>
      <c r="BL553" s="148" t="str">
        <f t="shared" si="400"/>
        <v>JR A M - USA 2</v>
      </c>
      <c r="BM553" s="148" t="str">
        <f t="shared" si="401"/>
        <v>JR A M - VEN 2</v>
      </c>
      <c r="BN553" s="148" t="str">
        <f t="shared" si="402"/>
        <v>Round - 1</v>
      </c>
      <c r="BP553" s="148" t="str">
        <f t="shared" si="403"/>
        <v>no t, f, or sf</v>
      </c>
      <c r="BQ553" s="148" t="str">
        <f t="shared" si="404"/>
        <v/>
      </c>
    </row>
    <row r="554" spans="1:69" ht="15" customHeight="1" x14ac:dyDescent="0.2">
      <c r="A554" s="376">
        <v>552</v>
      </c>
      <c r="B554" s="444" t="s">
        <v>74</v>
      </c>
      <c r="C554" s="444" t="s">
        <v>518</v>
      </c>
      <c r="D554" s="451">
        <v>1</v>
      </c>
      <c r="E554" s="451">
        <v>1</v>
      </c>
      <c r="F554" s="315" t="s">
        <v>770</v>
      </c>
      <c r="G554" s="445">
        <v>43061</v>
      </c>
      <c r="H554" s="318">
        <v>0.75</v>
      </c>
      <c r="I554" s="325" t="s">
        <v>770</v>
      </c>
      <c r="J554" s="444" t="s">
        <v>708</v>
      </c>
      <c r="K554" s="444">
        <v>61</v>
      </c>
      <c r="L554" s="433" t="s">
        <v>638</v>
      </c>
      <c r="M554" s="433">
        <v>61</v>
      </c>
      <c r="N554" s="433" t="s">
        <v>644</v>
      </c>
      <c r="O554" s="153" t="str">
        <f>IF(L554&lt;&gt;"",IFERROR(VLOOKUP(B554&amp;L554,Pools!$A$2:$D$130,3,FALSE),""),"")</f>
        <v/>
      </c>
      <c r="P554" s="388">
        <v>0</v>
      </c>
      <c r="Q554" s="388">
        <v>2</v>
      </c>
      <c r="R554" s="306" t="str">
        <f t="shared" si="360"/>
        <v>0-2</v>
      </c>
      <c r="S554" s="153"/>
      <c r="T554" s="148" t="str">
        <f t="shared" si="361"/>
        <v>Completed</v>
      </c>
      <c r="U554" s="153"/>
      <c r="V554" s="153"/>
      <c r="W554" s="387">
        <f t="shared" si="362"/>
        <v>-2</v>
      </c>
      <c r="X554" s="387">
        <f t="shared" si="363"/>
        <v>2</v>
      </c>
      <c r="Y554" s="301">
        <f t="shared" si="364"/>
        <v>0</v>
      </c>
      <c r="Z554" s="301">
        <f t="shared" si="365"/>
        <v>2</v>
      </c>
      <c r="AA554" s="323" t="str">
        <f>CONCATENATE("                x[team1,team2,sport,'",IF(OR(I554="x",I554=""),VLOOKUP('Schedule from TM'!J554,Tables!$P$3:$Q$33,2,FALSE),'Schedule from TM'!I554),",",J554,"','",IF(OR(F554="x",F554=""),VLOOKUP('Schedule from TM'!G554,Tables!$U$3:$V$14,2,FALSE),'Schedule from TM'!F554),",",TEXT(G554,"mm/dd/yyyy"),"','",TEXT(H554,"h:mm:ss AM/PM"),"'].ub=0.0      #",B554)</f>
        <v xml:space="preserve">                x[team1,team2,sport,'21,Hillel - Gym Volleyball','22,11/22/2017','6:00:00 PM'].ub=0.0      #Junior A Male Volleyball</v>
      </c>
      <c r="AB554" s="301" t="str">
        <f t="shared" si="366"/>
        <v>,,Junior A Male Volleyball,,1,JR A M - ARG 2</v>
      </c>
      <c r="AC554" s="153" t="str">
        <f t="shared" si="367"/>
        <v>Junior A Male VolleyballJR A M - ARG 2</v>
      </c>
      <c r="AD554" s="301" t="str">
        <f t="shared" si="368"/>
        <v>,,Junior A Male Volleyball,,1,JR A M - ISR 1</v>
      </c>
      <c r="AE554" s="153" t="str">
        <f t="shared" si="369"/>
        <v>Junior A Male VolleyballJR A M - ISR 1</v>
      </c>
      <c r="AF554" s="383">
        <f t="shared" si="370"/>
        <v>0</v>
      </c>
      <c r="AG554" s="383">
        <f t="shared" si="371"/>
        <v>1</v>
      </c>
      <c r="AH554" s="383">
        <f t="shared" si="372"/>
        <v>0</v>
      </c>
      <c r="AI554" s="383">
        <f t="shared" si="373"/>
        <v>1</v>
      </c>
      <c r="AJ554" s="383">
        <f t="shared" si="374"/>
        <v>0</v>
      </c>
      <c r="AK554" s="383">
        <f t="shared" si="375"/>
        <v>0</v>
      </c>
      <c r="AM554" s="148" t="str">
        <f t="shared" si="376"/>
        <v>Schedulled</v>
      </c>
      <c r="AN554" s="148" t="str">
        <f t="shared" si="377"/>
        <v/>
      </c>
      <c r="AO554" s="156">
        <f t="shared" si="378"/>
        <v>43061.75</v>
      </c>
      <c r="AP554" s="148" t="str">
        <f t="shared" si="379"/>
        <v>11/22/2017 18:00-&gt;Hillel - Gym Volleyball</v>
      </c>
      <c r="AQ554" s="374">
        <f t="shared" si="380"/>
        <v>1</v>
      </c>
      <c r="AR554" s="148" t="str">
        <f t="shared" si="381"/>
        <v>ARG2</v>
      </c>
      <c r="AS554" s="148" t="str">
        <f t="shared" si="382"/>
        <v>ISR1</v>
      </c>
      <c r="AT554" s="157" t="str">
        <f t="shared" si="383"/>
        <v>ARG2-ISR1</v>
      </c>
      <c r="AU554" s="157" t="str">
        <f t="shared" si="384"/>
        <v xml:space="preserve">ARG2-ISR1 </v>
      </c>
      <c r="AV554" s="157" t="str">
        <f t="shared" si="385"/>
        <v>JUNIORS A MALE</v>
      </c>
      <c r="AW554" s="157" t="str">
        <f t="shared" si="386"/>
        <v>Volleyball</v>
      </c>
      <c r="AX554" s="376">
        <f t="shared" si="387"/>
        <v>552</v>
      </c>
      <c r="AY554" s="148" t="str">
        <f t="shared" si="388"/>
        <v>JR A M - ARG 2-&gt;JR A M - ISR 1</v>
      </c>
      <c r="AZ554" s="148" t="str">
        <f t="shared" si="389"/>
        <v>11/22/2017 18:00-&gt;JR A M - ARG 2</v>
      </c>
      <c r="BA554" s="148" t="str">
        <f t="shared" si="390"/>
        <v>11/22/2017 18:00-&gt;JR A M - ISR 1</v>
      </c>
      <c r="BB554" s="374">
        <f t="shared" si="391"/>
        <v>1</v>
      </c>
      <c r="BC554" s="374">
        <f t="shared" si="392"/>
        <v>1</v>
      </c>
      <c r="BD554" s="148" t="str">
        <f t="shared" si="393"/>
        <v>no conflict</v>
      </c>
      <c r="BF554" s="148" t="str">
        <f t="shared" si="394"/>
        <v>11/22/2017 18:00-&gt;JR A M - ARG 2</v>
      </c>
      <c r="BG554" s="148" t="str">
        <f t="shared" si="395"/>
        <v>11/22/2017 18:00-&gt;JR A M - ISR 1</v>
      </c>
      <c r="BH554" s="148" t="str">
        <f t="shared" si="396"/>
        <v>11/22/2017 18:00-&gt;Hillel - Gym Volleyball</v>
      </c>
      <c r="BI554" s="148" t="str">
        <f t="shared" si="397"/>
        <v>Volleyball in Hillel - Gym Volleyball (ARG2-ISR1)</v>
      </c>
      <c r="BJ554" s="148" t="str">
        <f t="shared" si="398"/>
        <v>Junior A Male Volleyball-- JR A M - ARG 2 vs. JR A M - ISR 1</v>
      </c>
      <c r="BK554" s="148" t="str">
        <f t="shared" si="399"/>
        <v>Volleyball</v>
      </c>
      <c r="BL554" s="148" t="str">
        <f t="shared" si="400"/>
        <v>JR A M - ARG 2</v>
      </c>
      <c r="BM554" s="148" t="str">
        <f t="shared" si="401"/>
        <v>JR A M - ISR 1</v>
      </c>
      <c r="BN554" s="148" t="str">
        <f t="shared" si="402"/>
        <v>Round - 1</v>
      </c>
      <c r="BP554" s="148" t="str">
        <f t="shared" si="403"/>
        <v>no t, f, or sf</v>
      </c>
      <c r="BQ554" s="148" t="str">
        <f t="shared" si="404"/>
        <v/>
      </c>
    </row>
    <row r="555" spans="1:69" ht="15" customHeight="1" x14ac:dyDescent="0.2">
      <c r="A555" s="376">
        <v>553</v>
      </c>
      <c r="B555" s="444" t="s">
        <v>74</v>
      </c>
      <c r="C555" s="444" t="s">
        <v>518</v>
      </c>
      <c r="D555" s="451">
        <v>1</v>
      </c>
      <c r="E555" s="451">
        <v>1</v>
      </c>
      <c r="F555" s="315" t="s">
        <v>770</v>
      </c>
      <c r="G555" s="445">
        <v>43061</v>
      </c>
      <c r="H555" s="317">
        <v>0.78472222222222221</v>
      </c>
      <c r="I555" s="325" t="s">
        <v>770</v>
      </c>
      <c r="J555" s="444" t="s">
        <v>708</v>
      </c>
      <c r="K555" s="444">
        <v>61</v>
      </c>
      <c r="L555" s="433" t="s">
        <v>639</v>
      </c>
      <c r="M555" s="433">
        <v>61</v>
      </c>
      <c r="N555" s="433" t="s">
        <v>638</v>
      </c>
      <c r="O555" s="153" t="str">
        <f>IF(L555&lt;&gt;"",IFERROR(VLOOKUP(B555&amp;L555,Pools!$A$2:$D$130,3,FALSE),""),"")</f>
        <v/>
      </c>
      <c r="P555" s="388">
        <v>2</v>
      </c>
      <c r="Q555" s="388">
        <v>0</v>
      </c>
      <c r="R555" s="306" t="str">
        <f t="shared" si="360"/>
        <v>2-0</v>
      </c>
      <c r="S555" s="153"/>
      <c r="T555" s="148" t="str">
        <f t="shared" si="361"/>
        <v>Completed</v>
      </c>
      <c r="U555" s="153"/>
      <c r="V555" s="153"/>
      <c r="W555" s="387">
        <f t="shared" si="362"/>
        <v>2</v>
      </c>
      <c r="X555" s="387">
        <f t="shared" si="363"/>
        <v>-2</v>
      </c>
      <c r="Y555" s="301">
        <f t="shared" si="364"/>
        <v>2</v>
      </c>
      <c r="Z555" s="301">
        <f t="shared" si="365"/>
        <v>0</v>
      </c>
      <c r="AA555" s="323" t="str">
        <f>CONCATENATE("                x[team1,team2,sport,'",IF(OR(I555="x",I555=""),VLOOKUP('Schedule from TM'!J555,Tables!$P$3:$Q$33,2,FALSE),'Schedule from TM'!I555),",",J555,"','",IF(OR(F555="x",F555=""),VLOOKUP('Schedule from TM'!G555,Tables!$U$3:$V$14,2,FALSE),'Schedule from TM'!F555),",",TEXT(G555,"mm/dd/yyyy"),"','",TEXT(H555,"h:mm:ss AM/PM"),"'].ub=0.0      #",B555)</f>
        <v xml:space="preserve">                x[team1,team2,sport,'21,Hillel - Gym Volleyball','22,11/22/2017','6:50:00 PM'].ub=0.0      #Junior A Male Volleyball</v>
      </c>
      <c r="AB555" s="301" t="str">
        <f t="shared" si="366"/>
        <v>,,Junior A Male Volleyball,,1,JR A M - COL 1</v>
      </c>
      <c r="AC555" s="153" t="str">
        <f t="shared" si="367"/>
        <v>Junior A Male VolleyballJR A M - COL 1</v>
      </c>
      <c r="AD555" s="301" t="str">
        <f t="shared" si="368"/>
        <v>,,Junior A Male Volleyball,,1,JR A M - ARG 2</v>
      </c>
      <c r="AE555" s="153" t="str">
        <f t="shared" si="369"/>
        <v>Junior A Male VolleyballJR A M - ARG 2</v>
      </c>
      <c r="AF555" s="383">
        <f t="shared" si="370"/>
        <v>1</v>
      </c>
      <c r="AG555" s="383">
        <f t="shared" si="371"/>
        <v>0</v>
      </c>
      <c r="AH555" s="383">
        <f t="shared" si="372"/>
        <v>0</v>
      </c>
      <c r="AI555" s="383">
        <f t="shared" si="373"/>
        <v>0</v>
      </c>
      <c r="AJ555" s="383">
        <f t="shared" si="374"/>
        <v>1</v>
      </c>
      <c r="AK555" s="383">
        <f t="shared" si="375"/>
        <v>0</v>
      </c>
      <c r="AM555" s="148" t="str">
        <f t="shared" si="376"/>
        <v>Schedulled</v>
      </c>
      <c r="AN555" s="148" t="str">
        <f t="shared" si="377"/>
        <v/>
      </c>
      <c r="AO555" s="156">
        <f t="shared" si="378"/>
        <v>43061.784722222219</v>
      </c>
      <c r="AP555" s="148" t="str">
        <f t="shared" si="379"/>
        <v>11/22/2017 18:50-&gt;Hillel - Gym Volleyball</v>
      </c>
      <c r="AQ555" s="374">
        <f t="shared" si="380"/>
        <v>1</v>
      </c>
      <c r="AR555" s="148" t="str">
        <f t="shared" si="381"/>
        <v>COL1</v>
      </c>
      <c r="AS555" s="148" t="str">
        <f t="shared" si="382"/>
        <v>ARG2</v>
      </c>
      <c r="AT555" s="157" t="str">
        <f t="shared" si="383"/>
        <v>COL1-ARG2</v>
      </c>
      <c r="AU555" s="157" t="str">
        <f t="shared" si="384"/>
        <v xml:space="preserve">COL1-ARG2 </v>
      </c>
      <c r="AV555" s="157" t="str">
        <f t="shared" si="385"/>
        <v>JUNIORS A MALE</v>
      </c>
      <c r="AW555" s="157" t="str">
        <f t="shared" si="386"/>
        <v>Volleyball</v>
      </c>
      <c r="AX555" s="376">
        <f t="shared" si="387"/>
        <v>553</v>
      </c>
      <c r="AY555" s="148" t="str">
        <f t="shared" si="388"/>
        <v>JR A M - COL 1-&gt;JR A M - ARG 2</v>
      </c>
      <c r="AZ555" s="148" t="str">
        <f t="shared" si="389"/>
        <v>11/22/2017 18:50-&gt;JR A M - COL 1</v>
      </c>
      <c r="BA555" s="148" t="str">
        <f t="shared" si="390"/>
        <v>11/22/2017 18:50-&gt;JR A M - ARG 2</v>
      </c>
      <c r="BB555" s="374">
        <f t="shared" si="391"/>
        <v>1</v>
      </c>
      <c r="BC555" s="374">
        <f t="shared" si="392"/>
        <v>1</v>
      </c>
      <c r="BD555" s="148" t="str">
        <f t="shared" si="393"/>
        <v>no conflict</v>
      </c>
      <c r="BF555" s="148" t="str">
        <f t="shared" si="394"/>
        <v>11/22/2017 18:50-&gt;JR A M - COL 1</v>
      </c>
      <c r="BG555" s="148" t="str">
        <f t="shared" si="395"/>
        <v>11/22/2017 18:50-&gt;JR A M - ARG 2</v>
      </c>
      <c r="BH555" s="148" t="str">
        <f t="shared" si="396"/>
        <v>11/22/2017 18:50-&gt;Hillel - Gym Volleyball</v>
      </c>
      <c r="BI555" s="148" t="str">
        <f t="shared" si="397"/>
        <v>Volleyball in Hillel - Gym Volleyball (COL1-ARG2)</v>
      </c>
      <c r="BJ555" s="148" t="str">
        <f t="shared" si="398"/>
        <v>Junior A Male Volleyball-- JR A M - COL 1 vs. JR A M - ARG 2</v>
      </c>
      <c r="BK555" s="148" t="str">
        <f t="shared" si="399"/>
        <v>Volleyball</v>
      </c>
      <c r="BL555" s="148" t="str">
        <f t="shared" si="400"/>
        <v>JR A M - COL 1</v>
      </c>
      <c r="BM555" s="148" t="str">
        <f t="shared" si="401"/>
        <v>JR A M - ARG 2</v>
      </c>
      <c r="BN555" s="148" t="str">
        <f t="shared" si="402"/>
        <v>Round - 1</v>
      </c>
      <c r="BP555" s="148" t="str">
        <f t="shared" si="403"/>
        <v>no t, f, or sf</v>
      </c>
      <c r="BQ555" s="148" t="str">
        <f t="shared" si="404"/>
        <v/>
      </c>
    </row>
    <row r="556" spans="1:69" ht="15" customHeight="1" x14ac:dyDescent="0.2">
      <c r="A556" s="376">
        <v>554</v>
      </c>
      <c r="B556" s="444" t="s">
        <v>74</v>
      </c>
      <c r="C556" s="444" t="s">
        <v>518</v>
      </c>
      <c r="D556" s="451">
        <v>1</v>
      </c>
      <c r="E556" s="451">
        <v>1</v>
      </c>
      <c r="F556" s="315" t="s">
        <v>770</v>
      </c>
      <c r="G556" s="445">
        <v>43061</v>
      </c>
      <c r="H556" s="318">
        <v>0.81944444444444453</v>
      </c>
      <c r="I556" s="325" t="s">
        <v>770</v>
      </c>
      <c r="J556" s="444" t="s">
        <v>697</v>
      </c>
      <c r="K556" s="444">
        <v>61</v>
      </c>
      <c r="L556" s="433" t="s">
        <v>719</v>
      </c>
      <c r="M556" s="433">
        <v>61</v>
      </c>
      <c r="N556" s="433" t="s">
        <v>643</v>
      </c>
      <c r="O556" s="153" t="str">
        <f>IF(L556&lt;&gt;"",IFERROR(VLOOKUP(B556&amp;L556,Pools!$A$2:$D$130,3,FALSE),""),"")</f>
        <v/>
      </c>
      <c r="P556" s="388">
        <v>2</v>
      </c>
      <c r="Q556" s="388">
        <v>0</v>
      </c>
      <c r="R556" s="306" t="str">
        <f t="shared" si="360"/>
        <v>2-0</v>
      </c>
      <c r="S556" s="153"/>
      <c r="T556" s="148" t="str">
        <f t="shared" si="361"/>
        <v>Completed</v>
      </c>
      <c r="U556" s="153"/>
      <c r="V556" s="153"/>
      <c r="W556" s="387">
        <f t="shared" si="362"/>
        <v>2</v>
      </c>
      <c r="X556" s="387">
        <f t="shared" si="363"/>
        <v>-2</v>
      </c>
      <c r="Y556" s="301">
        <f t="shared" si="364"/>
        <v>2</v>
      </c>
      <c r="Z556" s="301">
        <f t="shared" si="365"/>
        <v>0</v>
      </c>
      <c r="AA556" s="323" t="str">
        <f>CONCATENATE("                x[team1,team2,sport,'",IF(OR(I556="x",I556=""),VLOOKUP('Schedule from TM'!J556,Tables!$P$3:$Q$33,2,FALSE),'Schedule from TM'!I556),",",J556,"','",IF(OR(F556="x",F556=""),VLOOKUP('Schedule from TM'!G556,Tables!$U$3:$V$14,2,FALSE),'Schedule from TM'!F556),",",TEXT(G556,"mm/dd/yyyy"),"','",TEXT(H556,"h:mm:ss AM/PM"),"'].ub=0.0      #",B556)</f>
        <v xml:space="preserve">                x[team1,team2,sport,'11,JCC Gym South','22,11/22/2017','7:40:00 PM'].ub=0.0      #Junior A Male Volleyball</v>
      </c>
      <c r="AB556" s="301" t="str">
        <f t="shared" si="366"/>
        <v>,,Junior A Male Volleyball,,1,JR A M - MEX 1</v>
      </c>
      <c r="AC556" s="153" t="str">
        <f t="shared" si="367"/>
        <v>Junior A Male VolleyballJR A M - MEX 1</v>
      </c>
      <c r="AD556" s="301" t="str">
        <f t="shared" si="368"/>
        <v>,,Junior A Male Volleyball,,1,JR A M - USA 2</v>
      </c>
      <c r="AE556" s="153" t="str">
        <f t="shared" si="369"/>
        <v>Junior A Male VolleyballJR A M - USA 2</v>
      </c>
      <c r="AF556" s="383">
        <f t="shared" si="370"/>
        <v>1</v>
      </c>
      <c r="AG556" s="383">
        <f t="shared" si="371"/>
        <v>0</v>
      </c>
      <c r="AH556" s="383">
        <f t="shared" si="372"/>
        <v>0</v>
      </c>
      <c r="AI556" s="383">
        <f t="shared" si="373"/>
        <v>0</v>
      </c>
      <c r="AJ556" s="383">
        <f t="shared" si="374"/>
        <v>1</v>
      </c>
      <c r="AK556" s="383">
        <f t="shared" si="375"/>
        <v>0</v>
      </c>
      <c r="AM556" s="148" t="str">
        <f t="shared" si="376"/>
        <v>Schedulled</v>
      </c>
      <c r="AN556" s="148" t="str">
        <f t="shared" si="377"/>
        <v/>
      </c>
      <c r="AO556" s="156">
        <f t="shared" si="378"/>
        <v>43061.819444444445</v>
      </c>
      <c r="AP556" s="148" t="str">
        <f t="shared" si="379"/>
        <v>11/22/2017 19:40-&gt;JCC Gym South</v>
      </c>
      <c r="AQ556" s="374">
        <f t="shared" si="380"/>
        <v>1</v>
      </c>
      <c r="AR556" s="148" t="str">
        <f t="shared" si="381"/>
        <v>MEX1</v>
      </c>
      <c r="AS556" s="148" t="str">
        <f t="shared" si="382"/>
        <v>USA2</v>
      </c>
      <c r="AT556" s="157" t="str">
        <f t="shared" si="383"/>
        <v>MEX1-USA2</v>
      </c>
      <c r="AU556" s="157" t="str">
        <f t="shared" si="384"/>
        <v xml:space="preserve">MEX1-USA2 </v>
      </c>
      <c r="AV556" s="157" t="str">
        <f t="shared" si="385"/>
        <v>JUNIORS A MALE</v>
      </c>
      <c r="AW556" s="157" t="str">
        <f t="shared" si="386"/>
        <v>Volleyball</v>
      </c>
      <c r="AX556" s="376">
        <f t="shared" si="387"/>
        <v>554</v>
      </c>
      <c r="AY556" s="148" t="str">
        <f t="shared" si="388"/>
        <v>JR A M - MEX 1-&gt;JR A M - USA 2</v>
      </c>
      <c r="AZ556" s="148" t="str">
        <f t="shared" si="389"/>
        <v>11/22/2017 19:40-&gt;JR A M - MEX 1</v>
      </c>
      <c r="BA556" s="148" t="str">
        <f t="shared" si="390"/>
        <v>11/22/2017 19:40-&gt;JR A M - USA 2</v>
      </c>
      <c r="BB556" s="374">
        <f t="shared" si="391"/>
        <v>1</v>
      </c>
      <c r="BC556" s="374">
        <f t="shared" si="392"/>
        <v>1</v>
      </c>
      <c r="BD556" s="148" t="str">
        <f t="shared" si="393"/>
        <v>no conflict</v>
      </c>
      <c r="BF556" s="148" t="str">
        <f t="shared" si="394"/>
        <v>11/22/2017 19:40-&gt;JR A M - MEX 1</v>
      </c>
      <c r="BG556" s="148" t="str">
        <f t="shared" si="395"/>
        <v>11/22/2017 19:40-&gt;JR A M - USA 2</v>
      </c>
      <c r="BH556" s="148" t="str">
        <f t="shared" si="396"/>
        <v>11/22/2017 19:40-&gt;JCC Gym South</v>
      </c>
      <c r="BI556" s="148" t="str">
        <f t="shared" si="397"/>
        <v>Volleyball in JCC Gym South (MEX1-USA2)</v>
      </c>
      <c r="BJ556" s="148" t="str">
        <f t="shared" si="398"/>
        <v>Junior A Male Volleyball-- JR A M - MEX 1 vs. JR A M - USA 2</v>
      </c>
      <c r="BK556" s="148" t="str">
        <f t="shared" si="399"/>
        <v>Volleyball</v>
      </c>
      <c r="BL556" s="148" t="str">
        <f t="shared" si="400"/>
        <v>JR A M - MEX 1</v>
      </c>
      <c r="BM556" s="148" t="str">
        <f t="shared" si="401"/>
        <v>JR A M - USA 2</v>
      </c>
      <c r="BN556" s="148" t="str">
        <f t="shared" si="402"/>
        <v>Round - 1</v>
      </c>
      <c r="BP556" s="148" t="str">
        <f t="shared" si="403"/>
        <v>no t, f, or sf</v>
      </c>
      <c r="BQ556" s="148" t="str">
        <f t="shared" si="404"/>
        <v/>
      </c>
    </row>
    <row r="557" spans="1:69" ht="15" customHeight="1" x14ac:dyDescent="0.2">
      <c r="A557" s="376">
        <v>555</v>
      </c>
      <c r="B557" s="444" t="s">
        <v>74</v>
      </c>
      <c r="C557" s="444" t="s">
        <v>518</v>
      </c>
      <c r="D557" s="451">
        <v>1</v>
      </c>
      <c r="E557" s="451">
        <v>1</v>
      </c>
      <c r="F557" s="315" t="s">
        <v>770</v>
      </c>
      <c r="G557" s="445">
        <v>43063</v>
      </c>
      <c r="H557" s="454">
        <v>0.4375</v>
      </c>
      <c r="I557" s="325" t="s">
        <v>770</v>
      </c>
      <c r="J557" s="444" t="s">
        <v>708</v>
      </c>
      <c r="K557" s="444">
        <v>61</v>
      </c>
      <c r="L557" s="444" t="s">
        <v>644</v>
      </c>
      <c r="M557" s="444">
        <v>61</v>
      </c>
      <c r="N557" s="444" t="s">
        <v>645</v>
      </c>
      <c r="O557" s="153" t="str">
        <f>IF(L557&lt;&gt;"",IFERROR(VLOOKUP(B557&amp;L557,Pools!$A$2:$D$130,3,FALSE),""),"")</f>
        <v/>
      </c>
      <c r="P557" s="388">
        <v>2</v>
      </c>
      <c r="Q557" s="388">
        <v>0</v>
      </c>
      <c r="R557" s="306" t="str">
        <f t="shared" si="360"/>
        <v>2-0</v>
      </c>
      <c r="S557" s="153"/>
      <c r="T557" s="148" t="str">
        <f t="shared" si="361"/>
        <v>Completed</v>
      </c>
      <c r="U557" s="153"/>
      <c r="V557" s="153"/>
      <c r="W557" s="387">
        <f t="shared" si="362"/>
        <v>2</v>
      </c>
      <c r="X557" s="387">
        <f t="shared" si="363"/>
        <v>-2</v>
      </c>
      <c r="Y557" s="301">
        <f t="shared" si="364"/>
        <v>2</v>
      </c>
      <c r="Z557" s="301">
        <f t="shared" si="365"/>
        <v>0</v>
      </c>
      <c r="AA557" s="323" t="str">
        <f>CONCATENATE("                x[team1,team2,sport,'",IF(OR(I557="x",I557=""),VLOOKUP('Schedule from TM'!J557,Tables!$P$3:$Q$33,2,FALSE),'Schedule from TM'!I557),",",J557,"','",IF(OR(F557="x",F557=""),VLOOKUP('Schedule from TM'!G557,Tables!$U$3:$V$14,2,FALSE),'Schedule from TM'!F557),",",TEXT(G557,"mm/dd/yyyy"),"','",TEXT(H557,"h:mm:ss AM/PM"),"'].ub=0.0      #",B557)</f>
        <v xml:space="preserve">                x[team1,team2,sport,'21,Hillel - Gym Volleyball','11,11/24/2017','10:30:00 AM'].ub=0.0      #Junior A Male Volleyball</v>
      </c>
      <c r="AB557" s="301" t="str">
        <f t="shared" si="366"/>
        <v>,,Junior A Male Volleyball,,1,JR A M - ISR 1</v>
      </c>
      <c r="AC557" s="153" t="str">
        <f t="shared" si="367"/>
        <v>Junior A Male VolleyballJR A M - ISR 1</v>
      </c>
      <c r="AD557" s="301" t="str">
        <f t="shared" si="368"/>
        <v>,,Junior A Male Volleyball,,1,JR A M - VEN 1</v>
      </c>
      <c r="AE557" s="153" t="str">
        <f t="shared" si="369"/>
        <v>Junior A Male VolleyballJR A M - VEN 1</v>
      </c>
      <c r="AF557" s="383">
        <f t="shared" si="370"/>
        <v>1</v>
      </c>
      <c r="AG557" s="383">
        <f t="shared" si="371"/>
        <v>0</v>
      </c>
      <c r="AH557" s="383">
        <f t="shared" si="372"/>
        <v>0</v>
      </c>
      <c r="AI557" s="383">
        <f t="shared" si="373"/>
        <v>0</v>
      </c>
      <c r="AJ557" s="383">
        <f t="shared" si="374"/>
        <v>1</v>
      </c>
      <c r="AK557" s="383">
        <f t="shared" si="375"/>
        <v>0</v>
      </c>
      <c r="AM557" s="148" t="str">
        <f t="shared" si="376"/>
        <v>Schedulled</v>
      </c>
      <c r="AN557" s="148" t="str">
        <f t="shared" si="377"/>
        <v/>
      </c>
      <c r="AO557" s="156">
        <f t="shared" si="378"/>
        <v>43063.4375</v>
      </c>
      <c r="AP557" s="148" t="str">
        <f t="shared" si="379"/>
        <v>11/24/2017 10:30-&gt;Hillel - Gym Volleyball</v>
      </c>
      <c r="AQ557" s="374">
        <f t="shared" si="380"/>
        <v>1</v>
      </c>
      <c r="AR557" s="148" t="str">
        <f t="shared" si="381"/>
        <v>ISR1</v>
      </c>
      <c r="AS557" s="148" t="str">
        <f t="shared" si="382"/>
        <v>VEN1</v>
      </c>
      <c r="AT557" s="157" t="str">
        <f t="shared" si="383"/>
        <v>ISR1-VEN1</v>
      </c>
      <c r="AU557" s="157" t="str">
        <f t="shared" si="384"/>
        <v xml:space="preserve">ISR1-VEN1 </v>
      </c>
      <c r="AV557" s="157" t="str">
        <f t="shared" si="385"/>
        <v>JUNIORS A MALE</v>
      </c>
      <c r="AW557" s="157" t="str">
        <f t="shared" si="386"/>
        <v>Volleyball</v>
      </c>
      <c r="AX557" s="376">
        <f t="shared" si="387"/>
        <v>555</v>
      </c>
      <c r="AY557" s="148" t="str">
        <f t="shared" si="388"/>
        <v>JR A M - ISR 1-&gt;JR A M - VEN 1</v>
      </c>
      <c r="AZ557" s="148" t="str">
        <f t="shared" si="389"/>
        <v>11/24/2017 10:30-&gt;JR A M - ISR 1</v>
      </c>
      <c r="BA557" s="148" t="str">
        <f t="shared" si="390"/>
        <v>11/24/2017 10:30-&gt;JR A M - VEN 1</v>
      </c>
      <c r="BB557" s="374">
        <f t="shared" si="391"/>
        <v>1</v>
      </c>
      <c r="BC557" s="374">
        <f t="shared" si="392"/>
        <v>1</v>
      </c>
      <c r="BD557" s="148" t="str">
        <f t="shared" si="393"/>
        <v>no conflict</v>
      </c>
      <c r="BF557" s="148" t="str">
        <f t="shared" si="394"/>
        <v>11/24/2017 10:30-&gt;JR A M - ISR 1</v>
      </c>
      <c r="BG557" s="148" t="str">
        <f t="shared" si="395"/>
        <v>11/24/2017 10:30-&gt;JR A M - VEN 1</v>
      </c>
      <c r="BH557" s="148" t="str">
        <f t="shared" si="396"/>
        <v>11/24/2017 10:30-&gt;Hillel - Gym Volleyball</v>
      </c>
      <c r="BI557" s="148" t="str">
        <f t="shared" si="397"/>
        <v>Volleyball in Hillel - Gym Volleyball (ISR1-VEN1)</v>
      </c>
      <c r="BJ557" s="148" t="str">
        <f t="shared" si="398"/>
        <v>Junior A Male Volleyball-- JR A M - ISR 1 vs. JR A M - VEN 1</v>
      </c>
      <c r="BK557" s="148" t="str">
        <f t="shared" si="399"/>
        <v>Volleyball</v>
      </c>
      <c r="BL557" s="148" t="str">
        <f t="shared" si="400"/>
        <v>JR A M - ISR 1</v>
      </c>
      <c r="BM557" s="148" t="str">
        <f t="shared" si="401"/>
        <v>JR A M - VEN 1</v>
      </c>
      <c r="BN557" s="148" t="str">
        <f t="shared" si="402"/>
        <v>Round - 1</v>
      </c>
      <c r="BP557" s="148" t="str">
        <f t="shared" si="403"/>
        <v>no t, f, or sf</v>
      </c>
      <c r="BQ557" s="148" t="str">
        <f t="shared" si="404"/>
        <v/>
      </c>
    </row>
    <row r="558" spans="1:69" ht="15" customHeight="1" x14ac:dyDescent="0.2">
      <c r="A558" s="376">
        <v>556</v>
      </c>
      <c r="B558" s="443" t="s">
        <v>74</v>
      </c>
      <c r="C558" s="315" t="s">
        <v>518</v>
      </c>
      <c r="D558" s="378">
        <v>1</v>
      </c>
      <c r="E558" s="378">
        <v>1</v>
      </c>
      <c r="F558" s="315" t="s">
        <v>770</v>
      </c>
      <c r="G558" s="316">
        <v>43063</v>
      </c>
      <c r="H558" s="454">
        <v>0.50694444444444442</v>
      </c>
      <c r="I558" s="325" t="s">
        <v>770</v>
      </c>
      <c r="J558" s="315" t="s">
        <v>708</v>
      </c>
      <c r="K558" s="315">
        <v>61</v>
      </c>
      <c r="L558" s="433" t="s">
        <v>637</v>
      </c>
      <c r="M558" s="433">
        <v>61</v>
      </c>
      <c r="N558" s="433" t="s">
        <v>719</v>
      </c>
      <c r="O558" s="153" t="str">
        <f>IF(L558&lt;&gt;"",IFERROR(VLOOKUP(B558&amp;L558,Pools!$A$2:$D$130,3,FALSE),""),"")</f>
        <v/>
      </c>
      <c r="P558" s="388">
        <v>0</v>
      </c>
      <c r="Q558" s="388">
        <v>2</v>
      </c>
      <c r="R558" s="306" t="str">
        <f t="shared" si="360"/>
        <v>0-2</v>
      </c>
      <c r="S558" s="153"/>
      <c r="T558" s="148" t="str">
        <f t="shared" si="361"/>
        <v>Completed</v>
      </c>
      <c r="U558" s="153"/>
      <c r="V558" s="153"/>
      <c r="W558" s="387">
        <f t="shared" si="362"/>
        <v>-2</v>
      </c>
      <c r="X558" s="387">
        <f t="shared" si="363"/>
        <v>2</v>
      </c>
      <c r="Y558" s="301">
        <f t="shared" si="364"/>
        <v>0</v>
      </c>
      <c r="Z558" s="301">
        <f t="shared" si="365"/>
        <v>2</v>
      </c>
      <c r="AA558" s="323" t="str">
        <f>CONCATENATE("                x[team1,team2,sport,'",IF(OR(I558="x",I558=""),VLOOKUP('Schedule from TM'!J558,Tables!$P$3:$Q$33,2,FALSE),'Schedule from TM'!I558),",",J558,"','",IF(OR(F558="x",F558=""),VLOOKUP('Schedule from TM'!G558,Tables!$U$3:$V$14,2,FALSE),'Schedule from TM'!F558),",",TEXT(G558,"mm/dd/yyyy"),"','",TEXT(H558,"h:mm:ss AM/PM"),"'].ub=0.0      #",B558)</f>
        <v xml:space="preserve">                x[team1,team2,sport,'21,Hillel - Gym Volleyball','11,11/24/2017','12:10:00 PM'].ub=0.0      #Junior A Male Volleyball</v>
      </c>
      <c r="AB558" s="301" t="str">
        <f t="shared" si="366"/>
        <v>,,Junior A Male Volleyball,,1,JR A M - ARG 1</v>
      </c>
      <c r="AC558" s="153" t="str">
        <f t="shared" si="367"/>
        <v>Junior A Male VolleyballJR A M - ARG 1</v>
      </c>
      <c r="AD558" s="301" t="str">
        <f t="shared" si="368"/>
        <v>,,Junior A Male Volleyball,,1,JR A M - MEX 1</v>
      </c>
      <c r="AE558" s="153" t="str">
        <f t="shared" si="369"/>
        <v>Junior A Male VolleyballJR A M - MEX 1</v>
      </c>
      <c r="AF558" s="383">
        <f t="shared" si="370"/>
        <v>0</v>
      </c>
      <c r="AG558" s="383">
        <f t="shared" si="371"/>
        <v>1</v>
      </c>
      <c r="AH558" s="383">
        <f t="shared" si="372"/>
        <v>0</v>
      </c>
      <c r="AI558" s="383">
        <f t="shared" si="373"/>
        <v>1</v>
      </c>
      <c r="AJ558" s="383">
        <f t="shared" si="374"/>
        <v>0</v>
      </c>
      <c r="AK558" s="383">
        <f t="shared" si="375"/>
        <v>0</v>
      </c>
      <c r="AM558" s="148" t="str">
        <f t="shared" si="376"/>
        <v>Schedulled</v>
      </c>
      <c r="AN558" s="148" t="str">
        <f t="shared" si="377"/>
        <v/>
      </c>
      <c r="AO558" s="156">
        <f t="shared" si="378"/>
        <v>43063.506944444445</v>
      </c>
      <c r="AP558" s="148" t="str">
        <f t="shared" si="379"/>
        <v>11/24/2017 12:10-&gt;Hillel - Gym Volleyball</v>
      </c>
      <c r="AQ558" s="374">
        <f t="shared" si="380"/>
        <v>1</v>
      </c>
      <c r="AR558" s="148" t="str">
        <f t="shared" si="381"/>
        <v>ARG1</v>
      </c>
      <c r="AS558" s="148" t="str">
        <f t="shared" si="382"/>
        <v>MEX1</v>
      </c>
      <c r="AT558" s="157" t="str">
        <f t="shared" si="383"/>
        <v>ARG1-MEX1</v>
      </c>
      <c r="AU558" s="157" t="str">
        <f t="shared" si="384"/>
        <v xml:space="preserve">ARG1-MEX1 </v>
      </c>
      <c r="AV558" s="157" t="str">
        <f t="shared" si="385"/>
        <v>JUNIORS A MALE</v>
      </c>
      <c r="AW558" s="157" t="str">
        <f t="shared" si="386"/>
        <v>Volleyball</v>
      </c>
      <c r="AX558" s="376">
        <f t="shared" si="387"/>
        <v>556</v>
      </c>
      <c r="AY558" s="148" t="str">
        <f t="shared" si="388"/>
        <v>JR A M - ARG 1-&gt;JR A M - MEX 1</v>
      </c>
      <c r="AZ558" s="148" t="str">
        <f t="shared" si="389"/>
        <v>11/24/2017 12:10-&gt;JR A M - ARG 1</v>
      </c>
      <c r="BA558" s="148" t="str">
        <f t="shared" si="390"/>
        <v>11/24/2017 12:10-&gt;JR A M - MEX 1</v>
      </c>
      <c r="BB558" s="374">
        <f t="shared" si="391"/>
        <v>1</v>
      </c>
      <c r="BC558" s="374">
        <f t="shared" si="392"/>
        <v>1</v>
      </c>
      <c r="BD558" s="148" t="str">
        <f t="shared" si="393"/>
        <v>no conflict</v>
      </c>
      <c r="BF558" s="148" t="str">
        <f t="shared" si="394"/>
        <v>11/24/2017 12:10-&gt;JR A M - ARG 1</v>
      </c>
      <c r="BG558" s="148" t="str">
        <f t="shared" si="395"/>
        <v>11/24/2017 12:10-&gt;JR A M - MEX 1</v>
      </c>
      <c r="BH558" s="148" t="str">
        <f t="shared" si="396"/>
        <v>11/24/2017 12:10-&gt;Hillel - Gym Volleyball</v>
      </c>
      <c r="BI558" s="148" t="str">
        <f t="shared" si="397"/>
        <v>Volleyball in Hillel - Gym Volleyball (ARG1-MEX1)</v>
      </c>
      <c r="BJ558" s="148" t="str">
        <f t="shared" si="398"/>
        <v>Junior A Male Volleyball-- JR A M - ARG 1 vs. JR A M - MEX 1</v>
      </c>
      <c r="BK558" s="148" t="str">
        <f t="shared" si="399"/>
        <v>Volleyball</v>
      </c>
      <c r="BL558" s="148" t="str">
        <f t="shared" si="400"/>
        <v>JR A M - ARG 1</v>
      </c>
      <c r="BM558" s="148" t="str">
        <f t="shared" si="401"/>
        <v>JR A M - MEX 1</v>
      </c>
      <c r="BN558" s="148" t="str">
        <f t="shared" si="402"/>
        <v>Round - 1</v>
      </c>
      <c r="BP558" s="148" t="str">
        <f t="shared" si="403"/>
        <v>no t, f, or sf</v>
      </c>
      <c r="BQ558" s="148" t="str">
        <f t="shared" si="404"/>
        <v/>
      </c>
    </row>
    <row r="559" spans="1:69" ht="15" customHeight="1" x14ac:dyDescent="0.2">
      <c r="A559" s="376">
        <v>557</v>
      </c>
      <c r="B559" s="441" t="s">
        <v>74</v>
      </c>
      <c r="C559" s="441" t="s">
        <v>518</v>
      </c>
      <c r="D559" s="450">
        <v>1</v>
      </c>
      <c r="E559" s="450">
        <v>1</v>
      </c>
      <c r="F559" s="315" t="s">
        <v>770</v>
      </c>
      <c r="G559" s="320">
        <v>43063</v>
      </c>
      <c r="H559" s="417">
        <v>0.57638888888888895</v>
      </c>
      <c r="I559" s="325" t="s">
        <v>770</v>
      </c>
      <c r="J559" s="315" t="s">
        <v>697</v>
      </c>
      <c r="K559" s="441">
        <v>61</v>
      </c>
      <c r="L559" s="441" t="s">
        <v>638</v>
      </c>
      <c r="M559" s="441">
        <v>61</v>
      </c>
      <c r="N559" s="441" t="s">
        <v>645</v>
      </c>
      <c r="O559" s="153" t="str">
        <f>IF(L559&lt;&gt;"",IFERROR(VLOOKUP(B559&amp;L559,Pools!$A$2:$D$130,3,FALSE),""),"")</f>
        <v/>
      </c>
      <c r="P559" s="388">
        <v>2</v>
      </c>
      <c r="Q559" s="388">
        <v>1</v>
      </c>
      <c r="R559" s="306" t="str">
        <f t="shared" si="360"/>
        <v>2-1</v>
      </c>
      <c r="S559" s="153"/>
      <c r="T559" s="148" t="str">
        <f t="shared" si="361"/>
        <v>Completed</v>
      </c>
      <c r="U559" s="153"/>
      <c r="V559" s="153"/>
      <c r="W559" s="387">
        <f t="shared" si="362"/>
        <v>1</v>
      </c>
      <c r="X559" s="387">
        <f t="shared" si="363"/>
        <v>-1</v>
      </c>
      <c r="Y559" s="301">
        <f t="shared" si="364"/>
        <v>2</v>
      </c>
      <c r="Z559" s="301">
        <f t="shared" si="365"/>
        <v>0</v>
      </c>
      <c r="AA559" s="323" t="str">
        <f>CONCATENATE("                x[team1,team2,sport,'",IF(OR(I559="x",I559=""),VLOOKUP('Schedule from TM'!J559,Tables!$P$3:$Q$33,2,FALSE),'Schedule from TM'!I559),",",J559,"','",IF(OR(F559="x",F559=""),VLOOKUP('Schedule from TM'!G559,Tables!$U$3:$V$14,2,FALSE),'Schedule from TM'!F559),",",TEXT(G559,"mm/dd/yyyy"),"','",TEXT(H559,"h:mm:ss AM/PM"),"'].ub=0.0      #",B559)</f>
        <v xml:space="preserve">                x[team1,team2,sport,'11,JCC Gym South','11,11/24/2017','1:50:00 PM'].ub=0.0      #Junior A Male Volleyball</v>
      </c>
      <c r="AB559" s="301" t="str">
        <f t="shared" si="366"/>
        <v>,,Junior A Male Volleyball,,1,JR A M - ARG 2</v>
      </c>
      <c r="AC559" s="153" t="str">
        <f t="shared" si="367"/>
        <v>Junior A Male VolleyballJR A M - ARG 2</v>
      </c>
      <c r="AD559" s="301" t="str">
        <f t="shared" si="368"/>
        <v>,,Junior A Male Volleyball,,1,JR A M - VEN 1</v>
      </c>
      <c r="AE559" s="153" t="str">
        <f t="shared" si="369"/>
        <v>Junior A Male VolleyballJR A M - VEN 1</v>
      </c>
      <c r="AF559" s="383">
        <f t="shared" si="370"/>
        <v>1</v>
      </c>
      <c r="AG559" s="383">
        <f t="shared" si="371"/>
        <v>0</v>
      </c>
      <c r="AH559" s="383">
        <f t="shared" si="372"/>
        <v>0</v>
      </c>
      <c r="AI559" s="383">
        <f t="shared" si="373"/>
        <v>0</v>
      </c>
      <c r="AJ559" s="383">
        <f t="shared" si="374"/>
        <v>1</v>
      </c>
      <c r="AK559" s="383">
        <f t="shared" si="375"/>
        <v>0</v>
      </c>
      <c r="AM559" s="148" t="str">
        <f t="shared" si="376"/>
        <v>Schedulled</v>
      </c>
      <c r="AN559" s="148" t="str">
        <f t="shared" si="377"/>
        <v/>
      </c>
      <c r="AO559" s="156">
        <f t="shared" si="378"/>
        <v>43063.576388888891</v>
      </c>
      <c r="AP559" s="148" t="str">
        <f t="shared" si="379"/>
        <v>11/24/2017 13:50-&gt;JCC Gym South</v>
      </c>
      <c r="AQ559" s="374">
        <f t="shared" si="380"/>
        <v>1</v>
      </c>
      <c r="AR559" s="148" t="str">
        <f t="shared" si="381"/>
        <v>ARG2</v>
      </c>
      <c r="AS559" s="148" t="str">
        <f t="shared" si="382"/>
        <v>VEN1</v>
      </c>
      <c r="AT559" s="157" t="str">
        <f t="shared" si="383"/>
        <v>ARG2-VEN1</v>
      </c>
      <c r="AU559" s="157" t="str">
        <f t="shared" si="384"/>
        <v xml:space="preserve">ARG2-VEN1 </v>
      </c>
      <c r="AV559" s="157" t="str">
        <f t="shared" si="385"/>
        <v>JUNIORS A MALE</v>
      </c>
      <c r="AW559" s="157" t="str">
        <f t="shared" si="386"/>
        <v>Volleyball</v>
      </c>
      <c r="AX559" s="376">
        <f t="shared" si="387"/>
        <v>557</v>
      </c>
      <c r="AY559" s="148" t="str">
        <f t="shared" si="388"/>
        <v>JR A M - ARG 2-&gt;JR A M - VEN 1</v>
      </c>
      <c r="AZ559" s="148" t="str">
        <f t="shared" si="389"/>
        <v>11/24/2017 13:50-&gt;JR A M - ARG 2</v>
      </c>
      <c r="BA559" s="148" t="str">
        <f t="shared" si="390"/>
        <v>11/24/2017 13:50-&gt;JR A M - VEN 1</v>
      </c>
      <c r="BB559" s="374">
        <f t="shared" si="391"/>
        <v>1</v>
      </c>
      <c r="BC559" s="374">
        <f t="shared" si="392"/>
        <v>1</v>
      </c>
      <c r="BD559" s="148" t="str">
        <f t="shared" si="393"/>
        <v>no conflict</v>
      </c>
      <c r="BF559" s="148" t="str">
        <f t="shared" si="394"/>
        <v>11/24/2017 13:50-&gt;JR A M - ARG 2</v>
      </c>
      <c r="BG559" s="148" t="str">
        <f t="shared" si="395"/>
        <v>11/24/2017 13:50-&gt;JR A M - VEN 1</v>
      </c>
      <c r="BH559" s="148" t="str">
        <f t="shared" si="396"/>
        <v>11/24/2017 13:50-&gt;JCC Gym South</v>
      </c>
      <c r="BI559" s="148" t="str">
        <f t="shared" si="397"/>
        <v>Volleyball in JCC Gym South (ARG2-VEN1)</v>
      </c>
      <c r="BJ559" s="148" t="str">
        <f t="shared" si="398"/>
        <v>Junior A Male Volleyball-- JR A M - ARG 2 vs. JR A M - VEN 1</v>
      </c>
      <c r="BK559" s="148" t="str">
        <f t="shared" si="399"/>
        <v>Volleyball</v>
      </c>
      <c r="BL559" s="148" t="str">
        <f t="shared" si="400"/>
        <v>JR A M - ARG 2</v>
      </c>
      <c r="BM559" s="148" t="str">
        <f t="shared" si="401"/>
        <v>JR A M - VEN 1</v>
      </c>
      <c r="BN559" s="148" t="str">
        <f t="shared" si="402"/>
        <v>Round - 1</v>
      </c>
      <c r="BP559" s="148" t="str">
        <f t="shared" si="403"/>
        <v>no t, f, or sf</v>
      </c>
      <c r="BQ559" s="148" t="str">
        <f t="shared" si="404"/>
        <v/>
      </c>
    </row>
    <row r="560" spans="1:69" ht="15" customHeight="1" x14ac:dyDescent="0.2">
      <c r="A560" s="376">
        <v>558</v>
      </c>
      <c r="B560" s="121" t="s">
        <v>76</v>
      </c>
      <c r="C560" s="121" t="s">
        <v>518</v>
      </c>
      <c r="D560" s="382">
        <v>1</v>
      </c>
      <c r="E560" s="382">
        <v>1</v>
      </c>
      <c r="F560" s="315" t="s">
        <v>770</v>
      </c>
      <c r="G560" s="206">
        <v>43058</v>
      </c>
      <c r="H560" s="318">
        <v>0.47222222222222227</v>
      </c>
      <c r="I560" s="325" t="s">
        <v>770</v>
      </c>
      <c r="J560" s="121" t="s">
        <v>707</v>
      </c>
      <c r="K560" s="121">
        <v>62</v>
      </c>
      <c r="L560" s="433" t="s">
        <v>648</v>
      </c>
      <c r="M560" s="433">
        <v>62</v>
      </c>
      <c r="N560" s="433" t="s">
        <v>651</v>
      </c>
      <c r="O560" s="153" t="str">
        <f>IF(L560&lt;&gt;"",IFERROR(VLOOKUP(B560&amp;L560,Pools!$A$2:$D$130,3,FALSE),""),"")</f>
        <v>Pool B</v>
      </c>
      <c r="P560" s="388">
        <v>16</v>
      </c>
      <c r="Q560" s="388">
        <v>29</v>
      </c>
      <c r="R560" s="306" t="str">
        <f t="shared" si="360"/>
        <v>16-29</v>
      </c>
      <c r="S560" s="153"/>
      <c r="T560" s="148" t="str">
        <f t="shared" si="361"/>
        <v>Completed</v>
      </c>
      <c r="U560" s="153"/>
      <c r="V560" s="153"/>
      <c r="W560" s="387">
        <f t="shared" si="362"/>
        <v>-13</v>
      </c>
      <c r="X560" s="387">
        <f t="shared" si="363"/>
        <v>13</v>
      </c>
      <c r="Y560" s="301">
        <f t="shared" si="364"/>
        <v>0</v>
      </c>
      <c r="Z560" s="301">
        <f t="shared" si="365"/>
        <v>2</v>
      </c>
      <c r="AA560" s="323" t="str">
        <f>CONCATENATE("                x[team1,team2,sport,'",IF(OR(I560="x",I560=""),VLOOKUP('Schedule from TM'!J560,Tables!$P$3:$Q$33,2,FALSE),'Schedule from TM'!I560),",",J560,"','",IF(OR(F560="x",F560=""),VLOOKUP('Schedule from TM'!G560,Tables!$U$3:$V$14,2,FALSE),'Schedule from TM'!F560),",",TEXT(G560,"mm/dd/yyyy"),"','",TEXT(H560,"h:mm:ss AM/PM"),"'].ub=0.0      #",B560)</f>
        <v xml:space="preserve">                x[team1,team2,sport,'21,Hillel - Gym Basketball','11,11/19/2017','11:20:00 AM'].ub=0.0      #Junior B Male Basketball</v>
      </c>
      <c r="AB560" s="301" t="str">
        <f t="shared" si="366"/>
        <v>,,Junior B Male Basketball,Pool B,1,JR B M - ARG 1</v>
      </c>
      <c r="AC560" s="153" t="str">
        <f t="shared" si="367"/>
        <v>Junior B Male BasketballPool BJR B M - ARG 1</v>
      </c>
      <c r="AD560" s="301" t="str">
        <f t="shared" si="368"/>
        <v>,,Junior B Male Basketball,Pool B,1,JR B M - ISR 1</v>
      </c>
      <c r="AE560" s="153" t="str">
        <f t="shared" si="369"/>
        <v>Junior B Male BasketballPool BJR B M - ISR 1</v>
      </c>
      <c r="AF560" s="383">
        <f t="shared" si="370"/>
        <v>0</v>
      </c>
      <c r="AG560" s="383">
        <f t="shared" si="371"/>
        <v>1</v>
      </c>
      <c r="AH560" s="383">
        <f t="shared" si="372"/>
        <v>0</v>
      </c>
      <c r="AI560" s="383">
        <f t="shared" si="373"/>
        <v>1</v>
      </c>
      <c r="AJ560" s="383">
        <f t="shared" si="374"/>
        <v>0</v>
      </c>
      <c r="AK560" s="383">
        <f t="shared" si="375"/>
        <v>0</v>
      </c>
      <c r="AM560" s="148" t="str">
        <f t="shared" si="376"/>
        <v>Schedulled</v>
      </c>
      <c r="AN560" s="148" t="str">
        <f t="shared" si="377"/>
        <v/>
      </c>
      <c r="AO560" s="156">
        <f t="shared" si="378"/>
        <v>43058.472222222219</v>
      </c>
      <c r="AP560" s="148" t="str">
        <f t="shared" si="379"/>
        <v>11/19/2017 11:20-&gt;Hillel - Gym Basketball</v>
      </c>
      <c r="AQ560" s="374">
        <f t="shared" si="380"/>
        <v>1</v>
      </c>
      <c r="AR560" s="148" t="str">
        <f t="shared" si="381"/>
        <v>ARG1</v>
      </c>
      <c r="AS560" s="148" t="str">
        <f t="shared" si="382"/>
        <v>ISR1</v>
      </c>
      <c r="AT560" s="157" t="str">
        <f t="shared" si="383"/>
        <v>ARG1-ISR1</v>
      </c>
      <c r="AU560" s="157" t="str">
        <f t="shared" si="384"/>
        <v xml:space="preserve">ARG1-ISR1 </v>
      </c>
      <c r="AV560" s="157" t="str">
        <f t="shared" si="385"/>
        <v>JUNIORS B MALE</v>
      </c>
      <c r="AW560" s="157" t="str">
        <f t="shared" si="386"/>
        <v>Basketball</v>
      </c>
      <c r="AX560" s="376">
        <f t="shared" si="387"/>
        <v>558</v>
      </c>
      <c r="AY560" s="148" t="str">
        <f t="shared" si="388"/>
        <v>JR B M - ARG 1-&gt;JR B M - ISR 1</v>
      </c>
      <c r="AZ560" s="148" t="str">
        <f t="shared" si="389"/>
        <v>11/19/2017 11:20-&gt;JR B M - ARG 1</v>
      </c>
      <c r="BA560" s="148" t="str">
        <f t="shared" si="390"/>
        <v>11/19/2017 11:20-&gt;JR B M - ISR 1</v>
      </c>
      <c r="BB560" s="374">
        <f t="shared" si="391"/>
        <v>1</v>
      </c>
      <c r="BC560" s="374">
        <f t="shared" si="392"/>
        <v>1</v>
      </c>
      <c r="BD560" s="148" t="str">
        <f t="shared" si="393"/>
        <v>no conflict</v>
      </c>
      <c r="BF560" s="148" t="str">
        <f t="shared" si="394"/>
        <v>11/19/2017 11:20-&gt;JR B M - ARG 1</v>
      </c>
      <c r="BG560" s="148" t="str">
        <f t="shared" si="395"/>
        <v>11/19/2017 11:20-&gt;JR B M - ISR 1</v>
      </c>
      <c r="BH560" s="148" t="str">
        <f t="shared" si="396"/>
        <v>11/19/2017 11:20-&gt;Hillel - Gym Basketball</v>
      </c>
      <c r="BI560" s="148" t="str">
        <f t="shared" si="397"/>
        <v>Basketball in Hillel - Gym Basketball (ARG1-ISR1)</v>
      </c>
      <c r="BJ560" s="148" t="str">
        <f t="shared" si="398"/>
        <v>Junior B Male Basketball-- JR B M - ARG 1 vs. JR B M - ISR 1</v>
      </c>
      <c r="BK560" s="148" t="str">
        <f t="shared" si="399"/>
        <v>Basketball</v>
      </c>
      <c r="BL560" s="148" t="str">
        <f t="shared" si="400"/>
        <v>JR B M - ARG 1</v>
      </c>
      <c r="BM560" s="148" t="str">
        <f t="shared" si="401"/>
        <v>JR B M - ISR 1</v>
      </c>
      <c r="BN560" s="148" t="str">
        <f t="shared" si="402"/>
        <v>Round - 1</v>
      </c>
      <c r="BP560" s="148" t="str">
        <f t="shared" si="403"/>
        <v>no t, f, or sf</v>
      </c>
      <c r="BQ560" s="148" t="str">
        <f t="shared" si="404"/>
        <v/>
      </c>
    </row>
    <row r="561" spans="1:69" ht="15" customHeight="1" x14ac:dyDescent="0.2">
      <c r="A561" s="376">
        <v>559</v>
      </c>
      <c r="B561" s="315" t="s">
        <v>76</v>
      </c>
      <c r="C561" s="315" t="s">
        <v>518</v>
      </c>
      <c r="D561" s="378">
        <v>1</v>
      </c>
      <c r="E561" s="378">
        <v>1</v>
      </c>
      <c r="F561" s="315" t="s">
        <v>770</v>
      </c>
      <c r="G561" s="316">
        <v>43058</v>
      </c>
      <c r="H561" s="317">
        <v>0.71527777777777779</v>
      </c>
      <c r="I561" s="325" t="s">
        <v>770</v>
      </c>
      <c r="J561" s="315" t="s">
        <v>696</v>
      </c>
      <c r="K561" s="315">
        <v>62</v>
      </c>
      <c r="L561" s="433" t="s">
        <v>654</v>
      </c>
      <c r="M561" s="433">
        <v>62</v>
      </c>
      <c r="N561" s="433" t="s">
        <v>655</v>
      </c>
      <c r="O561" s="153" t="str">
        <f>IF(L561&lt;&gt;"",IFERROR(VLOOKUP(B561&amp;L561,Pools!$A$2:$D$130,3,FALSE),""),"")</f>
        <v>Pool A</v>
      </c>
      <c r="P561" s="388">
        <v>38</v>
      </c>
      <c r="Q561" s="388">
        <v>16</v>
      </c>
      <c r="R561" s="306" t="str">
        <f t="shared" si="360"/>
        <v>38-16</v>
      </c>
      <c r="S561" s="153"/>
      <c r="T561" s="148" t="str">
        <f t="shared" si="361"/>
        <v>Completed</v>
      </c>
      <c r="U561" s="153"/>
      <c r="V561" s="153"/>
      <c r="W561" s="387">
        <f t="shared" si="362"/>
        <v>15</v>
      </c>
      <c r="X561" s="387">
        <f t="shared" si="363"/>
        <v>-15</v>
      </c>
      <c r="Y561" s="301">
        <f t="shared" si="364"/>
        <v>2</v>
      </c>
      <c r="Z561" s="301">
        <f t="shared" si="365"/>
        <v>0</v>
      </c>
      <c r="AA561" s="323" t="str">
        <f>CONCATENATE("                x[team1,team2,sport,'",IF(OR(I561="x",I561=""),VLOOKUP('Schedule from TM'!J561,Tables!$P$3:$Q$33,2,FALSE),'Schedule from TM'!I561),",",J561,"','",IF(OR(F561="x",F561=""),VLOOKUP('Schedule from TM'!G561,Tables!$U$3:$V$14,2,FALSE),'Schedule from TM'!F561),",",TEXT(G561,"mm/dd/yyyy"),"','",TEXT(H561,"h:mm:ss AM/PM"),"'].ub=0.0      #",B561)</f>
        <v xml:space="preserve">                x[team1,team2,sport,'11,JCC Gym North','11,11/19/2017','5:10:00 PM'].ub=0.0      #Junior B Male Basketball</v>
      </c>
      <c r="AB561" s="301" t="str">
        <f t="shared" si="366"/>
        <v>,,Junior B Male Basketball,Pool A,1,JR B M - USA 1</v>
      </c>
      <c r="AC561" s="153" t="str">
        <f t="shared" si="367"/>
        <v>Junior B Male BasketballPool AJR B M - USA 1</v>
      </c>
      <c r="AD561" s="301" t="str">
        <f t="shared" si="368"/>
        <v>,,Junior B Male Basketball,Pool A,1,JR B M - USA 2</v>
      </c>
      <c r="AE561" s="153" t="str">
        <f t="shared" si="369"/>
        <v>Junior B Male BasketballPool AJR B M - USA 2</v>
      </c>
      <c r="AF561" s="383">
        <f t="shared" si="370"/>
        <v>1</v>
      </c>
      <c r="AG561" s="383">
        <f t="shared" si="371"/>
        <v>0</v>
      </c>
      <c r="AH561" s="383">
        <f t="shared" si="372"/>
        <v>0</v>
      </c>
      <c r="AI561" s="383">
        <f t="shared" si="373"/>
        <v>0</v>
      </c>
      <c r="AJ561" s="383">
        <f t="shared" si="374"/>
        <v>1</v>
      </c>
      <c r="AK561" s="383">
        <f t="shared" si="375"/>
        <v>0</v>
      </c>
      <c r="AM561" s="148" t="str">
        <f t="shared" si="376"/>
        <v>Schedulled</v>
      </c>
      <c r="AN561" s="148" t="str">
        <f t="shared" si="377"/>
        <v/>
      </c>
      <c r="AO561" s="156">
        <f t="shared" si="378"/>
        <v>43058.715277777781</v>
      </c>
      <c r="AP561" s="148" t="str">
        <f t="shared" si="379"/>
        <v>11/19/2017 17:10-&gt;JCC Gym North</v>
      </c>
      <c r="AQ561" s="374">
        <f t="shared" si="380"/>
        <v>1</v>
      </c>
      <c r="AR561" s="148" t="str">
        <f t="shared" si="381"/>
        <v>USA1</v>
      </c>
      <c r="AS561" s="148" t="str">
        <f t="shared" si="382"/>
        <v>USA2</v>
      </c>
      <c r="AT561" s="157" t="str">
        <f t="shared" si="383"/>
        <v>USA1-USA2</v>
      </c>
      <c r="AU561" s="157" t="str">
        <f t="shared" si="384"/>
        <v xml:space="preserve">USA1-USA2 </v>
      </c>
      <c r="AV561" s="157" t="str">
        <f t="shared" si="385"/>
        <v>JUNIORS B MALE</v>
      </c>
      <c r="AW561" s="157" t="str">
        <f t="shared" si="386"/>
        <v>Basketball</v>
      </c>
      <c r="AX561" s="376">
        <f t="shared" si="387"/>
        <v>559</v>
      </c>
      <c r="AY561" s="148" t="str">
        <f t="shared" si="388"/>
        <v>JR B M - USA 1-&gt;JR B M - USA 2</v>
      </c>
      <c r="AZ561" s="148" t="str">
        <f t="shared" si="389"/>
        <v>11/19/2017 17:10-&gt;JR B M - USA 1</v>
      </c>
      <c r="BA561" s="148" t="str">
        <f t="shared" si="390"/>
        <v>11/19/2017 17:10-&gt;JR B M - USA 2</v>
      </c>
      <c r="BB561" s="374">
        <f t="shared" si="391"/>
        <v>1</v>
      </c>
      <c r="BC561" s="374">
        <f t="shared" si="392"/>
        <v>1</v>
      </c>
      <c r="BD561" s="148" t="str">
        <f t="shared" si="393"/>
        <v>no conflict</v>
      </c>
      <c r="BF561" s="148" t="str">
        <f t="shared" si="394"/>
        <v>11/19/2017 17:10-&gt;JR B M - USA 1</v>
      </c>
      <c r="BG561" s="148" t="str">
        <f t="shared" si="395"/>
        <v>11/19/2017 17:10-&gt;JR B M - USA 2</v>
      </c>
      <c r="BH561" s="148" t="str">
        <f t="shared" si="396"/>
        <v>11/19/2017 17:10-&gt;JCC Gym North</v>
      </c>
      <c r="BI561" s="148" t="str">
        <f t="shared" si="397"/>
        <v>Basketball in JCC Gym North (USA1-USA2)</v>
      </c>
      <c r="BJ561" s="148" t="str">
        <f t="shared" si="398"/>
        <v>Junior B Male Basketball-- JR B M - USA 1 vs. JR B M - USA 2</v>
      </c>
      <c r="BK561" s="148" t="str">
        <f t="shared" si="399"/>
        <v>Basketball</v>
      </c>
      <c r="BL561" s="148" t="str">
        <f t="shared" si="400"/>
        <v>JR B M - USA 1</v>
      </c>
      <c r="BM561" s="148" t="str">
        <f t="shared" si="401"/>
        <v>JR B M - USA 2</v>
      </c>
      <c r="BN561" s="148" t="str">
        <f t="shared" si="402"/>
        <v>Round - 1</v>
      </c>
      <c r="BP561" s="148" t="str">
        <f t="shared" si="403"/>
        <v>no t, f, or sf</v>
      </c>
      <c r="BQ561" s="148" t="str">
        <f t="shared" si="404"/>
        <v/>
      </c>
    </row>
    <row r="562" spans="1:69" ht="15" customHeight="1" x14ac:dyDescent="0.2">
      <c r="A562" s="376">
        <v>560</v>
      </c>
      <c r="B562" s="315" t="s">
        <v>76</v>
      </c>
      <c r="C562" s="315" t="s">
        <v>518</v>
      </c>
      <c r="D562" s="378">
        <v>1</v>
      </c>
      <c r="E562" s="378">
        <v>1</v>
      </c>
      <c r="F562" s="315" t="s">
        <v>770</v>
      </c>
      <c r="G562" s="316">
        <v>43059</v>
      </c>
      <c r="H562" s="317">
        <v>0.78472222222222221</v>
      </c>
      <c r="I562" s="325" t="s">
        <v>770</v>
      </c>
      <c r="J562" s="315" t="s">
        <v>707</v>
      </c>
      <c r="K562" s="315">
        <v>62</v>
      </c>
      <c r="L562" s="433" t="s">
        <v>653</v>
      </c>
      <c r="M562" s="433">
        <v>62</v>
      </c>
      <c r="N562" s="433" t="s">
        <v>656</v>
      </c>
      <c r="O562" s="153" t="str">
        <f>IF(L562&lt;&gt;"",IFERROR(VLOOKUP(B562&amp;L562,Pools!$A$2:$D$130,3,FALSE),""),"")</f>
        <v>Pool A</v>
      </c>
      <c r="P562" s="388">
        <v>25</v>
      </c>
      <c r="Q562" s="388">
        <v>19</v>
      </c>
      <c r="R562" s="306" t="str">
        <f t="shared" si="360"/>
        <v>25-19</v>
      </c>
      <c r="S562" s="153"/>
      <c r="T562" s="148" t="str">
        <f t="shared" si="361"/>
        <v>Completed</v>
      </c>
      <c r="U562" s="153"/>
      <c r="V562" s="153"/>
      <c r="W562" s="387">
        <f t="shared" si="362"/>
        <v>6</v>
      </c>
      <c r="X562" s="387">
        <f t="shared" si="363"/>
        <v>-6</v>
      </c>
      <c r="Y562" s="301">
        <f t="shared" si="364"/>
        <v>2</v>
      </c>
      <c r="Z562" s="301">
        <f t="shared" si="365"/>
        <v>0</v>
      </c>
      <c r="AA562" s="323" t="str">
        <f>CONCATENATE("                x[team1,team2,sport,'",IF(OR(I562="x",I562=""),VLOOKUP('Schedule from TM'!J562,Tables!$P$3:$Q$33,2,FALSE),'Schedule from TM'!I562),",",J562,"','",IF(OR(F562="x",F562=""),VLOOKUP('Schedule from TM'!G562,Tables!$U$3:$V$14,2,FALSE),'Schedule from TM'!F562),",",TEXT(G562,"mm/dd/yyyy"),"','",TEXT(H562,"h:mm:ss AM/PM"),"'].ub=0.0      #",B562)</f>
        <v xml:space="preserve">                x[team1,team2,sport,'21,Hillel - Gym Basketball','22,11/20/2017','6:50:00 PM'].ub=0.0      #Junior B Male Basketball</v>
      </c>
      <c r="AB562" s="301" t="str">
        <f t="shared" si="366"/>
        <v>,,Junior B Male Basketball,Pool A,1,JR B M - PER</v>
      </c>
      <c r="AC562" s="153" t="str">
        <f t="shared" si="367"/>
        <v>Junior B Male BasketballPool AJR B M - PER</v>
      </c>
      <c r="AD562" s="301" t="str">
        <f t="shared" si="368"/>
        <v>,,Junior B Male Basketball,Pool A,1,JR B M - VEN 1</v>
      </c>
      <c r="AE562" s="153" t="str">
        <f t="shared" si="369"/>
        <v>Junior B Male BasketballPool AJR B M - VEN 1</v>
      </c>
      <c r="AF562" s="383">
        <f t="shared" si="370"/>
        <v>1</v>
      </c>
      <c r="AG562" s="383">
        <f t="shared" si="371"/>
        <v>0</v>
      </c>
      <c r="AH562" s="383">
        <f t="shared" si="372"/>
        <v>0</v>
      </c>
      <c r="AI562" s="383">
        <f t="shared" si="373"/>
        <v>0</v>
      </c>
      <c r="AJ562" s="383">
        <f t="shared" si="374"/>
        <v>1</v>
      </c>
      <c r="AK562" s="383">
        <f t="shared" si="375"/>
        <v>0</v>
      </c>
      <c r="AM562" s="148" t="str">
        <f t="shared" si="376"/>
        <v>Schedulled</v>
      </c>
      <c r="AN562" s="148" t="str">
        <f t="shared" si="377"/>
        <v/>
      </c>
      <c r="AO562" s="156">
        <f t="shared" si="378"/>
        <v>43059.784722222219</v>
      </c>
      <c r="AP562" s="148" t="str">
        <f t="shared" si="379"/>
        <v>11/20/2017 18:50-&gt;Hillel - Gym Basketball</v>
      </c>
      <c r="AQ562" s="374">
        <f t="shared" si="380"/>
        <v>1</v>
      </c>
      <c r="AR562" s="148" t="str">
        <f t="shared" si="381"/>
        <v>PER</v>
      </c>
      <c r="AS562" s="148" t="str">
        <f t="shared" si="382"/>
        <v>VEN1</v>
      </c>
      <c r="AT562" s="157" t="str">
        <f t="shared" si="383"/>
        <v>PER-VEN1</v>
      </c>
      <c r="AU562" s="157" t="str">
        <f t="shared" si="384"/>
        <v xml:space="preserve">PER-VEN1 </v>
      </c>
      <c r="AV562" s="157" t="str">
        <f t="shared" si="385"/>
        <v>JUNIORS B MALE</v>
      </c>
      <c r="AW562" s="157" t="str">
        <f t="shared" si="386"/>
        <v>Basketball</v>
      </c>
      <c r="AX562" s="376">
        <f t="shared" si="387"/>
        <v>560</v>
      </c>
      <c r="AY562" s="148" t="str">
        <f t="shared" si="388"/>
        <v>JR B M - PER-&gt;JR B M - VEN 1</v>
      </c>
      <c r="AZ562" s="148" t="str">
        <f t="shared" si="389"/>
        <v>11/20/2017 18:50-&gt;JR B M - PER</v>
      </c>
      <c r="BA562" s="148" t="str">
        <f t="shared" si="390"/>
        <v>11/20/2017 18:50-&gt;JR B M - VEN 1</v>
      </c>
      <c r="BB562" s="374">
        <f t="shared" si="391"/>
        <v>1</v>
      </c>
      <c r="BC562" s="374">
        <f t="shared" si="392"/>
        <v>1</v>
      </c>
      <c r="BD562" s="148" t="str">
        <f t="shared" si="393"/>
        <v>no conflict</v>
      </c>
      <c r="BF562" s="148" t="str">
        <f t="shared" si="394"/>
        <v>11/20/2017 18:50-&gt;JR B M - PER</v>
      </c>
      <c r="BG562" s="148" t="str">
        <f t="shared" si="395"/>
        <v>11/20/2017 18:50-&gt;JR B M - VEN 1</v>
      </c>
      <c r="BH562" s="148" t="str">
        <f t="shared" si="396"/>
        <v>11/20/2017 18:50-&gt;Hillel - Gym Basketball</v>
      </c>
      <c r="BI562" s="148" t="str">
        <f t="shared" si="397"/>
        <v>Basketball in Hillel - Gym Basketball (PER-VEN1)</v>
      </c>
      <c r="BJ562" s="148" t="str">
        <f t="shared" si="398"/>
        <v>Junior B Male Basketball-- JR B M - PER vs. JR B M - VEN 1</v>
      </c>
      <c r="BK562" s="148" t="str">
        <f t="shared" si="399"/>
        <v>Basketball</v>
      </c>
      <c r="BL562" s="148" t="str">
        <f t="shared" si="400"/>
        <v>JR B M - PER</v>
      </c>
      <c r="BM562" s="148" t="str">
        <f t="shared" si="401"/>
        <v>JR B M - VEN 1</v>
      </c>
      <c r="BN562" s="148" t="str">
        <f t="shared" si="402"/>
        <v>Round - 1</v>
      </c>
      <c r="BP562" s="148" t="str">
        <f t="shared" si="403"/>
        <v>no t, f, or sf</v>
      </c>
      <c r="BQ562" s="148" t="str">
        <f t="shared" si="404"/>
        <v/>
      </c>
    </row>
    <row r="563" spans="1:69" ht="15" customHeight="1" x14ac:dyDescent="0.2">
      <c r="A563" s="376">
        <v>561</v>
      </c>
      <c r="B563" s="444" t="s">
        <v>76</v>
      </c>
      <c r="C563" s="315" t="s">
        <v>518</v>
      </c>
      <c r="D563" s="378">
        <v>1</v>
      </c>
      <c r="E563" s="451">
        <v>1</v>
      </c>
      <c r="F563" s="315" t="s">
        <v>770</v>
      </c>
      <c r="G563" s="445">
        <v>43060</v>
      </c>
      <c r="H563" s="317">
        <v>0.75</v>
      </c>
      <c r="I563" s="325" t="s">
        <v>770</v>
      </c>
      <c r="J563" s="444" t="s">
        <v>707</v>
      </c>
      <c r="K563" s="444">
        <v>62</v>
      </c>
      <c r="L563" s="433" t="s">
        <v>650</v>
      </c>
      <c r="M563" s="433">
        <v>62</v>
      </c>
      <c r="N563" s="433" t="s">
        <v>652</v>
      </c>
      <c r="O563" s="153" t="str">
        <f>IF(L563&lt;&gt;"",IFERROR(VLOOKUP(B563&amp;L563,Pools!$A$2:$D$130,3,FALSE),""),"")</f>
        <v>Pool B</v>
      </c>
      <c r="P563" s="388">
        <v>22</v>
      </c>
      <c r="Q563" s="388">
        <v>28</v>
      </c>
      <c r="R563" s="306" t="str">
        <f t="shared" si="360"/>
        <v>22-28</v>
      </c>
      <c r="S563" s="153"/>
      <c r="T563" s="148" t="str">
        <f t="shared" si="361"/>
        <v>Completed</v>
      </c>
      <c r="U563" s="153"/>
      <c r="V563" s="153"/>
      <c r="W563" s="387">
        <f t="shared" si="362"/>
        <v>-6</v>
      </c>
      <c r="X563" s="387">
        <f t="shared" si="363"/>
        <v>6</v>
      </c>
      <c r="Y563" s="301">
        <f t="shared" si="364"/>
        <v>0</v>
      </c>
      <c r="Z563" s="301">
        <f t="shared" si="365"/>
        <v>2</v>
      </c>
      <c r="AA563" s="323" t="str">
        <f>CONCATENATE("                x[team1,team2,sport,'",IF(OR(I563="x",I563=""),VLOOKUP('Schedule from TM'!J563,Tables!$P$3:$Q$33,2,FALSE),'Schedule from TM'!I563),",",J563,"','",IF(OR(F563="x",F563=""),VLOOKUP('Schedule from TM'!G563,Tables!$U$3:$V$14,2,FALSE),'Schedule from TM'!F563),",",TEXT(G563,"mm/dd/yyyy"),"','",TEXT(H563,"h:mm:ss AM/PM"),"'].ub=0.0      #",B563)</f>
        <v xml:space="preserve">                x[team1,team2,sport,'21,Hillel - Gym Basketball','22,11/21/2017','6:00:00 PM'].ub=0.0      #Junior B Male Basketball</v>
      </c>
      <c r="AB563" s="301" t="str">
        <f t="shared" si="366"/>
        <v>,,Junior B Male Basketball,Pool B,1,JR B M - COL 1</v>
      </c>
      <c r="AC563" s="153" t="str">
        <f t="shared" si="367"/>
        <v>Junior B Male BasketballPool BJR B M - COL 1</v>
      </c>
      <c r="AD563" s="301" t="str">
        <f t="shared" si="368"/>
        <v>,,Junior B Male Basketball,Pool B,1,JR B M - MEX</v>
      </c>
      <c r="AE563" s="153" t="str">
        <f t="shared" si="369"/>
        <v>Junior B Male BasketballPool BJR B M - MEX</v>
      </c>
      <c r="AF563" s="383">
        <f t="shared" si="370"/>
        <v>0</v>
      </c>
      <c r="AG563" s="383">
        <f t="shared" si="371"/>
        <v>1</v>
      </c>
      <c r="AH563" s="383">
        <f t="shared" si="372"/>
        <v>0</v>
      </c>
      <c r="AI563" s="383">
        <f t="shared" si="373"/>
        <v>1</v>
      </c>
      <c r="AJ563" s="383">
        <f t="shared" si="374"/>
        <v>0</v>
      </c>
      <c r="AK563" s="383">
        <f t="shared" si="375"/>
        <v>0</v>
      </c>
      <c r="AM563" s="148" t="str">
        <f t="shared" si="376"/>
        <v>Schedulled</v>
      </c>
      <c r="AN563" s="148" t="str">
        <f t="shared" si="377"/>
        <v/>
      </c>
      <c r="AO563" s="156">
        <f t="shared" si="378"/>
        <v>43060.75</v>
      </c>
      <c r="AP563" s="148" t="str">
        <f t="shared" si="379"/>
        <v>11/21/2017 18:00-&gt;Hillel - Gym Basketball</v>
      </c>
      <c r="AQ563" s="374">
        <f t="shared" si="380"/>
        <v>1</v>
      </c>
      <c r="AR563" s="148" t="str">
        <f t="shared" si="381"/>
        <v>COL1</v>
      </c>
      <c r="AS563" s="148" t="str">
        <f t="shared" si="382"/>
        <v>MEX</v>
      </c>
      <c r="AT563" s="157" t="str">
        <f t="shared" si="383"/>
        <v>COL1-MEX</v>
      </c>
      <c r="AU563" s="157" t="str">
        <f t="shared" si="384"/>
        <v xml:space="preserve">COL1-MEX </v>
      </c>
      <c r="AV563" s="157" t="str">
        <f t="shared" si="385"/>
        <v>JUNIORS B MALE</v>
      </c>
      <c r="AW563" s="157" t="str">
        <f t="shared" si="386"/>
        <v>Basketball</v>
      </c>
      <c r="AX563" s="376">
        <f t="shared" si="387"/>
        <v>561</v>
      </c>
      <c r="AY563" s="148" t="str">
        <f t="shared" si="388"/>
        <v>JR B M - COL 1-&gt;JR B M - MEX</v>
      </c>
      <c r="AZ563" s="148" t="str">
        <f t="shared" si="389"/>
        <v>11/21/2017 18:00-&gt;JR B M - COL 1</v>
      </c>
      <c r="BA563" s="148" t="str">
        <f t="shared" si="390"/>
        <v>11/21/2017 18:00-&gt;JR B M - MEX</v>
      </c>
      <c r="BB563" s="374">
        <f t="shared" si="391"/>
        <v>1</v>
      </c>
      <c r="BC563" s="374">
        <f t="shared" si="392"/>
        <v>1</v>
      </c>
      <c r="BD563" s="148" t="str">
        <f t="shared" si="393"/>
        <v>no conflict</v>
      </c>
      <c r="BF563" s="148" t="str">
        <f t="shared" si="394"/>
        <v>11/21/2017 18:00-&gt;JR B M - COL 1</v>
      </c>
      <c r="BG563" s="148" t="str">
        <f t="shared" si="395"/>
        <v>11/21/2017 18:00-&gt;JR B M - MEX</v>
      </c>
      <c r="BH563" s="148" t="str">
        <f t="shared" si="396"/>
        <v>11/21/2017 18:00-&gt;Hillel - Gym Basketball</v>
      </c>
      <c r="BI563" s="148" t="str">
        <f t="shared" si="397"/>
        <v>Basketball in Hillel - Gym Basketball (COL1-MEX)</v>
      </c>
      <c r="BJ563" s="148" t="str">
        <f t="shared" si="398"/>
        <v>Junior B Male Basketball-- JR B M - COL 1 vs. JR B M - MEX</v>
      </c>
      <c r="BK563" s="148" t="str">
        <f t="shared" si="399"/>
        <v>Basketball</v>
      </c>
      <c r="BL563" s="148" t="str">
        <f t="shared" si="400"/>
        <v>JR B M - COL 1</v>
      </c>
      <c r="BM563" s="148" t="str">
        <f t="shared" si="401"/>
        <v>JR B M - MEX</v>
      </c>
      <c r="BN563" s="148" t="str">
        <f t="shared" si="402"/>
        <v>Round - 1</v>
      </c>
      <c r="BP563" s="148" t="str">
        <f t="shared" si="403"/>
        <v>no t, f, or sf</v>
      </c>
      <c r="BQ563" s="148" t="str">
        <f t="shared" si="404"/>
        <v/>
      </c>
    </row>
    <row r="564" spans="1:69" ht="15" customHeight="1" x14ac:dyDescent="0.2">
      <c r="A564" s="450">
        <v>562</v>
      </c>
      <c r="B564" s="441" t="s">
        <v>76</v>
      </c>
      <c r="C564" s="441" t="s">
        <v>518</v>
      </c>
      <c r="D564" s="450">
        <v>1</v>
      </c>
      <c r="E564" s="450">
        <v>1</v>
      </c>
      <c r="F564" s="444" t="s">
        <v>770</v>
      </c>
      <c r="G564" s="320">
        <v>43062</v>
      </c>
      <c r="H564" s="318">
        <v>0.40277777777777773</v>
      </c>
      <c r="I564" s="446" t="s">
        <v>770</v>
      </c>
      <c r="J564" s="441" t="s">
        <v>707</v>
      </c>
      <c r="K564" s="441">
        <v>62</v>
      </c>
      <c r="L564" s="433" t="s">
        <v>648</v>
      </c>
      <c r="M564" s="433">
        <v>62</v>
      </c>
      <c r="N564" s="433" t="s">
        <v>652</v>
      </c>
      <c r="O564" s="153" t="str">
        <f>IF(L564&lt;&gt;"",IFERROR(VLOOKUP(B564&amp;L564,Pools!$A$2:$D$130,3,FALSE),""),"")</f>
        <v>Pool B</v>
      </c>
      <c r="P564" s="388">
        <v>39</v>
      </c>
      <c r="Q564" s="388">
        <v>43</v>
      </c>
      <c r="R564" s="306" t="str">
        <f t="shared" si="360"/>
        <v>39-43</v>
      </c>
      <c r="S564" s="153"/>
      <c r="T564" s="148" t="str">
        <f t="shared" si="361"/>
        <v>Completed</v>
      </c>
      <c r="U564" s="153"/>
      <c r="V564" s="153"/>
      <c r="W564" s="387">
        <f t="shared" si="362"/>
        <v>-4</v>
      </c>
      <c r="X564" s="387">
        <f t="shared" si="363"/>
        <v>4</v>
      </c>
      <c r="Y564" s="301">
        <f t="shared" si="364"/>
        <v>0</v>
      </c>
      <c r="Z564" s="301">
        <f t="shared" si="365"/>
        <v>2</v>
      </c>
      <c r="AA564" s="323" t="str">
        <f>CONCATENATE("                x[team1,team2,sport,'",IF(OR(I564="x",I564=""),VLOOKUP('Schedule from TM'!J565,Tables!$P$3:$Q$33,2,FALSE),'Schedule from TM'!I565),",",J564,"','",IF(OR(F564="x",F564=""),VLOOKUP('Schedule from TM'!G565,Tables!$U$3:$V$14,2,FALSE),'Schedule from TM'!F565),",",TEXT(G564,"mm/dd/yyyy"),"','",TEXT(H564,"h:mm:ss AM/PM"),"'].ub=0.0      #",B564)</f>
        <v xml:space="preserve">                x[team1,team2,sport,'11,Hillel - Gym Basketball','11,11/23/2017','9:40:00 AM'].ub=0.0      #Junior B Male Basketball</v>
      </c>
      <c r="AB564" s="301" t="str">
        <f t="shared" si="366"/>
        <v>,,Junior B Male Basketball,Pool B,1,JR B M - ARG 1</v>
      </c>
      <c r="AC564" s="153" t="str">
        <f t="shared" si="367"/>
        <v>Junior B Male BasketballPool BJR B M - ARG 1</v>
      </c>
      <c r="AD564" s="301" t="str">
        <f t="shared" si="368"/>
        <v>,,Junior B Male Basketball,Pool B,1,JR B M - MEX</v>
      </c>
      <c r="AE564" s="153" t="str">
        <f t="shared" si="369"/>
        <v>Junior B Male BasketballPool BJR B M - MEX</v>
      </c>
      <c r="AF564" s="383">
        <f t="shared" si="370"/>
        <v>0</v>
      </c>
      <c r="AG564" s="383">
        <f t="shared" si="371"/>
        <v>1</v>
      </c>
      <c r="AH564" s="383">
        <f t="shared" si="372"/>
        <v>0</v>
      </c>
      <c r="AI564" s="383">
        <f t="shared" si="373"/>
        <v>1</v>
      </c>
      <c r="AJ564" s="383">
        <f t="shared" si="374"/>
        <v>0</v>
      </c>
      <c r="AK564" s="383">
        <f t="shared" si="375"/>
        <v>0</v>
      </c>
      <c r="AM564" s="148" t="str">
        <f t="shared" si="376"/>
        <v>Schedulled</v>
      </c>
      <c r="AN564" s="148" t="str">
        <f t="shared" si="377"/>
        <v/>
      </c>
      <c r="AO564" s="156">
        <f t="shared" si="378"/>
        <v>43062.402777777781</v>
      </c>
      <c r="AP564" s="148" t="str">
        <f t="shared" si="379"/>
        <v>11/23/2017 09:40-&gt;Hillel - Gym Basketball</v>
      </c>
      <c r="AQ564" s="374">
        <f t="shared" si="380"/>
        <v>1</v>
      </c>
      <c r="AR564" s="148" t="str">
        <f t="shared" si="381"/>
        <v>ARG1</v>
      </c>
      <c r="AS564" s="148" t="str">
        <f t="shared" si="382"/>
        <v>MEX</v>
      </c>
      <c r="AT564" s="157" t="str">
        <f t="shared" si="383"/>
        <v>ARG1-MEX</v>
      </c>
      <c r="AU564" s="157" t="str">
        <f t="shared" si="384"/>
        <v xml:space="preserve">ARG1-MEX </v>
      </c>
      <c r="AV564" s="157" t="str">
        <f t="shared" si="385"/>
        <v>JUNIORS B MALE</v>
      </c>
      <c r="AW564" s="157" t="str">
        <f t="shared" si="386"/>
        <v>Basketball</v>
      </c>
      <c r="AX564" s="450">
        <f t="shared" si="387"/>
        <v>562</v>
      </c>
      <c r="AY564" s="148" t="str">
        <f t="shared" si="388"/>
        <v>JR B M - ARG 1-&gt;JR B M - MEX</v>
      </c>
      <c r="AZ564" s="148" t="str">
        <f t="shared" si="389"/>
        <v>11/23/2017 09:40-&gt;JR B M - ARG 1</v>
      </c>
      <c r="BA564" s="148" t="str">
        <f t="shared" si="390"/>
        <v>11/23/2017 09:40-&gt;JR B M - MEX</v>
      </c>
      <c r="BB564" s="374">
        <f t="shared" si="391"/>
        <v>1</v>
      </c>
      <c r="BC564" s="374">
        <f t="shared" si="392"/>
        <v>1</v>
      </c>
      <c r="BD564" s="148" t="str">
        <f t="shared" si="393"/>
        <v>no conflict</v>
      </c>
      <c r="BF564" s="148" t="str">
        <f t="shared" si="394"/>
        <v>11/23/2017 09:40-&gt;JR B M - ARG 1</v>
      </c>
      <c r="BG564" s="148" t="str">
        <f t="shared" si="395"/>
        <v>11/23/2017 09:40-&gt;JR B M - MEX</v>
      </c>
      <c r="BH564" s="148" t="str">
        <f t="shared" si="396"/>
        <v>11/23/2017 09:40-&gt;Hillel - Gym Basketball</v>
      </c>
      <c r="BI564" s="148" t="str">
        <f t="shared" si="397"/>
        <v>Basketball in Hillel - Gym Basketball (ARG1-MEX)</v>
      </c>
      <c r="BJ564" s="148" t="str">
        <f t="shared" si="398"/>
        <v>Junior B Male Basketball-- JR B M - ARG 1 vs. JR B M - MEX</v>
      </c>
      <c r="BK564" s="148" t="str">
        <f t="shared" si="399"/>
        <v>Basketball</v>
      </c>
      <c r="BL564" s="148" t="str">
        <f t="shared" si="400"/>
        <v>JR B M - ARG 1</v>
      </c>
      <c r="BM564" s="148" t="str">
        <f t="shared" si="401"/>
        <v>JR B M - MEX</v>
      </c>
      <c r="BN564" s="148" t="str">
        <f t="shared" si="402"/>
        <v>Round - 1</v>
      </c>
      <c r="BP564" s="148" t="str">
        <f t="shared" si="403"/>
        <v>no t, f, or sf</v>
      </c>
      <c r="BQ564" s="148" t="str">
        <f t="shared" si="404"/>
        <v/>
      </c>
    </row>
    <row r="565" spans="1:69" ht="15" customHeight="1" x14ac:dyDescent="0.2">
      <c r="A565" s="376">
        <v>563</v>
      </c>
      <c r="B565" s="121" t="s">
        <v>76</v>
      </c>
      <c r="C565" s="121" t="s">
        <v>518</v>
      </c>
      <c r="D565" s="382">
        <v>1</v>
      </c>
      <c r="E565" s="382">
        <v>1</v>
      </c>
      <c r="F565" s="315" t="s">
        <v>770</v>
      </c>
      <c r="G565" s="206">
        <v>43062</v>
      </c>
      <c r="H565" s="317">
        <v>0.40277777777777773</v>
      </c>
      <c r="I565" s="325" t="s">
        <v>770</v>
      </c>
      <c r="J565" s="121" t="s">
        <v>696</v>
      </c>
      <c r="K565" s="121">
        <v>62</v>
      </c>
      <c r="L565" s="433" t="s">
        <v>653</v>
      </c>
      <c r="M565">
        <v>62</v>
      </c>
      <c r="N565" s="433" t="s">
        <v>655</v>
      </c>
      <c r="O565" s="153" t="str">
        <f>IF(L565&lt;&gt;"",IFERROR(VLOOKUP(B565&amp;L565,Pools!$A$2:$D$130,3,FALSE),""),"")</f>
        <v>Pool A</v>
      </c>
      <c r="P565" s="388">
        <v>55</v>
      </c>
      <c r="Q565" s="388">
        <v>33</v>
      </c>
      <c r="R565" s="306" t="str">
        <f t="shared" si="360"/>
        <v>55-33</v>
      </c>
      <c r="S565" s="153"/>
      <c r="T565" s="148" t="str">
        <f t="shared" si="361"/>
        <v>Completed</v>
      </c>
      <c r="U565" s="153"/>
      <c r="V565" s="153"/>
      <c r="W565" s="387">
        <f t="shared" si="362"/>
        <v>15</v>
      </c>
      <c r="X565" s="387">
        <f t="shared" si="363"/>
        <v>-15</v>
      </c>
      <c r="Y565" s="301">
        <f t="shared" si="364"/>
        <v>2</v>
      </c>
      <c r="Z565" s="301">
        <f t="shared" si="365"/>
        <v>0</v>
      </c>
      <c r="AA565" s="323" t="str">
        <f>CONCATENATE("                x[team1,team2,sport,'",IF(OR(I565="x",I565=""),VLOOKUP('Schedule from TM'!J566,Tables!$P$3:$Q$33,2,FALSE),'Schedule from TM'!I566),",",J565,"','",IF(OR(F565="x",F565=""),VLOOKUP('Schedule from TM'!G566,Tables!$U$3:$V$14,2,FALSE),'Schedule from TM'!F566),",",TEXT(G565,"mm/dd/yyyy"),"','",TEXT(H565,"h:mm:ss AM/PM"),"'].ub=0.0      #",B565)</f>
        <v xml:space="preserve">                x[team1,team2,sport,'21,JCC Gym North','11,11/23/2017','9:40:00 AM'].ub=0.0      #Junior B Male Basketball</v>
      </c>
      <c r="AB565" s="301" t="str">
        <f t="shared" si="366"/>
        <v>,,Junior B Male Basketball,Pool A,1,JR B M - PER</v>
      </c>
      <c r="AC565" s="153" t="str">
        <f t="shared" si="367"/>
        <v>Junior B Male BasketballPool AJR B M - PER</v>
      </c>
      <c r="AD565" s="301" t="str">
        <f t="shared" si="368"/>
        <v>,,Junior B Male Basketball,Pool A,1,JR B M - USA 2</v>
      </c>
      <c r="AE565" s="153" t="str">
        <f t="shared" si="369"/>
        <v>Junior B Male BasketballPool AJR B M - USA 2</v>
      </c>
      <c r="AF565" s="383">
        <f t="shared" si="370"/>
        <v>1</v>
      </c>
      <c r="AG565" s="383">
        <f t="shared" si="371"/>
        <v>0</v>
      </c>
      <c r="AH565" s="383">
        <f t="shared" si="372"/>
        <v>0</v>
      </c>
      <c r="AI565" s="383">
        <f t="shared" si="373"/>
        <v>0</v>
      </c>
      <c r="AJ565" s="383">
        <f t="shared" si="374"/>
        <v>1</v>
      </c>
      <c r="AK565" s="383">
        <f t="shared" si="375"/>
        <v>0</v>
      </c>
      <c r="AM565" s="148" t="str">
        <f t="shared" si="376"/>
        <v>Schedulled</v>
      </c>
      <c r="AN565" s="148" t="str">
        <f t="shared" si="377"/>
        <v/>
      </c>
      <c r="AO565" s="156">
        <f t="shared" si="378"/>
        <v>43062.402777777781</v>
      </c>
      <c r="AP565" s="148" t="str">
        <f t="shared" si="379"/>
        <v>11/23/2017 09:40-&gt;JCC Gym North</v>
      </c>
      <c r="AQ565" s="374">
        <f t="shared" si="380"/>
        <v>1</v>
      </c>
      <c r="AR565" s="148" t="str">
        <f t="shared" si="381"/>
        <v>PER</v>
      </c>
      <c r="AS565" s="148" t="str">
        <f t="shared" si="382"/>
        <v>USA2</v>
      </c>
      <c r="AT565" s="157" t="str">
        <f t="shared" si="383"/>
        <v>PER-USA2</v>
      </c>
      <c r="AU565" s="157" t="str">
        <f t="shared" si="384"/>
        <v xml:space="preserve">PER-USA2 </v>
      </c>
      <c r="AV565" s="157" t="str">
        <f t="shared" si="385"/>
        <v>JUNIORS B MALE</v>
      </c>
      <c r="AW565" s="157" t="str">
        <f t="shared" si="386"/>
        <v>Basketball</v>
      </c>
      <c r="AX565" s="376">
        <f t="shared" si="387"/>
        <v>563</v>
      </c>
      <c r="AY565" s="148" t="str">
        <f t="shared" si="388"/>
        <v>JR B M - PER-&gt;JR B M - USA 2</v>
      </c>
      <c r="AZ565" s="148" t="str">
        <f t="shared" si="389"/>
        <v>11/23/2017 09:40-&gt;JR B M - PER</v>
      </c>
      <c r="BA565" s="148" t="str">
        <f t="shared" si="390"/>
        <v>11/23/2017 09:40-&gt;JR B M - USA 2</v>
      </c>
      <c r="BB565" s="374">
        <f t="shared" si="391"/>
        <v>1</v>
      </c>
      <c r="BC565" s="374">
        <f t="shared" si="392"/>
        <v>1</v>
      </c>
      <c r="BD565" s="148" t="str">
        <f t="shared" si="393"/>
        <v>no conflict</v>
      </c>
      <c r="BF565" s="148" t="str">
        <f t="shared" si="394"/>
        <v>11/23/2017 09:40-&gt;JR B M - PER</v>
      </c>
      <c r="BG565" s="148" t="str">
        <f t="shared" si="395"/>
        <v>11/23/2017 09:40-&gt;JR B M - USA 2</v>
      </c>
      <c r="BH565" s="148" t="str">
        <f t="shared" si="396"/>
        <v>11/23/2017 09:40-&gt;JCC Gym North</v>
      </c>
      <c r="BI565" s="148" t="str">
        <f t="shared" si="397"/>
        <v>Basketball in JCC Gym North (PER-USA2)</v>
      </c>
      <c r="BJ565" s="148" t="str">
        <f t="shared" si="398"/>
        <v>Junior B Male Basketball-- JR B M - PER vs. JR B M - USA 2</v>
      </c>
      <c r="BK565" s="148" t="str">
        <f t="shared" si="399"/>
        <v>Basketball</v>
      </c>
      <c r="BL565" s="148" t="str">
        <f t="shared" si="400"/>
        <v>JR B M - PER</v>
      </c>
      <c r="BM565" s="148" t="str">
        <f t="shared" si="401"/>
        <v>JR B M - USA 2</v>
      </c>
      <c r="BN565" s="148" t="str">
        <f t="shared" si="402"/>
        <v>Round - 1</v>
      </c>
      <c r="BP565" s="148" t="str">
        <f t="shared" si="403"/>
        <v>no t, f, or sf</v>
      </c>
      <c r="BQ565" s="148" t="str">
        <f t="shared" si="404"/>
        <v/>
      </c>
    </row>
    <row r="566" spans="1:69" ht="15" customHeight="1" x14ac:dyDescent="0.2">
      <c r="A566" s="376">
        <v>564</v>
      </c>
      <c r="B566" s="121" t="s">
        <v>76</v>
      </c>
      <c r="C566" s="121" t="s">
        <v>518</v>
      </c>
      <c r="D566" s="382">
        <v>1</v>
      </c>
      <c r="E566" s="382">
        <v>1</v>
      </c>
      <c r="F566" s="315" t="s">
        <v>770</v>
      </c>
      <c r="G566" s="206">
        <v>43062</v>
      </c>
      <c r="H566" s="317">
        <v>0.4375</v>
      </c>
      <c r="I566" s="325" t="s">
        <v>770</v>
      </c>
      <c r="J566" s="121" t="s">
        <v>707</v>
      </c>
      <c r="K566" s="121">
        <v>62</v>
      </c>
      <c r="L566" s="433" t="s">
        <v>654</v>
      </c>
      <c r="M566">
        <v>62</v>
      </c>
      <c r="N566" s="433" t="s">
        <v>656</v>
      </c>
      <c r="O566" s="153" t="str">
        <f>IF(L566&lt;&gt;"",IFERROR(VLOOKUP(B566&amp;L566,Pools!$A$2:$D$130,3,FALSE),""),"")</f>
        <v>Pool A</v>
      </c>
      <c r="P566" s="388">
        <v>33</v>
      </c>
      <c r="Q566" s="388">
        <v>36</v>
      </c>
      <c r="R566" s="306" t="str">
        <f t="shared" si="360"/>
        <v>33-36</v>
      </c>
      <c r="S566" s="153"/>
      <c r="T566" s="148" t="str">
        <f t="shared" si="361"/>
        <v>Completed</v>
      </c>
      <c r="U566" s="153"/>
      <c r="V566" s="153"/>
      <c r="W566" s="387">
        <f t="shared" si="362"/>
        <v>-3</v>
      </c>
      <c r="X566" s="387">
        <f t="shared" si="363"/>
        <v>3</v>
      </c>
      <c r="Y566" s="301">
        <f t="shared" si="364"/>
        <v>0</v>
      </c>
      <c r="Z566" s="301">
        <f t="shared" si="365"/>
        <v>2</v>
      </c>
      <c r="AA566" s="323" t="str">
        <f>CONCATENATE("                x[team1,team2,sport,'",IF(OR(I566="x",I566=""),VLOOKUP('Schedule from TM'!J567,Tables!$P$3:$Q$33,2,FALSE),'Schedule from TM'!I567),",",J566,"','",IF(OR(F566="x",F566=""),VLOOKUP('Schedule from TM'!G567,Tables!$U$3:$V$14,2,FALSE),'Schedule from TM'!F567),",",TEXT(G566,"mm/dd/yyyy"),"','",TEXT(H566,"h:mm:ss AM/PM"),"'].ub=0.0      #",B566)</f>
        <v xml:space="preserve">                x[team1,team2,sport,'21,Hillel - Gym Basketball','11,11/23/2017','10:30:00 AM'].ub=0.0      #Junior B Male Basketball</v>
      </c>
      <c r="AB566" s="301" t="str">
        <f t="shared" si="366"/>
        <v>,,Junior B Male Basketball,Pool A,1,JR B M - USA 1</v>
      </c>
      <c r="AC566" s="153" t="str">
        <f t="shared" si="367"/>
        <v>Junior B Male BasketballPool AJR B M - USA 1</v>
      </c>
      <c r="AD566" s="301" t="str">
        <f t="shared" si="368"/>
        <v>,,Junior B Male Basketball,Pool A,1,JR B M - VEN 1</v>
      </c>
      <c r="AE566" s="153" t="str">
        <f t="shared" si="369"/>
        <v>Junior B Male BasketballPool AJR B M - VEN 1</v>
      </c>
      <c r="AF566" s="383">
        <f t="shared" si="370"/>
        <v>0</v>
      </c>
      <c r="AG566" s="383">
        <f t="shared" si="371"/>
        <v>1</v>
      </c>
      <c r="AH566" s="383">
        <f t="shared" si="372"/>
        <v>0</v>
      </c>
      <c r="AI566" s="383">
        <f t="shared" si="373"/>
        <v>1</v>
      </c>
      <c r="AJ566" s="383">
        <f t="shared" si="374"/>
        <v>0</v>
      </c>
      <c r="AK566" s="383">
        <f t="shared" si="375"/>
        <v>0</v>
      </c>
      <c r="AM566" s="148" t="str">
        <f t="shared" si="376"/>
        <v>Schedulled</v>
      </c>
      <c r="AN566" s="148" t="str">
        <f t="shared" si="377"/>
        <v/>
      </c>
      <c r="AO566" s="156">
        <f t="shared" si="378"/>
        <v>43062.4375</v>
      </c>
      <c r="AP566" s="148" t="str">
        <f t="shared" si="379"/>
        <v>11/23/2017 10:30-&gt;Hillel - Gym Basketball</v>
      </c>
      <c r="AQ566" s="374">
        <f t="shared" si="380"/>
        <v>1</v>
      </c>
      <c r="AR566" s="148" t="str">
        <f t="shared" si="381"/>
        <v>USA1</v>
      </c>
      <c r="AS566" s="148" t="str">
        <f t="shared" si="382"/>
        <v>VEN1</v>
      </c>
      <c r="AT566" s="157" t="str">
        <f t="shared" si="383"/>
        <v>USA1-VEN1</v>
      </c>
      <c r="AU566" s="157" t="str">
        <f t="shared" si="384"/>
        <v xml:space="preserve">USA1-VEN1 </v>
      </c>
      <c r="AV566" s="157" t="str">
        <f t="shared" si="385"/>
        <v>JUNIORS B MALE</v>
      </c>
      <c r="AW566" s="157" t="str">
        <f t="shared" si="386"/>
        <v>Basketball</v>
      </c>
      <c r="AX566" s="376">
        <f t="shared" si="387"/>
        <v>564</v>
      </c>
      <c r="AY566" s="148" t="str">
        <f t="shared" si="388"/>
        <v>JR B M - USA 1-&gt;JR B M - VEN 1</v>
      </c>
      <c r="AZ566" s="148" t="str">
        <f t="shared" si="389"/>
        <v>11/23/2017 10:30-&gt;JR B M - USA 1</v>
      </c>
      <c r="BA566" s="148" t="str">
        <f t="shared" si="390"/>
        <v>11/23/2017 10:30-&gt;JR B M - VEN 1</v>
      </c>
      <c r="BB566" s="374">
        <f t="shared" si="391"/>
        <v>1</v>
      </c>
      <c r="BC566" s="374">
        <f t="shared" si="392"/>
        <v>1</v>
      </c>
      <c r="BD566" s="148" t="str">
        <f t="shared" si="393"/>
        <v>no conflict</v>
      </c>
      <c r="BF566" s="148" t="str">
        <f t="shared" si="394"/>
        <v>11/23/2017 10:30-&gt;JR B M - USA 1</v>
      </c>
      <c r="BG566" s="148" t="str">
        <f t="shared" si="395"/>
        <v>11/23/2017 10:30-&gt;JR B M - VEN 1</v>
      </c>
      <c r="BH566" s="148" t="str">
        <f t="shared" si="396"/>
        <v>11/23/2017 10:30-&gt;Hillel - Gym Basketball</v>
      </c>
      <c r="BI566" s="148" t="str">
        <f t="shared" si="397"/>
        <v>Basketball in Hillel - Gym Basketball (USA1-VEN1)</v>
      </c>
      <c r="BJ566" s="148" t="str">
        <f t="shared" si="398"/>
        <v>Junior B Male Basketball-- JR B M - USA 1 vs. JR B M - VEN 1</v>
      </c>
      <c r="BK566" s="148" t="str">
        <f t="shared" si="399"/>
        <v>Basketball</v>
      </c>
      <c r="BL566" s="148" t="str">
        <f t="shared" si="400"/>
        <v>JR B M - USA 1</v>
      </c>
      <c r="BM566" s="148" t="str">
        <f t="shared" si="401"/>
        <v>JR B M - VEN 1</v>
      </c>
      <c r="BN566" s="148" t="str">
        <f t="shared" si="402"/>
        <v>Round - 1</v>
      </c>
      <c r="BP566" s="148" t="str">
        <f t="shared" si="403"/>
        <v>no t, f, or sf</v>
      </c>
      <c r="BQ566" s="148" t="str">
        <f t="shared" si="404"/>
        <v/>
      </c>
    </row>
    <row r="567" spans="1:69" ht="15" customHeight="1" x14ac:dyDescent="0.2">
      <c r="A567" s="376">
        <v>565</v>
      </c>
      <c r="B567" s="121" t="s">
        <v>76</v>
      </c>
      <c r="C567" s="121" t="s">
        <v>518</v>
      </c>
      <c r="D567" s="382">
        <v>1</v>
      </c>
      <c r="E567" s="382">
        <v>1</v>
      </c>
      <c r="F567" s="315" t="s">
        <v>770</v>
      </c>
      <c r="G567" s="206">
        <v>43062</v>
      </c>
      <c r="H567" s="317">
        <v>0.61111111111111105</v>
      </c>
      <c r="I567" s="325" t="s">
        <v>770</v>
      </c>
      <c r="J567" s="121" t="s">
        <v>707</v>
      </c>
      <c r="K567" s="121">
        <v>62</v>
      </c>
      <c r="L567" s="433" t="s">
        <v>651</v>
      </c>
      <c r="M567">
        <v>62</v>
      </c>
      <c r="N567" s="433" t="s">
        <v>652</v>
      </c>
      <c r="O567" s="153" t="str">
        <f>IF(L567&lt;&gt;"",IFERROR(VLOOKUP(B567&amp;L567,Pools!$A$2:$D$130,3,FALSE),""),"")</f>
        <v>Pool B</v>
      </c>
      <c r="P567" s="388">
        <v>41</v>
      </c>
      <c r="Q567" s="388">
        <v>26</v>
      </c>
      <c r="R567" s="306" t="str">
        <f t="shared" si="360"/>
        <v>41-26</v>
      </c>
      <c r="S567" s="153"/>
      <c r="T567" s="148" t="str">
        <f t="shared" si="361"/>
        <v>Completed</v>
      </c>
      <c r="U567" s="153"/>
      <c r="V567" s="153"/>
      <c r="W567" s="387">
        <f t="shared" si="362"/>
        <v>15</v>
      </c>
      <c r="X567" s="387">
        <f t="shared" si="363"/>
        <v>-15</v>
      </c>
      <c r="Y567" s="301">
        <f t="shared" si="364"/>
        <v>2</v>
      </c>
      <c r="Z567" s="301">
        <f t="shared" si="365"/>
        <v>0</v>
      </c>
      <c r="AA567" s="323" t="str">
        <f>CONCATENATE("                x[team1,team2,sport,'",IF(OR(I567="x",I567=""),VLOOKUP('Schedule from TM'!J568,Tables!$P$3:$Q$33,2,FALSE),'Schedule from TM'!I568),",",J567,"','",IF(OR(F567="x",F567=""),VLOOKUP('Schedule from TM'!G568,Tables!$U$3:$V$14,2,FALSE),'Schedule from TM'!F568),",",TEXT(G567,"mm/dd/yyyy"),"','",TEXT(H567,"h:mm:ss AM/PM"),"'].ub=0.0      #",B567)</f>
        <v xml:space="preserve">                x[team1,team2,sport,'11,Hillel - Gym Basketball','11,11/23/2017','2:40:00 PM'].ub=0.0      #Junior B Male Basketball</v>
      </c>
      <c r="AB567" s="301" t="str">
        <f t="shared" si="366"/>
        <v>,,Junior B Male Basketball,Pool B,1,JR B M - ISR 1</v>
      </c>
      <c r="AC567" s="153" t="str">
        <f t="shared" si="367"/>
        <v>Junior B Male BasketballPool BJR B M - ISR 1</v>
      </c>
      <c r="AD567" s="301" t="str">
        <f t="shared" si="368"/>
        <v>,,Junior B Male Basketball,Pool B,1,JR B M - MEX</v>
      </c>
      <c r="AE567" s="153" t="str">
        <f t="shared" si="369"/>
        <v>Junior B Male BasketballPool BJR B M - MEX</v>
      </c>
      <c r="AF567" s="383">
        <f t="shared" si="370"/>
        <v>1</v>
      </c>
      <c r="AG567" s="383">
        <f t="shared" si="371"/>
        <v>0</v>
      </c>
      <c r="AH567" s="383">
        <f t="shared" si="372"/>
        <v>0</v>
      </c>
      <c r="AI567" s="383">
        <f t="shared" si="373"/>
        <v>0</v>
      </c>
      <c r="AJ567" s="383">
        <f t="shared" si="374"/>
        <v>1</v>
      </c>
      <c r="AK567" s="383">
        <f t="shared" si="375"/>
        <v>0</v>
      </c>
      <c r="AM567" s="148" t="str">
        <f t="shared" si="376"/>
        <v>Schedulled</v>
      </c>
      <c r="AN567" s="148" t="str">
        <f t="shared" si="377"/>
        <v/>
      </c>
      <c r="AO567" s="156">
        <f t="shared" si="378"/>
        <v>43062.611111111109</v>
      </c>
      <c r="AP567" s="148" t="str">
        <f t="shared" si="379"/>
        <v>11/23/2017 14:40-&gt;Hillel - Gym Basketball</v>
      </c>
      <c r="AQ567" s="374">
        <f t="shared" si="380"/>
        <v>1</v>
      </c>
      <c r="AR567" s="148" t="str">
        <f t="shared" si="381"/>
        <v>ISR1</v>
      </c>
      <c r="AS567" s="148" t="str">
        <f t="shared" si="382"/>
        <v>MEX</v>
      </c>
      <c r="AT567" s="157" t="str">
        <f t="shared" si="383"/>
        <v>ISR1-MEX</v>
      </c>
      <c r="AU567" s="157" t="str">
        <f t="shared" si="384"/>
        <v xml:space="preserve">ISR1-MEX </v>
      </c>
      <c r="AV567" s="157" t="str">
        <f t="shared" si="385"/>
        <v>JUNIORS B MALE</v>
      </c>
      <c r="AW567" s="157" t="str">
        <f t="shared" si="386"/>
        <v>Basketball</v>
      </c>
      <c r="AX567" s="376">
        <f t="shared" si="387"/>
        <v>565</v>
      </c>
      <c r="AY567" s="148" t="str">
        <f t="shared" si="388"/>
        <v>JR B M - ISR 1-&gt;JR B M - MEX</v>
      </c>
      <c r="AZ567" s="148" t="str">
        <f t="shared" si="389"/>
        <v>11/23/2017 14:40-&gt;JR B M - ISR 1</v>
      </c>
      <c r="BA567" s="148" t="str">
        <f t="shared" si="390"/>
        <v>11/23/2017 14:40-&gt;JR B M - MEX</v>
      </c>
      <c r="BB567" s="374">
        <f t="shared" si="391"/>
        <v>1</v>
      </c>
      <c r="BC567" s="374">
        <f t="shared" si="392"/>
        <v>1</v>
      </c>
      <c r="BD567" s="148" t="str">
        <f t="shared" si="393"/>
        <v>no conflict</v>
      </c>
      <c r="BF567" s="148" t="str">
        <f t="shared" si="394"/>
        <v>11/23/2017 14:40-&gt;JR B M - ISR 1</v>
      </c>
      <c r="BG567" s="148" t="str">
        <f t="shared" si="395"/>
        <v>11/23/2017 14:40-&gt;JR B M - MEX</v>
      </c>
      <c r="BH567" s="148" t="str">
        <f t="shared" si="396"/>
        <v>11/23/2017 14:40-&gt;Hillel - Gym Basketball</v>
      </c>
      <c r="BI567" s="148" t="str">
        <f t="shared" si="397"/>
        <v>Basketball in Hillel - Gym Basketball (ISR1-MEX)</v>
      </c>
      <c r="BJ567" s="148" t="str">
        <f t="shared" si="398"/>
        <v>Junior B Male Basketball-- JR B M - ISR 1 vs. JR B M - MEX</v>
      </c>
      <c r="BK567" s="148" t="str">
        <f t="shared" si="399"/>
        <v>Basketball</v>
      </c>
      <c r="BL567" s="148" t="str">
        <f t="shared" si="400"/>
        <v>JR B M - ISR 1</v>
      </c>
      <c r="BM567" s="148" t="str">
        <f t="shared" si="401"/>
        <v>JR B M - MEX</v>
      </c>
      <c r="BN567" s="148" t="str">
        <f t="shared" si="402"/>
        <v>Round - 1</v>
      </c>
      <c r="BP567" s="148" t="str">
        <f t="shared" si="403"/>
        <v>no t, f, or sf</v>
      </c>
      <c r="BQ567" s="148" t="str">
        <f t="shared" si="404"/>
        <v/>
      </c>
    </row>
    <row r="568" spans="1:69" ht="15" customHeight="1" x14ac:dyDescent="0.2">
      <c r="A568" s="376">
        <v>566</v>
      </c>
      <c r="B568" s="441" t="s">
        <v>76</v>
      </c>
      <c r="C568" s="441" t="s">
        <v>518</v>
      </c>
      <c r="D568" s="450">
        <v>1</v>
      </c>
      <c r="E568" s="450">
        <v>1</v>
      </c>
      <c r="F568" s="315" t="s">
        <v>770</v>
      </c>
      <c r="G568" s="320">
        <v>43062</v>
      </c>
      <c r="H568" s="317">
        <v>0.64583333333333337</v>
      </c>
      <c r="I568" s="325" t="s">
        <v>770</v>
      </c>
      <c r="J568" s="441" t="s">
        <v>696</v>
      </c>
      <c r="K568" s="441">
        <v>62</v>
      </c>
      <c r="L568" s="433" t="s">
        <v>648</v>
      </c>
      <c r="M568">
        <v>62</v>
      </c>
      <c r="N568" s="433" t="s">
        <v>650</v>
      </c>
      <c r="O568" s="153" t="str">
        <f>IF(L568&lt;&gt;"",IFERROR(VLOOKUP(B568&amp;L568,Pools!$A$2:$D$130,3,FALSE),""),"")</f>
        <v>Pool B</v>
      </c>
      <c r="P568" s="388">
        <v>22</v>
      </c>
      <c r="Q568" s="388">
        <v>40</v>
      </c>
      <c r="R568" s="306" t="str">
        <f t="shared" si="360"/>
        <v>22-40</v>
      </c>
      <c r="S568" s="153"/>
      <c r="T568" s="148" t="str">
        <f t="shared" si="361"/>
        <v>Completed</v>
      </c>
      <c r="U568" s="153"/>
      <c r="V568" s="153"/>
      <c r="W568" s="387">
        <f t="shared" si="362"/>
        <v>-15</v>
      </c>
      <c r="X568" s="387">
        <f t="shared" si="363"/>
        <v>15</v>
      </c>
      <c r="Y568" s="301">
        <f t="shared" si="364"/>
        <v>0</v>
      </c>
      <c r="Z568" s="301">
        <f t="shared" si="365"/>
        <v>2</v>
      </c>
      <c r="AA568" s="323" t="str">
        <f>CONCATENATE("                x[team1,team2,sport,'",IF(OR(I568="x",I568=""),VLOOKUP('Schedule from TM'!J569,Tables!$P$3:$Q$33,2,FALSE),'Schedule from TM'!I569),",",J568,"','",IF(OR(F568="x",F568=""),VLOOKUP('Schedule from TM'!G569,Tables!$U$3:$V$14,2,FALSE),'Schedule from TM'!F569),",",TEXT(G568,"mm/dd/yyyy"),"','",TEXT(H568,"h:mm:ss AM/PM"),"'].ub=0.0      #",B568)</f>
        <v xml:space="preserve">                x[team1,team2,sport,'21,JCC Gym North','11,11/23/2017','3:30:00 PM'].ub=0.0      #Junior B Male Basketball</v>
      </c>
      <c r="AB568" s="301" t="str">
        <f t="shared" si="366"/>
        <v>,,Junior B Male Basketball,Pool B,1,JR B M - ARG 1</v>
      </c>
      <c r="AC568" s="153" t="str">
        <f t="shared" si="367"/>
        <v>Junior B Male BasketballPool BJR B M - ARG 1</v>
      </c>
      <c r="AD568" s="301" t="str">
        <f t="shared" si="368"/>
        <v>,,Junior B Male Basketball,Pool B,1,JR B M - COL 1</v>
      </c>
      <c r="AE568" s="153" t="str">
        <f t="shared" si="369"/>
        <v>Junior B Male BasketballPool BJR B M - COL 1</v>
      </c>
      <c r="AF568" s="383">
        <f t="shared" si="370"/>
        <v>0</v>
      </c>
      <c r="AG568" s="383">
        <f t="shared" si="371"/>
        <v>1</v>
      </c>
      <c r="AH568" s="383">
        <f t="shared" si="372"/>
        <v>0</v>
      </c>
      <c r="AI568" s="383">
        <f t="shared" si="373"/>
        <v>1</v>
      </c>
      <c r="AJ568" s="383">
        <f t="shared" si="374"/>
        <v>0</v>
      </c>
      <c r="AK568" s="383">
        <f t="shared" si="375"/>
        <v>0</v>
      </c>
      <c r="AM568" s="148" t="str">
        <f t="shared" si="376"/>
        <v>Schedulled</v>
      </c>
      <c r="AN568" s="148" t="str">
        <f t="shared" si="377"/>
        <v/>
      </c>
      <c r="AO568" s="156">
        <f t="shared" si="378"/>
        <v>43062.645833333336</v>
      </c>
      <c r="AP568" s="148" t="str">
        <f t="shared" si="379"/>
        <v>11/23/2017 15:30-&gt;JCC Gym North</v>
      </c>
      <c r="AQ568" s="374">
        <f t="shared" si="380"/>
        <v>1</v>
      </c>
      <c r="AR568" s="148" t="str">
        <f t="shared" si="381"/>
        <v>ARG1</v>
      </c>
      <c r="AS568" s="148" t="str">
        <f t="shared" si="382"/>
        <v>COL1</v>
      </c>
      <c r="AT568" s="157" t="str">
        <f t="shared" si="383"/>
        <v>ARG1-COL1</v>
      </c>
      <c r="AU568" s="157" t="str">
        <f t="shared" si="384"/>
        <v xml:space="preserve">ARG1-COL1 </v>
      </c>
      <c r="AV568" s="157" t="str">
        <f t="shared" si="385"/>
        <v>JUNIORS B MALE</v>
      </c>
      <c r="AW568" s="157" t="str">
        <f t="shared" si="386"/>
        <v>Basketball</v>
      </c>
      <c r="AX568" s="376">
        <f t="shared" si="387"/>
        <v>566</v>
      </c>
      <c r="AY568" s="148" t="str">
        <f t="shared" si="388"/>
        <v>JR B M - ARG 1-&gt;JR B M - COL 1</v>
      </c>
      <c r="AZ568" s="148" t="str">
        <f t="shared" si="389"/>
        <v>11/23/2017 15:30-&gt;JR B M - ARG 1</v>
      </c>
      <c r="BA568" s="148" t="str">
        <f t="shared" si="390"/>
        <v>11/23/2017 15:30-&gt;JR B M - COL 1</v>
      </c>
      <c r="BB568" s="374">
        <f t="shared" si="391"/>
        <v>1</v>
      </c>
      <c r="BC568" s="374">
        <f t="shared" si="392"/>
        <v>1</v>
      </c>
      <c r="BD568" s="148" t="str">
        <f t="shared" si="393"/>
        <v>no conflict</v>
      </c>
      <c r="BF568" s="148" t="str">
        <f t="shared" si="394"/>
        <v>11/23/2017 15:30-&gt;JR B M - ARG 1</v>
      </c>
      <c r="BG568" s="148" t="str">
        <f t="shared" si="395"/>
        <v>11/23/2017 15:30-&gt;JR B M - COL 1</v>
      </c>
      <c r="BH568" s="148" t="str">
        <f t="shared" si="396"/>
        <v>11/23/2017 15:30-&gt;JCC Gym North</v>
      </c>
      <c r="BI568" s="148" t="str">
        <f t="shared" si="397"/>
        <v>Basketball in JCC Gym North (ARG1-COL1)</v>
      </c>
      <c r="BJ568" s="148" t="str">
        <f t="shared" si="398"/>
        <v>Junior B Male Basketball-- JR B M - ARG 1 vs. JR B M - COL 1</v>
      </c>
      <c r="BK568" s="148" t="str">
        <f t="shared" si="399"/>
        <v>Basketball</v>
      </c>
      <c r="BL568" s="148" t="str">
        <f t="shared" si="400"/>
        <v>JR B M - ARG 1</v>
      </c>
      <c r="BM568" s="148" t="str">
        <f t="shared" si="401"/>
        <v>JR B M - COL 1</v>
      </c>
      <c r="BN568" s="148" t="str">
        <f t="shared" si="402"/>
        <v>Round - 1</v>
      </c>
      <c r="BP568" s="148" t="str">
        <f t="shared" si="403"/>
        <v>no t, f, or sf</v>
      </c>
      <c r="BQ568" s="148" t="str">
        <f t="shared" si="404"/>
        <v/>
      </c>
    </row>
    <row r="569" spans="1:69" ht="15" customHeight="1" x14ac:dyDescent="0.2">
      <c r="A569" s="376">
        <v>567</v>
      </c>
      <c r="B569" s="441" t="s">
        <v>76</v>
      </c>
      <c r="C569" s="441" t="s">
        <v>518</v>
      </c>
      <c r="D569" s="450">
        <v>1</v>
      </c>
      <c r="E569" s="450">
        <v>1</v>
      </c>
      <c r="F569" s="315" t="s">
        <v>770</v>
      </c>
      <c r="G569" s="320">
        <v>43062</v>
      </c>
      <c r="H569" s="317">
        <v>0.64583333333333337</v>
      </c>
      <c r="I569" s="325" t="s">
        <v>770</v>
      </c>
      <c r="J569" s="441" t="s">
        <v>707</v>
      </c>
      <c r="K569" s="441">
        <v>62</v>
      </c>
      <c r="L569" s="433" t="s">
        <v>653</v>
      </c>
      <c r="M569">
        <v>62</v>
      </c>
      <c r="N569" s="433" t="s">
        <v>654</v>
      </c>
      <c r="O569" s="153" t="str">
        <f>IF(L569&lt;&gt;"",IFERROR(VLOOKUP(B569&amp;L569,Pools!$A$2:$D$130,3,FALSE),""),"")</f>
        <v>Pool A</v>
      </c>
      <c r="P569" s="388">
        <v>43</v>
      </c>
      <c r="Q569" s="388">
        <v>41</v>
      </c>
      <c r="R569" s="306" t="str">
        <f t="shared" si="360"/>
        <v>43-41</v>
      </c>
      <c r="S569" s="153"/>
      <c r="T569" s="148" t="str">
        <f t="shared" si="361"/>
        <v>Completed</v>
      </c>
      <c r="U569" s="153"/>
      <c r="V569" s="153"/>
      <c r="W569" s="387">
        <f t="shared" si="362"/>
        <v>2</v>
      </c>
      <c r="X569" s="387">
        <f t="shared" si="363"/>
        <v>-2</v>
      </c>
      <c r="Y569" s="301">
        <f t="shared" si="364"/>
        <v>2</v>
      </c>
      <c r="Z569" s="301">
        <f t="shared" si="365"/>
        <v>0</v>
      </c>
      <c r="AA569" s="323" t="str">
        <f>CONCATENATE("                x[team1,team2,sport,'",IF(OR(I569="x",I569=""),VLOOKUP('Schedule from TM'!J570,Tables!$P$3:$Q$33,2,FALSE),'Schedule from TM'!I570),",",J569,"','",IF(OR(F569="x",F569=""),VLOOKUP('Schedule from TM'!G570,Tables!$U$3:$V$14,2,FALSE),'Schedule from TM'!F570),",",TEXT(G569,"mm/dd/yyyy"),"','",TEXT(H569,"h:mm:ss AM/PM"),"'].ub=0.0      #",B569)</f>
        <v xml:space="preserve">                x[team1,team2,sport,'11,Hillel - Gym Basketball','11,11/23/2017','3:30:00 PM'].ub=0.0      #Junior B Male Basketball</v>
      </c>
      <c r="AB569" s="301" t="str">
        <f t="shared" si="366"/>
        <v>,,Junior B Male Basketball,Pool A,1,JR B M - PER</v>
      </c>
      <c r="AC569" s="153" t="str">
        <f t="shared" si="367"/>
        <v>Junior B Male BasketballPool AJR B M - PER</v>
      </c>
      <c r="AD569" s="301" t="str">
        <f t="shared" si="368"/>
        <v>,,Junior B Male Basketball,Pool A,1,JR B M - USA 1</v>
      </c>
      <c r="AE569" s="153" t="str">
        <f t="shared" si="369"/>
        <v>Junior B Male BasketballPool AJR B M - USA 1</v>
      </c>
      <c r="AF569" s="383">
        <f t="shared" si="370"/>
        <v>1</v>
      </c>
      <c r="AG569" s="383">
        <f t="shared" si="371"/>
        <v>0</v>
      </c>
      <c r="AH569" s="383">
        <f t="shared" si="372"/>
        <v>0</v>
      </c>
      <c r="AI569" s="383">
        <f t="shared" si="373"/>
        <v>0</v>
      </c>
      <c r="AJ569" s="383">
        <f t="shared" si="374"/>
        <v>1</v>
      </c>
      <c r="AK569" s="383">
        <f t="shared" si="375"/>
        <v>0</v>
      </c>
      <c r="AM569" s="148" t="str">
        <f t="shared" si="376"/>
        <v>Schedulled</v>
      </c>
      <c r="AN569" s="148" t="str">
        <f t="shared" si="377"/>
        <v/>
      </c>
      <c r="AO569" s="156">
        <f t="shared" si="378"/>
        <v>43062.645833333336</v>
      </c>
      <c r="AP569" s="148" t="str">
        <f t="shared" si="379"/>
        <v>11/23/2017 15:30-&gt;Hillel - Gym Basketball</v>
      </c>
      <c r="AQ569" s="374">
        <f t="shared" si="380"/>
        <v>1</v>
      </c>
      <c r="AR569" s="148" t="str">
        <f t="shared" si="381"/>
        <v>PER</v>
      </c>
      <c r="AS569" s="148" t="str">
        <f t="shared" si="382"/>
        <v>USA1</v>
      </c>
      <c r="AT569" s="157" t="str">
        <f t="shared" si="383"/>
        <v>PER-USA1</v>
      </c>
      <c r="AU569" s="157" t="str">
        <f t="shared" si="384"/>
        <v xml:space="preserve">PER-USA1 </v>
      </c>
      <c r="AV569" s="157" t="str">
        <f t="shared" si="385"/>
        <v>JUNIORS B MALE</v>
      </c>
      <c r="AW569" s="157" t="str">
        <f t="shared" si="386"/>
        <v>Basketball</v>
      </c>
      <c r="AX569" s="376">
        <f t="shared" si="387"/>
        <v>567</v>
      </c>
      <c r="AY569" s="148" t="str">
        <f t="shared" si="388"/>
        <v>JR B M - PER-&gt;JR B M - USA 1</v>
      </c>
      <c r="AZ569" s="148" t="str">
        <f t="shared" si="389"/>
        <v>11/23/2017 15:30-&gt;JR B M - PER</v>
      </c>
      <c r="BA569" s="148" t="str">
        <f t="shared" si="390"/>
        <v>11/23/2017 15:30-&gt;JR B M - USA 1</v>
      </c>
      <c r="BB569" s="374">
        <f t="shared" si="391"/>
        <v>1</v>
      </c>
      <c r="BC569" s="374">
        <f t="shared" si="392"/>
        <v>1</v>
      </c>
      <c r="BD569" s="148" t="str">
        <f t="shared" si="393"/>
        <v>no conflict</v>
      </c>
      <c r="BF569" s="148" t="str">
        <f t="shared" si="394"/>
        <v>11/23/2017 15:30-&gt;JR B M - PER</v>
      </c>
      <c r="BG569" s="148" t="str">
        <f t="shared" si="395"/>
        <v>11/23/2017 15:30-&gt;JR B M - USA 1</v>
      </c>
      <c r="BH569" s="148" t="str">
        <f t="shared" si="396"/>
        <v>11/23/2017 15:30-&gt;Hillel - Gym Basketball</v>
      </c>
      <c r="BI569" s="148" t="str">
        <f t="shared" si="397"/>
        <v>Basketball in Hillel - Gym Basketball (PER-USA1)</v>
      </c>
      <c r="BJ569" s="148" t="str">
        <f t="shared" si="398"/>
        <v>Junior B Male Basketball-- JR B M - PER vs. JR B M - USA 1</v>
      </c>
      <c r="BK569" s="148" t="str">
        <f t="shared" si="399"/>
        <v>Basketball</v>
      </c>
      <c r="BL569" s="148" t="str">
        <f t="shared" si="400"/>
        <v>JR B M - PER</v>
      </c>
      <c r="BM569" s="148" t="str">
        <f t="shared" si="401"/>
        <v>JR B M - USA 1</v>
      </c>
      <c r="BN569" s="148" t="str">
        <f t="shared" si="402"/>
        <v>Round - 1</v>
      </c>
      <c r="BP569" s="148" t="str">
        <f t="shared" si="403"/>
        <v>no t, f, or sf</v>
      </c>
      <c r="BQ569" s="148" t="str">
        <f t="shared" si="404"/>
        <v/>
      </c>
    </row>
    <row r="570" spans="1:69" ht="15" customHeight="1" x14ac:dyDescent="0.2">
      <c r="A570" s="376">
        <v>568</v>
      </c>
      <c r="B570" s="441" t="s">
        <v>76</v>
      </c>
      <c r="C570" s="441" t="s">
        <v>518</v>
      </c>
      <c r="D570" s="450">
        <v>1</v>
      </c>
      <c r="E570" s="450">
        <v>1</v>
      </c>
      <c r="F570" s="315" t="s">
        <v>770</v>
      </c>
      <c r="G570" s="320">
        <v>43062</v>
      </c>
      <c r="H570" s="317">
        <v>0.68055555555555547</v>
      </c>
      <c r="I570" s="325" t="s">
        <v>770</v>
      </c>
      <c r="J570" s="441" t="s">
        <v>696</v>
      </c>
      <c r="K570" s="441">
        <v>62</v>
      </c>
      <c r="L570" s="433" t="s">
        <v>655</v>
      </c>
      <c r="M570">
        <v>62</v>
      </c>
      <c r="N570" s="433" t="s">
        <v>656</v>
      </c>
      <c r="O570" s="153" t="str">
        <f>IF(L570&lt;&gt;"",IFERROR(VLOOKUP(B570&amp;L570,Pools!$A$2:$D$130,3,FALSE),""),"")</f>
        <v>Pool A</v>
      </c>
      <c r="P570" s="388">
        <v>29</v>
      </c>
      <c r="Q570" s="388">
        <v>33</v>
      </c>
      <c r="R570" s="306" t="str">
        <f t="shared" si="360"/>
        <v>29-33</v>
      </c>
      <c r="S570" s="153"/>
      <c r="T570" s="148" t="str">
        <f t="shared" si="361"/>
        <v>Completed</v>
      </c>
      <c r="U570" s="153"/>
      <c r="V570" s="153"/>
      <c r="W570" s="387">
        <f t="shared" si="362"/>
        <v>-4</v>
      </c>
      <c r="X570" s="387">
        <f t="shared" si="363"/>
        <v>4</v>
      </c>
      <c r="Y570" s="301">
        <f t="shared" si="364"/>
        <v>0</v>
      </c>
      <c r="Z570" s="301">
        <f t="shared" si="365"/>
        <v>2</v>
      </c>
      <c r="AA570" s="323" t="str">
        <f>CONCATENATE("                x[team1,team2,sport,'",IF(OR(I570="x",I570=""),VLOOKUP('Schedule from TM'!J571,Tables!$P$3:$Q$33,2,FALSE),'Schedule from TM'!I571),",",J570,"','",IF(OR(F570="x",F570=""),VLOOKUP('Schedule from TM'!G571,Tables!$U$3:$V$14,2,FALSE),'Schedule from TM'!F571),",",TEXT(G570,"mm/dd/yyyy"),"','",TEXT(H570,"h:mm:ss AM/PM"),"'].ub=0.0      #",B570)</f>
        <v xml:space="preserve">                x[team1,team2,sport,'11,JCC Gym North','11,11/23/2017','4:20:00 PM'].ub=0.0      #Junior B Male Basketball</v>
      </c>
      <c r="AB570" s="301" t="str">
        <f t="shared" si="366"/>
        <v>,,Junior B Male Basketball,Pool A,1,JR B M - USA 2</v>
      </c>
      <c r="AC570" s="153" t="str">
        <f t="shared" si="367"/>
        <v>Junior B Male BasketballPool AJR B M - USA 2</v>
      </c>
      <c r="AD570" s="301" t="str">
        <f t="shared" si="368"/>
        <v>,,Junior B Male Basketball,Pool A,1,JR B M - VEN 1</v>
      </c>
      <c r="AE570" s="153" t="str">
        <f t="shared" si="369"/>
        <v>Junior B Male BasketballPool AJR B M - VEN 1</v>
      </c>
      <c r="AF570" s="383">
        <f t="shared" si="370"/>
        <v>0</v>
      </c>
      <c r="AG570" s="383">
        <f t="shared" si="371"/>
        <v>1</v>
      </c>
      <c r="AH570" s="383">
        <f t="shared" si="372"/>
        <v>0</v>
      </c>
      <c r="AI570" s="383">
        <f t="shared" si="373"/>
        <v>1</v>
      </c>
      <c r="AJ570" s="383">
        <f t="shared" si="374"/>
        <v>0</v>
      </c>
      <c r="AK570" s="383">
        <f t="shared" si="375"/>
        <v>0</v>
      </c>
      <c r="AM570" s="148" t="str">
        <f t="shared" si="376"/>
        <v>Schedulled</v>
      </c>
      <c r="AN570" s="148" t="str">
        <f t="shared" si="377"/>
        <v/>
      </c>
      <c r="AO570" s="156">
        <f t="shared" si="378"/>
        <v>43062.680555555555</v>
      </c>
      <c r="AP570" s="148" t="str">
        <f t="shared" si="379"/>
        <v>11/23/2017 16:20-&gt;JCC Gym North</v>
      </c>
      <c r="AQ570" s="374">
        <f t="shared" si="380"/>
        <v>1</v>
      </c>
      <c r="AR570" s="148" t="str">
        <f t="shared" si="381"/>
        <v>USA2</v>
      </c>
      <c r="AS570" s="148" t="str">
        <f t="shared" si="382"/>
        <v>VEN1</v>
      </c>
      <c r="AT570" s="157" t="str">
        <f t="shared" si="383"/>
        <v>USA2-VEN1</v>
      </c>
      <c r="AU570" s="157" t="str">
        <f t="shared" si="384"/>
        <v xml:space="preserve">USA2-VEN1 </v>
      </c>
      <c r="AV570" s="157" t="str">
        <f t="shared" si="385"/>
        <v>JUNIORS B MALE</v>
      </c>
      <c r="AW570" s="157" t="str">
        <f t="shared" si="386"/>
        <v>Basketball</v>
      </c>
      <c r="AX570" s="376">
        <f t="shared" si="387"/>
        <v>568</v>
      </c>
      <c r="AY570" s="148" t="str">
        <f t="shared" si="388"/>
        <v>JR B M - USA 2-&gt;JR B M - VEN 1</v>
      </c>
      <c r="AZ570" s="148" t="str">
        <f t="shared" si="389"/>
        <v>11/23/2017 16:20-&gt;JR B M - USA 2</v>
      </c>
      <c r="BA570" s="148" t="str">
        <f t="shared" si="390"/>
        <v>11/23/2017 16:20-&gt;JR B M - VEN 1</v>
      </c>
      <c r="BB570" s="374">
        <f t="shared" si="391"/>
        <v>1</v>
      </c>
      <c r="BC570" s="374">
        <f t="shared" si="392"/>
        <v>1</v>
      </c>
      <c r="BD570" s="148" t="str">
        <f t="shared" si="393"/>
        <v>no conflict</v>
      </c>
      <c r="BF570" s="148" t="str">
        <f t="shared" si="394"/>
        <v>11/23/2017 16:20-&gt;JR B M - USA 2</v>
      </c>
      <c r="BG570" s="148" t="str">
        <f t="shared" si="395"/>
        <v>11/23/2017 16:20-&gt;JR B M - VEN 1</v>
      </c>
      <c r="BH570" s="148" t="str">
        <f t="shared" si="396"/>
        <v>11/23/2017 16:20-&gt;JCC Gym North</v>
      </c>
      <c r="BI570" s="148" t="str">
        <f t="shared" si="397"/>
        <v>Basketball in JCC Gym North (USA2-VEN1)</v>
      </c>
      <c r="BJ570" s="148" t="str">
        <f t="shared" si="398"/>
        <v>Junior B Male Basketball-- JR B M - USA 2 vs. JR B M - VEN 1</v>
      </c>
      <c r="BK570" s="148" t="str">
        <f t="shared" si="399"/>
        <v>Basketball</v>
      </c>
      <c r="BL570" s="148" t="str">
        <f t="shared" si="400"/>
        <v>JR B M - USA 2</v>
      </c>
      <c r="BM570" s="148" t="str">
        <f t="shared" si="401"/>
        <v>JR B M - VEN 1</v>
      </c>
      <c r="BN570" s="148" t="str">
        <f t="shared" si="402"/>
        <v>Round - 1</v>
      </c>
      <c r="BP570" s="148" t="str">
        <f t="shared" si="403"/>
        <v>no t, f, or sf</v>
      </c>
      <c r="BQ570" s="148" t="str">
        <f t="shared" si="404"/>
        <v/>
      </c>
    </row>
    <row r="571" spans="1:69" ht="15" customHeight="1" x14ac:dyDescent="0.2">
      <c r="A571" s="376">
        <v>569</v>
      </c>
      <c r="B571" s="444" t="s">
        <v>76</v>
      </c>
      <c r="C571" s="444" t="s">
        <v>518</v>
      </c>
      <c r="D571" s="451">
        <v>1</v>
      </c>
      <c r="E571" s="451">
        <v>1</v>
      </c>
      <c r="F571" s="315" t="s">
        <v>770</v>
      </c>
      <c r="G571" s="445">
        <v>43063</v>
      </c>
      <c r="H571" s="454">
        <v>0.47222222222222227</v>
      </c>
      <c r="I571" s="325" t="s">
        <v>770</v>
      </c>
      <c r="J571" s="444" t="s">
        <v>696</v>
      </c>
      <c r="K571" s="444">
        <v>62</v>
      </c>
      <c r="L571" s="433" t="s">
        <v>650</v>
      </c>
      <c r="M571" s="433">
        <v>62</v>
      </c>
      <c r="N571" s="433" t="s">
        <v>651</v>
      </c>
      <c r="O571" s="153" t="str">
        <f>IF(L571&lt;&gt;"",IFERROR(VLOOKUP(B571&amp;L571,Pools!$A$2:$D$130,3,FALSE),""),"")</f>
        <v>Pool B</v>
      </c>
      <c r="P571" s="388">
        <v>27</v>
      </c>
      <c r="Q571" s="388">
        <v>38</v>
      </c>
      <c r="R571" s="306" t="str">
        <f t="shared" si="360"/>
        <v>27-38</v>
      </c>
      <c r="S571" s="153"/>
      <c r="T571" s="148" t="str">
        <f t="shared" si="361"/>
        <v>Completed</v>
      </c>
      <c r="U571" s="153"/>
      <c r="V571" s="153"/>
      <c r="W571" s="387">
        <f t="shared" si="362"/>
        <v>-11</v>
      </c>
      <c r="X571" s="387">
        <f t="shared" si="363"/>
        <v>11</v>
      </c>
      <c r="Y571" s="301">
        <f t="shared" si="364"/>
        <v>0</v>
      </c>
      <c r="Z571" s="301">
        <f t="shared" si="365"/>
        <v>2</v>
      </c>
      <c r="AA571" s="323" t="str">
        <f>CONCATENATE("                x[team1,team2,sport,'",IF(OR(I571="x",I571=""),VLOOKUP('Schedule from TM'!J572,Tables!$P$3:$Q$33,2,FALSE),'Schedule from TM'!I572),",",J571,"','",IF(OR(F571="x",F571=""),VLOOKUP('Schedule from TM'!G572,Tables!$U$3:$V$14,2,FALSE),'Schedule from TM'!F572),",",TEXT(G571,"mm/dd/yyyy"),"','",TEXT(H571,"h:mm:ss AM/PM"),"'].ub=0.0      #",B571)</f>
        <v xml:space="preserve">                x[team1,team2,sport,'21,JCC Gym North','11,11/24/2017','11:20:00 AM'].ub=0.0      #Junior B Male Basketball</v>
      </c>
      <c r="AB571" s="301" t="str">
        <f t="shared" si="366"/>
        <v>,,Junior B Male Basketball,Pool B,1,JR B M - COL 1</v>
      </c>
      <c r="AC571" s="153" t="str">
        <f t="shared" si="367"/>
        <v>Junior B Male BasketballPool BJR B M - COL 1</v>
      </c>
      <c r="AD571" s="301" t="str">
        <f t="shared" si="368"/>
        <v>,,Junior B Male Basketball,Pool B,1,JR B M - ISR 1</v>
      </c>
      <c r="AE571" s="153" t="str">
        <f t="shared" si="369"/>
        <v>Junior B Male BasketballPool BJR B M - ISR 1</v>
      </c>
      <c r="AF571" s="383">
        <f t="shared" si="370"/>
        <v>0</v>
      </c>
      <c r="AG571" s="383">
        <f t="shared" si="371"/>
        <v>1</v>
      </c>
      <c r="AH571" s="383">
        <f t="shared" si="372"/>
        <v>0</v>
      </c>
      <c r="AI571" s="383">
        <f t="shared" si="373"/>
        <v>1</v>
      </c>
      <c r="AJ571" s="383">
        <f t="shared" si="374"/>
        <v>0</v>
      </c>
      <c r="AK571" s="383">
        <f t="shared" si="375"/>
        <v>0</v>
      </c>
      <c r="AM571" s="148" t="str">
        <f t="shared" si="376"/>
        <v>Schedulled</v>
      </c>
      <c r="AN571" s="148" t="str">
        <f t="shared" si="377"/>
        <v/>
      </c>
      <c r="AO571" s="156">
        <f t="shared" si="378"/>
        <v>43063.472222222219</v>
      </c>
      <c r="AP571" s="148" t="str">
        <f t="shared" si="379"/>
        <v>11/24/2017 11:20-&gt;JCC Gym North</v>
      </c>
      <c r="AQ571" s="374">
        <f t="shared" si="380"/>
        <v>1</v>
      </c>
      <c r="AR571" s="148" t="str">
        <f t="shared" si="381"/>
        <v>COL1</v>
      </c>
      <c r="AS571" s="148" t="str">
        <f t="shared" si="382"/>
        <v>ISR1</v>
      </c>
      <c r="AT571" s="157" t="str">
        <f t="shared" si="383"/>
        <v>COL1-ISR1</v>
      </c>
      <c r="AU571" s="157" t="str">
        <f t="shared" si="384"/>
        <v xml:space="preserve">COL1-ISR1 </v>
      </c>
      <c r="AV571" s="157" t="str">
        <f t="shared" si="385"/>
        <v>JUNIORS B MALE</v>
      </c>
      <c r="AW571" s="157" t="str">
        <f t="shared" si="386"/>
        <v>Basketball</v>
      </c>
      <c r="AX571" s="376">
        <f t="shared" si="387"/>
        <v>569</v>
      </c>
      <c r="AY571" s="148" t="str">
        <f t="shared" si="388"/>
        <v>JR B M - COL 1-&gt;JR B M - ISR 1</v>
      </c>
      <c r="AZ571" s="148" t="str">
        <f t="shared" si="389"/>
        <v>11/24/2017 11:20-&gt;JR B M - COL 1</v>
      </c>
      <c r="BA571" s="148" t="str">
        <f t="shared" si="390"/>
        <v>11/24/2017 11:20-&gt;JR B M - ISR 1</v>
      </c>
      <c r="BB571" s="374">
        <f t="shared" si="391"/>
        <v>1</v>
      </c>
      <c r="BC571" s="374">
        <f t="shared" si="392"/>
        <v>1</v>
      </c>
      <c r="BD571" s="148" t="str">
        <f t="shared" si="393"/>
        <v>no conflict</v>
      </c>
      <c r="BF571" s="148" t="str">
        <f t="shared" si="394"/>
        <v>11/24/2017 11:20-&gt;JR B M - COL 1</v>
      </c>
      <c r="BG571" s="148" t="str">
        <f t="shared" si="395"/>
        <v>11/24/2017 11:20-&gt;JR B M - ISR 1</v>
      </c>
      <c r="BH571" s="148" t="str">
        <f t="shared" si="396"/>
        <v>11/24/2017 11:20-&gt;JCC Gym North</v>
      </c>
      <c r="BI571" s="148" t="str">
        <f t="shared" si="397"/>
        <v>Basketball in JCC Gym North (COL1-ISR1)</v>
      </c>
      <c r="BJ571" s="148" t="str">
        <f t="shared" si="398"/>
        <v>Junior B Male Basketball-- JR B M - COL 1 vs. JR B M - ISR 1</v>
      </c>
      <c r="BK571" s="148" t="str">
        <f t="shared" si="399"/>
        <v>Basketball</v>
      </c>
      <c r="BL571" s="148" t="str">
        <f t="shared" si="400"/>
        <v>JR B M - COL 1</v>
      </c>
      <c r="BM571" s="148" t="str">
        <f t="shared" si="401"/>
        <v>JR B M - ISR 1</v>
      </c>
      <c r="BN571" s="148" t="str">
        <f t="shared" si="402"/>
        <v>Round - 1</v>
      </c>
      <c r="BP571" s="148" t="str">
        <f t="shared" si="403"/>
        <v>no t, f, or sf</v>
      </c>
      <c r="BQ571" s="148" t="str">
        <f t="shared" si="404"/>
        <v/>
      </c>
    </row>
    <row r="572" spans="1:69" ht="15" customHeight="1" x14ac:dyDescent="0.2">
      <c r="A572" s="376">
        <v>570</v>
      </c>
      <c r="B572" s="441" t="s">
        <v>77</v>
      </c>
      <c r="C572" s="441" t="s">
        <v>518</v>
      </c>
      <c r="D572" s="450">
        <v>1</v>
      </c>
      <c r="E572" s="450">
        <v>1</v>
      </c>
      <c r="F572" s="315" t="s">
        <v>770</v>
      </c>
      <c r="G572" s="320">
        <v>43058</v>
      </c>
      <c r="H572" s="317">
        <v>0.61111111111111105</v>
      </c>
      <c r="I572" s="325" t="s">
        <v>770</v>
      </c>
      <c r="J572" s="441" t="s">
        <v>705</v>
      </c>
      <c r="K572" s="441">
        <v>62</v>
      </c>
      <c r="L572" s="433" t="s">
        <v>648</v>
      </c>
      <c r="M572">
        <v>62</v>
      </c>
      <c r="N572" s="433" t="s">
        <v>655</v>
      </c>
      <c r="O572" s="153" t="str">
        <f>IF(L572&lt;&gt;"",IFERROR(VLOOKUP(B572&amp;L572,Pools!$A$2:$D$130,3,FALSE),""),"")</f>
        <v>Pool A</v>
      </c>
      <c r="P572" s="388">
        <v>12</v>
      </c>
      <c r="Q572" s="388">
        <v>35</v>
      </c>
      <c r="R572" s="306" t="str">
        <f t="shared" si="360"/>
        <v>12-35</v>
      </c>
      <c r="S572" s="153"/>
      <c r="T572" s="148" t="str">
        <f t="shared" si="361"/>
        <v>Completed</v>
      </c>
      <c r="U572" s="153"/>
      <c r="V572" s="153"/>
      <c r="W572" s="387">
        <f t="shared" si="362"/>
        <v>-21</v>
      </c>
      <c r="X572" s="387">
        <f t="shared" si="363"/>
        <v>21</v>
      </c>
      <c r="Y572" s="301">
        <f t="shared" si="364"/>
        <v>0</v>
      </c>
      <c r="Z572" s="301">
        <f t="shared" si="365"/>
        <v>2</v>
      </c>
      <c r="AA572" s="323" t="str">
        <f>CONCATENATE("                x[team1,team2,sport,'",IF(OR(I572="x",I572=""),VLOOKUP('Schedule from TM'!J573,Tables!$P$3:$Q$33,2,FALSE),'Schedule from TM'!I573),",",J572,"','",IF(OR(F572="x",F572=""),VLOOKUP('Schedule from TM'!G573,Tables!$U$3:$V$14,2,FALSE),'Schedule from TM'!F573),",",TEXT(G572,"mm/dd/yyyy"),"','",TEXT(H572,"h:mm:ss AM/PM"),"'].ub=0.0      #",B572)</f>
        <v xml:space="preserve">                x[team1,team2,sport,'21,Hillel - Field 3','11,11/19/2017','2:40:00 PM'].ub=0.0      #Junior B Male Flag Football</v>
      </c>
      <c r="AB572" s="301" t="str">
        <f t="shared" si="366"/>
        <v>,,Junior B Male Flag Football,Pool A,1,JR B M - ARG 1</v>
      </c>
      <c r="AC572" s="153" t="str">
        <f t="shared" si="367"/>
        <v>Junior B Male Flag FootballPool AJR B M - ARG 1</v>
      </c>
      <c r="AD572" s="301" t="str">
        <f t="shared" si="368"/>
        <v>,,Junior B Male Flag Football,Pool A,1,JR B M - USA 2</v>
      </c>
      <c r="AE572" s="153" t="str">
        <f t="shared" si="369"/>
        <v>Junior B Male Flag FootballPool AJR B M - USA 2</v>
      </c>
      <c r="AF572" s="383">
        <f t="shared" si="370"/>
        <v>0</v>
      </c>
      <c r="AG572" s="383">
        <f t="shared" si="371"/>
        <v>1</v>
      </c>
      <c r="AH572" s="383">
        <f t="shared" si="372"/>
        <v>0</v>
      </c>
      <c r="AI572" s="383">
        <f t="shared" si="373"/>
        <v>1</v>
      </c>
      <c r="AJ572" s="383">
        <f t="shared" si="374"/>
        <v>0</v>
      </c>
      <c r="AK572" s="383">
        <f t="shared" si="375"/>
        <v>0</v>
      </c>
      <c r="AM572" s="148" t="str">
        <f t="shared" si="376"/>
        <v>Schedulled</v>
      </c>
      <c r="AN572" s="148" t="str">
        <f t="shared" si="377"/>
        <v/>
      </c>
      <c r="AO572" s="156">
        <f t="shared" si="378"/>
        <v>43058.611111111109</v>
      </c>
      <c r="AP572" s="148" t="str">
        <f t="shared" si="379"/>
        <v>11/19/2017 14:40-&gt;Hillel - Field 3</v>
      </c>
      <c r="AQ572" s="374">
        <f t="shared" si="380"/>
        <v>1</v>
      </c>
      <c r="AR572" s="148" t="str">
        <f t="shared" si="381"/>
        <v>ARG1</v>
      </c>
      <c r="AS572" s="148" t="str">
        <f t="shared" si="382"/>
        <v>USA2</v>
      </c>
      <c r="AT572" s="157" t="str">
        <f t="shared" si="383"/>
        <v>ARG1-USA2</v>
      </c>
      <c r="AU572" s="157" t="str">
        <f t="shared" si="384"/>
        <v xml:space="preserve">ARG1-USA2 </v>
      </c>
      <c r="AV572" s="157" t="str">
        <f t="shared" si="385"/>
        <v>JUNIORS B MALE</v>
      </c>
      <c r="AW572" s="157" t="str">
        <f t="shared" si="386"/>
        <v>Flag Football</v>
      </c>
      <c r="AX572" s="376">
        <f t="shared" si="387"/>
        <v>570</v>
      </c>
      <c r="AY572" s="148" t="str">
        <f t="shared" si="388"/>
        <v>JR B M - ARG 1-&gt;JR B M - USA 2</v>
      </c>
      <c r="AZ572" s="148" t="str">
        <f t="shared" si="389"/>
        <v>11/19/2017 14:40-&gt;JR B M - ARG 1</v>
      </c>
      <c r="BA572" s="148" t="str">
        <f t="shared" si="390"/>
        <v>11/19/2017 14:40-&gt;JR B M - USA 2</v>
      </c>
      <c r="BB572" s="374">
        <f t="shared" si="391"/>
        <v>1</v>
      </c>
      <c r="BC572" s="374">
        <f t="shared" si="392"/>
        <v>1</v>
      </c>
      <c r="BD572" s="148" t="str">
        <f t="shared" si="393"/>
        <v>no conflict</v>
      </c>
      <c r="BF572" s="148" t="str">
        <f t="shared" si="394"/>
        <v>11/19/2017 14:40-&gt;JR B M - ARG 1</v>
      </c>
      <c r="BG572" s="148" t="str">
        <f t="shared" si="395"/>
        <v>11/19/2017 14:40-&gt;JR B M - USA 2</v>
      </c>
      <c r="BH572" s="148" t="str">
        <f t="shared" si="396"/>
        <v>11/19/2017 14:40-&gt;Hillel - Field 3</v>
      </c>
      <c r="BI572" s="148" t="str">
        <f t="shared" si="397"/>
        <v>Flag Football in Hillel - Field 3 (ARG1-USA2)</v>
      </c>
      <c r="BJ572" s="148" t="str">
        <f t="shared" si="398"/>
        <v>Junior B Male Flag Football-- JR B M - ARG 1 vs. JR B M - USA 2</v>
      </c>
      <c r="BK572" s="148" t="str">
        <f t="shared" si="399"/>
        <v>Flag Football</v>
      </c>
      <c r="BL572" s="148" t="str">
        <f t="shared" si="400"/>
        <v>JR B M - ARG 1</v>
      </c>
      <c r="BM572" s="148" t="str">
        <f t="shared" si="401"/>
        <v>JR B M - USA 2</v>
      </c>
      <c r="BN572" s="148" t="str">
        <f t="shared" si="402"/>
        <v>Round - 1</v>
      </c>
      <c r="BP572" s="148" t="str">
        <f t="shared" si="403"/>
        <v>no t, f, or sf</v>
      </c>
      <c r="BQ572" s="148" t="str">
        <f t="shared" si="404"/>
        <v/>
      </c>
    </row>
    <row r="573" spans="1:69" ht="15" customHeight="1" x14ac:dyDescent="0.2">
      <c r="A573" s="376">
        <v>571</v>
      </c>
      <c r="B573" s="121" t="s">
        <v>77</v>
      </c>
      <c r="C573" s="121" t="s">
        <v>518</v>
      </c>
      <c r="D573" s="382">
        <v>1</v>
      </c>
      <c r="E573" s="382">
        <v>1</v>
      </c>
      <c r="F573" s="315" t="s">
        <v>770</v>
      </c>
      <c r="G573" s="206">
        <v>43058</v>
      </c>
      <c r="H573" s="317">
        <v>0.61111111111111105</v>
      </c>
      <c r="I573" s="325" t="s">
        <v>770</v>
      </c>
      <c r="J573" s="121" t="s">
        <v>703</v>
      </c>
      <c r="K573" s="121">
        <v>62</v>
      </c>
      <c r="L573" s="433" t="s">
        <v>650</v>
      </c>
      <c r="M573">
        <v>62</v>
      </c>
      <c r="N573" s="433" t="s">
        <v>656</v>
      </c>
      <c r="O573" s="153" t="str">
        <f>IF(L573&lt;&gt;"",IFERROR(VLOOKUP(B573&amp;L573,Pools!$A$2:$D$130,3,FALSE),""),"")</f>
        <v>Pool B</v>
      </c>
      <c r="P573" s="388">
        <v>19</v>
      </c>
      <c r="Q573" s="388">
        <v>0</v>
      </c>
      <c r="R573" s="306" t="str">
        <f t="shared" si="360"/>
        <v>19-0</v>
      </c>
      <c r="S573" s="153"/>
      <c r="T573" s="148" t="str">
        <f t="shared" si="361"/>
        <v>Completed</v>
      </c>
      <c r="U573" s="153"/>
      <c r="V573" s="153"/>
      <c r="W573" s="387">
        <f t="shared" si="362"/>
        <v>19</v>
      </c>
      <c r="X573" s="387">
        <f t="shared" si="363"/>
        <v>-19</v>
      </c>
      <c r="Y573" s="301">
        <f t="shared" si="364"/>
        <v>2</v>
      </c>
      <c r="Z573" s="301">
        <f t="shared" si="365"/>
        <v>0</v>
      </c>
      <c r="AA573" s="323" t="str">
        <f>CONCATENATE("                x[team1,team2,sport,'",IF(OR(I573="x",I573=""),VLOOKUP('Schedule from TM'!J574,Tables!$P$3:$Q$33,2,FALSE),'Schedule from TM'!I574),",",J573,"','",IF(OR(F573="x",F573=""),VLOOKUP('Schedule from TM'!G574,Tables!$U$3:$V$14,2,FALSE),'Schedule from TM'!F574),",",TEXT(G573,"mm/dd/yyyy"),"','",TEXT(H573,"h:mm:ss AM/PM"),"'].ub=0.0      #",B573)</f>
        <v xml:space="preserve">                x[team1,team2,sport,'21,Hillel - Field 1','11,11/19/2017','2:40:00 PM'].ub=0.0      #Junior B Male Flag Football</v>
      </c>
      <c r="AB573" s="301" t="str">
        <f t="shared" si="366"/>
        <v>,,Junior B Male Flag Football,Pool B,1,JR B M - COL 1</v>
      </c>
      <c r="AC573" s="153" t="str">
        <f t="shared" si="367"/>
        <v>Junior B Male Flag FootballPool BJR B M - COL 1</v>
      </c>
      <c r="AD573" s="301" t="str">
        <f t="shared" si="368"/>
        <v>,,Junior B Male Flag Football,Pool B,1,JR B M - VEN 1</v>
      </c>
      <c r="AE573" s="153" t="str">
        <f t="shared" si="369"/>
        <v>Junior B Male Flag FootballPool BJR B M - VEN 1</v>
      </c>
      <c r="AF573" s="383">
        <f t="shared" si="370"/>
        <v>1</v>
      </c>
      <c r="AG573" s="383">
        <f t="shared" si="371"/>
        <v>0</v>
      </c>
      <c r="AH573" s="383">
        <f t="shared" si="372"/>
        <v>0</v>
      </c>
      <c r="AI573" s="383">
        <f t="shared" si="373"/>
        <v>0</v>
      </c>
      <c r="AJ573" s="383">
        <f t="shared" si="374"/>
        <v>1</v>
      </c>
      <c r="AK573" s="383">
        <f t="shared" si="375"/>
        <v>0</v>
      </c>
      <c r="AM573" s="148" t="str">
        <f t="shared" si="376"/>
        <v>Schedulled</v>
      </c>
      <c r="AN573" s="148" t="str">
        <f t="shared" si="377"/>
        <v/>
      </c>
      <c r="AO573" s="156">
        <f t="shared" si="378"/>
        <v>43058.611111111109</v>
      </c>
      <c r="AP573" s="148" t="str">
        <f t="shared" si="379"/>
        <v>11/19/2017 14:40-&gt;Hillel - Field 1</v>
      </c>
      <c r="AQ573" s="374">
        <f t="shared" si="380"/>
        <v>1</v>
      </c>
      <c r="AR573" s="148" t="str">
        <f t="shared" si="381"/>
        <v>COL1</v>
      </c>
      <c r="AS573" s="148" t="str">
        <f t="shared" si="382"/>
        <v>VEN1</v>
      </c>
      <c r="AT573" s="157" t="str">
        <f t="shared" si="383"/>
        <v>COL1-VEN1</v>
      </c>
      <c r="AU573" s="157" t="str">
        <f t="shared" si="384"/>
        <v xml:space="preserve">COL1-VEN1 </v>
      </c>
      <c r="AV573" s="157" t="str">
        <f t="shared" si="385"/>
        <v>JUNIORS B MALE</v>
      </c>
      <c r="AW573" s="157" t="str">
        <f t="shared" si="386"/>
        <v>Flag Football</v>
      </c>
      <c r="AX573" s="376">
        <f t="shared" si="387"/>
        <v>571</v>
      </c>
      <c r="AY573" s="148" t="str">
        <f t="shared" si="388"/>
        <v>JR B M - COL 1-&gt;JR B M - VEN 1</v>
      </c>
      <c r="AZ573" s="148" t="str">
        <f t="shared" si="389"/>
        <v>11/19/2017 14:40-&gt;JR B M - COL 1</v>
      </c>
      <c r="BA573" s="148" t="str">
        <f t="shared" si="390"/>
        <v>11/19/2017 14:40-&gt;JR B M - VEN 1</v>
      </c>
      <c r="BB573" s="374">
        <f t="shared" si="391"/>
        <v>1</v>
      </c>
      <c r="BC573" s="374">
        <f t="shared" si="392"/>
        <v>1</v>
      </c>
      <c r="BD573" s="148" t="str">
        <f t="shared" si="393"/>
        <v>no conflict</v>
      </c>
      <c r="BF573" s="148" t="str">
        <f t="shared" si="394"/>
        <v>11/19/2017 14:40-&gt;JR B M - COL 1</v>
      </c>
      <c r="BG573" s="148" t="str">
        <f t="shared" si="395"/>
        <v>11/19/2017 14:40-&gt;JR B M - VEN 1</v>
      </c>
      <c r="BH573" s="148" t="str">
        <f t="shared" si="396"/>
        <v>11/19/2017 14:40-&gt;Hillel - Field 1</v>
      </c>
      <c r="BI573" s="148" t="str">
        <f t="shared" si="397"/>
        <v>Flag Football in Hillel - Field 1 (COL1-VEN1)</v>
      </c>
      <c r="BJ573" s="148" t="str">
        <f t="shared" si="398"/>
        <v>Junior B Male Flag Football-- JR B M - COL 1 vs. JR B M - VEN 1</v>
      </c>
      <c r="BK573" s="148" t="str">
        <f t="shared" si="399"/>
        <v>Flag Football</v>
      </c>
      <c r="BL573" s="148" t="str">
        <f t="shared" si="400"/>
        <v>JR B M - COL 1</v>
      </c>
      <c r="BM573" s="148" t="str">
        <f t="shared" si="401"/>
        <v>JR B M - VEN 1</v>
      </c>
      <c r="BN573" s="148" t="str">
        <f t="shared" si="402"/>
        <v>Round - 1</v>
      </c>
      <c r="BP573" s="148" t="str">
        <f t="shared" si="403"/>
        <v>no t, f, or sf</v>
      </c>
      <c r="BQ573" s="148" t="str">
        <f t="shared" si="404"/>
        <v/>
      </c>
    </row>
    <row r="574" spans="1:69" ht="15" customHeight="1" x14ac:dyDescent="0.2">
      <c r="A574" s="376">
        <v>572</v>
      </c>
      <c r="B574" s="444" t="s">
        <v>77</v>
      </c>
      <c r="C574" s="315" t="s">
        <v>518</v>
      </c>
      <c r="D574" s="378">
        <v>1</v>
      </c>
      <c r="E574" s="451">
        <v>1</v>
      </c>
      <c r="F574" s="315" t="s">
        <v>770</v>
      </c>
      <c r="G574" s="445">
        <v>43058</v>
      </c>
      <c r="H574" s="317">
        <v>0.68055555555555547</v>
      </c>
      <c r="I574" s="325" t="s">
        <v>770</v>
      </c>
      <c r="J574" s="444" t="s">
        <v>704</v>
      </c>
      <c r="K574" s="315">
        <v>62</v>
      </c>
      <c r="L574" s="433" t="s">
        <v>648</v>
      </c>
      <c r="M574">
        <v>62</v>
      </c>
      <c r="N574" s="433" t="s">
        <v>651</v>
      </c>
      <c r="O574" s="153" t="str">
        <f>IF(L574&lt;&gt;"",IFERROR(VLOOKUP(B574&amp;L574,Pools!$A$2:$D$130,3,FALSE),""),"")</f>
        <v>Pool A</v>
      </c>
      <c r="P574" s="388">
        <v>0</v>
      </c>
      <c r="Q574" s="388">
        <v>22</v>
      </c>
      <c r="R574" s="306" t="str">
        <f t="shared" si="360"/>
        <v>0-22</v>
      </c>
      <c r="S574" s="153"/>
      <c r="T574" s="148" t="str">
        <f t="shared" si="361"/>
        <v>Completed</v>
      </c>
      <c r="U574" s="153"/>
      <c r="V574" s="153"/>
      <c r="W574" s="387">
        <f t="shared" si="362"/>
        <v>-21</v>
      </c>
      <c r="X574" s="387">
        <f t="shared" si="363"/>
        <v>21</v>
      </c>
      <c r="Y574" s="301">
        <f t="shared" si="364"/>
        <v>0</v>
      </c>
      <c r="Z574" s="301">
        <f t="shared" si="365"/>
        <v>2</v>
      </c>
      <c r="AA574" s="323" t="str">
        <f>CONCATENATE("                x[team1,team2,sport,'",IF(OR(I574="x",I574=""),VLOOKUP('Schedule from TM'!J575,Tables!$P$3:$Q$33,2,FALSE),'Schedule from TM'!I575),",",J574,"','",IF(OR(F574="x",F574=""),VLOOKUP('Schedule from TM'!G575,Tables!$U$3:$V$14,2,FALSE),'Schedule from TM'!F575),",",TEXT(G574,"mm/dd/yyyy"),"','",TEXT(H574,"h:mm:ss AM/PM"),"'].ub=0.0      #",B574)</f>
        <v xml:space="preserve">                x[team1,team2,sport,'21,Hillel - Field 2','11,11/19/2017','4:20:00 PM'].ub=0.0      #Junior B Male Flag Football</v>
      </c>
      <c r="AB574" s="301" t="str">
        <f t="shared" si="366"/>
        <v>,,Junior B Male Flag Football,Pool A,1,JR B M - ARG 1</v>
      </c>
      <c r="AC574" s="153" t="str">
        <f t="shared" si="367"/>
        <v>Junior B Male Flag FootballPool AJR B M - ARG 1</v>
      </c>
      <c r="AD574" s="301" t="str">
        <f t="shared" si="368"/>
        <v>,,Junior B Male Flag Football,Pool A,1,JR B M - ISR 1</v>
      </c>
      <c r="AE574" s="153" t="str">
        <f t="shared" si="369"/>
        <v>Junior B Male Flag FootballPool AJR B M - ISR 1</v>
      </c>
      <c r="AF574" s="383">
        <f t="shared" si="370"/>
        <v>0</v>
      </c>
      <c r="AG574" s="383">
        <f t="shared" si="371"/>
        <v>1</v>
      </c>
      <c r="AH574" s="383">
        <f t="shared" si="372"/>
        <v>0</v>
      </c>
      <c r="AI574" s="383">
        <f t="shared" si="373"/>
        <v>1</v>
      </c>
      <c r="AJ574" s="383">
        <f t="shared" si="374"/>
        <v>0</v>
      </c>
      <c r="AK574" s="383">
        <f t="shared" si="375"/>
        <v>0</v>
      </c>
      <c r="AM574" s="148" t="str">
        <f t="shared" si="376"/>
        <v>Schedulled</v>
      </c>
      <c r="AN574" s="148" t="str">
        <f t="shared" si="377"/>
        <v/>
      </c>
      <c r="AO574" s="156">
        <f t="shared" si="378"/>
        <v>43058.680555555555</v>
      </c>
      <c r="AP574" s="148" t="str">
        <f t="shared" si="379"/>
        <v>11/19/2017 16:20-&gt;Hillel - Field 2</v>
      </c>
      <c r="AQ574" s="374">
        <f t="shared" si="380"/>
        <v>1</v>
      </c>
      <c r="AR574" s="148" t="str">
        <f t="shared" si="381"/>
        <v>ARG1</v>
      </c>
      <c r="AS574" s="148" t="str">
        <f t="shared" si="382"/>
        <v>ISR1</v>
      </c>
      <c r="AT574" s="157" t="str">
        <f t="shared" si="383"/>
        <v>ARG1-ISR1</v>
      </c>
      <c r="AU574" s="157" t="str">
        <f t="shared" si="384"/>
        <v xml:space="preserve">ARG1-ISR1 </v>
      </c>
      <c r="AV574" s="157" t="str">
        <f t="shared" si="385"/>
        <v>JUNIORS B MALE</v>
      </c>
      <c r="AW574" s="157" t="str">
        <f t="shared" si="386"/>
        <v>Flag Football</v>
      </c>
      <c r="AX574" s="376">
        <f t="shared" si="387"/>
        <v>572</v>
      </c>
      <c r="AY574" s="148" t="str">
        <f t="shared" si="388"/>
        <v>JR B M - ARG 1-&gt;JR B M - ISR 1</v>
      </c>
      <c r="AZ574" s="148" t="str">
        <f t="shared" si="389"/>
        <v>11/19/2017 16:20-&gt;JR B M - ARG 1</v>
      </c>
      <c r="BA574" s="148" t="str">
        <f t="shared" si="390"/>
        <v>11/19/2017 16:20-&gt;JR B M - ISR 1</v>
      </c>
      <c r="BB574" s="374">
        <f t="shared" si="391"/>
        <v>1</v>
      </c>
      <c r="BC574" s="374">
        <f t="shared" si="392"/>
        <v>1</v>
      </c>
      <c r="BD574" s="148" t="str">
        <f t="shared" si="393"/>
        <v>no conflict</v>
      </c>
      <c r="BF574" s="148" t="str">
        <f t="shared" si="394"/>
        <v>11/19/2017 16:20-&gt;JR B M - ARG 1</v>
      </c>
      <c r="BG574" s="148" t="str">
        <f t="shared" si="395"/>
        <v>11/19/2017 16:20-&gt;JR B M - ISR 1</v>
      </c>
      <c r="BH574" s="148" t="str">
        <f t="shared" si="396"/>
        <v>11/19/2017 16:20-&gt;Hillel - Field 2</v>
      </c>
      <c r="BI574" s="148" t="str">
        <f t="shared" si="397"/>
        <v>Flag Football in Hillel - Field 2 (ARG1-ISR1)</v>
      </c>
      <c r="BJ574" s="148" t="str">
        <f t="shared" si="398"/>
        <v>Junior B Male Flag Football-- JR B M - ARG 1 vs. JR B M - ISR 1</v>
      </c>
      <c r="BK574" s="148" t="str">
        <f t="shared" si="399"/>
        <v>Flag Football</v>
      </c>
      <c r="BL574" s="148" t="str">
        <f t="shared" si="400"/>
        <v>JR B M - ARG 1</v>
      </c>
      <c r="BM574" s="148" t="str">
        <f t="shared" si="401"/>
        <v>JR B M - ISR 1</v>
      </c>
      <c r="BN574" s="148" t="str">
        <f t="shared" si="402"/>
        <v>Round - 1</v>
      </c>
      <c r="BP574" s="148" t="str">
        <f t="shared" si="403"/>
        <v>no t, f, or sf</v>
      </c>
      <c r="BQ574" s="148" t="str">
        <f t="shared" si="404"/>
        <v/>
      </c>
    </row>
    <row r="575" spans="1:69" ht="15" customHeight="1" x14ac:dyDescent="0.2">
      <c r="A575" s="376">
        <v>573</v>
      </c>
      <c r="B575" s="121" t="s">
        <v>77</v>
      </c>
      <c r="C575" s="121" t="s">
        <v>518</v>
      </c>
      <c r="D575" s="382">
        <v>1</v>
      </c>
      <c r="E575" s="382">
        <v>1</v>
      </c>
      <c r="F575" s="315" t="s">
        <v>770</v>
      </c>
      <c r="G575" s="206">
        <v>43058</v>
      </c>
      <c r="H575" s="317">
        <v>0.71527777777777779</v>
      </c>
      <c r="I575" s="325" t="s">
        <v>770</v>
      </c>
      <c r="J575" s="121" t="s">
        <v>704</v>
      </c>
      <c r="K575" s="121">
        <v>62</v>
      </c>
      <c r="L575" s="433" t="s">
        <v>652</v>
      </c>
      <c r="M575">
        <v>62</v>
      </c>
      <c r="N575" s="433" t="s">
        <v>656</v>
      </c>
      <c r="O575" s="153" t="str">
        <f>IF(L575&lt;&gt;"",IFERROR(VLOOKUP(B575&amp;L575,Pools!$A$2:$D$130,3,FALSE),""),"")</f>
        <v>Pool B</v>
      </c>
      <c r="P575" s="388">
        <v>37</v>
      </c>
      <c r="Q575" s="388">
        <v>18</v>
      </c>
      <c r="R575" s="306" t="str">
        <f t="shared" si="360"/>
        <v>37-18</v>
      </c>
      <c r="S575" s="153"/>
      <c r="T575" s="148" t="str">
        <f t="shared" si="361"/>
        <v>Completed</v>
      </c>
      <c r="U575" s="153"/>
      <c r="V575" s="153"/>
      <c r="W575" s="387">
        <f t="shared" si="362"/>
        <v>19</v>
      </c>
      <c r="X575" s="387">
        <f t="shared" si="363"/>
        <v>-19</v>
      </c>
      <c r="Y575" s="301">
        <f t="shared" si="364"/>
        <v>2</v>
      </c>
      <c r="Z575" s="301">
        <f t="shared" si="365"/>
        <v>0</v>
      </c>
      <c r="AA575" s="323" t="str">
        <f>CONCATENATE("                x[team1,team2,sport,'",IF(OR(I575="x",I575=""),VLOOKUP('Schedule from TM'!J576,Tables!$P$3:$Q$33,2,FALSE),'Schedule from TM'!I576),",",J575,"','",IF(OR(F575="x",F575=""),VLOOKUP('Schedule from TM'!G576,Tables!$U$3:$V$14,2,FALSE),'Schedule from TM'!F576),",",TEXT(G575,"mm/dd/yyyy"),"','",TEXT(H575,"h:mm:ss AM/PM"),"'].ub=0.0      #",B575)</f>
        <v xml:space="preserve">                x[team1,team2,sport,'21,Hillel - Field 2','11,11/19/2017','5:10:00 PM'].ub=0.0      #Junior B Male Flag Football</v>
      </c>
      <c r="AB575" s="301" t="str">
        <f t="shared" si="366"/>
        <v>,,Junior B Male Flag Football,Pool B,1,JR B M - MEX</v>
      </c>
      <c r="AC575" s="153" t="str">
        <f t="shared" si="367"/>
        <v>Junior B Male Flag FootballPool BJR B M - MEX</v>
      </c>
      <c r="AD575" s="301" t="str">
        <f t="shared" si="368"/>
        <v>,,Junior B Male Flag Football,Pool B,1,JR B M - VEN 1</v>
      </c>
      <c r="AE575" s="153" t="str">
        <f t="shared" si="369"/>
        <v>Junior B Male Flag FootballPool BJR B M - VEN 1</v>
      </c>
      <c r="AF575" s="383">
        <f t="shared" si="370"/>
        <v>1</v>
      </c>
      <c r="AG575" s="383">
        <f t="shared" si="371"/>
        <v>0</v>
      </c>
      <c r="AH575" s="383">
        <f t="shared" si="372"/>
        <v>0</v>
      </c>
      <c r="AI575" s="383">
        <f t="shared" si="373"/>
        <v>0</v>
      </c>
      <c r="AJ575" s="383">
        <f t="shared" si="374"/>
        <v>1</v>
      </c>
      <c r="AK575" s="383">
        <f t="shared" si="375"/>
        <v>0</v>
      </c>
      <c r="AM575" s="148" t="str">
        <f t="shared" si="376"/>
        <v>Schedulled</v>
      </c>
      <c r="AN575" s="148" t="str">
        <f t="shared" si="377"/>
        <v/>
      </c>
      <c r="AO575" s="156">
        <f t="shared" si="378"/>
        <v>43058.715277777781</v>
      </c>
      <c r="AP575" s="148" t="str">
        <f t="shared" si="379"/>
        <v>11/19/2017 17:10-&gt;Hillel - Field 2</v>
      </c>
      <c r="AQ575" s="374">
        <f t="shared" si="380"/>
        <v>1</v>
      </c>
      <c r="AR575" s="148" t="str">
        <f t="shared" si="381"/>
        <v>MEX</v>
      </c>
      <c r="AS575" s="148" t="str">
        <f t="shared" si="382"/>
        <v>VEN1</v>
      </c>
      <c r="AT575" s="157" t="str">
        <f t="shared" si="383"/>
        <v>MEX-VEN1</v>
      </c>
      <c r="AU575" s="157" t="str">
        <f t="shared" si="384"/>
        <v xml:space="preserve">MEX-VEN1 </v>
      </c>
      <c r="AV575" s="157" t="str">
        <f t="shared" si="385"/>
        <v>JUNIORS B MALE</v>
      </c>
      <c r="AW575" s="157" t="str">
        <f t="shared" si="386"/>
        <v>Flag Football</v>
      </c>
      <c r="AX575" s="376">
        <f t="shared" si="387"/>
        <v>573</v>
      </c>
      <c r="AY575" s="148" t="str">
        <f t="shared" si="388"/>
        <v>JR B M - MEX-&gt;JR B M - VEN 1</v>
      </c>
      <c r="AZ575" s="148" t="str">
        <f t="shared" si="389"/>
        <v>11/19/2017 17:10-&gt;JR B M - MEX</v>
      </c>
      <c r="BA575" s="148" t="str">
        <f t="shared" si="390"/>
        <v>11/19/2017 17:10-&gt;JR B M - VEN 1</v>
      </c>
      <c r="BB575" s="374">
        <f t="shared" si="391"/>
        <v>1</v>
      </c>
      <c r="BC575" s="374">
        <f t="shared" si="392"/>
        <v>1</v>
      </c>
      <c r="BD575" s="148" t="str">
        <f t="shared" si="393"/>
        <v>no conflict</v>
      </c>
      <c r="BF575" s="148" t="str">
        <f t="shared" si="394"/>
        <v>11/19/2017 17:10-&gt;JR B M - MEX</v>
      </c>
      <c r="BG575" s="148" t="str">
        <f t="shared" si="395"/>
        <v>11/19/2017 17:10-&gt;JR B M - VEN 1</v>
      </c>
      <c r="BH575" s="148" t="str">
        <f t="shared" si="396"/>
        <v>11/19/2017 17:10-&gt;Hillel - Field 2</v>
      </c>
      <c r="BI575" s="148" t="str">
        <f t="shared" si="397"/>
        <v>Flag Football in Hillel - Field 2 (MEX-VEN1)</v>
      </c>
      <c r="BJ575" s="148" t="str">
        <f t="shared" si="398"/>
        <v>Junior B Male Flag Football-- JR B M - MEX vs. JR B M - VEN 1</v>
      </c>
      <c r="BK575" s="148" t="str">
        <f t="shared" si="399"/>
        <v>Flag Football</v>
      </c>
      <c r="BL575" s="148" t="str">
        <f t="shared" si="400"/>
        <v>JR B M - MEX</v>
      </c>
      <c r="BM575" s="148" t="str">
        <f t="shared" si="401"/>
        <v>JR B M - VEN 1</v>
      </c>
      <c r="BN575" s="148" t="str">
        <f t="shared" si="402"/>
        <v>Round - 1</v>
      </c>
      <c r="BP575" s="148" t="str">
        <f t="shared" si="403"/>
        <v>no t, f, or sf</v>
      </c>
      <c r="BQ575" s="148" t="str">
        <f t="shared" si="404"/>
        <v/>
      </c>
    </row>
    <row r="576" spans="1:69" ht="15" customHeight="1" x14ac:dyDescent="0.2">
      <c r="A576" s="376">
        <v>574</v>
      </c>
      <c r="B576" s="121" t="s">
        <v>77</v>
      </c>
      <c r="C576" s="121" t="s">
        <v>518</v>
      </c>
      <c r="D576" s="382">
        <v>1</v>
      </c>
      <c r="E576" s="382">
        <v>1</v>
      </c>
      <c r="F576" s="315" t="s">
        <v>770</v>
      </c>
      <c r="G576" s="206">
        <v>43058</v>
      </c>
      <c r="H576" s="318">
        <v>0.81944444444444453</v>
      </c>
      <c r="I576" s="325" t="s">
        <v>770</v>
      </c>
      <c r="J576" s="121" t="s">
        <v>703</v>
      </c>
      <c r="K576" s="121">
        <v>62</v>
      </c>
      <c r="L576" s="433" t="s">
        <v>651</v>
      </c>
      <c r="M576">
        <v>62</v>
      </c>
      <c r="N576" s="433" t="s">
        <v>655</v>
      </c>
      <c r="O576" s="153" t="str">
        <f>IF(L576&lt;&gt;"",IFERROR(VLOOKUP(B576&amp;L576,Pools!$A$2:$D$130,3,FALSE),""),"")</f>
        <v>Pool A</v>
      </c>
      <c r="P576" s="388">
        <v>7</v>
      </c>
      <c r="Q576" s="388">
        <v>29</v>
      </c>
      <c r="R576" s="306" t="str">
        <f t="shared" si="360"/>
        <v>7-29</v>
      </c>
      <c r="S576" s="153"/>
      <c r="T576" s="148" t="str">
        <f t="shared" si="361"/>
        <v>Completed</v>
      </c>
      <c r="U576" s="153"/>
      <c r="V576" s="153"/>
      <c r="W576" s="387">
        <f t="shared" si="362"/>
        <v>-21</v>
      </c>
      <c r="X576" s="387">
        <f t="shared" si="363"/>
        <v>21</v>
      </c>
      <c r="Y576" s="301">
        <f t="shared" si="364"/>
        <v>0</v>
      </c>
      <c r="Z576" s="301">
        <f t="shared" si="365"/>
        <v>2</v>
      </c>
      <c r="AA576" s="323" t="str">
        <f>CONCATENATE("                x[team1,team2,sport,'",IF(OR(I576="x",I576=""),VLOOKUP('Schedule from TM'!J577,Tables!$P$3:$Q$33,2,FALSE),'Schedule from TM'!I577),",",J576,"','",IF(OR(F576="x",F576=""),VLOOKUP('Schedule from TM'!G577,Tables!$U$3:$V$14,2,FALSE),'Schedule from TM'!F577),",",TEXT(G576,"mm/dd/yyyy"),"','",TEXT(H576,"h:mm:ss AM/PM"),"'].ub=0.0      #",B576)</f>
        <v xml:space="preserve">                x[team1,team2,sport,'21,Hillel - Field 1','22,11/19/2017','7:40:00 PM'].ub=0.0      #Junior B Male Flag Football</v>
      </c>
      <c r="AB576" s="301" t="str">
        <f t="shared" si="366"/>
        <v>,,Junior B Male Flag Football,Pool A,1,JR B M - ISR 1</v>
      </c>
      <c r="AC576" s="153" t="str">
        <f t="shared" si="367"/>
        <v>Junior B Male Flag FootballPool AJR B M - ISR 1</v>
      </c>
      <c r="AD576" s="301" t="str">
        <f t="shared" si="368"/>
        <v>,,Junior B Male Flag Football,Pool A,1,JR B M - USA 2</v>
      </c>
      <c r="AE576" s="153" t="str">
        <f t="shared" si="369"/>
        <v>Junior B Male Flag FootballPool AJR B M - USA 2</v>
      </c>
      <c r="AF576" s="383">
        <f t="shared" si="370"/>
        <v>0</v>
      </c>
      <c r="AG576" s="383">
        <f t="shared" si="371"/>
        <v>1</v>
      </c>
      <c r="AH576" s="383">
        <f t="shared" si="372"/>
        <v>0</v>
      </c>
      <c r="AI576" s="383">
        <f t="shared" si="373"/>
        <v>1</v>
      </c>
      <c r="AJ576" s="383">
        <f t="shared" si="374"/>
        <v>0</v>
      </c>
      <c r="AK576" s="383">
        <f t="shared" si="375"/>
        <v>0</v>
      </c>
      <c r="AM576" s="148" t="str">
        <f t="shared" si="376"/>
        <v>Schedulled</v>
      </c>
      <c r="AN576" s="148" t="str">
        <f t="shared" si="377"/>
        <v/>
      </c>
      <c r="AO576" s="156">
        <f t="shared" si="378"/>
        <v>43058.819444444445</v>
      </c>
      <c r="AP576" s="148" t="str">
        <f t="shared" si="379"/>
        <v>11/19/2017 19:40-&gt;Hillel - Field 1</v>
      </c>
      <c r="AQ576" s="374">
        <f t="shared" si="380"/>
        <v>1</v>
      </c>
      <c r="AR576" s="148" t="str">
        <f t="shared" si="381"/>
        <v>ISR1</v>
      </c>
      <c r="AS576" s="148" t="str">
        <f t="shared" si="382"/>
        <v>USA2</v>
      </c>
      <c r="AT576" s="157" t="str">
        <f t="shared" si="383"/>
        <v>ISR1-USA2</v>
      </c>
      <c r="AU576" s="157" t="str">
        <f t="shared" si="384"/>
        <v xml:space="preserve">ISR1-USA2 </v>
      </c>
      <c r="AV576" s="157" t="str">
        <f t="shared" si="385"/>
        <v>JUNIORS B MALE</v>
      </c>
      <c r="AW576" s="157" t="str">
        <f t="shared" si="386"/>
        <v>Flag Football</v>
      </c>
      <c r="AX576" s="376">
        <f t="shared" si="387"/>
        <v>574</v>
      </c>
      <c r="AY576" s="148" t="str">
        <f t="shared" si="388"/>
        <v>JR B M - ISR 1-&gt;JR B M - USA 2</v>
      </c>
      <c r="AZ576" s="148" t="str">
        <f t="shared" si="389"/>
        <v>11/19/2017 19:40-&gt;JR B M - ISR 1</v>
      </c>
      <c r="BA576" s="148" t="str">
        <f t="shared" si="390"/>
        <v>11/19/2017 19:40-&gt;JR B M - USA 2</v>
      </c>
      <c r="BB576" s="374">
        <f t="shared" si="391"/>
        <v>1</v>
      </c>
      <c r="BC576" s="374">
        <f t="shared" si="392"/>
        <v>1</v>
      </c>
      <c r="BD576" s="148" t="str">
        <f t="shared" si="393"/>
        <v>no conflict</v>
      </c>
      <c r="BF576" s="148" t="str">
        <f t="shared" si="394"/>
        <v>11/19/2017 19:40-&gt;JR B M - ISR 1</v>
      </c>
      <c r="BG576" s="148" t="str">
        <f t="shared" si="395"/>
        <v>11/19/2017 19:40-&gt;JR B M - USA 2</v>
      </c>
      <c r="BH576" s="148" t="str">
        <f t="shared" si="396"/>
        <v>11/19/2017 19:40-&gt;Hillel - Field 1</v>
      </c>
      <c r="BI576" s="148" t="str">
        <f t="shared" si="397"/>
        <v>Flag Football in Hillel - Field 1 (ISR1-USA2)</v>
      </c>
      <c r="BJ576" s="148" t="str">
        <f t="shared" si="398"/>
        <v>Junior B Male Flag Football-- JR B M - ISR 1 vs. JR B M - USA 2</v>
      </c>
      <c r="BK576" s="148" t="str">
        <f t="shared" si="399"/>
        <v>Flag Football</v>
      </c>
      <c r="BL576" s="148" t="str">
        <f t="shared" si="400"/>
        <v>JR B M - ISR 1</v>
      </c>
      <c r="BM576" s="148" t="str">
        <f t="shared" si="401"/>
        <v>JR B M - USA 2</v>
      </c>
      <c r="BN576" s="148" t="str">
        <f t="shared" si="402"/>
        <v>Round - 1</v>
      </c>
      <c r="BP576" s="148" t="str">
        <f t="shared" si="403"/>
        <v>no t, f, or sf</v>
      </c>
      <c r="BQ576" s="148" t="str">
        <f t="shared" si="404"/>
        <v/>
      </c>
    </row>
    <row r="577" spans="1:69" ht="15" customHeight="1" x14ac:dyDescent="0.2">
      <c r="A577" s="376">
        <v>575</v>
      </c>
      <c r="B577" s="444" t="s">
        <v>77</v>
      </c>
      <c r="C577" s="315" t="s">
        <v>518</v>
      </c>
      <c r="D577" s="378">
        <v>1</v>
      </c>
      <c r="E577" s="451">
        <v>1</v>
      </c>
      <c r="F577" s="315" t="s">
        <v>770</v>
      </c>
      <c r="G577" s="445">
        <v>43060</v>
      </c>
      <c r="H577" s="318">
        <v>0.78472222222222221</v>
      </c>
      <c r="I577" s="325" t="s">
        <v>770</v>
      </c>
      <c r="J577" s="444" t="s">
        <v>706</v>
      </c>
      <c r="K577" s="315">
        <v>62</v>
      </c>
      <c r="L577" s="433" t="s">
        <v>652</v>
      </c>
      <c r="M577">
        <v>62</v>
      </c>
      <c r="N577" s="433" t="s">
        <v>654</v>
      </c>
      <c r="O577" s="153" t="str">
        <f>IF(L577&lt;&gt;"",IFERROR(VLOOKUP(B577&amp;L577,Pools!$A$2:$D$130,3,FALSE),""),"")</f>
        <v>Pool B</v>
      </c>
      <c r="P577" s="388">
        <v>7</v>
      </c>
      <c r="Q577" s="388">
        <v>26</v>
      </c>
      <c r="R577" s="306" t="str">
        <f t="shared" si="360"/>
        <v>7-26</v>
      </c>
      <c r="S577" s="153"/>
      <c r="T577" s="148" t="str">
        <f t="shared" si="361"/>
        <v>Completed</v>
      </c>
      <c r="U577" s="153"/>
      <c r="V577" s="153"/>
      <c r="W577" s="387">
        <f t="shared" si="362"/>
        <v>-19</v>
      </c>
      <c r="X577" s="387">
        <f t="shared" si="363"/>
        <v>19</v>
      </c>
      <c r="Y577" s="301">
        <f t="shared" si="364"/>
        <v>0</v>
      </c>
      <c r="Z577" s="301">
        <f t="shared" si="365"/>
        <v>2</v>
      </c>
      <c r="AA577" s="323" t="str">
        <f>CONCATENATE("                x[team1,team2,sport,'",IF(OR(I577="x",I577=""),VLOOKUP('Schedule from TM'!J578,Tables!$P$3:$Q$33,2,FALSE),'Schedule from TM'!I578),",",J577,"','",IF(OR(F577="x",F577=""),VLOOKUP('Schedule from TM'!G578,Tables!$U$3:$V$14,2,FALSE),'Schedule from TM'!F578),",",TEXT(G577,"mm/dd/yyyy"),"','",TEXT(H577,"h:mm:ss AM/PM"),"'].ub=0.0      #",B577)</f>
        <v xml:space="preserve">                x[team1,team2,sport,'21,Hillel - Field 4','22,11/21/2017','6:50:00 PM'].ub=0.0      #Junior B Male Flag Football</v>
      </c>
      <c r="AB577" s="301" t="str">
        <f t="shared" si="366"/>
        <v>,,Junior B Male Flag Football,Pool B,1,JR B M - MEX</v>
      </c>
      <c r="AC577" s="153" t="str">
        <f t="shared" si="367"/>
        <v>Junior B Male Flag FootballPool BJR B M - MEX</v>
      </c>
      <c r="AD577" s="301" t="str">
        <f t="shared" si="368"/>
        <v>,,Junior B Male Flag Football,Pool B,1,JR B M - USA 1</v>
      </c>
      <c r="AE577" s="153" t="str">
        <f t="shared" si="369"/>
        <v>Junior B Male Flag FootballPool BJR B M - USA 1</v>
      </c>
      <c r="AF577" s="383">
        <f t="shared" si="370"/>
        <v>0</v>
      </c>
      <c r="AG577" s="383">
        <f t="shared" si="371"/>
        <v>1</v>
      </c>
      <c r="AH577" s="383">
        <f t="shared" si="372"/>
        <v>0</v>
      </c>
      <c r="AI577" s="383">
        <f t="shared" si="373"/>
        <v>1</v>
      </c>
      <c r="AJ577" s="383">
        <f t="shared" si="374"/>
        <v>0</v>
      </c>
      <c r="AK577" s="383">
        <f t="shared" si="375"/>
        <v>0</v>
      </c>
      <c r="AM577" s="148" t="str">
        <f t="shared" si="376"/>
        <v>Schedulled</v>
      </c>
      <c r="AN577" s="148" t="str">
        <f t="shared" si="377"/>
        <v/>
      </c>
      <c r="AO577" s="156">
        <f t="shared" si="378"/>
        <v>43060.784722222219</v>
      </c>
      <c r="AP577" s="148" t="str">
        <f t="shared" si="379"/>
        <v>11/21/2017 18:50-&gt;Hillel - Field 4</v>
      </c>
      <c r="AQ577" s="374">
        <f t="shared" si="380"/>
        <v>1</v>
      </c>
      <c r="AR577" s="148" t="str">
        <f t="shared" si="381"/>
        <v>MEX</v>
      </c>
      <c r="AS577" s="148" t="str">
        <f t="shared" si="382"/>
        <v>USA1</v>
      </c>
      <c r="AT577" s="157" t="str">
        <f t="shared" si="383"/>
        <v>MEX-USA1</v>
      </c>
      <c r="AU577" s="157" t="str">
        <f t="shared" si="384"/>
        <v xml:space="preserve">MEX-USA1 </v>
      </c>
      <c r="AV577" s="157" t="str">
        <f t="shared" si="385"/>
        <v>JUNIORS B MALE</v>
      </c>
      <c r="AW577" s="157" t="str">
        <f t="shared" si="386"/>
        <v>Flag Football</v>
      </c>
      <c r="AX577" s="376">
        <f t="shared" si="387"/>
        <v>575</v>
      </c>
      <c r="AY577" s="148" t="str">
        <f t="shared" si="388"/>
        <v>JR B M - MEX-&gt;JR B M - USA 1</v>
      </c>
      <c r="AZ577" s="148" t="str">
        <f t="shared" si="389"/>
        <v>11/21/2017 18:50-&gt;JR B M - MEX</v>
      </c>
      <c r="BA577" s="148" t="str">
        <f t="shared" si="390"/>
        <v>11/21/2017 18:50-&gt;JR B M - USA 1</v>
      </c>
      <c r="BB577" s="374">
        <f t="shared" si="391"/>
        <v>1</v>
      </c>
      <c r="BC577" s="374">
        <f t="shared" si="392"/>
        <v>1</v>
      </c>
      <c r="BD577" s="148" t="str">
        <f t="shared" si="393"/>
        <v>no conflict</v>
      </c>
      <c r="BF577" s="148" t="str">
        <f t="shared" si="394"/>
        <v>11/21/2017 18:50-&gt;JR B M - MEX</v>
      </c>
      <c r="BG577" s="148" t="str">
        <f t="shared" si="395"/>
        <v>11/21/2017 18:50-&gt;JR B M - USA 1</v>
      </c>
      <c r="BH577" s="148" t="str">
        <f t="shared" si="396"/>
        <v>11/21/2017 18:50-&gt;Hillel - Field 4</v>
      </c>
      <c r="BI577" s="148" t="str">
        <f t="shared" si="397"/>
        <v>Flag Football in Hillel - Field 4 (MEX-USA1)</v>
      </c>
      <c r="BJ577" s="148" t="str">
        <f t="shared" si="398"/>
        <v>Junior B Male Flag Football-- JR B M - MEX vs. JR B M - USA 1</v>
      </c>
      <c r="BK577" s="148" t="str">
        <f t="shared" si="399"/>
        <v>Flag Football</v>
      </c>
      <c r="BL577" s="148" t="str">
        <f t="shared" si="400"/>
        <v>JR B M - MEX</v>
      </c>
      <c r="BM577" s="148" t="str">
        <f t="shared" si="401"/>
        <v>JR B M - USA 1</v>
      </c>
      <c r="BN577" s="148" t="str">
        <f t="shared" si="402"/>
        <v>Round - 1</v>
      </c>
      <c r="BP577" s="148" t="str">
        <f t="shared" si="403"/>
        <v>no t, f, or sf</v>
      </c>
      <c r="BQ577" s="148" t="str">
        <f t="shared" si="404"/>
        <v/>
      </c>
    </row>
    <row r="578" spans="1:69" ht="15" customHeight="1" x14ac:dyDescent="0.2">
      <c r="A578" s="376">
        <v>576</v>
      </c>
      <c r="B578" s="328" t="s">
        <v>77</v>
      </c>
      <c r="C578" s="444" t="s">
        <v>518</v>
      </c>
      <c r="D578" s="451">
        <v>1</v>
      </c>
      <c r="E578" s="451">
        <v>1</v>
      </c>
      <c r="F578" s="315" t="s">
        <v>770</v>
      </c>
      <c r="G578" s="445">
        <v>43060</v>
      </c>
      <c r="H578" s="317">
        <v>0.85416666666666663</v>
      </c>
      <c r="I578" s="325" t="s">
        <v>770</v>
      </c>
      <c r="J578" s="444" t="s">
        <v>705</v>
      </c>
      <c r="K578" s="444">
        <v>62</v>
      </c>
      <c r="L578" s="433" t="s">
        <v>653</v>
      </c>
      <c r="M578" s="433">
        <v>62</v>
      </c>
      <c r="N578" s="433" t="s">
        <v>655</v>
      </c>
      <c r="O578" s="153" t="str">
        <f>IF(L578&lt;&gt;"",IFERROR(VLOOKUP(B578&amp;L578,Pools!$A$2:$D$130,3,FALSE),""),"")</f>
        <v>Pool A</v>
      </c>
      <c r="P578" s="388">
        <v>43</v>
      </c>
      <c r="Q578" s="388">
        <v>20</v>
      </c>
      <c r="R578" s="306" t="str">
        <f t="shared" si="360"/>
        <v>43-20</v>
      </c>
      <c r="S578" s="153"/>
      <c r="T578" s="148" t="str">
        <f t="shared" si="361"/>
        <v>Completed</v>
      </c>
      <c r="U578" s="153"/>
      <c r="V578" s="153"/>
      <c r="W578" s="387">
        <f t="shared" si="362"/>
        <v>21</v>
      </c>
      <c r="X578" s="387">
        <f t="shared" si="363"/>
        <v>-21</v>
      </c>
      <c r="Y578" s="301">
        <f t="shared" si="364"/>
        <v>2</v>
      </c>
      <c r="Z578" s="301">
        <f t="shared" si="365"/>
        <v>0</v>
      </c>
      <c r="AA578" s="323" t="str">
        <f>CONCATENATE("                x[team1,team2,sport,'",IF(OR(I578="x",I578=""),VLOOKUP('Schedule from TM'!J579,Tables!$P$3:$Q$33,2,FALSE),'Schedule from TM'!I579),",",J578,"','",IF(OR(F578="x",F578=""),VLOOKUP('Schedule from TM'!G579,Tables!$U$3:$V$14,2,FALSE),'Schedule from TM'!F579),",",TEXT(G578,"mm/dd/yyyy"),"','",TEXT(H578,"h:mm:ss AM/PM"),"'].ub=0.0      #",B578)</f>
        <v xml:space="preserve">                x[team1,team2,sport,'21,Hillel - Field 3','22,11/21/2017','8:30:00 PM'].ub=0.0      #Junior B Male Flag Football</v>
      </c>
      <c r="AB578" s="301" t="str">
        <f t="shared" si="366"/>
        <v>,,Junior B Male Flag Football,Pool A,1,JR B M - PER</v>
      </c>
      <c r="AC578" s="153" t="str">
        <f t="shared" si="367"/>
        <v>Junior B Male Flag FootballPool AJR B M - PER</v>
      </c>
      <c r="AD578" s="301" t="str">
        <f t="shared" si="368"/>
        <v>,,Junior B Male Flag Football,Pool A,1,JR B M - USA 2</v>
      </c>
      <c r="AE578" s="153" t="str">
        <f t="shared" si="369"/>
        <v>Junior B Male Flag FootballPool AJR B M - USA 2</v>
      </c>
      <c r="AF578" s="383">
        <f t="shared" si="370"/>
        <v>1</v>
      </c>
      <c r="AG578" s="383">
        <f t="shared" si="371"/>
        <v>0</v>
      </c>
      <c r="AH578" s="383">
        <f t="shared" si="372"/>
        <v>0</v>
      </c>
      <c r="AI578" s="383">
        <f t="shared" si="373"/>
        <v>0</v>
      </c>
      <c r="AJ578" s="383">
        <f t="shared" si="374"/>
        <v>1</v>
      </c>
      <c r="AK578" s="383">
        <f t="shared" si="375"/>
        <v>0</v>
      </c>
      <c r="AM578" s="148" t="str">
        <f t="shared" si="376"/>
        <v>Schedulled</v>
      </c>
      <c r="AN578" s="148" t="str">
        <f t="shared" si="377"/>
        <v/>
      </c>
      <c r="AO578" s="156">
        <f t="shared" si="378"/>
        <v>43060.854166666664</v>
      </c>
      <c r="AP578" s="148" t="str">
        <f t="shared" si="379"/>
        <v>11/21/2017 20:30-&gt;Hillel - Field 3</v>
      </c>
      <c r="AQ578" s="374">
        <f t="shared" si="380"/>
        <v>1</v>
      </c>
      <c r="AR578" s="148" t="str">
        <f t="shared" si="381"/>
        <v>PER</v>
      </c>
      <c r="AS578" s="148" t="str">
        <f t="shared" si="382"/>
        <v>USA2</v>
      </c>
      <c r="AT578" s="157" t="str">
        <f t="shared" si="383"/>
        <v>PER-USA2</v>
      </c>
      <c r="AU578" s="157" t="str">
        <f t="shared" si="384"/>
        <v xml:space="preserve">PER-USA2 </v>
      </c>
      <c r="AV578" s="157" t="str">
        <f t="shared" si="385"/>
        <v>JUNIORS B MALE</v>
      </c>
      <c r="AW578" s="157" t="str">
        <f t="shared" si="386"/>
        <v>Flag Football</v>
      </c>
      <c r="AX578" s="376">
        <f t="shared" si="387"/>
        <v>576</v>
      </c>
      <c r="AY578" s="148" t="str">
        <f t="shared" si="388"/>
        <v>JR B M - PER-&gt;JR B M - USA 2</v>
      </c>
      <c r="AZ578" s="148" t="str">
        <f t="shared" si="389"/>
        <v>11/21/2017 20:30-&gt;JR B M - PER</v>
      </c>
      <c r="BA578" s="148" t="str">
        <f t="shared" si="390"/>
        <v>11/21/2017 20:30-&gt;JR B M - USA 2</v>
      </c>
      <c r="BB578" s="374">
        <f t="shared" si="391"/>
        <v>1</v>
      </c>
      <c r="BC578" s="374">
        <f t="shared" si="392"/>
        <v>1</v>
      </c>
      <c r="BD578" s="148" t="str">
        <f t="shared" si="393"/>
        <v>no conflict</v>
      </c>
      <c r="BF578" s="148" t="str">
        <f t="shared" si="394"/>
        <v>11/21/2017 20:30-&gt;JR B M - PER</v>
      </c>
      <c r="BG578" s="148" t="str">
        <f t="shared" si="395"/>
        <v>11/21/2017 20:30-&gt;JR B M - USA 2</v>
      </c>
      <c r="BH578" s="148" t="str">
        <f t="shared" si="396"/>
        <v>11/21/2017 20:30-&gt;Hillel - Field 3</v>
      </c>
      <c r="BI578" s="148" t="str">
        <f t="shared" si="397"/>
        <v>Flag Football in Hillel - Field 3 (PER-USA2)</v>
      </c>
      <c r="BJ578" s="148" t="str">
        <f t="shared" si="398"/>
        <v>Junior B Male Flag Football-- JR B M - PER vs. JR B M - USA 2</v>
      </c>
      <c r="BK578" s="148" t="str">
        <f t="shared" si="399"/>
        <v>Flag Football</v>
      </c>
      <c r="BL578" s="148" t="str">
        <f t="shared" si="400"/>
        <v>JR B M - PER</v>
      </c>
      <c r="BM578" s="148" t="str">
        <f t="shared" si="401"/>
        <v>JR B M - USA 2</v>
      </c>
      <c r="BN578" s="148" t="str">
        <f t="shared" si="402"/>
        <v>Round - 1</v>
      </c>
      <c r="BP578" s="148" t="str">
        <f t="shared" si="403"/>
        <v>no t, f, or sf</v>
      </c>
      <c r="BQ578" s="148" t="str">
        <f t="shared" si="404"/>
        <v/>
      </c>
    </row>
    <row r="579" spans="1:69" ht="15" customHeight="1" x14ac:dyDescent="0.2">
      <c r="A579" s="376">
        <v>577</v>
      </c>
      <c r="B579" s="328" t="s">
        <v>77</v>
      </c>
      <c r="C579" s="444" t="s">
        <v>518</v>
      </c>
      <c r="D579" s="451">
        <v>1</v>
      </c>
      <c r="E579" s="451">
        <v>1</v>
      </c>
      <c r="F579" s="315" t="s">
        <v>770</v>
      </c>
      <c r="G579" s="445">
        <v>43060</v>
      </c>
      <c r="H579" s="317">
        <v>0.85416666666666663</v>
      </c>
      <c r="I579" s="325" t="s">
        <v>770</v>
      </c>
      <c r="J579" s="444" t="s">
        <v>704</v>
      </c>
      <c r="K579" s="444">
        <v>62</v>
      </c>
      <c r="L579" s="433" t="s">
        <v>650</v>
      </c>
      <c r="M579">
        <v>62</v>
      </c>
      <c r="N579" s="433" t="s">
        <v>654</v>
      </c>
      <c r="O579" s="153" t="str">
        <f>IF(L579&lt;&gt;"",IFERROR(VLOOKUP(B579&amp;L579,Pools!$A$2:$D$130,3,FALSE),""),"")</f>
        <v>Pool B</v>
      </c>
      <c r="P579" s="388">
        <v>12</v>
      </c>
      <c r="Q579" s="388">
        <v>28</v>
      </c>
      <c r="R579" s="306" t="str">
        <f t="shared" si="360"/>
        <v>12-28</v>
      </c>
      <c r="S579" s="153"/>
      <c r="T579" s="148" t="str">
        <f t="shared" si="361"/>
        <v>Completed</v>
      </c>
      <c r="U579" s="153"/>
      <c r="V579" s="153"/>
      <c r="W579" s="387">
        <f t="shared" si="362"/>
        <v>-16</v>
      </c>
      <c r="X579" s="387">
        <f t="shared" si="363"/>
        <v>16</v>
      </c>
      <c r="Y579" s="301">
        <f t="shared" si="364"/>
        <v>0</v>
      </c>
      <c r="Z579" s="301">
        <f t="shared" si="365"/>
        <v>2</v>
      </c>
      <c r="AA579" s="323" t="str">
        <f>CONCATENATE("                x[team1,team2,sport,'",IF(OR(I579="x",I579=""),VLOOKUP('Schedule from TM'!J580,Tables!$P$3:$Q$33,2,FALSE),'Schedule from TM'!I580),",",J579,"','",IF(OR(F579="x",F579=""),VLOOKUP('Schedule from TM'!G580,Tables!$U$3:$V$14,2,FALSE),'Schedule from TM'!F580),",",TEXT(G579,"mm/dd/yyyy"),"','",TEXT(H579,"h:mm:ss AM/PM"),"'].ub=0.0      #",B579)</f>
        <v xml:space="preserve">                x[team1,team2,sport,'21,Hillel - Field 2','22,11/21/2017','8:30:00 PM'].ub=0.0      #Junior B Male Flag Football</v>
      </c>
      <c r="AB579" s="301" t="str">
        <f t="shared" si="366"/>
        <v>,,Junior B Male Flag Football,Pool B,1,JR B M - COL 1</v>
      </c>
      <c r="AC579" s="153" t="str">
        <f t="shared" si="367"/>
        <v>Junior B Male Flag FootballPool BJR B M - COL 1</v>
      </c>
      <c r="AD579" s="301" t="str">
        <f t="shared" si="368"/>
        <v>,,Junior B Male Flag Football,Pool B,1,JR B M - USA 1</v>
      </c>
      <c r="AE579" s="153" t="str">
        <f t="shared" si="369"/>
        <v>Junior B Male Flag FootballPool BJR B M - USA 1</v>
      </c>
      <c r="AF579" s="383">
        <f t="shared" si="370"/>
        <v>0</v>
      </c>
      <c r="AG579" s="383">
        <f t="shared" si="371"/>
        <v>1</v>
      </c>
      <c r="AH579" s="383">
        <f t="shared" si="372"/>
        <v>0</v>
      </c>
      <c r="AI579" s="383">
        <f t="shared" si="373"/>
        <v>1</v>
      </c>
      <c r="AJ579" s="383">
        <f t="shared" si="374"/>
        <v>0</v>
      </c>
      <c r="AK579" s="383">
        <f t="shared" si="375"/>
        <v>0</v>
      </c>
      <c r="AM579" s="148" t="str">
        <f t="shared" si="376"/>
        <v>Schedulled</v>
      </c>
      <c r="AN579" s="148" t="str">
        <f t="shared" si="377"/>
        <v/>
      </c>
      <c r="AO579" s="156">
        <f t="shared" si="378"/>
        <v>43060.854166666664</v>
      </c>
      <c r="AP579" s="148" t="str">
        <f t="shared" si="379"/>
        <v>11/21/2017 20:30-&gt;Hillel - Field 2</v>
      </c>
      <c r="AQ579" s="374">
        <f t="shared" si="380"/>
        <v>1</v>
      </c>
      <c r="AR579" s="148" t="str">
        <f t="shared" si="381"/>
        <v>COL1</v>
      </c>
      <c r="AS579" s="148" t="str">
        <f t="shared" si="382"/>
        <v>USA1</v>
      </c>
      <c r="AT579" s="157" t="str">
        <f t="shared" si="383"/>
        <v>COL1-USA1</v>
      </c>
      <c r="AU579" s="157" t="str">
        <f t="shared" si="384"/>
        <v xml:space="preserve">COL1-USA1 </v>
      </c>
      <c r="AV579" s="157" t="str">
        <f t="shared" si="385"/>
        <v>JUNIORS B MALE</v>
      </c>
      <c r="AW579" s="157" t="str">
        <f t="shared" si="386"/>
        <v>Flag Football</v>
      </c>
      <c r="AX579" s="376">
        <f t="shared" si="387"/>
        <v>577</v>
      </c>
      <c r="AY579" s="148" t="str">
        <f t="shared" si="388"/>
        <v>JR B M - COL 1-&gt;JR B M - USA 1</v>
      </c>
      <c r="AZ579" s="148" t="str">
        <f t="shared" si="389"/>
        <v>11/21/2017 20:30-&gt;JR B M - COL 1</v>
      </c>
      <c r="BA579" s="148" t="str">
        <f t="shared" si="390"/>
        <v>11/21/2017 20:30-&gt;JR B M - USA 1</v>
      </c>
      <c r="BB579" s="374">
        <f t="shared" si="391"/>
        <v>1</v>
      </c>
      <c r="BC579" s="374">
        <f t="shared" si="392"/>
        <v>1</v>
      </c>
      <c r="BD579" s="148" t="str">
        <f t="shared" si="393"/>
        <v>no conflict</v>
      </c>
      <c r="BF579" s="148" t="str">
        <f t="shared" si="394"/>
        <v>11/21/2017 20:30-&gt;JR B M - COL 1</v>
      </c>
      <c r="BG579" s="148" t="str">
        <f t="shared" si="395"/>
        <v>11/21/2017 20:30-&gt;JR B M - USA 1</v>
      </c>
      <c r="BH579" s="148" t="str">
        <f t="shared" si="396"/>
        <v>11/21/2017 20:30-&gt;Hillel - Field 2</v>
      </c>
      <c r="BI579" s="148" t="str">
        <f t="shared" si="397"/>
        <v>Flag Football in Hillel - Field 2 (COL1-USA1)</v>
      </c>
      <c r="BJ579" s="148" t="str">
        <f t="shared" si="398"/>
        <v>Junior B Male Flag Football-- JR B M - COL 1 vs. JR B M - USA 1</v>
      </c>
      <c r="BK579" s="148" t="str">
        <f t="shared" si="399"/>
        <v>Flag Football</v>
      </c>
      <c r="BL579" s="148" t="str">
        <f t="shared" si="400"/>
        <v>JR B M - COL 1</v>
      </c>
      <c r="BM579" s="148" t="str">
        <f t="shared" si="401"/>
        <v>JR B M - USA 1</v>
      </c>
      <c r="BN579" s="148" t="str">
        <f t="shared" si="402"/>
        <v>Round - 1</v>
      </c>
      <c r="BP579" s="148" t="str">
        <f t="shared" si="403"/>
        <v>no t, f, or sf</v>
      </c>
      <c r="BQ579" s="148" t="str">
        <f t="shared" si="404"/>
        <v/>
      </c>
    </row>
    <row r="580" spans="1:69" ht="15" customHeight="1" x14ac:dyDescent="0.2">
      <c r="A580" s="376">
        <v>578</v>
      </c>
      <c r="B580" s="444" t="s">
        <v>77</v>
      </c>
      <c r="C580" s="444" t="s">
        <v>518</v>
      </c>
      <c r="D580" s="451">
        <v>1</v>
      </c>
      <c r="E580" s="451">
        <v>1</v>
      </c>
      <c r="F580" s="315" t="s">
        <v>770</v>
      </c>
      <c r="G580" s="445">
        <v>43061</v>
      </c>
      <c r="H580" s="317">
        <v>0.78472222222222221</v>
      </c>
      <c r="I580" s="325" t="s">
        <v>770</v>
      </c>
      <c r="J580" s="444" t="s">
        <v>706</v>
      </c>
      <c r="K580" s="315">
        <v>62</v>
      </c>
      <c r="L580" s="433" t="s">
        <v>651</v>
      </c>
      <c r="M580">
        <v>62</v>
      </c>
      <c r="N580" s="433" t="s">
        <v>653</v>
      </c>
      <c r="O580" s="153" t="str">
        <f>IF(L580&lt;&gt;"",IFERROR(VLOOKUP(B580&amp;L580,Pools!$A$2:$D$130,3,FALSE),""),"")</f>
        <v>Pool A</v>
      </c>
      <c r="P580" s="388">
        <v>13</v>
      </c>
      <c r="Q580" s="388">
        <v>22</v>
      </c>
      <c r="R580" s="306" t="str">
        <f t="shared" si="360"/>
        <v>13-22</v>
      </c>
      <c r="S580" s="153"/>
      <c r="T580" s="148" t="str">
        <f t="shared" si="361"/>
        <v>Completed</v>
      </c>
      <c r="U580" s="153"/>
      <c r="V580" s="153"/>
      <c r="W580" s="387">
        <f t="shared" si="362"/>
        <v>-9</v>
      </c>
      <c r="X580" s="387">
        <f t="shared" si="363"/>
        <v>9</v>
      </c>
      <c r="Y580" s="301">
        <f t="shared" si="364"/>
        <v>0</v>
      </c>
      <c r="Z580" s="301">
        <f t="shared" si="365"/>
        <v>2</v>
      </c>
      <c r="AA580" s="323" t="str">
        <f>CONCATENATE("                x[team1,team2,sport,'",IF(OR(I580="x",I580=""),VLOOKUP('Schedule from TM'!J581,Tables!$P$3:$Q$33,2,FALSE),'Schedule from TM'!I581),",",J580,"','",IF(OR(F580="x",F580=""),VLOOKUP('Schedule from TM'!G581,Tables!$U$3:$V$14,2,FALSE),'Schedule from TM'!F581),",",TEXT(G580,"mm/dd/yyyy"),"','",TEXT(H580,"h:mm:ss AM/PM"),"'].ub=0.0      #",B580)</f>
        <v xml:space="preserve">                x[team1,team2,sport,'21,Hillel - Field 4','11,11/22/2017','6:50:00 PM'].ub=0.0      #Junior B Male Flag Football</v>
      </c>
      <c r="AB580" s="301" t="str">
        <f t="shared" si="366"/>
        <v>,,Junior B Male Flag Football,Pool A,1,JR B M - ISR 1</v>
      </c>
      <c r="AC580" s="153" t="str">
        <f t="shared" si="367"/>
        <v>Junior B Male Flag FootballPool AJR B M - ISR 1</v>
      </c>
      <c r="AD580" s="301" t="str">
        <f t="shared" si="368"/>
        <v>,,Junior B Male Flag Football,Pool A,1,JR B M - PER</v>
      </c>
      <c r="AE580" s="153" t="str">
        <f t="shared" si="369"/>
        <v>Junior B Male Flag FootballPool AJR B M - PER</v>
      </c>
      <c r="AF580" s="383">
        <f t="shared" si="370"/>
        <v>0</v>
      </c>
      <c r="AG580" s="383">
        <f t="shared" si="371"/>
        <v>1</v>
      </c>
      <c r="AH580" s="383">
        <f t="shared" si="372"/>
        <v>0</v>
      </c>
      <c r="AI580" s="383">
        <f t="shared" si="373"/>
        <v>1</v>
      </c>
      <c r="AJ580" s="383">
        <f t="shared" si="374"/>
        <v>0</v>
      </c>
      <c r="AK580" s="383">
        <f t="shared" si="375"/>
        <v>0</v>
      </c>
      <c r="AM580" s="148" t="str">
        <f t="shared" si="376"/>
        <v>Schedulled</v>
      </c>
      <c r="AN580" s="148" t="str">
        <f t="shared" si="377"/>
        <v/>
      </c>
      <c r="AO580" s="156">
        <f t="shared" si="378"/>
        <v>43061.784722222219</v>
      </c>
      <c r="AP580" s="148" t="str">
        <f t="shared" si="379"/>
        <v>11/22/2017 18:50-&gt;Hillel - Field 4</v>
      </c>
      <c r="AQ580" s="374">
        <f t="shared" si="380"/>
        <v>1</v>
      </c>
      <c r="AR580" s="148" t="str">
        <f t="shared" si="381"/>
        <v>ISR1</v>
      </c>
      <c r="AS580" s="148" t="str">
        <f t="shared" si="382"/>
        <v>PER</v>
      </c>
      <c r="AT580" s="157" t="str">
        <f t="shared" si="383"/>
        <v>ISR1-PER</v>
      </c>
      <c r="AU580" s="157" t="str">
        <f t="shared" si="384"/>
        <v xml:space="preserve">ISR1-PER </v>
      </c>
      <c r="AV580" s="157" t="str">
        <f t="shared" si="385"/>
        <v>JUNIORS B MALE</v>
      </c>
      <c r="AW580" s="157" t="str">
        <f t="shared" si="386"/>
        <v>Flag Football</v>
      </c>
      <c r="AX580" s="376">
        <f t="shared" si="387"/>
        <v>578</v>
      </c>
      <c r="AY580" s="148" t="str">
        <f t="shared" si="388"/>
        <v>JR B M - ISR 1-&gt;JR B M - PER</v>
      </c>
      <c r="AZ580" s="148" t="str">
        <f t="shared" si="389"/>
        <v>11/22/2017 18:50-&gt;JR B M - ISR 1</v>
      </c>
      <c r="BA580" s="148" t="str">
        <f t="shared" si="390"/>
        <v>11/22/2017 18:50-&gt;JR B M - PER</v>
      </c>
      <c r="BB580" s="374">
        <f t="shared" si="391"/>
        <v>1</v>
      </c>
      <c r="BC580" s="374">
        <f t="shared" si="392"/>
        <v>1</v>
      </c>
      <c r="BD580" s="148" t="str">
        <f t="shared" si="393"/>
        <v>no conflict</v>
      </c>
      <c r="BF580" s="148" t="str">
        <f t="shared" si="394"/>
        <v>11/22/2017 18:50-&gt;JR B M - ISR 1</v>
      </c>
      <c r="BG580" s="148" t="str">
        <f t="shared" si="395"/>
        <v>11/22/2017 18:50-&gt;JR B M - PER</v>
      </c>
      <c r="BH580" s="148" t="str">
        <f t="shared" si="396"/>
        <v>11/22/2017 18:50-&gt;Hillel - Field 4</v>
      </c>
      <c r="BI580" s="148" t="str">
        <f t="shared" si="397"/>
        <v>Flag Football in Hillel - Field 4 (ISR1-PER)</v>
      </c>
      <c r="BJ580" s="148" t="str">
        <f t="shared" si="398"/>
        <v>Junior B Male Flag Football-- JR B M - ISR 1 vs. JR B M - PER</v>
      </c>
      <c r="BK580" s="148" t="str">
        <f t="shared" si="399"/>
        <v>Flag Football</v>
      </c>
      <c r="BL580" s="148" t="str">
        <f t="shared" si="400"/>
        <v>JR B M - ISR 1</v>
      </c>
      <c r="BM580" s="148" t="str">
        <f t="shared" si="401"/>
        <v>JR B M - PER</v>
      </c>
      <c r="BN580" s="148" t="str">
        <f t="shared" si="402"/>
        <v>Round - 1</v>
      </c>
      <c r="BP580" s="148" t="str">
        <f t="shared" si="403"/>
        <v>no t, f, or sf</v>
      </c>
      <c r="BQ580" s="148" t="str">
        <f t="shared" si="404"/>
        <v/>
      </c>
    </row>
    <row r="581" spans="1:69" ht="15" customHeight="1" x14ac:dyDescent="0.2">
      <c r="A581" s="376">
        <v>579</v>
      </c>
      <c r="B581" s="121" t="s">
        <v>77</v>
      </c>
      <c r="C581" s="121" t="s">
        <v>518</v>
      </c>
      <c r="D581" s="382">
        <v>1</v>
      </c>
      <c r="E581" s="382">
        <v>1</v>
      </c>
      <c r="F581" s="315" t="s">
        <v>770</v>
      </c>
      <c r="G581" s="206">
        <v>43063</v>
      </c>
      <c r="H581" s="454">
        <v>0.54166666666666663</v>
      </c>
      <c r="I581" s="325" t="s">
        <v>770</v>
      </c>
      <c r="J581" s="121" t="s">
        <v>705</v>
      </c>
      <c r="K581" s="121">
        <v>62</v>
      </c>
      <c r="L581" s="433" t="s">
        <v>648</v>
      </c>
      <c r="M581">
        <v>62</v>
      </c>
      <c r="N581" s="433" t="s">
        <v>653</v>
      </c>
      <c r="O581" s="153" t="str">
        <f>IF(L581&lt;&gt;"",IFERROR(VLOOKUP(B581&amp;L581,Pools!$A$2:$D$130,3,FALSE),""),"")</f>
        <v>Pool A</v>
      </c>
      <c r="P581" s="388">
        <v>21</v>
      </c>
      <c r="Q581" s="388">
        <v>0</v>
      </c>
      <c r="R581" s="306" t="str">
        <f t="shared" si="360"/>
        <v>21-0</v>
      </c>
      <c r="S581" s="153"/>
      <c r="T581" s="148" t="str">
        <f t="shared" si="361"/>
        <v>Completed</v>
      </c>
      <c r="U581" s="153"/>
      <c r="V581" s="153"/>
      <c r="W581" s="387">
        <f t="shared" si="362"/>
        <v>21</v>
      </c>
      <c r="X581" s="387">
        <f t="shared" si="363"/>
        <v>-21</v>
      </c>
      <c r="Y581" s="301">
        <f t="shared" si="364"/>
        <v>2</v>
      </c>
      <c r="Z581" s="301">
        <f t="shared" si="365"/>
        <v>0</v>
      </c>
      <c r="AA581" s="323" t="str">
        <f>CONCATENATE("                x[team1,team2,sport,'",IF(OR(I581="x",I581=""),VLOOKUP('Schedule from TM'!J582,Tables!$P$3:$Q$33,2,FALSE),'Schedule from TM'!I582),",",J581,"','",IF(OR(F581="x",F581=""),VLOOKUP('Schedule from TM'!G582,Tables!$U$3:$V$14,2,FALSE),'Schedule from TM'!F582),",",TEXT(G581,"mm/dd/yyyy"),"','",TEXT(H581,"h:mm:ss AM/PM"),"'].ub=0.0      #",B581)</f>
        <v xml:space="preserve">                x[team1,team2,sport,'21,Hillel - Field 3','11,11/24/2017','1:00:00 PM'].ub=0.0      #Junior B Male Flag Football</v>
      </c>
      <c r="AB581" s="301" t="str">
        <f t="shared" si="366"/>
        <v>,,Junior B Male Flag Football,Pool A,1,JR B M - ARG 1</v>
      </c>
      <c r="AC581" s="153" t="str">
        <f t="shared" si="367"/>
        <v>Junior B Male Flag FootballPool AJR B M - ARG 1</v>
      </c>
      <c r="AD581" s="301" t="str">
        <f t="shared" si="368"/>
        <v>,,Junior B Male Flag Football,Pool A,1,JR B M - PER</v>
      </c>
      <c r="AE581" s="153" t="str">
        <f t="shared" si="369"/>
        <v>Junior B Male Flag FootballPool AJR B M - PER</v>
      </c>
      <c r="AF581" s="383">
        <f t="shared" si="370"/>
        <v>1</v>
      </c>
      <c r="AG581" s="383">
        <f t="shared" si="371"/>
        <v>0</v>
      </c>
      <c r="AH581" s="383">
        <f t="shared" si="372"/>
        <v>0</v>
      </c>
      <c r="AI581" s="383">
        <f t="shared" si="373"/>
        <v>0</v>
      </c>
      <c r="AJ581" s="383">
        <f t="shared" si="374"/>
        <v>1</v>
      </c>
      <c r="AK581" s="383">
        <f t="shared" si="375"/>
        <v>0</v>
      </c>
      <c r="AM581" s="148" t="str">
        <f t="shared" si="376"/>
        <v>Schedulled</v>
      </c>
      <c r="AN581" s="148" t="str">
        <f t="shared" si="377"/>
        <v/>
      </c>
      <c r="AO581" s="156">
        <f t="shared" si="378"/>
        <v>43063.541666666664</v>
      </c>
      <c r="AP581" s="148" t="str">
        <f t="shared" si="379"/>
        <v>11/24/2017 13:00-&gt;Hillel - Field 3</v>
      </c>
      <c r="AQ581" s="374">
        <f t="shared" si="380"/>
        <v>1</v>
      </c>
      <c r="AR581" s="148" t="str">
        <f t="shared" si="381"/>
        <v>ARG1</v>
      </c>
      <c r="AS581" s="148" t="str">
        <f t="shared" si="382"/>
        <v>PER</v>
      </c>
      <c r="AT581" s="157" t="str">
        <f t="shared" si="383"/>
        <v>ARG1-PER</v>
      </c>
      <c r="AU581" s="157" t="str">
        <f t="shared" si="384"/>
        <v xml:space="preserve">ARG1-PER </v>
      </c>
      <c r="AV581" s="157" t="str">
        <f t="shared" si="385"/>
        <v>JUNIORS B MALE</v>
      </c>
      <c r="AW581" s="157" t="str">
        <f t="shared" si="386"/>
        <v>Flag Football</v>
      </c>
      <c r="AX581" s="376">
        <f t="shared" si="387"/>
        <v>579</v>
      </c>
      <c r="AY581" s="148" t="str">
        <f t="shared" si="388"/>
        <v>JR B M - ARG 1-&gt;JR B M - PER</v>
      </c>
      <c r="AZ581" s="148" t="str">
        <f t="shared" si="389"/>
        <v>11/24/2017 13:00-&gt;JR B M - ARG 1</v>
      </c>
      <c r="BA581" s="148" t="str">
        <f t="shared" si="390"/>
        <v>11/24/2017 13:00-&gt;JR B M - PER</v>
      </c>
      <c r="BB581" s="374">
        <f t="shared" si="391"/>
        <v>1</v>
      </c>
      <c r="BC581" s="374">
        <f t="shared" si="392"/>
        <v>1</v>
      </c>
      <c r="BD581" s="148" t="str">
        <f t="shared" si="393"/>
        <v>no conflict</v>
      </c>
      <c r="BF581" s="148" t="str">
        <f t="shared" si="394"/>
        <v>11/24/2017 13:00-&gt;JR B M - ARG 1</v>
      </c>
      <c r="BG581" s="148" t="str">
        <f t="shared" si="395"/>
        <v>11/24/2017 13:00-&gt;JR B M - PER</v>
      </c>
      <c r="BH581" s="148" t="str">
        <f t="shared" si="396"/>
        <v>11/24/2017 13:00-&gt;Hillel - Field 3</v>
      </c>
      <c r="BI581" s="148" t="str">
        <f t="shared" si="397"/>
        <v>Flag Football in Hillel - Field 3 (ARG1-PER)</v>
      </c>
      <c r="BJ581" s="148" t="str">
        <f t="shared" si="398"/>
        <v>Junior B Male Flag Football-- JR B M - ARG 1 vs. JR B M - PER</v>
      </c>
      <c r="BK581" s="148" t="str">
        <f t="shared" si="399"/>
        <v>Flag Football</v>
      </c>
      <c r="BL581" s="148" t="str">
        <f t="shared" si="400"/>
        <v>JR B M - ARG 1</v>
      </c>
      <c r="BM581" s="148" t="str">
        <f t="shared" si="401"/>
        <v>JR B M - PER</v>
      </c>
      <c r="BN581" s="148" t="str">
        <f t="shared" si="402"/>
        <v>Round - 1</v>
      </c>
      <c r="BP581" s="148" t="str">
        <f t="shared" si="403"/>
        <v>no t, f, or sf</v>
      </c>
      <c r="BQ581" s="148" t="str">
        <f t="shared" si="404"/>
        <v/>
      </c>
    </row>
    <row r="582" spans="1:69" ht="15" customHeight="1" x14ac:dyDescent="0.2">
      <c r="A582" s="376">
        <v>580</v>
      </c>
      <c r="B582" s="444" t="s">
        <v>77</v>
      </c>
      <c r="C582" s="315" t="s">
        <v>518</v>
      </c>
      <c r="D582" s="378">
        <v>1</v>
      </c>
      <c r="E582" s="451">
        <v>1</v>
      </c>
      <c r="F582" s="315" t="s">
        <v>770</v>
      </c>
      <c r="G582" s="445">
        <v>43063</v>
      </c>
      <c r="H582" s="454">
        <v>0.57638888888888895</v>
      </c>
      <c r="I582" s="325" t="s">
        <v>770</v>
      </c>
      <c r="J582" s="444" t="s">
        <v>705</v>
      </c>
      <c r="K582" s="444">
        <v>62</v>
      </c>
      <c r="L582" s="433" t="s">
        <v>650</v>
      </c>
      <c r="M582" s="433">
        <v>62</v>
      </c>
      <c r="N582" s="433" t="s">
        <v>652</v>
      </c>
      <c r="O582" s="153" t="str">
        <f>IF(L582&lt;&gt;"",IFERROR(VLOOKUP(B582&amp;L582,Pools!$A$2:$D$130,3,FALSE),""),"")</f>
        <v>Pool B</v>
      </c>
      <c r="P582" s="388">
        <v>12</v>
      </c>
      <c r="Q582" s="388">
        <v>17</v>
      </c>
      <c r="R582" s="306" t="str">
        <f t="shared" si="360"/>
        <v>12-17</v>
      </c>
      <c r="S582" s="153"/>
      <c r="T582" s="148" t="str">
        <f t="shared" si="361"/>
        <v>Completed</v>
      </c>
      <c r="U582" s="153"/>
      <c r="V582" s="153"/>
      <c r="W582" s="387">
        <f t="shared" si="362"/>
        <v>-5</v>
      </c>
      <c r="X582" s="387">
        <f t="shared" si="363"/>
        <v>5</v>
      </c>
      <c r="Y582" s="301">
        <f t="shared" si="364"/>
        <v>0</v>
      </c>
      <c r="Z582" s="301">
        <f t="shared" si="365"/>
        <v>2</v>
      </c>
      <c r="AA582" s="323" t="str">
        <f>CONCATENATE("                x[team1,team2,sport,'",IF(OR(I582="x",I582=""),VLOOKUP('Schedule from TM'!J583,Tables!$P$3:$Q$33,2,FALSE),'Schedule from TM'!I583),",",J582,"','",IF(OR(F582="x",F582=""),VLOOKUP('Schedule from TM'!G583,Tables!$U$3:$V$14,2,FALSE),'Schedule from TM'!F583),",",TEXT(G582,"mm/dd/yyyy"),"','",TEXT(H582,"h:mm:ss AM/PM"),"'].ub=0.0      #",B582)</f>
        <v xml:space="preserve">                x[team1,team2,sport,'21,Hillel - Field 3','11,11/24/2017','1:50:00 PM'].ub=0.0      #Junior B Male Flag Football</v>
      </c>
      <c r="AB582" s="301" t="str">
        <f t="shared" si="366"/>
        <v>,,Junior B Male Flag Football,Pool B,1,JR B M - COL 1</v>
      </c>
      <c r="AC582" s="153" t="str">
        <f t="shared" si="367"/>
        <v>Junior B Male Flag FootballPool BJR B M - COL 1</v>
      </c>
      <c r="AD582" s="301" t="str">
        <f t="shared" si="368"/>
        <v>,,Junior B Male Flag Football,Pool B,1,JR B M - MEX</v>
      </c>
      <c r="AE582" s="153" t="str">
        <f t="shared" si="369"/>
        <v>Junior B Male Flag FootballPool BJR B M - MEX</v>
      </c>
      <c r="AF582" s="383">
        <f t="shared" si="370"/>
        <v>0</v>
      </c>
      <c r="AG582" s="383">
        <f t="shared" si="371"/>
        <v>1</v>
      </c>
      <c r="AH582" s="383">
        <f t="shared" si="372"/>
        <v>0</v>
      </c>
      <c r="AI582" s="383">
        <f t="shared" si="373"/>
        <v>1</v>
      </c>
      <c r="AJ582" s="383">
        <f t="shared" si="374"/>
        <v>0</v>
      </c>
      <c r="AK582" s="383">
        <f t="shared" si="375"/>
        <v>0</v>
      </c>
      <c r="AM582" s="148" t="str">
        <f t="shared" si="376"/>
        <v>Schedulled</v>
      </c>
      <c r="AN582" s="148" t="str">
        <f t="shared" si="377"/>
        <v/>
      </c>
      <c r="AO582" s="156">
        <f t="shared" si="378"/>
        <v>43063.576388888891</v>
      </c>
      <c r="AP582" s="148" t="str">
        <f t="shared" si="379"/>
        <v>11/24/2017 13:50-&gt;Hillel - Field 3</v>
      </c>
      <c r="AQ582" s="374">
        <f t="shared" si="380"/>
        <v>1</v>
      </c>
      <c r="AR582" s="148" t="str">
        <f t="shared" si="381"/>
        <v>COL1</v>
      </c>
      <c r="AS582" s="148" t="str">
        <f t="shared" si="382"/>
        <v>MEX</v>
      </c>
      <c r="AT582" s="157" t="str">
        <f t="shared" si="383"/>
        <v>COL1-MEX</v>
      </c>
      <c r="AU582" s="157" t="str">
        <f t="shared" si="384"/>
        <v xml:space="preserve">COL1-MEX </v>
      </c>
      <c r="AV582" s="157" t="str">
        <f t="shared" si="385"/>
        <v>JUNIORS B MALE</v>
      </c>
      <c r="AW582" s="157" t="str">
        <f t="shared" si="386"/>
        <v>Flag Football</v>
      </c>
      <c r="AX582" s="376">
        <f t="shared" si="387"/>
        <v>580</v>
      </c>
      <c r="AY582" s="148" t="str">
        <f t="shared" si="388"/>
        <v>JR B M - COL 1-&gt;JR B M - MEX</v>
      </c>
      <c r="AZ582" s="148" t="str">
        <f t="shared" si="389"/>
        <v>11/24/2017 13:50-&gt;JR B M - COL 1</v>
      </c>
      <c r="BA582" s="148" t="str">
        <f t="shared" si="390"/>
        <v>11/24/2017 13:50-&gt;JR B M - MEX</v>
      </c>
      <c r="BB582" s="374">
        <f t="shared" si="391"/>
        <v>1</v>
      </c>
      <c r="BC582" s="374">
        <f t="shared" si="392"/>
        <v>1</v>
      </c>
      <c r="BD582" s="148" t="str">
        <f t="shared" si="393"/>
        <v>no conflict</v>
      </c>
      <c r="BF582" s="148" t="str">
        <f t="shared" si="394"/>
        <v>11/24/2017 13:50-&gt;JR B M - COL 1</v>
      </c>
      <c r="BG582" s="148" t="str">
        <f t="shared" si="395"/>
        <v>11/24/2017 13:50-&gt;JR B M - MEX</v>
      </c>
      <c r="BH582" s="148" t="str">
        <f t="shared" si="396"/>
        <v>11/24/2017 13:50-&gt;Hillel - Field 3</v>
      </c>
      <c r="BI582" s="148" t="str">
        <f t="shared" si="397"/>
        <v>Flag Football in Hillel - Field 3 (COL1-MEX)</v>
      </c>
      <c r="BJ582" s="148" t="str">
        <f t="shared" si="398"/>
        <v>Junior B Male Flag Football-- JR B M - COL 1 vs. JR B M - MEX</v>
      </c>
      <c r="BK582" s="148" t="str">
        <f t="shared" si="399"/>
        <v>Flag Football</v>
      </c>
      <c r="BL582" s="148" t="str">
        <f t="shared" si="400"/>
        <v>JR B M - COL 1</v>
      </c>
      <c r="BM582" s="148" t="str">
        <f t="shared" si="401"/>
        <v>JR B M - MEX</v>
      </c>
      <c r="BN582" s="148" t="str">
        <f t="shared" si="402"/>
        <v>Round - 1</v>
      </c>
      <c r="BP582" s="148" t="str">
        <f t="shared" si="403"/>
        <v>no t, f, or sf</v>
      </c>
      <c r="BQ582" s="148" t="str">
        <f t="shared" si="404"/>
        <v/>
      </c>
    </row>
    <row r="583" spans="1:69" ht="15" customHeight="1" x14ac:dyDescent="0.2">
      <c r="A583" s="376">
        <v>581</v>
      </c>
      <c r="B583" s="121" t="s">
        <v>77</v>
      </c>
      <c r="C583" s="121" t="s">
        <v>518</v>
      </c>
      <c r="D583" s="382">
        <v>1</v>
      </c>
      <c r="E583" s="382">
        <v>1</v>
      </c>
      <c r="F583" s="315" t="s">
        <v>770</v>
      </c>
      <c r="G583" s="206">
        <v>43063</v>
      </c>
      <c r="H583" s="454">
        <v>0.57638888888888895</v>
      </c>
      <c r="I583" s="325" t="s">
        <v>770</v>
      </c>
      <c r="J583" s="121" t="s">
        <v>704</v>
      </c>
      <c r="K583" s="121">
        <v>62</v>
      </c>
      <c r="L583" s="433" t="s">
        <v>654</v>
      </c>
      <c r="M583" s="433">
        <v>62</v>
      </c>
      <c r="N583" s="433" t="s">
        <v>656</v>
      </c>
      <c r="O583" s="153" t="str">
        <f>IF(L583&lt;&gt;"",IFERROR(VLOOKUP(B583&amp;L583,Pools!$A$2:$D$130,3,FALSE),""),"")</f>
        <v>Pool B</v>
      </c>
      <c r="P583" s="388">
        <v>12</v>
      </c>
      <c r="Q583" s="388">
        <v>0</v>
      </c>
      <c r="R583" s="306" t="str">
        <f t="shared" si="360"/>
        <v>12-0</v>
      </c>
      <c r="S583" s="153"/>
      <c r="T583" s="148" t="str">
        <f t="shared" si="361"/>
        <v>Completed</v>
      </c>
      <c r="U583" s="153"/>
      <c r="V583" s="153"/>
      <c r="W583" s="387">
        <f t="shared" si="362"/>
        <v>12</v>
      </c>
      <c r="X583" s="387">
        <f t="shared" si="363"/>
        <v>-12</v>
      </c>
      <c r="Y583" s="301">
        <f t="shared" si="364"/>
        <v>2</v>
      </c>
      <c r="Z583" s="301">
        <f t="shared" si="365"/>
        <v>0</v>
      </c>
      <c r="AA583" s="323" t="str">
        <f>CONCATENATE("                x[team1,team2,sport,'",IF(OR(I583="x",I583=""),VLOOKUP('Schedule from TM'!J584,Tables!$P$3:$Q$33,2,FALSE),'Schedule from TM'!I584),",",J583,"','",IF(OR(F583="x",F583=""),VLOOKUP('Schedule from TM'!G584,Tables!$U$3:$V$14,2,FALSE),'Schedule from TM'!F584),",",TEXT(G583,"mm/dd/yyyy"),"','",TEXT(H583,"h:mm:ss AM/PM"),"'].ub=0.0      #",B583)</f>
        <v xml:space="preserve">                x[team1,team2,sport,'11,Hillel - Field 2','11,11/24/2017','1:50:00 PM'].ub=0.0      #Junior B Male Flag Football</v>
      </c>
      <c r="AB583" s="301" t="str">
        <f t="shared" si="366"/>
        <v>,,Junior B Male Flag Football,Pool B,1,JR B M - USA 1</v>
      </c>
      <c r="AC583" s="153" t="str">
        <f t="shared" si="367"/>
        <v>Junior B Male Flag FootballPool BJR B M - USA 1</v>
      </c>
      <c r="AD583" s="301" t="str">
        <f t="shared" si="368"/>
        <v>,,Junior B Male Flag Football,Pool B,1,JR B M - VEN 1</v>
      </c>
      <c r="AE583" s="153" t="str">
        <f t="shared" si="369"/>
        <v>Junior B Male Flag FootballPool BJR B M - VEN 1</v>
      </c>
      <c r="AF583" s="383">
        <f t="shared" si="370"/>
        <v>1</v>
      </c>
      <c r="AG583" s="383">
        <f t="shared" si="371"/>
        <v>0</v>
      </c>
      <c r="AH583" s="383">
        <f t="shared" si="372"/>
        <v>0</v>
      </c>
      <c r="AI583" s="383">
        <f t="shared" si="373"/>
        <v>0</v>
      </c>
      <c r="AJ583" s="383">
        <f t="shared" si="374"/>
        <v>1</v>
      </c>
      <c r="AK583" s="383">
        <f t="shared" si="375"/>
        <v>0</v>
      </c>
      <c r="AM583" s="148" t="str">
        <f t="shared" si="376"/>
        <v>Schedulled</v>
      </c>
      <c r="AN583" s="148" t="str">
        <f t="shared" si="377"/>
        <v/>
      </c>
      <c r="AO583" s="156">
        <f t="shared" si="378"/>
        <v>43063.576388888891</v>
      </c>
      <c r="AP583" s="148" t="str">
        <f t="shared" si="379"/>
        <v>11/24/2017 13:50-&gt;Hillel - Field 2</v>
      </c>
      <c r="AQ583" s="374">
        <f t="shared" si="380"/>
        <v>1</v>
      </c>
      <c r="AR583" s="148" t="str">
        <f t="shared" si="381"/>
        <v>USA1</v>
      </c>
      <c r="AS583" s="148" t="str">
        <f t="shared" si="382"/>
        <v>VEN1</v>
      </c>
      <c r="AT583" s="157" t="str">
        <f t="shared" si="383"/>
        <v>USA1-VEN1</v>
      </c>
      <c r="AU583" s="157" t="str">
        <f t="shared" si="384"/>
        <v xml:space="preserve">USA1-VEN1 </v>
      </c>
      <c r="AV583" s="157" t="str">
        <f t="shared" si="385"/>
        <v>JUNIORS B MALE</v>
      </c>
      <c r="AW583" s="157" t="str">
        <f t="shared" si="386"/>
        <v>Flag Football</v>
      </c>
      <c r="AX583" s="376">
        <f t="shared" si="387"/>
        <v>581</v>
      </c>
      <c r="AY583" s="148" t="str">
        <f t="shared" si="388"/>
        <v>JR B M - USA 1-&gt;JR B M - VEN 1</v>
      </c>
      <c r="AZ583" s="148" t="str">
        <f t="shared" si="389"/>
        <v>11/24/2017 13:50-&gt;JR B M - USA 1</v>
      </c>
      <c r="BA583" s="148" t="str">
        <f t="shared" si="390"/>
        <v>11/24/2017 13:50-&gt;JR B M - VEN 1</v>
      </c>
      <c r="BB583" s="374">
        <f t="shared" si="391"/>
        <v>1</v>
      </c>
      <c r="BC583" s="374">
        <f t="shared" si="392"/>
        <v>1</v>
      </c>
      <c r="BD583" s="148" t="str">
        <f t="shared" si="393"/>
        <v>no conflict</v>
      </c>
      <c r="BF583" s="148" t="str">
        <f t="shared" si="394"/>
        <v>11/24/2017 13:50-&gt;JR B M - USA 1</v>
      </c>
      <c r="BG583" s="148" t="str">
        <f t="shared" si="395"/>
        <v>11/24/2017 13:50-&gt;JR B M - VEN 1</v>
      </c>
      <c r="BH583" s="148" t="str">
        <f t="shared" si="396"/>
        <v>11/24/2017 13:50-&gt;Hillel - Field 2</v>
      </c>
      <c r="BI583" s="148" t="str">
        <f t="shared" si="397"/>
        <v>Flag Football in Hillel - Field 2 (USA1-VEN1)</v>
      </c>
      <c r="BJ583" s="148" t="str">
        <f t="shared" si="398"/>
        <v>Junior B Male Flag Football-- JR B M - USA 1 vs. JR B M - VEN 1</v>
      </c>
      <c r="BK583" s="148" t="str">
        <f t="shared" si="399"/>
        <v>Flag Football</v>
      </c>
      <c r="BL583" s="148" t="str">
        <f t="shared" si="400"/>
        <v>JR B M - USA 1</v>
      </c>
      <c r="BM583" s="148" t="str">
        <f t="shared" si="401"/>
        <v>JR B M - VEN 1</v>
      </c>
      <c r="BN583" s="148" t="str">
        <f t="shared" si="402"/>
        <v>Round - 1</v>
      </c>
      <c r="BP583" s="148" t="str">
        <f t="shared" si="403"/>
        <v>no t, f, or sf</v>
      </c>
      <c r="BQ583" s="148" t="str">
        <f t="shared" si="404"/>
        <v/>
      </c>
    </row>
    <row r="584" spans="1:69" ht="15" customHeight="1" x14ac:dyDescent="0.2">
      <c r="A584" s="376">
        <v>582</v>
      </c>
      <c r="B584" s="121" t="s">
        <v>75</v>
      </c>
      <c r="C584" s="121" t="s">
        <v>518</v>
      </c>
      <c r="D584" s="382">
        <v>1</v>
      </c>
      <c r="E584" s="382">
        <v>1</v>
      </c>
      <c r="F584" s="315" t="s">
        <v>770</v>
      </c>
      <c r="G584" s="206">
        <v>43058</v>
      </c>
      <c r="H584" s="317">
        <v>0.57638888888888895</v>
      </c>
      <c r="I584" s="325" t="s">
        <v>770</v>
      </c>
      <c r="J584" s="121" t="s">
        <v>693</v>
      </c>
      <c r="K584" s="121">
        <v>62</v>
      </c>
      <c r="L584" s="433" t="s">
        <v>652</v>
      </c>
      <c r="M584" s="433">
        <v>62</v>
      </c>
      <c r="N584" s="433" t="s">
        <v>654</v>
      </c>
      <c r="O584" s="153" t="str">
        <f>IF(L584&lt;&gt;"",IFERROR(VLOOKUP(B584&amp;L584,Pools!$A$2:$D$130,3,FALSE),""),"")</f>
        <v>Pool A</v>
      </c>
      <c r="P584" s="388">
        <v>6</v>
      </c>
      <c r="Q584" s="388">
        <v>2</v>
      </c>
      <c r="R584" s="306" t="str">
        <f t="shared" si="360"/>
        <v>6-2</v>
      </c>
      <c r="S584" s="153"/>
      <c r="T584" s="148" t="str">
        <f t="shared" si="361"/>
        <v>Completed</v>
      </c>
      <c r="U584" s="153"/>
      <c r="V584" s="153"/>
      <c r="W584" s="387">
        <f t="shared" si="362"/>
        <v>3</v>
      </c>
      <c r="X584" s="387">
        <f t="shared" si="363"/>
        <v>-3</v>
      </c>
      <c r="Y584" s="301">
        <f t="shared" si="364"/>
        <v>2</v>
      </c>
      <c r="Z584" s="301">
        <f t="shared" si="365"/>
        <v>0</v>
      </c>
      <c r="AA584" s="323" t="str">
        <f>CONCATENATE("                x[team1,team2,sport,'",IF(OR(I584="x",I584=""),VLOOKUP('Schedule from TM'!J585,Tables!$P$3:$Q$33,2,FALSE),'Schedule from TM'!I585),",",J584,"','",IF(OR(F584="x",F584=""),VLOOKUP('Schedule from TM'!G585,Tables!$U$3:$V$14,2,FALSE),'Schedule from TM'!F585),",",TEXT(G584,"mm/dd/yyyy"),"','",TEXT(H584,"h:mm:ss AM/PM"),"'].ub=0.0      #",B584)</f>
        <v xml:space="preserve">                x[team1,team2,sport,'11,JCC Back Field 2','11,11/19/2017','1:50:00 PM'].ub=0.0      #Junior B Male Mini Soccer</v>
      </c>
      <c r="AB584" s="301" t="str">
        <f t="shared" si="366"/>
        <v>,,Junior B Male Mini Soccer,Pool A,1,JR B M - MEX</v>
      </c>
      <c r="AC584" s="153" t="str">
        <f t="shared" si="367"/>
        <v>Junior B Male Mini SoccerPool AJR B M - MEX</v>
      </c>
      <c r="AD584" s="301" t="str">
        <f t="shared" si="368"/>
        <v>,,Junior B Male Mini Soccer,Pool A,1,JR B M - USA 1</v>
      </c>
      <c r="AE584" s="153" t="str">
        <f t="shared" si="369"/>
        <v>Junior B Male Mini SoccerPool AJR B M - USA 1</v>
      </c>
      <c r="AF584" s="383">
        <f t="shared" si="370"/>
        <v>1</v>
      </c>
      <c r="AG584" s="383">
        <f t="shared" si="371"/>
        <v>0</v>
      </c>
      <c r="AH584" s="383">
        <f t="shared" si="372"/>
        <v>0</v>
      </c>
      <c r="AI584" s="383">
        <f t="shared" si="373"/>
        <v>0</v>
      </c>
      <c r="AJ584" s="383">
        <f t="shared" si="374"/>
        <v>1</v>
      </c>
      <c r="AK584" s="383">
        <f t="shared" si="375"/>
        <v>0</v>
      </c>
      <c r="AM584" s="148" t="str">
        <f t="shared" si="376"/>
        <v>Schedulled</v>
      </c>
      <c r="AN584" s="148" t="str">
        <f t="shared" si="377"/>
        <v/>
      </c>
      <c r="AO584" s="156">
        <f t="shared" si="378"/>
        <v>43058.576388888891</v>
      </c>
      <c r="AP584" s="148" t="str">
        <f t="shared" si="379"/>
        <v>11/19/2017 13:50-&gt;JCC Back Field 2</v>
      </c>
      <c r="AQ584" s="374">
        <f t="shared" si="380"/>
        <v>1</v>
      </c>
      <c r="AR584" s="148" t="str">
        <f t="shared" si="381"/>
        <v>MEX</v>
      </c>
      <c r="AS584" s="148" t="str">
        <f t="shared" si="382"/>
        <v>USA1</v>
      </c>
      <c r="AT584" s="157" t="str">
        <f t="shared" si="383"/>
        <v>MEX-USA1</v>
      </c>
      <c r="AU584" s="157" t="str">
        <f t="shared" si="384"/>
        <v xml:space="preserve">MEX-USA1 </v>
      </c>
      <c r="AV584" s="157" t="str">
        <f t="shared" si="385"/>
        <v>JUNIORS B MALE</v>
      </c>
      <c r="AW584" s="157" t="str">
        <f t="shared" si="386"/>
        <v>Soccer</v>
      </c>
      <c r="AX584" s="376">
        <f t="shared" si="387"/>
        <v>582</v>
      </c>
      <c r="AY584" s="148" t="str">
        <f t="shared" si="388"/>
        <v>JR B M - MEX-&gt;JR B M - USA 1</v>
      </c>
      <c r="AZ584" s="148" t="str">
        <f t="shared" si="389"/>
        <v>11/19/2017 13:50-&gt;JR B M - MEX</v>
      </c>
      <c r="BA584" s="148" t="str">
        <f t="shared" si="390"/>
        <v>11/19/2017 13:50-&gt;JR B M - USA 1</v>
      </c>
      <c r="BB584" s="374">
        <f t="shared" si="391"/>
        <v>1</v>
      </c>
      <c r="BC584" s="374">
        <f t="shared" si="392"/>
        <v>1</v>
      </c>
      <c r="BD584" s="148" t="str">
        <f t="shared" si="393"/>
        <v>no conflict</v>
      </c>
      <c r="BF584" s="148" t="str">
        <f t="shared" si="394"/>
        <v>11/19/2017 13:50-&gt;JR B M - MEX</v>
      </c>
      <c r="BG584" s="148" t="str">
        <f t="shared" si="395"/>
        <v>11/19/2017 13:50-&gt;JR B M - USA 1</v>
      </c>
      <c r="BH584" s="148" t="str">
        <f t="shared" si="396"/>
        <v>11/19/2017 13:50-&gt;JCC Back Field 2</v>
      </c>
      <c r="BI584" s="148" t="str">
        <f t="shared" si="397"/>
        <v>Soccer in JCC Back Field 2 (MEX-USA1)</v>
      </c>
      <c r="BJ584" s="148" t="str">
        <f t="shared" si="398"/>
        <v>Junior B Male Mini Soccer-- JR B M - MEX vs. JR B M - USA 1</v>
      </c>
      <c r="BK584" s="148" t="str">
        <f t="shared" si="399"/>
        <v>Soccer</v>
      </c>
      <c r="BL584" s="148" t="str">
        <f t="shared" si="400"/>
        <v>JR B M - MEX</v>
      </c>
      <c r="BM584" s="148" t="str">
        <f t="shared" si="401"/>
        <v>JR B M - USA 1</v>
      </c>
      <c r="BN584" s="148" t="str">
        <f t="shared" si="402"/>
        <v>Round - 1</v>
      </c>
      <c r="BP584" s="148" t="str">
        <f t="shared" si="403"/>
        <v>no t, f, or sf</v>
      </c>
      <c r="BQ584" s="148" t="str">
        <f t="shared" si="404"/>
        <v/>
      </c>
    </row>
    <row r="585" spans="1:69" ht="15" customHeight="1" x14ac:dyDescent="0.2">
      <c r="A585" s="450">
        <v>583</v>
      </c>
      <c r="B585" s="121" t="s">
        <v>75</v>
      </c>
      <c r="C585" s="121" t="s">
        <v>518</v>
      </c>
      <c r="D585" s="382">
        <v>1</v>
      </c>
      <c r="E585" s="382">
        <v>1</v>
      </c>
      <c r="F585" s="444" t="s">
        <v>770</v>
      </c>
      <c r="G585" s="206">
        <v>43058</v>
      </c>
      <c r="H585" s="317">
        <v>0.75</v>
      </c>
      <c r="I585" s="446" t="s">
        <v>770</v>
      </c>
      <c r="J585" s="121" t="s">
        <v>695</v>
      </c>
      <c r="K585" s="121">
        <v>62</v>
      </c>
      <c r="L585" s="433" t="s">
        <v>650</v>
      </c>
      <c r="M585" s="433">
        <v>62</v>
      </c>
      <c r="N585" s="433" t="s">
        <v>653</v>
      </c>
      <c r="O585" s="153" t="str">
        <f>IF(L585&lt;&gt;"",IFERROR(VLOOKUP(B585&amp;L585,Pools!$A$2:$D$130,3,FALSE),""),"")</f>
        <v>Pool B</v>
      </c>
      <c r="P585" s="388">
        <v>0</v>
      </c>
      <c r="Q585" s="388">
        <v>3</v>
      </c>
      <c r="R585" s="306" t="str">
        <f t="shared" si="360"/>
        <v>0-3</v>
      </c>
      <c r="S585" s="153"/>
      <c r="T585" s="148" t="str">
        <f t="shared" si="361"/>
        <v>Completed</v>
      </c>
      <c r="U585" s="153"/>
      <c r="V585" s="153"/>
      <c r="W585" s="387">
        <f t="shared" si="362"/>
        <v>-3</v>
      </c>
      <c r="X585" s="387">
        <f t="shared" si="363"/>
        <v>3</v>
      </c>
      <c r="Y585" s="301">
        <f t="shared" si="364"/>
        <v>0</v>
      </c>
      <c r="Z585" s="301">
        <f t="shared" si="365"/>
        <v>2</v>
      </c>
      <c r="AA585" s="323" t="str">
        <f>CONCATENATE("                x[team1,team2,sport,'",IF(OR(I585="x",I585=""),VLOOKUP('Schedule from TM'!J586,Tables!$P$3:$Q$33,2,FALSE),'Schedule from TM'!I586),",",J585,"','",IF(OR(F585="x",F585=""),VLOOKUP('Schedule from TM'!G586,Tables!$U$3:$V$14,2,FALSE),'Schedule from TM'!F586),",",TEXT(G585,"mm/dd/yyyy"),"','",TEXT(H585,"h:mm:ss AM/PM"),"'].ub=0.0      #",B585)</f>
        <v xml:space="preserve">                x[team1,team2,sport,'11,JCC Back Field 1','22,11/19/2017','6:00:00 PM'].ub=0.0      #Junior B Male Mini Soccer</v>
      </c>
      <c r="AB585" s="301" t="str">
        <f t="shared" si="366"/>
        <v>,,Junior B Male Mini Soccer,Pool B,1,JR B M - COL 1</v>
      </c>
      <c r="AC585" s="153" t="str">
        <f t="shared" si="367"/>
        <v>Junior B Male Mini SoccerPool BJR B M - COL 1</v>
      </c>
      <c r="AD585" s="301" t="str">
        <f t="shared" si="368"/>
        <v>,,Junior B Male Mini Soccer,Pool B,1,JR B M - PER</v>
      </c>
      <c r="AE585" s="153" t="str">
        <f t="shared" si="369"/>
        <v>Junior B Male Mini SoccerPool BJR B M - PER</v>
      </c>
      <c r="AF585" s="383">
        <f t="shared" si="370"/>
        <v>0</v>
      </c>
      <c r="AG585" s="383">
        <f t="shared" si="371"/>
        <v>1</v>
      </c>
      <c r="AH585" s="383">
        <f t="shared" si="372"/>
        <v>0</v>
      </c>
      <c r="AI585" s="383">
        <f t="shared" si="373"/>
        <v>1</v>
      </c>
      <c r="AJ585" s="383">
        <f t="shared" si="374"/>
        <v>0</v>
      </c>
      <c r="AK585" s="383">
        <f t="shared" si="375"/>
        <v>0</v>
      </c>
      <c r="AM585" s="148" t="str">
        <f t="shared" si="376"/>
        <v>Schedulled</v>
      </c>
      <c r="AN585" s="148" t="str">
        <f t="shared" si="377"/>
        <v/>
      </c>
      <c r="AO585" s="156">
        <f t="shared" si="378"/>
        <v>43058.75</v>
      </c>
      <c r="AP585" s="148" t="str">
        <f t="shared" si="379"/>
        <v>11/19/2017 18:00-&gt;JCC Back Field 1</v>
      </c>
      <c r="AQ585" s="374">
        <f t="shared" si="380"/>
        <v>1</v>
      </c>
      <c r="AR585" s="148" t="str">
        <f t="shared" si="381"/>
        <v>COL1</v>
      </c>
      <c r="AS585" s="148" t="str">
        <f t="shared" si="382"/>
        <v>PER</v>
      </c>
      <c r="AT585" s="157" t="str">
        <f t="shared" si="383"/>
        <v>COL1-PER</v>
      </c>
      <c r="AU585" s="157" t="str">
        <f t="shared" si="384"/>
        <v xml:space="preserve">COL1-PER </v>
      </c>
      <c r="AV585" s="157" t="str">
        <f t="shared" si="385"/>
        <v>JUNIORS B MALE</v>
      </c>
      <c r="AW585" s="157" t="str">
        <f t="shared" si="386"/>
        <v>Soccer</v>
      </c>
      <c r="AX585" s="450">
        <f t="shared" si="387"/>
        <v>583</v>
      </c>
      <c r="AY585" s="148" t="str">
        <f t="shared" si="388"/>
        <v>JR B M - COL 1-&gt;JR B M - PER</v>
      </c>
      <c r="AZ585" s="148" t="str">
        <f t="shared" si="389"/>
        <v>11/19/2017 18:00-&gt;JR B M - COL 1</v>
      </c>
      <c r="BA585" s="148" t="str">
        <f t="shared" si="390"/>
        <v>11/19/2017 18:00-&gt;JR B M - PER</v>
      </c>
      <c r="BB585" s="374">
        <f t="shared" si="391"/>
        <v>1</v>
      </c>
      <c r="BC585" s="374">
        <f t="shared" si="392"/>
        <v>1</v>
      </c>
      <c r="BD585" s="148" t="str">
        <f t="shared" si="393"/>
        <v>no conflict</v>
      </c>
      <c r="BF585" s="148" t="str">
        <f t="shared" si="394"/>
        <v>11/19/2017 18:00-&gt;JR B M - COL 1</v>
      </c>
      <c r="BG585" s="148" t="str">
        <f t="shared" si="395"/>
        <v>11/19/2017 18:00-&gt;JR B M - PER</v>
      </c>
      <c r="BH585" s="148" t="str">
        <f t="shared" si="396"/>
        <v>11/19/2017 18:00-&gt;JCC Back Field 1</v>
      </c>
      <c r="BI585" s="148" t="str">
        <f t="shared" si="397"/>
        <v>Soccer in JCC Back Field 1 (COL1-PER)</v>
      </c>
      <c r="BJ585" s="148" t="str">
        <f t="shared" si="398"/>
        <v>Junior B Male Mini Soccer-- JR B M - COL 1 vs. JR B M - PER</v>
      </c>
      <c r="BK585" s="148" t="str">
        <f t="shared" si="399"/>
        <v>Soccer</v>
      </c>
      <c r="BL585" s="148" t="str">
        <f t="shared" si="400"/>
        <v>JR B M - COL 1</v>
      </c>
      <c r="BM585" s="148" t="str">
        <f t="shared" si="401"/>
        <v>JR B M - PER</v>
      </c>
      <c r="BN585" s="148" t="str">
        <f t="shared" si="402"/>
        <v>Round - 1</v>
      </c>
      <c r="BP585" s="148" t="str">
        <f t="shared" si="403"/>
        <v>no t, f, or sf</v>
      </c>
      <c r="BQ585" s="148" t="str">
        <f t="shared" si="404"/>
        <v/>
      </c>
    </row>
    <row r="586" spans="1:69" ht="15" customHeight="1" x14ac:dyDescent="0.2">
      <c r="A586" s="376">
        <v>584</v>
      </c>
      <c r="B586" s="444" t="s">
        <v>75</v>
      </c>
      <c r="C586" s="444" t="s">
        <v>518</v>
      </c>
      <c r="D586" s="451">
        <v>1</v>
      </c>
      <c r="E586" s="451">
        <v>1</v>
      </c>
      <c r="F586" s="315" t="s">
        <v>770</v>
      </c>
      <c r="G586" s="445">
        <v>43059</v>
      </c>
      <c r="H586" s="317">
        <v>0.75</v>
      </c>
      <c r="I586" s="325" t="s">
        <v>770</v>
      </c>
      <c r="J586" s="443" t="s">
        <v>695</v>
      </c>
      <c r="K586" s="315">
        <v>62</v>
      </c>
      <c r="L586" s="433" t="s">
        <v>650</v>
      </c>
      <c r="M586">
        <v>62</v>
      </c>
      <c r="N586" s="433" t="s">
        <v>655</v>
      </c>
      <c r="O586" s="153" t="str">
        <f>IF(L586&lt;&gt;"",IFERROR(VLOOKUP(B586&amp;L586,Pools!$A$2:$D$130,3,FALSE),""),"")</f>
        <v>Pool B</v>
      </c>
      <c r="P586" s="388">
        <v>7</v>
      </c>
      <c r="Q586" s="388">
        <v>3</v>
      </c>
      <c r="R586" s="306" t="str">
        <f t="shared" si="360"/>
        <v>7-3</v>
      </c>
      <c r="S586" s="153"/>
      <c r="T586" s="148" t="str">
        <f t="shared" si="361"/>
        <v>Completed</v>
      </c>
      <c r="U586" s="153"/>
      <c r="V586" s="153"/>
      <c r="W586" s="387">
        <f t="shared" si="362"/>
        <v>3</v>
      </c>
      <c r="X586" s="387">
        <f t="shared" si="363"/>
        <v>-3</v>
      </c>
      <c r="Y586" s="301">
        <f t="shared" si="364"/>
        <v>2</v>
      </c>
      <c r="Z586" s="301">
        <f t="shared" si="365"/>
        <v>0</v>
      </c>
      <c r="AA586" s="323" t="str">
        <f>CONCATENATE("                x[team1,team2,sport,'",IF(OR(I586="x",I586=""),VLOOKUP('Schedule from TM'!J587,Tables!$P$3:$Q$33,2,FALSE),'Schedule from TM'!I587),",",J586,"','",IF(OR(F586="x",F586=""),VLOOKUP('Schedule from TM'!G587,Tables!$U$3:$V$14,2,FALSE),'Schedule from TM'!F587),",",TEXT(G586,"mm/dd/yyyy"),"','",TEXT(H586,"h:mm:ss AM/PM"),"'].ub=0.0      #",B586)</f>
        <v xml:space="preserve">                x[team1,team2,sport,'11,JCC Back Field 1','22,11/20/2017','6:00:00 PM'].ub=0.0      #Junior B Male Mini Soccer</v>
      </c>
      <c r="AB586" s="301" t="str">
        <f t="shared" si="366"/>
        <v>,,Junior B Male Mini Soccer,Pool B,1,JR B M - COL 1</v>
      </c>
      <c r="AC586" s="153" t="str">
        <f t="shared" si="367"/>
        <v>Junior B Male Mini SoccerPool BJR B M - COL 1</v>
      </c>
      <c r="AD586" s="301" t="str">
        <f t="shared" si="368"/>
        <v>,,Junior B Male Mini Soccer,Pool B,1,JR B M - USA 2</v>
      </c>
      <c r="AE586" s="153" t="str">
        <f t="shared" si="369"/>
        <v>Junior B Male Mini SoccerPool BJR B M - USA 2</v>
      </c>
      <c r="AF586" s="383">
        <f t="shared" si="370"/>
        <v>1</v>
      </c>
      <c r="AG586" s="383">
        <f t="shared" si="371"/>
        <v>0</v>
      </c>
      <c r="AH586" s="383">
        <f t="shared" si="372"/>
        <v>0</v>
      </c>
      <c r="AI586" s="383">
        <f t="shared" si="373"/>
        <v>0</v>
      </c>
      <c r="AJ586" s="383">
        <f t="shared" si="374"/>
        <v>1</v>
      </c>
      <c r="AK586" s="383">
        <f t="shared" si="375"/>
        <v>0</v>
      </c>
      <c r="AM586" s="148" t="str">
        <f t="shared" si="376"/>
        <v>Schedulled</v>
      </c>
      <c r="AN586" s="148" t="str">
        <f t="shared" si="377"/>
        <v/>
      </c>
      <c r="AO586" s="156">
        <f t="shared" si="378"/>
        <v>43059.75</v>
      </c>
      <c r="AP586" s="148" t="str">
        <f t="shared" si="379"/>
        <v>11/20/2017 18:00-&gt;JCC Back Field 1</v>
      </c>
      <c r="AQ586" s="374">
        <f t="shared" si="380"/>
        <v>1</v>
      </c>
      <c r="AR586" s="148" t="str">
        <f t="shared" si="381"/>
        <v>COL1</v>
      </c>
      <c r="AS586" s="148" t="str">
        <f t="shared" si="382"/>
        <v>USA2</v>
      </c>
      <c r="AT586" s="157" t="str">
        <f t="shared" si="383"/>
        <v>COL1-USA2</v>
      </c>
      <c r="AU586" s="157" t="str">
        <f t="shared" si="384"/>
        <v xml:space="preserve">COL1-USA2 </v>
      </c>
      <c r="AV586" s="157" t="str">
        <f t="shared" si="385"/>
        <v>JUNIORS B MALE</v>
      </c>
      <c r="AW586" s="157" t="str">
        <f t="shared" si="386"/>
        <v>Soccer</v>
      </c>
      <c r="AX586" s="376">
        <f t="shared" si="387"/>
        <v>584</v>
      </c>
      <c r="AY586" s="148" t="str">
        <f t="shared" si="388"/>
        <v>JR B M - COL 1-&gt;JR B M - USA 2</v>
      </c>
      <c r="AZ586" s="148" t="str">
        <f t="shared" si="389"/>
        <v>11/20/2017 18:00-&gt;JR B M - COL 1</v>
      </c>
      <c r="BA586" s="148" t="str">
        <f t="shared" si="390"/>
        <v>11/20/2017 18:00-&gt;JR B M - USA 2</v>
      </c>
      <c r="BB586" s="374">
        <f t="shared" si="391"/>
        <v>1</v>
      </c>
      <c r="BC586" s="374">
        <f t="shared" si="392"/>
        <v>1</v>
      </c>
      <c r="BD586" s="148" t="str">
        <f t="shared" si="393"/>
        <v>no conflict</v>
      </c>
      <c r="BF586" s="148" t="str">
        <f t="shared" si="394"/>
        <v>11/20/2017 18:00-&gt;JR B M - COL 1</v>
      </c>
      <c r="BG586" s="148" t="str">
        <f t="shared" si="395"/>
        <v>11/20/2017 18:00-&gt;JR B M - USA 2</v>
      </c>
      <c r="BH586" s="148" t="str">
        <f t="shared" si="396"/>
        <v>11/20/2017 18:00-&gt;JCC Back Field 1</v>
      </c>
      <c r="BI586" s="148" t="str">
        <f t="shared" si="397"/>
        <v>Soccer in JCC Back Field 1 (COL1-USA2)</v>
      </c>
      <c r="BJ586" s="148" t="str">
        <f t="shared" si="398"/>
        <v>Junior B Male Mini Soccer-- JR B M - COL 1 vs. JR B M - USA 2</v>
      </c>
      <c r="BK586" s="148" t="str">
        <f t="shared" si="399"/>
        <v>Soccer</v>
      </c>
      <c r="BL586" s="148" t="str">
        <f t="shared" si="400"/>
        <v>JR B M - COL 1</v>
      </c>
      <c r="BM586" s="148" t="str">
        <f t="shared" si="401"/>
        <v>JR B M - USA 2</v>
      </c>
      <c r="BN586" s="148" t="str">
        <f t="shared" si="402"/>
        <v>Round - 1</v>
      </c>
      <c r="BP586" s="148" t="str">
        <f t="shared" si="403"/>
        <v>no t, f, or sf</v>
      </c>
      <c r="BQ586" s="148" t="str">
        <f t="shared" si="404"/>
        <v/>
      </c>
    </row>
    <row r="587" spans="1:69" ht="15" customHeight="1" x14ac:dyDescent="0.2">
      <c r="A587" s="376">
        <v>585</v>
      </c>
      <c r="B587" s="444" t="s">
        <v>75</v>
      </c>
      <c r="C587" s="444" t="s">
        <v>518</v>
      </c>
      <c r="D587" s="451">
        <v>1</v>
      </c>
      <c r="E587" s="451">
        <v>1</v>
      </c>
      <c r="F587" s="315" t="s">
        <v>770</v>
      </c>
      <c r="G587" s="445">
        <v>43061</v>
      </c>
      <c r="H587" s="317">
        <v>0.78472222222222221</v>
      </c>
      <c r="I587" s="325" t="s">
        <v>770</v>
      </c>
      <c r="J587" s="443" t="s">
        <v>693</v>
      </c>
      <c r="K587" s="444">
        <v>62</v>
      </c>
      <c r="L587" s="433" t="s">
        <v>648</v>
      </c>
      <c r="M587">
        <v>62</v>
      </c>
      <c r="N587" s="433" t="s">
        <v>656</v>
      </c>
      <c r="O587" s="153" t="str">
        <f>IF(L587&lt;&gt;"",IFERROR(VLOOKUP(B587&amp;L587,Pools!$A$2:$D$130,3,FALSE),""),"")</f>
        <v>Pool A</v>
      </c>
      <c r="P587" s="388">
        <v>1</v>
      </c>
      <c r="Q587" s="388">
        <v>2</v>
      </c>
      <c r="R587" s="306" t="str">
        <f t="shared" ref="R587:R650" si="405">P587&amp;"-"&amp;Q587</f>
        <v>1-2</v>
      </c>
      <c r="S587" s="153"/>
      <c r="T587" s="148" t="str">
        <f t="shared" ref="T587:T650" si="406">IF(AND(P587&lt;&gt;"",Q587&lt;&gt;""),"Completed","Pending")</f>
        <v>Completed</v>
      </c>
      <c r="U587" s="153"/>
      <c r="V587" s="153"/>
      <c r="W587" s="387">
        <f t="shared" ref="W587:W650" si="407">IF(AW587="Basketball",(IF(P587-Q587&gt;15,15,IF(P587-Q587&lt;-15,-15,(P587-Q587)))),IF(AW587="Soccer",(IF(P587-Q587&gt;3,3,IF(P587-Q587&lt;-3,-3,(P587-Q587)))),IF(AW587="Kickball",(IF(P587-Q587&gt;5,5,IF(P587-Q587&lt;-5,-5,(P587-Q587)))),IF(AW587="Flag Football",(IF(P587-Q587&gt;21,21,IF(P587-Q587&lt;-21,-21,(P587-Q587)))),P587-Q587))))</f>
        <v>-1</v>
      </c>
      <c r="X587" s="387">
        <f t="shared" ref="X587:X650" si="408">IF(AW587="Basketball",(IF(Q587-P587&gt;15,15,IF(Q587-P587&lt;-15,-15,(Q587-P587)))),IF(AW587="Soccer",(IF(Q587-P587&gt;3,3,IF(Q587-P587&lt;-3,-3,(Q587-P587)))),IF(AW587="Kickball",(IF(Q587-P587&gt;5,5,IF(Q587-P587&lt;-5,-5,(Q587-P587)))),IF(AW587="Flag Football",(IF(Q587-P587&gt;21,21,IF(Q587-P587&lt;-21,-21,(Q587-P587)))),Q587-P587))))</f>
        <v>1</v>
      </c>
      <c r="Y587" s="301">
        <f t="shared" ref="Y587:Y650" si="409">IF(T587="Completed",(IF(P587&gt;Q587,2,IF(P587=Q587,1,IF(P587&lt;Q587,0)))),"X")</f>
        <v>0</v>
      </c>
      <c r="Z587" s="301">
        <f t="shared" ref="Z587:Z650" si="410">IF(T587="Completed",(IF(Q587&gt;P587,2,IF(Q587=P587,1,IF(Q587&lt;P587,0)))),"X")</f>
        <v>2</v>
      </c>
      <c r="AA587" s="323" t="str">
        <f>CONCATENATE("                x[team1,team2,sport,'",IF(OR(I587="x",I587=""),VLOOKUP('Schedule from TM'!J588,Tables!$P$3:$Q$33,2,FALSE),'Schedule from TM'!I588),",",J587,"','",IF(OR(F587="x",F587=""),VLOOKUP('Schedule from TM'!G588,Tables!$U$3:$V$14,2,FALSE),'Schedule from TM'!F588),",",TEXT(G587,"mm/dd/yyyy"),"','",TEXT(H587,"h:mm:ss AM/PM"),"'].ub=0.0      #",B587)</f>
        <v xml:space="preserve">                x[team1,team2,sport,'11,JCC Back Field 2','11,11/22/2017','6:50:00 PM'].ub=0.0      #Junior B Male Mini Soccer</v>
      </c>
      <c r="AB587" s="301" t="str">
        <f t="shared" ref="AB587:AB650" si="411">",,"&amp;B587&amp;","&amp;O587&amp;",1,"&amp;L587</f>
        <v>,,Junior B Male Mini Soccer,Pool A,1,JR B M - ARG 1</v>
      </c>
      <c r="AC587" s="153" t="str">
        <f t="shared" ref="AC587:AC650" si="412">B587&amp;O587&amp;L587</f>
        <v>Junior B Male Mini SoccerPool AJR B M - ARG 1</v>
      </c>
      <c r="AD587" s="301" t="str">
        <f t="shared" ref="AD587:AD650" si="413">",,"&amp;B587&amp;","&amp;O587&amp;",1,"&amp;N587</f>
        <v>,,Junior B Male Mini Soccer,Pool A,1,JR B M - VEN 1</v>
      </c>
      <c r="AE587" s="153" t="str">
        <f t="shared" ref="AE587:AE650" si="414">B587&amp;O587&amp;N587</f>
        <v>Junior B Male Mini SoccerPool AJR B M - VEN 1</v>
      </c>
      <c r="AF587" s="383">
        <f t="shared" ref="AF587:AF650" si="415">IF(Y587=2,1,0)</f>
        <v>0</v>
      </c>
      <c r="AG587" s="383">
        <f t="shared" ref="AG587:AG650" si="416">IF(Y587=0,1,0)</f>
        <v>1</v>
      </c>
      <c r="AH587" s="383">
        <f t="shared" ref="AH587:AH650" si="417">IF(Y587=1,1,0)</f>
        <v>0</v>
      </c>
      <c r="AI587" s="383">
        <f t="shared" ref="AI587:AI650" si="418">IF(Z587=2,1,0)</f>
        <v>1</v>
      </c>
      <c r="AJ587" s="383">
        <f t="shared" ref="AJ587:AJ650" si="419">IF(Z587=0,1,0)</f>
        <v>0</v>
      </c>
      <c r="AK587" s="383">
        <f t="shared" ref="AK587:AK650" si="420">IF(Z587=1,1,0)</f>
        <v>0</v>
      </c>
      <c r="AM587" s="148" t="str">
        <f t="shared" ref="AM587:AM650" si="421">IF(G587&amp;H587&amp;J587&lt;&gt;"","Schedulled","Not Schedulled")</f>
        <v>Schedulled</v>
      </c>
      <c r="AN587" s="148" t="str">
        <f t="shared" ref="AN587:AN650" si="422">IF(AND(AM587="schedulled",L587&amp;N587=""),"Schedulled no team","")</f>
        <v/>
      </c>
      <c r="AO587" s="156">
        <f t="shared" ref="AO587:AO650" si="423">G587+H587</f>
        <v>43061.784722222219</v>
      </c>
      <c r="AP587" s="148" t="str">
        <f t="shared" ref="AP587:AP650" si="424">TEXT(AO587,"MM/DD/YYYY HH:MM")&amp;"-&gt;"&amp;J587</f>
        <v>11/22/2017 18:50-&gt;JCC Back Field 2</v>
      </c>
      <c r="AQ587" s="374">
        <f t="shared" ref="AQ587:AQ650" si="425">IF(AM587="not schedulled", 0,COUNTIF($AP$11:$AP$1051,AP587))</f>
        <v>1</v>
      </c>
      <c r="AR587" s="148" t="str">
        <f t="shared" ref="AR587:AR650" si="426">IFERROR(VLOOKUP(L587,teams_table,3,FALSE),"")</f>
        <v>ARG1</v>
      </c>
      <c r="AS587" s="148" t="str">
        <f t="shared" ref="AS587:AS650" si="427">IFERROR(VLOOKUP(N587,teams_table,3,FALSE),"")</f>
        <v>VEN1</v>
      </c>
      <c r="AT587" s="157" t="str">
        <f t="shared" ref="AT587:AT650" si="428">IF(AR587&amp;AS587&lt;&gt;"",AR587&amp;"-"&amp;AS587,"")</f>
        <v>ARG1-VEN1</v>
      </c>
      <c r="AU587" s="157" t="str">
        <f t="shared" ref="AU587:AU650" si="429">IF(AT587="","",AT587&amp;" ")&amp;IF(C587="final",AW587&amp;" Final","")&amp;IF(C587="semi-final",AW587&amp;" Semi-Final","")&amp;IF(C587="Tournament",AW587&amp;" Tournament","")</f>
        <v xml:space="preserve">ARG1-VEN1 </v>
      </c>
      <c r="AV587" s="157" t="str">
        <f t="shared" ref="AV587:AV650" si="430">IFERROR(VLOOKUP(B587,events_table,2,FALSE),"")</f>
        <v>JUNIORS B MALE</v>
      </c>
      <c r="AW587" s="157" t="str">
        <f t="shared" ref="AW587:AW650" si="431">IFERROR(VLOOKUP(B587,events_table,3,0),"")</f>
        <v>Soccer</v>
      </c>
      <c r="AX587" s="376">
        <f t="shared" ref="AX587:AX650" si="432">A587</f>
        <v>585</v>
      </c>
      <c r="AY587" s="148" t="str">
        <f t="shared" ref="AY587:AY650" si="433">L587&amp;"-&gt;"&amp;N587</f>
        <v>JR B M - ARG 1-&gt;JR B M - VEN 1</v>
      </c>
      <c r="AZ587" s="148" t="str">
        <f t="shared" ref="AZ587:AZ650" si="434">TEXT(AO587,"MM/DD/YYYY HH:MM")&amp;"-&gt;"&amp;L587</f>
        <v>11/22/2017 18:50-&gt;JR B M - ARG 1</v>
      </c>
      <c r="BA587" s="148" t="str">
        <f t="shared" ref="BA587:BA650" si="435">TEXT(AO587,"MM/DD/YYYY HH:MM")&amp;"-&gt;"&amp;N587</f>
        <v>11/22/2017 18:50-&gt;JR B M - VEN 1</v>
      </c>
      <c r="BB587" s="374">
        <f t="shared" ref="BB587:BB650" si="436">IF(OR(AM587="not schedulled",AN587="schedulled no team"),0,COUNTIF($AZ$11:$BA$1051,AZ587))</f>
        <v>1</v>
      </c>
      <c r="BC587" s="374">
        <f t="shared" ref="BC587:BC650" si="437">IF(OR(AM587="not schedulled",AN587="schedulled no team"),0,COUNTIF($AZ$11:$BA$1051,BA587))</f>
        <v>1</v>
      </c>
      <c r="BD587" s="148" t="str">
        <f t="shared" ref="BD587:BD650" si="438">IF(OR(BB587&gt;1,BC587&gt;1),"conflict","no conflict")</f>
        <v>no conflict</v>
      </c>
      <c r="BF587" s="148" t="str">
        <f t="shared" ref="BF587:BF650" si="439">TEXT(AO587,"MM/DD/YYYY HH:MM")&amp;"-&gt;"&amp;L587</f>
        <v>11/22/2017 18:50-&gt;JR B M - ARG 1</v>
      </c>
      <c r="BG587" s="148" t="str">
        <f t="shared" ref="BG587:BG650" si="440">TEXT(AO587,"MM/DD/YYYY HH:MM")&amp;"-&gt;"&amp;N587</f>
        <v>11/22/2017 18:50-&gt;JR B M - VEN 1</v>
      </c>
      <c r="BH587" s="148" t="str">
        <f t="shared" ref="BH587:BH650" si="441">TEXT(AO587,"MM/DD/YYYY HH:MM")&amp;"-&gt;"&amp;J587</f>
        <v>11/22/2017 18:50-&gt;JCC Back Field 2</v>
      </c>
      <c r="BI587" s="148" t="str">
        <f t="shared" ref="BI587:BI650" si="442">AW587&amp; " in "&amp;J587 &amp;" ("&amp;AT587&amp;")"</f>
        <v>Soccer in JCC Back Field 2 (ARG1-VEN1)</v>
      </c>
      <c r="BJ587" s="148" t="str">
        <f t="shared" ref="BJ587:BJ650" si="443">B587 &amp;"-- " &amp;L587&amp;" vs. "&amp;N587</f>
        <v>Junior B Male Mini Soccer-- JR B M - ARG 1 vs. JR B M - VEN 1</v>
      </c>
      <c r="BK587" s="148" t="str">
        <f t="shared" ref="BK587:BK650" si="444">AW587</f>
        <v>Soccer</v>
      </c>
      <c r="BL587" s="148" t="str">
        <f t="shared" ref="BL587:BL650" si="445">L587</f>
        <v>JR B M - ARG 1</v>
      </c>
      <c r="BM587" s="148" t="str">
        <f t="shared" ref="BM587:BM650" si="446">N587</f>
        <v>JR B M - VEN 1</v>
      </c>
      <c r="BN587" s="148" t="str">
        <f t="shared" ref="BN587:BN650" si="447">C587</f>
        <v>Round - 1</v>
      </c>
      <c r="BP587" s="148" t="str">
        <f t="shared" ref="BP587:BP650" si="448">IF(OR(NOT(ISERR(SEARCH("final",C587))),NOT(ISERR(SEARCH("tournament",C587)))),TEXT(AO587,"MM/DD/YYYY HH:MM")&amp;"-&gt;"&amp;AV587,IF(B587="","no game","no t, f, or sf"))</f>
        <v>no t, f, or sf</v>
      </c>
      <c r="BQ587" s="148" t="str">
        <f t="shared" ref="BQ587:BQ650" si="449">IF(BP587&lt;&gt;"no t, f, or sf",AW587&amp;" "&amp;C587&amp;" in "&amp;J587,"")</f>
        <v/>
      </c>
    </row>
    <row r="588" spans="1:69" ht="15" customHeight="1" x14ac:dyDescent="0.2">
      <c r="A588" s="376">
        <v>586</v>
      </c>
      <c r="B588" s="121" t="s">
        <v>75</v>
      </c>
      <c r="C588" s="121" t="s">
        <v>518</v>
      </c>
      <c r="D588" s="382">
        <v>1</v>
      </c>
      <c r="E588" s="382">
        <v>1</v>
      </c>
      <c r="F588" s="315" t="s">
        <v>770</v>
      </c>
      <c r="G588" s="206">
        <v>43062</v>
      </c>
      <c r="H588" s="317">
        <v>0.40277777777777773</v>
      </c>
      <c r="I588" s="325" t="s">
        <v>770</v>
      </c>
      <c r="J588" s="121" t="s">
        <v>694</v>
      </c>
      <c r="K588" s="121">
        <v>62</v>
      </c>
      <c r="L588" s="433" t="s">
        <v>650</v>
      </c>
      <c r="M588">
        <v>62</v>
      </c>
      <c r="N588" s="433" t="s">
        <v>651</v>
      </c>
      <c r="O588" s="153" t="str">
        <f>IF(L588&lt;&gt;"",IFERROR(VLOOKUP(B588&amp;L588,Pools!$A$2:$D$130,3,FALSE),""),"")</f>
        <v>Pool B</v>
      </c>
      <c r="P588" s="388">
        <v>0</v>
      </c>
      <c r="Q588" s="388">
        <v>4</v>
      </c>
      <c r="R588" s="306" t="str">
        <f t="shared" si="405"/>
        <v>0-4</v>
      </c>
      <c r="S588" s="153"/>
      <c r="T588" s="148" t="str">
        <f t="shared" si="406"/>
        <v>Completed</v>
      </c>
      <c r="U588" s="153"/>
      <c r="V588" s="153"/>
      <c r="W588" s="387">
        <f t="shared" si="407"/>
        <v>-3</v>
      </c>
      <c r="X588" s="387">
        <f t="shared" si="408"/>
        <v>3</v>
      </c>
      <c r="Y588" s="301">
        <f t="shared" si="409"/>
        <v>0</v>
      </c>
      <c r="Z588" s="301">
        <f t="shared" si="410"/>
        <v>2</v>
      </c>
      <c r="AA588" s="323" t="str">
        <f>CONCATENATE("                x[team1,team2,sport,'",IF(OR(I588="x",I588=""),VLOOKUP('Schedule from TM'!J589,Tables!$P$3:$Q$33,2,FALSE),'Schedule from TM'!I589),",",J588,"','",IF(OR(F588="x",F588=""),VLOOKUP('Schedule from TM'!G589,Tables!$U$3:$V$14,2,FALSE),'Schedule from TM'!F589),",",TEXT(G588,"mm/dd/yyyy"),"','",TEXT(H588,"h:mm:ss AM/PM"),"'].ub=0.0      #",B588)</f>
        <v xml:space="preserve">                x[team1,team2,sport,'11,JCC Back Field 4','11,11/23/2017','9:40:00 AM'].ub=0.0      #Junior B Male Mini Soccer</v>
      </c>
      <c r="AB588" s="301" t="str">
        <f t="shared" si="411"/>
        <v>,,Junior B Male Mini Soccer,Pool B,1,JR B M - COL 1</v>
      </c>
      <c r="AC588" s="153" t="str">
        <f t="shared" si="412"/>
        <v>Junior B Male Mini SoccerPool BJR B M - COL 1</v>
      </c>
      <c r="AD588" s="301" t="str">
        <f t="shared" si="413"/>
        <v>,,Junior B Male Mini Soccer,Pool B,1,JR B M - ISR 1</v>
      </c>
      <c r="AE588" s="153" t="str">
        <f t="shared" si="414"/>
        <v>Junior B Male Mini SoccerPool BJR B M - ISR 1</v>
      </c>
      <c r="AF588" s="383">
        <f t="shared" si="415"/>
        <v>0</v>
      </c>
      <c r="AG588" s="383">
        <f t="shared" si="416"/>
        <v>1</v>
      </c>
      <c r="AH588" s="383">
        <f t="shared" si="417"/>
        <v>0</v>
      </c>
      <c r="AI588" s="383">
        <f t="shared" si="418"/>
        <v>1</v>
      </c>
      <c r="AJ588" s="383">
        <f t="shared" si="419"/>
        <v>0</v>
      </c>
      <c r="AK588" s="383">
        <f t="shared" si="420"/>
        <v>0</v>
      </c>
      <c r="AM588" s="148" t="str">
        <f t="shared" si="421"/>
        <v>Schedulled</v>
      </c>
      <c r="AN588" s="148" t="str">
        <f t="shared" si="422"/>
        <v/>
      </c>
      <c r="AO588" s="156">
        <f t="shared" si="423"/>
        <v>43062.402777777781</v>
      </c>
      <c r="AP588" s="148" t="str">
        <f t="shared" si="424"/>
        <v>11/23/2017 09:40-&gt;JCC Back Field 4</v>
      </c>
      <c r="AQ588" s="374">
        <f t="shared" si="425"/>
        <v>1</v>
      </c>
      <c r="AR588" s="148" t="str">
        <f t="shared" si="426"/>
        <v>COL1</v>
      </c>
      <c r="AS588" s="148" t="str">
        <f t="shared" si="427"/>
        <v>ISR1</v>
      </c>
      <c r="AT588" s="157" t="str">
        <f t="shared" si="428"/>
        <v>COL1-ISR1</v>
      </c>
      <c r="AU588" s="157" t="str">
        <f t="shared" si="429"/>
        <v xml:space="preserve">COL1-ISR1 </v>
      </c>
      <c r="AV588" s="157" t="str">
        <f t="shared" si="430"/>
        <v>JUNIORS B MALE</v>
      </c>
      <c r="AW588" s="157" t="str">
        <f t="shared" si="431"/>
        <v>Soccer</v>
      </c>
      <c r="AX588" s="376">
        <f t="shared" si="432"/>
        <v>586</v>
      </c>
      <c r="AY588" s="148" t="str">
        <f t="shared" si="433"/>
        <v>JR B M - COL 1-&gt;JR B M - ISR 1</v>
      </c>
      <c r="AZ588" s="148" t="str">
        <f t="shared" si="434"/>
        <v>11/23/2017 09:40-&gt;JR B M - COL 1</v>
      </c>
      <c r="BA588" s="148" t="str">
        <f t="shared" si="435"/>
        <v>11/23/2017 09:40-&gt;JR B M - ISR 1</v>
      </c>
      <c r="BB588" s="374">
        <f t="shared" si="436"/>
        <v>1</v>
      </c>
      <c r="BC588" s="374">
        <f t="shared" si="437"/>
        <v>1</v>
      </c>
      <c r="BD588" s="148" t="str">
        <f t="shared" si="438"/>
        <v>no conflict</v>
      </c>
      <c r="BF588" s="148" t="str">
        <f t="shared" si="439"/>
        <v>11/23/2017 09:40-&gt;JR B M - COL 1</v>
      </c>
      <c r="BG588" s="148" t="str">
        <f t="shared" si="440"/>
        <v>11/23/2017 09:40-&gt;JR B M - ISR 1</v>
      </c>
      <c r="BH588" s="148" t="str">
        <f t="shared" si="441"/>
        <v>11/23/2017 09:40-&gt;JCC Back Field 4</v>
      </c>
      <c r="BI588" s="148" t="str">
        <f t="shared" si="442"/>
        <v>Soccer in JCC Back Field 4 (COL1-ISR1)</v>
      </c>
      <c r="BJ588" s="148" t="str">
        <f t="shared" si="443"/>
        <v>Junior B Male Mini Soccer-- JR B M - COL 1 vs. JR B M - ISR 1</v>
      </c>
      <c r="BK588" s="148" t="str">
        <f t="shared" si="444"/>
        <v>Soccer</v>
      </c>
      <c r="BL588" s="148" t="str">
        <f t="shared" si="445"/>
        <v>JR B M - COL 1</v>
      </c>
      <c r="BM588" s="148" t="str">
        <f t="shared" si="446"/>
        <v>JR B M - ISR 1</v>
      </c>
      <c r="BN588" s="148" t="str">
        <f t="shared" si="447"/>
        <v>Round - 1</v>
      </c>
      <c r="BP588" s="148" t="str">
        <f t="shared" si="448"/>
        <v>no t, f, or sf</v>
      </c>
      <c r="BQ588" s="148" t="str">
        <f t="shared" si="449"/>
        <v/>
      </c>
    </row>
    <row r="589" spans="1:69" ht="15" customHeight="1" x14ac:dyDescent="0.2">
      <c r="A589" s="376">
        <v>587</v>
      </c>
      <c r="B589" s="121" t="s">
        <v>75</v>
      </c>
      <c r="C589" s="121" t="s">
        <v>518</v>
      </c>
      <c r="D589" s="382">
        <v>1</v>
      </c>
      <c r="E589" s="382">
        <v>1</v>
      </c>
      <c r="F589" s="315" t="s">
        <v>770</v>
      </c>
      <c r="G589" s="206">
        <v>43062</v>
      </c>
      <c r="H589" s="317">
        <v>0.50694444444444442</v>
      </c>
      <c r="I589" s="325" t="s">
        <v>770</v>
      </c>
      <c r="J589" s="121" t="s">
        <v>693</v>
      </c>
      <c r="K589" s="121">
        <v>62</v>
      </c>
      <c r="L589" s="433" t="s">
        <v>648</v>
      </c>
      <c r="M589">
        <v>62</v>
      </c>
      <c r="N589" s="433" t="s">
        <v>654</v>
      </c>
      <c r="O589" s="153" t="str">
        <f>IF(L589&lt;&gt;"",IFERROR(VLOOKUP(B589&amp;L589,Pools!$A$2:$D$130,3,FALSE),""),"")</f>
        <v>Pool A</v>
      </c>
      <c r="P589" s="388">
        <v>9</v>
      </c>
      <c r="Q589" s="388">
        <v>1</v>
      </c>
      <c r="R589" s="306" t="str">
        <f t="shared" si="405"/>
        <v>9-1</v>
      </c>
      <c r="S589" s="153"/>
      <c r="T589" s="148" t="str">
        <f t="shared" si="406"/>
        <v>Completed</v>
      </c>
      <c r="U589" s="153"/>
      <c r="V589" s="153"/>
      <c r="W589" s="387">
        <f t="shared" si="407"/>
        <v>3</v>
      </c>
      <c r="X589" s="387">
        <f t="shared" si="408"/>
        <v>-3</v>
      </c>
      <c r="Y589" s="301">
        <f t="shared" si="409"/>
        <v>2</v>
      </c>
      <c r="Z589" s="301">
        <f t="shared" si="410"/>
        <v>0</v>
      </c>
      <c r="AA589" s="323" t="str">
        <f>CONCATENATE("                x[team1,team2,sport,'",IF(OR(I589="x",I589=""),VLOOKUP('Schedule from TM'!J590,Tables!$P$3:$Q$33,2,FALSE),'Schedule from TM'!I590),",",J589,"','",IF(OR(F589="x",F589=""),VLOOKUP('Schedule from TM'!G590,Tables!$U$3:$V$14,2,FALSE),'Schedule from TM'!F590),",",TEXT(G589,"mm/dd/yyyy"),"','",TEXT(H589,"h:mm:ss AM/PM"),"'].ub=0.0      #",B589)</f>
        <v xml:space="preserve">                x[team1,team2,sport,'11,JCC Back Field 2','11,11/23/2017','12:10:00 PM'].ub=0.0      #Junior B Male Mini Soccer</v>
      </c>
      <c r="AB589" s="301" t="str">
        <f t="shared" si="411"/>
        <v>,,Junior B Male Mini Soccer,Pool A,1,JR B M - ARG 1</v>
      </c>
      <c r="AC589" s="153" t="str">
        <f t="shared" si="412"/>
        <v>Junior B Male Mini SoccerPool AJR B M - ARG 1</v>
      </c>
      <c r="AD589" s="301" t="str">
        <f t="shared" si="413"/>
        <v>,,Junior B Male Mini Soccer,Pool A,1,JR B M - USA 1</v>
      </c>
      <c r="AE589" s="153" t="str">
        <f t="shared" si="414"/>
        <v>Junior B Male Mini SoccerPool AJR B M - USA 1</v>
      </c>
      <c r="AF589" s="383">
        <f t="shared" si="415"/>
        <v>1</v>
      </c>
      <c r="AG589" s="383">
        <f t="shared" si="416"/>
        <v>0</v>
      </c>
      <c r="AH589" s="383">
        <f t="shared" si="417"/>
        <v>0</v>
      </c>
      <c r="AI589" s="383">
        <f t="shared" si="418"/>
        <v>0</v>
      </c>
      <c r="AJ589" s="383">
        <f t="shared" si="419"/>
        <v>1</v>
      </c>
      <c r="AK589" s="383">
        <f t="shared" si="420"/>
        <v>0</v>
      </c>
      <c r="AM589" s="148" t="str">
        <f t="shared" si="421"/>
        <v>Schedulled</v>
      </c>
      <c r="AN589" s="148" t="str">
        <f t="shared" si="422"/>
        <v/>
      </c>
      <c r="AO589" s="156">
        <f t="shared" si="423"/>
        <v>43062.506944444445</v>
      </c>
      <c r="AP589" s="148" t="str">
        <f t="shared" si="424"/>
        <v>11/23/2017 12:10-&gt;JCC Back Field 2</v>
      </c>
      <c r="AQ589" s="374">
        <f t="shared" si="425"/>
        <v>1</v>
      </c>
      <c r="AR589" s="148" t="str">
        <f t="shared" si="426"/>
        <v>ARG1</v>
      </c>
      <c r="AS589" s="148" t="str">
        <f t="shared" si="427"/>
        <v>USA1</v>
      </c>
      <c r="AT589" s="157" t="str">
        <f t="shared" si="428"/>
        <v>ARG1-USA1</v>
      </c>
      <c r="AU589" s="157" t="str">
        <f t="shared" si="429"/>
        <v xml:space="preserve">ARG1-USA1 </v>
      </c>
      <c r="AV589" s="157" t="str">
        <f t="shared" si="430"/>
        <v>JUNIORS B MALE</v>
      </c>
      <c r="AW589" s="157" t="str">
        <f t="shared" si="431"/>
        <v>Soccer</v>
      </c>
      <c r="AX589" s="376">
        <f t="shared" si="432"/>
        <v>587</v>
      </c>
      <c r="AY589" s="148" t="str">
        <f t="shared" si="433"/>
        <v>JR B M - ARG 1-&gt;JR B M - USA 1</v>
      </c>
      <c r="AZ589" s="148" t="str">
        <f t="shared" si="434"/>
        <v>11/23/2017 12:10-&gt;JR B M - ARG 1</v>
      </c>
      <c r="BA589" s="148" t="str">
        <f t="shared" si="435"/>
        <v>11/23/2017 12:10-&gt;JR B M - USA 1</v>
      </c>
      <c r="BB589" s="374">
        <f t="shared" si="436"/>
        <v>1</v>
      </c>
      <c r="BC589" s="374">
        <f t="shared" si="437"/>
        <v>1</v>
      </c>
      <c r="BD589" s="148" t="str">
        <f t="shared" si="438"/>
        <v>no conflict</v>
      </c>
      <c r="BF589" s="148" t="str">
        <f t="shared" si="439"/>
        <v>11/23/2017 12:10-&gt;JR B M - ARG 1</v>
      </c>
      <c r="BG589" s="148" t="str">
        <f t="shared" si="440"/>
        <v>11/23/2017 12:10-&gt;JR B M - USA 1</v>
      </c>
      <c r="BH589" s="148" t="str">
        <f t="shared" si="441"/>
        <v>11/23/2017 12:10-&gt;JCC Back Field 2</v>
      </c>
      <c r="BI589" s="148" t="str">
        <f t="shared" si="442"/>
        <v>Soccer in JCC Back Field 2 (ARG1-USA1)</v>
      </c>
      <c r="BJ589" s="148" t="str">
        <f t="shared" si="443"/>
        <v>Junior B Male Mini Soccer-- JR B M - ARG 1 vs. JR B M - USA 1</v>
      </c>
      <c r="BK589" s="148" t="str">
        <f t="shared" si="444"/>
        <v>Soccer</v>
      </c>
      <c r="BL589" s="148" t="str">
        <f t="shared" si="445"/>
        <v>JR B M - ARG 1</v>
      </c>
      <c r="BM589" s="148" t="str">
        <f t="shared" si="446"/>
        <v>JR B M - USA 1</v>
      </c>
      <c r="BN589" s="148" t="str">
        <f t="shared" si="447"/>
        <v>Round - 1</v>
      </c>
      <c r="BP589" s="148" t="str">
        <f t="shared" si="448"/>
        <v>no t, f, or sf</v>
      </c>
      <c r="BQ589" s="148" t="str">
        <f t="shared" si="449"/>
        <v/>
      </c>
    </row>
    <row r="590" spans="1:69" ht="15" customHeight="1" x14ac:dyDescent="0.2">
      <c r="A590" s="376">
        <v>588</v>
      </c>
      <c r="B590" s="441" t="s">
        <v>75</v>
      </c>
      <c r="C590" s="441" t="s">
        <v>518</v>
      </c>
      <c r="D590" s="450">
        <v>1</v>
      </c>
      <c r="E590" s="450">
        <v>1</v>
      </c>
      <c r="F590" s="315" t="s">
        <v>770</v>
      </c>
      <c r="G590" s="320">
        <v>43062</v>
      </c>
      <c r="H590" s="317">
        <v>0.54166666666666663</v>
      </c>
      <c r="I590" s="325" t="s">
        <v>770</v>
      </c>
      <c r="J590" s="441" t="s">
        <v>695</v>
      </c>
      <c r="K590" s="441">
        <v>62</v>
      </c>
      <c r="L590" s="433" t="s">
        <v>651</v>
      </c>
      <c r="M590">
        <v>62</v>
      </c>
      <c r="N590" s="433" t="s">
        <v>653</v>
      </c>
      <c r="O590" s="153" t="str">
        <f>IF(L590&lt;&gt;"",IFERROR(VLOOKUP(B590&amp;L590,Pools!$A$2:$D$130,3,FALSE),""),"")</f>
        <v>Pool B</v>
      </c>
      <c r="P590" s="388">
        <v>1</v>
      </c>
      <c r="Q590" s="388">
        <v>2</v>
      </c>
      <c r="R590" s="306" t="str">
        <f t="shared" si="405"/>
        <v>1-2</v>
      </c>
      <c r="S590" s="153"/>
      <c r="T590" s="148" t="str">
        <f t="shared" si="406"/>
        <v>Completed</v>
      </c>
      <c r="U590" s="153"/>
      <c r="V590" s="153"/>
      <c r="W590" s="387">
        <f t="shared" si="407"/>
        <v>-1</v>
      </c>
      <c r="X590" s="387">
        <f t="shared" si="408"/>
        <v>1</v>
      </c>
      <c r="Y590" s="301">
        <f t="shared" si="409"/>
        <v>0</v>
      </c>
      <c r="Z590" s="301">
        <f t="shared" si="410"/>
        <v>2</v>
      </c>
      <c r="AA590" s="323" t="str">
        <f>CONCATENATE("                x[team1,team2,sport,'",IF(OR(I590="x",I590=""),VLOOKUP('Schedule from TM'!J591,Tables!$P$3:$Q$33,2,FALSE),'Schedule from TM'!I591),",",J590,"','",IF(OR(F590="x",F590=""),VLOOKUP('Schedule from TM'!G591,Tables!$U$3:$V$14,2,FALSE),'Schedule from TM'!F591),",",TEXT(G590,"mm/dd/yyyy"),"','",TEXT(H590,"h:mm:ss AM/PM"),"'].ub=0.0      #",B590)</f>
        <v xml:space="preserve">                x[team1,team2,sport,'11,JCC Back Field 1','11,11/23/2017','1:00:00 PM'].ub=0.0      #Junior B Male Mini Soccer</v>
      </c>
      <c r="AB590" s="301" t="str">
        <f t="shared" si="411"/>
        <v>,,Junior B Male Mini Soccer,Pool B,1,JR B M - ISR 1</v>
      </c>
      <c r="AC590" s="153" t="str">
        <f t="shared" si="412"/>
        <v>Junior B Male Mini SoccerPool BJR B M - ISR 1</v>
      </c>
      <c r="AD590" s="301" t="str">
        <f t="shared" si="413"/>
        <v>,,Junior B Male Mini Soccer,Pool B,1,JR B M - PER</v>
      </c>
      <c r="AE590" s="153" t="str">
        <f t="shared" si="414"/>
        <v>Junior B Male Mini SoccerPool BJR B M - PER</v>
      </c>
      <c r="AF590" s="383">
        <f t="shared" si="415"/>
        <v>0</v>
      </c>
      <c r="AG590" s="383">
        <f t="shared" si="416"/>
        <v>1</v>
      </c>
      <c r="AH590" s="383">
        <f t="shared" si="417"/>
        <v>0</v>
      </c>
      <c r="AI590" s="383">
        <f t="shared" si="418"/>
        <v>1</v>
      </c>
      <c r="AJ590" s="383">
        <f t="shared" si="419"/>
        <v>0</v>
      </c>
      <c r="AK590" s="383">
        <f t="shared" si="420"/>
        <v>0</v>
      </c>
      <c r="AM590" s="148" t="str">
        <f t="shared" si="421"/>
        <v>Schedulled</v>
      </c>
      <c r="AN590" s="148" t="str">
        <f t="shared" si="422"/>
        <v/>
      </c>
      <c r="AO590" s="156">
        <f t="shared" si="423"/>
        <v>43062.541666666664</v>
      </c>
      <c r="AP590" s="148" t="str">
        <f t="shared" si="424"/>
        <v>11/23/2017 13:00-&gt;JCC Back Field 1</v>
      </c>
      <c r="AQ590" s="374">
        <f t="shared" si="425"/>
        <v>1</v>
      </c>
      <c r="AR590" s="148" t="str">
        <f t="shared" si="426"/>
        <v>ISR1</v>
      </c>
      <c r="AS590" s="148" t="str">
        <f t="shared" si="427"/>
        <v>PER</v>
      </c>
      <c r="AT590" s="157" t="str">
        <f t="shared" si="428"/>
        <v>ISR1-PER</v>
      </c>
      <c r="AU590" s="157" t="str">
        <f t="shared" si="429"/>
        <v xml:space="preserve">ISR1-PER </v>
      </c>
      <c r="AV590" s="157" t="str">
        <f t="shared" si="430"/>
        <v>JUNIORS B MALE</v>
      </c>
      <c r="AW590" s="157" t="str">
        <f t="shared" si="431"/>
        <v>Soccer</v>
      </c>
      <c r="AX590" s="376">
        <f t="shared" si="432"/>
        <v>588</v>
      </c>
      <c r="AY590" s="148" t="str">
        <f t="shared" si="433"/>
        <v>JR B M - ISR 1-&gt;JR B M - PER</v>
      </c>
      <c r="AZ590" s="148" t="str">
        <f t="shared" si="434"/>
        <v>11/23/2017 13:00-&gt;JR B M - ISR 1</v>
      </c>
      <c r="BA590" s="148" t="str">
        <f t="shared" si="435"/>
        <v>11/23/2017 13:00-&gt;JR B M - PER</v>
      </c>
      <c r="BB590" s="374">
        <f t="shared" si="436"/>
        <v>1</v>
      </c>
      <c r="BC590" s="374">
        <f t="shared" si="437"/>
        <v>1</v>
      </c>
      <c r="BD590" s="148" t="str">
        <f t="shared" si="438"/>
        <v>no conflict</v>
      </c>
      <c r="BF590" s="148" t="str">
        <f t="shared" si="439"/>
        <v>11/23/2017 13:00-&gt;JR B M - ISR 1</v>
      </c>
      <c r="BG590" s="148" t="str">
        <f t="shared" si="440"/>
        <v>11/23/2017 13:00-&gt;JR B M - PER</v>
      </c>
      <c r="BH590" s="148" t="str">
        <f t="shared" si="441"/>
        <v>11/23/2017 13:00-&gt;JCC Back Field 1</v>
      </c>
      <c r="BI590" s="148" t="str">
        <f t="shared" si="442"/>
        <v>Soccer in JCC Back Field 1 (ISR1-PER)</v>
      </c>
      <c r="BJ590" s="148" t="str">
        <f t="shared" si="443"/>
        <v>Junior B Male Mini Soccer-- JR B M - ISR 1 vs. JR B M - PER</v>
      </c>
      <c r="BK590" s="148" t="str">
        <f t="shared" si="444"/>
        <v>Soccer</v>
      </c>
      <c r="BL590" s="148" t="str">
        <f t="shared" si="445"/>
        <v>JR B M - ISR 1</v>
      </c>
      <c r="BM590" s="148" t="str">
        <f t="shared" si="446"/>
        <v>JR B M - PER</v>
      </c>
      <c r="BN590" s="148" t="str">
        <f t="shared" si="447"/>
        <v>Round - 1</v>
      </c>
      <c r="BP590" s="148" t="str">
        <f t="shared" si="448"/>
        <v>no t, f, or sf</v>
      </c>
      <c r="BQ590" s="148" t="str">
        <f t="shared" si="449"/>
        <v/>
      </c>
    </row>
    <row r="591" spans="1:69" ht="15" customHeight="1" x14ac:dyDescent="0.2">
      <c r="A591" s="376">
        <v>589</v>
      </c>
      <c r="B591" s="121" t="s">
        <v>75</v>
      </c>
      <c r="C591" s="121" t="s">
        <v>518</v>
      </c>
      <c r="D591" s="382">
        <v>1</v>
      </c>
      <c r="E591" s="382">
        <v>1</v>
      </c>
      <c r="F591" s="315" t="s">
        <v>770</v>
      </c>
      <c r="G591" s="206">
        <v>43062</v>
      </c>
      <c r="H591" s="317">
        <v>0.54166666666666663</v>
      </c>
      <c r="I591" s="325" t="s">
        <v>770</v>
      </c>
      <c r="J591" s="121" t="s">
        <v>694</v>
      </c>
      <c r="K591" s="121">
        <v>62</v>
      </c>
      <c r="L591" s="433" t="s">
        <v>652</v>
      </c>
      <c r="M591">
        <v>62</v>
      </c>
      <c r="N591" s="433" t="s">
        <v>656</v>
      </c>
      <c r="O591" s="153" t="str">
        <f>IF(L591&lt;&gt;"",IFERROR(VLOOKUP(B591&amp;L591,Pools!$A$2:$D$130,3,FALSE),""),"")</f>
        <v>Pool A</v>
      </c>
      <c r="P591" s="388">
        <v>6</v>
      </c>
      <c r="Q591" s="388">
        <v>0</v>
      </c>
      <c r="R591" s="306" t="str">
        <f t="shared" si="405"/>
        <v>6-0</v>
      </c>
      <c r="S591" s="153"/>
      <c r="T591" s="148" t="str">
        <f t="shared" si="406"/>
        <v>Completed</v>
      </c>
      <c r="U591" s="153"/>
      <c r="V591" s="153"/>
      <c r="W591" s="387">
        <f t="shared" si="407"/>
        <v>3</v>
      </c>
      <c r="X591" s="387">
        <f t="shared" si="408"/>
        <v>-3</v>
      </c>
      <c r="Y591" s="301">
        <f t="shared" si="409"/>
        <v>2</v>
      </c>
      <c r="Z591" s="301">
        <f t="shared" si="410"/>
        <v>0</v>
      </c>
      <c r="AA591" s="323" t="str">
        <f>CONCATENATE("                x[team1,team2,sport,'",IF(OR(I591="x",I591=""),VLOOKUP('Schedule from TM'!J592,Tables!$P$3:$Q$33,2,FALSE),'Schedule from TM'!I592),",",J591,"','",IF(OR(F591="x",F591=""),VLOOKUP('Schedule from TM'!G592,Tables!$U$3:$V$14,2,FALSE),'Schedule from TM'!F592),",",TEXT(G591,"mm/dd/yyyy"),"','",TEXT(H591,"h:mm:ss AM/PM"),"'].ub=0.0      #",B591)</f>
        <v xml:space="preserve">                x[team1,team2,sport,'11,JCC Back Field 4','11,11/23/2017','1:00:00 PM'].ub=0.0      #Junior B Male Mini Soccer</v>
      </c>
      <c r="AB591" s="301" t="str">
        <f t="shared" si="411"/>
        <v>,,Junior B Male Mini Soccer,Pool A,1,JR B M - MEX</v>
      </c>
      <c r="AC591" s="153" t="str">
        <f t="shared" si="412"/>
        <v>Junior B Male Mini SoccerPool AJR B M - MEX</v>
      </c>
      <c r="AD591" s="301" t="str">
        <f t="shared" si="413"/>
        <v>,,Junior B Male Mini Soccer,Pool A,1,JR B M - VEN 1</v>
      </c>
      <c r="AE591" s="153" t="str">
        <f t="shared" si="414"/>
        <v>Junior B Male Mini SoccerPool AJR B M - VEN 1</v>
      </c>
      <c r="AF591" s="383">
        <f t="shared" si="415"/>
        <v>1</v>
      </c>
      <c r="AG591" s="383">
        <f t="shared" si="416"/>
        <v>0</v>
      </c>
      <c r="AH591" s="383">
        <f t="shared" si="417"/>
        <v>0</v>
      </c>
      <c r="AI591" s="383">
        <f t="shared" si="418"/>
        <v>0</v>
      </c>
      <c r="AJ591" s="383">
        <f t="shared" si="419"/>
        <v>1</v>
      </c>
      <c r="AK591" s="383">
        <f t="shared" si="420"/>
        <v>0</v>
      </c>
      <c r="AM591" s="148" t="str">
        <f t="shared" si="421"/>
        <v>Schedulled</v>
      </c>
      <c r="AN591" s="148" t="str">
        <f t="shared" si="422"/>
        <v/>
      </c>
      <c r="AO591" s="156">
        <f t="shared" si="423"/>
        <v>43062.541666666664</v>
      </c>
      <c r="AP591" s="148" t="str">
        <f t="shared" si="424"/>
        <v>11/23/2017 13:00-&gt;JCC Back Field 4</v>
      </c>
      <c r="AQ591" s="374">
        <f t="shared" si="425"/>
        <v>1</v>
      </c>
      <c r="AR591" s="148" t="str">
        <f t="shared" si="426"/>
        <v>MEX</v>
      </c>
      <c r="AS591" s="148" t="str">
        <f t="shared" si="427"/>
        <v>VEN1</v>
      </c>
      <c r="AT591" s="157" t="str">
        <f t="shared" si="428"/>
        <v>MEX-VEN1</v>
      </c>
      <c r="AU591" s="157" t="str">
        <f t="shared" si="429"/>
        <v xml:space="preserve">MEX-VEN1 </v>
      </c>
      <c r="AV591" s="157" t="str">
        <f t="shared" si="430"/>
        <v>JUNIORS B MALE</v>
      </c>
      <c r="AW591" s="157" t="str">
        <f t="shared" si="431"/>
        <v>Soccer</v>
      </c>
      <c r="AX591" s="376">
        <f t="shared" si="432"/>
        <v>589</v>
      </c>
      <c r="AY591" s="148" t="str">
        <f t="shared" si="433"/>
        <v>JR B M - MEX-&gt;JR B M - VEN 1</v>
      </c>
      <c r="AZ591" s="148" t="str">
        <f t="shared" si="434"/>
        <v>11/23/2017 13:00-&gt;JR B M - MEX</v>
      </c>
      <c r="BA591" s="148" t="str">
        <f t="shared" si="435"/>
        <v>11/23/2017 13:00-&gt;JR B M - VEN 1</v>
      </c>
      <c r="BB591" s="374">
        <f t="shared" si="436"/>
        <v>1</v>
      </c>
      <c r="BC591" s="374">
        <f t="shared" si="437"/>
        <v>1</v>
      </c>
      <c r="BD591" s="148" t="str">
        <f t="shared" si="438"/>
        <v>no conflict</v>
      </c>
      <c r="BF591" s="148" t="str">
        <f t="shared" si="439"/>
        <v>11/23/2017 13:00-&gt;JR B M - MEX</v>
      </c>
      <c r="BG591" s="148" t="str">
        <f t="shared" si="440"/>
        <v>11/23/2017 13:00-&gt;JR B M - VEN 1</v>
      </c>
      <c r="BH591" s="148" t="str">
        <f t="shared" si="441"/>
        <v>11/23/2017 13:00-&gt;JCC Back Field 4</v>
      </c>
      <c r="BI591" s="148" t="str">
        <f t="shared" si="442"/>
        <v>Soccer in JCC Back Field 4 (MEX-VEN1)</v>
      </c>
      <c r="BJ591" s="148" t="str">
        <f t="shared" si="443"/>
        <v>Junior B Male Mini Soccer-- JR B M - MEX vs. JR B M - VEN 1</v>
      </c>
      <c r="BK591" s="148" t="str">
        <f t="shared" si="444"/>
        <v>Soccer</v>
      </c>
      <c r="BL591" s="148" t="str">
        <f t="shared" si="445"/>
        <v>JR B M - MEX</v>
      </c>
      <c r="BM591" s="148" t="str">
        <f t="shared" si="446"/>
        <v>JR B M - VEN 1</v>
      </c>
      <c r="BN591" s="148" t="str">
        <f t="shared" si="447"/>
        <v>Round - 1</v>
      </c>
      <c r="BP591" s="148" t="str">
        <f t="shared" si="448"/>
        <v>no t, f, or sf</v>
      </c>
      <c r="BQ591" s="148" t="str">
        <f t="shared" si="449"/>
        <v/>
      </c>
    </row>
    <row r="592" spans="1:69" ht="15" customHeight="1" x14ac:dyDescent="0.2">
      <c r="A592" s="450">
        <v>590</v>
      </c>
      <c r="B592" s="444" t="s">
        <v>75</v>
      </c>
      <c r="C592" s="444" t="s">
        <v>518</v>
      </c>
      <c r="D592" s="451">
        <v>1</v>
      </c>
      <c r="E592" s="451">
        <v>1</v>
      </c>
      <c r="F592" s="444" t="s">
        <v>770</v>
      </c>
      <c r="G592" s="445">
        <v>43063</v>
      </c>
      <c r="H592" s="454">
        <v>0.50694444444444442</v>
      </c>
      <c r="I592" s="446" t="s">
        <v>770</v>
      </c>
      <c r="J592" s="443" t="s">
        <v>695</v>
      </c>
      <c r="K592" s="444">
        <v>62</v>
      </c>
      <c r="L592" s="433" t="s">
        <v>654</v>
      </c>
      <c r="M592" s="433">
        <v>62</v>
      </c>
      <c r="N592" s="433" t="s">
        <v>656</v>
      </c>
      <c r="O592" s="153" t="str">
        <f>IF(L592&lt;&gt;"",IFERROR(VLOOKUP(B592&amp;L592,Pools!$A$2:$D$130,3,FALSE),""),"")</f>
        <v>Pool A</v>
      </c>
      <c r="P592" s="388">
        <v>0</v>
      </c>
      <c r="Q592" s="388">
        <v>6</v>
      </c>
      <c r="R592" s="306" t="str">
        <f t="shared" si="405"/>
        <v>0-6</v>
      </c>
      <c r="S592" s="153"/>
      <c r="T592" s="148" t="str">
        <f t="shared" si="406"/>
        <v>Completed</v>
      </c>
      <c r="U592" s="153"/>
      <c r="V592" s="153"/>
      <c r="W592" s="387">
        <f t="shared" si="407"/>
        <v>-3</v>
      </c>
      <c r="X592" s="387">
        <f t="shared" si="408"/>
        <v>3</v>
      </c>
      <c r="Y592" s="301">
        <f t="shared" si="409"/>
        <v>0</v>
      </c>
      <c r="Z592" s="301">
        <f t="shared" si="410"/>
        <v>2</v>
      </c>
      <c r="AA592" s="323" t="str">
        <f>CONCATENATE("                x[team1,team2,sport,'",IF(OR(I592="x",I592=""),VLOOKUP('Schedule from TM'!J593,Tables!$P$3:$Q$33,2,FALSE),'Schedule from TM'!I593),",",J592,"','",IF(OR(F592="x",F592=""),VLOOKUP('Schedule from TM'!G593,Tables!$U$3:$V$14,2,FALSE),'Schedule from TM'!F593),",",TEXT(G592,"mm/dd/yyyy"),"','",TEXT(H592,"h:mm:ss AM/PM"),"'].ub=0.0      #",B592)</f>
        <v xml:space="preserve">                x[team1,team2,sport,'11,JCC Back Field 1','11,11/24/2017','12:10:00 PM'].ub=0.0      #Junior B Male Mini Soccer</v>
      </c>
      <c r="AB592" s="301" t="str">
        <f t="shared" si="411"/>
        <v>,,Junior B Male Mini Soccer,Pool A,1,JR B M - USA 1</v>
      </c>
      <c r="AC592" s="153" t="str">
        <f t="shared" si="412"/>
        <v>Junior B Male Mini SoccerPool AJR B M - USA 1</v>
      </c>
      <c r="AD592" s="301" t="str">
        <f t="shared" si="413"/>
        <v>,,Junior B Male Mini Soccer,Pool A,1,JR B M - VEN 1</v>
      </c>
      <c r="AE592" s="153" t="str">
        <f t="shared" si="414"/>
        <v>Junior B Male Mini SoccerPool AJR B M - VEN 1</v>
      </c>
      <c r="AF592" s="383">
        <f t="shared" si="415"/>
        <v>0</v>
      </c>
      <c r="AG592" s="383">
        <f t="shared" si="416"/>
        <v>1</v>
      </c>
      <c r="AH592" s="383">
        <f t="shared" si="417"/>
        <v>0</v>
      </c>
      <c r="AI592" s="383">
        <f t="shared" si="418"/>
        <v>1</v>
      </c>
      <c r="AJ592" s="383">
        <f t="shared" si="419"/>
        <v>0</v>
      </c>
      <c r="AK592" s="383">
        <f t="shared" si="420"/>
        <v>0</v>
      </c>
      <c r="AM592" s="148" t="str">
        <f t="shared" si="421"/>
        <v>Schedulled</v>
      </c>
      <c r="AN592" s="148" t="str">
        <f t="shared" si="422"/>
        <v/>
      </c>
      <c r="AO592" s="156">
        <f t="shared" si="423"/>
        <v>43063.506944444445</v>
      </c>
      <c r="AP592" s="148" t="str">
        <f t="shared" si="424"/>
        <v>11/24/2017 12:10-&gt;JCC Back Field 1</v>
      </c>
      <c r="AQ592" s="374">
        <f t="shared" si="425"/>
        <v>1</v>
      </c>
      <c r="AR592" s="148" t="str">
        <f t="shared" si="426"/>
        <v>USA1</v>
      </c>
      <c r="AS592" s="148" t="str">
        <f t="shared" si="427"/>
        <v>VEN1</v>
      </c>
      <c r="AT592" s="157" t="str">
        <f t="shared" si="428"/>
        <v>USA1-VEN1</v>
      </c>
      <c r="AU592" s="157" t="str">
        <f t="shared" si="429"/>
        <v xml:space="preserve">USA1-VEN1 </v>
      </c>
      <c r="AV592" s="157" t="str">
        <f t="shared" si="430"/>
        <v>JUNIORS B MALE</v>
      </c>
      <c r="AW592" s="157" t="str">
        <f t="shared" si="431"/>
        <v>Soccer</v>
      </c>
      <c r="AX592" s="450">
        <f t="shared" si="432"/>
        <v>590</v>
      </c>
      <c r="AY592" s="148" t="str">
        <f t="shared" si="433"/>
        <v>JR B M - USA 1-&gt;JR B M - VEN 1</v>
      </c>
      <c r="AZ592" s="148" t="str">
        <f t="shared" si="434"/>
        <v>11/24/2017 12:10-&gt;JR B M - USA 1</v>
      </c>
      <c r="BA592" s="148" t="str">
        <f t="shared" si="435"/>
        <v>11/24/2017 12:10-&gt;JR B M - VEN 1</v>
      </c>
      <c r="BB592" s="374">
        <f t="shared" si="436"/>
        <v>1</v>
      </c>
      <c r="BC592" s="374">
        <f t="shared" si="437"/>
        <v>1</v>
      </c>
      <c r="BD592" s="148" t="str">
        <f t="shared" si="438"/>
        <v>no conflict</v>
      </c>
      <c r="BF592" s="148" t="str">
        <f t="shared" si="439"/>
        <v>11/24/2017 12:10-&gt;JR B M - USA 1</v>
      </c>
      <c r="BG592" s="148" t="str">
        <f t="shared" si="440"/>
        <v>11/24/2017 12:10-&gt;JR B M - VEN 1</v>
      </c>
      <c r="BH592" s="148" t="str">
        <f t="shared" si="441"/>
        <v>11/24/2017 12:10-&gt;JCC Back Field 1</v>
      </c>
      <c r="BI592" s="148" t="str">
        <f t="shared" si="442"/>
        <v>Soccer in JCC Back Field 1 (USA1-VEN1)</v>
      </c>
      <c r="BJ592" s="148" t="str">
        <f t="shared" si="443"/>
        <v>Junior B Male Mini Soccer-- JR B M - USA 1 vs. JR B M - VEN 1</v>
      </c>
      <c r="BK592" s="148" t="str">
        <f t="shared" si="444"/>
        <v>Soccer</v>
      </c>
      <c r="BL592" s="148" t="str">
        <f t="shared" si="445"/>
        <v>JR B M - USA 1</v>
      </c>
      <c r="BM592" s="148" t="str">
        <f t="shared" si="446"/>
        <v>JR B M - VEN 1</v>
      </c>
      <c r="BN592" s="148" t="str">
        <f t="shared" si="447"/>
        <v>Round - 1</v>
      </c>
      <c r="BP592" s="148" t="str">
        <f t="shared" si="448"/>
        <v>no t, f, or sf</v>
      </c>
      <c r="BQ592" s="148" t="str">
        <f t="shared" si="449"/>
        <v/>
      </c>
    </row>
    <row r="593" spans="1:69" ht="15" customHeight="1" x14ac:dyDescent="0.2">
      <c r="A593" s="376">
        <v>591</v>
      </c>
      <c r="B593" s="121" t="s">
        <v>75</v>
      </c>
      <c r="C593" s="121" t="s">
        <v>518</v>
      </c>
      <c r="D593" s="382">
        <v>1</v>
      </c>
      <c r="E593" s="382">
        <v>1</v>
      </c>
      <c r="F593" s="315" t="s">
        <v>770</v>
      </c>
      <c r="G593" s="206">
        <v>43063</v>
      </c>
      <c r="H593" s="454">
        <v>0.57638888888888895</v>
      </c>
      <c r="I593" s="325" t="s">
        <v>770</v>
      </c>
      <c r="J593" s="121" t="s">
        <v>694</v>
      </c>
      <c r="K593" s="121">
        <v>62</v>
      </c>
      <c r="L593" t="s">
        <v>651</v>
      </c>
      <c r="M593">
        <v>62</v>
      </c>
      <c r="N593" t="s">
        <v>655</v>
      </c>
      <c r="O593" s="153" t="str">
        <f>IF(L593&lt;&gt;"",IFERROR(VLOOKUP(B593&amp;L593,Pools!$A$2:$D$130,3,FALSE),""),"")</f>
        <v>Pool B</v>
      </c>
      <c r="P593" s="388">
        <v>9</v>
      </c>
      <c r="Q593" s="388">
        <v>2</v>
      </c>
      <c r="R593" s="306" t="str">
        <f t="shared" si="405"/>
        <v>9-2</v>
      </c>
      <c r="S593" s="153"/>
      <c r="T593" s="148" t="str">
        <f t="shared" si="406"/>
        <v>Completed</v>
      </c>
      <c r="U593" s="153"/>
      <c r="V593" s="153"/>
      <c r="W593" s="387">
        <f t="shared" si="407"/>
        <v>3</v>
      </c>
      <c r="X593" s="387">
        <f t="shared" si="408"/>
        <v>-3</v>
      </c>
      <c r="Y593" s="301">
        <f t="shared" si="409"/>
        <v>2</v>
      </c>
      <c r="Z593" s="301">
        <f t="shared" si="410"/>
        <v>0</v>
      </c>
      <c r="AA593" s="323" t="str">
        <f>CONCATENATE("                x[team1,team2,sport,'",IF(OR(I593="x",I593=""),VLOOKUP('Schedule from TM'!J594,Tables!$P$3:$Q$33,2,FALSE),'Schedule from TM'!I594),",",J593,"','",IF(OR(F593="x",F593=""),VLOOKUP('Schedule from TM'!G594,Tables!$U$3:$V$14,2,FALSE),'Schedule from TM'!F594),",",TEXT(G593,"mm/dd/yyyy"),"','",TEXT(H593,"h:mm:ss AM/PM"),"'].ub=0.0      #",B593)</f>
        <v xml:space="preserve">                x[team1,team2,sport,'11,JCC Back Field 4','11,11/24/2017','1:50:00 PM'].ub=0.0      #Junior B Male Mini Soccer</v>
      </c>
      <c r="AB593" s="301" t="str">
        <f t="shared" si="411"/>
        <v>,,Junior B Male Mini Soccer,Pool B,1,JR B M - ISR 1</v>
      </c>
      <c r="AC593" s="153" t="str">
        <f t="shared" si="412"/>
        <v>Junior B Male Mini SoccerPool BJR B M - ISR 1</v>
      </c>
      <c r="AD593" s="301" t="str">
        <f t="shared" si="413"/>
        <v>,,Junior B Male Mini Soccer,Pool B,1,JR B M - USA 2</v>
      </c>
      <c r="AE593" s="153" t="str">
        <f t="shared" si="414"/>
        <v>Junior B Male Mini SoccerPool BJR B M - USA 2</v>
      </c>
      <c r="AF593" s="383">
        <f t="shared" si="415"/>
        <v>1</v>
      </c>
      <c r="AG593" s="383">
        <f t="shared" si="416"/>
        <v>0</v>
      </c>
      <c r="AH593" s="383">
        <f t="shared" si="417"/>
        <v>0</v>
      </c>
      <c r="AI593" s="383">
        <f t="shared" si="418"/>
        <v>0</v>
      </c>
      <c r="AJ593" s="383">
        <f t="shared" si="419"/>
        <v>1</v>
      </c>
      <c r="AK593" s="383">
        <f t="shared" si="420"/>
        <v>0</v>
      </c>
      <c r="AM593" s="148" t="str">
        <f t="shared" si="421"/>
        <v>Schedulled</v>
      </c>
      <c r="AN593" s="148" t="str">
        <f t="shared" si="422"/>
        <v/>
      </c>
      <c r="AO593" s="156">
        <f t="shared" si="423"/>
        <v>43063.576388888891</v>
      </c>
      <c r="AP593" s="148" t="str">
        <f t="shared" si="424"/>
        <v>11/24/2017 13:50-&gt;JCC Back Field 4</v>
      </c>
      <c r="AQ593" s="374">
        <f t="shared" si="425"/>
        <v>1</v>
      </c>
      <c r="AR593" s="148" t="str">
        <f t="shared" si="426"/>
        <v>ISR1</v>
      </c>
      <c r="AS593" s="148" t="str">
        <f t="shared" si="427"/>
        <v>USA2</v>
      </c>
      <c r="AT593" s="157" t="str">
        <f t="shared" si="428"/>
        <v>ISR1-USA2</v>
      </c>
      <c r="AU593" s="157" t="str">
        <f t="shared" si="429"/>
        <v xml:space="preserve">ISR1-USA2 </v>
      </c>
      <c r="AV593" s="157" t="str">
        <f t="shared" si="430"/>
        <v>JUNIORS B MALE</v>
      </c>
      <c r="AW593" s="157" t="str">
        <f t="shared" si="431"/>
        <v>Soccer</v>
      </c>
      <c r="AX593" s="376">
        <f t="shared" si="432"/>
        <v>591</v>
      </c>
      <c r="AY593" s="148" t="str">
        <f t="shared" si="433"/>
        <v>JR B M - ISR 1-&gt;JR B M - USA 2</v>
      </c>
      <c r="AZ593" s="148" t="str">
        <f t="shared" si="434"/>
        <v>11/24/2017 13:50-&gt;JR B M - ISR 1</v>
      </c>
      <c r="BA593" s="148" t="str">
        <f t="shared" si="435"/>
        <v>11/24/2017 13:50-&gt;JR B M - USA 2</v>
      </c>
      <c r="BB593" s="374">
        <f t="shared" si="436"/>
        <v>1</v>
      </c>
      <c r="BC593" s="374">
        <f t="shared" si="437"/>
        <v>1</v>
      </c>
      <c r="BD593" s="148" t="str">
        <f t="shared" si="438"/>
        <v>no conflict</v>
      </c>
      <c r="BF593" s="148" t="str">
        <f t="shared" si="439"/>
        <v>11/24/2017 13:50-&gt;JR B M - ISR 1</v>
      </c>
      <c r="BG593" s="148" t="str">
        <f t="shared" si="440"/>
        <v>11/24/2017 13:50-&gt;JR B M - USA 2</v>
      </c>
      <c r="BH593" s="148" t="str">
        <f t="shared" si="441"/>
        <v>11/24/2017 13:50-&gt;JCC Back Field 4</v>
      </c>
      <c r="BI593" s="148" t="str">
        <f t="shared" si="442"/>
        <v>Soccer in JCC Back Field 4 (ISR1-USA2)</v>
      </c>
      <c r="BJ593" s="148" t="str">
        <f t="shared" si="443"/>
        <v>Junior B Male Mini Soccer-- JR B M - ISR 1 vs. JR B M - USA 2</v>
      </c>
      <c r="BK593" s="148" t="str">
        <f t="shared" si="444"/>
        <v>Soccer</v>
      </c>
      <c r="BL593" s="148" t="str">
        <f t="shared" si="445"/>
        <v>JR B M - ISR 1</v>
      </c>
      <c r="BM593" s="148" t="str">
        <f t="shared" si="446"/>
        <v>JR B M - USA 2</v>
      </c>
      <c r="BN593" s="148" t="str">
        <f t="shared" si="447"/>
        <v>Round - 1</v>
      </c>
      <c r="BP593" s="148" t="str">
        <f t="shared" si="448"/>
        <v>no t, f, or sf</v>
      </c>
      <c r="BQ593" s="148" t="str">
        <f t="shared" si="449"/>
        <v/>
      </c>
    </row>
    <row r="594" spans="1:69" ht="15" customHeight="1" x14ac:dyDescent="0.2">
      <c r="A594" s="376">
        <v>592</v>
      </c>
      <c r="B594" s="121" t="s">
        <v>75</v>
      </c>
      <c r="C594" s="121" t="s">
        <v>518</v>
      </c>
      <c r="D594" s="382">
        <v>1</v>
      </c>
      <c r="E594" s="382">
        <v>1</v>
      </c>
      <c r="F594" s="315" t="s">
        <v>770</v>
      </c>
      <c r="G594" s="206">
        <v>43063</v>
      </c>
      <c r="H594" s="454">
        <v>0.64583333333333337</v>
      </c>
      <c r="I594" s="325" t="s">
        <v>770</v>
      </c>
      <c r="J594" s="121" t="s">
        <v>693</v>
      </c>
      <c r="K594" s="121">
        <v>62</v>
      </c>
      <c r="L594" t="s">
        <v>648</v>
      </c>
      <c r="M594">
        <v>62</v>
      </c>
      <c r="N594" t="s">
        <v>652</v>
      </c>
      <c r="O594" s="153" t="str">
        <f>IF(L594&lt;&gt;"",IFERROR(VLOOKUP(B594&amp;L594,Pools!$A$2:$D$130,3,FALSE),""),"")</f>
        <v>Pool A</v>
      </c>
      <c r="P594" s="388">
        <v>1</v>
      </c>
      <c r="Q594" s="388">
        <v>2</v>
      </c>
      <c r="R594" s="306" t="str">
        <f t="shared" si="405"/>
        <v>1-2</v>
      </c>
      <c r="S594" s="153"/>
      <c r="T594" s="148" t="str">
        <f t="shared" si="406"/>
        <v>Completed</v>
      </c>
      <c r="U594" s="153"/>
      <c r="V594" s="153"/>
      <c r="W594" s="387">
        <f t="shared" si="407"/>
        <v>-1</v>
      </c>
      <c r="X594" s="387">
        <f t="shared" si="408"/>
        <v>1</v>
      </c>
      <c r="Y594" s="301">
        <f t="shared" si="409"/>
        <v>0</v>
      </c>
      <c r="Z594" s="301">
        <f t="shared" si="410"/>
        <v>2</v>
      </c>
      <c r="AA594" s="323" t="str">
        <f>CONCATENATE("                x[team1,team2,sport,'",IF(OR(I594="x",I594=""),VLOOKUP('Schedule from TM'!J595,Tables!$P$3:$Q$33,2,FALSE),'Schedule from TM'!I595),",",J594,"','",IF(OR(F594="x",F594=""),VLOOKUP('Schedule from TM'!G595,Tables!$U$3:$V$14,2,FALSE),'Schedule from TM'!F595),",",TEXT(G594,"mm/dd/yyyy"),"','",TEXT(H594,"h:mm:ss AM/PM"),"'].ub=0.0      #",B594)</f>
        <v xml:space="preserve">                x[team1,team2,sport,'11,JCC Back Field 2','11,11/24/2017','3:30:00 PM'].ub=0.0      #Junior B Male Mini Soccer</v>
      </c>
      <c r="AB594" s="301" t="str">
        <f t="shared" si="411"/>
        <v>,,Junior B Male Mini Soccer,Pool A,1,JR B M - ARG 1</v>
      </c>
      <c r="AC594" s="153" t="str">
        <f t="shared" si="412"/>
        <v>Junior B Male Mini SoccerPool AJR B M - ARG 1</v>
      </c>
      <c r="AD594" s="301" t="str">
        <f t="shared" si="413"/>
        <v>,,Junior B Male Mini Soccer,Pool A,1,JR B M - MEX</v>
      </c>
      <c r="AE594" s="153" t="str">
        <f t="shared" si="414"/>
        <v>Junior B Male Mini SoccerPool AJR B M - MEX</v>
      </c>
      <c r="AF594" s="383">
        <f t="shared" si="415"/>
        <v>0</v>
      </c>
      <c r="AG594" s="383">
        <f t="shared" si="416"/>
        <v>1</v>
      </c>
      <c r="AH594" s="383">
        <f t="shared" si="417"/>
        <v>0</v>
      </c>
      <c r="AI594" s="383">
        <f t="shared" si="418"/>
        <v>1</v>
      </c>
      <c r="AJ594" s="383">
        <f t="shared" si="419"/>
        <v>0</v>
      </c>
      <c r="AK594" s="383">
        <f t="shared" si="420"/>
        <v>0</v>
      </c>
      <c r="AM594" s="148" t="str">
        <f t="shared" si="421"/>
        <v>Schedulled</v>
      </c>
      <c r="AN594" s="148" t="str">
        <f t="shared" si="422"/>
        <v/>
      </c>
      <c r="AO594" s="156">
        <f t="shared" si="423"/>
        <v>43063.645833333336</v>
      </c>
      <c r="AP594" s="148" t="str">
        <f t="shared" si="424"/>
        <v>11/24/2017 15:30-&gt;JCC Back Field 2</v>
      </c>
      <c r="AQ594" s="374">
        <f t="shared" si="425"/>
        <v>1</v>
      </c>
      <c r="AR594" s="148" t="str">
        <f t="shared" si="426"/>
        <v>ARG1</v>
      </c>
      <c r="AS594" s="148" t="str">
        <f t="shared" si="427"/>
        <v>MEX</v>
      </c>
      <c r="AT594" s="157" t="str">
        <f t="shared" si="428"/>
        <v>ARG1-MEX</v>
      </c>
      <c r="AU594" s="157" t="str">
        <f t="shared" si="429"/>
        <v xml:space="preserve">ARG1-MEX </v>
      </c>
      <c r="AV594" s="157" t="str">
        <f t="shared" si="430"/>
        <v>JUNIORS B MALE</v>
      </c>
      <c r="AW594" s="157" t="str">
        <f t="shared" si="431"/>
        <v>Soccer</v>
      </c>
      <c r="AX594" s="376">
        <f t="shared" si="432"/>
        <v>592</v>
      </c>
      <c r="AY594" s="148" t="str">
        <f t="shared" si="433"/>
        <v>JR B M - ARG 1-&gt;JR B M - MEX</v>
      </c>
      <c r="AZ594" s="148" t="str">
        <f t="shared" si="434"/>
        <v>11/24/2017 15:30-&gt;JR B M - ARG 1</v>
      </c>
      <c r="BA594" s="148" t="str">
        <f t="shared" si="435"/>
        <v>11/24/2017 15:30-&gt;JR B M - MEX</v>
      </c>
      <c r="BB594" s="374">
        <f t="shared" si="436"/>
        <v>1</v>
      </c>
      <c r="BC594" s="374">
        <f t="shared" si="437"/>
        <v>1</v>
      </c>
      <c r="BD594" s="148" t="str">
        <f t="shared" si="438"/>
        <v>no conflict</v>
      </c>
      <c r="BF594" s="148" t="str">
        <f t="shared" si="439"/>
        <v>11/24/2017 15:30-&gt;JR B M - ARG 1</v>
      </c>
      <c r="BG594" s="148" t="str">
        <f t="shared" si="440"/>
        <v>11/24/2017 15:30-&gt;JR B M - MEX</v>
      </c>
      <c r="BH594" s="148" t="str">
        <f t="shared" si="441"/>
        <v>11/24/2017 15:30-&gt;JCC Back Field 2</v>
      </c>
      <c r="BI594" s="148" t="str">
        <f t="shared" si="442"/>
        <v>Soccer in JCC Back Field 2 (ARG1-MEX)</v>
      </c>
      <c r="BJ594" s="148" t="str">
        <f t="shared" si="443"/>
        <v>Junior B Male Mini Soccer-- JR B M - ARG 1 vs. JR B M - MEX</v>
      </c>
      <c r="BK594" s="148" t="str">
        <f t="shared" si="444"/>
        <v>Soccer</v>
      </c>
      <c r="BL594" s="148" t="str">
        <f t="shared" si="445"/>
        <v>JR B M - ARG 1</v>
      </c>
      <c r="BM594" s="148" t="str">
        <f t="shared" si="446"/>
        <v>JR B M - MEX</v>
      </c>
      <c r="BN594" s="148" t="str">
        <f t="shared" si="447"/>
        <v>Round - 1</v>
      </c>
      <c r="BP594" s="148" t="str">
        <f t="shared" si="448"/>
        <v>no t, f, or sf</v>
      </c>
      <c r="BQ594" s="148" t="str">
        <f t="shared" si="449"/>
        <v/>
      </c>
    </row>
    <row r="595" spans="1:69" ht="15" customHeight="1" x14ac:dyDescent="0.2">
      <c r="A595" s="376">
        <v>593</v>
      </c>
      <c r="B595" s="328" t="s">
        <v>75</v>
      </c>
      <c r="C595" s="315" t="s">
        <v>518</v>
      </c>
      <c r="D595" s="378">
        <v>1</v>
      </c>
      <c r="E595" s="378">
        <v>1</v>
      </c>
      <c r="F595" s="315" t="s">
        <v>770</v>
      </c>
      <c r="G595" s="316">
        <v>43063</v>
      </c>
      <c r="H595" s="454">
        <v>0.64583333333333337</v>
      </c>
      <c r="I595" s="325" t="s">
        <v>770</v>
      </c>
      <c r="J595" s="315" t="s">
        <v>695</v>
      </c>
      <c r="K595" s="315">
        <v>62</v>
      </c>
      <c r="L595" s="433" t="s">
        <v>653</v>
      </c>
      <c r="M595" s="433">
        <v>62</v>
      </c>
      <c r="N595" s="433" t="s">
        <v>655</v>
      </c>
      <c r="O595" s="153" t="str">
        <f>IF(L595&lt;&gt;"",IFERROR(VLOOKUP(B595&amp;L595,Pools!$A$2:$D$130,3,FALSE),""),"")</f>
        <v>Pool B</v>
      </c>
      <c r="P595" s="388">
        <v>7</v>
      </c>
      <c r="Q595" s="388">
        <v>0</v>
      </c>
      <c r="R595" s="306" t="str">
        <f t="shared" si="405"/>
        <v>7-0</v>
      </c>
      <c r="S595" s="153"/>
      <c r="T595" s="148" t="str">
        <f t="shared" si="406"/>
        <v>Completed</v>
      </c>
      <c r="U595" s="153"/>
      <c r="V595" s="153"/>
      <c r="W595" s="387">
        <f t="shared" si="407"/>
        <v>3</v>
      </c>
      <c r="X595" s="387">
        <f t="shared" si="408"/>
        <v>-3</v>
      </c>
      <c r="Y595" s="301">
        <f t="shared" si="409"/>
        <v>2</v>
      </c>
      <c r="Z595" s="301">
        <f t="shared" si="410"/>
        <v>0</v>
      </c>
      <c r="AA595" s="323" t="str">
        <f>CONCATENATE("                x[team1,team2,sport,'",IF(OR(I595="x",I595=""),VLOOKUP('Schedule from TM'!J596,Tables!$P$3:$Q$33,2,FALSE),'Schedule from TM'!I596),",",J595,"','",IF(OR(F595="x",F595=""),VLOOKUP('Schedule from TM'!G596,Tables!$U$3:$V$14,2,FALSE),'Schedule from TM'!F596),",",TEXT(G595,"mm/dd/yyyy"),"','",TEXT(H595,"h:mm:ss AM/PM"),"'].ub=0.0      #",B595)</f>
        <v xml:space="preserve">                x[team1,team2,sport,'21,JCC Back Field 1','21,11/24/2017','3:30:00 PM'].ub=0.0      #Junior B Male Mini Soccer</v>
      </c>
      <c r="AB595" s="301" t="str">
        <f t="shared" si="411"/>
        <v>,,Junior B Male Mini Soccer,Pool B,1,JR B M - PER</v>
      </c>
      <c r="AC595" s="153" t="str">
        <f t="shared" si="412"/>
        <v>Junior B Male Mini SoccerPool BJR B M - PER</v>
      </c>
      <c r="AD595" s="301" t="str">
        <f t="shared" si="413"/>
        <v>,,Junior B Male Mini Soccer,Pool B,1,JR B M - USA 2</v>
      </c>
      <c r="AE595" s="153" t="str">
        <f t="shared" si="414"/>
        <v>Junior B Male Mini SoccerPool BJR B M - USA 2</v>
      </c>
      <c r="AF595" s="383">
        <f t="shared" si="415"/>
        <v>1</v>
      </c>
      <c r="AG595" s="383">
        <f t="shared" si="416"/>
        <v>0</v>
      </c>
      <c r="AH595" s="383">
        <f t="shared" si="417"/>
        <v>0</v>
      </c>
      <c r="AI595" s="383">
        <f t="shared" si="418"/>
        <v>0</v>
      </c>
      <c r="AJ595" s="383">
        <f t="shared" si="419"/>
        <v>1</v>
      </c>
      <c r="AK595" s="383">
        <f t="shared" si="420"/>
        <v>0</v>
      </c>
      <c r="AM595" s="148" t="str">
        <f t="shared" si="421"/>
        <v>Schedulled</v>
      </c>
      <c r="AN595" s="148" t="str">
        <f t="shared" si="422"/>
        <v/>
      </c>
      <c r="AO595" s="156">
        <f t="shared" si="423"/>
        <v>43063.645833333336</v>
      </c>
      <c r="AP595" s="148" t="str">
        <f t="shared" si="424"/>
        <v>11/24/2017 15:30-&gt;JCC Back Field 1</v>
      </c>
      <c r="AQ595" s="374">
        <f t="shared" si="425"/>
        <v>1</v>
      </c>
      <c r="AR595" s="148" t="str">
        <f t="shared" si="426"/>
        <v>PER</v>
      </c>
      <c r="AS595" s="148" t="str">
        <f t="shared" si="427"/>
        <v>USA2</v>
      </c>
      <c r="AT595" s="157" t="str">
        <f t="shared" si="428"/>
        <v>PER-USA2</v>
      </c>
      <c r="AU595" s="157" t="str">
        <f t="shared" si="429"/>
        <v xml:space="preserve">PER-USA2 </v>
      </c>
      <c r="AV595" s="157" t="str">
        <f t="shared" si="430"/>
        <v>JUNIORS B MALE</v>
      </c>
      <c r="AW595" s="157" t="str">
        <f t="shared" si="431"/>
        <v>Soccer</v>
      </c>
      <c r="AX595" s="376">
        <f t="shared" si="432"/>
        <v>593</v>
      </c>
      <c r="AY595" s="148" t="str">
        <f t="shared" si="433"/>
        <v>JR B M - PER-&gt;JR B M - USA 2</v>
      </c>
      <c r="AZ595" s="148" t="str">
        <f t="shared" si="434"/>
        <v>11/24/2017 15:30-&gt;JR B M - PER</v>
      </c>
      <c r="BA595" s="148" t="str">
        <f t="shared" si="435"/>
        <v>11/24/2017 15:30-&gt;JR B M - USA 2</v>
      </c>
      <c r="BB595" s="374">
        <f t="shared" si="436"/>
        <v>1</v>
      </c>
      <c r="BC595" s="374">
        <f t="shared" si="437"/>
        <v>1</v>
      </c>
      <c r="BD595" s="148" t="str">
        <f t="shared" si="438"/>
        <v>no conflict</v>
      </c>
      <c r="BF595" s="148" t="str">
        <f t="shared" si="439"/>
        <v>11/24/2017 15:30-&gt;JR B M - PER</v>
      </c>
      <c r="BG595" s="148" t="str">
        <f t="shared" si="440"/>
        <v>11/24/2017 15:30-&gt;JR B M - USA 2</v>
      </c>
      <c r="BH595" s="148" t="str">
        <f t="shared" si="441"/>
        <v>11/24/2017 15:30-&gt;JCC Back Field 1</v>
      </c>
      <c r="BI595" s="148" t="str">
        <f t="shared" si="442"/>
        <v>Soccer in JCC Back Field 1 (PER-USA2)</v>
      </c>
      <c r="BJ595" s="148" t="str">
        <f t="shared" si="443"/>
        <v>Junior B Male Mini Soccer-- JR B M - PER vs. JR B M - USA 2</v>
      </c>
      <c r="BK595" s="148" t="str">
        <f t="shared" si="444"/>
        <v>Soccer</v>
      </c>
      <c r="BL595" s="148" t="str">
        <f t="shared" si="445"/>
        <v>JR B M - PER</v>
      </c>
      <c r="BM595" s="148" t="str">
        <f t="shared" si="446"/>
        <v>JR B M - USA 2</v>
      </c>
      <c r="BN595" s="148" t="str">
        <f t="shared" si="447"/>
        <v>Round - 1</v>
      </c>
      <c r="BP595" s="148" t="str">
        <f t="shared" si="448"/>
        <v>no t, f, or sf</v>
      </c>
      <c r="BQ595" s="148" t="str">
        <f t="shared" si="449"/>
        <v/>
      </c>
    </row>
    <row r="596" spans="1:69" ht="15" customHeight="1" x14ac:dyDescent="0.2">
      <c r="A596" s="376">
        <v>594</v>
      </c>
      <c r="B596" s="319" t="s">
        <v>78</v>
      </c>
      <c r="C596" s="319" t="s">
        <v>518</v>
      </c>
      <c r="D596" s="376">
        <v>1</v>
      </c>
      <c r="E596" s="376">
        <v>1</v>
      </c>
      <c r="F596" s="315" t="s">
        <v>770</v>
      </c>
      <c r="G596" s="445">
        <v>43057</v>
      </c>
      <c r="H596" s="318">
        <v>0.78472222222222221</v>
      </c>
      <c r="I596" s="325" t="s">
        <v>770</v>
      </c>
      <c r="J596" s="443" t="s">
        <v>707</v>
      </c>
      <c r="K596" s="319">
        <v>62</v>
      </c>
      <c r="L596" t="s">
        <v>648</v>
      </c>
      <c r="M596">
        <v>62</v>
      </c>
      <c r="N596" t="s">
        <v>653</v>
      </c>
      <c r="O596" s="153" t="str">
        <f>IF(L596&lt;&gt;"",IFERROR(VLOOKUP(B596&amp;L596,Pools!$A$2:$D$130,3,FALSE),""),"")</f>
        <v>Pool B</v>
      </c>
      <c r="P596" s="388">
        <v>0</v>
      </c>
      <c r="Q596" s="388">
        <v>2</v>
      </c>
      <c r="R596" s="306" t="str">
        <f t="shared" si="405"/>
        <v>0-2</v>
      </c>
      <c r="S596" s="153"/>
      <c r="T596" s="148" t="str">
        <f t="shared" si="406"/>
        <v>Completed</v>
      </c>
      <c r="U596" s="153"/>
      <c r="V596" s="153"/>
      <c r="W596" s="387">
        <f t="shared" si="407"/>
        <v>-2</v>
      </c>
      <c r="X596" s="387">
        <f t="shared" si="408"/>
        <v>2</v>
      </c>
      <c r="Y596" s="301">
        <f t="shared" si="409"/>
        <v>0</v>
      </c>
      <c r="Z596" s="301">
        <f t="shared" si="410"/>
        <v>2</v>
      </c>
      <c r="AA596" s="323" t="str">
        <f>CONCATENATE("                x[team1,team2,sport,'",IF(OR(I596="x",I596=""),VLOOKUP('Schedule from TM'!J597,Tables!$P$3:$Q$33,2,FALSE),'Schedule from TM'!I597),",",J596,"','",IF(OR(F596="x",F596=""),VLOOKUP('Schedule from TM'!G597,Tables!$U$3:$V$14,2,FALSE),'Schedule from TM'!F597),",",TEXT(G596,"mm/dd/yyyy"),"','",TEXT(H596,"h:mm:ss AM/PM"),"'].ub=0.0      #",B596)</f>
        <v xml:space="preserve">                x[team1,team2,sport,'21,Hillel - Gym Basketball','21,11/18/2017','6:50:00 PM'].ub=0.0      #Junior B Male Volleyball</v>
      </c>
      <c r="AB596" s="301" t="str">
        <f t="shared" si="411"/>
        <v>,,Junior B Male Volleyball,Pool B,1,JR B M - ARG 1</v>
      </c>
      <c r="AC596" s="153" t="str">
        <f t="shared" si="412"/>
        <v>Junior B Male VolleyballPool BJR B M - ARG 1</v>
      </c>
      <c r="AD596" s="301" t="str">
        <f t="shared" si="413"/>
        <v>,,Junior B Male Volleyball,Pool B,1,JR B M - PER</v>
      </c>
      <c r="AE596" s="153" t="str">
        <f t="shared" si="414"/>
        <v>Junior B Male VolleyballPool BJR B M - PER</v>
      </c>
      <c r="AF596" s="383">
        <f t="shared" si="415"/>
        <v>0</v>
      </c>
      <c r="AG596" s="383">
        <f t="shared" si="416"/>
        <v>1</v>
      </c>
      <c r="AH596" s="383">
        <f t="shared" si="417"/>
        <v>0</v>
      </c>
      <c r="AI596" s="383">
        <f t="shared" si="418"/>
        <v>1</v>
      </c>
      <c r="AJ596" s="383">
        <f t="shared" si="419"/>
        <v>0</v>
      </c>
      <c r="AK596" s="383">
        <f t="shared" si="420"/>
        <v>0</v>
      </c>
      <c r="AM596" s="148" t="str">
        <f t="shared" si="421"/>
        <v>Schedulled</v>
      </c>
      <c r="AN596" s="148" t="str">
        <f t="shared" si="422"/>
        <v/>
      </c>
      <c r="AO596" s="156">
        <f t="shared" si="423"/>
        <v>43057.784722222219</v>
      </c>
      <c r="AP596" s="148" t="str">
        <f t="shared" si="424"/>
        <v>11/18/2017 18:50-&gt;Hillel - Gym Basketball</v>
      </c>
      <c r="AQ596" s="374">
        <f t="shared" si="425"/>
        <v>1</v>
      </c>
      <c r="AR596" s="148" t="str">
        <f t="shared" si="426"/>
        <v>ARG1</v>
      </c>
      <c r="AS596" s="148" t="str">
        <f t="shared" si="427"/>
        <v>PER</v>
      </c>
      <c r="AT596" s="157" t="str">
        <f t="shared" si="428"/>
        <v>ARG1-PER</v>
      </c>
      <c r="AU596" s="157" t="str">
        <f t="shared" si="429"/>
        <v xml:space="preserve">ARG1-PER </v>
      </c>
      <c r="AV596" s="157" t="str">
        <f t="shared" si="430"/>
        <v>JUNIORS B MALE</v>
      </c>
      <c r="AW596" s="157" t="str">
        <f t="shared" si="431"/>
        <v>Volleyball</v>
      </c>
      <c r="AX596" s="376">
        <f t="shared" si="432"/>
        <v>594</v>
      </c>
      <c r="AY596" s="148" t="str">
        <f t="shared" si="433"/>
        <v>JR B M - ARG 1-&gt;JR B M - PER</v>
      </c>
      <c r="AZ596" s="148" t="str">
        <f t="shared" si="434"/>
        <v>11/18/2017 18:50-&gt;JR B M - ARG 1</v>
      </c>
      <c r="BA596" s="148" t="str">
        <f t="shared" si="435"/>
        <v>11/18/2017 18:50-&gt;JR B M - PER</v>
      </c>
      <c r="BB596" s="374">
        <f t="shared" si="436"/>
        <v>1</v>
      </c>
      <c r="BC596" s="374">
        <f t="shared" si="437"/>
        <v>1</v>
      </c>
      <c r="BD596" s="148" t="str">
        <f t="shared" si="438"/>
        <v>no conflict</v>
      </c>
      <c r="BF596" s="148" t="str">
        <f t="shared" si="439"/>
        <v>11/18/2017 18:50-&gt;JR B M - ARG 1</v>
      </c>
      <c r="BG596" s="148" t="str">
        <f t="shared" si="440"/>
        <v>11/18/2017 18:50-&gt;JR B M - PER</v>
      </c>
      <c r="BH596" s="148" t="str">
        <f t="shared" si="441"/>
        <v>11/18/2017 18:50-&gt;Hillel - Gym Basketball</v>
      </c>
      <c r="BI596" s="148" t="str">
        <f t="shared" si="442"/>
        <v>Volleyball in Hillel - Gym Basketball (ARG1-PER)</v>
      </c>
      <c r="BJ596" s="148" t="str">
        <f t="shared" si="443"/>
        <v>Junior B Male Volleyball-- JR B M - ARG 1 vs. JR B M - PER</v>
      </c>
      <c r="BK596" s="148" t="str">
        <f t="shared" si="444"/>
        <v>Volleyball</v>
      </c>
      <c r="BL596" s="148" t="str">
        <f t="shared" si="445"/>
        <v>JR B M - ARG 1</v>
      </c>
      <c r="BM596" s="148" t="str">
        <f t="shared" si="446"/>
        <v>JR B M - PER</v>
      </c>
      <c r="BN596" s="148" t="str">
        <f t="shared" si="447"/>
        <v>Round - 1</v>
      </c>
      <c r="BP596" s="148" t="str">
        <f t="shared" si="448"/>
        <v>no t, f, or sf</v>
      </c>
      <c r="BQ596" s="148" t="str">
        <f t="shared" si="449"/>
        <v/>
      </c>
    </row>
    <row r="597" spans="1:69" ht="15" customHeight="1" x14ac:dyDescent="0.2">
      <c r="A597" s="376">
        <v>595</v>
      </c>
      <c r="B597" s="444" t="s">
        <v>78</v>
      </c>
      <c r="C597" s="315" t="s">
        <v>518</v>
      </c>
      <c r="D597" s="378">
        <v>1</v>
      </c>
      <c r="E597" s="378">
        <v>1</v>
      </c>
      <c r="F597" s="315" t="s">
        <v>770</v>
      </c>
      <c r="G597" s="316">
        <v>43057</v>
      </c>
      <c r="H597" s="317">
        <v>0.81944444444444453</v>
      </c>
      <c r="I597" s="325" t="s">
        <v>770</v>
      </c>
      <c r="J597" s="443" t="s">
        <v>707</v>
      </c>
      <c r="K597" s="315">
        <v>62</v>
      </c>
      <c r="L597" s="433" t="s">
        <v>652</v>
      </c>
      <c r="M597" s="433">
        <v>62</v>
      </c>
      <c r="N597" s="433" t="s">
        <v>655</v>
      </c>
      <c r="O597" s="153" t="str">
        <f>IF(L597&lt;&gt;"",IFERROR(VLOOKUP(B597&amp;L597,Pools!$A$2:$D$130,3,FALSE),""),"")</f>
        <v>Pool A</v>
      </c>
      <c r="P597" s="388">
        <v>2</v>
      </c>
      <c r="Q597" s="388">
        <v>0</v>
      </c>
      <c r="R597" s="306" t="str">
        <f t="shared" si="405"/>
        <v>2-0</v>
      </c>
      <c r="S597" s="153"/>
      <c r="T597" s="148" t="str">
        <f t="shared" si="406"/>
        <v>Completed</v>
      </c>
      <c r="U597" s="153"/>
      <c r="V597" s="153"/>
      <c r="W597" s="387">
        <f t="shared" si="407"/>
        <v>2</v>
      </c>
      <c r="X597" s="387">
        <f t="shared" si="408"/>
        <v>-2</v>
      </c>
      <c r="Y597" s="301">
        <f t="shared" si="409"/>
        <v>2</v>
      </c>
      <c r="Z597" s="301">
        <f t="shared" si="410"/>
        <v>0</v>
      </c>
      <c r="AA597" s="323" t="str">
        <f>CONCATENATE("                x[team1,team2,sport,'",IF(OR(I597="x",I597=""),VLOOKUP('Schedule from TM'!J598,Tables!$P$3:$Q$33,2,FALSE),'Schedule from TM'!I598),",",J597,"','",IF(OR(F597="x",F597=""),VLOOKUP('Schedule from TM'!G598,Tables!$U$3:$V$14,2,FALSE),'Schedule from TM'!F598),",",TEXT(G597,"mm/dd/yyyy"),"','",TEXT(H597,"h:mm:ss AM/PM"),"'].ub=0.0      #",B597)</f>
        <v xml:space="preserve">                x[team1,team2,sport,'21,Hillel - Gym Basketball','21,11/18/2017','7:40:00 PM'].ub=0.0      #Junior B Male Volleyball</v>
      </c>
      <c r="AB597" s="301" t="str">
        <f t="shared" si="411"/>
        <v>,,Junior B Male Volleyball,Pool A,1,JR B M - MEX</v>
      </c>
      <c r="AC597" s="153" t="str">
        <f t="shared" si="412"/>
        <v>Junior B Male VolleyballPool AJR B M - MEX</v>
      </c>
      <c r="AD597" s="301" t="str">
        <f t="shared" si="413"/>
        <v>,,Junior B Male Volleyball,Pool A,1,JR B M - USA 2</v>
      </c>
      <c r="AE597" s="153" t="str">
        <f t="shared" si="414"/>
        <v>Junior B Male VolleyballPool AJR B M - USA 2</v>
      </c>
      <c r="AF597" s="383">
        <f t="shared" si="415"/>
        <v>1</v>
      </c>
      <c r="AG597" s="383">
        <f t="shared" si="416"/>
        <v>0</v>
      </c>
      <c r="AH597" s="383">
        <f t="shared" si="417"/>
        <v>0</v>
      </c>
      <c r="AI597" s="383">
        <f t="shared" si="418"/>
        <v>0</v>
      </c>
      <c r="AJ597" s="383">
        <f t="shared" si="419"/>
        <v>1</v>
      </c>
      <c r="AK597" s="383">
        <f t="shared" si="420"/>
        <v>0</v>
      </c>
      <c r="AM597" s="148" t="str">
        <f t="shared" si="421"/>
        <v>Schedulled</v>
      </c>
      <c r="AN597" s="148" t="str">
        <f t="shared" si="422"/>
        <v/>
      </c>
      <c r="AO597" s="156">
        <f t="shared" si="423"/>
        <v>43057.819444444445</v>
      </c>
      <c r="AP597" s="148" t="str">
        <f t="shared" si="424"/>
        <v>11/18/2017 19:40-&gt;Hillel - Gym Basketball</v>
      </c>
      <c r="AQ597" s="374">
        <f t="shared" si="425"/>
        <v>1</v>
      </c>
      <c r="AR597" s="148" t="str">
        <f t="shared" si="426"/>
        <v>MEX</v>
      </c>
      <c r="AS597" s="148" t="str">
        <f t="shared" si="427"/>
        <v>USA2</v>
      </c>
      <c r="AT597" s="157" t="str">
        <f t="shared" si="428"/>
        <v>MEX-USA2</v>
      </c>
      <c r="AU597" s="157" t="str">
        <f t="shared" si="429"/>
        <v xml:space="preserve">MEX-USA2 </v>
      </c>
      <c r="AV597" s="157" t="str">
        <f t="shared" si="430"/>
        <v>JUNIORS B MALE</v>
      </c>
      <c r="AW597" s="157" t="str">
        <f t="shared" si="431"/>
        <v>Volleyball</v>
      </c>
      <c r="AX597" s="376">
        <f t="shared" si="432"/>
        <v>595</v>
      </c>
      <c r="AY597" s="148" t="str">
        <f t="shared" si="433"/>
        <v>JR B M - MEX-&gt;JR B M - USA 2</v>
      </c>
      <c r="AZ597" s="148" t="str">
        <f t="shared" si="434"/>
        <v>11/18/2017 19:40-&gt;JR B M - MEX</v>
      </c>
      <c r="BA597" s="148" t="str">
        <f t="shared" si="435"/>
        <v>11/18/2017 19:40-&gt;JR B M - USA 2</v>
      </c>
      <c r="BB597" s="374">
        <f t="shared" si="436"/>
        <v>1</v>
      </c>
      <c r="BC597" s="374">
        <f t="shared" si="437"/>
        <v>1</v>
      </c>
      <c r="BD597" s="148" t="str">
        <f t="shared" si="438"/>
        <v>no conflict</v>
      </c>
      <c r="BF597" s="148" t="str">
        <f t="shared" si="439"/>
        <v>11/18/2017 19:40-&gt;JR B M - MEX</v>
      </c>
      <c r="BG597" s="148" t="str">
        <f t="shared" si="440"/>
        <v>11/18/2017 19:40-&gt;JR B M - USA 2</v>
      </c>
      <c r="BH597" s="148" t="str">
        <f t="shared" si="441"/>
        <v>11/18/2017 19:40-&gt;Hillel - Gym Basketball</v>
      </c>
      <c r="BI597" s="148" t="str">
        <f t="shared" si="442"/>
        <v>Volleyball in Hillel - Gym Basketball (MEX-USA2)</v>
      </c>
      <c r="BJ597" s="148" t="str">
        <f t="shared" si="443"/>
        <v>Junior B Male Volleyball-- JR B M - MEX vs. JR B M - USA 2</v>
      </c>
      <c r="BK597" s="148" t="str">
        <f t="shared" si="444"/>
        <v>Volleyball</v>
      </c>
      <c r="BL597" s="148" t="str">
        <f t="shared" si="445"/>
        <v>JR B M - MEX</v>
      </c>
      <c r="BM597" s="148" t="str">
        <f t="shared" si="446"/>
        <v>JR B M - USA 2</v>
      </c>
      <c r="BN597" s="148" t="str">
        <f t="shared" si="447"/>
        <v>Round - 1</v>
      </c>
      <c r="BP597" s="148" t="str">
        <f t="shared" si="448"/>
        <v>no t, f, or sf</v>
      </c>
      <c r="BQ597" s="148" t="str">
        <f t="shared" si="449"/>
        <v/>
      </c>
    </row>
    <row r="598" spans="1:69" ht="15" customHeight="1" x14ac:dyDescent="0.2">
      <c r="A598" s="376">
        <v>596</v>
      </c>
      <c r="B598" s="441" t="s">
        <v>78</v>
      </c>
      <c r="C598" s="441" t="s">
        <v>518</v>
      </c>
      <c r="D598" s="450">
        <v>1</v>
      </c>
      <c r="E598" s="450">
        <v>1</v>
      </c>
      <c r="F598" s="315" t="s">
        <v>770</v>
      </c>
      <c r="G598" s="316">
        <v>43057</v>
      </c>
      <c r="H598" s="318">
        <v>0.85416666666666663</v>
      </c>
      <c r="I598" s="325" t="s">
        <v>770</v>
      </c>
      <c r="J598" s="443" t="s">
        <v>707</v>
      </c>
      <c r="K598" s="441">
        <v>62</v>
      </c>
      <c r="L598" t="s">
        <v>648</v>
      </c>
      <c r="M598">
        <v>62</v>
      </c>
      <c r="N598" t="s">
        <v>656</v>
      </c>
      <c r="O598" s="153" t="str">
        <f>IF(L598&lt;&gt;"",IFERROR(VLOOKUP(B598&amp;L598,Pools!$A$2:$D$130,3,FALSE),""),"")</f>
        <v>Pool B</v>
      </c>
      <c r="P598" s="388">
        <v>0</v>
      </c>
      <c r="Q598" s="388">
        <v>2</v>
      </c>
      <c r="R598" s="306" t="str">
        <f t="shared" si="405"/>
        <v>0-2</v>
      </c>
      <c r="S598" s="153"/>
      <c r="T598" s="148" t="str">
        <f t="shared" si="406"/>
        <v>Completed</v>
      </c>
      <c r="U598" s="153"/>
      <c r="V598" s="153"/>
      <c r="W598" s="387">
        <f t="shared" si="407"/>
        <v>-2</v>
      </c>
      <c r="X598" s="387">
        <f t="shared" si="408"/>
        <v>2</v>
      </c>
      <c r="Y598" s="301">
        <f t="shared" si="409"/>
        <v>0</v>
      </c>
      <c r="Z598" s="301">
        <f t="shared" si="410"/>
        <v>2</v>
      </c>
      <c r="AA598" s="323" t="str">
        <f>CONCATENATE("                x[team1,team2,sport,'",IF(OR(I598="x",I598=""),VLOOKUP('Schedule from TM'!J599,Tables!$P$3:$Q$33,2,FALSE),'Schedule from TM'!I599),",",J598,"','",IF(OR(F598="x",F598=""),VLOOKUP('Schedule from TM'!G599,Tables!$U$3:$V$14,2,FALSE),'Schedule from TM'!F599),",",TEXT(G598,"mm/dd/yyyy"),"','",TEXT(H598,"h:mm:ss AM/PM"),"'].ub=0.0      #",B598)</f>
        <v xml:space="preserve">                x[team1,team2,sport,'11,Hillel - Gym Basketball','11,11/18/2017','8:30:00 PM'].ub=0.0      #Junior B Male Volleyball</v>
      </c>
      <c r="AB598" s="301" t="str">
        <f t="shared" si="411"/>
        <v>,,Junior B Male Volleyball,Pool B,1,JR B M - ARG 1</v>
      </c>
      <c r="AC598" s="153" t="str">
        <f t="shared" si="412"/>
        <v>Junior B Male VolleyballPool BJR B M - ARG 1</v>
      </c>
      <c r="AD598" s="301" t="str">
        <f t="shared" si="413"/>
        <v>,,Junior B Male Volleyball,Pool B,1,JR B M - VEN 1</v>
      </c>
      <c r="AE598" s="153" t="str">
        <f t="shared" si="414"/>
        <v>Junior B Male VolleyballPool BJR B M - VEN 1</v>
      </c>
      <c r="AF598" s="383">
        <f t="shared" si="415"/>
        <v>0</v>
      </c>
      <c r="AG598" s="383">
        <f t="shared" si="416"/>
        <v>1</v>
      </c>
      <c r="AH598" s="383">
        <f t="shared" si="417"/>
        <v>0</v>
      </c>
      <c r="AI598" s="383">
        <f t="shared" si="418"/>
        <v>1</v>
      </c>
      <c r="AJ598" s="383">
        <f t="shared" si="419"/>
        <v>0</v>
      </c>
      <c r="AK598" s="383">
        <f t="shared" si="420"/>
        <v>0</v>
      </c>
      <c r="AM598" s="148" t="str">
        <f t="shared" si="421"/>
        <v>Schedulled</v>
      </c>
      <c r="AN598" s="148" t="str">
        <f t="shared" si="422"/>
        <v/>
      </c>
      <c r="AO598" s="156">
        <f t="shared" si="423"/>
        <v>43057.854166666664</v>
      </c>
      <c r="AP598" s="148" t="str">
        <f t="shared" si="424"/>
        <v>11/18/2017 20:30-&gt;Hillel - Gym Basketball</v>
      </c>
      <c r="AQ598" s="374">
        <f t="shared" si="425"/>
        <v>1</v>
      </c>
      <c r="AR598" s="148" t="str">
        <f t="shared" si="426"/>
        <v>ARG1</v>
      </c>
      <c r="AS598" s="148" t="str">
        <f t="shared" si="427"/>
        <v>VEN1</v>
      </c>
      <c r="AT598" s="157" t="str">
        <f t="shared" si="428"/>
        <v>ARG1-VEN1</v>
      </c>
      <c r="AU598" s="157" t="str">
        <f t="shared" si="429"/>
        <v xml:space="preserve">ARG1-VEN1 </v>
      </c>
      <c r="AV598" s="157" t="str">
        <f t="shared" si="430"/>
        <v>JUNIORS B MALE</v>
      </c>
      <c r="AW598" s="157" t="str">
        <f t="shared" si="431"/>
        <v>Volleyball</v>
      </c>
      <c r="AX598" s="376">
        <f t="shared" si="432"/>
        <v>596</v>
      </c>
      <c r="AY598" s="148" t="str">
        <f t="shared" si="433"/>
        <v>JR B M - ARG 1-&gt;JR B M - VEN 1</v>
      </c>
      <c r="AZ598" s="148" t="str">
        <f t="shared" si="434"/>
        <v>11/18/2017 20:30-&gt;JR B M - ARG 1</v>
      </c>
      <c r="BA598" s="148" t="str">
        <f t="shared" si="435"/>
        <v>11/18/2017 20:30-&gt;JR B M - VEN 1</v>
      </c>
      <c r="BB598" s="374">
        <f t="shared" si="436"/>
        <v>1</v>
      </c>
      <c r="BC598" s="374">
        <f t="shared" si="437"/>
        <v>1</v>
      </c>
      <c r="BD598" s="148" t="str">
        <f t="shared" si="438"/>
        <v>no conflict</v>
      </c>
      <c r="BF598" s="148" t="str">
        <f t="shared" si="439"/>
        <v>11/18/2017 20:30-&gt;JR B M - ARG 1</v>
      </c>
      <c r="BG598" s="148" t="str">
        <f t="shared" si="440"/>
        <v>11/18/2017 20:30-&gt;JR B M - VEN 1</v>
      </c>
      <c r="BH598" s="148" t="str">
        <f t="shared" si="441"/>
        <v>11/18/2017 20:30-&gt;Hillel - Gym Basketball</v>
      </c>
      <c r="BI598" s="148" t="str">
        <f t="shared" si="442"/>
        <v>Volleyball in Hillel - Gym Basketball (ARG1-VEN1)</v>
      </c>
      <c r="BJ598" s="148" t="str">
        <f t="shared" si="443"/>
        <v>Junior B Male Volleyball-- JR B M - ARG 1 vs. JR B M - VEN 1</v>
      </c>
      <c r="BK598" s="148" t="str">
        <f t="shared" si="444"/>
        <v>Volleyball</v>
      </c>
      <c r="BL598" s="148" t="str">
        <f t="shared" si="445"/>
        <v>JR B M - ARG 1</v>
      </c>
      <c r="BM598" s="148" t="str">
        <f t="shared" si="446"/>
        <v>JR B M - VEN 1</v>
      </c>
      <c r="BN598" s="148" t="str">
        <f t="shared" si="447"/>
        <v>Round - 1</v>
      </c>
      <c r="BP598" s="148" t="str">
        <f t="shared" si="448"/>
        <v>no t, f, or sf</v>
      </c>
      <c r="BQ598" s="148" t="str">
        <f t="shared" si="449"/>
        <v/>
      </c>
    </row>
    <row r="599" spans="1:69" ht="15" customHeight="1" x14ac:dyDescent="0.2">
      <c r="A599" s="376">
        <v>597</v>
      </c>
      <c r="B599" s="444" t="s">
        <v>78</v>
      </c>
      <c r="C599" s="444" t="s">
        <v>518</v>
      </c>
      <c r="D599" s="451">
        <v>1</v>
      </c>
      <c r="E599" s="451">
        <v>1</v>
      </c>
      <c r="F599" s="315" t="s">
        <v>770</v>
      </c>
      <c r="G599" s="445">
        <v>43058</v>
      </c>
      <c r="H599" s="317">
        <v>0.4375</v>
      </c>
      <c r="I599" s="325" t="s">
        <v>770</v>
      </c>
      <c r="J599" s="444" t="s">
        <v>697</v>
      </c>
      <c r="K599" s="444">
        <v>62</v>
      </c>
      <c r="L599" t="s">
        <v>652</v>
      </c>
      <c r="M599">
        <v>62</v>
      </c>
      <c r="N599" t="s">
        <v>654</v>
      </c>
      <c r="O599" s="153" t="str">
        <f>IF(L599&lt;&gt;"",IFERROR(VLOOKUP(B599&amp;L599,Pools!$A$2:$D$130,3,FALSE),""),"")</f>
        <v>Pool A</v>
      </c>
      <c r="P599" s="388">
        <v>2</v>
      </c>
      <c r="Q599" s="388">
        <v>1</v>
      </c>
      <c r="R599" s="306" t="str">
        <f t="shared" si="405"/>
        <v>2-1</v>
      </c>
      <c r="S599" s="153"/>
      <c r="T599" s="148" t="str">
        <f t="shared" si="406"/>
        <v>Completed</v>
      </c>
      <c r="U599" s="153"/>
      <c r="V599" s="153"/>
      <c r="W599" s="387">
        <f t="shared" si="407"/>
        <v>1</v>
      </c>
      <c r="X599" s="387">
        <f t="shared" si="408"/>
        <v>-1</v>
      </c>
      <c r="Y599" s="301">
        <f t="shared" si="409"/>
        <v>2</v>
      </c>
      <c r="Z599" s="301">
        <f t="shared" si="410"/>
        <v>0</v>
      </c>
      <c r="AA599" s="323" t="str">
        <f>CONCATENATE("                x[team1,team2,sport,'",IF(OR(I599="x",I599=""),VLOOKUP('Schedule from TM'!J600,Tables!$P$3:$Q$33,2,FALSE),'Schedule from TM'!I600),",",J599,"','",IF(OR(F599="x",F599=""),VLOOKUP('Schedule from TM'!G600,Tables!$U$3:$V$14,2,FALSE),'Schedule from TM'!F600),",",TEXT(G599,"mm/dd/yyyy"),"','",TEXT(H599,"h:mm:ss AM/PM"),"'].ub=0.0      #",B599)</f>
        <v xml:space="preserve">                x[team1,team2,sport,'21,JCC Gym South','11,11/19/2017','10:30:00 AM'].ub=0.0      #Junior B Male Volleyball</v>
      </c>
      <c r="AB599" s="301" t="str">
        <f t="shared" si="411"/>
        <v>,,Junior B Male Volleyball,Pool A,1,JR B M - MEX</v>
      </c>
      <c r="AC599" s="153" t="str">
        <f t="shared" si="412"/>
        <v>Junior B Male VolleyballPool AJR B M - MEX</v>
      </c>
      <c r="AD599" s="301" t="str">
        <f t="shared" si="413"/>
        <v>,,Junior B Male Volleyball,Pool A,1,JR B M - USA 1</v>
      </c>
      <c r="AE599" s="153" t="str">
        <f t="shared" si="414"/>
        <v>Junior B Male VolleyballPool AJR B M - USA 1</v>
      </c>
      <c r="AF599" s="383">
        <f t="shared" si="415"/>
        <v>1</v>
      </c>
      <c r="AG599" s="383">
        <f t="shared" si="416"/>
        <v>0</v>
      </c>
      <c r="AH599" s="383">
        <f t="shared" si="417"/>
        <v>0</v>
      </c>
      <c r="AI599" s="383">
        <f t="shared" si="418"/>
        <v>0</v>
      </c>
      <c r="AJ599" s="383">
        <f t="shared" si="419"/>
        <v>1</v>
      </c>
      <c r="AK599" s="383">
        <f t="shared" si="420"/>
        <v>0</v>
      </c>
      <c r="AM599" s="148" t="str">
        <f t="shared" si="421"/>
        <v>Schedulled</v>
      </c>
      <c r="AN599" s="148" t="str">
        <f t="shared" si="422"/>
        <v/>
      </c>
      <c r="AO599" s="156">
        <f t="shared" si="423"/>
        <v>43058.4375</v>
      </c>
      <c r="AP599" s="148" t="str">
        <f t="shared" si="424"/>
        <v>11/19/2017 10:30-&gt;JCC Gym South</v>
      </c>
      <c r="AQ599" s="374">
        <f t="shared" si="425"/>
        <v>1</v>
      </c>
      <c r="AR599" s="148" t="str">
        <f t="shared" si="426"/>
        <v>MEX</v>
      </c>
      <c r="AS599" s="148" t="str">
        <f t="shared" si="427"/>
        <v>USA1</v>
      </c>
      <c r="AT599" s="157" t="str">
        <f t="shared" si="428"/>
        <v>MEX-USA1</v>
      </c>
      <c r="AU599" s="157" t="str">
        <f t="shared" si="429"/>
        <v xml:space="preserve">MEX-USA1 </v>
      </c>
      <c r="AV599" s="157" t="str">
        <f t="shared" si="430"/>
        <v>JUNIORS B MALE</v>
      </c>
      <c r="AW599" s="157" t="str">
        <f t="shared" si="431"/>
        <v>Volleyball</v>
      </c>
      <c r="AX599" s="376">
        <f t="shared" si="432"/>
        <v>597</v>
      </c>
      <c r="AY599" s="148" t="str">
        <f t="shared" si="433"/>
        <v>JR B M - MEX-&gt;JR B M - USA 1</v>
      </c>
      <c r="AZ599" s="148" t="str">
        <f t="shared" si="434"/>
        <v>11/19/2017 10:30-&gt;JR B M - MEX</v>
      </c>
      <c r="BA599" s="148" t="str">
        <f t="shared" si="435"/>
        <v>11/19/2017 10:30-&gt;JR B M - USA 1</v>
      </c>
      <c r="BB599" s="374">
        <f t="shared" si="436"/>
        <v>1</v>
      </c>
      <c r="BC599" s="374">
        <f t="shared" si="437"/>
        <v>1</v>
      </c>
      <c r="BD599" s="148" t="str">
        <f t="shared" si="438"/>
        <v>no conflict</v>
      </c>
      <c r="BF599" s="148" t="str">
        <f t="shared" si="439"/>
        <v>11/19/2017 10:30-&gt;JR B M - MEX</v>
      </c>
      <c r="BG599" s="148" t="str">
        <f t="shared" si="440"/>
        <v>11/19/2017 10:30-&gt;JR B M - USA 1</v>
      </c>
      <c r="BH599" s="148" t="str">
        <f t="shared" si="441"/>
        <v>11/19/2017 10:30-&gt;JCC Gym South</v>
      </c>
      <c r="BI599" s="148" t="str">
        <f t="shared" si="442"/>
        <v>Volleyball in JCC Gym South (MEX-USA1)</v>
      </c>
      <c r="BJ599" s="148" t="str">
        <f t="shared" si="443"/>
        <v>Junior B Male Volleyball-- JR B M - MEX vs. JR B M - USA 1</v>
      </c>
      <c r="BK599" s="148" t="str">
        <f t="shared" si="444"/>
        <v>Volleyball</v>
      </c>
      <c r="BL599" s="148" t="str">
        <f t="shared" si="445"/>
        <v>JR B M - MEX</v>
      </c>
      <c r="BM599" s="148" t="str">
        <f t="shared" si="446"/>
        <v>JR B M - USA 1</v>
      </c>
      <c r="BN599" s="148" t="str">
        <f t="shared" si="447"/>
        <v>Round - 1</v>
      </c>
      <c r="BP599" s="148" t="str">
        <f t="shared" si="448"/>
        <v>no t, f, or sf</v>
      </c>
      <c r="BQ599" s="148" t="str">
        <f t="shared" si="449"/>
        <v/>
      </c>
    </row>
    <row r="600" spans="1:69" ht="15" customHeight="1" x14ac:dyDescent="0.2">
      <c r="A600" s="376">
        <v>598</v>
      </c>
      <c r="B600" s="315" t="s">
        <v>78</v>
      </c>
      <c r="C600" s="315" t="s">
        <v>518</v>
      </c>
      <c r="D600" s="378">
        <v>1</v>
      </c>
      <c r="E600" s="378">
        <v>1</v>
      </c>
      <c r="F600" s="315" t="s">
        <v>770</v>
      </c>
      <c r="G600" s="316">
        <v>43058</v>
      </c>
      <c r="H600" s="317">
        <v>0.54166666666666663</v>
      </c>
      <c r="I600" s="325" t="s">
        <v>770</v>
      </c>
      <c r="J600" s="315" t="s">
        <v>708</v>
      </c>
      <c r="K600" s="315">
        <v>62</v>
      </c>
      <c r="L600" t="s">
        <v>651</v>
      </c>
      <c r="M600">
        <v>62</v>
      </c>
      <c r="N600" t="s">
        <v>653</v>
      </c>
      <c r="O600" s="153" t="str">
        <f>IF(L600&lt;&gt;"",IFERROR(VLOOKUP(B600&amp;L600,Pools!$A$2:$D$130,3,FALSE),""),"")</f>
        <v>Pool B</v>
      </c>
      <c r="P600" s="388">
        <v>0</v>
      </c>
      <c r="Q600" s="388">
        <v>2</v>
      </c>
      <c r="R600" s="306" t="str">
        <f t="shared" si="405"/>
        <v>0-2</v>
      </c>
      <c r="S600" s="153"/>
      <c r="T600" s="148" t="str">
        <f t="shared" si="406"/>
        <v>Completed</v>
      </c>
      <c r="U600" s="153"/>
      <c r="V600" s="153"/>
      <c r="W600" s="387">
        <f t="shared" si="407"/>
        <v>-2</v>
      </c>
      <c r="X600" s="387">
        <f t="shared" si="408"/>
        <v>2</v>
      </c>
      <c r="Y600" s="301">
        <f t="shared" si="409"/>
        <v>0</v>
      </c>
      <c r="Z600" s="301">
        <f t="shared" si="410"/>
        <v>2</v>
      </c>
      <c r="AA600" s="323" t="str">
        <f>CONCATENATE("                x[team1,team2,sport,'",IF(OR(I600="x",I600=""),VLOOKUP('Schedule from TM'!J601,Tables!$P$3:$Q$33,2,FALSE),'Schedule from TM'!I601),",",J600,"','",IF(OR(F600="x",F600=""),VLOOKUP('Schedule from TM'!G601,Tables!$U$3:$V$14,2,FALSE),'Schedule from TM'!F601),",",TEXT(G600,"mm/dd/yyyy"),"','",TEXT(H600,"h:mm:ss AM/PM"),"'].ub=0.0      #",B600)</f>
        <v xml:space="preserve">                x[team1,team2,sport,'11,Hillel - Gym Volleyball','11,11/19/2017','1:00:00 PM'].ub=0.0      #Junior B Male Volleyball</v>
      </c>
      <c r="AB600" s="301" t="str">
        <f t="shared" si="411"/>
        <v>,,Junior B Male Volleyball,Pool B,1,JR B M - ISR 1</v>
      </c>
      <c r="AC600" s="153" t="str">
        <f t="shared" si="412"/>
        <v>Junior B Male VolleyballPool BJR B M - ISR 1</v>
      </c>
      <c r="AD600" s="301" t="str">
        <f t="shared" si="413"/>
        <v>,,Junior B Male Volleyball,Pool B,1,JR B M - PER</v>
      </c>
      <c r="AE600" s="153" t="str">
        <f t="shared" si="414"/>
        <v>Junior B Male VolleyballPool BJR B M - PER</v>
      </c>
      <c r="AF600" s="383">
        <f t="shared" si="415"/>
        <v>0</v>
      </c>
      <c r="AG600" s="383">
        <f t="shared" si="416"/>
        <v>1</v>
      </c>
      <c r="AH600" s="383">
        <f t="shared" si="417"/>
        <v>0</v>
      </c>
      <c r="AI600" s="383">
        <f t="shared" si="418"/>
        <v>1</v>
      </c>
      <c r="AJ600" s="383">
        <f t="shared" si="419"/>
        <v>0</v>
      </c>
      <c r="AK600" s="383">
        <f t="shared" si="420"/>
        <v>0</v>
      </c>
      <c r="AM600" s="148" t="str">
        <f t="shared" si="421"/>
        <v>Schedulled</v>
      </c>
      <c r="AN600" s="148" t="str">
        <f t="shared" si="422"/>
        <v/>
      </c>
      <c r="AO600" s="156">
        <f t="shared" si="423"/>
        <v>43058.541666666664</v>
      </c>
      <c r="AP600" s="148" t="str">
        <f t="shared" si="424"/>
        <v>11/19/2017 13:00-&gt;Hillel - Gym Volleyball</v>
      </c>
      <c r="AQ600" s="374">
        <f t="shared" si="425"/>
        <v>1</v>
      </c>
      <c r="AR600" s="148" t="str">
        <f t="shared" si="426"/>
        <v>ISR1</v>
      </c>
      <c r="AS600" s="148" t="str">
        <f t="shared" si="427"/>
        <v>PER</v>
      </c>
      <c r="AT600" s="157" t="str">
        <f t="shared" si="428"/>
        <v>ISR1-PER</v>
      </c>
      <c r="AU600" s="157" t="str">
        <f t="shared" si="429"/>
        <v xml:space="preserve">ISR1-PER </v>
      </c>
      <c r="AV600" s="157" t="str">
        <f t="shared" si="430"/>
        <v>JUNIORS B MALE</v>
      </c>
      <c r="AW600" s="157" t="str">
        <f t="shared" si="431"/>
        <v>Volleyball</v>
      </c>
      <c r="AX600" s="376">
        <f t="shared" si="432"/>
        <v>598</v>
      </c>
      <c r="AY600" s="148" t="str">
        <f t="shared" si="433"/>
        <v>JR B M - ISR 1-&gt;JR B M - PER</v>
      </c>
      <c r="AZ600" s="148" t="str">
        <f t="shared" si="434"/>
        <v>11/19/2017 13:00-&gt;JR B M - ISR 1</v>
      </c>
      <c r="BA600" s="148" t="str">
        <f t="shared" si="435"/>
        <v>11/19/2017 13:00-&gt;JR B M - PER</v>
      </c>
      <c r="BB600" s="374">
        <f t="shared" si="436"/>
        <v>1</v>
      </c>
      <c r="BC600" s="374">
        <f t="shared" si="437"/>
        <v>1</v>
      </c>
      <c r="BD600" s="148" t="str">
        <f t="shared" si="438"/>
        <v>no conflict</v>
      </c>
      <c r="BF600" s="148" t="str">
        <f t="shared" si="439"/>
        <v>11/19/2017 13:00-&gt;JR B M - ISR 1</v>
      </c>
      <c r="BG600" s="148" t="str">
        <f t="shared" si="440"/>
        <v>11/19/2017 13:00-&gt;JR B M - PER</v>
      </c>
      <c r="BH600" s="148" t="str">
        <f t="shared" si="441"/>
        <v>11/19/2017 13:00-&gt;Hillel - Gym Volleyball</v>
      </c>
      <c r="BI600" s="148" t="str">
        <f t="shared" si="442"/>
        <v>Volleyball in Hillel - Gym Volleyball (ISR1-PER)</v>
      </c>
      <c r="BJ600" s="148" t="str">
        <f t="shared" si="443"/>
        <v>Junior B Male Volleyball-- JR B M - ISR 1 vs. JR B M - PER</v>
      </c>
      <c r="BK600" s="148" t="str">
        <f t="shared" si="444"/>
        <v>Volleyball</v>
      </c>
      <c r="BL600" s="148" t="str">
        <f t="shared" si="445"/>
        <v>JR B M - ISR 1</v>
      </c>
      <c r="BM600" s="148" t="str">
        <f t="shared" si="446"/>
        <v>JR B M - PER</v>
      </c>
      <c r="BN600" s="148" t="str">
        <f t="shared" si="447"/>
        <v>Round - 1</v>
      </c>
      <c r="BP600" s="148" t="str">
        <f t="shared" si="448"/>
        <v>no t, f, or sf</v>
      </c>
      <c r="BQ600" s="148" t="str">
        <f t="shared" si="449"/>
        <v/>
      </c>
    </row>
    <row r="601" spans="1:69" ht="15" customHeight="1" x14ac:dyDescent="0.2">
      <c r="A601" s="376">
        <v>599</v>
      </c>
      <c r="B601" s="121" t="s">
        <v>78</v>
      </c>
      <c r="C601" s="121" t="s">
        <v>518</v>
      </c>
      <c r="D601" s="382">
        <v>1</v>
      </c>
      <c r="E601" s="382">
        <v>1</v>
      </c>
      <c r="F601" s="315" t="s">
        <v>770</v>
      </c>
      <c r="G601" s="206">
        <v>43058</v>
      </c>
      <c r="H601" s="318">
        <v>0.81944444444444453</v>
      </c>
      <c r="I601" s="325" t="s">
        <v>770</v>
      </c>
      <c r="J601" s="121" t="s">
        <v>697</v>
      </c>
      <c r="K601" s="121">
        <v>62</v>
      </c>
      <c r="L601" t="s">
        <v>650</v>
      </c>
      <c r="M601">
        <v>62</v>
      </c>
      <c r="N601" t="s">
        <v>652</v>
      </c>
      <c r="O601" s="153" t="str">
        <f>IF(L601&lt;&gt;"",IFERROR(VLOOKUP(B601&amp;L601,Pools!$A$2:$D$130,3,FALSE),""),"")</f>
        <v>Pool A</v>
      </c>
      <c r="P601" s="388">
        <v>2</v>
      </c>
      <c r="Q601" s="388">
        <v>0</v>
      </c>
      <c r="R601" s="306" t="str">
        <f t="shared" si="405"/>
        <v>2-0</v>
      </c>
      <c r="S601" s="153"/>
      <c r="T601" s="148" t="str">
        <f t="shared" si="406"/>
        <v>Completed</v>
      </c>
      <c r="U601" s="153"/>
      <c r="V601" s="153"/>
      <c r="W601" s="387">
        <f t="shared" si="407"/>
        <v>2</v>
      </c>
      <c r="X601" s="387">
        <f t="shared" si="408"/>
        <v>-2</v>
      </c>
      <c r="Y601" s="301">
        <f t="shared" si="409"/>
        <v>2</v>
      </c>
      <c r="Z601" s="301">
        <f t="shared" si="410"/>
        <v>0</v>
      </c>
      <c r="AA601" s="323" t="str">
        <f>CONCATENATE("                x[team1,team2,sport,'",IF(OR(I601="x",I601=""),VLOOKUP('Schedule from TM'!J602,Tables!$P$3:$Q$33,2,FALSE),'Schedule from TM'!I602),",",J601,"','",IF(OR(F601="x",F601=""),VLOOKUP('Schedule from TM'!G602,Tables!$U$3:$V$14,2,FALSE),'Schedule from TM'!F602),",",TEXT(G601,"mm/dd/yyyy"),"','",TEXT(H601,"h:mm:ss AM/PM"),"'].ub=0.0      #",B601)</f>
        <v xml:space="preserve">                x[team1,team2,sport,'21,JCC Gym South','11,11/19/2017','7:40:00 PM'].ub=0.0      #Junior B Male Volleyball</v>
      </c>
      <c r="AB601" s="301" t="str">
        <f t="shared" si="411"/>
        <v>,,Junior B Male Volleyball,Pool A,1,JR B M - COL 1</v>
      </c>
      <c r="AC601" s="153" t="str">
        <f t="shared" si="412"/>
        <v>Junior B Male VolleyballPool AJR B M - COL 1</v>
      </c>
      <c r="AD601" s="301" t="str">
        <f t="shared" si="413"/>
        <v>,,Junior B Male Volleyball,Pool A,1,JR B M - MEX</v>
      </c>
      <c r="AE601" s="153" t="str">
        <f t="shared" si="414"/>
        <v>Junior B Male VolleyballPool AJR B M - MEX</v>
      </c>
      <c r="AF601" s="383">
        <f t="shared" si="415"/>
        <v>1</v>
      </c>
      <c r="AG601" s="383">
        <f t="shared" si="416"/>
        <v>0</v>
      </c>
      <c r="AH601" s="383">
        <f t="shared" si="417"/>
        <v>0</v>
      </c>
      <c r="AI601" s="383">
        <f t="shared" si="418"/>
        <v>0</v>
      </c>
      <c r="AJ601" s="383">
        <f t="shared" si="419"/>
        <v>1</v>
      </c>
      <c r="AK601" s="383">
        <f t="shared" si="420"/>
        <v>0</v>
      </c>
      <c r="AM601" s="148" t="str">
        <f t="shared" si="421"/>
        <v>Schedulled</v>
      </c>
      <c r="AN601" s="148" t="str">
        <f t="shared" si="422"/>
        <v/>
      </c>
      <c r="AO601" s="156">
        <f t="shared" si="423"/>
        <v>43058.819444444445</v>
      </c>
      <c r="AP601" s="148" t="str">
        <f t="shared" si="424"/>
        <v>11/19/2017 19:40-&gt;JCC Gym South</v>
      </c>
      <c r="AQ601" s="374">
        <f t="shared" si="425"/>
        <v>1</v>
      </c>
      <c r="AR601" s="148" t="str">
        <f t="shared" si="426"/>
        <v>COL1</v>
      </c>
      <c r="AS601" s="148" t="str">
        <f t="shared" si="427"/>
        <v>MEX</v>
      </c>
      <c r="AT601" s="157" t="str">
        <f t="shared" si="428"/>
        <v>COL1-MEX</v>
      </c>
      <c r="AU601" s="157" t="str">
        <f t="shared" si="429"/>
        <v xml:space="preserve">COL1-MEX </v>
      </c>
      <c r="AV601" s="157" t="str">
        <f t="shared" si="430"/>
        <v>JUNIORS B MALE</v>
      </c>
      <c r="AW601" s="157" t="str">
        <f t="shared" si="431"/>
        <v>Volleyball</v>
      </c>
      <c r="AX601" s="376">
        <f t="shared" si="432"/>
        <v>599</v>
      </c>
      <c r="AY601" s="148" t="str">
        <f t="shared" si="433"/>
        <v>JR B M - COL 1-&gt;JR B M - MEX</v>
      </c>
      <c r="AZ601" s="148" t="str">
        <f t="shared" si="434"/>
        <v>11/19/2017 19:40-&gt;JR B M - COL 1</v>
      </c>
      <c r="BA601" s="148" t="str">
        <f t="shared" si="435"/>
        <v>11/19/2017 19:40-&gt;JR B M - MEX</v>
      </c>
      <c r="BB601" s="374">
        <f t="shared" si="436"/>
        <v>1</v>
      </c>
      <c r="BC601" s="374">
        <f t="shared" si="437"/>
        <v>1</v>
      </c>
      <c r="BD601" s="148" t="str">
        <f t="shared" si="438"/>
        <v>no conflict</v>
      </c>
      <c r="BF601" s="148" t="str">
        <f t="shared" si="439"/>
        <v>11/19/2017 19:40-&gt;JR B M - COL 1</v>
      </c>
      <c r="BG601" s="148" t="str">
        <f t="shared" si="440"/>
        <v>11/19/2017 19:40-&gt;JR B M - MEX</v>
      </c>
      <c r="BH601" s="148" t="str">
        <f t="shared" si="441"/>
        <v>11/19/2017 19:40-&gt;JCC Gym South</v>
      </c>
      <c r="BI601" s="148" t="str">
        <f t="shared" si="442"/>
        <v>Volleyball in JCC Gym South (COL1-MEX)</v>
      </c>
      <c r="BJ601" s="148" t="str">
        <f t="shared" si="443"/>
        <v>Junior B Male Volleyball-- JR B M - COL 1 vs. JR B M - MEX</v>
      </c>
      <c r="BK601" s="148" t="str">
        <f t="shared" si="444"/>
        <v>Volleyball</v>
      </c>
      <c r="BL601" s="148" t="str">
        <f t="shared" si="445"/>
        <v>JR B M - COL 1</v>
      </c>
      <c r="BM601" s="148" t="str">
        <f t="shared" si="446"/>
        <v>JR B M - MEX</v>
      </c>
      <c r="BN601" s="148" t="str">
        <f t="shared" si="447"/>
        <v>Round - 1</v>
      </c>
      <c r="BP601" s="148" t="str">
        <f t="shared" si="448"/>
        <v>no t, f, or sf</v>
      </c>
      <c r="BQ601" s="148" t="str">
        <f t="shared" si="449"/>
        <v/>
      </c>
    </row>
    <row r="602" spans="1:69" ht="15" customHeight="1" x14ac:dyDescent="0.2">
      <c r="A602" s="376">
        <v>600</v>
      </c>
      <c r="B602" s="444" t="s">
        <v>78</v>
      </c>
      <c r="C602" s="315" t="s">
        <v>518</v>
      </c>
      <c r="D602" s="378">
        <v>1</v>
      </c>
      <c r="E602" s="378">
        <v>1</v>
      </c>
      <c r="F602" s="315" t="s">
        <v>770</v>
      </c>
      <c r="G602" s="316">
        <v>43058</v>
      </c>
      <c r="H602" s="318">
        <v>0.81944444444444453</v>
      </c>
      <c r="I602" s="325" t="s">
        <v>770</v>
      </c>
      <c r="J602" s="315" t="s">
        <v>708</v>
      </c>
      <c r="K602" s="315">
        <v>62</v>
      </c>
      <c r="L602" s="433" t="s">
        <v>653</v>
      </c>
      <c r="M602" s="433">
        <v>62</v>
      </c>
      <c r="N602" s="433" t="s">
        <v>656</v>
      </c>
      <c r="O602" s="153" t="str">
        <f>IF(L602&lt;&gt;"",IFERROR(VLOOKUP(B602&amp;L602,Pools!$A$2:$D$130,3,FALSE),""),"")</f>
        <v>Pool B</v>
      </c>
      <c r="P602" s="388">
        <v>2</v>
      </c>
      <c r="Q602" s="388">
        <v>0</v>
      </c>
      <c r="R602" s="306" t="str">
        <f t="shared" si="405"/>
        <v>2-0</v>
      </c>
      <c r="S602" s="153"/>
      <c r="T602" s="148" t="str">
        <f t="shared" si="406"/>
        <v>Completed</v>
      </c>
      <c r="U602" s="153"/>
      <c r="V602" s="153"/>
      <c r="W602" s="387">
        <f t="shared" si="407"/>
        <v>2</v>
      </c>
      <c r="X602" s="387">
        <f t="shared" si="408"/>
        <v>-2</v>
      </c>
      <c r="Y602" s="301">
        <f t="shared" si="409"/>
        <v>2</v>
      </c>
      <c r="Z602" s="301">
        <f t="shared" si="410"/>
        <v>0</v>
      </c>
      <c r="AA602" s="323" t="str">
        <f>CONCATENATE("                x[team1,team2,sport,'",IF(OR(I602="x",I602=""),VLOOKUP('Schedule from TM'!J603,Tables!$P$3:$Q$33,2,FALSE),'Schedule from TM'!I603),",",J602,"','",IF(OR(F602="x",F602=""),VLOOKUP('Schedule from TM'!G603,Tables!$U$3:$V$14,2,FALSE),'Schedule from TM'!F603),",",TEXT(G602,"mm/dd/yyyy"),"','",TEXT(H602,"h:mm:ss AM/PM"),"'].ub=0.0      #",B602)</f>
        <v xml:space="preserve">                x[team1,team2,sport,'21,Hillel - Gym Volleyball','22,11/19/2017','7:40:00 PM'].ub=0.0      #Junior B Male Volleyball</v>
      </c>
      <c r="AB602" s="301" t="str">
        <f t="shared" si="411"/>
        <v>,,Junior B Male Volleyball,Pool B,1,JR B M - PER</v>
      </c>
      <c r="AC602" s="153" t="str">
        <f t="shared" si="412"/>
        <v>Junior B Male VolleyballPool BJR B M - PER</v>
      </c>
      <c r="AD602" s="301" t="str">
        <f t="shared" si="413"/>
        <v>,,Junior B Male Volleyball,Pool B,1,JR B M - VEN 1</v>
      </c>
      <c r="AE602" s="153" t="str">
        <f t="shared" si="414"/>
        <v>Junior B Male VolleyballPool BJR B M - VEN 1</v>
      </c>
      <c r="AF602" s="383">
        <f t="shared" si="415"/>
        <v>1</v>
      </c>
      <c r="AG602" s="383">
        <f t="shared" si="416"/>
        <v>0</v>
      </c>
      <c r="AH602" s="383">
        <f t="shared" si="417"/>
        <v>0</v>
      </c>
      <c r="AI602" s="383">
        <f t="shared" si="418"/>
        <v>0</v>
      </c>
      <c r="AJ602" s="383">
        <f t="shared" si="419"/>
        <v>1</v>
      </c>
      <c r="AK602" s="383">
        <f t="shared" si="420"/>
        <v>0</v>
      </c>
      <c r="AM602" s="148" t="str">
        <f t="shared" si="421"/>
        <v>Schedulled</v>
      </c>
      <c r="AN602" s="148" t="str">
        <f t="shared" si="422"/>
        <v/>
      </c>
      <c r="AO602" s="156">
        <f t="shared" si="423"/>
        <v>43058.819444444445</v>
      </c>
      <c r="AP602" s="148" t="str">
        <f t="shared" si="424"/>
        <v>11/19/2017 19:40-&gt;Hillel - Gym Volleyball</v>
      </c>
      <c r="AQ602" s="374">
        <f t="shared" si="425"/>
        <v>1</v>
      </c>
      <c r="AR602" s="148" t="str">
        <f t="shared" si="426"/>
        <v>PER</v>
      </c>
      <c r="AS602" s="148" t="str">
        <f t="shared" si="427"/>
        <v>VEN1</v>
      </c>
      <c r="AT602" s="157" t="str">
        <f t="shared" si="428"/>
        <v>PER-VEN1</v>
      </c>
      <c r="AU602" s="157" t="str">
        <f t="shared" si="429"/>
        <v xml:space="preserve">PER-VEN1 </v>
      </c>
      <c r="AV602" s="157" t="str">
        <f t="shared" si="430"/>
        <v>JUNIORS B MALE</v>
      </c>
      <c r="AW602" s="157" t="str">
        <f t="shared" si="431"/>
        <v>Volleyball</v>
      </c>
      <c r="AX602" s="376">
        <f t="shared" si="432"/>
        <v>600</v>
      </c>
      <c r="AY602" s="148" t="str">
        <f t="shared" si="433"/>
        <v>JR B M - PER-&gt;JR B M - VEN 1</v>
      </c>
      <c r="AZ602" s="148" t="str">
        <f t="shared" si="434"/>
        <v>11/19/2017 19:40-&gt;JR B M - PER</v>
      </c>
      <c r="BA602" s="148" t="str">
        <f t="shared" si="435"/>
        <v>11/19/2017 19:40-&gt;JR B M - VEN 1</v>
      </c>
      <c r="BB602" s="374">
        <f t="shared" si="436"/>
        <v>1</v>
      </c>
      <c r="BC602" s="374">
        <f t="shared" si="437"/>
        <v>1</v>
      </c>
      <c r="BD602" s="148" t="str">
        <f t="shared" si="438"/>
        <v>no conflict</v>
      </c>
      <c r="BF602" s="148" t="str">
        <f t="shared" si="439"/>
        <v>11/19/2017 19:40-&gt;JR B M - PER</v>
      </c>
      <c r="BG602" s="148" t="str">
        <f t="shared" si="440"/>
        <v>11/19/2017 19:40-&gt;JR B M - VEN 1</v>
      </c>
      <c r="BH602" s="148" t="str">
        <f t="shared" si="441"/>
        <v>11/19/2017 19:40-&gt;Hillel - Gym Volleyball</v>
      </c>
      <c r="BI602" s="148" t="str">
        <f t="shared" si="442"/>
        <v>Volleyball in Hillel - Gym Volleyball (PER-VEN1)</v>
      </c>
      <c r="BJ602" s="148" t="str">
        <f t="shared" si="443"/>
        <v>Junior B Male Volleyball-- JR B M - PER vs. JR B M - VEN 1</v>
      </c>
      <c r="BK602" s="148" t="str">
        <f t="shared" si="444"/>
        <v>Volleyball</v>
      </c>
      <c r="BL602" s="148" t="str">
        <f t="shared" si="445"/>
        <v>JR B M - PER</v>
      </c>
      <c r="BM602" s="148" t="str">
        <f t="shared" si="446"/>
        <v>JR B M - VEN 1</v>
      </c>
      <c r="BN602" s="148" t="str">
        <f t="shared" si="447"/>
        <v>Round - 1</v>
      </c>
      <c r="BP602" s="148" t="str">
        <f t="shared" si="448"/>
        <v>no t, f, or sf</v>
      </c>
      <c r="BQ602" s="148" t="str">
        <f t="shared" si="449"/>
        <v/>
      </c>
    </row>
    <row r="603" spans="1:69" ht="15" customHeight="1" x14ac:dyDescent="0.2">
      <c r="A603" s="376">
        <v>601</v>
      </c>
      <c r="B603" s="121" t="s">
        <v>78</v>
      </c>
      <c r="C603" s="121" t="s">
        <v>518</v>
      </c>
      <c r="D603" s="382">
        <v>1</v>
      </c>
      <c r="E603" s="382">
        <v>1</v>
      </c>
      <c r="F603" s="315" t="s">
        <v>770</v>
      </c>
      <c r="G603" s="206">
        <v>43059</v>
      </c>
      <c r="H603" s="317">
        <v>0.71527777777777779</v>
      </c>
      <c r="I603" s="325" t="s">
        <v>770</v>
      </c>
      <c r="J603" s="121" t="s">
        <v>708</v>
      </c>
      <c r="K603" s="121">
        <v>62</v>
      </c>
      <c r="L603" t="s">
        <v>648</v>
      </c>
      <c r="M603">
        <v>62</v>
      </c>
      <c r="N603" t="s">
        <v>651</v>
      </c>
      <c r="O603" s="153" t="str">
        <f>IF(L603&lt;&gt;"",IFERROR(VLOOKUP(B603&amp;L603,Pools!$A$2:$D$130,3,FALSE),""),"")</f>
        <v>Pool B</v>
      </c>
      <c r="P603" s="388">
        <v>2</v>
      </c>
      <c r="Q603" s="388">
        <v>1</v>
      </c>
      <c r="R603" s="306" t="str">
        <f t="shared" si="405"/>
        <v>2-1</v>
      </c>
      <c r="S603" s="153"/>
      <c r="T603" s="148" t="str">
        <f t="shared" si="406"/>
        <v>Completed</v>
      </c>
      <c r="U603" s="153"/>
      <c r="V603" s="153"/>
      <c r="W603" s="387">
        <f t="shared" si="407"/>
        <v>1</v>
      </c>
      <c r="X603" s="387">
        <f t="shared" si="408"/>
        <v>-1</v>
      </c>
      <c r="Y603" s="301">
        <f t="shared" si="409"/>
        <v>2</v>
      </c>
      <c r="Z603" s="301">
        <f t="shared" si="410"/>
        <v>0</v>
      </c>
      <c r="AA603" s="323" t="str">
        <f>CONCATENATE("                x[team1,team2,sport,'",IF(OR(I603="x",I603=""),VLOOKUP('Schedule from TM'!J604,Tables!$P$3:$Q$33,2,FALSE),'Schedule from TM'!I604),",",J603,"','",IF(OR(F603="x",F603=""),VLOOKUP('Schedule from TM'!G604,Tables!$U$3:$V$14,2,FALSE),'Schedule from TM'!F604),",",TEXT(G603,"mm/dd/yyyy"),"','",TEXT(H603,"h:mm:ss AM/PM"),"'].ub=0.0      #",B603)</f>
        <v xml:space="preserve">                x[team1,team2,sport,'11,Hillel - Gym Volleyball','22,11/20/2017','5:10:00 PM'].ub=0.0      #Junior B Male Volleyball</v>
      </c>
      <c r="AB603" s="301" t="str">
        <f t="shared" si="411"/>
        <v>,,Junior B Male Volleyball,Pool B,1,JR B M - ARG 1</v>
      </c>
      <c r="AC603" s="153" t="str">
        <f t="shared" si="412"/>
        <v>Junior B Male VolleyballPool BJR B M - ARG 1</v>
      </c>
      <c r="AD603" s="301" t="str">
        <f t="shared" si="413"/>
        <v>,,Junior B Male Volleyball,Pool B,1,JR B M - ISR 1</v>
      </c>
      <c r="AE603" s="153" t="str">
        <f t="shared" si="414"/>
        <v>Junior B Male VolleyballPool BJR B M - ISR 1</v>
      </c>
      <c r="AF603" s="383">
        <f t="shared" si="415"/>
        <v>1</v>
      </c>
      <c r="AG603" s="383">
        <f t="shared" si="416"/>
        <v>0</v>
      </c>
      <c r="AH603" s="383">
        <f t="shared" si="417"/>
        <v>0</v>
      </c>
      <c r="AI603" s="383">
        <f t="shared" si="418"/>
        <v>0</v>
      </c>
      <c r="AJ603" s="383">
        <f t="shared" si="419"/>
        <v>1</v>
      </c>
      <c r="AK603" s="383">
        <f t="shared" si="420"/>
        <v>0</v>
      </c>
      <c r="AM603" s="148" t="str">
        <f t="shared" si="421"/>
        <v>Schedulled</v>
      </c>
      <c r="AN603" s="148" t="str">
        <f t="shared" si="422"/>
        <v/>
      </c>
      <c r="AO603" s="156">
        <f t="shared" si="423"/>
        <v>43059.715277777781</v>
      </c>
      <c r="AP603" s="148" t="str">
        <f t="shared" si="424"/>
        <v>11/20/2017 17:10-&gt;Hillel - Gym Volleyball</v>
      </c>
      <c r="AQ603" s="374">
        <f t="shared" si="425"/>
        <v>1</v>
      </c>
      <c r="AR603" s="148" t="str">
        <f t="shared" si="426"/>
        <v>ARG1</v>
      </c>
      <c r="AS603" s="148" t="str">
        <f t="shared" si="427"/>
        <v>ISR1</v>
      </c>
      <c r="AT603" s="157" t="str">
        <f t="shared" si="428"/>
        <v>ARG1-ISR1</v>
      </c>
      <c r="AU603" s="157" t="str">
        <f t="shared" si="429"/>
        <v xml:space="preserve">ARG1-ISR1 </v>
      </c>
      <c r="AV603" s="157" t="str">
        <f t="shared" si="430"/>
        <v>JUNIORS B MALE</v>
      </c>
      <c r="AW603" s="157" t="str">
        <f t="shared" si="431"/>
        <v>Volleyball</v>
      </c>
      <c r="AX603" s="376">
        <f t="shared" si="432"/>
        <v>601</v>
      </c>
      <c r="AY603" s="148" t="str">
        <f t="shared" si="433"/>
        <v>JR B M - ARG 1-&gt;JR B M - ISR 1</v>
      </c>
      <c r="AZ603" s="148" t="str">
        <f t="shared" si="434"/>
        <v>11/20/2017 17:10-&gt;JR B M - ARG 1</v>
      </c>
      <c r="BA603" s="148" t="str">
        <f t="shared" si="435"/>
        <v>11/20/2017 17:10-&gt;JR B M - ISR 1</v>
      </c>
      <c r="BB603" s="374">
        <f t="shared" si="436"/>
        <v>1</v>
      </c>
      <c r="BC603" s="374">
        <f t="shared" si="437"/>
        <v>1</v>
      </c>
      <c r="BD603" s="148" t="str">
        <f t="shared" si="438"/>
        <v>no conflict</v>
      </c>
      <c r="BF603" s="148" t="str">
        <f t="shared" si="439"/>
        <v>11/20/2017 17:10-&gt;JR B M - ARG 1</v>
      </c>
      <c r="BG603" s="148" t="str">
        <f t="shared" si="440"/>
        <v>11/20/2017 17:10-&gt;JR B M - ISR 1</v>
      </c>
      <c r="BH603" s="148" t="str">
        <f t="shared" si="441"/>
        <v>11/20/2017 17:10-&gt;Hillel - Gym Volleyball</v>
      </c>
      <c r="BI603" s="148" t="str">
        <f t="shared" si="442"/>
        <v>Volleyball in Hillel - Gym Volleyball (ARG1-ISR1)</v>
      </c>
      <c r="BJ603" s="148" t="str">
        <f t="shared" si="443"/>
        <v>Junior B Male Volleyball-- JR B M - ARG 1 vs. JR B M - ISR 1</v>
      </c>
      <c r="BK603" s="148" t="str">
        <f t="shared" si="444"/>
        <v>Volleyball</v>
      </c>
      <c r="BL603" s="148" t="str">
        <f t="shared" si="445"/>
        <v>JR B M - ARG 1</v>
      </c>
      <c r="BM603" s="148" t="str">
        <f t="shared" si="446"/>
        <v>JR B M - ISR 1</v>
      </c>
      <c r="BN603" s="148" t="str">
        <f t="shared" si="447"/>
        <v>Round - 1</v>
      </c>
      <c r="BP603" s="148" t="str">
        <f t="shared" si="448"/>
        <v>no t, f, or sf</v>
      </c>
      <c r="BQ603" s="148" t="str">
        <f t="shared" si="449"/>
        <v/>
      </c>
    </row>
    <row r="604" spans="1:69" ht="15" customHeight="1" x14ac:dyDescent="0.2">
      <c r="A604" s="376">
        <v>602</v>
      </c>
      <c r="B604" s="328" t="s">
        <v>78</v>
      </c>
      <c r="C604" s="444" t="s">
        <v>518</v>
      </c>
      <c r="D604" s="451">
        <v>1</v>
      </c>
      <c r="E604" s="451">
        <v>1</v>
      </c>
      <c r="F604" s="315" t="s">
        <v>770</v>
      </c>
      <c r="G604" s="445">
        <v>43059</v>
      </c>
      <c r="H604" s="317">
        <v>0.85416666666666663</v>
      </c>
      <c r="I604" s="325" t="s">
        <v>770</v>
      </c>
      <c r="J604" s="444" t="s">
        <v>697</v>
      </c>
      <c r="K604" s="444">
        <v>62</v>
      </c>
      <c r="L604" s="433" t="s">
        <v>650</v>
      </c>
      <c r="M604" s="433">
        <v>62</v>
      </c>
      <c r="N604" s="433" t="s">
        <v>654</v>
      </c>
      <c r="O604" s="153" t="str">
        <f>IF(L604&lt;&gt;"",IFERROR(VLOOKUP(B604&amp;L604,Pools!$A$2:$D$130,3,FALSE),""),"")</f>
        <v>Pool A</v>
      </c>
      <c r="P604" s="388">
        <v>2</v>
      </c>
      <c r="Q604" s="388">
        <v>1</v>
      </c>
      <c r="R604" s="306" t="str">
        <f t="shared" si="405"/>
        <v>2-1</v>
      </c>
      <c r="S604" s="153"/>
      <c r="T604" s="148" t="str">
        <f t="shared" si="406"/>
        <v>Completed</v>
      </c>
      <c r="U604" s="153"/>
      <c r="V604" s="153"/>
      <c r="W604" s="387">
        <f t="shared" si="407"/>
        <v>1</v>
      </c>
      <c r="X604" s="387">
        <f t="shared" si="408"/>
        <v>-1</v>
      </c>
      <c r="Y604" s="301">
        <f t="shared" si="409"/>
        <v>2</v>
      </c>
      <c r="Z604" s="301">
        <f t="shared" si="410"/>
        <v>0</v>
      </c>
      <c r="AA604" s="323" t="str">
        <f>CONCATENATE("                x[team1,team2,sport,'",IF(OR(I604="x",I604=""),VLOOKUP('Schedule from TM'!J605,Tables!$P$3:$Q$33,2,FALSE),'Schedule from TM'!I605),",",J604,"','",IF(OR(F604="x",F604=""),VLOOKUP('Schedule from TM'!G605,Tables!$U$3:$V$14,2,FALSE),'Schedule from TM'!F605),",",TEXT(G604,"mm/dd/yyyy"),"','",TEXT(H604,"h:mm:ss AM/PM"),"'].ub=0.0      #",B604)</f>
        <v xml:space="preserve">                x[team1,team2,sport,'11,JCC Gym South','22,11/20/2017','8:30:00 PM'].ub=0.0      #Junior B Male Volleyball</v>
      </c>
      <c r="AB604" s="301" t="str">
        <f t="shared" si="411"/>
        <v>,,Junior B Male Volleyball,Pool A,1,JR B M - COL 1</v>
      </c>
      <c r="AC604" s="153" t="str">
        <f t="shared" si="412"/>
        <v>Junior B Male VolleyballPool AJR B M - COL 1</v>
      </c>
      <c r="AD604" s="301" t="str">
        <f t="shared" si="413"/>
        <v>,,Junior B Male Volleyball,Pool A,1,JR B M - USA 1</v>
      </c>
      <c r="AE604" s="153" t="str">
        <f t="shared" si="414"/>
        <v>Junior B Male VolleyballPool AJR B M - USA 1</v>
      </c>
      <c r="AF604" s="383">
        <f t="shared" si="415"/>
        <v>1</v>
      </c>
      <c r="AG604" s="383">
        <f t="shared" si="416"/>
        <v>0</v>
      </c>
      <c r="AH604" s="383">
        <f t="shared" si="417"/>
        <v>0</v>
      </c>
      <c r="AI604" s="383">
        <f t="shared" si="418"/>
        <v>0</v>
      </c>
      <c r="AJ604" s="383">
        <f t="shared" si="419"/>
        <v>1</v>
      </c>
      <c r="AK604" s="383">
        <f t="shared" si="420"/>
        <v>0</v>
      </c>
      <c r="AM604" s="148" t="str">
        <f t="shared" si="421"/>
        <v>Schedulled</v>
      </c>
      <c r="AN604" s="148" t="str">
        <f t="shared" si="422"/>
        <v/>
      </c>
      <c r="AO604" s="156">
        <f t="shared" si="423"/>
        <v>43059.854166666664</v>
      </c>
      <c r="AP604" s="148" t="str">
        <f t="shared" si="424"/>
        <v>11/20/2017 20:30-&gt;JCC Gym South</v>
      </c>
      <c r="AQ604" s="374">
        <f t="shared" si="425"/>
        <v>1</v>
      </c>
      <c r="AR604" s="148" t="str">
        <f t="shared" si="426"/>
        <v>COL1</v>
      </c>
      <c r="AS604" s="148" t="str">
        <f t="shared" si="427"/>
        <v>USA1</v>
      </c>
      <c r="AT604" s="157" t="str">
        <f t="shared" si="428"/>
        <v>COL1-USA1</v>
      </c>
      <c r="AU604" s="157" t="str">
        <f t="shared" si="429"/>
        <v xml:space="preserve">COL1-USA1 </v>
      </c>
      <c r="AV604" s="157" t="str">
        <f t="shared" si="430"/>
        <v>JUNIORS B MALE</v>
      </c>
      <c r="AW604" s="157" t="str">
        <f t="shared" si="431"/>
        <v>Volleyball</v>
      </c>
      <c r="AX604" s="376">
        <f t="shared" si="432"/>
        <v>602</v>
      </c>
      <c r="AY604" s="148" t="str">
        <f t="shared" si="433"/>
        <v>JR B M - COL 1-&gt;JR B M - USA 1</v>
      </c>
      <c r="AZ604" s="148" t="str">
        <f t="shared" si="434"/>
        <v>11/20/2017 20:30-&gt;JR B M - COL 1</v>
      </c>
      <c r="BA604" s="148" t="str">
        <f t="shared" si="435"/>
        <v>11/20/2017 20:30-&gt;JR B M - USA 1</v>
      </c>
      <c r="BB604" s="374">
        <f t="shared" si="436"/>
        <v>1</v>
      </c>
      <c r="BC604" s="374">
        <f t="shared" si="437"/>
        <v>1</v>
      </c>
      <c r="BD604" s="148" t="str">
        <f t="shared" si="438"/>
        <v>no conflict</v>
      </c>
      <c r="BF604" s="148" t="str">
        <f t="shared" si="439"/>
        <v>11/20/2017 20:30-&gt;JR B M - COL 1</v>
      </c>
      <c r="BG604" s="148" t="str">
        <f t="shared" si="440"/>
        <v>11/20/2017 20:30-&gt;JR B M - USA 1</v>
      </c>
      <c r="BH604" s="148" t="str">
        <f t="shared" si="441"/>
        <v>11/20/2017 20:30-&gt;JCC Gym South</v>
      </c>
      <c r="BI604" s="148" t="str">
        <f t="shared" si="442"/>
        <v>Volleyball in JCC Gym South (COL1-USA1)</v>
      </c>
      <c r="BJ604" s="148" t="str">
        <f t="shared" si="443"/>
        <v>Junior B Male Volleyball-- JR B M - COL 1 vs. JR B M - USA 1</v>
      </c>
      <c r="BK604" s="148" t="str">
        <f t="shared" si="444"/>
        <v>Volleyball</v>
      </c>
      <c r="BL604" s="148" t="str">
        <f t="shared" si="445"/>
        <v>JR B M - COL 1</v>
      </c>
      <c r="BM604" s="148" t="str">
        <f t="shared" si="446"/>
        <v>JR B M - USA 1</v>
      </c>
      <c r="BN604" s="148" t="str">
        <f t="shared" si="447"/>
        <v>Round - 1</v>
      </c>
      <c r="BP604" s="148" t="str">
        <f t="shared" si="448"/>
        <v>no t, f, or sf</v>
      </c>
      <c r="BQ604" s="148" t="str">
        <f t="shared" si="449"/>
        <v/>
      </c>
    </row>
    <row r="605" spans="1:69" ht="15" customHeight="1" x14ac:dyDescent="0.2">
      <c r="A605" s="376">
        <v>603</v>
      </c>
      <c r="B605" s="441" t="s">
        <v>78</v>
      </c>
      <c r="C605" s="441" t="s">
        <v>518</v>
      </c>
      <c r="D605" s="450">
        <v>1</v>
      </c>
      <c r="E605" s="450">
        <v>1</v>
      </c>
      <c r="F605" s="315" t="s">
        <v>770</v>
      </c>
      <c r="G605" s="320">
        <v>43060</v>
      </c>
      <c r="H605" s="317">
        <v>0.68055555555555547</v>
      </c>
      <c r="I605" s="325" t="s">
        <v>770</v>
      </c>
      <c r="J605" s="441" t="s">
        <v>697</v>
      </c>
      <c r="K605" s="441">
        <v>62</v>
      </c>
      <c r="L605" t="s">
        <v>651</v>
      </c>
      <c r="M605">
        <v>62</v>
      </c>
      <c r="N605" t="s">
        <v>656</v>
      </c>
      <c r="O605" s="153" t="str">
        <f>IF(L605&lt;&gt;"",IFERROR(VLOOKUP(B605&amp;L605,Pools!$A$2:$D$130,3,FALSE),""),"")</f>
        <v>Pool B</v>
      </c>
      <c r="P605" s="388">
        <v>1</v>
      </c>
      <c r="Q605" s="388">
        <v>2</v>
      </c>
      <c r="R605" s="306" t="str">
        <f t="shared" si="405"/>
        <v>1-2</v>
      </c>
      <c r="S605" s="153"/>
      <c r="T605" s="148" t="str">
        <f t="shared" si="406"/>
        <v>Completed</v>
      </c>
      <c r="U605" s="153"/>
      <c r="V605" s="153"/>
      <c r="W605" s="387">
        <f t="shared" si="407"/>
        <v>-1</v>
      </c>
      <c r="X605" s="387">
        <f t="shared" si="408"/>
        <v>1</v>
      </c>
      <c r="Y605" s="301">
        <f t="shared" si="409"/>
        <v>0</v>
      </c>
      <c r="Z605" s="301">
        <f t="shared" si="410"/>
        <v>2</v>
      </c>
      <c r="AA605" s="323" t="str">
        <f>CONCATENATE("                x[team1,team2,sport,'",IF(OR(I605="x",I605=""),VLOOKUP('Schedule from TM'!J606,Tables!$P$3:$Q$33,2,FALSE),'Schedule from TM'!I606),",",J605,"','",IF(OR(F605="x",F605=""),VLOOKUP('Schedule from TM'!G606,Tables!$U$3:$V$14,2,FALSE),'Schedule from TM'!F606),",",TEXT(G605,"mm/dd/yyyy"),"','",TEXT(H605,"h:mm:ss AM/PM"),"'].ub=0.0      #",B605)</f>
        <v xml:space="preserve">                x[team1,team2,sport,'21,JCC Gym South','22,11/21/2017','4:20:00 PM'].ub=0.0      #Junior B Male Volleyball</v>
      </c>
      <c r="AB605" s="301" t="str">
        <f t="shared" si="411"/>
        <v>,,Junior B Male Volleyball,Pool B,1,JR B M - ISR 1</v>
      </c>
      <c r="AC605" s="153" t="str">
        <f t="shared" si="412"/>
        <v>Junior B Male VolleyballPool BJR B M - ISR 1</v>
      </c>
      <c r="AD605" s="301" t="str">
        <f t="shared" si="413"/>
        <v>,,Junior B Male Volleyball,Pool B,1,JR B M - VEN 1</v>
      </c>
      <c r="AE605" s="153" t="str">
        <f t="shared" si="414"/>
        <v>Junior B Male VolleyballPool BJR B M - VEN 1</v>
      </c>
      <c r="AF605" s="383">
        <f t="shared" si="415"/>
        <v>0</v>
      </c>
      <c r="AG605" s="383">
        <f t="shared" si="416"/>
        <v>1</v>
      </c>
      <c r="AH605" s="383">
        <f t="shared" si="417"/>
        <v>0</v>
      </c>
      <c r="AI605" s="383">
        <f t="shared" si="418"/>
        <v>1</v>
      </c>
      <c r="AJ605" s="383">
        <f t="shared" si="419"/>
        <v>0</v>
      </c>
      <c r="AK605" s="383">
        <f t="shared" si="420"/>
        <v>0</v>
      </c>
      <c r="AM605" s="148" t="str">
        <f t="shared" si="421"/>
        <v>Schedulled</v>
      </c>
      <c r="AN605" s="148" t="str">
        <f t="shared" si="422"/>
        <v/>
      </c>
      <c r="AO605" s="156">
        <f t="shared" si="423"/>
        <v>43060.680555555555</v>
      </c>
      <c r="AP605" s="148" t="str">
        <f t="shared" si="424"/>
        <v>11/21/2017 16:20-&gt;JCC Gym South</v>
      </c>
      <c r="AQ605" s="374">
        <f t="shared" si="425"/>
        <v>1</v>
      </c>
      <c r="AR605" s="148" t="str">
        <f t="shared" si="426"/>
        <v>ISR1</v>
      </c>
      <c r="AS605" s="148" t="str">
        <f t="shared" si="427"/>
        <v>VEN1</v>
      </c>
      <c r="AT605" s="157" t="str">
        <f t="shared" si="428"/>
        <v>ISR1-VEN1</v>
      </c>
      <c r="AU605" s="157" t="str">
        <f t="shared" si="429"/>
        <v xml:space="preserve">ISR1-VEN1 </v>
      </c>
      <c r="AV605" s="157" t="str">
        <f t="shared" si="430"/>
        <v>JUNIORS B MALE</v>
      </c>
      <c r="AW605" s="157" t="str">
        <f t="shared" si="431"/>
        <v>Volleyball</v>
      </c>
      <c r="AX605" s="376">
        <f t="shared" si="432"/>
        <v>603</v>
      </c>
      <c r="AY605" s="148" t="str">
        <f t="shared" si="433"/>
        <v>JR B M - ISR 1-&gt;JR B M - VEN 1</v>
      </c>
      <c r="AZ605" s="148" t="str">
        <f t="shared" si="434"/>
        <v>11/21/2017 16:20-&gt;JR B M - ISR 1</v>
      </c>
      <c r="BA605" s="148" t="str">
        <f t="shared" si="435"/>
        <v>11/21/2017 16:20-&gt;JR B M - VEN 1</v>
      </c>
      <c r="BB605" s="374">
        <f t="shared" si="436"/>
        <v>1</v>
      </c>
      <c r="BC605" s="374">
        <f t="shared" si="437"/>
        <v>1</v>
      </c>
      <c r="BD605" s="148" t="str">
        <f t="shared" si="438"/>
        <v>no conflict</v>
      </c>
      <c r="BF605" s="148" t="str">
        <f t="shared" si="439"/>
        <v>11/21/2017 16:20-&gt;JR B M - ISR 1</v>
      </c>
      <c r="BG605" s="148" t="str">
        <f t="shared" si="440"/>
        <v>11/21/2017 16:20-&gt;JR B M - VEN 1</v>
      </c>
      <c r="BH605" s="148" t="str">
        <f t="shared" si="441"/>
        <v>11/21/2017 16:20-&gt;JCC Gym South</v>
      </c>
      <c r="BI605" s="148" t="str">
        <f t="shared" si="442"/>
        <v>Volleyball in JCC Gym South (ISR1-VEN1)</v>
      </c>
      <c r="BJ605" s="148" t="str">
        <f t="shared" si="443"/>
        <v>Junior B Male Volleyball-- JR B M - ISR 1 vs. JR B M - VEN 1</v>
      </c>
      <c r="BK605" s="148" t="str">
        <f t="shared" si="444"/>
        <v>Volleyball</v>
      </c>
      <c r="BL605" s="148" t="str">
        <f t="shared" si="445"/>
        <v>JR B M - ISR 1</v>
      </c>
      <c r="BM605" s="148" t="str">
        <f t="shared" si="446"/>
        <v>JR B M - VEN 1</v>
      </c>
      <c r="BN605" s="148" t="str">
        <f t="shared" si="447"/>
        <v>Round - 1</v>
      </c>
      <c r="BP605" s="148" t="str">
        <f t="shared" si="448"/>
        <v>no t, f, or sf</v>
      </c>
      <c r="BQ605" s="148" t="str">
        <f t="shared" si="449"/>
        <v/>
      </c>
    </row>
    <row r="606" spans="1:69" ht="15" customHeight="1" x14ac:dyDescent="0.2">
      <c r="A606" s="376">
        <v>604</v>
      </c>
      <c r="B606" s="121" t="s">
        <v>78</v>
      </c>
      <c r="C606" s="121" t="s">
        <v>518</v>
      </c>
      <c r="D606" s="382">
        <v>1</v>
      </c>
      <c r="E606" s="382">
        <v>1</v>
      </c>
      <c r="F606" s="315" t="s">
        <v>770</v>
      </c>
      <c r="G606" s="206">
        <v>43061</v>
      </c>
      <c r="H606" s="317">
        <v>0.85416666666666663</v>
      </c>
      <c r="I606" s="325" t="s">
        <v>770</v>
      </c>
      <c r="J606" s="121" t="s">
        <v>708</v>
      </c>
      <c r="K606" s="121">
        <v>62</v>
      </c>
      <c r="L606" t="s">
        <v>654</v>
      </c>
      <c r="M606">
        <v>62</v>
      </c>
      <c r="N606" t="s">
        <v>655</v>
      </c>
      <c r="O606" s="153" t="str">
        <f>IF(L606&lt;&gt;"",IFERROR(VLOOKUP(B606&amp;L606,Pools!$A$2:$D$130,3,FALSE),""),"")</f>
        <v>Pool A</v>
      </c>
      <c r="P606" s="388">
        <v>0</v>
      </c>
      <c r="Q606" s="388">
        <v>2</v>
      </c>
      <c r="R606" s="306" t="str">
        <f t="shared" si="405"/>
        <v>0-2</v>
      </c>
      <c r="S606" s="153"/>
      <c r="T606" s="148" t="str">
        <f t="shared" si="406"/>
        <v>Completed</v>
      </c>
      <c r="U606" s="153"/>
      <c r="V606" s="153"/>
      <c r="W606" s="387">
        <f t="shared" si="407"/>
        <v>-2</v>
      </c>
      <c r="X606" s="387">
        <f t="shared" si="408"/>
        <v>2</v>
      </c>
      <c r="Y606" s="301">
        <f t="shared" si="409"/>
        <v>0</v>
      </c>
      <c r="Z606" s="301">
        <f t="shared" si="410"/>
        <v>2</v>
      </c>
      <c r="AA606" s="323" t="str">
        <f>CONCATENATE("                x[team1,team2,sport,'",IF(OR(I606="x",I606=""),VLOOKUP('Schedule from TM'!J607,Tables!$P$3:$Q$33,2,FALSE),'Schedule from TM'!I607),",",J606,"','",IF(OR(F606="x",F606=""),VLOOKUP('Schedule from TM'!G607,Tables!$U$3:$V$14,2,FALSE),'Schedule from TM'!F607),",",TEXT(G606,"mm/dd/yyyy"),"','",TEXT(H606,"h:mm:ss AM/PM"),"'].ub=0.0      #",B606)</f>
        <v xml:space="preserve">                x[team1,team2,sport,'11,Hillel - Gym Volleyball','11,11/22/2017','8:30:00 PM'].ub=0.0      #Junior B Male Volleyball</v>
      </c>
      <c r="AB606" s="301" t="str">
        <f t="shared" si="411"/>
        <v>,,Junior B Male Volleyball,Pool A,1,JR B M - USA 1</v>
      </c>
      <c r="AC606" s="153" t="str">
        <f t="shared" si="412"/>
        <v>Junior B Male VolleyballPool AJR B M - USA 1</v>
      </c>
      <c r="AD606" s="301" t="str">
        <f t="shared" si="413"/>
        <v>,,Junior B Male Volleyball,Pool A,1,JR B M - USA 2</v>
      </c>
      <c r="AE606" s="153" t="str">
        <f t="shared" si="414"/>
        <v>Junior B Male VolleyballPool AJR B M - USA 2</v>
      </c>
      <c r="AF606" s="383">
        <f t="shared" si="415"/>
        <v>0</v>
      </c>
      <c r="AG606" s="383">
        <f t="shared" si="416"/>
        <v>1</v>
      </c>
      <c r="AH606" s="383">
        <f t="shared" si="417"/>
        <v>0</v>
      </c>
      <c r="AI606" s="383">
        <f t="shared" si="418"/>
        <v>1</v>
      </c>
      <c r="AJ606" s="383">
        <f t="shared" si="419"/>
        <v>0</v>
      </c>
      <c r="AK606" s="383">
        <f t="shared" si="420"/>
        <v>0</v>
      </c>
      <c r="AM606" s="148" t="str">
        <f t="shared" si="421"/>
        <v>Schedulled</v>
      </c>
      <c r="AN606" s="148" t="str">
        <f t="shared" si="422"/>
        <v/>
      </c>
      <c r="AO606" s="156">
        <f t="shared" si="423"/>
        <v>43061.854166666664</v>
      </c>
      <c r="AP606" s="148" t="str">
        <f t="shared" si="424"/>
        <v>11/22/2017 20:30-&gt;Hillel - Gym Volleyball</v>
      </c>
      <c r="AQ606" s="374">
        <f t="shared" si="425"/>
        <v>1</v>
      </c>
      <c r="AR606" s="148" t="str">
        <f t="shared" si="426"/>
        <v>USA1</v>
      </c>
      <c r="AS606" s="148" t="str">
        <f t="shared" si="427"/>
        <v>USA2</v>
      </c>
      <c r="AT606" s="157" t="str">
        <f t="shared" si="428"/>
        <v>USA1-USA2</v>
      </c>
      <c r="AU606" s="157" t="str">
        <f t="shared" si="429"/>
        <v xml:space="preserve">USA1-USA2 </v>
      </c>
      <c r="AV606" s="157" t="str">
        <f t="shared" si="430"/>
        <v>JUNIORS B MALE</v>
      </c>
      <c r="AW606" s="157" t="str">
        <f t="shared" si="431"/>
        <v>Volleyball</v>
      </c>
      <c r="AX606" s="376">
        <f t="shared" si="432"/>
        <v>604</v>
      </c>
      <c r="AY606" s="148" t="str">
        <f t="shared" si="433"/>
        <v>JR B M - USA 1-&gt;JR B M - USA 2</v>
      </c>
      <c r="AZ606" s="148" t="str">
        <f t="shared" si="434"/>
        <v>11/22/2017 20:30-&gt;JR B M - USA 1</v>
      </c>
      <c r="BA606" s="148" t="str">
        <f t="shared" si="435"/>
        <v>11/22/2017 20:30-&gt;JR B M - USA 2</v>
      </c>
      <c r="BB606" s="374">
        <f t="shared" si="436"/>
        <v>1</v>
      </c>
      <c r="BC606" s="374">
        <f t="shared" si="437"/>
        <v>1</v>
      </c>
      <c r="BD606" s="148" t="str">
        <f t="shared" si="438"/>
        <v>no conflict</v>
      </c>
      <c r="BF606" s="148" t="str">
        <f t="shared" si="439"/>
        <v>11/22/2017 20:30-&gt;JR B M - USA 1</v>
      </c>
      <c r="BG606" s="148" t="str">
        <f t="shared" si="440"/>
        <v>11/22/2017 20:30-&gt;JR B M - USA 2</v>
      </c>
      <c r="BH606" s="148" t="str">
        <f t="shared" si="441"/>
        <v>11/22/2017 20:30-&gt;Hillel - Gym Volleyball</v>
      </c>
      <c r="BI606" s="148" t="str">
        <f t="shared" si="442"/>
        <v>Volleyball in Hillel - Gym Volleyball (USA1-USA2)</v>
      </c>
      <c r="BJ606" s="148" t="str">
        <f t="shared" si="443"/>
        <v>Junior B Male Volleyball-- JR B M - USA 1 vs. JR B M - USA 2</v>
      </c>
      <c r="BK606" s="148" t="str">
        <f t="shared" si="444"/>
        <v>Volleyball</v>
      </c>
      <c r="BL606" s="148" t="str">
        <f t="shared" si="445"/>
        <v>JR B M - USA 1</v>
      </c>
      <c r="BM606" s="148" t="str">
        <f t="shared" si="446"/>
        <v>JR B M - USA 2</v>
      </c>
      <c r="BN606" s="148" t="str">
        <f t="shared" si="447"/>
        <v>Round - 1</v>
      </c>
      <c r="BP606" s="148" t="str">
        <f t="shared" si="448"/>
        <v>no t, f, or sf</v>
      </c>
      <c r="BQ606" s="148" t="str">
        <f t="shared" si="449"/>
        <v/>
      </c>
    </row>
    <row r="607" spans="1:69" ht="15" customHeight="1" x14ac:dyDescent="0.2">
      <c r="A607" s="376">
        <v>605</v>
      </c>
      <c r="B607" s="328" t="s">
        <v>78</v>
      </c>
      <c r="C607" s="315" t="s">
        <v>518</v>
      </c>
      <c r="D607" s="378">
        <v>1</v>
      </c>
      <c r="E607" s="378">
        <v>1</v>
      </c>
      <c r="F607" s="315" t="s">
        <v>770</v>
      </c>
      <c r="G607" s="316">
        <v>43062</v>
      </c>
      <c r="H607" s="317">
        <v>0.54166666666666663</v>
      </c>
      <c r="I607" s="325" t="s">
        <v>770</v>
      </c>
      <c r="J607" s="315" t="s">
        <v>697</v>
      </c>
      <c r="K607" s="315">
        <v>62</v>
      </c>
      <c r="L607" t="s">
        <v>650</v>
      </c>
      <c r="M607">
        <v>62</v>
      </c>
      <c r="N607" t="s">
        <v>655</v>
      </c>
      <c r="O607" s="153" t="str">
        <f>IF(L607&lt;&gt;"",IFERROR(VLOOKUP(B607&amp;L607,Pools!$A$2:$D$130,3,FALSE),""),"")</f>
        <v>Pool A</v>
      </c>
      <c r="P607" s="388">
        <v>2</v>
      </c>
      <c r="Q607" s="388">
        <v>0</v>
      </c>
      <c r="R607" s="306" t="str">
        <f t="shared" si="405"/>
        <v>2-0</v>
      </c>
      <c r="S607" s="153"/>
      <c r="T607" s="148" t="str">
        <f t="shared" si="406"/>
        <v>Completed</v>
      </c>
      <c r="U607" s="153"/>
      <c r="V607" s="153"/>
      <c r="W607" s="387">
        <f t="shared" si="407"/>
        <v>2</v>
      </c>
      <c r="X607" s="387">
        <f t="shared" si="408"/>
        <v>-2</v>
      </c>
      <c r="Y607" s="301">
        <f t="shared" si="409"/>
        <v>2</v>
      </c>
      <c r="Z607" s="301">
        <f t="shared" si="410"/>
        <v>0</v>
      </c>
      <c r="AA607" s="323" t="str">
        <f>CONCATENATE("                x[team1,team2,sport,'",IF(OR(I607="x",I607=""),VLOOKUP('Schedule from TM'!J608,Tables!$P$3:$Q$33,2,FALSE),'Schedule from TM'!I608),",",J607,"','",IF(OR(F607="x",F607=""),VLOOKUP('Schedule from TM'!G608,Tables!$U$3:$V$14,2,FALSE),'Schedule from TM'!F608),",",TEXT(G607,"mm/dd/yyyy"),"','",TEXT(H607,"h:mm:ss AM/PM"),"'].ub=0.0      #",B607)</f>
        <v xml:space="preserve">                x[team1,team2,sport,'21,JCC Gym South','11,11/23/2017','1:00:00 PM'].ub=0.0      #Junior B Male Volleyball</v>
      </c>
      <c r="AB607" s="301" t="str">
        <f t="shared" si="411"/>
        <v>,,Junior B Male Volleyball,Pool A,1,JR B M - COL 1</v>
      </c>
      <c r="AC607" s="153" t="str">
        <f t="shared" si="412"/>
        <v>Junior B Male VolleyballPool AJR B M - COL 1</v>
      </c>
      <c r="AD607" s="301" t="str">
        <f t="shared" si="413"/>
        <v>,,Junior B Male Volleyball,Pool A,1,JR B M - USA 2</v>
      </c>
      <c r="AE607" s="153" t="str">
        <f t="shared" si="414"/>
        <v>Junior B Male VolleyballPool AJR B M - USA 2</v>
      </c>
      <c r="AF607" s="383">
        <f t="shared" si="415"/>
        <v>1</v>
      </c>
      <c r="AG607" s="383">
        <f t="shared" si="416"/>
        <v>0</v>
      </c>
      <c r="AH607" s="383">
        <f t="shared" si="417"/>
        <v>0</v>
      </c>
      <c r="AI607" s="383">
        <f t="shared" si="418"/>
        <v>0</v>
      </c>
      <c r="AJ607" s="383">
        <f t="shared" si="419"/>
        <v>1</v>
      </c>
      <c r="AK607" s="383">
        <f t="shared" si="420"/>
        <v>0</v>
      </c>
      <c r="AM607" s="148" t="str">
        <f t="shared" si="421"/>
        <v>Schedulled</v>
      </c>
      <c r="AN607" s="148" t="str">
        <f t="shared" si="422"/>
        <v/>
      </c>
      <c r="AO607" s="156">
        <f t="shared" si="423"/>
        <v>43062.541666666664</v>
      </c>
      <c r="AP607" s="148" t="str">
        <f t="shared" si="424"/>
        <v>11/23/2017 13:00-&gt;JCC Gym South</v>
      </c>
      <c r="AQ607" s="374">
        <f t="shared" si="425"/>
        <v>1</v>
      </c>
      <c r="AR607" s="148" t="str">
        <f t="shared" si="426"/>
        <v>COL1</v>
      </c>
      <c r="AS607" s="148" t="str">
        <f t="shared" si="427"/>
        <v>USA2</v>
      </c>
      <c r="AT607" s="157" t="str">
        <f t="shared" si="428"/>
        <v>COL1-USA2</v>
      </c>
      <c r="AU607" s="157" t="str">
        <f t="shared" si="429"/>
        <v xml:space="preserve">COL1-USA2 </v>
      </c>
      <c r="AV607" s="157" t="str">
        <f t="shared" si="430"/>
        <v>JUNIORS B MALE</v>
      </c>
      <c r="AW607" s="157" t="str">
        <f t="shared" si="431"/>
        <v>Volleyball</v>
      </c>
      <c r="AX607" s="376">
        <f t="shared" si="432"/>
        <v>605</v>
      </c>
      <c r="AY607" s="148" t="str">
        <f t="shared" si="433"/>
        <v>JR B M - COL 1-&gt;JR B M - USA 2</v>
      </c>
      <c r="AZ607" s="148" t="str">
        <f t="shared" si="434"/>
        <v>11/23/2017 13:00-&gt;JR B M - COL 1</v>
      </c>
      <c r="BA607" s="148" t="str">
        <f t="shared" si="435"/>
        <v>11/23/2017 13:00-&gt;JR B M - USA 2</v>
      </c>
      <c r="BB607" s="374">
        <f t="shared" si="436"/>
        <v>1</v>
      </c>
      <c r="BC607" s="374">
        <f t="shared" si="437"/>
        <v>1</v>
      </c>
      <c r="BD607" s="148" t="str">
        <f t="shared" si="438"/>
        <v>no conflict</v>
      </c>
      <c r="BF607" s="148" t="str">
        <f t="shared" si="439"/>
        <v>11/23/2017 13:00-&gt;JR B M - COL 1</v>
      </c>
      <c r="BG607" s="148" t="str">
        <f t="shared" si="440"/>
        <v>11/23/2017 13:00-&gt;JR B M - USA 2</v>
      </c>
      <c r="BH607" s="148" t="str">
        <f t="shared" si="441"/>
        <v>11/23/2017 13:00-&gt;JCC Gym South</v>
      </c>
      <c r="BI607" s="148" t="str">
        <f t="shared" si="442"/>
        <v>Volleyball in JCC Gym South (COL1-USA2)</v>
      </c>
      <c r="BJ607" s="148" t="str">
        <f t="shared" si="443"/>
        <v>Junior B Male Volleyball-- JR B M - COL 1 vs. JR B M - USA 2</v>
      </c>
      <c r="BK607" s="148" t="str">
        <f t="shared" si="444"/>
        <v>Volleyball</v>
      </c>
      <c r="BL607" s="148" t="str">
        <f t="shared" si="445"/>
        <v>JR B M - COL 1</v>
      </c>
      <c r="BM607" s="148" t="str">
        <f t="shared" si="446"/>
        <v>JR B M - USA 2</v>
      </c>
      <c r="BN607" s="148" t="str">
        <f t="shared" si="447"/>
        <v>Round - 1</v>
      </c>
      <c r="BP607" s="148" t="str">
        <f t="shared" si="448"/>
        <v>no t, f, or sf</v>
      </c>
      <c r="BQ607" s="148" t="str">
        <f t="shared" si="449"/>
        <v/>
      </c>
    </row>
    <row r="608" spans="1:69" ht="15" customHeight="1" x14ac:dyDescent="0.2">
      <c r="A608" s="376">
        <v>606</v>
      </c>
      <c r="B608" s="441" t="s">
        <v>68</v>
      </c>
      <c r="C608" s="441" t="s">
        <v>518</v>
      </c>
      <c r="D608" s="450">
        <v>1</v>
      </c>
      <c r="E608" s="450">
        <v>1</v>
      </c>
      <c r="F608" s="315" t="s">
        <v>770</v>
      </c>
      <c r="G608" s="320">
        <v>43058</v>
      </c>
      <c r="H608" s="317">
        <v>0.40277777777777773</v>
      </c>
      <c r="I608" s="325" t="s">
        <v>770</v>
      </c>
      <c r="J608" s="441" t="s">
        <v>707</v>
      </c>
      <c r="K608" s="441">
        <v>63</v>
      </c>
      <c r="L608" t="s">
        <v>660</v>
      </c>
      <c r="M608">
        <v>63</v>
      </c>
      <c r="N608" t="s">
        <v>776</v>
      </c>
      <c r="O608" s="153" t="str">
        <f>IF(L608&lt;&gt;"",IFERROR(VLOOKUP(B608&amp;L608,Pools!$A$2:$D$130,3,FALSE),""),"")</f>
        <v/>
      </c>
      <c r="P608" s="388">
        <v>32</v>
      </c>
      <c r="Q608" s="388">
        <v>19</v>
      </c>
      <c r="R608" s="306" t="str">
        <f t="shared" si="405"/>
        <v>32-19</v>
      </c>
      <c r="S608" s="153"/>
      <c r="T608" s="148" t="str">
        <f t="shared" si="406"/>
        <v>Completed</v>
      </c>
      <c r="U608" s="153"/>
      <c r="V608" s="153"/>
      <c r="W608" s="387">
        <f t="shared" si="407"/>
        <v>13</v>
      </c>
      <c r="X608" s="387">
        <f t="shared" si="408"/>
        <v>-13</v>
      </c>
      <c r="Y608" s="301">
        <f t="shared" si="409"/>
        <v>2</v>
      </c>
      <c r="Z608" s="301">
        <f t="shared" si="410"/>
        <v>0</v>
      </c>
      <c r="AA608" s="323" t="str">
        <f>CONCATENATE("                x[team1,team2,sport,'",IF(OR(I608="x",I608=""),VLOOKUP('Schedule from TM'!J609,Tables!$P$3:$Q$33,2,FALSE),'Schedule from TM'!I609),",",J608,"','",IF(OR(F608="x",F608=""),VLOOKUP('Schedule from TM'!G609,Tables!$U$3:$V$14,2,FALSE),'Schedule from TM'!F609),",",TEXT(G608,"mm/dd/yyyy"),"','",TEXT(H608,"h:mm:ss AM/PM"),"'].ub=0.0      #",B608)</f>
        <v xml:space="preserve">                x[team1,team2,sport,'11,Hillel - Gym Basketball','11,11/19/2017','9:40:00 AM'].ub=0.0      #Junior Female Basketball</v>
      </c>
      <c r="AB608" s="301" t="str">
        <f t="shared" si="411"/>
        <v>,,Junior Female Basketball,,1,JR F - COL 2</v>
      </c>
      <c r="AC608" s="153" t="str">
        <f t="shared" si="412"/>
        <v>Junior Female BasketballJR F - COL 2</v>
      </c>
      <c r="AD608" s="301" t="str">
        <f t="shared" si="413"/>
        <v>,,Junior Female Basketball,,1,JR F - USA 3</v>
      </c>
      <c r="AE608" s="153" t="str">
        <f t="shared" si="414"/>
        <v>Junior Female BasketballJR F - USA 3</v>
      </c>
      <c r="AF608" s="383">
        <f t="shared" si="415"/>
        <v>1</v>
      </c>
      <c r="AG608" s="383">
        <f t="shared" si="416"/>
        <v>0</v>
      </c>
      <c r="AH608" s="383">
        <f t="shared" si="417"/>
        <v>0</v>
      </c>
      <c r="AI608" s="383">
        <f t="shared" si="418"/>
        <v>0</v>
      </c>
      <c r="AJ608" s="383">
        <f t="shared" si="419"/>
        <v>1</v>
      </c>
      <c r="AK608" s="383">
        <f t="shared" si="420"/>
        <v>0</v>
      </c>
      <c r="AM608" s="148" t="str">
        <f t="shared" si="421"/>
        <v>Schedulled</v>
      </c>
      <c r="AN608" s="148" t="str">
        <f t="shared" si="422"/>
        <v/>
      </c>
      <c r="AO608" s="156">
        <f t="shared" si="423"/>
        <v>43058.402777777781</v>
      </c>
      <c r="AP608" s="148" t="str">
        <f t="shared" si="424"/>
        <v>11/19/2017 09:40-&gt;Hillel - Gym Basketball</v>
      </c>
      <c r="AQ608" s="374">
        <f t="shared" si="425"/>
        <v>1</v>
      </c>
      <c r="AR608" s="148" t="str">
        <f t="shared" si="426"/>
        <v>COL2</v>
      </c>
      <c r="AS608" s="148" t="str">
        <f t="shared" si="427"/>
        <v>USA3</v>
      </c>
      <c r="AT608" s="157" t="str">
        <f t="shared" si="428"/>
        <v>COL2-USA3</v>
      </c>
      <c r="AU608" s="157" t="str">
        <f t="shared" si="429"/>
        <v xml:space="preserve">COL2-USA3 </v>
      </c>
      <c r="AV608" s="157" t="str">
        <f t="shared" si="430"/>
        <v>JUNIORS FEMALE</v>
      </c>
      <c r="AW608" s="157" t="str">
        <f t="shared" si="431"/>
        <v>Basketball</v>
      </c>
      <c r="AX608" s="376">
        <f t="shared" si="432"/>
        <v>606</v>
      </c>
      <c r="AY608" s="148" t="str">
        <f t="shared" si="433"/>
        <v>JR F - COL 2-&gt;JR F - USA 3</v>
      </c>
      <c r="AZ608" s="148" t="str">
        <f t="shared" si="434"/>
        <v>11/19/2017 09:40-&gt;JR F - COL 2</v>
      </c>
      <c r="BA608" s="148" t="str">
        <f t="shared" si="435"/>
        <v>11/19/2017 09:40-&gt;JR F - USA 3</v>
      </c>
      <c r="BB608" s="374">
        <f t="shared" si="436"/>
        <v>1</v>
      </c>
      <c r="BC608" s="374">
        <f t="shared" si="437"/>
        <v>1</v>
      </c>
      <c r="BD608" s="148" t="str">
        <f t="shared" si="438"/>
        <v>no conflict</v>
      </c>
      <c r="BF608" s="148" t="str">
        <f t="shared" si="439"/>
        <v>11/19/2017 09:40-&gt;JR F - COL 2</v>
      </c>
      <c r="BG608" s="148" t="str">
        <f t="shared" si="440"/>
        <v>11/19/2017 09:40-&gt;JR F - USA 3</v>
      </c>
      <c r="BH608" s="148" t="str">
        <f t="shared" si="441"/>
        <v>11/19/2017 09:40-&gt;Hillel - Gym Basketball</v>
      </c>
      <c r="BI608" s="148" t="str">
        <f t="shared" si="442"/>
        <v>Basketball in Hillel - Gym Basketball (COL2-USA3)</v>
      </c>
      <c r="BJ608" s="148" t="str">
        <f t="shared" si="443"/>
        <v>Junior Female Basketball-- JR F - COL 2 vs. JR F - USA 3</v>
      </c>
      <c r="BK608" s="148" t="str">
        <f t="shared" si="444"/>
        <v>Basketball</v>
      </c>
      <c r="BL608" s="148" t="str">
        <f t="shared" si="445"/>
        <v>JR F - COL 2</v>
      </c>
      <c r="BM608" s="148" t="str">
        <f t="shared" si="446"/>
        <v>JR F - USA 3</v>
      </c>
      <c r="BN608" s="148" t="str">
        <f t="shared" si="447"/>
        <v>Round - 1</v>
      </c>
      <c r="BP608" s="148" t="str">
        <f t="shared" si="448"/>
        <v>no t, f, or sf</v>
      </c>
      <c r="BQ608" s="148" t="str">
        <f t="shared" si="449"/>
        <v/>
      </c>
    </row>
    <row r="609" spans="1:69" ht="15" customHeight="1" x14ac:dyDescent="0.2">
      <c r="A609" s="376">
        <v>607</v>
      </c>
      <c r="B609" s="443" t="s">
        <v>68</v>
      </c>
      <c r="C609" s="315" t="s">
        <v>518</v>
      </c>
      <c r="D609" s="378">
        <v>1</v>
      </c>
      <c r="E609" s="378">
        <v>1</v>
      </c>
      <c r="F609" s="315" t="s">
        <v>770</v>
      </c>
      <c r="G609" s="316">
        <v>43058</v>
      </c>
      <c r="H609" s="317">
        <v>0.4375</v>
      </c>
      <c r="I609" s="325" t="s">
        <v>770</v>
      </c>
      <c r="J609" s="315" t="s">
        <v>696</v>
      </c>
      <c r="K609" s="315">
        <v>63</v>
      </c>
      <c r="L609" t="s">
        <v>659</v>
      </c>
      <c r="M609">
        <v>63</v>
      </c>
      <c r="N609" t="s">
        <v>667</v>
      </c>
      <c r="O609" s="153" t="str">
        <f>IF(L609&lt;&gt;"",IFERROR(VLOOKUP(B609&amp;L609,Pools!$A$2:$D$130,3,FALSE),""),"")</f>
        <v/>
      </c>
      <c r="P609" s="388">
        <v>13</v>
      </c>
      <c r="Q609" s="388">
        <v>35</v>
      </c>
      <c r="R609" s="306" t="str">
        <f t="shared" si="405"/>
        <v>13-35</v>
      </c>
      <c r="S609" s="153"/>
      <c r="T609" s="148" t="str">
        <f t="shared" si="406"/>
        <v>Completed</v>
      </c>
      <c r="U609" s="153"/>
      <c r="V609" s="153"/>
      <c r="W609" s="387">
        <f t="shared" si="407"/>
        <v>-15</v>
      </c>
      <c r="X609" s="387">
        <f t="shared" si="408"/>
        <v>15</v>
      </c>
      <c r="Y609" s="301">
        <f t="shared" si="409"/>
        <v>0</v>
      </c>
      <c r="Z609" s="301">
        <f t="shared" si="410"/>
        <v>2</v>
      </c>
      <c r="AA609" s="323" t="str">
        <f>CONCATENATE("                x[team1,team2,sport,'",IF(OR(I609="x",I609=""),VLOOKUP('Schedule from TM'!J610,Tables!$P$3:$Q$33,2,FALSE),'Schedule from TM'!I610),",",J609,"','",IF(OR(F609="x",F609=""),VLOOKUP('Schedule from TM'!G610,Tables!$U$3:$V$14,2,FALSE),'Schedule from TM'!F610),",",TEXT(G609,"mm/dd/yyyy"),"','",TEXT(H609,"h:mm:ss AM/PM"),"'].ub=0.0      #",B609)</f>
        <v xml:space="preserve">                x[team1,team2,sport,'21,JCC Gym North','11,11/19/2017','10:30:00 AM'].ub=0.0      #Junior Female Basketball</v>
      </c>
      <c r="AB609" s="301" t="str">
        <f t="shared" si="411"/>
        <v>,,Junior Female Basketball,,1,JR F - ARG 1</v>
      </c>
      <c r="AC609" s="153" t="str">
        <f t="shared" si="412"/>
        <v>Junior Female BasketballJR F - ARG 1</v>
      </c>
      <c r="AD609" s="301" t="str">
        <f t="shared" si="413"/>
        <v>,,Junior Female Basketball,,1,JR F - USA 2</v>
      </c>
      <c r="AE609" s="153" t="str">
        <f t="shared" si="414"/>
        <v>Junior Female BasketballJR F - USA 2</v>
      </c>
      <c r="AF609" s="383">
        <f t="shared" si="415"/>
        <v>0</v>
      </c>
      <c r="AG609" s="383">
        <f t="shared" si="416"/>
        <v>1</v>
      </c>
      <c r="AH609" s="383">
        <f t="shared" si="417"/>
        <v>0</v>
      </c>
      <c r="AI609" s="383">
        <f t="shared" si="418"/>
        <v>1</v>
      </c>
      <c r="AJ609" s="383">
        <f t="shared" si="419"/>
        <v>0</v>
      </c>
      <c r="AK609" s="383">
        <f t="shared" si="420"/>
        <v>0</v>
      </c>
      <c r="AM609" s="148" t="str">
        <f t="shared" si="421"/>
        <v>Schedulled</v>
      </c>
      <c r="AN609" s="148" t="str">
        <f t="shared" si="422"/>
        <v/>
      </c>
      <c r="AO609" s="156">
        <f t="shared" si="423"/>
        <v>43058.4375</v>
      </c>
      <c r="AP609" s="148" t="str">
        <f t="shared" si="424"/>
        <v>11/19/2017 10:30-&gt;JCC Gym North</v>
      </c>
      <c r="AQ609" s="374">
        <f t="shared" si="425"/>
        <v>1</v>
      </c>
      <c r="AR609" s="148" t="str">
        <f t="shared" si="426"/>
        <v>ARG1</v>
      </c>
      <c r="AS609" s="148" t="str">
        <f t="shared" si="427"/>
        <v>USA2</v>
      </c>
      <c r="AT609" s="157" t="str">
        <f t="shared" si="428"/>
        <v>ARG1-USA2</v>
      </c>
      <c r="AU609" s="157" t="str">
        <f t="shared" si="429"/>
        <v xml:space="preserve">ARG1-USA2 </v>
      </c>
      <c r="AV609" s="157" t="str">
        <f t="shared" si="430"/>
        <v>JUNIORS FEMALE</v>
      </c>
      <c r="AW609" s="157" t="str">
        <f t="shared" si="431"/>
        <v>Basketball</v>
      </c>
      <c r="AX609" s="376">
        <f t="shared" si="432"/>
        <v>607</v>
      </c>
      <c r="AY609" s="148" t="str">
        <f t="shared" si="433"/>
        <v>JR F - ARG 1-&gt;JR F - USA 2</v>
      </c>
      <c r="AZ609" s="148" t="str">
        <f t="shared" si="434"/>
        <v>11/19/2017 10:30-&gt;JR F - ARG 1</v>
      </c>
      <c r="BA609" s="148" t="str">
        <f t="shared" si="435"/>
        <v>11/19/2017 10:30-&gt;JR F - USA 2</v>
      </c>
      <c r="BB609" s="374">
        <f t="shared" si="436"/>
        <v>1</v>
      </c>
      <c r="BC609" s="374">
        <f t="shared" si="437"/>
        <v>1</v>
      </c>
      <c r="BD609" s="148" t="str">
        <f t="shared" si="438"/>
        <v>no conflict</v>
      </c>
      <c r="BF609" s="148" t="str">
        <f t="shared" si="439"/>
        <v>11/19/2017 10:30-&gt;JR F - ARG 1</v>
      </c>
      <c r="BG609" s="148" t="str">
        <f t="shared" si="440"/>
        <v>11/19/2017 10:30-&gt;JR F - USA 2</v>
      </c>
      <c r="BH609" s="148" t="str">
        <f t="shared" si="441"/>
        <v>11/19/2017 10:30-&gt;JCC Gym North</v>
      </c>
      <c r="BI609" s="148" t="str">
        <f t="shared" si="442"/>
        <v>Basketball in JCC Gym North (ARG1-USA2)</v>
      </c>
      <c r="BJ609" s="148" t="str">
        <f t="shared" si="443"/>
        <v>Junior Female Basketball-- JR F - ARG 1 vs. JR F - USA 2</v>
      </c>
      <c r="BK609" s="148" t="str">
        <f t="shared" si="444"/>
        <v>Basketball</v>
      </c>
      <c r="BL609" s="148" t="str">
        <f t="shared" si="445"/>
        <v>JR F - ARG 1</v>
      </c>
      <c r="BM609" s="148" t="str">
        <f t="shared" si="446"/>
        <v>JR F - USA 2</v>
      </c>
      <c r="BN609" s="148" t="str">
        <f t="shared" si="447"/>
        <v>Round - 1</v>
      </c>
      <c r="BP609" s="148" t="str">
        <f t="shared" si="448"/>
        <v>no t, f, or sf</v>
      </c>
      <c r="BQ609" s="148" t="str">
        <f t="shared" si="449"/>
        <v/>
      </c>
    </row>
    <row r="610" spans="1:69" ht="15" customHeight="1" x14ac:dyDescent="0.2">
      <c r="A610" s="376">
        <v>608</v>
      </c>
      <c r="B610" s="121" t="s">
        <v>68</v>
      </c>
      <c r="C610" s="121" t="s">
        <v>518</v>
      </c>
      <c r="D610" s="382">
        <v>1</v>
      </c>
      <c r="E610" s="382">
        <v>1</v>
      </c>
      <c r="F610" s="315" t="s">
        <v>770</v>
      </c>
      <c r="G610" s="206">
        <v>43058</v>
      </c>
      <c r="H610" s="317">
        <v>0.61111111111111105</v>
      </c>
      <c r="I610" s="325" t="s">
        <v>770</v>
      </c>
      <c r="J610" s="121" t="s">
        <v>707</v>
      </c>
      <c r="K610" s="121">
        <v>63</v>
      </c>
      <c r="L610" t="s">
        <v>661</v>
      </c>
      <c r="M610">
        <v>63</v>
      </c>
      <c r="N610" t="s">
        <v>667</v>
      </c>
      <c r="O610" s="153" t="str">
        <f>IF(L610&lt;&gt;"",IFERROR(VLOOKUP(B610&amp;L610,Pools!$A$2:$D$130,3,FALSE),""),"")</f>
        <v/>
      </c>
      <c r="P610" s="388">
        <v>25</v>
      </c>
      <c r="Q610" s="388">
        <v>28</v>
      </c>
      <c r="R610" s="306" t="str">
        <f t="shared" si="405"/>
        <v>25-28</v>
      </c>
      <c r="S610" s="153"/>
      <c r="T610" s="148" t="str">
        <f t="shared" si="406"/>
        <v>Completed</v>
      </c>
      <c r="U610" s="153"/>
      <c r="V610" s="153"/>
      <c r="W610" s="387">
        <f t="shared" si="407"/>
        <v>-3</v>
      </c>
      <c r="X610" s="387">
        <f t="shared" si="408"/>
        <v>3</v>
      </c>
      <c r="Y610" s="301">
        <f t="shared" si="409"/>
        <v>0</v>
      </c>
      <c r="Z610" s="301">
        <f t="shared" si="410"/>
        <v>2</v>
      </c>
      <c r="AA610" s="323" t="str">
        <f>CONCATENATE("                x[team1,team2,sport,'",IF(OR(I610="x",I610=""),VLOOKUP('Schedule from TM'!J611,Tables!$P$3:$Q$33,2,FALSE),'Schedule from TM'!I611),",",J610,"','",IF(OR(F610="x",F610=""),VLOOKUP('Schedule from TM'!G611,Tables!$U$3:$V$14,2,FALSE),'Schedule from TM'!F611),",",TEXT(G610,"mm/dd/yyyy"),"','",TEXT(H610,"h:mm:ss AM/PM"),"'].ub=0.0      #",B610)</f>
        <v xml:space="preserve">                x[team1,team2,sport,'21,Hillel - Gym Basketball','11,11/19/2017','2:40:00 PM'].ub=0.0      #Junior Female Basketball</v>
      </c>
      <c r="AB610" s="301" t="str">
        <f t="shared" si="411"/>
        <v>,,Junior Female Basketball,,1,JR F - ISR 1</v>
      </c>
      <c r="AC610" s="153" t="str">
        <f t="shared" si="412"/>
        <v>Junior Female BasketballJR F - ISR 1</v>
      </c>
      <c r="AD610" s="301" t="str">
        <f t="shared" si="413"/>
        <v>,,Junior Female Basketball,,1,JR F - USA 2</v>
      </c>
      <c r="AE610" s="153" t="str">
        <f t="shared" si="414"/>
        <v>Junior Female BasketballJR F - USA 2</v>
      </c>
      <c r="AF610" s="383">
        <f t="shared" si="415"/>
        <v>0</v>
      </c>
      <c r="AG610" s="383">
        <f t="shared" si="416"/>
        <v>1</v>
      </c>
      <c r="AH610" s="383">
        <f t="shared" si="417"/>
        <v>0</v>
      </c>
      <c r="AI610" s="383">
        <f t="shared" si="418"/>
        <v>1</v>
      </c>
      <c r="AJ610" s="383">
        <f t="shared" si="419"/>
        <v>0</v>
      </c>
      <c r="AK610" s="383">
        <f t="shared" si="420"/>
        <v>0</v>
      </c>
      <c r="AM610" s="148" t="str">
        <f t="shared" si="421"/>
        <v>Schedulled</v>
      </c>
      <c r="AN610" s="148" t="str">
        <f t="shared" si="422"/>
        <v/>
      </c>
      <c r="AO610" s="156">
        <f t="shared" si="423"/>
        <v>43058.611111111109</v>
      </c>
      <c r="AP610" s="148" t="str">
        <f t="shared" si="424"/>
        <v>11/19/2017 14:40-&gt;Hillel - Gym Basketball</v>
      </c>
      <c r="AQ610" s="374">
        <f t="shared" si="425"/>
        <v>1</v>
      </c>
      <c r="AR610" s="148" t="str">
        <f t="shared" si="426"/>
        <v>ISR1</v>
      </c>
      <c r="AS610" s="148" t="str">
        <f t="shared" si="427"/>
        <v>USA2</v>
      </c>
      <c r="AT610" s="157" t="str">
        <f t="shared" si="428"/>
        <v>ISR1-USA2</v>
      </c>
      <c r="AU610" s="157" t="str">
        <f t="shared" si="429"/>
        <v xml:space="preserve">ISR1-USA2 </v>
      </c>
      <c r="AV610" s="157" t="str">
        <f t="shared" si="430"/>
        <v>JUNIORS FEMALE</v>
      </c>
      <c r="AW610" s="157" t="str">
        <f t="shared" si="431"/>
        <v>Basketball</v>
      </c>
      <c r="AX610" s="376">
        <f t="shared" si="432"/>
        <v>608</v>
      </c>
      <c r="AY610" s="148" t="str">
        <f t="shared" si="433"/>
        <v>JR F - ISR 1-&gt;JR F - USA 2</v>
      </c>
      <c r="AZ610" s="148" t="str">
        <f t="shared" si="434"/>
        <v>11/19/2017 14:40-&gt;JR F - ISR 1</v>
      </c>
      <c r="BA610" s="148" t="str">
        <f t="shared" si="435"/>
        <v>11/19/2017 14:40-&gt;JR F - USA 2</v>
      </c>
      <c r="BB610" s="374">
        <f t="shared" si="436"/>
        <v>1</v>
      </c>
      <c r="BC610" s="374">
        <f t="shared" si="437"/>
        <v>1</v>
      </c>
      <c r="BD610" s="148" t="str">
        <f t="shared" si="438"/>
        <v>no conflict</v>
      </c>
      <c r="BF610" s="148" t="str">
        <f t="shared" si="439"/>
        <v>11/19/2017 14:40-&gt;JR F - ISR 1</v>
      </c>
      <c r="BG610" s="148" t="str">
        <f t="shared" si="440"/>
        <v>11/19/2017 14:40-&gt;JR F - USA 2</v>
      </c>
      <c r="BH610" s="148" t="str">
        <f t="shared" si="441"/>
        <v>11/19/2017 14:40-&gt;Hillel - Gym Basketball</v>
      </c>
      <c r="BI610" s="148" t="str">
        <f t="shared" si="442"/>
        <v>Basketball in Hillel - Gym Basketball (ISR1-USA2)</v>
      </c>
      <c r="BJ610" s="148" t="str">
        <f t="shared" si="443"/>
        <v>Junior Female Basketball-- JR F - ISR 1 vs. JR F - USA 2</v>
      </c>
      <c r="BK610" s="148" t="str">
        <f t="shared" si="444"/>
        <v>Basketball</v>
      </c>
      <c r="BL610" s="148" t="str">
        <f t="shared" si="445"/>
        <v>JR F - ISR 1</v>
      </c>
      <c r="BM610" s="148" t="str">
        <f t="shared" si="446"/>
        <v>JR F - USA 2</v>
      </c>
      <c r="BN610" s="148" t="str">
        <f t="shared" si="447"/>
        <v>Round - 1</v>
      </c>
      <c r="BP610" s="148" t="str">
        <f t="shared" si="448"/>
        <v>no t, f, or sf</v>
      </c>
      <c r="BQ610" s="148" t="str">
        <f t="shared" si="449"/>
        <v/>
      </c>
    </row>
    <row r="611" spans="1:69" ht="15" customHeight="1" x14ac:dyDescent="0.2">
      <c r="A611" s="376">
        <v>609</v>
      </c>
      <c r="B611" s="121" t="s">
        <v>68</v>
      </c>
      <c r="C611" s="121" t="s">
        <v>518</v>
      </c>
      <c r="D611" s="382">
        <v>1</v>
      </c>
      <c r="E611" s="382">
        <v>1</v>
      </c>
      <c r="F611" s="315" t="s">
        <v>770</v>
      </c>
      <c r="G611" s="206">
        <v>43058</v>
      </c>
      <c r="H611" s="318">
        <v>0.78472222222222221</v>
      </c>
      <c r="I611" s="325" t="s">
        <v>770</v>
      </c>
      <c r="J611" s="121" t="s">
        <v>707</v>
      </c>
      <c r="K611" s="121">
        <v>63</v>
      </c>
      <c r="L611" s="433" t="s">
        <v>660</v>
      </c>
      <c r="M611" s="433">
        <v>63</v>
      </c>
      <c r="N611" s="433" t="s">
        <v>668</v>
      </c>
      <c r="O611" s="153" t="str">
        <f>IF(L611&lt;&gt;"",IFERROR(VLOOKUP(B611&amp;L611,Pools!$A$2:$D$130,3,FALSE),""),"")</f>
        <v/>
      </c>
      <c r="P611" s="388">
        <v>19</v>
      </c>
      <c r="Q611" s="388">
        <v>10</v>
      </c>
      <c r="R611" s="306" t="str">
        <f t="shared" si="405"/>
        <v>19-10</v>
      </c>
      <c r="S611" s="153"/>
      <c r="T611" s="148" t="str">
        <f t="shared" si="406"/>
        <v>Completed</v>
      </c>
      <c r="U611" s="153"/>
      <c r="V611" s="153"/>
      <c r="W611" s="387">
        <f t="shared" si="407"/>
        <v>9</v>
      </c>
      <c r="X611" s="387">
        <f t="shared" si="408"/>
        <v>-9</v>
      </c>
      <c r="Y611" s="301">
        <f t="shared" si="409"/>
        <v>2</v>
      </c>
      <c r="Z611" s="301">
        <f t="shared" si="410"/>
        <v>0</v>
      </c>
      <c r="AA611" s="323" t="str">
        <f>CONCATENATE("                x[team1,team2,sport,'",IF(OR(I611="x",I611=""),VLOOKUP('Schedule from TM'!J612,Tables!$P$3:$Q$33,2,FALSE),'Schedule from TM'!I612),",",J611,"','",IF(OR(F611="x",F611=""),VLOOKUP('Schedule from TM'!G612,Tables!$U$3:$V$14,2,FALSE),'Schedule from TM'!F612),",",TEXT(G611,"mm/dd/yyyy"),"','",TEXT(H611,"h:mm:ss AM/PM"),"'].ub=0.0      #",B611)</f>
        <v xml:space="preserve">                x[team1,team2,sport,'11,Hillel - Gym Basketball','22,11/19/2017','6:50:00 PM'].ub=0.0      #Junior Female Basketball</v>
      </c>
      <c r="AB611" s="301" t="str">
        <f t="shared" si="411"/>
        <v>,,Junior Female Basketball,,1,JR F - COL 2</v>
      </c>
      <c r="AC611" s="153" t="str">
        <f t="shared" si="412"/>
        <v>Junior Female BasketballJR F - COL 2</v>
      </c>
      <c r="AD611" s="301" t="str">
        <f t="shared" si="413"/>
        <v>,,Junior Female Basketball,,1,JR F - VEN 1</v>
      </c>
      <c r="AE611" s="153" t="str">
        <f t="shared" si="414"/>
        <v>Junior Female BasketballJR F - VEN 1</v>
      </c>
      <c r="AF611" s="383">
        <f t="shared" si="415"/>
        <v>1</v>
      </c>
      <c r="AG611" s="383">
        <f t="shared" si="416"/>
        <v>0</v>
      </c>
      <c r="AH611" s="383">
        <f t="shared" si="417"/>
        <v>0</v>
      </c>
      <c r="AI611" s="383">
        <f t="shared" si="418"/>
        <v>0</v>
      </c>
      <c r="AJ611" s="383">
        <f t="shared" si="419"/>
        <v>1</v>
      </c>
      <c r="AK611" s="383">
        <f t="shared" si="420"/>
        <v>0</v>
      </c>
      <c r="AM611" s="148" t="str">
        <f t="shared" si="421"/>
        <v>Schedulled</v>
      </c>
      <c r="AN611" s="148" t="str">
        <f t="shared" si="422"/>
        <v/>
      </c>
      <c r="AO611" s="156">
        <f t="shared" si="423"/>
        <v>43058.784722222219</v>
      </c>
      <c r="AP611" s="148" t="str">
        <f t="shared" si="424"/>
        <v>11/19/2017 18:50-&gt;Hillel - Gym Basketball</v>
      </c>
      <c r="AQ611" s="374">
        <f t="shared" si="425"/>
        <v>1</v>
      </c>
      <c r="AR611" s="148" t="str">
        <f t="shared" si="426"/>
        <v>COL2</v>
      </c>
      <c r="AS611" s="148" t="str">
        <f t="shared" si="427"/>
        <v>VEN1</v>
      </c>
      <c r="AT611" s="157" t="str">
        <f t="shared" si="428"/>
        <v>COL2-VEN1</v>
      </c>
      <c r="AU611" s="157" t="str">
        <f t="shared" si="429"/>
        <v xml:space="preserve">COL2-VEN1 </v>
      </c>
      <c r="AV611" s="157" t="str">
        <f t="shared" si="430"/>
        <v>JUNIORS FEMALE</v>
      </c>
      <c r="AW611" s="157" t="str">
        <f t="shared" si="431"/>
        <v>Basketball</v>
      </c>
      <c r="AX611" s="376">
        <f t="shared" si="432"/>
        <v>609</v>
      </c>
      <c r="AY611" s="148" t="str">
        <f t="shared" si="433"/>
        <v>JR F - COL 2-&gt;JR F - VEN 1</v>
      </c>
      <c r="AZ611" s="148" t="str">
        <f t="shared" si="434"/>
        <v>11/19/2017 18:50-&gt;JR F - COL 2</v>
      </c>
      <c r="BA611" s="148" t="str">
        <f t="shared" si="435"/>
        <v>11/19/2017 18:50-&gt;JR F - VEN 1</v>
      </c>
      <c r="BB611" s="374">
        <f t="shared" si="436"/>
        <v>1</v>
      </c>
      <c r="BC611" s="374">
        <f t="shared" si="437"/>
        <v>1</v>
      </c>
      <c r="BD611" s="148" t="str">
        <f t="shared" si="438"/>
        <v>no conflict</v>
      </c>
      <c r="BF611" s="148" t="str">
        <f t="shared" si="439"/>
        <v>11/19/2017 18:50-&gt;JR F - COL 2</v>
      </c>
      <c r="BG611" s="148" t="str">
        <f t="shared" si="440"/>
        <v>11/19/2017 18:50-&gt;JR F - VEN 1</v>
      </c>
      <c r="BH611" s="148" t="str">
        <f t="shared" si="441"/>
        <v>11/19/2017 18:50-&gt;Hillel - Gym Basketball</v>
      </c>
      <c r="BI611" s="148" t="str">
        <f t="shared" si="442"/>
        <v>Basketball in Hillel - Gym Basketball (COL2-VEN1)</v>
      </c>
      <c r="BJ611" s="148" t="str">
        <f t="shared" si="443"/>
        <v>Junior Female Basketball-- JR F - COL 2 vs. JR F - VEN 1</v>
      </c>
      <c r="BK611" s="148" t="str">
        <f t="shared" si="444"/>
        <v>Basketball</v>
      </c>
      <c r="BL611" s="148" t="str">
        <f t="shared" si="445"/>
        <v>JR F - COL 2</v>
      </c>
      <c r="BM611" s="148" t="str">
        <f t="shared" si="446"/>
        <v>JR F - VEN 1</v>
      </c>
      <c r="BN611" s="148" t="str">
        <f t="shared" si="447"/>
        <v>Round - 1</v>
      </c>
      <c r="BP611" s="148" t="str">
        <f t="shared" si="448"/>
        <v>no t, f, or sf</v>
      </c>
      <c r="BQ611" s="148" t="str">
        <f t="shared" si="449"/>
        <v/>
      </c>
    </row>
    <row r="612" spans="1:69" ht="15" customHeight="1" x14ac:dyDescent="0.2">
      <c r="A612" s="376">
        <v>610</v>
      </c>
      <c r="B612" s="121" t="s">
        <v>68</v>
      </c>
      <c r="C612" s="121" t="s">
        <v>518</v>
      </c>
      <c r="D612" s="382">
        <v>1</v>
      </c>
      <c r="E612" s="382">
        <v>1</v>
      </c>
      <c r="F612" s="315" t="s">
        <v>770</v>
      </c>
      <c r="G612" s="206">
        <v>43059</v>
      </c>
      <c r="H612" s="317">
        <v>0.68055555555555547</v>
      </c>
      <c r="I612" s="325" t="s">
        <v>770</v>
      </c>
      <c r="J612" s="121" t="s">
        <v>696</v>
      </c>
      <c r="K612" s="121">
        <v>63</v>
      </c>
      <c r="L612" s="433" t="s">
        <v>664</v>
      </c>
      <c r="M612" s="433">
        <v>63</v>
      </c>
      <c r="N612" s="433" t="s">
        <v>776</v>
      </c>
      <c r="O612" s="153" t="str">
        <f>IF(L612&lt;&gt;"",IFERROR(VLOOKUP(B612&amp;L612,Pools!$A$2:$D$130,3,FALSE),""),"")</f>
        <v/>
      </c>
      <c r="P612" s="388">
        <v>28</v>
      </c>
      <c r="Q612" s="388">
        <v>4</v>
      </c>
      <c r="R612" s="306" t="str">
        <f t="shared" si="405"/>
        <v>28-4</v>
      </c>
      <c r="S612" s="153"/>
      <c r="T612" s="148" t="str">
        <f t="shared" si="406"/>
        <v>Completed</v>
      </c>
      <c r="U612" s="153"/>
      <c r="V612" s="153"/>
      <c r="W612" s="387">
        <f t="shared" si="407"/>
        <v>15</v>
      </c>
      <c r="X612" s="387">
        <f t="shared" si="408"/>
        <v>-15</v>
      </c>
      <c r="Y612" s="301">
        <f t="shared" si="409"/>
        <v>2</v>
      </c>
      <c r="Z612" s="301">
        <f t="shared" si="410"/>
        <v>0</v>
      </c>
      <c r="AA612" s="323" t="str">
        <f>CONCATENATE("                x[team1,team2,sport,'",IF(OR(I612="x",I612=""),VLOOKUP('Schedule from TM'!J613,Tables!$P$3:$Q$33,2,FALSE),'Schedule from TM'!I613),",",J612,"','",IF(OR(F612="x",F612=""),VLOOKUP('Schedule from TM'!G613,Tables!$U$3:$V$14,2,FALSE),'Schedule from TM'!F613),",",TEXT(G612,"mm/dd/yyyy"),"','",TEXT(H612,"h:mm:ss AM/PM"),"'].ub=0.0      #",B612)</f>
        <v xml:space="preserve">                x[team1,team2,sport,'21,JCC Gym North','11,11/20/2017','4:20:00 PM'].ub=0.0      #Junior Female Basketball</v>
      </c>
      <c r="AB612" s="301" t="str">
        <f t="shared" si="411"/>
        <v>,,Junior Female Basketball,,1,JR F - PER</v>
      </c>
      <c r="AC612" s="153" t="str">
        <f t="shared" si="412"/>
        <v>Junior Female BasketballJR F - PER</v>
      </c>
      <c r="AD612" s="301" t="str">
        <f t="shared" si="413"/>
        <v>,,Junior Female Basketball,,1,JR F - USA 3</v>
      </c>
      <c r="AE612" s="153" t="str">
        <f t="shared" si="414"/>
        <v>Junior Female BasketballJR F - USA 3</v>
      </c>
      <c r="AF612" s="383">
        <f t="shared" si="415"/>
        <v>1</v>
      </c>
      <c r="AG612" s="383">
        <f t="shared" si="416"/>
        <v>0</v>
      </c>
      <c r="AH612" s="383">
        <f t="shared" si="417"/>
        <v>0</v>
      </c>
      <c r="AI612" s="383">
        <f t="shared" si="418"/>
        <v>0</v>
      </c>
      <c r="AJ612" s="383">
        <f t="shared" si="419"/>
        <v>1</v>
      </c>
      <c r="AK612" s="383">
        <f t="shared" si="420"/>
        <v>0</v>
      </c>
      <c r="AM612" s="148" t="str">
        <f t="shared" si="421"/>
        <v>Schedulled</v>
      </c>
      <c r="AN612" s="148" t="str">
        <f t="shared" si="422"/>
        <v/>
      </c>
      <c r="AO612" s="156">
        <f t="shared" si="423"/>
        <v>43059.680555555555</v>
      </c>
      <c r="AP612" s="148" t="str">
        <f t="shared" si="424"/>
        <v>11/20/2017 16:20-&gt;JCC Gym North</v>
      </c>
      <c r="AQ612" s="374">
        <f t="shared" si="425"/>
        <v>1</v>
      </c>
      <c r="AR612" s="148" t="str">
        <f t="shared" si="426"/>
        <v>PER</v>
      </c>
      <c r="AS612" s="148" t="str">
        <f t="shared" si="427"/>
        <v>USA3</v>
      </c>
      <c r="AT612" s="157" t="str">
        <f t="shared" si="428"/>
        <v>PER-USA3</v>
      </c>
      <c r="AU612" s="157" t="str">
        <f t="shared" si="429"/>
        <v xml:space="preserve">PER-USA3 </v>
      </c>
      <c r="AV612" s="157" t="str">
        <f t="shared" si="430"/>
        <v>JUNIORS FEMALE</v>
      </c>
      <c r="AW612" s="157" t="str">
        <f t="shared" si="431"/>
        <v>Basketball</v>
      </c>
      <c r="AX612" s="376">
        <f t="shared" si="432"/>
        <v>610</v>
      </c>
      <c r="AY612" s="148" t="str">
        <f t="shared" si="433"/>
        <v>JR F - PER-&gt;JR F - USA 3</v>
      </c>
      <c r="AZ612" s="148" t="str">
        <f t="shared" si="434"/>
        <v>11/20/2017 16:20-&gt;JR F - PER</v>
      </c>
      <c r="BA612" s="148" t="str">
        <f t="shared" si="435"/>
        <v>11/20/2017 16:20-&gt;JR F - USA 3</v>
      </c>
      <c r="BB612" s="374">
        <f t="shared" si="436"/>
        <v>1</v>
      </c>
      <c r="BC612" s="374">
        <f t="shared" si="437"/>
        <v>1</v>
      </c>
      <c r="BD612" s="148" t="str">
        <f t="shared" si="438"/>
        <v>no conflict</v>
      </c>
      <c r="BF612" s="148" t="str">
        <f t="shared" si="439"/>
        <v>11/20/2017 16:20-&gt;JR F - PER</v>
      </c>
      <c r="BG612" s="148" t="str">
        <f t="shared" si="440"/>
        <v>11/20/2017 16:20-&gt;JR F - USA 3</v>
      </c>
      <c r="BH612" s="148" t="str">
        <f t="shared" si="441"/>
        <v>11/20/2017 16:20-&gt;JCC Gym North</v>
      </c>
      <c r="BI612" s="148" t="str">
        <f t="shared" si="442"/>
        <v>Basketball in JCC Gym North (PER-USA3)</v>
      </c>
      <c r="BJ612" s="148" t="str">
        <f t="shared" si="443"/>
        <v>Junior Female Basketball-- JR F - PER vs. JR F - USA 3</v>
      </c>
      <c r="BK612" s="148" t="str">
        <f t="shared" si="444"/>
        <v>Basketball</v>
      </c>
      <c r="BL612" s="148" t="str">
        <f t="shared" si="445"/>
        <v>JR F - PER</v>
      </c>
      <c r="BM612" s="148" t="str">
        <f t="shared" si="446"/>
        <v>JR F - USA 3</v>
      </c>
      <c r="BN612" s="148" t="str">
        <f t="shared" si="447"/>
        <v>Round - 1</v>
      </c>
      <c r="BP612" s="148" t="str">
        <f t="shared" si="448"/>
        <v>no t, f, or sf</v>
      </c>
      <c r="BQ612" s="148" t="str">
        <f t="shared" si="449"/>
        <v/>
      </c>
    </row>
    <row r="613" spans="1:69" ht="15" customHeight="1" x14ac:dyDescent="0.2">
      <c r="A613" s="376">
        <v>611</v>
      </c>
      <c r="B613" s="433" t="s">
        <v>68</v>
      </c>
      <c r="C613" s="315" t="s">
        <v>518</v>
      </c>
      <c r="D613" s="378">
        <v>1</v>
      </c>
      <c r="E613" s="378">
        <v>1</v>
      </c>
      <c r="F613" s="315" t="s">
        <v>770</v>
      </c>
      <c r="G613" s="316">
        <v>43058</v>
      </c>
      <c r="H613" s="317">
        <v>0.4375</v>
      </c>
      <c r="I613" s="325" t="s">
        <v>770</v>
      </c>
      <c r="J613" s="121" t="s">
        <v>707</v>
      </c>
      <c r="K613" s="444">
        <v>63</v>
      </c>
      <c r="L613" s="433" t="s">
        <v>669</v>
      </c>
      <c r="M613" s="433">
        <v>63</v>
      </c>
      <c r="N613" s="433" t="s">
        <v>665</v>
      </c>
      <c r="O613" s="153" t="str">
        <f>IF(L613&lt;&gt;"",IFERROR(VLOOKUP(B613&amp;L613,Pools!$A$2:$D$130,3,FALSE),""),"")</f>
        <v/>
      </c>
      <c r="P613" s="388">
        <v>2</v>
      </c>
      <c r="Q613" s="388">
        <v>18</v>
      </c>
      <c r="R613" s="306" t="str">
        <f t="shared" si="405"/>
        <v>2-18</v>
      </c>
      <c r="S613" s="153"/>
      <c r="T613" s="148" t="str">
        <f t="shared" si="406"/>
        <v>Completed</v>
      </c>
      <c r="U613" s="153"/>
      <c r="V613" s="153"/>
      <c r="W613" s="387">
        <f t="shared" si="407"/>
        <v>-15</v>
      </c>
      <c r="X613" s="387">
        <f t="shared" si="408"/>
        <v>15</v>
      </c>
      <c r="Y613" s="301">
        <f t="shared" si="409"/>
        <v>0</v>
      </c>
      <c r="Z613" s="301">
        <f t="shared" si="410"/>
        <v>2</v>
      </c>
      <c r="AA613" s="323" t="str">
        <f>CONCATENATE("                x[team1,team2,sport,'",IF(OR(I613="x",I613=""),VLOOKUP('Schedule from TM'!J614,Tables!$P$3:$Q$33,2,FALSE),'Schedule from TM'!I614),",",J613,"','",IF(OR(F613="x",F613=""),VLOOKUP('Schedule from TM'!G614,Tables!$U$3:$V$14,2,FALSE),'Schedule from TM'!F614),",",TEXT(G613,"mm/dd/yyyy"),"','",TEXT(H613,"h:mm:ss AM/PM"),"'].ub=0.0      #",B613)</f>
        <v xml:space="preserve">                x[team1,team2,sport,'21,Hillel - Gym Basketball','22,11/19/2017','10:30:00 AM'].ub=0.0      #Junior Female Basketball</v>
      </c>
      <c r="AB613" s="301" t="str">
        <f t="shared" si="411"/>
        <v>,,Junior Female Basketball,,1,JR F - VEN 2</v>
      </c>
      <c r="AC613" s="153" t="str">
        <f t="shared" si="412"/>
        <v>Junior Female BasketballJR F - VEN 2</v>
      </c>
      <c r="AD613" s="301" t="str">
        <f t="shared" si="413"/>
        <v>,,Junior Female Basketball,,1,JR F - USA 1</v>
      </c>
      <c r="AE613" s="153" t="str">
        <f t="shared" si="414"/>
        <v>Junior Female BasketballJR F - USA 1</v>
      </c>
      <c r="AF613" s="383">
        <f t="shared" si="415"/>
        <v>0</v>
      </c>
      <c r="AG613" s="383">
        <f t="shared" si="416"/>
        <v>1</v>
      </c>
      <c r="AH613" s="383">
        <f t="shared" si="417"/>
        <v>0</v>
      </c>
      <c r="AI613" s="383">
        <f t="shared" si="418"/>
        <v>1</v>
      </c>
      <c r="AJ613" s="383">
        <f t="shared" si="419"/>
        <v>0</v>
      </c>
      <c r="AK613" s="383">
        <f t="shared" si="420"/>
        <v>0</v>
      </c>
      <c r="AM613" s="148" t="str">
        <f t="shared" si="421"/>
        <v>Schedulled</v>
      </c>
      <c r="AN613" s="148" t="str">
        <f t="shared" si="422"/>
        <v/>
      </c>
      <c r="AO613" s="156">
        <f t="shared" si="423"/>
        <v>43058.4375</v>
      </c>
      <c r="AP613" s="148" t="str">
        <f t="shared" si="424"/>
        <v>11/19/2017 10:30-&gt;Hillel - Gym Basketball</v>
      </c>
      <c r="AQ613" s="374">
        <f t="shared" si="425"/>
        <v>1</v>
      </c>
      <c r="AR613" s="148" t="str">
        <f t="shared" si="426"/>
        <v>VEN2</v>
      </c>
      <c r="AS613" s="148" t="str">
        <f t="shared" si="427"/>
        <v>USA1</v>
      </c>
      <c r="AT613" s="157" t="str">
        <f t="shared" si="428"/>
        <v>VEN2-USA1</v>
      </c>
      <c r="AU613" s="157" t="str">
        <f t="shared" si="429"/>
        <v xml:space="preserve">VEN2-USA1 </v>
      </c>
      <c r="AV613" s="157" t="str">
        <f t="shared" si="430"/>
        <v>JUNIORS FEMALE</v>
      </c>
      <c r="AW613" s="157" t="str">
        <f t="shared" si="431"/>
        <v>Basketball</v>
      </c>
      <c r="AX613" s="376">
        <f t="shared" si="432"/>
        <v>611</v>
      </c>
      <c r="AY613" s="148" t="str">
        <f t="shared" si="433"/>
        <v>JR F - VEN 2-&gt;JR F - USA 1</v>
      </c>
      <c r="AZ613" s="148" t="str">
        <f t="shared" si="434"/>
        <v>11/19/2017 10:30-&gt;JR F - VEN 2</v>
      </c>
      <c r="BA613" s="148" t="str">
        <f t="shared" si="435"/>
        <v>11/19/2017 10:30-&gt;JR F - USA 1</v>
      </c>
      <c r="BB613" s="374">
        <f t="shared" si="436"/>
        <v>1</v>
      </c>
      <c r="BC613" s="374">
        <f t="shared" si="437"/>
        <v>1</v>
      </c>
      <c r="BD613" s="148" t="str">
        <f t="shared" si="438"/>
        <v>no conflict</v>
      </c>
      <c r="BF613" s="148" t="str">
        <f t="shared" si="439"/>
        <v>11/19/2017 10:30-&gt;JR F - VEN 2</v>
      </c>
      <c r="BG613" s="148" t="str">
        <f t="shared" si="440"/>
        <v>11/19/2017 10:30-&gt;JR F - USA 1</v>
      </c>
      <c r="BH613" s="148" t="str">
        <f t="shared" si="441"/>
        <v>11/19/2017 10:30-&gt;Hillel - Gym Basketball</v>
      </c>
      <c r="BI613" s="148" t="str">
        <f t="shared" si="442"/>
        <v>Basketball in Hillel - Gym Basketball (VEN2-USA1)</v>
      </c>
      <c r="BJ613" s="148" t="str">
        <f t="shared" si="443"/>
        <v>Junior Female Basketball-- JR F - VEN 2 vs. JR F - USA 1</v>
      </c>
      <c r="BK613" s="148" t="str">
        <f t="shared" si="444"/>
        <v>Basketball</v>
      </c>
      <c r="BL613" s="148" t="str">
        <f t="shared" si="445"/>
        <v>JR F - VEN 2</v>
      </c>
      <c r="BM613" s="148" t="str">
        <f t="shared" si="446"/>
        <v>JR F - USA 1</v>
      </c>
      <c r="BN613" s="148" t="str">
        <f t="shared" si="447"/>
        <v>Round - 1</v>
      </c>
      <c r="BP613" s="148" t="str">
        <f t="shared" si="448"/>
        <v>no t, f, or sf</v>
      </c>
      <c r="BQ613" s="148" t="str">
        <f t="shared" si="449"/>
        <v/>
      </c>
    </row>
    <row r="614" spans="1:69" ht="15" customHeight="1" x14ac:dyDescent="0.2">
      <c r="A614" s="376">
        <v>612</v>
      </c>
      <c r="B614" s="121" t="s">
        <v>68</v>
      </c>
      <c r="C614" s="121" t="s">
        <v>518</v>
      </c>
      <c r="D614" s="382">
        <v>1</v>
      </c>
      <c r="E614" s="382">
        <v>1</v>
      </c>
      <c r="F614" s="315" t="s">
        <v>770</v>
      </c>
      <c r="G614" s="206">
        <v>43060</v>
      </c>
      <c r="H614" s="317">
        <v>0.78472222222222221</v>
      </c>
      <c r="I614" s="325" t="s">
        <v>770</v>
      </c>
      <c r="J614" s="121" t="s">
        <v>707</v>
      </c>
      <c r="K614" s="121">
        <v>63</v>
      </c>
      <c r="L614" s="433" t="s">
        <v>664</v>
      </c>
      <c r="M614" s="433">
        <v>63</v>
      </c>
      <c r="N614" s="433" t="s">
        <v>666</v>
      </c>
      <c r="O614" s="153" t="str">
        <f>IF(L614&lt;&gt;"",IFERROR(VLOOKUP(B614&amp;L614,Pools!$A$2:$D$130,3,FALSE),""),"")</f>
        <v/>
      </c>
      <c r="P614" s="388">
        <v>32</v>
      </c>
      <c r="Q614" s="388">
        <v>28</v>
      </c>
      <c r="R614" s="306" t="str">
        <f t="shared" si="405"/>
        <v>32-28</v>
      </c>
      <c r="S614" s="153"/>
      <c r="T614" s="148" t="str">
        <f t="shared" si="406"/>
        <v>Completed</v>
      </c>
      <c r="U614" s="153"/>
      <c r="V614" s="153"/>
      <c r="W614" s="387">
        <f t="shared" si="407"/>
        <v>4</v>
      </c>
      <c r="X614" s="387">
        <f t="shared" si="408"/>
        <v>-4</v>
      </c>
      <c r="Y614" s="301">
        <f t="shared" si="409"/>
        <v>2</v>
      </c>
      <c r="Z614" s="301">
        <f t="shared" si="410"/>
        <v>0</v>
      </c>
      <c r="AA614" s="323" t="str">
        <f>CONCATENATE("                x[team1,team2,sport,'",IF(OR(I614="x",I614=""),VLOOKUP('Schedule from TM'!J615,Tables!$P$3:$Q$33,2,FALSE),'Schedule from TM'!I615),",",J614,"','",IF(OR(F614="x",F614=""),VLOOKUP('Schedule from TM'!G615,Tables!$U$3:$V$14,2,FALSE),'Schedule from TM'!F615),",",TEXT(G614,"mm/dd/yyyy"),"','",TEXT(H614,"h:mm:ss AM/PM"),"'].ub=0.0      #",B614)</f>
        <v xml:space="preserve">                x[team1,team2,sport,'11,Hillel - Gym Basketball','22,11/21/2017','6:50:00 PM'].ub=0.0      #Junior Female Basketball</v>
      </c>
      <c r="AB614" s="301" t="str">
        <f t="shared" si="411"/>
        <v>,,Junior Female Basketball,,1,JR F - PER</v>
      </c>
      <c r="AC614" s="153" t="str">
        <f t="shared" si="412"/>
        <v>Junior Female BasketballJR F - PER</v>
      </c>
      <c r="AD614" s="301" t="str">
        <f t="shared" si="413"/>
        <v>,,Junior Female Basketball,,1,JR F - COL 1</v>
      </c>
      <c r="AE614" s="153" t="str">
        <f t="shared" si="414"/>
        <v>Junior Female BasketballJR F - COL 1</v>
      </c>
      <c r="AF614" s="383">
        <f t="shared" si="415"/>
        <v>1</v>
      </c>
      <c r="AG614" s="383">
        <f t="shared" si="416"/>
        <v>0</v>
      </c>
      <c r="AH614" s="383">
        <f t="shared" si="417"/>
        <v>0</v>
      </c>
      <c r="AI614" s="383">
        <f t="shared" si="418"/>
        <v>0</v>
      </c>
      <c r="AJ614" s="383">
        <f t="shared" si="419"/>
        <v>1</v>
      </c>
      <c r="AK614" s="383">
        <f t="shared" si="420"/>
        <v>0</v>
      </c>
      <c r="AM614" s="148" t="str">
        <f t="shared" si="421"/>
        <v>Schedulled</v>
      </c>
      <c r="AN614" s="148" t="str">
        <f t="shared" si="422"/>
        <v/>
      </c>
      <c r="AO614" s="156">
        <f t="shared" si="423"/>
        <v>43060.784722222219</v>
      </c>
      <c r="AP614" s="148" t="str">
        <f t="shared" si="424"/>
        <v>11/21/2017 18:50-&gt;Hillel - Gym Basketball</v>
      </c>
      <c r="AQ614" s="374">
        <f t="shared" si="425"/>
        <v>1</v>
      </c>
      <c r="AR614" s="148" t="str">
        <f t="shared" si="426"/>
        <v>PER</v>
      </c>
      <c r="AS614" s="148" t="str">
        <f t="shared" si="427"/>
        <v>COL1</v>
      </c>
      <c r="AT614" s="157" t="str">
        <f t="shared" si="428"/>
        <v>PER-COL1</v>
      </c>
      <c r="AU614" s="157" t="str">
        <f t="shared" si="429"/>
        <v xml:space="preserve">PER-COL1 </v>
      </c>
      <c r="AV614" s="157" t="str">
        <f t="shared" si="430"/>
        <v>JUNIORS FEMALE</v>
      </c>
      <c r="AW614" s="157" t="str">
        <f t="shared" si="431"/>
        <v>Basketball</v>
      </c>
      <c r="AX614" s="376">
        <f t="shared" si="432"/>
        <v>612</v>
      </c>
      <c r="AY614" s="148" t="str">
        <f t="shared" si="433"/>
        <v>JR F - PER-&gt;JR F - COL 1</v>
      </c>
      <c r="AZ614" s="148" t="str">
        <f t="shared" si="434"/>
        <v>11/21/2017 18:50-&gt;JR F - PER</v>
      </c>
      <c r="BA614" s="148" t="str">
        <f t="shared" si="435"/>
        <v>11/21/2017 18:50-&gt;JR F - COL 1</v>
      </c>
      <c r="BB614" s="374">
        <f t="shared" si="436"/>
        <v>1</v>
      </c>
      <c r="BC614" s="374">
        <f t="shared" si="437"/>
        <v>1</v>
      </c>
      <c r="BD614" s="148" t="str">
        <f t="shared" si="438"/>
        <v>no conflict</v>
      </c>
      <c r="BF614" s="148" t="str">
        <f t="shared" si="439"/>
        <v>11/21/2017 18:50-&gt;JR F - PER</v>
      </c>
      <c r="BG614" s="148" t="str">
        <f t="shared" si="440"/>
        <v>11/21/2017 18:50-&gt;JR F - COL 1</v>
      </c>
      <c r="BH614" s="148" t="str">
        <f t="shared" si="441"/>
        <v>11/21/2017 18:50-&gt;Hillel - Gym Basketball</v>
      </c>
      <c r="BI614" s="148" t="str">
        <f t="shared" si="442"/>
        <v>Basketball in Hillel - Gym Basketball (PER-COL1)</v>
      </c>
      <c r="BJ614" s="148" t="str">
        <f t="shared" si="443"/>
        <v>Junior Female Basketball-- JR F - PER vs. JR F - COL 1</v>
      </c>
      <c r="BK614" s="148" t="str">
        <f t="shared" si="444"/>
        <v>Basketball</v>
      </c>
      <c r="BL614" s="148" t="str">
        <f t="shared" si="445"/>
        <v>JR F - PER</v>
      </c>
      <c r="BM614" s="148" t="str">
        <f t="shared" si="446"/>
        <v>JR F - COL 1</v>
      </c>
      <c r="BN614" s="148" t="str">
        <f t="shared" si="447"/>
        <v>Round - 1</v>
      </c>
      <c r="BP614" s="148" t="str">
        <f t="shared" si="448"/>
        <v>no t, f, or sf</v>
      </c>
      <c r="BQ614" s="148" t="str">
        <f t="shared" si="449"/>
        <v/>
      </c>
    </row>
    <row r="615" spans="1:69" ht="15" customHeight="1" x14ac:dyDescent="0.2">
      <c r="A615" s="376">
        <v>613</v>
      </c>
      <c r="B615" s="433" t="s">
        <v>68</v>
      </c>
      <c r="C615" s="315" t="s">
        <v>518</v>
      </c>
      <c r="D615" s="378">
        <v>1</v>
      </c>
      <c r="E615" s="378">
        <v>1</v>
      </c>
      <c r="F615" s="315" t="s">
        <v>770</v>
      </c>
      <c r="G615" s="316">
        <v>43061</v>
      </c>
      <c r="H615" s="317">
        <v>0.68055555555555547</v>
      </c>
      <c r="I615" s="325" t="s">
        <v>770</v>
      </c>
      <c r="J615" s="315" t="s">
        <v>696</v>
      </c>
      <c r="K615" s="444">
        <v>63</v>
      </c>
      <c r="L615" s="433" t="s">
        <v>659</v>
      </c>
      <c r="M615" s="433">
        <v>63</v>
      </c>
      <c r="N615" s="433" t="s">
        <v>669</v>
      </c>
      <c r="O615" s="153" t="str">
        <f>IF(L615&lt;&gt;"",IFERROR(VLOOKUP(B615&amp;L615,Pools!$A$2:$D$130,3,FALSE),""),"")</f>
        <v/>
      </c>
      <c r="P615" s="388">
        <v>21</v>
      </c>
      <c r="Q615" s="388">
        <v>16</v>
      </c>
      <c r="R615" s="306" t="str">
        <f t="shared" si="405"/>
        <v>21-16</v>
      </c>
      <c r="S615" s="153"/>
      <c r="T615" s="148" t="str">
        <f t="shared" si="406"/>
        <v>Completed</v>
      </c>
      <c r="U615" s="153"/>
      <c r="V615" s="153"/>
      <c r="W615" s="387">
        <f t="shared" si="407"/>
        <v>5</v>
      </c>
      <c r="X615" s="387">
        <f t="shared" si="408"/>
        <v>-5</v>
      </c>
      <c r="Y615" s="301">
        <f t="shared" si="409"/>
        <v>2</v>
      </c>
      <c r="Z615" s="301">
        <f t="shared" si="410"/>
        <v>0</v>
      </c>
      <c r="AA615" s="323" t="str">
        <f>CONCATENATE("                x[team1,team2,sport,'",IF(OR(I615="x",I615=""),VLOOKUP('Schedule from TM'!J616,Tables!$P$3:$Q$33,2,FALSE),'Schedule from TM'!I616),",",J615,"','",IF(OR(F615="x",F615=""),VLOOKUP('Schedule from TM'!G616,Tables!$U$3:$V$14,2,FALSE),'Schedule from TM'!F616),",",TEXT(G615,"mm/dd/yyyy"),"','",TEXT(H615,"h:mm:ss AM/PM"),"'].ub=0.0      #",B615)</f>
        <v xml:space="preserve">                x[team1,team2,sport,'11,JCC Gym North','11,11/22/2017','4:20:00 PM'].ub=0.0      #Junior Female Basketball</v>
      </c>
      <c r="AB615" s="301" t="str">
        <f t="shared" si="411"/>
        <v>,,Junior Female Basketball,,1,JR F - ARG 1</v>
      </c>
      <c r="AC615" s="153" t="str">
        <f t="shared" si="412"/>
        <v>Junior Female BasketballJR F - ARG 1</v>
      </c>
      <c r="AD615" s="301" t="str">
        <f t="shared" si="413"/>
        <v>,,Junior Female Basketball,,1,JR F - VEN 2</v>
      </c>
      <c r="AE615" s="153" t="str">
        <f t="shared" si="414"/>
        <v>Junior Female BasketballJR F - VEN 2</v>
      </c>
      <c r="AF615" s="383">
        <f t="shared" si="415"/>
        <v>1</v>
      </c>
      <c r="AG615" s="383">
        <f t="shared" si="416"/>
        <v>0</v>
      </c>
      <c r="AH615" s="383">
        <f t="shared" si="417"/>
        <v>0</v>
      </c>
      <c r="AI615" s="383">
        <f t="shared" si="418"/>
        <v>0</v>
      </c>
      <c r="AJ615" s="383">
        <f t="shared" si="419"/>
        <v>1</v>
      </c>
      <c r="AK615" s="383">
        <f t="shared" si="420"/>
        <v>0</v>
      </c>
      <c r="AM615" s="148" t="str">
        <f t="shared" si="421"/>
        <v>Schedulled</v>
      </c>
      <c r="AN615" s="148" t="str">
        <f t="shared" si="422"/>
        <v/>
      </c>
      <c r="AO615" s="156">
        <f t="shared" si="423"/>
        <v>43061.680555555555</v>
      </c>
      <c r="AP615" s="148" t="str">
        <f t="shared" si="424"/>
        <v>11/22/2017 16:20-&gt;JCC Gym North</v>
      </c>
      <c r="AQ615" s="374">
        <f t="shared" si="425"/>
        <v>1</v>
      </c>
      <c r="AR615" s="148" t="str">
        <f t="shared" si="426"/>
        <v>ARG1</v>
      </c>
      <c r="AS615" s="148" t="str">
        <f t="shared" si="427"/>
        <v>VEN2</v>
      </c>
      <c r="AT615" s="157" t="str">
        <f t="shared" si="428"/>
        <v>ARG1-VEN2</v>
      </c>
      <c r="AU615" s="157" t="str">
        <f t="shared" si="429"/>
        <v xml:space="preserve">ARG1-VEN2 </v>
      </c>
      <c r="AV615" s="157" t="str">
        <f t="shared" si="430"/>
        <v>JUNIORS FEMALE</v>
      </c>
      <c r="AW615" s="157" t="str">
        <f t="shared" si="431"/>
        <v>Basketball</v>
      </c>
      <c r="AX615" s="376">
        <f t="shared" si="432"/>
        <v>613</v>
      </c>
      <c r="AY615" s="148" t="str">
        <f t="shared" si="433"/>
        <v>JR F - ARG 1-&gt;JR F - VEN 2</v>
      </c>
      <c r="AZ615" s="148" t="str">
        <f t="shared" si="434"/>
        <v>11/22/2017 16:20-&gt;JR F - ARG 1</v>
      </c>
      <c r="BA615" s="148" t="str">
        <f t="shared" si="435"/>
        <v>11/22/2017 16:20-&gt;JR F - VEN 2</v>
      </c>
      <c r="BB615" s="374">
        <f t="shared" si="436"/>
        <v>1</v>
      </c>
      <c r="BC615" s="374">
        <f t="shared" si="437"/>
        <v>1</v>
      </c>
      <c r="BD615" s="148" t="str">
        <f t="shared" si="438"/>
        <v>no conflict</v>
      </c>
      <c r="BF615" s="148" t="str">
        <f t="shared" si="439"/>
        <v>11/22/2017 16:20-&gt;JR F - ARG 1</v>
      </c>
      <c r="BG615" s="148" t="str">
        <f t="shared" si="440"/>
        <v>11/22/2017 16:20-&gt;JR F - VEN 2</v>
      </c>
      <c r="BH615" s="148" t="str">
        <f t="shared" si="441"/>
        <v>11/22/2017 16:20-&gt;JCC Gym North</v>
      </c>
      <c r="BI615" s="148" t="str">
        <f t="shared" si="442"/>
        <v>Basketball in JCC Gym North (ARG1-VEN2)</v>
      </c>
      <c r="BJ615" s="148" t="str">
        <f t="shared" si="443"/>
        <v>Junior Female Basketball-- JR F - ARG 1 vs. JR F - VEN 2</v>
      </c>
      <c r="BK615" s="148" t="str">
        <f t="shared" si="444"/>
        <v>Basketball</v>
      </c>
      <c r="BL615" s="148" t="str">
        <f t="shared" si="445"/>
        <v>JR F - ARG 1</v>
      </c>
      <c r="BM615" s="148" t="str">
        <f t="shared" si="446"/>
        <v>JR F - VEN 2</v>
      </c>
      <c r="BN615" s="148" t="str">
        <f t="shared" si="447"/>
        <v>Round - 1</v>
      </c>
      <c r="BP615" s="148" t="str">
        <f t="shared" si="448"/>
        <v>no t, f, or sf</v>
      </c>
      <c r="BQ615" s="148" t="str">
        <f t="shared" si="449"/>
        <v/>
      </c>
    </row>
    <row r="616" spans="1:69" ht="15" customHeight="1" x14ac:dyDescent="0.2">
      <c r="A616" s="376">
        <v>614</v>
      </c>
      <c r="B616" s="121" t="s">
        <v>68</v>
      </c>
      <c r="C616" s="121" t="s">
        <v>518</v>
      </c>
      <c r="D616" s="382">
        <v>1</v>
      </c>
      <c r="E616" s="382">
        <v>1</v>
      </c>
      <c r="F616" s="444" t="s">
        <v>770</v>
      </c>
      <c r="G616" s="206">
        <v>43062</v>
      </c>
      <c r="H616" s="317">
        <v>0.4375</v>
      </c>
      <c r="I616" s="446" t="s">
        <v>770</v>
      </c>
      <c r="J616" s="121" t="s">
        <v>696</v>
      </c>
      <c r="K616" s="121">
        <v>63</v>
      </c>
      <c r="L616" s="433" t="s">
        <v>661</v>
      </c>
      <c r="M616" s="433">
        <v>63</v>
      </c>
      <c r="N616" s="433" t="s">
        <v>665</v>
      </c>
      <c r="O616" s="153" t="str">
        <f>IF(L616&lt;&gt;"",IFERROR(VLOOKUP(B616&amp;L616,Pools!$A$2:$D$130,3,FALSE),""),"")</f>
        <v/>
      </c>
      <c r="P616" s="388">
        <v>35</v>
      </c>
      <c r="Q616" s="388">
        <v>16</v>
      </c>
      <c r="R616" s="306" t="str">
        <f t="shared" si="405"/>
        <v>35-16</v>
      </c>
      <c r="S616" s="153"/>
      <c r="T616" s="148" t="str">
        <f t="shared" si="406"/>
        <v>Completed</v>
      </c>
      <c r="U616" s="153"/>
      <c r="V616" s="153"/>
      <c r="W616" s="387">
        <f t="shared" si="407"/>
        <v>15</v>
      </c>
      <c r="X616" s="387">
        <f t="shared" si="408"/>
        <v>-15</v>
      </c>
      <c r="Y616" s="301">
        <f t="shared" si="409"/>
        <v>2</v>
      </c>
      <c r="Z616" s="301">
        <f t="shared" si="410"/>
        <v>0</v>
      </c>
      <c r="AA616" s="323" t="str">
        <f>CONCATENATE("                x[team1,team2,sport,'",IF(OR(I616="x",I616=""),VLOOKUP('Schedule from TM'!J617,Tables!$P$3:$Q$33,2,FALSE),'Schedule from TM'!I617),",",J616,"','",IF(OR(F616="x",F616=""),VLOOKUP('Schedule from TM'!G617,Tables!$U$3:$V$14,2,FALSE),'Schedule from TM'!F617),",",TEXT(G616,"mm/dd/yyyy"),"','",TEXT(H616,"h:mm:ss AM/PM"),"'].ub=0.0      #",B616)</f>
        <v xml:space="preserve">                x[team1,team2,sport,'21,JCC Gym North','11,11/23/2017','10:30:00 AM'].ub=0.0      #Junior Female Basketball</v>
      </c>
      <c r="AB616" s="301" t="str">
        <f t="shared" si="411"/>
        <v>,,Junior Female Basketball,,1,JR F - ISR 1</v>
      </c>
      <c r="AC616" s="153" t="str">
        <f t="shared" si="412"/>
        <v>Junior Female BasketballJR F - ISR 1</v>
      </c>
      <c r="AD616" s="301" t="str">
        <f t="shared" si="413"/>
        <v>,,Junior Female Basketball,,1,JR F - USA 1</v>
      </c>
      <c r="AE616" s="153" t="str">
        <f t="shared" si="414"/>
        <v>Junior Female BasketballJR F - USA 1</v>
      </c>
      <c r="AF616" s="383">
        <f t="shared" si="415"/>
        <v>1</v>
      </c>
      <c r="AG616" s="383">
        <f t="shared" si="416"/>
        <v>0</v>
      </c>
      <c r="AH616" s="383">
        <f t="shared" si="417"/>
        <v>0</v>
      </c>
      <c r="AI616" s="383">
        <f t="shared" si="418"/>
        <v>0</v>
      </c>
      <c r="AJ616" s="383">
        <f t="shared" si="419"/>
        <v>1</v>
      </c>
      <c r="AK616" s="383">
        <f t="shared" si="420"/>
        <v>0</v>
      </c>
      <c r="AM616" s="148" t="str">
        <f t="shared" si="421"/>
        <v>Schedulled</v>
      </c>
      <c r="AN616" s="148" t="str">
        <f t="shared" si="422"/>
        <v/>
      </c>
      <c r="AO616" s="156">
        <f t="shared" si="423"/>
        <v>43062.4375</v>
      </c>
      <c r="AP616" s="148" t="str">
        <f t="shared" si="424"/>
        <v>11/23/2017 10:30-&gt;JCC Gym North</v>
      </c>
      <c r="AQ616" s="374">
        <f t="shared" si="425"/>
        <v>1</v>
      </c>
      <c r="AR616" s="148" t="str">
        <f t="shared" si="426"/>
        <v>ISR1</v>
      </c>
      <c r="AS616" s="148" t="str">
        <f t="shared" si="427"/>
        <v>USA1</v>
      </c>
      <c r="AT616" s="157" t="str">
        <f t="shared" si="428"/>
        <v>ISR1-USA1</v>
      </c>
      <c r="AU616" s="157" t="str">
        <f t="shared" si="429"/>
        <v xml:space="preserve">ISR1-USA1 </v>
      </c>
      <c r="AV616" s="157" t="str">
        <f t="shared" si="430"/>
        <v>JUNIORS FEMALE</v>
      </c>
      <c r="AW616" s="157" t="str">
        <f t="shared" si="431"/>
        <v>Basketball</v>
      </c>
      <c r="AX616" s="376">
        <f t="shared" si="432"/>
        <v>614</v>
      </c>
      <c r="AY616" s="148" t="str">
        <f t="shared" si="433"/>
        <v>JR F - ISR 1-&gt;JR F - USA 1</v>
      </c>
      <c r="AZ616" s="148" t="str">
        <f t="shared" si="434"/>
        <v>11/23/2017 10:30-&gt;JR F - ISR 1</v>
      </c>
      <c r="BA616" s="148" t="str">
        <f t="shared" si="435"/>
        <v>11/23/2017 10:30-&gt;JR F - USA 1</v>
      </c>
      <c r="BB616" s="374">
        <f t="shared" si="436"/>
        <v>1</v>
      </c>
      <c r="BC616" s="374">
        <f t="shared" si="437"/>
        <v>1</v>
      </c>
      <c r="BD616" s="148" t="str">
        <f t="shared" si="438"/>
        <v>no conflict</v>
      </c>
      <c r="BF616" s="148" t="str">
        <f t="shared" si="439"/>
        <v>11/23/2017 10:30-&gt;JR F - ISR 1</v>
      </c>
      <c r="BG616" s="148" t="str">
        <f t="shared" si="440"/>
        <v>11/23/2017 10:30-&gt;JR F - USA 1</v>
      </c>
      <c r="BH616" s="148" t="str">
        <f t="shared" si="441"/>
        <v>11/23/2017 10:30-&gt;JCC Gym North</v>
      </c>
      <c r="BI616" s="148" t="str">
        <f t="shared" si="442"/>
        <v>Basketball in JCC Gym North (ISR1-USA1)</v>
      </c>
      <c r="BJ616" s="148" t="str">
        <f t="shared" si="443"/>
        <v>Junior Female Basketball-- JR F - ISR 1 vs. JR F - USA 1</v>
      </c>
      <c r="BK616" s="148" t="str">
        <f t="shared" si="444"/>
        <v>Basketball</v>
      </c>
      <c r="BL616" s="148" t="str">
        <f t="shared" si="445"/>
        <v>JR F - ISR 1</v>
      </c>
      <c r="BM616" s="148" t="str">
        <f t="shared" si="446"/>
        <v>JR F - USA 1</v>
      </c>
      <c r="BN616" s="148" t="str">
        <f t="shared" si="447"/>
        <v>Round - 1</v>
      </c>
      <c r="BP616" s="148" t="str">
        <f t="shared" si="448"/>
        <v>no t, f, or sf</v>
      </c>
      <c r="BQ616" s="148" t="str">
        <f t="shared" si="449"/>
        <v/>
      </c>
    </row>
    <row r="617" spans="1:69" ht="15" customHeight="1" x14ac:dyDescent="0.2">
      <c r="A617" s="376">
        <v>615</v>
      </c>
      <c r="B617" t="s">
        <v>68</v>
      </c>
      <c r="C617" s="444" t="s">
        <v>518</v>
      </c>
      <c r="D617" s="451">
        <v>1</v>
      </c>
      <c r="E617" s="451">
        <v>1</v>
      </c>
      <c r="F617" s="444" t="s">
        <v>770</v>
      </c>
      <c r="G617" s="445">
        <v>43062</v>
      </c>
      <c r="H617" s="317">
        <v>0.47222222222222227</v>
      </c>
      <c r="I617" s="446" t="s">
        <v>770</v>
      </c>
      <c r="J617" s="444" t="s">
        <v>707</v>
      </c>
      <c r="K617" s="315">
        <v>63</v>
      </c>
      <c r="L617" s="433" t="s">
        <v>659</v>
      </c>
      <c r="M617" s="433">
        <v>63</v>
      </c>
      <c r="N617" s="433" t="s">
        <v>666</v>
      </c>
      <c r="O617" s="153" t="str">
        <f>IF(L617&lt;&gt;"",IFERROR(VLOOKUP(B617&amp;L617,Pools!$A$2:$D$130,3,FALSE),""),"")</f>
        <v/>
      </c>
      <c r="P617" s="388">
        <v>23</v>
      </c>
      <c r="Q617" s="388">
        <v>16</v>
      </c>
      <c r="R617" s="306" t="str">
        <f t="shared" si="405"/>
        <v>23-16</v>
      </c>
      <c r="S617" s="153"/>
      <c r="T617" s="148" t="str">
        <f t="shared" si="406"/>
        <v>Completed</v>
      </c>
      <c r="U617" s="153"/>
      <c r="V617" s="153"/>
      <c r="W617" s="387">
        <f t="shared" si="407"/>
        <v>7</v>
      </c>
      <c r="X617" s="387">
        <f t="shared" si="408"/>
        <v>-7</v>
      </c>
      <c r="Y617" s="301">
        <f t="shared" si="409"/>
        <v>2</v>
      </c>
      <c r="Z617" s="301">
        <f t="shared" si="410"/>
        <v>0</v>
      </c>
      <c r="AA617" s="323" t="str">
        <f>CONCATENATE("                x[team1,team2,sport,'",IF(OR(I617="x",I617=""),VLOOKUP('Schedule from TM'!J618,Tables!$P$3:$Q$33,2,FALSE),'Schedule from TM'!I618),",",J617,"','",IF(OR(F617="x",F617=""),VLOOKUP('Schedule from TM'!G618,Tables!$U$3:$V$14,2,FALSE),'Schedule from TM'!F618),",",TEXT(G617,"mm/dd/yyyy"),"','",TEXT(H617,"h:mm:ss AM/PM"),"'].ub=0.0      #",B617)</f>
        <v xml:space="preserve">                x[team1,team2,sport,'21,Hillel - Gym Basketball','11,11/23/2017','11:20:00 AM'].ub=0.0      #Junior Female Basketball</v>
      </c>
      <c r="AB617" s="301" t="str">
        <f t="shared" si="411"/>
        <v>,,Junior Female Basketball,,1,JR F - ARG 1</v>
      </c>
      <c r="AC617" s="153" t="str">
        <f t="shared" si="412"/>
        <v>Junior Female BasketballJR F - ARG 1</v>
      </c>
      <c r="AD617" s="301" t="str">
        <f t="shared" si="413"/>
        <v>,,Junior Female Basketball,,1,JR F - COL 1</v>
      </c>
      <c r="AE617" s="153" t="str">
        <f t="shared" si="414"/>
        <v>Junior Female BasketballJR F - COL 1</v>
      </c>
      <c r="AF617" s="383">
        <f t="shared" si="415"/>
        <v>1</v>
      </c>
      <c r="AG617" s="383">
        <f t="shared" si="416"/>
        <v>0</v>
      </c>
      <c r="AH617" s="383">
        <f t="shared" si="417"/>
        <v>0</v>
      </c>
      <c r="AI617" s="383">
        <f t="shared" si="418"/>
        <v>0</v>
      </c>
      <c r="AJ617" s="383">
        <f t="shared" si="419"/>
        <v>1</v>
      </c>
      <c r="AK617" s="383">
        <f t="shared" si="420"/>
        <v>0</v>
      </c>
      <c r="AM617" s="148" t="str">
        <f t="shared" si="421"/>
        <v>Schedulled</v>
      </c>
      <c r="AN617" s="148" t="str">
        <f t="shared" si="422"/>
        <v/>
      </c>
      <c r="AO617" s="156">
        <f t="shared" si="423"/>
        <v>43062.472222222219</v>
      </c>
      <c r="AP617" s="148" t="str">
        <f t="shared" si="424"/>
        <v>11/23/2017 11:20-&gt;Hillel - Gym Basketball</v>
      </c>
      <c r="AQ617" s="374">
        <f t="shared" si="425"/>
        <v>1</v>
      </c>
      <c r="AR617" s="148" t="str">
        <f t="shared" si="426"/>
        <v>ARG1</v>
      </c>
      <c r="AS617" s="148" t="str">
        <f t="shared" si="427"/>
        <v>COL1</v>
      </c>
      <c r="AT617" s="157" t="str">
        <f t="shared" si="428"/>
        <v>ARG1-COL1</v>
      </c>
      <c r="AU617" s="157" t="str">
        <f t="shared" si="429"/>
        <v xml:space="preserve">ARG1-COL1 </v>
      </c>
      <c r="AV617" s="157" t="str">
        <f t="shared" si="430"/>
        <v>JUNIORS FEMALE</v>
      </c>
      <c r="AW617" s="157" t="str">
        <f t="shared" si="431"/>
        <v>Basketball</v>
      </c>
      <c r="AX617" s="376">
        <f t="shared" si="432"/>
        <v>615</v>
      </c>
      <c r="AY617" s="148" t="str">
        <f t="shared" si="433"/>
        <v>JR F - ARG 1-&gt;JR F - COL 1</v>
      </c>
      <c r="AZ617" s="148" t="str">
        <f t="shared" si="434"/>
        <v>11/23/2017 11:20-&gt;JR F - ARG 1</v>
      </c>
      <c r="BA617" s="148" t="str">
        <f t="shared" si="435"/>
        <v>11/23/2017 11:20-&gt;JR F - COL 1</v>
      </c>
      <c r="BB617" s="374">
        <f t="shared" si="436"/>
        <v>1</v>
      </c>
      <c r="BC617" s="374">
        <f t="shared" si="437"/>
        <v>1</v>
      </c>
      <c r="BD617" s="148" t="str">
        <f t="shared" si="438"/>
        <v>no conflict</v>
      </c>
      <c r="BF617" s="148" t="str">
        <f t="shared" si="439"/>
        <v>11/23/2017 11:20-&gt;JR F - ARG 1</v>
      </c>
      <c r="BG617" s="148" t="str">
        <f t="shared" si="440"/>
        <v>11/23/2017 11:20-&gt;JR F - COL 1</v>
      </c>
      <c r="BH617" s="148" t="str">
        <f t="shared" si="441"/>
        <v>11/23/2017 11:20-&gt;Hillel - Gym Basketball</v>
      </c>
      <c r="BI617" s="148" t="str">
        <f t="shared" si="442"/>
        <v>Basketball in Hillel - Gym Basketball (ARG1-COL1)</v>
      </c>
      <c r="BJ617" s="148" t="str">
        <f t="shared" si="443"/>
        <v>Junior Female Basketball-- JR F - ARG 1 vs. JR F - COL 1</v>
      </c>
      <c r="BK617" s="148" t="str">
        <f t="shared" si="444"/>
        <v>Basketball</v>
      </c>
      <c r="BL617" s="148" t="str">
        <f t="shared" si="445"/>
        <v>JR F - ARG 1</v>
      </c>
      <c r="BM617" s="148" t="str">
        <f t="shared" si="446"/>
        <v>JR F - COL 1</v>
      </c>
      <c r="BN617" s="148" t="str">
        <f t="shared" si="447"/>
        <v>Round - 1</v>
      </c>
      <c r="BP617" s="148" t="str">
        <f t="shared" si="448"/>
        <v>no t, f, or sf</v>
      </c>
      <c r="BQ617" s="148" t="str">
        <f t="shared" si="449"/>
        <v/>
      </c>
    </row>
    <row r="618" spans="1:69" ht="15" customHeight="1" x14ac:dyDescent="0.2">
      <c r="A618" s="376">
        <v>616</v>
      </c>
      <c r="B618" s="121" t="s">
        <v>68</v>
      </c>
      <c r="C618" s="121" t="s">
        <v>518</v>
      </c>
      <c r="D618" s="382">
        <v>1</v>
      </c>
      <c r="E618" s="382">
        <v>1</v>
      </c>
      <c r="F618" s="444" t="s">
        <v>770</v>
      </c>
      <c r="G618" s="206">
        <v>43062</v>
      </c>
      <c r="H618" s="317">
        <v>0.50694444444444442</v>
      </c>
      <c r="I618" s="446" t="s">
        <v>770</v>
      </c>
      <c r="J618" s="121" t="s">
        <v>707</v>
      </c>
      <c r="K618" s="121">
        <v>63</v>
      </c>
      <c r="L618" s="433" t="s">
        <v>661</v>
      </c>
      <c r="M618" s="433">
        <v>63</v>
      </c>
      <c r="N618" s="433" t="s">
        <v>776</v>
      </c>
      <c r="O618" s="153" t="str">
        <f>IF(L618&lt;&gt;"",IFERROR(VLOOKUP(B618&amp;L618,Pools!$A$2:$D$130,3,FALSE),""),"")</f>
        <v/>
      </c>
      <c r="P618" s="388">
        <v>30</v>
      </c>
      <c r="Q618" s="388">
        <v>6</v>
      </c>
      <c r="R618" s="306" t="str">
        <f t="shared" si="405"/>
        <v>30-6</v>
      </c>
      <c r="S618" s="153"/>
      <c r="T618" s="148" t="str">
        <f t="shared" si="406"/>
        <v>Completed</v>
      </c>
      <c r="U618" s="153"/>
      <c r="V618" s="153"/>
      <c r="W618" s="387">
        <f t="shared" si="407"/>
        <v>15</v>
      </c>
      <c r="X618" s="387">
        <f t="shared" si="408"/>
        <v>-15</v>
      </c>
      <c r="Y618" s="301">
        <f t="shared" si="409"/>
        <v>2</v>
      </c>
      <c r="Z618" s="301">
        <f t="shared" si="410"/>
        <v>0</v>
      </c>
      <c r="AA618" s="323" t="str">
        <f>CONCATENATE("                x[team1,team2,sport,'",IF(OR(I618="x",I618=""),VLOOKUP('Schedule from TM'!J619,Tables!$P$3:$Q$33,2,FALSE),'Schedule from TM'!I619),",",J618,"','",IF(OR(F618="x",F618=""),VLOOKUP('Schedule from TM'!G619,Tables!$U$3:$V$14,2,FALSE),'Schedule from TM'!F619),",",TEXT(G618,"mm/dd/yyyy"),"','",TEXT(H618,"h:mm:ss AM/PM"),"'].ub=0.0      #",B618)</f>
        <v xml:space="preserve">                x[team1,team2,sport,'11,Hillel - Gym Basketball','11,11/23/2017','12:10:00 PM'].ub=0.0      #Junior Female Basketball</v>
      </c>
      <c r="AB618" s="301" t="str">
        <f t="shared" si="411"/>
        <v>,,Junior Female Basketball,,1,JR F - ISR 1</v>
      </c>
      <c r="AC618" s="153" t="str">
        <f t="shared" si="412"/>
        <v>Junior Female BasketballJR F - ISR 1</v>
      </c>
      <c r="AD618" s="301" t="str">
        <f t="shared" si="413"/>
        <v>,,Junior Female Basketball,,1,JR F - USA 3</v>
      </c>
      <c r="AE618" s="153" t="str">
        <f t="shared" si="414"/>
        <v>Junior Female BasketballJR F - USA 3</v>
      </c>
      <c r="AF618" s="383">
        <f t="shared" si="415"/>
        <v>1</v>
      </c>
      <c r="AG618" s="383">
        <f t="shared" si="416"/>
        <v>0</v>
      </c>
      <c r="AH618" s="383">
        <f t="shared" si="417"/>
        <v>0</v>
      </c>
      <c r="AI618" s="383">
        <f t="shared" si="418"/>
        <v>0</v>
      </c>
      <c r="AJ618" s="383">
        <f t="shared" si="419"/>
        <v>1</v>
      </c>
      <c r="AK618" s="383">
        <f t="shared" si="420"/>
        <v>0</v>
      </c>
      <c r="AM618" s="148" t="str">
        <f t="shared" si="421"/>
        <v>Schedulled</v>
      </c>
      <c r="AN618" s="148" t="str">
        <f t="shared" si="422"/>
        <v/>
      </c>
      <c r="AO618" s="156">
        <f t="shared" si="423"/>
        <v>43062.506944444445</v>
      </c>
      <c r="AP618" s="148" t="str">
        <f t="shared" si="424"/>
        <v>11/23/2017 12:10-&gt;Hillel - Gym Basketball</v>
      </c>
      <c r="AQ618" s="374">
        <f t="shared" si="425"/>
        <v>1</v>
      </c>
      <c r="AR618" s="148" t="str">
        <f t="shared" si="426"/>
        <v>ISR1</v>
      </c>
      <c r="AS618" s="148" t="str">
        <f t="shared" si="427"/>
        <v>USA3</v>
      </c>
      <c r="AT618" s="157" t="str">
        <f t="shared" si="428"/>
        <v>ISR1-USA3</v>
      </c>
      <c r="AU618" s="157" t="str">
        <f t="shared" si="429"/>
        <v xml:space="preserve">ISR1-USA3 </v>
      </c>
      <c r="AV618" s="157" t="str">
        <f t="shared" si="430"/>
        <v>JUNIORS FEMALE</v>
      </c>
      <c r="AW618" s="157" t="str">
        <f t="shared" si="431"/>
        <v>Basketball</v>
      </c>
      <c r="AX618" s="376">
        <f t="shared" si="432"/>
        <v>616</v>
      </c>
      <c r="AY618" s="148" t="str">
        <f t="shared" si="433"/>
        <v>JR F - ISR 1-&gt;JR F - USA 3</v>
      </c>
      <c r="AZ618" s="148" t="str">
        <f t="shared" si="434"/>
        <v>11/23/2017 12:10-&gt;JR F - ISR 1</v>
      </c>
      <c r="BA618" s="148" t="str">
        <f t="shared" si="435"/>
        <v>11/23/2017 12:10-&gt;JR F - USA 3</v>
      </c>
      <c r="BB618" s="374">
        <f t="shared" si="436"/>
        <v>1</v>
      </c>
      <c r="BC618" s="374">
        <f t="shared" si="437"/>
        <v>1</v>
      </c>
      <c r="BD618" s="148" t="str">
        <f t="shared" si="438"/>
        <v>no conflict</v>
      </c>
      <c r="BF618" s="148" t="str">
        <f t="shared" si="439"/>
        <v>11/23/2017 12:10-&gt;JR F - ISR 1</v>
      </c>
      <c r="BG618" s="148" t="str">
        <f t="shared" si="440"/>
        <v>11/23/2017 12:10-&gt;JR F - USA 3</v>
      </c>
      <c r="BH618" s="148" t="str">
        <f t="shared" si="441"/>
        <v>11/23/2017 12:10-&gt;Hillel - Gym Basketball</v>
      </c>
      <c r="BI618" s="148" t="str">
        <f t="shared" si="442"/>
        <v>Basketball in Hillel - Gym Basketball (ISR1-USA3)</v>
      </c>
      <c r="BJ618" s="148" t="str">
        <f t="shared" si="443"/>
        <v>Junior Female Basketball-- JR F - ISR 1 vs. JR F - USA 3</v>
      </c>
      <c r="BK618" s="148" t="str">
        <f t="shared" si="444"/>
        <v>Basketball</v>
      </c>
      <c r="BL618" s="148" t="str">
        <f t="shared" si="445"/>
        <v>JR F - ISR 1</v>
      </c>
      <c r="BM618" s="148" t="str">
        <f t="shared" si="446"/>
        <v>JR F - USA 3</v>
      </c>
      <c r="BN618" s="148" t="str">
        <f t="shared" si="447"/>
        <v>Round - 1</v>
      </c>
      <c r="BP618" s="148" t="str">
        <f t="shared" si="448"/>
        <v>no t, f, or sf</v>
      </c>
      <c r="BQ618" s="148" t="str">
        <f t="shared" si="449"/>
        <v/>
      </c>
    </row>
    <row r="619" spans="1:69" ht="15" customHeight="1" x14ac:dyDescent="0.2">
      <c r="A619" s="376">
        <v>617</v>
      </c>
      <c r="B619" t="s">
        <v>68</v>
      </c>
      <c r="C619" s="444" t="s">
        <v>518</v>
      </c>
      <c r="D619" s="451">
        <v>1</v>
      </c>
      <c r="E619" s="451">
        <v>1</v>
      </c>
      <c r="F619" s="444" t="s">
        <v>770</v>
      </c>
      <c r="G619" s="445">
        <v>43062</v>
      </c>
      <c r="H619" s="317">
        <v>0.57638888888888895</v>
      </c>
      <c r="I619" s="446" t="s">
        <v>770</v>
      </c>
      <c r="J619" s="444" t="s">
        <v>696</v>
      </c>
      <c r="K619" s="315">
        <v>63</v>
      </c>
      <c r="L619" s="433" t="s">
        <v>669</v>
      </c>
      <c r="M619" s="433">
        <v>63</v>
      </c>
      <c r="N619" s="433" t="s">
        <v>668</v>
      </c>
      <c r="O619" s="153" t="str">
        <f>IF(L619&lt;&gt;"",IFERROR(VLOOKUP(B619&amp;L619,Pools!$A$2:$D$130,3,FALSE),""),"")</f>
        <v/>
      </c>
      <c r="P619" s="388">
        <v>9</v>
      </c>
      <c r="Q619" s="388">
        <v>8</v>
      </c>
      <c r="R619" s="306" t="str">
        <f t="shared" si="405"/>
        <v>9-8</v>
      </c>
      <c r="S619" s="153"/>
      <c r="T619" s="148" t="str">
        <f t="shared" si="406"/>
        <v>Completed</v>
      </c>
      <c r="U619" s="153"/>
      <c r="V619" s="153"/>
      <c r="W619" s="387">
        <f t="shared" si="407"/>
        <v>1</v>
      </c>
      <c r="X619" s="387">
        <f t="shared" si="408"/>
        <v>-1</v>
      </c>
      <c r="Y619" s="301">
        <f t="shared" si="409"/>
        <v>2</v>
      </c>
      <c r="Z619" s="301">
        <f t="shared" si="410"/>
        <v>0</v>
      </c>
      <c r="AA619" s="323" t="str">
        <f>CONCATENATE("                x[team1,team2,sport,'",IF(OR(I619="x",I619=""),VLOOKUP('Schedule from TM'!J620,Tables!$P$3:$Q$33,2,FALSE),'Schedule from TM'!I620),",",J619,"','",IF(OR(F619="x",F619=""),VLOOKUP('Schedule from TM'!G620,Tables!$U$3:$V$14,2,FALSE),'Schedule from TM'!F620),",",TEXT(G619,"mm/dd/yyyy"),"','",TEXT(H619,"h:mm:ss AM/PM"),"'].ub=0.0      #",B619)</f>
        <v xml:space="preserve">                x[team1,team2,sport,'21,JCC Gym North','11,11/23/2017','1:50:00 PM'].ub=0.0      #Junior Female Basketball</v>
      </c>
      <c r="AB619" s="301" t="str">
        <f t="shared" si="411"/>
        <v>,,Junior Female Basketball,,1,JR F - VEN 2</v>
      </c>
      <c r="AC619" s="153" t="str">
        <f t="shared" si="412"/>
        <v>Junior Female BasketballJR F - VEN 2</v>
      </c>
      <c r="AD619" s="301" t="str">
        <f t="shared" si="413"/>
        <v>,,Junior Female Basketball,,1,JR F - VEN 1</v>
      </c>
      <c r="AE619" s="153" t="str">
        <f t="shared" si="414"/>
        <v>Junior Female BasketballJR F - VEN 1</v>
      </c>
      <c r="AF619" s="383">
        <f t="shared" si="415"/>
        <v>1</v>
      </c>
      <c r="AG619" s="383">
        <f t="shared" si="416"/>
        <v>0</v>
      </c>
      <c r="AH619" s="383">
        <f t="shared" si="417"/>
        <v>0</v>
      </c>
      <c r="AI619" s="383">
        <f t="shared" si="418"/>
        <v>0</v>
      </c>
      <c r="AJ619" s="383">
        <f t="shared" si="419"/>
        <v>1</v>
      </c>
      <c r="AK619" s="383">
        <f t="shared" si="420"/>
        <v>0</v>
      </c>
      <c r="AM619" s="148" t="str">
        <f t="shared" si="421"/>
        <v>Schedulled</v>
      </c>
      <c r="AN619" s="148" t="str">
        <f t="shared" si="422"/>
        <v/>
      </c>
      <c r="AO619" s="156">
        <f t="shared" si="423"/>
        <v>43062.576388888891</v>
      </c>
      <c r="AP619" s="148" t="str">
        <f t="shared" si="424"/>
        <v>11/23/2017 13:50-&gt;JCC Gym North</v>
      </c>
      <c r="AQ619" s="374">
        <f t="shared" si="425"/>
        <v>1</v>
      </c>
      <c r="AR619" s="148" t="str">
        <f t="shared" si="426"/>
        <v>VEN2</v>
      </c>
      <c r="AS619" s="148" t="str">
        <f t="shared" si="427"/>
        <v>VEN1</v>
      </c>
      <c r="AT619" s="157" t="str">
        <f t="shared" si="428"/>
        <v>VEN2-VEN1</v>
      </c>
      <c r="AU619" s="157" t="str">
        <f t="shared" si="429"/>
        <v xml:space="preserve">VEN2-VEN1 </v>
      </c>
      <c r="AV619" s="157" t="str">
        <f t="shared" si="430"/>
        <v>JUNIORS FEMALE</v>
      </c>
      <c r="AW619" s="157" t="str">
        <f t="shared" si="431"/>
        <v>Basketball</v>
      </c>
      <c r="AX619" s="376">
        <f t="shared" si="432"/>
        <v>617</v>
      </c>
      <c r="AY619" s="148" t="str">
        <f t="shared" si="433"/>
        <v>JR F - VEN 2-&gt;JR F - VEN 1</v>
      </c>
      <c r="AZ619" s="148" t="str">
        <f t="shared" si="434"/>
        <v>11/23/2017 13:50-&gt;JR F - VEN 2</v>
      </c>
      <c r="BA619" s="148" t="str">
        <f t="shared" si="435"/>
        <v>11/23/2017 13:50-&gt;JR F - VEN 1</v>
      </c>
      <c r="BB619" s="374">
        <f t="shared" si="436"/>
        <v>1</v>
      </c>
      <c r="BC619" s="374">
        <f t="shared" si="437"/>
        <v>1</v>
      </c>
      <c r="BD619" s="148" t="str">
        <f t="shared" si="438"/>
        <v>no conflict</v>
      </c>
      <c r="BF619" s="148" t="str">
        <f t="shared" si="439"/>
        <v>11/23/2017 13:50-&gt;JR F - VEN 2</v>
      </c>
      <c r="BG619" s="148" t="str">
        <f t="shared" si="440"/>
        <v>11/23/2017 13:50-&gt;JR F - VEN 1</v>
      </c>
      <c r="BH619" s="148" t="str">
        <f t="shared" si="441"/>
        <v>11/23/2017 13:50-&gt;JCC Gym North</v>
      </c>
      <c r="BI619" s="148" t="str">
        <f t="shared" si="442"/>
        <v>Basketball in JCC Gym North (VEN2-VEN1)</v>
      </c>
      <c r="BJ619" s="148" t="str">
        <f t="shared" si="443"/>
        <v>Junior Female Basketball-- JR F - VEN 2 vs. JR F - VEN 1</v>
      </c>
      <c r="BK619" s="148" t="str">
        <f t="shared" si="444"/>
        <v>Basketball</v>
      </c>
      <c r="BL619" s="148" t="str">
        <f t="shared" si="445"/>
        <v>JR F - VEN 2</v>
      </c>
      <c r="BM619" s="148" t="str">
        <f t="shared" si="446"/>
        <v>JR F - VEN 1</v>
      </c>
      <c r="BN619" s="148" t="str">
        <f t="shared" si="447"/>
        <v>Round - 1</v>
      </c>
      <c r="BP619" s="148" t="str">
        <f t="shared" si="448"/>
        <v>no t, f, or sf</v>
      </c>
      <c r="BQ619" s="148" t="str">
        <f t="shared" si="449"/>
        <v/>
      </c>
    </row>
    <row r="620" spans="1:69" ht="15" customHeight="1" x14ac:dyDescent="0.2">
      <c r="A620" s="376">
        <v>618</v>
      </c>
      <c r="B620" s="315" t="s">
        <v>68</v>
      </c>
      <c r="C620" s="315" t="s">
        <v>518</v>
      </c>
      <c r="D620" s="378">
        <v>1</v>
      </c>
      <c r="E620" s="378">
        <v>1</v>
      </c>
      <c r="F620" s="315" t="s">
        <v>770</v>
      </c>
      <c r="G620" s="316">
        <v>43062</v>
      </c>
      <c r="H620" s="317">
        <v>0.57638888888888895</v>
      </c>
      <c r="I620" s="325" t="s">
        <v>770</v>
      </c>
      <c r="J620" s="315" t="s">
        <v>707</v>
      </c>
      <c r="K620" s="315">
        <v>63</v>
      </c>
      <c r="L620" t="s">
        <v>664</v>
      </c>
      <c r="M620">
        <v>63</v>
      </c>
      <c r="N620" t="s">
        <v>660</v>
      </c>
      <c r="O620" s="153" t="str">
        <f>IF(L620&lt;&gt;"",IFERROR(VLOOKUP(B620&amp;L620,Pools!$A$2:$D$130,3,FALSE),""),"")</f>
        <v/>
      </c>
      <c r="P620" s="388">
        <v>28</v>
      </c>
      <c r="Q620" s="388">
        <v>48</v>
      </c>
      <c r="R620" s="306" t="str">
        <f t="shared" si="405"/>
        <v>28-48</v>
      </c>
      <c r="S620" s="153"/>
      <c r="T620" s="148" t="str">
        <f t="shared" si="406"/>
        <v>Completed</v>
      </c>
      <c r="U620" s="153"/>
      <c r="V620" s="153"/>
      <c r="W620" s="387">
        <f t="shared" si="407"/>
        <v>-15</v>
      </c>
      <c r="X620" s="387">
        <f t="shared" si="408"/>
        <v>15</v>
      </c>
      <c r="Y620" s="301">
        <f t="shared" si="409"/>
        <v>0</v>
      </c>
      <c r="Z620" s="301">
        <f t="shared" si="410"/>
        <v>2</v>
      </c>
      <c r="AA620" s="323" t="str">
        <f>CONCATENATE("                x[team1,team2,sport,'",IF(OR(I620="x",I620=""),VLOOKUP('Schedule from TM'!J621,Tables!$P$3:$Q$33,2,FALSE),'Schedule from TM'!I621),",",J620,"','",IF(OR(F620="x",F620=""),VLOOKUP('Schedule from TM'!G621,Tables!$U$3:$V$14,2,FALSE),'Schedule from TM'!F621),",",TEXT(G620,"mm/dd/yyyy"),"','",TEXT(H620,"h:mm:ss AM/PM"),"'].ub=0.0      #",B620)</f>
        <v xml:space="preserve">                x[team1,team2,sport,'21,Hillel - Gym Basketball','11,11/23/2017','1:50:00 PM'].ub=0.0      #Junior Female Basketball</v>
      </c>
      <c r="AB620" s="301" t="str">
        <f t="shared" si="411"/>
        <v>,,Junior Female Basketball,,1,JR F - PER</v>
      </c>
      <c r="AC620" s="153" t="str">
        <f t="shared" si="412"/>
        <v>Junior Female BasketballJR F - PER</v>
      </c>
      <c r="AD620" s="301" t="str">
        <f t="shared" si="413"/>
        <v>,,Junior Female Basketball,,1,JR F - COL 2</v>
      </c>
      <c r="AE620" s="153" t="str">
        <f t="shared" si="414"/>
        <v>Junior Female BasketballJR F - COL 2</v>
      </c>
      <c r="AF620" s="383">
        <f t="shared" si="415"/>
        <v>0</v>
      </c>
      <c r="AG620" s="383">
        <f t="shared" si="416"/>
        <v>1</v>
      </c>
      <c r="AH620" s="383">
        <f t="shared" si="417"/>
        <v>0</v>
      </c>
      <c r="AI620" s="383">
        <f t="shared" si="418"/>
        <v>1</v>
      </c>
      <c r="AJ620" s="383">
        <f t="shared" si="419"/>
        <v>0</v>
      </c>
      <c r="AK620" s="383">
        <f t="shared" si="420"/>
        <v>0</v>
      </c>
      <c r="AM620" s="148" t="str">
        <f t="shared" si="421"/>
        <v>Schedulled</v>
      </c>
      <c r="AN620" s="148" t="str">
        <f t="shared" si="422"/>
        <v/>
      </c>
      <c r="AO620" s="156">
        <f t="shared" si="423"/>
        <v>43062.576388888891</v>
      </c>
      <c r="AP620" s="148" t="str">
        <f t="shared" si="424"/>
        <v>11/23/2017 13:50-&gt;Hillel - Gym Basketball</v>
      </c>
      <c r="AQ620" s="374">
        <f t="shared" si="425"/>
        <v>1</v>
      </c>
      <c r="AR620" s="148" t="str">
        <f t="shared" si="426"/>
        <v>PER</v>
      </c>
      <c r="AS620" s="148" t="str">
        <f t="shared" si="427"/>
        <v>COL2</v>
      </c>
      <c r="AT620" s="157" t="str">
        <f t="shared" si="428"/>
        <v>PER-COL2</v>
      </c>
      <c r="AU620" s="157" t="str">
        <f t="shared" si="429"/>
        <v xml:space="preserve">PER-COL2 </v>
      </c>
      <c r="AV620" s="157" t="str">
        <f t="shared" si="430"/>
        <v>JUNIORS FEMALE</v>
      </c>
      <c r="AW620" s="157" t="str">
        <f t="shared" si="431"/>
        <v>Basketball</v>
      </c>
      <c r="AX620" s="376">
        <f t="shared" si="432"/>
        <v>618</v>
      </c>
      <c r="AY620" s="148" t="str">
        <f t="shared" si="433"/>
        <v>JR F - PER-&gt;JR F - COL 2</v>
      </c>
      <c r="AZ620" s="148" t="str">
        <f t="shared" si="434"/>
        <v>11/23/2017 13:50-&gt;JR F - PER</v>
      </c>
      <c r="BA620" s="148" t="str">
        <f t="shared" si="435"/>
        <v>11/23/2017 13:50-&gt;JR F - COL 2</v>
      </c>
      <c r="BB620" s="374">
        <f t="shared" si="436"/>
        <v>1</v>
      </c>
      <c r="BC620" s="374">
        <f t="shared" si="437"/>
        <v>1</v>
      </c>
      <c r="BD620" s="148" t="str">
        <f t="shared" si="438"/>
        <v>no conflict</v>
      </c>
      <c r="BF620" s="148" t="str">
        <f t="shared" si="439"/>
        <v>11/23/2017 13:50-&gt;JR F - PER</v>
      </c>
      <c r="BG620" s="148" t="str">
        <f t="shared" si="440"/>
        <v>11/23/2017 13:50-&gt;JR F - COL 2</v>
      </c>
      <c r="BH620" s="148" t="str">
        <f t="shared" si="441"/>
        <v>11/23/2017 13:50-&gt;Hillel - Gym Basketball</v>
      </c>
      <c r="BI620" s="148" t="str">
        <f t="shared" si="442"/>
        <v>Basketball in Hillel - Gym Basketball (PER-COL2)</v>
      </c>
      <c r="BJ620" s="148" t="str">
        <f t="shared" si="443"/>
        <v>Junior Female Basketball-- JR F - PER vs. JR F - COL 2</v>
      </c>
      <c r="BK620" s="148" t="str">
        <f t="shared" si="444"/>
        <v>Basketball</v>
      </c>
      <c r="BL620" s="148" t="str">
        <f t="shared" si="445"/>
        <v>JR F - PER</v>
      </c>
      <c r="BM620" s="148" t="str">
        <f t="shared" si="446"/>
        <v>JR F - COL 2</v>
      </c>
      <c r="BN620" s="148" t="str">
        <f t="shared" si="447"/>
        <v>Round - 1</v>
      </c>
      <c r="BP620" s="148" t="str">
        <f t="shared" si="448"/>
        <v>no t, f, or sf</v>
      </c>
      <c r="BQ620" s="148" t="str">
        <f t="shared" si="449"/>
        <v/>
      </c>
    </row>
    <row r="621" spans="1:69" ht="15" customHeight="1" x14ac:dyDescent="0.2">
      <c r="A621" s="376">
        <v>619</v>
      </c>
      <c r="B621" s="433" t="s">
        <v>68</v>
      </c>
      <c r="C621" s="315" t="s">
        <v>518</v>
      </c>
      <c r="D621" s="378">
        <v>1</v>
      </c>
      <c r="E621" s="378">
        <v>1</v>
      </c>
      <c r="F621" s="315" t="s">
        <v>770</v>
      </c>
      <c r="G621" s="316">
        <v>43062</v>
      </c>
      <c r="H621" s="317">
        <v>0.68055555555555547</v>
      </c>
      <c r="I621" s="325" t="s">
        <v>770</v>
      </c>
      <c r="J621" s="315" t="s">
        <v>707</v>
      </c>
      <c r="K621" s="315">
        <v>63</v>
      </c>
      <c r="L621" s="433" t="s">
        <v>669</v>
      </c>
      <c r="M621" s="433">
        <v>63</v>
      </c>
      <c r="N621" s="433" t="s">
        <v>666</v>
      </c>
      <c r="O621" s="153" t="str">
        <f>IF(L621&lt;&gt;"",IFERROR(VLOOKUP(B621&amp;L621,Pools!$A$2:$D$130,3,FALSE),""),"")</f>
        <v/>
      </c>
      <c r="P621" s="388">
        <v>9</v>
      </c>
      <c r="Q621" s="388">
        <v>15</v>
      </c>
      <c r="R621" s="306" t="str">
        <f t="shared" si="405"/>
        <v>9-15</v>
      </c>
      <c r="S621" s="153"/>
      <c r="T621" s="148" t="str">
        <f t="shared" si="406"/>
        <v>Completed</v>
      </c>
      <c r="U621" s="153"/>
      <c r="V621" s="153"/>
      <c r="W621" s="387">
        <f t="shared" si="407"/>
        <v>-6</v>
      </c>
      <c r="X621" s="387">
        <f t="shared" si="408"/>
        <v>6</v>
      </c>
      <c r="Y621" s="301">
        <f t="shared" si="409"/>
        <v>0</v>
      </c>
      <c r="Z621" s="301">
        <f t="shared" si="410"/>
        <v>2</v>
      </c>
      <c r="AA621" s="323" t="str">
        <f>CONCATENATE("                x[team1,team2,sport,'",IF(OR(I621="x",I621=""),VLOOKUP('Schedule from TM'!J622,Tables!$P$3:$Q$33,2,FALSE),'Schedule from TM'!I622),",",J621,"','",IF(OR(F621="x",F621=""),VLOOKUP('Schedule from TM'!G622,Tables!$U$3:$V$14,2,FALSE),'Schedule from TM'!F622),",",TEXT(G621,"mm/dd/yyyy"),"','",TEXT(H621,"h:mm:ss AM/PM"),"'].ub=0.0      #",B621)</f>
        <v xml:space="preserve">                x[team1,team2,sport,'21,Hillel - Gym Basketball','11,11/23/2017','4:20:00 PM'].ub=0.0      #Junior Female Basketball</v>
      </c>
      <c r="AB621" s="301" t="str">
        <f t="shared" si="411"/>
        <v>,,Junior Female Basketball,,1,JR F - VEN 2</v>
      </c>
      <c r="AC621" s="153" t="str">
        <f t="shared" si="412"/>
        <v>Junior Female BasketballJR F - VEN 2</v>
      </c>
      <c r="AD621" s="301" t="str">
        <f t="shared" si="413"/>
        <v>,,Junior Female Basketball,,1,JR F - COL 1</v>
      </c>
      <c r="AE621" s="153" t="str">
        <f t="shared" si="414"/>
        <v>Junior Female BasketballJR F - COL 1</v>
      </c>
      <c r="AF621" s="383">
        <f t="shared" si="415"/>
        <v>0</v>
      </c>
      <c r="AG621" s="383">
        <f t="shared" si="416"/>
        <v>1</v>
      </c>
      <c r="AH621" s="383">
        <f t="shared" si="417"/>
        <v>0</v>
      </c>
      <c r="AI621" s="383">
        <f t="shared" si="418"/>
        <v>1</v>
      </c>
      <c r="AJ621" s="383">
        <f t="shared" si="419"/>
        <v>0</v>
      </c>
      <c r="AK621" s="383">
        <f t="shared" si="420"/>
        <v>0</v>
      </c>
      <c r="AM621" s="148" t="str">
        <f t="shared" si="421"/>
        <v>Schedulled</v>
      </c>
      <c r="AN621" s="148" t="str">
        <f t="shared" si="422"/>
        <v/>
      </c>
      <c r="AO621" s="156">
        <f t="shared" si="423"/>
        <v>43062.680555555555</v>
      </c>
      <c r="AP621" s="148" t="str">
        <f t="shared" si="424"/>
        <v>11/23/2017 16:20-&gt;Hillel - Gym Basketball</v>
      </c>
      <c r="AQ621" s="374">
        <f t="shared" si="425"/>
        <v>1</v>
      </c>
      <c r="AR621" s="148" t="str">
        <f t="shared" si="426"/>
        <v>VEN2</v>
      </c>
      <c r="AS621" s="148" t="str">
        <f t="shared" si="427"/>
        <v>COL1</v>
      </c>
      <c r="AT621" s="157" t="str">
        <f t="shared" si="428"/>
        <v>VEN2-COL1</v>
      </c>
      <c r="AU621" s="157" t="str">
        <f t="shared" si="429"/>
        <v xml:space="preserve">VEN2-COL1 </v>
      </c>
      <c r="AV621" s="157" t="str">
        <f t="shared" si="430"/>
        <v>JUNIORS FEMALE</v>
      </c>
      <c r="AW621" s="157" t="str">
        <f t="shared" si="431"/>
        <v>Basketball</v>
      </c>
      <c r="AX621" s="376">
        <f t="shared" si="432"/>
        <v>619</v>
      </c>
      <c r="AY621" s="148" t="str">
        <f t="shared" si="433"/>
        <v>JR F - VEN 2-&gt;JR F - COL 1</v>
      </c>
      <c r="AZ621" s="148" t="str">
        <f t="shared" si="434"/>
        <v>11/23/2017 16:20-&gt;JR F - VEN 2</v>
      </c>
      <c r="BA621" s="148" t="str">
        <f t="shared" si="435"/>
        <v>11/23/2017 16:20-&gt;JR F - COL 1</v>
      </c>
      <c r="BB621" s="374">
        <f t="shared" si="436"/>
        <v>1</v>
      </c>
      <c r="BC621" s="374">
        <f t="shared" si="437"/>
        <v>1</v>
      </c>
      <c r="BD621" s="148" t="str">
        <f t="shared" si="438"/>
        <v>no conflict</v>
      </c>
      <c r="BF621" s="148" t="str">
        <f t="shared" si="439"/>
        <v>11/23/2017 16:20-&gt;JR F - VEN 2</v>
      </c>
      <c r="BG621" s="148" t="str">
        <f t="shared" si="440"/>
        <v>11/23/2017 16:20-&gt;JR F - COL 1</v>
      </c>
      <c r="BH621" s="148" t="str">
        <f t="shared" si="441"/>
        <v>11/23/2017 16:20-&gt;Hillel - Gym Basketball</v>
      </c>
      <c r="BI621" s="148" t="str">
        <f t="shared" si="442"/>
        <v>Basketball in Hillel - Gym Basketball (VEN2-COL1)</v>
      </c>
      <c r="BJ621" s="148" t="str">
        <f t="shared" si="443"/>
        <v>Junior Female Basketball-- JR F - VEN 2 vs. JR F - COL 1</v>
      </c>
      <c r="BK621" s="148" t="str">
        <f t="shared" si="444"/>
        <v>Basketball</v>
      </c>
      <c r="BL621" s="148" t="str">
        <f t="shared" si="445"/>
        <v>JR F - VEN 2</v>
      </c>
      <c r="BM621" s="148" t="str">
        <f t="shared" si="446"/>
        <v>JR F - COL 1</v>
      </c>
      <c r="BN621" s="148" t="str">
        <f t="shared" si="447"/>
        <v>Round - 1</v>
      </c>
      <c r="BP621" s="148" t="str">
        <f t="shared" si="448"/>
        <v>no t, f, or sf</v>
      </c>
      <c r="BQ621" s="148" t="str">
        <f t="shared" si="449"/>
        <v/>
      </c>
    </row>
    <row r="622" spans="1:69" ht="15" customHeight="1" x14ac:dyDescent="0.2">
      <c r="A622" s="376">
        <v>620</v>
      </c>
      <c r="B622" s="121" t="s">
        <v>68</v>
      </c>
      <c r="C622" s="121" t="s">
        <v>518</v>
      </c>
      <c r="D622" s="382">
        <v>1</v>
      </c>
      <c r="E622" s="382">
        <v>1</v>
      </c>
      <c r="F622" s="315" t="s">
        <v>770</v>
      </c>
      <c r="G622" s="206">
        <v>43063</v>
      </c>
      <c r="H622" s="454">
        <v>0.40277777777777773</v>
      </c>
      <c r="I622" s="325" t="s">
        <v>770</v>
      </c>
      <c r="J622" s="121" t="s">
        <v>707</v>
      </c>
      <c r="K622" s="121">
        <v>63</v>
      </c>
      <c r="L622" t="s">
        <v>667</v>
      </c>
      <c r="M622">
        <v>63</v>
      </c>
      <c r="N622" t="s">
        <v>668</v>
      </c>
      <c r="O622" s="153" t="str">
        <f>IF(L622&lt;&gt;"",IFERROR(VLOOKUP(B622&amp;L622,Pools!$A$2:$D$130,3,FALSE),""),"")</f>
        <v/>
      </c>
      <c r="P622" s="388">
        <v>45</v>
      </c>
      <c r="Q622" s="388">
        <v>25</v>
      </c>
      <c r="R622" s="306" t="str">
        <f t="shared" si="405"/>
        <v>45-25</v>
      </c>
      <c r="S622" s="153"/>
      <c r="T622" s="148" t="str">
        <f t="shared" si="406"/>
        <v>Completed</v>
      </c>
      <c r="U622" s="153"/>
      <c r="V622" s="153"/>
      <c r="W622" s="387">
        <f t="shared" si="407"/>
        <v>15</v>
      </c>
      <c r="X622" s="387">
        <f t="shared" si="408"/>
        <v>-15</v>
      </c>
      <c r="Y622" s="301">
        <f t="shared" si="409"/>
        <v>2</v>
      </c>
      <c r="Z622" s="301">
        <f t="shared" si="410"/>
        <v>0</v>
      </c>
      <c r="AA622" s="323" t="str">
        <f>CONCATENATE("                x[team1,team2,sport,'",IF(OR(I622="x",I622=""),VLOOKUP('Schedule from TM'!J623,Tables!$P$3:$Q$33,2,FALSE),'Schedule from TM'!I623),",",J622,"','",IF(OR(F622="x",F622=""),VLOOKUP('Schedule from TM'!G623,Tables!$U$3:$V$14,2,FALSE),'Schedule from TM'!F623),",",TEXT(G622,"mm/dd/yyyy"),"','",TEXT(H622,"h:mm:ss AM/PM"),"'].ub=0.0      #",B622)</f>
        <v xml:space="preserve">                x[team1,team2,sport,'21,Hillel - Gym Basketball','11,11/24/2017','9:40:00 AM'].ub=0.0      #Junior Female Basketball</v>
      </c>
      <c r="AB622" s="301" t="str">
        <f t="shared" si="411"/>
        <v>,,Junior Female Basketball,,1,JR F - USA 2</v>
      </c>
      <c r="AC622" s="153" t="str">
        <f t="shared" si="412"/>
        <v>Junior Female BasketballJR F - USA 2</v>
      </c>
      <c r="AD622" s="301" t="str">
        <f t="shared" si="413"/>
        <v>,,Junior Female Basketball,,1,JR F - VEN 1</v>
      </c>
      <c r="AE622" s="153" t="str">
        <f t="shared" si="414"/>
        <v>Junior Female BasketballJR F - VEN 1</v>
      </c>
      <c r="AF622" s="383">
        <f t="shared" si="415"/>
        <v>1</v>
      </c>
      <c r="AG622" s="383">
        <f t="shared" si="416"/>
        <v>0</v>
      </c>
      <c r="AH622" s="383">
        <f t="shared" si="417"/>
        <v>0</v>
      </c>
      <c r="AI622" s="383">
        <f t="shared" si="418"/>
        <v>0</v>
      </c>
      <c r="AJ622" s="383">
        <f t="shared" si="419"/>
        <v>1</v>
      </c>
      <c r="AK622" s="383">
        <f t="shared" si="420"/>
        <v>0</v>
      </c>
      <c r="AM622" s="148" t="str">
        <f t="shared" si="421"/>
        <v>Schedulled</v>
      </c>
      <c r="AN622" s="148" t="str">
        <f t="shared" si="422"/>
        <v/>
      </c>
      <c r="AO622" s="156">
        <f t="shared" si="423"/>
        <v>43063.402777777781</v>
      </c>
      <c r="AP622" s="148" t="str">
        <f t="shared" si="424"/>
        <v>11/24/2017 09:40-&gt;Hillel - Gym Basketball</v>
      </c>
      <c r="AQ622" s="374">
        <f t="shared" si="425"/>
        <v>1</v>
      </c>
      <c r="AR622" s="148" t="str">
        <f t="shared" si="426"/>
        <v>USA2</v>
      </c>
      <c r="AS622" s="148" t="str">
        <f t="shared" si="427"/>
        <v>VEN1</v>
      </c>
      <c r="AT622" s="157" t="str">
        <f t="shared" si="428"/>
        <v>USA2-VEN1</v>
      </c>
      <c r="AU622" s="157" t="str">
        <f t="shared" si="429"/>
        <v xml:space="preserve">USA2-VEN1 </v>
      </c>
      <c r="AV622" s="157" t="str">
        <f t="shared" si="430"/>
        <v>JUNIORS FEMALE</v>
      </c>
      <c r="AW622" s="157" t="str">
        <f t="shared" si="431"/>
        <v>Basketball</v>
      </c>
      <c r="AX622" s="376">
        <f t="shared" si="432"/>
        <v>620</v>
      </c>
      <c r="AY622" s="148" t="str">
        <f t="shared" si="433"/>
        <v>JR F - USA 2-&gt;JR F - VEN 1</v>
      </c>
      <c r="AZ622" s="148" t="str">
        <f t="shared" si="434"/>
        <v>11/24/2017 09:40-&gt;JR F - USA 2</v>
      </c>
      <c r="BA622" s="148" t="str">
        <f t="shared" si="435"/>
        <v>11/24/2017 09:40-&gt;JR F - VEN 1</v>
      </c>
      <c r="BB622" s="374">
        <f t="shared" si="436"/>
        <v>1</v>
      </c>
      <c r="BC622" s="374">
        <f t="shared" si="437"/>
        <v>1</v>
      </c>
      <c r="BD622" s="148" t="str">
        <f t="shared" si="438"/>
        <v>no conflict</v>
      </c>
      <c r="BF622" s="148" t="str">
        <f t="shared" si="439"/>
        <v>11/24/2017 09:40-&gt;JR F - USA 2</v>
      </c>
      <c r="BG622" s="148" t="str">
        <f t="shared" si="440"/>
        <v>11/24/2017 09:40-&gt;JR F - VEN 1</v>
      </c>
      <c r="BH622" s="148" t="str">
        <f t="shared" si="441"/>
        <v>11/24/2017 09:40-&gt;Hillel - Gym Basketball</v>
      </c>
      <c r="BI622" s="148" t="str">
        <f t="shared" si="442"/>
        <v>Basketball in Hillel - Gym Basketball (USA2-VEN1)</v>
      </c>
      <c r="BJ622" s="148" t="str">
        <f t="shared" si="443"/>
        <v>Junior Female Basketball-- JR F - USA 2 vs. JR F - VEN 1</v>
      </c>
      <c r="BK622" s="148" t="str">
        <f t="shared" si="444"/>
        <v>Basketball</v>
      </c>
      <c r="BL622" s="148" t="str">
        <f t="shared" si="445"/>
        <v>JR F - USA 2</v>
      </c>
      <c r="BM622" s="148" t="str">
        <f t="shared" si="446"/>
        <v>JR F - VEN 1</v>
      </c>
      <c r="BN622" s="148" t="str">
        <f t="shared" si="447"/>
        <v>Round - 1</v>
      </c>
      <c r="BP622" s="148" t="str">
        <f t="shared" si="448"/>
        <v>no t, f, or sf</v>
      </c>
      <c r="BQ622" s="148" t="str">
        <f t="shared" si="449"/>
        <v/>
      </c>
    </row>
    <row r="623" spans="1:69" ht="15" customHeight="1" x14ac:dyDescent="0.2">
      <c r="A623" s="376">
        <v>621</v>
      </c>
      <c r="B623" s="433" t="s">
        <v>68</v>
      </c>
      <c r="C623" s="315" t="s">
        <v>518</v>
      </c>
      <c r="D623" s="378">
        <v>1</v>
      </c>
      <c r="E623" s="378">
        <v>1</v>
      </c>
      <c r="F623" s="315" t="s">
        <v>770</v>
      </c>
      <c r="G623" s="316">
        <v>43063</v>
      </c>
      <c r="H623" s="454">
        <v>0.50694444444444442</v>
      </c>
      <c r="I623" s="325" t="s">
        <v>770</v>
      </c>
      <c r="J623" s="315" t="s">
        <v>707</v>
      </c>
      <c r="K623" s="315">
        <v>63</v>
      </c>
      <c r="L623" t="s">
        <v>659</v>
      </c>
      <c r="M623">
        <v>63</v>
      </c>
      <c r="N623" t="s">
        <v>776</v>
      </c>
      <c r="O623" s="153" t="str">
        <f>IF(L623&lt;&gt;"",IFERROR(VLOOKUP(B623&amp;L623,Pools!$A$2:$D$130,3,FALSE),""),"")</f>
        <v/>
      </c>
      <c r="P623" s="388">
        <v>8</v>
      </c>
      <c r="Q623" s="388">
        <v>6</v>
      </c>
      <c r="R623" s="306" t="str">
        <f t="shared" si="405"/>
        <v>8-6</v>
      </c>
      <c r="S623" s="153"/>
      <c r="T623" s="148" t="str">
        <f t="shared" si="406"/>
        <v>Completed</v>
      </c>
      <c r="U623" s="153"/>
      <c r="V623" s="153"/>
      <c r="W623" s="387">
        <f t="shared" si="407"/>
        <v>2</v>
      </c>
      <c r="X623" s="387">
        <f t="shared" si="408"/>
        <v>-2</v>
      </c>
      <c r="Y623" s="301">
        <f t="shared" si="409"/>
        <v>2</v>
      </c>
      <c r="Z623" s="301">
        <f t="shared" si="410"/>
        <v>0</v>
      </c>
      <c r="AA623" s="323" t="str">
        <f>CONCATENATE("                x[team1,team2,sport,'",IF(OR(I623="x",I623=""),VLOOKUP('Schedule from TM'!J624,Tables!$P$3:$Q$33,2,FALSE),'Schedule from TM'!I624),",",J623,"','",IF(OR(F623="x",F623=""),VLOOKUP('Schedule from TM'!G624,Tables!$U$3:$V$14,2,FALSE),'Schedule from TM'!F624),",",TEXT(G623,"mm/dd/yyyy"),"','",TEXT(H623,"h:mm:ss AM/PM"),"'].ub=0.0      #",B623)</f>
        <v xml:space="preserve">                x[team1,team2,sport,'11,Hillel - Gym Basketball','11,11/24/2017','12:10:00 PM'].ub=0.0      #Junior Female Basketball</v>
      </c>
      <c r="AB623" s="301" t="str">
        <f t="shared" si="411"/>
        <v>,,Junior Female Basketball,,1,JR F - ARG 1</v>
      </c>
      <c r="AC623" s="153" t="str">
        <f t="shared" si="412"/>
        <v>Junior Female BasketballJR F - ARG 1</v>
      </c>
      <c r="AD623" s="301" t="str">
        <f t="shared" si="413"/>
        <v>,,Junior Female Basketball,,1,JR F - USA 3</v>
      </c>
      <c r="AE623" s="153" t="str">
        <f t="shared" si="414"/>
        <v>Junior Female BasketballJR F - USA 3</v>
      </c>
      <c r="AF623" s="383">
        <f t="shared" si="415"/>
        <v>1</v>
      </c>
      <c r="AG623" s="383">
        <f t="shared" si="416"/>
        <v>0</v>
      </c>
      <c r="AH623" s="383">
        <f t="shared" si="417"/>
        <v>0</v>
      </c>
      <c r="AI623" s="383">
        <f t="shared" si="418"/>
        <v>0</v>
      </c>
      <c r="AJ623" s="383">
        <f t="shared" si="419"/>
        <v>1</v>
      </c>
      <c r="AK623" s="383">
        <f t="shared" si="420"/>
        <v>0</v>
      </c>
      <c r="AM623" s="148" t="str">
        <f t="shared" si="421"/>
        <v>Schedulled</v>
      </c>
      <c r="AN623" s="148" t="str">
        <f t="shared" si="422"/>
        <v/>
      </c>
      <c r="AO623" s="156">
        <f t="shared" si="423"/>
        <v>43063.506944444445</v>
      </c>
      <c r="AP623" s="148" t="str">
        <f t="shared" si="424"/>
        <v>11/24/2017 12:10-&gt;Hillel - Gym Basketball</v>
      </c>
      <c r="AQ623" s="374">
        <f t="shared" si="425"/>
        <v>1</v>
      </c>
      <c r="AR623" s="148" t="str">
        <f t="shared" si="426"/>
        <v>ARG1</v>
      </c>
      <c r="AS623" s="148" t="str">
        <f t="shared" si="427"/>
        <v>USA3</v>
      </c>
      <c r="AT623" s="157" t="str">
        <f t="shared" si="428"/>
        <v>ARG1-USA3</v>
      </c>
      <c r="AU623" s="157" t="str">
        <f t="shared" si="429"/>
        <v xml:space="preserve">ARG1-USA3 </v>
      </c>
      <c r="AV623" s="157" t="str">
        <f t="shared" si="430"/>
        <v>JUNIORS FEMALE</v>
      </c>
      <c r="AW623" s="157" t="str">
        <f t="shared" si="431"/>
        <v>Basketball</v>
      </c>
      <c r="AX623" s="376">
        <f t="shared" si="432"/>
        <v>621</v>
      </c>
      <c r="AY623" s="148" t="str">
        <f t="shared" si="433"/>
        <v>JR F - ARG 1-&gt;JR F - USA 3</v>
      </c>
      <c r="AZ623" s="148" t="str">
        <f t="shared" si="434"/>
        <v>11/24/2017 12:10-&gt;JR F - ARG 1</v>
      </c>
      <c r="BA623" s="148" t="str">
        <f t="shared" si="435"/>
        <v>11/24/2017 12:10-&gt;JR F - USA 3</v>
      </c>
      <c r="BB623" s="374">
        <f t="shared" si="436"/>
        <v>1</v>
      </c>
      <c r="BC623" s="374">
        <f t="shared" si="437"/>
        <v>1</v>
      </c>
      <c r="BD623" s="148" t="str">
        <f t="shared" si="438"/>
        <v>no conflict</v>
      </c>
      <c r="BF623" s="148" t="str">
        <f t="shared" si="439"/>
        <v>11/24/2017 12:10-&gt;JR F - ARG 1</v>
      </c>
      <c r="BG623" s="148" t="str">
        <f t="shared" si="440"/>
        <v>11/24/2017 12:10-&gt;JR F - USA 3</v>
      </c>
      <c r="BH623" s="148" t="str">
        <f t="shared" si="441"/>
        <v>11/24/2017 12:10-&gt;Hillel - Gym Basketball</v>
      </c>
      <c r="BI623" s="148" t="str">
        <f t="shared" si="442"/>
        <v>Basketball in Hillel - Gym Basketball (ARG1-USA3)</v>
      </c>
      <c r="BJ623" s="148" t="str">
        <f t="shared" si="443"/>
        <v>Junior Female Basketball-- JR F - ARG 1 vs. JR F - USA 3</v>
      </c>
      <c r="BK623" s="148" t="str">
        <f t="shared" si="444"/>
        <v>Basketball</v>
      </c>
      <c r="BL623" s="148" t="str">
        <f t="shared" si="445"/>
        <v>JR F - ARG 1</v>
      </c>
      <c r="BM623" s="148" t="str">
        <f t="shared" si="446"/>
        <v>JR F - USA 3</v>
      </c>
      <c r="BN623" s="148" t="str">
        <f t="shared" si="447"/>
        <v>Round - 1</v>
      </c>
      <c r="BP623" s="148" t="str">
        <f t="shared" si="448"/>
        <v>no t, f, or sf</v>
      </c>
      <c r="BQ623" s="148" t="str">
        <f t="shared" si="449"/>
        <v/>
      </c>
    </row>
    <row r="624" spans="1:69" ht="15" customHeight="1" x14ac:dyDescent="0.2">
      <c r="A624" s="376">
        <v>622</v>
      </c>
      <c r="B624" s="444" t="s">
        <v>68</v>
      </c>
      <c r="C624" s="315" t="s">
        <v>518</v>
      </c>
      <c r="D624" s="378">
        <v>1</v>
      </c>
      <c r="E624" s="378">
        <v>1</v>
      </c>
      <c r="F624" s="315" t="s">
        <v>770</v>
      </c>
      <c r="G624" s="316">
        <v>43063</v>
      </c>
      <c r="H624" s="454">
        <v>0.50694444444444442</v>
      </c>
      <c r="I624" s="325" t="s">
        <v>770</v>
      </c>
      <c r="J624" s="315" t="s">
        <v>696</v>
      </c>
      <c r="K624" s="315">
        <v>63</v>
      </c>
      <c r="L624" s="433" t="s">
        <v>665</v>
      </c>
      <c r="M624" s="433">
        <v>63</v>
      </c>
      <c r="N624" s="433" t="s">
        <v>666</v>
      </c>
      <c r="O624" s="153" t="str">
        <f>IF(L624&lt;&gt;"",IFERROR(VLOOKUP(B624&amp;L624,Pools!$A$2:$D$130,3,FALSE),""),"")</f>
        <v/>
      </c>
      <c r="P624" s="388">
        <v>2</v>
      </c>
      <c r="Q624" s="388">
        <v>23</v>
      </c>
      <c r="R624" s="306" t="str">
        <f t="shared" si="405"/>
        <v>2-23</v>
      </c>
      <c r="S624" s="153"/>
      <c r="T624" s="148" t="str">
        <f t="shared" si="406"/>
        <v>Completed</v>
      </c>
      <c r="U624" s="153"/>
      <c r="V624" s="153"/>
      <c r="W624" s="387">
        <f t="shared" si="407"/>
        <v>-15</v>
      </c>
      <c r="X624" s="387">
        <f t="shared" si="408"/>
        <v>15</v>
      </c>
      <c r="Y624" s="301">
        <f t="shared" si="409"/>
        <v>0</v>
      </c>
      <c r="Z624" s="301">
        <f t="shared" si="410"/>
        <v>2</v>
      </c>
      <c r="AA624" s="323" t="str">
        <f>CONCATENATE("                x[team1,team2,sport,'",IF(OR(I624="x",I624=""),VLOOKUP('Schedule from TM'!J625,Tables!$P$3:$Q$33,2,FALSE),'Schedule from TM'!I625),",",J624,"','",IF(OR(F624="x",F624=""),VLOOKUP('Schedule from TM'!G625,Tables!$U$3:$V$14,2,FALSE),'Schedule from TM'!F625),",",TEXT(G624,"mm/dd/yyyy"),"','",TEXT(H624,"h:mm:ss AM/PM"),"'].ub=0.0      #",B624)</f>
        <v xml:space="preserve">                x[team1,team2,sport,'11,JCC Gym North','11,11/24/2017','12:10:00 PM'].ub=0.0      #Junior Female Basketball</v>
      </c>
      <c r="AB624" s="301" t="str">
        <f t="shared" si="411"/>
        <v>,,Junior Female Basketball,,1,JR F - USA 1</v>
      </c>
      <c r="AC624" s="153" t="str">
        <f t="shared" si="412"/>
        <v>Junior Female BasketballJR F - USA 1</v>
      </c>
      <c r="AD624" s="301" t="str">
        <f t="shared" si="413"/>
        <v>,,Junior Female Basketball,,1,JR F - COL 1</v>
      </c>
      <c r="AE624" s="153" t="str">
        <f t="shared" si="414"/>
        <v>Junior Female BasketballJR F - COL 1</v>
      </c>
      <c r="AF624" s="383">
        <f t="shared" si="415"/>
        <v>0</v>
      </c>
      <c r="AG624" s="383">
        <f t="shared" si="416"/>
        <v>1</v>
      </c>
      <c r="AH624" s="383">
        <f t="shared" si="417"/>
        <v>0</v>
      </c>
      <c r="AI624" s="383">
        <f t="shared" si="418"/>
        <v>1</v>
      </c>
      <c r="AJ624" s="383">
        <f t="shared" si="419"/>
        <v>0</v>
      </c>
      <c r="AK624" s="383">
        <f t="shared" si="420"/>
        <v>0</v>
      </c>
      <c r="AM624" s="148" t="str">
        <f t="shared" si="421"/>
        <v>Schedulled</v>
      </c>
      <c r="AN624" s="148" t="str">
        <f t="shared" si="422"/>
        <v/>
      </c>
      <c r="AO624" s="156">
        <f t="shared" si="423"/>
        <v>43063.506944444445</v>
      </c>
      <c r="AP624" s="148" t="str">
        <f t="shared" si="424"/>
        <v>11/24/2017 12:10-&gt;JCC Gym North</v>
      </c>
      <c r="AQ624" s="374">
        <f t="shared" si="425"/>
        <v>1</v>
      </c>
      <c r="AR624" s="148" t="str">
        <f t="shared" si="426"/>
        <v>USA1</v>
      </c>
      <c r="AS624" s="148" t="str">
        <f t="shared" si="427"/>
        <v>COL1</v>
      </c>
      <c r="AT624" s="157" t="str">
        <f t="shared" si="428"/>
        <v>USA1-COL1</v>
      </c>
      <c r="AU624" s="157" t="str">
        <f t="shared" si="429"/>
        <v xml:space="preserve">USA1-COL1 </v>
      </c>
      <c r="AV624" s="157" t="str">
        <f t="shared" si="430"/>
        <v>JUNIORS FEMALE</v>
      </c>
      <c r="AW624" s="157" t="str">
        <f t="shared" si="431"/>
        <v>Basketball</v>
      </c>
      <c r="AX624" s="376">
        <f t="shared" si="432"/>
        <v>622</v>
      </c>
      <c r="AY624" s="148" t="str">
        <f t="shared" si="433"/>
        <v>JR F - USA 1-&gt;JR F - COL 1</v>
      </c>
      <c r="AZ624" s="148" t="str">
        <f t="shared" si="434"/>
        <v>11/24/2017 12:10-&gt;JR F - USA 1</v>
      </c>
      <c r="BA624" s="148" t="str">
        <f t="shared" si="435"/>
        <v>11/24/2017 12:10-&gt;JR F - COL 1</v>
      </c>
      <c r="BB624" s="374">
        <f t="shared" si="436"/>
        <v>1</v>
      </c>
      <c r="BC624" s="374">
        <f t="shared" si="437"/>
        <v>1</v>
      </c>
      <c r="BD624" s="148" t="str">
        <f t="shared" si="438"/>
        <v>no conflict</v>
      </c>
      <c r="BF624" s="148" t="str">
        <f t="shared" si="439"/>
        <v>11/24/2017 12:10-&gt;JR F - USA 1</v>
      </c>
      <c r="BG624" s="148" t="str">
        <f t="shared" si="440"/>
        <v>11/24/2017 12:10-&gt;JR F - COL 1</v>
      </c>
      <c r="BH624" s="148" t="str">
        <f t="shared" si="441"/>
        <v>11/24/2017 12:10-&gt;JCC Gym North</v>
      </c>
      <c r="BI624" s="148" t="str">
        <f t="shared" si="442"/>
        <v>Basketball in JCC Gym North (USA1-COL1)</v>
      </c>
      <c r="BJ624" s="148" t="str">
        <f t="shared" si="443"/>
        <v>Junior Female Basketball-- JR F - USA 1 vs. JR F - COL 1</v>
      </c>
      <c r="BK624" s="148" t="str">
        <f t="shared" si="444"/>
        <v>Basketball</v>
      </c>
      <c r="BL624" s="148" t="str">
        <f t="shared" si="445"/>
        <v>JR F - USA 1</v>
      </c>
      <c r="BM624" s="148" t="str">
        <f t="shared" si="446"/>
        <v>JR F - COL 1</v>
      </c>
      <c r="BN624" s="148" t="str">
        <f t="shared" si="447"/>
        <v>Round - 1</v>
      </c>
      <c r="BP624" s="148" t="str">
        <f t="shared" si="448"/>
        <v>no t, f, or sf</v>
      </c>
      <c r="BQ624" s="148" t="str">
        <f t="shared" si="449"/>
        <v/>
      </c>
    </row>
    <row r="625" spans="1:83" ht="15" customHeight="1" x14ac:dyDescent="0.2">
      <c r="A625" s="376">
        <v>623</v>
      </c>
      <c r="B625" s="121" t="s">
        <v>68</v>
      </c>
      <c r="C625" s="121" t="s">
        <v>518</v>
      </c>
      <c r="D625" s="382">
        <v>1</v>
      </c>
      <c r="E625" s="382">
        <v>1</v>
      </c>
      <c r="F625" s="315" t="s">
        <v>770</v>
      </c>
      <c r="G625" s="206">
        <v>43063</v>
      </c>
      <c r="H625" s="454">
        <v>0.54166666666666663</v>
      </c>
      <c r="I625" s="325" t="s">
        <v>770</v>
      </c>
      <c r="J625" s="121" t="s">
        <v>696</v>
      </c>
      <c r="K625" s="121">
        <v>63</v>
      </c>
      <c r="L625" t="s">
        <v>661</v>
      </c>
      <c r="M625">
        <v>63</v>
      </c>
      <c r="N625" t="s">
        <v>660</v>
      </c>
      <c r="O625" s="153" t="str">
        <f>IF(L625&lt;&gt;"",IFERROR(VLOOKUP(B625&amp;L625,Pools!$A$2:$D$130,3,FALSE),""),"")</f>
        <v/>
      </c>
      <c r="P625" s="388">
        <v>23</v>
      </c>
      <c r="Q625" s="388">
        <v>36</v>
      </c>
      <c r="R625" s="306" t="str">
        <f t="shared" si="405"/>
        <v>23-36</v>
      </c>
      <c r="S625" s="153"/>
      <c r="T625" s="148" t="str">
        <f t="shared" si="406"/>
        <v>Completed</v>
      </c>
      <c r="U625" s="153"/>
      <c r="V625" s="153"/>
      <c r="W625" s="387">
        <f t="shared" si="407"/>
        <v>-13</v>
      </c>
      <c r="X625" s="387">
        <f t="shared" si="408"/>
        <v>13</v>
      </c>
      <c r="Y625" s="301">
        <f t="shared" si="409"/>
        <v>0</v>
      </c>
      <c r="Z625" s="301">
        <f t="shared" si="410"/>
        <v>2</v>
      </c>
      <c r="AA625" s="323" t="str">
        <f>CONCATENATE("                x[team1,team2,sport,'",IF(OR(I625="x",I625=""),VLOOKUP('Schedule from TM'!J626,Tables!$P$3:$Q$33,2,FALSE),'Schedule from TM'!I626),",",J625,"','",IF(OR(F625="x",F625=""),VLOOKUP('Schedule from TM'!G626,Tables!$U$3:$V$14,2,FALSE),'Schedule from TM'!F626),",",TEXT(G625,"mm/dd/yyyy"),"','",TEXT(H625,"h:mm:ss AM/PM"),"'].ub=0.0      #",B625)</f>
        <v xml:space="preserve">                x[team1,team2,sport,'11,JCC Gym North','11,11/24/2017','1:00:00 PM'].ub=0.0      #Junior Female Basketball</v>
      </c>
      <c r="AB625" s="301" t="str">
        <f t="shared" si="411"/>
        <v>,,Junior Female Basketball,,1,JR F - ISR 1</v>
      </c>
      <c r="AC625" s="153" t="str">
        <f t="shared" si="412"/>
        <v>Junior Female BasketballJR F - ISR 1</v>
      </c>
      <c r="AD625" s="301" t="str">
        <f t="shared" si="413"/>
        <v>,,Junior Female Basketball,,1,JR F - COL 2</v>
      </c>
      <c r="AE625" s="153" t="str">
        <f t="shared" si="414"/>
        <v>Junior Female BasketballJR F - COL 2</v>
      </c>
      <c r="AF625" s="383">
        <f t="shared" si="415"/>
        <v>0</v>
      </c>
      <c r="AG625" s="383">
        <f t="shared" si="416"/>
        <v>1</v>
      </c>
      <c r="AH625" s="383">
        <f t="shared" si="417"/>
        <v>0</v>
      </c>
      <c r="AI625" s="383">
        <f t="shared" si="418"/>
        <v>1</v>
      </c>
      <c r="AJ625" s="383">
        <f t="shared" si="419"/>
        <v>0</v>
      </c>
      <c r="AK625" s="383">
        <f t="shared" si="420"/>
        <v>0</v>
      </c>
      <c r="AM625" s="148" t="str">
        <f t="shared" si="421"/>
        <v>Schedulled</v>
      </c>
      <c r="AN625" s="148" t="str">
        <f t="shared" si="422"/>
        <v/>
      </c>
      <c r="AO625" s="156">
        <f t="shared" si="423"/>
        <v>43063.541666666664</v>
      </c>
      <c r="AP625" s="148" t="str">
        <f t="shared" si="424"/>
        <v>11/24/2017 13:00-&gt;JCC Gym North</v>
      </c>
      <c r="AQ625" s="374">
        <f t="shared" si="425"/>
        <v>1</v>
      </c>
      <c r="AR625" s="148" t="str">
        <f t="shared" si="426"/>
        <v>ISR1</v>
      </c>
      <c r="AS625" s="148" t="str">
        <f t="shared" si="427"/>
        <v>COL2</v>
      </c>
      <c r="AT625" s="157" t="str">
        <f t="shared" si="428"/>
        <v>ISR1-COL2</v>
      </c>
      <c r="AU625" s="157" t="str">
        <f t="shared" si="429"/>
        <v xml:space="preserve">ISR1-COL2 </v>
      </c>
      <c r="AV625" s="157" t="str">
        <f t="shared" si="430"/>
        <v>JUNIORS FEMALE</v>
      </c>
      <c r="AW625" s="157" t="str">
        <f t="shared" si="431"/>
        <v>Basketball</v>
      </c>
      <c r="AX625" s="376">
        <f t="shared" si="432"/>
        <v>623</v>
      </c>
      <c r="AY625" s="148" t="str">
        <f t="shared" si="433"/>
        <v>JR F - ISR 1-&gt;JR F - COL 2</v>
      </c>
      <c r="AZ625" s="148" t="str">
        <f t="shared" si="434"/>
        <v>11/24/2017 13:00-&gt;JR F - ISR 1</v>
      </c>
      <c r="BA625" s="148" t="str">
        <f t="shared" si="435"/>
        <v>11/24/2017 13:00-&gt;JR F - COL 2</v>
      </c>
      <c r="BB625" s="374">
        <f t="shared" si="436"/>
        <v>1</v>
      </c>
      <c r="BC625" s="374">
        <f t="shared" si="437"/>
        <v>1</v>
      </c>
      <c r="BD625" s="148" t="str">
        <f t="shared" si="438"/>
        <v>no conflict</v>
      </c>
      <c r="BF625" s="148" t="str">
        <f t="shared" si="439"/>
        <v>11/24/2017 13:00-&gt;JR F - ISR 1</v>
      </c>
      <c r="BG625" s="148" t="str">
        <f t="shared" si="440"/>
        <v>11/24/2017 13:00-&gt;JR F - COL 2</v>
      </c>
      <c r="BH625" s="148" t="str">
        <f t="shared" si="441"/>
        <v>11/24/2017 13:00-&gt;JCC Gym North</v>
      </c>
      <c r="BI625" s="148" t="str">
        <f t="shared" si="442"/>
        <v>Basketball in JCC Gym North (ISR1-COL2)</v>
      </c>
      <c r="BJ625" s="148" t="str">
        <f t="shared" si="443"/>
        <v>Junior Female Basketball-- JR F - ISR 1 vs. JR F - COL 2</v>
      </c>
      <c r="BK625" s="148" t="str">
        <f t="shared" si="444"/>
        <v>Basketball</v>
      </c>
      <c r="BL625" s="148" t="str">
        <f t="shared" si="445"/>
        <v>JR F - ISR 1</v>
      </c>
      <c r="BM625" s="148" t="str">
        <f t="shared" si="446"/>
        <v>JR F - COL 2</v>
      </c>
      <c r="BN625" s="148" t="str">
        <f t="shared" si="447"/>
        <v>Round - 1</v>
      </c>
      <c r="BP625" s="148" t="str">
        <f t="shared" si="448"/>
        <v>no t, f, or sf</v>
      </c>
      <c r="BQ625" s="148" t="str">
        <f t="shared" si="449"/>
        <v/>
      </c>
    </row>
    <row r="626" spans="1:83" ht="15" customHeight="1" x14ac:dyDescent="0.2">
      <c r="A626" s="376">
        <v>624</v>
      </c>
      <c r="B626" s="444" t="s">
        <v>68</v>
      </c>
      <c r="C626" s="444" t="s">
        <v>518</v>
      </c>
      <c r="D626" s="451">
        <v>1</v>
      </c>
      <c r="E626" s="451">
        <v>1</v>
      </c>
      <c r="F626" s="315" t="s">
        <v>770</v>
      </c>
      <c r="G626" s="445">
        <v>43063</v>
      </c>
      <c r="H626" s="454">
        <v>0.57638888888888895</v>
      </c>
      <c r="I626" s="325" t="s">
        <v>770</v>
      </c>
      <c r="J626" s="444" t="s">
        <v>696</v>
      </c>
      <c r="K626" s="444">
        <v>63</v>
      </c>
      <c r="L626" t="s">
        <v>665</v>
      </c>
      <c r="M626">
        <v>63</v>
      </c>
      <c r="N626" t="s">
        <v>668</v>
      </c>
      <c r="O626" s="153" t="str">
        <f>IF(L626&lt;&gt;"",IFERROR(VLOOKUP(B626&amp;L626,Pools!$A$2:$D$130,3,FALSE),""),"")</f>
        <v/>
      </c>
      <c r="P626" s="388">
        <v>17</v>
      </c>
      <c r="Q626" s="388">
        <v>19</v>
      </c>
      <c r="R626" s="306" t="str">
        <f t="shared" si="405"/>
        <v>17-19</v>
      </c>
      <c r="S626" s="153"/>
      <c r="T626" s="148" t="str">
        <f t="shared" si="406"/>
        <v>Completed</v>
      </c>
      <c r="U626" s="153"/>
      <c r="V626" s="153"/>
      <c r="W626" s="387">
        <f t="shared" si="407"/>
        <v>-2</v>
      </c>
      <c r="X626" s="387">
        <f t="shared" si="408"/>
        <v>2</v>
      </c>
      <c r="Y626" s="301">
        <f t="shared" si="409"/>
        <v>0</v>
      </c>
      <c r="Z626" s="301">
        <f t="shared" si="410"/>
        <v>2</v>
      </c>
      <c r="AA626" s="323" t="str">
        <f>CONCATENATE("                x[team1,team2,sport,'",IF(OR(I626="x",I626=""),VLOOKUP('Schedule from TM'!J627,Tables!$P$3:$Q$33,2,FALSE),'Schedule from TM'!I627),",",J626,"','",IF(OR(F626="x",F626=""),VLOOKUP('Schedule from TM'!G627,Tables!$U$3:$V$14,2,FALSE),'Schedule from TM'!F627),",",TEXT(G626,"mm/dd/yyyy"),"','",TEXT(H626,"h:mm:ss AM/PM"),"'].ub=0.0      #",B626)</f>
        <v xml:space="preserve">                x[team1,team2,sport,'11,JCC Gym North','11,11/24/2017','1:50:00 PM'].ub=0.0      #Junior Female Basketball</v>
      </c>
      <c r="AB626" s="301" t="str">
        <f t="shared" si="411"/>
        <v>,,Junior Female Basketball,,1,JR F - USA 1</v>
      </c>
      <c r="AC626" s="153" t="str">
        <f t="shared" si="412"/>
        <v>Junior Female BasketballJR F - USA 1</v>
      </c>
      <c r="AD626" s="301" t="str">
        <f t="shared" si="413"/>
        <v>,,Junior Female Basketball,,1,JR F - VEN 1</v>
      </c>
      <c r="AE626" s="153" t="str">
        <f t="shared" si="414"/>
        <v>Junior Female BasketballJR F - VEN 1</v>
      </c>
      <c r="AF626" s="383">
        <f t="shared" si="415"/>
        <v>0</v>
      </c>
      <c r="AG626" s="383">
        <f t="shared" si="416"/>
        <v>1</v>
      </c>
      <c r="AH626" s="383">
        <f t="shared" si="417"/>
        <v>0</v>
      </c>
      <c r="AI626" s="383">
        <f t="shared" si="418"/>
        <v>1</v>
      </c>
      <c r="AJ626" s="383">
        <f t="shared" si="419"/>
        <v>0</v>
      </c>
      <c r="AK626" s="383">
        <f t="shared" si="420"/>
        <v>0</v>
      </c>
      <c r="AM626" s="148" t="str">
        <f t="shared" si="421"/>
        <v>Schedulled</v>
      </c>
      <c r="AN626" s="148" t="str">
        <f t="shared" si="422"/>
        <v/>
      </c>
      <c r="AO626" s="156">
        <f t="shared" si="423"/>
        <v>43063.576388888891</v>
      </c>
      <c r="AP626" s="148" t="str">
        <f t="shared" si="424"/>
        <v>11/24/2017 13:50-&gt;JCC Gym North</v>
      </c>
      <c r="AQ626" s="374">
        <f t="shared" si="425"/>
        <v>1</v>
      </c>
      <c r="AR626" s="148" t="str">
        <f t="shared" si="426"/>
        <v>USA1</v>
      </c>
      <c r="AS626" s="148" t="str">
        <f t="shared" si="427"/>
        <v>VEN1</v>
      </c>
      <c r="AT626" s="157" t="str">
        <f t="shared" si="428"/>
        <v>USA1-VEN1</v>
      </c>
      <c r="AU626" s="157" t="str">
        <f t="shared" si="429"/>
        <v xml:space="preserve">USA1-VEN1 </v>
      </c>
      <c r="AV626" s="157" t="str">
        <f t="shared" si="430"/>
        <v>JUNIORS FEMALE</v>
      </c>
      <c r="AW626" s="157" t="str">
        <f t="shared" si="431"/>
        <v>Basketball</v>
      </c>
      <c r="AX626" s="376">
        <f t="shared" si="432"/>
        <v>624</v>
      </c>
      <c r="AY626" s="148" t="str">
        <f t="shared" si="433"/>
        <v>JR F - USA 1-&gt;JR F - VEN 1</v>
      </c>
      <c r="AZ626" s="148" t="str">
        <f t="shared" si="434"/>
        <v>11/24/2017 13:50-&gt;JR F - USA 1</v>
      </c>
      <c r="BA626" s="148" t="str">
        <f t="shared" si="435"/>
        <v>11/24/2017 13:50-&gt;JR F - VEN 1</v>
      </c>
      <c r="BB626" s="374">
        <f t="shared" si="436"/>
        <v>1</v>
      </c>
      <c r="BC626" s="374">
        <f t="shared" si="437"/>
        <v>1</v>
      </c>
      <c r="BD626" s="148" t="str">
        <f t="shared" si="438"/>
        <v>no conflict</v>
      </c>
      <c r="BF626" s="148" t="str">
        <f t="shared" si="439"/>
        <v>11/24/2017 13:50-&gt;JR F - USA 1</v>
      </c>
      <c r="BG626" s="148" t="str">
        <f t="shared" si="440"/>
        <v>11/24/2017 13:50-&gt;JR F - VEN 1</v>
      </c>
      <c r="BH626" s="148" t="str">
        <f t="shared" si="441"/>
        <v>11/24/2017 13:50-&gt;JCC Gym North</v>
      </c>
      <c r="BI626" s="148" t="str">
        <f t="shared" si="442"/>
        <v>Basketball in JCC Gym North (USA1-VEN1)</v>
      </c>
      <c r="BJ626" s="148" t="str">
        <f t="shared" si="443"/>
        <v>Junior Female Basketball-- JR F - USA 1 vs. JR F - VEN 1</v>
      </c>
      <c r="BK626" s="148" t="str">
        <f t="shared" si="444"/>
        <v>Basketball</v>
      </c>
      <c r="BL626" s="148" t="str">
        <f t="shared" si="445"/>
        <v>JR F - USA 1</v>
      </c>
      <c r="BM626" s="148" t="str">
        <f t="shared" si="446"/>
        <v>JR F - VEN 1</v>
      </c>
      <c r="BN626" s="148" t="str">
        <f t="shared" si="447"/>
        <v>Round - 1</v>
      </c>
      <c r="BP626" s="148" t="str">
        <f t="shared" si="448"/>
        <v>no t, f, or sf</v>
      </c>
      <c r="BQ626" s="148" t="str">
        <f t="shared" si="449"/>
        <v/>
      </c>
    </row>
    <row r="627" spans="1:83" ht="15" customHeight="1" x14ac:dyDescent="0.2">
      <c r="A627" s="376">
        <v>625</v>
      </c>
      <c r="B627" s="121" t="s">
        <v>68</v>
      </c>
      <c r="C627" s="121" t="s">
        <v>518</v>
      </c>
      <c r="D627" s="382">
        <v>1</v>
      </c>
      <c r="E627" s="382">
        <v>1</v>
      </c>
      <c r="F627" s="315" t="s">
        <v>770</v>
      </c>
      <c r="G627" s="206">
        <v>43063</v>
      </c>
      <c r="H627" s="454">
        <v>0.61111111111111105</v>
      </c>
      <c r="I627" s="325" t="s">
        <v>770</v>
      </c>
      <c r="J627" s="121" t="s">
        <v>696</v>
      </c>
      <c r="K627" s="121">
        <v>63</v>
      </c>
      <c r="L627" t="s">
        <v>664</v>
      </c>
      <c r="M627">
        <v>63</v>
      </c>
      <c r="N627" t="s">
        <v>667</v>
      </c>
      <c r="O627" s="153" t="str">
        <f>IF(L627&lt;&gt;"",IFERROR(VLOOKUP(B627&amp;L627,Pools!$A$2:$D$130,3,FALSE),""),"")</f>
        <v/>
      </c>
      <c r="P627" s="388">
        <v>25</v>
      </c>
      <c r="Q627" s="388">
        <v>38</v>
      </c>
      <c r="R627" s="306" t="str">
        <f t="shared" si="405"/>
        <v>25-38</v>
      </c>
      <c r="S627" s="153"/>
      <c r="T627" s="148" t="str">
        <f t="shared" si="406"/>
        <v>Completed</v>
      </c>
      <c r="U627" s="153"/>
      <c r="V627" s="153"/>
      <c r="W627" s="387">
        <f t="shared" si="407"/>
        <v>-13</v>
      </c>
      <c r="X627" s="387">
        <f t="shared" si="408"/>
        <v>13</v>
      </c>
      <c r="Y627" s="301">
        <f t="shared" si="409"/>
        <v>0</v>
      </c>
      <c r="Z627" s="301">
        <f t="shared" si="410"/>
        <v>2</v>
      </c>
      <c r="AA627" s="323" t="str">
        <f>CONCATENATE("                x[team1,team2,sport,'",IF(OR(I627="x",I627=""),VLOOKUP('Schedule from TM'!J628,Tables!$P$3:$Q$33,2,FALSE),'Schedule from TM'!I628),",",J627,"','",IF(OR(F627="x",F627=""),VLOOKUP('Schedule from TM'!G628,Tables!$U$3:$V$14,2,FALSE),'Schedule from TM'!F628),",",TEXT(G627,"mm/dd/yyyy"),"','",TEXT(H627,"h:mm:ss AM/PM"),"'].ub=0.0      #",B627)</f>
        <v xml:space="preserve">                x[team1,team2,sport,'21,JCC Gym North','11,11/24/2017','2:40:00 PM'].ub=0.0      #Junior Female Basketball</v>
      </c>
      <c r="AB627" s="301" t="str">
        <f t="shared" si="411"/>
        <v>,,Junior Female Basketball,,1,JR F - PER</v>
      </c>
      <c r="AC627" s="153" t="str">
        <f t="shared" si="412"/>
        <v>Junior Female BasketballJR F - PER</v>
      </c>
      <c r="AD627" s="301" t="str">
        <f t="shared" si="413"/>
        <v>,,Junior Female Basketball,,1,JR F - USA 2</v>
      </c>
      <c r="AE627" s="153" t="str">
        <f t="shared" si="414"/>
        <v>Junior Female BasketballJR F - USA 2</v>
      </c>
      <c r="AF627" s="383">
        <f t="shared" si="415"/>
        <v>0</v>
      </c>
      <c r="AG627" s="383">
        <f t="shared" si="416"/>
        <v>1</v>
      </c>
      <c r="AH627" s="383">
        <f t="shared" si="417"/>
        <v>0</v>
      </c>
      <c r="AI627" s="383">
        <f t="shared" si="418"/>
        <v>1</v>
      </c>
      <c r="AJ627" s="383">
        <f t="shared" si="419"/>
        <v>0</v>
      </c>
      <c r="AK627" s="383">
        <f t="shared" si="420"/>
        <v>0</v>
      </c>
      <c r="AM627" s="148" t="str">
        <f t="shared" si="421"/>
        <v>Schedulled</v>
      </c>
      <c r="AN627" s="148" t="str">
        <f t="shared" si="422"/>
        <v/>
      </c>
      <c r="AO627" s="156">
        <f t="shared" si="423"/>
        <v>43063.611111111109</v>
      </c>
      <c r="AP627" s="148" t="str">
        <f t="shared" si="424"/>
        <v>11/24/2017 14:40-&gt;JCC Gym North</v>
      </c>
      <c r="AQ627" s="374">
        <f t="shared" si="425"/>
        <v>1</v>
      </c>
      <c r="AR627" s="148" t="str">
        <f t="shared" si="426"/>
        <v>PER</v>
      </c>
      <c r="AS627" s="148" t="str">
        <f t="shared" si="427"/>
        <v>USA2</v>
      </c>
      <c r="AT627" s="157" t="str">
        <f t="shared" si="428"/>
        <v>PER-USA2</v>
      </c>
      <c r="AU627" s="157" t="str">
        <f t="shared" si="429"/>
        <v xml:space="preserve">PER-USA2 </v>
      </c>
      <c r="AV627" s="157" t="str">
        <f t="shared" si="430"/>
        <v>JUNIORS FEMALE</v>
      </c>
      <c r="AW627" s="157" t="str">
        <f t="shared" si="431"/>
        <v>Basketball</v>
      </c>
      <c r="AX627" s="376">
        <f t="shared" si="432"/>
        <v>625</v>
      </c>
      <c r="AY627" s="148" t="str">
        <f t="shared" si="433"/>
        <v>JR F - PER-&gt;JR F - USA 2</v>
      </c>
      <c r="AZ627" s="148" t="str">
        <f t="shared" si="434"/>
        <v>11/24/2017 14:40-&gt;JR F - PER</v>
      </c>
      <c r="BA627" s="148" t="str">
        <f t="shared" si="435"/>
        <v>11/24/2017 14:40-&gt;JR F - USA 2</v>
      </c>
      <c r="BB627" s="374">
        <f t="shared" si="436"/>
        <v>1</v>
      </c>
      <c r="BC627" s="374">
        <f t="shared" si="437"/>
        <v>1</v>
      </c>
      <c r="BD627" s="148" t="str">
        <f t="shared" si="438"/>
        <v>no conflict</v>
      </c>
      <c r="BF627" s="148" t="str">
        <f t="shared" si="439"/>
        <v>11/24/2017 14:40-&gt;JR F - PER</v>
      </c>
      <c r="BG627" s="148" t="str">
        <f t="shared" si="440"/>
        <v>11/24/2017 14:40-&gt;JR F - USA 2</v>
      </c>
      <c r="BH627" s="148" t="str">
        <f t="shared" si="441"/>
        <v>11/24/2017 14:40-&gt;JCC Gym North</v>
      </c>
      <c r="BI627" s="148" t="str">
        <f t="shared" si="442"/>
        <v>Basketball in JCC Gym North (PER-USA2)</v>
      </c>
      <c r="BJ627" s="148" t="str">
        <f t="shared" si="443"/>
        <v>Junior Female Basketball-- JR F - PER vs. JR F - USA 2</v>
      </c>
      <c r="BK627" s="148" t="str">
        <f t="shared" si="444"/>
        <v>Basketball</v>
      </c>
      <c r="BL627" s="148" t="str">
        <f t="shared" si="445"/>
        <v>JR F - PER</v>
      </c>
      <c r="BM627" s="148" t="str">
        <f t="shared" si="446"/>
        <v>JR F - USA 2</v>
      </c>
      <c r="BN627" s="148" t="str">
        <f t="shared" si="447"/>
        <v>Round - 1</v>
      </c>
      <c r="BP627" s="148" t="str">
        <f t="shared" si="448"/>
        <v>no t, f, or sf</v>
      </c>
      <c r="BQ627" s="148" t="str">
        <f t="shared" si="449"/>
        <v/>
      </c>
    </row>
    <row r="628" spans="1:83" ht="15" customHeight="1" x14ac:dyDescent="0.2">
      <c r="A628" s="376">
        <v>626</v>
      </c>
      <c r="B628" s="433" t="s">
        <v>69</v>
      </c>
      <c r="C628" s="444" t="s">
        <v>518</v>
      </c>
      <c r="D628" s="451">
        <v>1</v>
      </c>
      <c r="E628" s="451">
        <v>1</v>
      </c>
      <c r="F628" s="315" t="s">
        <v>770</v>
      </c>
      <c r="G628" s="445">
        <v>43058</v>
      </c>
      <c r="H628" s="317">
        <v>0.64583333333333337</v>
      </c>
      <c r="I628" s="325" t="s">
        <v>770</v>
      </c>
      <c r="J628" s="444" t="s">
        <v>704</v>
      </c>
      <c r="K628" s="444">
        <v>63</v>
      </c>
      <c r="L628" t="s">
        <v>659</v>
      </c>
      <c r="M628">
        <v>63</v>
      </c>
      <c r="N628" t="s">
        <v>665</v>
      </c>
      <c r="O628" s="153" t="str">
        <f>IF(L628&lt;&gt;"",IFERROR(VLOOKUP(B628&amp;L628,Pools!$A$2:$D$130,3,FALSE),""),"")</f>
        <v/>
      </c>
      <c r="P628" s="388">
        <v>25</v>
      </c>
      <c r="Q628" s="388">
        <v>13</v>
      </c>
      <c r="R628" s="306" t="str">
        <f t="shared" si="405"/>
        <v>25-13</v>
      </c>
      <c r="S628" s="153"/>
      <c r="T628" s="148" t="str">
        <f t="shared" si="406"/>
        <v>Completed</v>
      </c>
      <c r="U628" s="153"/>
      <c r="V628" s="153"/>
      <c r="W628" s="387">
        <f t="shared" si="407"/>
        <v>12</v>
      </c>
      <c r="X628" s="387">
        <f t="shared" si="408"/>
        <v>-12</v>
      </c>
      <c r="Y628" s="301">
        <f t="shared" si="409"/>
        <v>2</v>
      </c>
      <c r="Z628" s="301">
        <f t="shared" si="410"/>
        <v>0</v>
      </c>
      <c r="AA628" s="323" t="str">
        <f>CONCATENATE("                x[team1,team2,sport,'",IF(OR(I628="x",I628=""),VLOOKUP('Schedule from TM'!J629,Tables!$P$3:$Q$33,2,FALSE),'Schedule from TM'!I629),",",J628,"','",IF(OR(F628="x",F628=""),VLOOKUP('Schedule from TM'!G629,Tables!$U$3:$V$14,2,FALSE),'Schedule from TM'!F629),",",TEXT(G628,"mm/dd/yyyy"),"','",TEXT(H628,"h:mm:ss AM/PM"),"'].ub=0.0      #",B628)</f>
        <v xml:space="preserve">                x[team1,team2,sport,'21,Hillel - Field 2','11,11/19/2017','3:30:00 PM'].ub=0.0      #Junior Female Flag Football</v>
      </c>
      <c r="AB628" s="301" t="str">
        <f t="shared" si="411"/>
        <v>,,Junior Female Flag Football,,1,JR F - ARG 1</v>
      </c>
      <c r="AC628" s="153" t="str">
        <f t="shared" si="412"/>
        <v>Junior Female Flag FootballJR F - ARG 1</v>
      </c>
      <c r="AD628" s="301" t="str">
        <f t="shared" si="413"/>
        <v>,,Junior Female Flag Football,,1,JR F - USA 1</v>
      </c>
      <c r="AE628" s="153" t="str">
        <f t="shared" si="414"/>
        <v>Junior Female Flag FootballJR F - USA 1</v>
      </c>
      <c r="AF628" s="383">
        <f t="shared" si="415"/>
        <v>1</v>
      </c>
      <c r="AG628" s="383">
        <f t="shared" si="416"/>
        <v>0</v>
      </c>
      <c r="AH628" s="383">
        <f t="shared" si="417"/>
        <v>0</v>
      </c>
      <c r="AI628" s="383">
        <f t="shared" si="418"/>
        <v>0</v>
      </c>
      <c r="AJ628" s="383">
        <f t="shared" si="419"/>
        <v>1</v>
      </c>
      <c r="AK628" s="383">
        <f t="shared" si="420"/>
        <v>0</v>
      </c>
      <c r="AM628" s="148" t="str">
        <f t="shared" si="421"/>
        <v>Schedulled</v>
      </c>
      <c r="AN628" s="148" t="str">
        <f t="shared" si="422"/>
        <v/>
      </c>
      <c r="AO628" s="156">
        <f t="shared" si="423"/>
        <v>43058.645833333336</v>
      </c>
      <c r="AP628" s="148" t="str">
        <f t="shared" si="424"/>
        <v>11/19/2017 15:30-&gt;Hillel - Field 2</v>
      </c>
      <c r="AQ628" s="374">
        <f t="shared" si="425"/>
        <v>1</v>
      </c>
      <c r="AR628" s="148" t="str">
        <f t="shared" si="426"/>
        <v>ARG1</v>
      </c>
      <c r="AS628" s="148" t="str">
        <f t="shared" si="427"/>
        <v>USA1</v>
      </c>
      <c r="AT628" s="157" t="str">
        <f t="shared" si="428"/>
        <v>ARG1-USA1</v>
      </c>
      <c r="AU628" s="157" t="str">
        <f t="shared" si="429"/>
        <v xml:space="preserve">ARG1-USA1 </v>
      </c>
      <c r="AV628" s="157" t="str">
        <f t="shared" si="430"/>
        <v>JUNIORS FEMALE</v>
      </c>
      <c r="AW628" s="157" t="str">
        <f t="shared" si="431"/>
        <v>Flag Football</v>
      </c>
      <c r="AX628" s="376">
        <f t="shared" si="432"/>
        <v>626</v>
      </c>
      <c r="AY628" s="148" t="str">
        <f t="shared" si="433"/>
        <v>JR F - ARG 1-&gt;JR F - USA 1</v>
      </c>
      <c r="AZ628" s="148" t="str">
        <f t="shared" si="434"/>
        <v>11/19/2017 15:30-&gt;JR F - ARG 1</v>
      </c>
      <c r="BA628" s="148" t="str">
        <f t="shared" si="435"/>
        <v>11/19/2017 15:30-&gt;JR F - USA 1</v>
      </c>
      <c r="BB628" s="374">
        <f t="shared" si="436"/>
        <v>1</v>
      </c>
      <c r="BC628" s="374">
        <f t="shared" si="437"/>
        <v>1</v>
      </c>
      <c r="BD628" s="148" t="str">
        <f t="shared" si="438"/>
        <v>no conflict</v>
      </c>
      <c r="BF628" s="148" t="str">
        <f t="shared" si="439"/>
        <v>11/19/2017 15:30-&gt;JR F - ARG 1</v>
      </c>
      <c r="BG628" s="148" t="str">
        <f t="shared" si="440"/>
        <v>11/19/2017 15:30-&gt;JR F - USA 1</v>
      </c>
      <c r="BH628" s="148" t="str">
        <f t="shared" si="441"/>
        <v>11/19/2017 15:30-&gt;Hillel - Field 2</v>
      </c>
      <c r="BI628" s="148" t="str">
        <f t="shared" si="442"/>
        <v>Flag Football in Hillel - Field 2 (ARG1-USA1)</v>
      </c>
      <c r="BJ628" s="148" t="str">
        <f t="shared" si="443"/>
        <v>Junior Female Flag Football-- JR F - ARG 1 vs. JR F - USA 1</v>
      </c>
      <c r="BK628" s="148" t="str">
        <f t="shared" si="444"/>
        <v>Flag Football</v>
      </c>
      <c r="BL628" s="148" t="str">
        <f t="shared" si="445"/>
        <v>JR F - ARG 1</v>
      </c>
      <c r="BM628" s="148" t="str">
        <f t="shared" si="446"/>
        <v>JR F - USA 1</v>
      </c>
      <c r="BN628" s="148" t="str">
        <f t="shared" si="447"/>
        <v>Round - 1</v>
      </c>
      <c r="BP628" s="148" t="str">
        <f t="shared" si="448"/>
        <v>no t, f, or sf</v>
      </c>
      <c r="BQ628" s="148" t="str">
        <f t="shared" si="449"/>
        <v/>
      </c>
    </row>
    <row r="629" spans="1:83" ht="15" customHeight="1" x14ac:dyDescent="0.2">
      <c r="A629" s="376">
        <v>627</v>
      </c>
      <c r="B629" s="433" t="s">
        <v>69</v>
      </c>
      <c r="C629" s="315" t="s">
        <v>518</v>
      </c>
      <c r="D629" s="378">
        <v>1</v>
      </c>
      <c r="E629" s="378">
        <v>1</v>
      </c>
      <c r="F629" s="315" t="s">
        <v>770</v>
      </c>
      <c r="G629" s="316">
        <v>43058</v>
      </c>
      <c r="H629" s="317">
        <v>0.64583333333333337</v>
      </c>
      <c r="I629" s="325" t="s">
        <v>770</v>
      </c>
      <c r="J629" s="315" t="s">
        <v>705</v>
      </c>
      <c r="K629" s="315">
        <v>63</v>
      </c>
      <c r="L629" t="s">
        <v>669</v>
      </c>
      <c r="M629">
        <v>63</v>
      </c>
      <c r="N629" t="s">
        <v>660</v>
      </c>
      <c r="O629" s="153" t="str">
        <f>IF(L629&lt;&gt;"",IFERROR(VLOOKUP(B629&amp;L629,Pools!$A$2:$D$130,3,FALSE),""),"")</f>
        <v/>
      </c>
      <c r="P629" s="388">
        <v>6</v>
      </c>
      <c r="Q629" s="388">
        <v>27</v>
      </c>
      <c r="R629" s="306" t="str">
        <f t="shared" si="405"/>
        <v>6-27</v>
      </c>
      <c r="S629" s="153"/>
      <c r="T629" s="148" t="str">
        <f t="shared" si="406"/>
        <v>Completed</v>
      </c>
      <c r="U629" s="153"/>
      <c r="V629" s="153"/>
      <c r="W629" s="387">
        <f t="shared" si="407"/>
        <v>-21</v>
      </c>
      <c r="X629" s="387">
        <f t="shared" si="408"/>
        <v>21</v>
      </c>
      <c r="Y629" s="301">
        <f t="shared" si="409"/>
        <v>0</v>
      </c>
      <c r="Z629" s="301">
        <f t="shared" si="410"/>
        <v>2</v>
      </c>
      <c r="AA629" s="323" t="str">
        <f>CONCATENATE("                x[team1,team2,sport,'",IF(OR(I629="x",I629=""),VLOOKUP('Schedule from TM'!J630,Tables!$P$3:$Q$33,2,FALSE),'Schedule from TM'!I630),",",J629,"','",IF(OR(F629="x",F629=""),VLOOKUP('Schedule from TM'!G630,Tables!$U$3:$V$14,2,FALSE),'Schedule from TM'!F630),",",TEXT(G629,"mm/dd/yyyy"),"','",TEXT(H629,"h:mm:ss AM/PM"),"'].ub=0.0      #",B629)</f>
        <v xml:space="preserve">                x[team1,team2,sport,'21,Hillel - Field 3','11,11/19/2017','3:30:00 PM'].ub=0.0      #Junior Female Flag Football</v>
      </c>
      <c r="AB629" s="301" t="str">
        <f t="shared" si="411"/>
        <v>,,Junior Female Flag Football,,1,JR F - VEN 2</v>
      </c>
      <c r="AC629" s="153" t="str">
        <f t="shared" si="412"/>
        <v>Junior Female Flag FootballJR F - VEN 2</v>
      </c>
      <c r="AD629" s="301" t="str">
        <f t="shared" si="413"/>
        <v>,,Junior Female Flag Football,,1,JR F - COL 2</v>
      </c>
      <c r="AE629" s="153" t="str">
        <f t="shared" si="414"/>
        <v>Junior Female Flag FootballJR F - COL 2</v>
      </c>
      <c r="AF629" s="383">
        <f t="shared" si="415"/>
        <v>0</v>
      </c>
      <c r="AG629" s="383">
        <f t="shared" si="416"/>
        <v>1</v>
      </c>
      <c r="AH629" s="383">
        <f t="shared" si="417"/>
        <v>0</v>
      </c>
      <c r="AI629" s="383">
        <f t="shared" si="418"/>
        <v>1</v>
      </c>
      <c r="AJ629" s="383">
        <f t="shared" si="419"/>
        <v>0</v>
      </c>
      <c r="AK629" s="383">
        <f t="shared" si="420"/>
        <v>0</v>
      </c>
      <c r="AM629" s="148" t="str">
        <f t="shared" si="421"/>
        <v>Schedulled</v>
      </c>
      <c r="AN629" s="148" t="str">
        <f t="shared" si="422"/>
        <v/>
      </c>
      <c r="AO629" s="156">
        <f t="shared" si="423"/>
        <v>43058.645833333336</v>
      </c>
      <c r="AP629" s="148" t="str">
        <f t="shared" si="424"/>
        <v>11/19/2017 15:30-&gt;Hillel - Field 3</v>
      </c>
      <c r="AQ629" s="374">
        <f t="shared" si="425"/>
        <v>1</v>
      </c>
      <c r="AR629" s="148" t="str">
        <f t="shared" si="426"/>
        <v>VEN2</v>
      </c>
      <c r="AS629" s="148" t="str">
        <f t="shared" si="427"/>
        <v>COL2</v>
      </c>
      <c r="AT629" s="157" t="str">
        <f t="shared" si="428"/>
        <v>VEN2-COL2</v>
      </c>
      <c r="AU629" s="157" t="str">
        <f t="shared" si="429"/>
        <v xml:space="preserve">VEN2-COL2 </v>
      </c>
      <c r="AV629" s="157" t="str">
        <f t="shared" si="430"/>
        <v>JUNIORS FEMALE</v>
      </c>
      <c r="AW629" s="157" t="str">
        <f t="shared" si="431"/>
        <v>Flag Football</v>
      </c>
      <c r="AX629" s="376">
        <f t="shared" si="432"/>
        <v>627</v>
      </c>
      <c r="AY629" s="148" t="str">
        <f t="shared" si="433"/>
        <v>JR F - VEN 2-&gt;JR F - COL 2</v>
      </c>
      <c r="AZ629" s="148" t="str">
        <f t="shared" si="434"/>
        <v>11/19/2017 15:30-&gt;JR F - VEN 2</v>
      </c>
      <c r="BA629" s="148" t="str">
        <f t="shared" si="435"/>
        <v>11/19/2017 15:30-&gt;JR F - COL 2</v>
      </c>
      <c r="BB629" s="374">
        <f t="shared" si="436"/>
        <v>1</v>
      </c>
      <c r="BC629" s="374">
        <f t="shared" si="437"/>
        <v>1</v>
      </c>
      <c r="BD629" s="148" t="str">
        <f t="shared" si="438"/>
        <v>no conflict</v>
      </c>
      <c r="BF629" s="148" t="str">
        <f t="shared" si="439"/>
        <v>11/19/2017 15:30-&gt;JR F - VEN 2</v>
      </c>
      <c r="BG629" s="148" t="str">
        <f t="shared" si="440"/>
        <v>11/19/2017 15:30-&gt;JR F - COL 2</v>
      </c>
      <c r="BH629" s="148" t="str">
        <f t="shared" si="441"/>
        <v>11/19/2017 15:30-&gt;Hillel - Field 3</v>
      </c>
      <c r="BI629" s="148" t="str">
        <f t="shared" si="442"/>
        <v>Flag Football in Hillel - Field 3 (VEN2-COL2)</v>
      </c>
      <c r="BJ629" s="148" t="str">
        <f t="shared" si="443"/>
        <v>Junior Female Flag Football-- JR F - VEN 2 vs. JR F - COL 2</v>
      </c>
      <c r="BK629" s="148" t="str">
        <f t="shared" si="444"/>
        <v>Flag Football</v>
      </c>
      <c r="BL629" s="148" t="str">
        <f t="shared" si="445"/>
        <v>JR F - VEN 2</v>
      </c>
      <c r="BM629" s="148" t="str">
        <f t="shared" si="446"/>
        <v>JR F - COL 2</v>
      </c>
      <c r="BN629" s="148" t="str">
        <f t="shared" si="447"/>
        <v>Round - 1</v>
      </c>
      <c r="BP629" s="148" t="str">
        <f t="shared" si="448"/>
        <v>no t, f, or sf</v>
      </c>
      <c r="BQ629" s="148" t="str">
        <f t="shared" si="449"/>
        <v/>
      </c>
    </row>
    <row r="630" spans="1:83" s="158" customFormat="1" ht="15" customHeight="1" x14ac:dyDescent="0.2">
      <c r="A630" s="376">
        <v>628</v>
      </c>
      <c r="B630" s="121" t="s">
        <v>69</v>
      </c>
      <c r="C630" s="121" t="s">
        <v>518</v>
      </c>
      <c r="D630" s="382">
        <v>1</v>
      </c>
      <c r="E630" s="382">
        <v>1</v>
      </c>
      <c r="F630" s="315" t="s">
        <v>770</v>
      </c>
      <c r="G630" s="206">
        <v>43058</v>
      </c>
      <c r="H630" s="317">
        <v>0.68055555555555547</v>
      </c>
      <c r="I630" s="325" t="s">
        <v>770</v>
      </c>
      <c r="J630" s="121" t="s">
        <v>705</v>
      </c>
      <c r="K630" s="121">
        <v>63</v>
      </c>
      <c r="L630" s="433" t="s">
        <v>661</v>
      </c>
      <c r="M630" s="433">
        <v>63</v>
      </c>
      <c r="N630" s="433" t="s">
        <v>668</v>
      </c>
      <c r="O630" s="153" t="str">
        <f>IF(L630&lt;&gt;"",IFERROR(VLOOKUP(B630&amp;L630,Pools!$A$2:$D$130,3,FALSE),""),"")</f>
        <v/>
      </c>
      <c r="P630" s="388">
        <v>28</v>
      </c>
      <c r="Q630" s="388">
        <v>0</v>
      </c>
      <c r="R630" s="306" t="str">
        <f t="shared" si="405"/>
        <v>28-0</v>
      </c>
      <c r="S630" s="153"/>
      <c r="T630" s="148" t="str">
        <f t="shared" si="406"/>
        <v>Completed</v>
      </c>
      <c r="U630" s="153"/>
      <c r="V630" s="153"/>
      <c r="W630" s="387">
        <f t="shared" si="407"/>
        <v>21</v>
      </c>
      <c r="X630" s="387">
        <f t="shared" si="408"/>
        <v>-21</v>
      </c>
      <c r="Y630" s="301">
        <f t="shared" si="409"/>
        <v>2</v>
      </c>
      <c r="Z630" s="301">
        <f t="shared" si="410"/>
        <v>0</v>
      </c>
      <c r="AA630" s="323" t="str">
        <f>CONCATENATE("                x[team1,team2,sport,'",IF(OR(I630="x",I630=""),VLOOKUP('Schedule from TM'!J631,Tables!$P$3:$Q$33,2,FALSE),'Schedule from TM'!I631),",",J630,"','",IF(OR(F630="x",F630=""),VLOOKUP('Schedule from TM'!G631,Tables!$U$3:$V$14,2,FALSE),'Schedule from TM'!F631),",",TEXT(G630,"mm/dd/yyyy"),"','",TEXT(H630,"h:mm:ss AM/PM"),"'].ub=0.0      #",B630)</f>
        <v xml:space="preserve">                x[team1,team2,sport,'21,Hillel - Field 3','11,11/19/2017','4:20:00 PM'].ub=0.0      #Junior Female Flag Football</v>
      </c>
      <c r="AB630" s="301" t="str">
        <f t="shared" si="411"/>
        <v>,,Junior Female Flag Football,,1,JR F - ISR 1</v>
      </c>
      <c r="AC630" s="153" t="str">
        <f t="shared" si="412"/>
        <v>Junior Female Flag FootballJR F - ISR 1</v>
      </c>
      <c r="AD630" s="301" t="str">
        <f t="shared" si="413"/>
        <v>,,Junior Female Flag Football,,1,JR F - VEN 1</v>
      </c>
      <c r="AE630" s="153" t="str">
        <f t="shared" si="414"/>
        <v>Junior Female Flag FootballJR F - VEN 1</v>
      </c>
      <c r="AF630" s="383">
        <f t="shared" si="415"/>
        <v>1</v>
      </c>
      <c r="AG630" s="383">
        <f t="shared" si="416"/>
        <v>0</v>
      </c>
      <c r="AH630" s="383">
        <f t="shared" si="417"/>
        <v>0</v>
      </c>
      <c r="AI630" s="383">
        <f t="shared" si="418"/>
        <v>0</v>
      </c>
      <c r="AJ630" s="383">
        <f t="shared" si="419"/>
        <v>1</v>
      </c>
      <c r="AK630" s="383">
        <f t="shared" si="420"/>
        <v>0</v>
      </c>
      <c r="AL630" s="148"/>
      <c r="AM630" s="148" t="str">
        <f t="shared" si="421"/>
        <v>Schedulled</v>
      </c>
      <c r="AN630" s="148" t="str">
        <f t="shared" si="422"/>
        <v/>
      </c>
      <c r="AO630" s="156">
        <f t="shared" si="423"/>
        <v>43058.680555555555</v>
      </c>
      <c r="AP630" s="148" t="str">
        <f t="shared" si="424"/>
        <v>11/19/2017 16:20-&gt;Hillel - Field 3</v>
      </c>
      <c r="AQ630" s="374">
        <f t="shared" si="425"/>
        <v>1</v>
      </c>
      <c r="AR630" s="148" t="str">
        <f t="shared" si="426"/>
        <v>ISR1</v>
      </c>
      <c r="AS630" s="148" t="str">
        <f t="shared" si="427"/>
        <v>VEN1</v>
      </c>
      <c r="AT630" s="157" t="str">
        <f t="shared" si="428"/>
        <v>ISR1-VEN1</v>
      </c>
      <c r="AU630" s="157" t="str">
        <f t="shared" si="429"/>
        <v xml:space="preserve">ISR1-VEN1 </v>
      </c>
      <c r="AV630" s="157" t="str">
        <f t="shared" si="430"/>
        <v>JUNIORS FEMALE</v>
      </c>
      <c r="AW630" s="157" t="str">
        <f t="shared" si="431"/>
        <v>Flag Football</v>
      </c>
      <c r="AX630" s="376">
        <f t="shared" si="432"/>
        <v>628</v>
      </c>
      <c r="AY630" s="148" t="str">
        <f t="shared" si="433"/>
        <v>JR F - ISR 1-&gt;JR F - VEN 1</v>
      </c>
      <c r="AZ630" s="148" t="str">
        <f t="shared" si="434"/>
        <v>11/19/2017 16:20-&gt;JR F - ISR 1</v>
      </c>
      <c r="BA630" s="148" t="str">
        <f t="shared" si="435"/>
        <v>11/19/2017 16:20-&gt;JR F - VEN 1</v>
      </c>
      <c r="BB630" s="374">
        <f t="shared" si="436"/>
        <v>1</v>
      </c>
      <c r="BC630" s="374">
        <f t="shared" si="437"/>
        <v>1</v>
      </c>
      <c r="BD630" s="148" t="str">
        <f t="shared" si="438"/>
        <v>no conflict</v>
      </c>
      <c r="BE630" s="148"/>
      <c r="BF630" s="148" t="str">
        <f t="shared" si="439"/>
        <v>11/19/2017 16:20-&gt;JR F - ISR 1</v>
      </c>
      <c r="BG630" s="148" t="str">
        <f t="shared" si="440"/>
        <v>11/19/2017 16:20-&gt;JR F - VEN 1</v>
      </c>
      <c r="BH630" s="148" t="str">
        <f t="shared" si="441"/>
        <v>11/19/2017 16:20-&gt;Hillel - Field 3</v>
      </c>
      <c r="BI630" s="148" t="str">
        <f t="shared" si="442"/>
        <v>Flag Football in Hillel - Field 3 (ISR1-VEN1)</v>
      </c>
      <c r="BJ630" s="148" t="str">
        <f t="shared" si="443"/>
        <v>Junior Female Flag Football-- JR F - ISR 1 vs. JR F - VEN 1</v>
      </c>
      <c r="BK630" s="148" t="str">
        <f t="shared" si="444"/>
        <v>Flag Football</v>
      </c>
      <c r="BL630" s="148" t="str">
        <f t="shared" si="445"/>
        <v>JR F - ISR 1</v>
      </c>
      <c r="BM630" s="148" t="str">
        <f t="shared" si="446"/>
        <v>JR F - VEN 1</v>
      </c>
      <c r="BN630" s="148" t="str">
        <f t="shared" si="447"/>
        <v>Round - 1</v>
      </c>
      <c r="BO630" s="148"/>
      <c r="BP630" s="148" t="str">
        <f t="shared" si="448"/>
        <v>no t, f, or sf</v>
      </c>
      <c r="BQ630" s="148" t="str">
        <f t="shared" si="449"/>
        <v/>
      </c>
      <c r="BR630" s="148"/>
      <c r="BS630" s="148"/>
      <c r="BT630" s="148"/>
      <c r="BU630" s="148"/>
      <c r="BV630" s="148"/>
      <c r="BW630" s="148"/>
      <c r="BX630" s="148"/>
      <c r="BY630" s="148"/>
      <c r="BZ630" s="148"/>
      <c r="CA630" s="148"/>
      <c r="CB630" s="148"/>
      <c r="CC630" s="148"/>
      <c r="CD630" s="148"/>
      <c r="CE630" s="148"/>
    </row>
    <row r="631" spans="1:83" ht="15" customHeight="1" x14ac:dyDescent="0.2">
      <c r="A631" s="376">
        <v>629</v>
      </c>
      <c r="B631" s="433" t="s">
        <v>69</v>
      </c>
      <c r="C631" s="315" t="s">
        <v>518</v>
      </c>
      <c r="D631" s="378">
        <v>1</v>
      </c>
      <c r="E631" s="378">
        <v>1</v>
      </c>
      <c r="F631" s="315" t="s">
        <v>770</v>
      </c>
      <c r="G631" s="316">
        <v>43058</v>
      </c>
      <c r="H631" s="318">
        <v>0.78472222222222221</v>
      </c>
      <c r="I631" s="325" t="s">
        <v>770</v>
      </c>
      <c r="J631" s="444" t="s">
        <v>706</v>
      </c>
      <c r="K631" s="315">
        <v>63</v>
      </c>
      <c r="L631" t="s">
        <v>669</v>
      </c>
      <c r="M631">
        <v>63</v>
      </c>
      <c r="N631" t="s">
        <v>664</v>
      </c>
      <c r="O631" s="153" t="str">
        <f>IF(L631&lt;&gt;"",IFERROR(VLOOKUP(B631&amp;L631,Pools!$A$2:$D$130,3,FALSE),""),"")</f>
        <v/>
      </c>
      <c r="P631" s="388">
        <v>0</v>
      </c>
      <c r="Q631" s="388">
        <v>26</v>
      </c>
      <c r="R631" s="306" t="str">
        <f t="shared" si="405"/>
        <v>0-26</v>
      </c>
      <c r="S631" s="153"/>
      <c r="T631" s="148" t="str">
        <f t="shared" si="406"/>
        <v>Completed</v>
      </c>
      <c r="U631" s="153"/>
      <c r="V631" s="153"/>
      <c r="W631" s="387">
        <f t="shared" si="407"/>
        <v>-21</v>
      </c>
      <c r="X631" s="387">
        <f t="shared" si="408"/>
        <v>21</v>
      </c>
      <c r="Y631" s="301">
        <f t="shared" si="409"/>
        <v>0</v>
      </c>
      <c r="Z631" s="301">
        <f t="shared" si="410"/>
        <v>2</v>
      </c>
      <c r="AA631" s="323" t="str">
        <f>CONCATENATE("                x[team1,team2,sport,'",IF(OR(I631="x",I631=""),VLOOKUP('Schedule from TM'!J632,Tables!$P$3:$Q$33,2,FALSE),'Schedule from TM'!I632),",",J631,"','",IF(OR(F631="x",F631=""),VLOOKUP('Schedule from TM'!G632,Tables!$U$3:$V$14,2,FALSE),'Schedule from TM'!F632),",",TEXT(G631,"mm/dd/yyyy"),"','",TEXT(H631,"h:mm:ss AM/PM"),"'].ub=0.0      #",B631)</f>
        <v xml:space="preserve">                x[team1,team2,sport,'21,Hillel - Field 4','11,11/19/2017','6:50:00 PM'].ub=0.0      #Junior Female Flag Football</v>
      </c>
      <c r="AB631" s="301" t="str">
        <f t="shared" si="411"/>
        <v>,,Junior Female Flag Football,,1,JR F - VEN 2</v>
      </c>
      <c r="AC631" s="153" t="str">
        <f t="shared" si="412"/>
        <v>Junior Female Flag FootballJR F - VEN 2</v>
      </c>
      <c r="AD631" s="301" t="str">
        <f t="shared" si="413"/>
        <v>,,Junior Female Flag Football,,1,JR F - PER</v>
      </c>
      <c r="AE631" s="153" t="str">
        <f t="shared" si="414"/>
        <v>Junior Female Flag FootballJR F - PER</v>
      </c>
      <c r="AF631" s="383">
        <f t="shared" si="415"/>
        <v>0</v>
      </c>
      <c r="AG631" s="383">
        <f t="shared" si="416"/>
        <v>1</v>
      </c>
      <c r="AH631" s="383">
        <f t="shared" si="417"/>
        <v>0</v>
      </c>
      <c r="AI631" s="383">
        <f t="shared" si="418"/>
        <v>1</v>
      </c>
      <c r="AJ631" s="383">
        <f t="shared" si="419"/>
        <v>0</v>
      </c>
      <c r="AK631" s="383">
        <f t="shared" si="420"/>
        <v>0</v>
      </c>
      <c r="AM631" s="148" t="str">
        <f t="shared" si="421"/>
        <v>Schedulled</v>
      </c>
      <c r="AN631" s="148" t="str">
        <f t="shared" si="422"/>
        <v/>
      </c>
      <c r="AO631" s="156">
        <f t="shared" si="423"/>
        <v>43058.784722222219</v>
      </c>
      <c r="AP631" s="148" t="str">
        <f t="shared" si="424"/>
        <v>11/19/2017 18:50-&gt;Hillel - Field 4</v>
      </c>
      <c r="AQ631" s="374">
        <f t="shared" si="425"/>
        <v>1</v>
      </c>
      <c r="AR631" s="148" t="str">
        <f t="shared" si="426"/>
        <v>VEN2</v>
      </c>
      <c r="AS631" s="148" t="str">
        <f t="shared" si="427"/>
        <v>PER</v>
      </c>
      <c r="AT631" s="157" t="str">
        <f t="shared" si="428"/>
        <v>VEN2-PER</v>
      </c>
      <c r="AU631" s="157" t="str">
        <f t="shared" si="429"/>
        <v xml:space="preserve">VEN2-PER </v>
      </c>
      <c r="AV631" s="157" t="str">
        <f t="shared" si="430"/>
        <v>JUNIORS FEMALE</v>
      </c>
      <c r="AW631" s="157" t="str">
        <f t="shared" si="431"/>
        <v>Flag Football</v>
      </c>
      <c r="AX631" s="376">
        <f t="shared" si="432"/>
        <v>629</v>
      </c>
      <c r="AY631" s="148" t="str">
        <f t="shared" si="433"/>
        <v>JR F - VEN 2-&gt;JR F - PER</v>
      </c>
      <c r="AZ631" s="148" t="str">
        <f t="shared" si="434"/>
        <v>11/19/2017 18:50-&gt;JR F - VEN 2</v>
      </c>
      <c r="BA631" s="148" t="str">
        <f t="shared" si="435"/>
        <v>11/19/2017 18:50-&gt;JR F - PER</v>
      </c>
      <c r="BB631" s="374">
        <f t="shared" si="436"/>
        <v>1</v>
      </c>
      <c r="BC631" s="374">
        <f t="shared" si="437"/>
        <v>1</v>
      </c>
      <c r="BD631" s="148" t="str">
        <f t="shared" si="438"/>
        <v>no conflict</v>
      </c>
      <c r="BF631" s="148" t="str">
        <f t="shared" si="439"/>
        <v>11/19/2017 18:50-&gt;JR F - VEN 2</v>
      </c>
      <c r="BG631" s="148" t="str">
        <f t="shared" si="440"/>
        <v>11/19/2017 18:50-&gt;JR F - PER</v>
      </c>
      <c r="BH631" s="148" t="str">
        <f t="shared" si="441"/>
        <v>11/19/2017 18:50-&gt;Hillel - Field 4</v>
      </c>
      <c r="BI631" s="148" t="str">
        <f t="shared" si="442"/>
        <v>Flag Football in Hillel - Field 4 (VEN2-PER)</v>
      </c>
      <c r="BJ631" s="148" t="str">
        <f t="shared" si="443"/>
        <v>Junior Female Flag Football-- JR F - VEN 2 vs. JR F - PER</v>
      </c>
      <c r="BK631" s="148" t="str">
        <f t="shared" si="444"/>
        <v>Flag Football</v>
      </c>
      <c r="BL631" s="148" t="str">
        <f t="shared" si="445"/>
        <v>JR F - VEN 2</v>
      </c>
      <c r="BM631" s="148" t="str">
        <f t="shared" si="446"/>
        <v>JR F - PER</v>
      </c>
      <c r="BN631" s="148" t="str">
        <f t="shared" si="447"/>
        <v>Round - 1</v>
      </c>
      <c r="BP631" s="148" t="str">
        <f t="shared" si="448"/>
        <v>no t, f, or sf</v>
      </c>
      <c r="BQ631" s="148" t="str">
        <f t="shared" si="449"/>
        <v/>
      </c>
    </row>
    <row r="632" spans="1:83" ht="15" customHeight="1" x14ac:dyDescent="0.2">
      <c r="A632" s="376">
        <v>630</v>
      </c>
      <c r="B632" s="121" t="s">
        <v>69</v>
      </c>
      <c r="C632" s="121" t="s">
        <v>518</v>
      </c>
      <c r="D632" s="382">
        <v>1</v>
      </c>
      <c r="E632" s="382">
        <v>1</v>
      </c>
      <c r="F632" s="315" t="s">
        <v>770</v>
      </c>
      <c r="G632" s="206">
        <v>43058</v>
      </c>
      <c r="H632" s="318">
        <v>0.85416666666666663</v>
      </c>
      <c r="I632" s="325" t="s">
        <v>770</v>
      </c>
      <c r="J632" s="121" t="s">
        <v>705</v>
      </c>
      <c r="K632" s="121">
        <v>63</v>
      </c>
      <c r="L632" t="s">
        <v>664</v>
      </c>
      <c r="M632">
        <v>63</v>
      </c>
      <c r="N632" t="s">
        <v>666</v>
      </c>
      <c r="O632" s="153" t="str">
        <f>IF(L632&lt;&gt;"",IFERROR(VLOOKUP(B632&amp;L632,Pools!$A$2:$D$130,3,FALSE),""),"")</f>
        <v/>
      </c>
      <c r="P632" s="388">
        <v>21</v>
      </c>
      <c r="Q632" s="388">
        <v>0</v>
      </c>
      <c r="R632" s="306" t="str">
        <f t="shared" si="405"/>
        <v>21-0</v>
      </c>
      <c r="S632" s="153"/>
      <c r="T632" s="148" t="str">
        <f t="shared" si="406"/>
        <v>Completed</v>
      </c>
      <c r="U632" s="153"/>
      <c r="V632" s="153"/>
      <c r="W632" s="387">
        <f t="shared" si="407"/>
        <v>21</v>
      </c>
      <c r="X632" s="387">
        <f t="shared" si="408"/>
        <v>-21</v>
      </c>
      <c r="Y632" s="301">
        <f t="shared" si="409"/>
        <v>2</v>
      </c>
      <c r="Z632" s="301">
        <f t="shared" si="410"/>
        <v>0</v>
      </c>
      <c r="AA632" s="323" t="str">
        <f>CONCATENATE("                x[team1,team2,sport,'",IF(OR(I632="x",I632=""),VLOOKUP('Schedule from TM'!J633,Tables!$P$3:$Q$33,2,FALSE),'Schedule from TM'!I633),",",J632,"','",IF(OR(F632="x",F632=""),VLOOKUP('Schedule from TM'!G633,Tables!$U$3:$V$14,2,FALSE),'Schedule from TM'!F633),",",TEXT(G632,"mm/dd/yyyy"),"','",TEXT(H632,"h:mm:ss AM/PM"),"'].ub=0.0      #",B632)</f>
        <v xml:space="preserve">                x[team1,team2,sport,'21,Hillel - Field 3','22,11/19/2017','8:30:00 PM'].ub=0.0      #Junior Female Flag Football</v>
      </c>
      <c r="AB632" s="301" t="str">
        <f t="shared" si="411"/>
        <v>,,Junior Female Flag Football,,1,JR F - PER</v>
      </c>
      <c r="AC632" s="153" t="str">
        <f t="shared" si="412"/>
        <v>Junior Female Flag FootballJR F - PER</v>
      </c>
      <c r="AD632" s="301" t="str">
        <f t="shared" si="413"/>
        <v>,,Junior Female Flag Football,,1,JR F - COL 1</v>
      </c>
      <c r="AE632" s="153" t="str">
        <f t="shared" si="414"/>
        <v>Junior Female Flag FootballJR F - COL 1</v>
      </c>
      <c r="AF632" s="383">
        <f t="shared" si="415"/>
        <v>1</v>
      </c>
      <c r="AG632" s="383">
        <f t="shared" si="416"/>
        <v>0</v>
      </c>
      <c r="AH632" s="383">
        <f t="shared" si="417"/>
        <v>0</v>
      </c>
      <c r="AI632" s="383">
        <f t="shared" si="418"/>
        <v>0</v>
      </c>
      <c r="AJ632" s="383">
        <f t="shared" si="419"/>
        <v>1</v>
      </c>
      <c r="AK632" s="383">
        <f t="shared" si="420"/>
        <v>0</v>
      </c>
      <c r="AM632" s="148" t="str">
        <f t="shared" si="421"/>
        <v>Schedulled</v>
      </c>
      <c r="AN632" s="148" t="str">
        <f t="shared" si="422"/>
        <v/>
      </c>
      <c r="AO632" s="156">
        <f t="shared" si="423"/>
        <v>43058.854166666664</v>
      </c>
      <c r="AP632" s="148" t="str">
        <f t="shared" si="424"/>
        <v>11/19/2017 20:30-&gt;Hillel - Field 3</v>
      </c>
      <c r="AQ632" s="374">
        <f t="shared" si="425"/>
        <v>1</v>
      </c>
      <c r="AR632" s="148" t="str">
        <f t="shared" si="426"/>
        <v>PER</v>
      </c>
      <c r="AS632" s="148" t="str">
        <f t="shared" si="427"/>
        <v>COL1</v>
      </c>
      <c r="AT632" s="157" t="str">
        <f t="shared" si="428"/>
        <v>PER-COL1</v>
      </c>
      <c r="AU632" s="157" t="str">
        <f t="shared" si="429"/>
        <v xml:space="preserve">PER-COL1 </v>
      </c>
      <c r="AV632" s="157" t="str">
        <f t="shared" si="430"/>
        <v>JUNIORS FEMALE</v>
      </c>
      <c r="AW632" s="157" t="str">
        <f t="shared" si="431"/>
        <v>Flag Football</v>
      </c>
      <c r="AX632" s="376">
        <f t="shared" si="432"/>
        <v>630</v>
      </c>
      <c r="AY632" s="148" t="str">
        <f t="shared" si="433"/>
        <v>JR F - PER-&gt;JR F - COL 1</v>
      </c>
      <c r="AZ632" s="148" t="str">
        <f t="shared" si="434"/>
        <v>11/19/2017 20:30-&gt;JR F - PER</v>
      </c>
      <c r="BA632" s="148" t="str">
        <f t="shared" si="435"/>
        <v>11/19/2017 20:30-&gt;JR F - COL 1</v>
      </c>
      <c r="BB632" s="374">
        <f t="shared" si="436"/>
        <v>1</v>
      </c>
      <c r="BC632" s="374">
        <f t="shared" si="437"/>
        <v>1</v>
      </c>
      <c r="BD632" s="148" t="str">
        <f t="shared" si="438"/>
        <v>no conflict</v>
      </c>
      <c r="BF632" s="148" t="str">
        <f t="shared" si="439"/>
        <v>11/19/2017 20:30-&gt;JR F - PER</v>
      </c>
      <c r="BG632" s="148" t="str">
        <f t="shared" si="440"/>
        <v>11/19/2017 20:30-&gt;JR F - COL 1</v>
      </c>
      <c r="BH632" s="148" t="str">
        <f t="shared" si="441"/>
        <v>11/19/2017 20:30-&gt;Hillel - Field 3</v>
      </c>
      <c r="BI632" s="148" t="str">
        <f t="shared" si="442"/>
        <v>Flag Football in Hillel - Field 3 (PER-COL1)</v>
      </c>
      <c r="BJ632" s="148" t="str">
        <f t="shared" si="443"/>
        <v>Junior Female Flag Football-- JR F - PER vs. JR F - COL 1</v>
      </c>
      <c r="BK632" s="148" t="str">
        <f t="shared" si="444"/>
        <v>Flag Football</v>
      </c>
      <c r="BL632" s="148" t="str">
        <f t="shared" si="445"/>
        <v>JR F - PER</v>
      </c>
      <c r="BM632" s="148" t="str">
        <f t="shared" si="446"/>
        <v>JR F - COL 1</v>
      </c>
      <c r="BN632" s="148" t="str">
        <f t="shared" si="447"/>
        <v>Round - 1</v>
      </c>
      <c r="BP632" s="148" t="str">
        <f t="shared" si="448"/>
        <v>no t, f, or sf</v>
      </c>
      <c r="BQ632" s="148" t="str">
        <f t="shared" si="449"/>
        <v/>
      </c>
    </row>
    <row r="633" spans="1:83" ht="15" customHeight="1" x14ac:dyDescent="0.2">
      <c r="A633" s="376">
        <v>631</v>
      </c>
      <c r="B633" s="121" t="s">
        <v>69</v>
      </c>
      <c r="C633" s="121" t="s">
        <v>518</v>
      </c>
      <c r="D633" s="382">
        <v>1</v>
      </c>
      <c r="E633" s="382">
        <v>1</v>
      </c>
      <c r="F633" s="315" t="s">
        <v>770</v>
      </c>
      <c r="G633" s="206">
        <v>43059</v>
      </c>
      <c r="H633" s="317">
        <v>0.78472222222222221</v>
      </c>
      <c r="I633" s="325" t="s">
        <v>770</v>
      </c>
      <c r="J633" s="121" t="s">
        <v>704</v>
      </c>
      <c r="K633" s="121">
        <v>63</v>
      </c>
      <c r="L633" t="s">
        <v>664</v>
      </c>
      <c r="M633">
        <v>63</v>
      </c>
      <c r="N633" t="s">
        <v>776</v>
      </c>
      <c r="O633" s="153" t="str">
        <f>IF(L633&lt;&gt;"",IFERROR(VLOOKUP(B633&amp;L633,Pools!$A$2:$D$130,3,FALSE),""),"")</f>
        <v/>
      </c>
      <c r="P633" s="388">
        <v>21</v>
      </c>
      <c r="Q633" s="388">
        <v>0</v>
      </c>
      <c r="R633" s="306" t="str">
        <f t="shared" si="405"/>
        <v>21-0</v>
      </c>
      <c r="S633" s="153"/>
      <c r="T633" s="148" t="str">
        <f t="shared" si="406"/>
        <v>Completed</v>
      </c>
      <c r="U633" s="153"/>
      <c r="V633" s="153"/>
      <c r="W633" s="387">
        <f t="shared" si="407"/>
        <v>21</v>
      </c>
      <c r="X633" s="387">
        <f t="shared" si="408"/>
        <v>-21</v>
      </c>
      <c r="Y633" s="301">
        <f t="shared" si="409"/>
        <v>2</v>
      </c>
      <c r="Z633" s="301">
        <f t="shared" si="410"/>
        <v>0</v>
      </c>
      <c r="AA633" s="323" t="str">
        <f>CONCATENATE("                x[team1,team2,sport,'",IF(OR(I633="x",I633=""),VLOOKUP('Schedule from TM'!J634,Tables!$P$3:$Q$33,2,FALSE),'Schedule from TM'!I634),",",J633,"','",IF(OR(F633="x",F633=""),VLOOKUP('Schedule from TM'!G634,Tables!$U$3:$V$14,2,FALSE),'Schedule from TM'!F634),",",TEXT(G633,"mm/dd/yyyy"),"','",TEXT(H633,"h:mm:ss AM/PM"),"'].ub=0.0      #",B633)</f>
        <v xml:space="preserve">                x[team1,team2,sport,'21,Hillel - Field 2','22,11/20/2017','6:50:00 PM'].ub=0.0      #Junior Female Flag Football</v>
      </c>
      <c r="AB633" s="301" t="str">
        <f t="shared" si="411"/>
        <v>,,Junior Female Flag Football,,1,JR F - PER</v>
      </c>
      <c r="AC633" s="153" t="str">
        <f t="shared" si="412"/>
        <v>Junior Female Flag FootballJR F - PER</v>
      </c>
      <c r="AD633" s="301" t="str">
        <f t="shared" si="413"/>
        <v>,,Junior Female Flag Football,,1,JR F - USA 3</v>
      </c>
      <c r="AE633" s="153" t="str">
        <f t="shared" si="414"/>
        <v>Junior Female Flag FootballJR F - USA 3</v>
      </c>
      <c r="AF633" s="383">
        <f t="shared" si="415"/>
        <v>1</v>
      </c>
      <c r="AG633" s="383">
        <f t="shared" si="416"/>
        <v>0</v>
      </c>
      <c r="AH633" s="383">
        <f t="shared" si="417"/>
        <v>0</v>
      </c>
      <c r="AI633" s="383">
        <f t="shared" si="418"/>
        <v>0</v>
      </c>
      <c r="AJ633" s="383">
        <f t="shared" si="419"/>
        <v>1</v>
      </c>
      <c r="AK633" s="383">
        <f t="shared" si="420"/>
        <v>0</v>
      </c>
      <c r="AM633" s="148" t="str">
        <f t="shared" si="421"/>
        <v>Schedulled</v>
      </c>
      <c r="AN633" s="148" t="str">
        <f t="shared" si="422"/>
        <v/>
      </c>
      <c r="AO633" s="156">
        <f t="shared" si="423"/>
        <v>43059.784722222219</v>
      </c>
      <c r="AP633" s="148" t="str">
        <f t="shared" si="424"/>
        <v>11/20/2017 18:50-&gt;Hillel - Field 2</v>
      </c>
      <c r="AQ633" s="374">
        <f t="shared" si="425"/>
        <v>1</v>
      </c>
      <c r="AR633" s="148" t="str">
        <f t="shared" si="426"/>
        <v>PER</v>
      </c>
      <c r="AS633" s="148" t="str">
        <f t="shared" si="427"/>
        <v>USA3</v>
      </c>
      <c r="AT633" s="157" t="str">
        <f t="shared" si="428"/>
        <v>PER-USA3</v>
      </c>
      <c r="AU633" s="157" t="str">
        <f t="shared" si="429"/>
        <v xml:space="preserve">PER-USA3 </v>
      </c>
      <c r="AV633" s="157" t="str">
        <f t="shared" si="430"/>
        <v>JUNIORS FEMALE</v>
      </c>
      <c r="AW633" s="157" t="str">
        <f t="shared" si="431"/>
        <v>Flag Football</v>
      </c>
      <c r="AX633" s="376">
        <f t="shared" si="432"/>
        <v>631</v>
      </c>
      <c r="AY633" s="148" t="str">
        <f t="shared" si="433"/>
        <v>JR F - PER-&gt;JR F - USA 3</v>
      </c>
      <c r="AZ633" s="148" t="str">
        <f t="shared" si="434"/>
        <v>11/20/2017 18:50-&gt;JR F - PER</v>
      </c>
      <c r="BA633" s="148" t="str">
        <f t="shared" si="435"/>
        <v>11/20/2017 18:50-&gt;JR F - USA 3</v>
      </c>
      <c r="BB633" s="374">
        <f t="shared" si="436"/>
        <v>1</v>
      </c>
      <c r="BC633" s="374">
        <f t="shared" si="437"/>
        <v>1</v>
      </c>
      <c r="BD633" s="148" t="str">
        <f t="shared" si="438"/>
        <v>no conflict</v>
      </c>
      <c r="BF633" s="148" t="str">
        <f t="shared" si="439"/>
        <v>11/20/2017 18:50-&gt;JR F - PER</v>
      </c>
      <c r="BG633" s="148" t="str">
        <f t="shared" si="440"/>
        <v>11/20/2017 18:50-&gt;JR F - USA 3</v>
      </c>
      <c r="BH633" s="148" t="str">
        <f t="shared" si="441"/>
        <v>11/20/2017 18:50-&gt;Hillel - Field 2</v>
      </c>
      <c r="BI633" s="148" t="str">
        <f t="shared" si="442"/>
        <v>Flag Football in Hillel - Field 2 (PER-USA3)</v>
      </c>
      <c r="BJ633" s="148" t="str">
        <f t="shared" si="443"/>
        <v>Junior Female Flag Football-- JR F - PER vs. JR F - USA 3</v>
      </c>
      <c r="BK633" s="148" t="str">
        <f t="shared" si="444"/>
        <v>Flag Football</v>
      </c>
      <c r="BL633" s="148" t="str">
        <f t="shared" si="445"/>
        <v>JR F - PER</v>
      </c>
      <c r="BM633" s="148" t="str">
        <f t="shared" si="446"/>
        <v>JR F - USA 3</v>
      </c>
      <c r="BN633" s="148" t="str">
        <f t="shared" si="447"/>
        <v>Round - 1</v>
      </c>
      <c r="BP633" s="148" t="str">
        <f t="shared" si="448"/>
        <v>no t, f, or sf</v>
      </c>
      <c r="BQ633" s="148" t="str">
        <f t="shared" si="449"/>
        <v/>
      </c>
    </row>
    <row r="634" spans="1:83" ht="15" customHeight="1" x14ac:dyDescent="0.2">
      <c r="A634" s="376">
        <v>632</v>
      </c>
      <c r="B634" s="444" t="s">
        <v>69</v>
      </c>
      <c r="C634" s="444" t="s">
        <v>518</v>
      </c>
      <c r="D634" s="451">
        <v>1</v>
      </c>
      <c r="E634" s="451">
        <v>1</v>
      </c>
      <c r="F634" s="315" t="s">
        <v>770</v>
      </c>
      <c r="G634" s="445">
        <v>43059</v>
      </c>
      <c r="H634" s="317">
        <v>0.81944444444444453</v>
      </c>
      <c r="I634" s="325" t="s">
        <v>770</v>
      </c>
      <c r="J634" s="444" t="s">
        <v>705</v>
      </c>
      <c r="K634" s="444">
        <v>63</v>
      </c>
      <c r="L634" s="433" t="s">
        <v>668</v>
      </c>
      <c r="M634" s="433">
        <v>63</v>
      </c>
      <c r="N634" s="433" t="s">
        <v>666</v>
      </c>
      <c r="O634" s="153" t="str">
        <f>IF(L634&lt;&gt;"",IFERROR(VLOOKUP(B634&amp;L634,Pools!$A$2:$D$130,3,FALSE),""),"")</f>
        <v/>
      </c>
      <c r="P634" s="388">
        <v>0</v>
      </c>
      <c r="Q634" s="388">
        <v>21</v>
      </c>
      <c r="R634" s="306" t="str">
        <f t="shared" si="405"/>
        <v>0-21</v>
      </c>
      <c r="S634" s="153"/>
      <c r="T634" s="148" t="str">
        <f t="shared" si="406"/>
        <v>Completed</v>
      </c>
      <c r="U634" s="153"/>
      <c r="V634" s="153"/>
      <c r="W634" s="387">
        <f t="shared" si="407"/>
        <v>-21</v>
      </c>
      <c r="X634" s="387">
        <f t="shared" si="408"/>
        <v>21</v>
      </c>
      <c r="Y634" s="301">
        <f t="shared" si="409"/>
        <v>0</v>
      </c>
      <c r="Z634" s="301">
        <f t="shared" si="410"/>
        <v>2</v>
      </c>
      <c r="AA634" s="323" t="str">
        <f>CONCATENATE("                x[team1,team2,sport,'",IF(OR(I634="x",I634=""),VLOOKUP('Schedule from TM'!J635,Tables!$P$3:$Q$33,2,FALSE),'Schedule from TM'!I635),",",J634,"','",IF(OR(F634="x",F634=""),VLOOKUP('Schedule from TM'!G635,Tables!$U$3:$V$14,2,FALSE),'Schedule from TM'!F635),",",TEXT(G634,"mm/dd/yyyy"),"','",TEXT(H634,"h:mm:ss AM/PM"),"'].ub=0.0      #",B634)</f>
        <v xml:space="preserve">                x[team1,team2,sport,'21,Hillel - Field 3','22,11/20/2017','7:40:00 PM'].ub=0.0      #Junior Female Flag Football</v>
      </c>
      <c r="AB634" s="301" t="str">
        <f t="shared" si="411"/>
        <v>,,Junior Female Flag Football,,1,JR F - VEN 1</v>
      </c>
      <c r="AC634" s="153" t="str">
        <f t="shared" si="412"/>
        <v>Junior Female Flag FootballJR F - VEN 1</v>
      </c>
      <c r="AD634" s="301" t="str">
        <f t="shared" si="413"/>
        <v>,,Junior Female Flag Football,,1,JR F - COL 1</v>
      </c>
      <c r="AE634" s="153" t="str">
        <f t="shared" si="414"/>
        <v>Junior Female Flag FootballJR F - COL 1</v>
      </c>
      <c r="AF634" s="383">
        <f t="shared" si="415"/>
        <v>0</v>
      </c>
      <c r="AG634" s="383">
        <f t="shared" si="416"/>
        <v>1</v>
      </c>
      <c r="AH634" s="383">
        <f t="shared" si="417"/>
        <v>0</v>
      </c>
      <c r="AI634" s="383">
        <f t="shared" si="418"/>
        <v>1</v>
      </c>
      <c r="AJ634" s="383">
        <f t="shared" si="419"/>
        <v>0</v>
      </c>
      <c r="AK634" s="383">
        <f t="shared" si="420"/>
        <v>0</v>
      </c>
      <c r="AM634" s="148" t="str">
        <f t="shared" si="421"/>
        <v>Schedulled</v>
      </c>
      <c r="AN634" s="148" t="str">
        <f t="shared" si="422"/>
        <v/>
      </c>
      <c r="AO634" s="156">
        <f t="shared" si="423"/>
        <v>43059.819444444445</v>
      </c>
      <c r="AP634" s="148" t="str">
        <f t="shared" si="424"/>
        <v>11/20/2017 19:40-&gt;Hillel - Field 3</v>
      </c>
      <c r="AQ634" s="374">
        <f t="shared" si="425"/>
        <v>1</v>
      </c>
      <c r="AR634" s="148" t="str">
        <f t="shared" si="426"/>
        <v>VEN1</v>
      </c>
      <c r="AS634" s="148" t="str">
        <f t="shared" si="427"/>
        <v>COL1</v>
      </c>
      <c r="AT634" s="157" t="str">
        <f t="shared" si="428"/>
        <v>VEN1-COL1</v>
      </c>
      <c r="AU634" s="157" t="str">
        <f t="shared" si="429"/>
        <v xml:space="preserve">VEN1-COL1 </v>
      </c>
      <c r="AV634" s="157" t="str">
        <f t="shared" si="430"/>
        <v>JUNIORS FEMALE</v>
      </c>
      <c r="AW634" s="157" t="str">
        <f t="shared" si="431"/>
        <v>Flag Football</v>
      </c>
      <c r="AX634" s="376">
        <f t="shared" si="432"/>
        <v>632</v>
      </c>
      <c r="AY634" s="148" t="str">
        <f t="shared" si="433"/>
        <v>JR F - VEN 1-&gt;JR F - COL 1</v>
      </c>
      <c r="AZ634" s="148" t="str">
        <f t="shared" si="434"/>
        <v>11/20/2017 19:40-&gt;JR F - VEN 1</v>
      </c>
      <c r="BA634" s="148" t="str">
        <f t="shared" si="435"/>
        <v>11/20/2017 19:40-&gt;JR F - COL 1</v>
      </c>
      <c r="BB634" s="374">
        <f t="shared" si="436"/>
        <v>1</v>
      </c>
      <c r="BC634" s="374">
        <f t="shared" si="437"/>
        <v>1</v>
      </c>
      <c r="BD634" s="148" t="str">
        <f t="shared" si="438"/>
        <v>no conflict</v>
      </c>
      <c r="BF634" s="148" t="str">
        <f t="shared" si="439"/>
        <v>11/20/2017 19:40-&gt;JR F - VEN 1</v>
      </c>
      <c r="BG634" s="148" t="str">
        <f t="shared" si="440"/>
        <v>11/20/2017 19:40-&gt;JR F - COL 1</v>
      </c>
      <c r="BH634" s="148" t="str">
        <f t="shared" si="441"/>
        <v>11/20/2017 19:40-&gt;Hillel - Field 3</v>
      </c>
      <c r="BI634" s="148" t="str">
        <f t="shared" si="442"/>
        <v>Flag Football in Hillel - Field 3 (VEN1-COL1)</v>
      </c>
      <c r="BJ634" s="148" t="str">
        <f t="shared" si="443"/>
        <v>Junior Female Flag Football-- JR F - VEN 1 vs. JR F - COL 1</v>
      </c>
      <c r="BK634" s="148" t="str">
        <f t="shared" si="444"/>
        <v>Flag Football</v>
      </c>
      <c r="BL634" s="148" t="str">
        <f t="shared" si="445"/>
        <v>JR F - VEN 1</v>
      </c>
      <c r="BM634" s="148" t="str">
        <f t="shared" si="446"/>
        <v>JR F - COL 1</v>
      </c>
      <c r="BN634" s="148" t="str">
        <f t="shared" si="447"/>
        <v>Round - 1</v>
      </c>
      <c r="BP634" s="148" t="str">
        <f t="shared" si="448"/>
        <v>no t, f, or sf</v>
      </c>
      <c r="BQ634" s="148" t="str">
        <f t="shared" si="449"/>
        <v/>
      </c>
    </row>
    <row r="635" spans="1:83" ht="15" customHeight="1" x14ac:dyDescent="0.2">
      <c r="A635" s="376">
        <v>633</v>
      </c>
      <c r="B635" s="433" t="s">
        <v>69</v>
      </c>
      <c r="C635" s="315" t="s">
        <v>518</v>
      </c>
      <c r="D635" s="378">
        <v>1</v>
      </c>
      <c r="E635" s="378">
        <v>1</v>
      </c>
      <c r="F635" s="315" t="s">
        <v>770</v>
      </c>
      <c r="G635" s="316">
        <v>43059</v>
      </c>
      <c r="H635" s="317">
        <v>0.85416666666666663</v>
      </c>
      <c r="I635" s="325" t="s">
        <v>770</v>
      </c>
      <c r="J635" s="315" t="s">
        <v>703</v>
      </c>
      <c r="K635" s="315">
        <v>63</v>
      </c>
      <c r="L635" t="s">
        <v>669</v>
      </c>
      <c r="M635">
        <v>63</v>
      </c>
      <c r="N635" t="s">
        <v>665</v>
      </c>
      <c r="O635" s="153" t="str">
        <f>IF(L635&lt;&gt;"",IFERROR(VLOOKUP(B635&amp;L635,Pools!$A$2:$D$130,3,FALSE),""),"")</f>
        <v/>
      </c>
      <c r="P635" s="388">
        <v>0</v>
      </c>
      <c r="Q635" s="388">
        <v>21</v>
      </c>
      <c r="R635" s="306" t="str">
        <f t="shared" si="405"/>
        <v>0-21</v>
      </c>
      <c r="S635" s="153"/>
      <c r="T635" s="148" t="str">
        <f t="shared" si="406"/>
        <v>Completed</v>
      </c>
      <c r="U635" s="153"/>
      <c r="V635" s="153"/>
      <c r="W635" s="387">
        <f t="shared" si="407"/>
        <v>-21</v>
      </c>
      <c r="X635" s="387">
        <f t="shared" si="408"/>
        <v>21</v>
      </c>
      <c r="Y635" s="301">
        <f t="shared" si="409"/>
        <v>0</v>
      </c>
      <c r="Z635" s="301">
        <f t="shared" si="410"/>
        <v>2</v>
      </c>
      <c r="AA635" s="323" t="str">
        <f>CONCATENATE("                x[team1,team2,sport,'",IF(OR(I635="x",I635=""),VLOOKUP('Schedule from TM'!J636,Tables!$P$3:$Q$33,2,FALSE),'Schedule from TM'!I636),",",J635,"','",IF(OR(F635="x",F635=""),VLOOKUP('Schedule from TM'!G636,Tables!$U$3:$V$14,2,FALSE),'Schedule from TM'!F636),",",TEXT(G635,"mm/dd/yyyy"),"','",TEXT(H635,"h:mm:ss AM/PM"),"'].ub=0.0      #",B635)</f>
        <v xml:space="preserve">                x[team1,team2,sport,'21,Hillel - Field 1','22,11/20/2017','8:30:00 PM'].ub=0.0      #Junior Female Flag Football</v>
      </c>
      <c r="AB635" s="301" t="str">
        <f t="shared" si="411"/>
        <v>,,Junior Female Flag Football,,1,JR F - VEN 2</v>
      </c>
      <c r="AC635" s="153" t="str">
        <f t="shared" si="412"/>
        <v>Junior Female Flag FootballJR F - VEN 2</v>
      </c>
      <c r="AD635" s="301" t="str">
        <f t="shared" si="413"/>
        <v>,,Junior Female Flag Football,,1,JR F - USA 1</v>
      </c>
      <c r="AE635" s="153" t="str">
        <f t="shared" si="414"/>
        <v>Junior Female Flag FootballJR F - USA 1</v>
      </c>
      <c r="AF635" s="383">
        <f t="shared" si="415"/>
        <v>0</v>
      </c>
      <c r="AG635" s="383">
        <f t="shared" si="416"/>
        <v>1</v>
      </c>
      <c r="AH635" s="383">
        <f t="shared" si="417"/>
        <v>0</v>
      </c>
      <c r="AI635" s="383">
        <f t="shared" si="418"/>
        <v>1</v>
      </c>
      <c r="AJ635" s="383">
        <f t="shared" si="419"/>
        <v>0</v>
      </c>
      <c r="AK635" s="383">
        <f t="shared" si="420"/>
        <v>0</v>
      </c>
      <c r="AM635" s="148" t="str">
        <f t="shared" si="421"/>
        <v>Schedulled</v>
      </c>
      <c r="AN635" s="148" t="str">
        <f t="shared" si="422"/>
        <v/>
      </c>
      <c r="AO635" s="156">
        <f t="shared" si="423"/>
        <v>43059.854166666664</v>
      </c>
      <c r="AP635" s="148" t="str">
        <f t="shared" si="424"/>
        <v>11/20/2017 20:30-&gt;Hillel - Field 1</v>
      </c>
      <c r="AQ635" s="374">
        <f t="shared" si="425"/>
        <v>1</v>
      </c>
      <c r="AR635" s="148" t="str">
        <f t="shared" si="426"/>
        <v>VEN2</v>
      </c>
      <c r="AS635" s="148" t="str">
        <f t="shared" si="427"/>
        <v>USA1</v>
      </c>
      <c r="AT635" s="157" t="str">
        <f t="shared" si="428"/>
        <v>VEN2-USA1</v>
      </c>
      <c r="AU635" s="157" t="str">
        <f t="shared" si="429"/>
        <v xml:space="preserve">VEN2-USA1 </v>
      </c>
      <c r="AV635" s="157" t="str">
        <f t="shared" si="430"/>
        <v>JUNIORS FEMALE</v>
      </c>
      <c r="AW635" s="157" t="str">
        <f t="shared" si="431"/>
        <v>Flag Football</v>
      </c>
      <c r="AX635" s="376">
        <f t="shared" si="432"/>
        <v>633</v>
      </c>
      <c r="AY635" s="148" t="str">
        <f t="shared" si="433"/>
        <v>JR F - VEN 2-&gt;JR F - USA 1</v>
      </c>
      <c r="AZ635" s="148" t="str">
        <f t="shared" si="434"/>
        <v>11/20/2017 20:30-&gt;JR F - VEN 2</v>
      </c>
      <c r="BA635" s="148" t="str">
        <f t="shared" si="435"/>
        <v>11/20/2017 20:30-&gt;JR F - USA 1</v>
      </c>
      <c r="BB635" s="374">
        <f t="shared" si="436"/>
        <v>1</v>
      </c>
      <c r="BC635" s="374">
        <f t="shared" si="437"/>
        <v>1</v>
      </c>
      <c r="BD635" s="148" t="str">
        <f t="shared" si="438"/>
        <v>no conflict</v>
      </c>
      <c r="BF635" s="148" t="str">
        <f t="shared" si="439"/>
        <v>11/20/2017 20:30-&gt;JR F - VEN 2</v>
      </c>
      <c r="BG635" s="148" t="str">
        <f t="shared" si="440"/>
        <v>11/20/2017 20:30-&gt;JR F - USA 1</v>
      </c>
      <c r="BH635" s="148" t="str">
        <f t="shared" si="441"/>
        <v>11/20/2017 20:30-&gt;Hillel - Field 1</v>
      </c>
      <c r="BI635" s="148" t="str">
        <f t="shared" si="442"/>
        <v>Flag Football in Hillel - Field 1 (VEN2-USA1)</v>
      </c>
      <c r="BJ635" s="148" t="str">
        <f t="shared" si="443"/>
        <v>Junior Female Flag Football-- JR F - VEN 2 vs. JR F - USA 1</v>
      </c>
      <c r="BK635" s="148" t="str">
        <f t="shared" si="444"/>
        <v>Flag Football</v>
      </c>
      <c r="BL635" s="148" t="str">
        <f t="shared" si="445"/>
        <v>JR F - VEN 2</v>
      </c>
      <c r="BM635" s="148" t="str">
        <f t="shared" si="446"/>
        <v>JR F - USA 1</v>
      </c>
      <c r="BN635" s="148" t="str">
        <f t="shared" si="447"/>
        <v>Round - 1</v>
      </c>
      <c r="BP635" s="148" t="str">
        <f t="shared" si="448"/>
        <v>no t, f, or sf</v>
      </c>
      <c r="BQ635" s="148" t="str">
        <f t="shared" si="449"/>
        <v/>
      </c>
    </row>
    <row r="636" spans="1:83" ht="15" customHeight="1" x14ac:dyDescent="0.2">
      <c r="A636" s="376">
        <v>634</v>
      </c>
      <c r="B636" s="121" t="s">
        <v>69</v>
      </c>
      <c r="C636" s="121" t="s">
        <v>518</v>
      </c>
      <c r="D636" s="382">
        <v>1</v>
      </c>
      <c r="E636" s="382">
        <v>1</v>
      </c>
      <c r="F636" s="315" t="s">
        <v>770</v>
      </c>
      <c r="G636" s="206">
        <v>43059</v>
      </c>
      <c r="H636" s="317">
        <v>0.85416666666666663</v>
      </c>
      <c r="I636" s="325" t="s">
        <v>770</v>
      </c>
      <c r="J636" s="121" t="s">
        <v>706</v>
      </c>
      <c r="K636" s="121">
        <v>63</v>
      </c>
      <c r="L636" t="s">
        <v>661</v>
      </c>
      <c r="M636">
        <v>63</v>
      </c>
      <c r="N636" t="s">
        <v>660</v>
      </c>
      <c r="O636" s="153" t="str">
        <f>IF(L636&lt;&gt;"",IFERROR(VLOOKUP(B636&amp;L636,Pools!$A$2:$D$130,3,FALSE),""),"")</f>
        <v/>
      </c>
      <c r="P636" s="388">
        <v>33</v>
      </c>
      <c r="Q636" s="388">
        <v>18</v>
      </c>
      <c r="R636" s="306" t="str">
        <f t="shared" si="405"/>
        <v>33-18</v>
      </c>
      <c r="S636" s="153"/>
      <c r="T636" s="148" t="str">
        <f t="shared" si="406"/>
        <v>Completed</v>
      </c>
      <c r="U636" s="153"/>
      <c r="V636" s="153"/>
      <c r="W636" s="387">
        <f t="shared" si="407"/>
        <v>15</v>
      </c>
      <c r="X636" s="387">
        <f t="shared" si="408"/>
        <v>-15</v>
      </c>
      <c r="Y636" s="301">
        <f t="shared" si="409"/>
        <v>2</v>
      </c>
      <c r="Z636" s="301">
        <f t="shared" si="410"/>
        <v>0</v>
      </c>
      <c r="AA636" s="323" t="str">
        <f>CONCATENATE("                x[team1,team2,sport,'",IF(OR(I636="x",I636=""),VLOOKUP('Schedule from TM'!J637,Tables!$P$3:$Q$33,2,FALSE),'Schedule from TM'!I637),",",J636,"','",IF(OR(F636="x",F636=""),VLOOKUP('Schedule from TM'!G637,Tables!$U$3:$V$14,2,FALSE),'Schedule from TM'!F637),",",TEXT(G636,"mm/dd/yyyy"),"','",TEXT(H636,"h:mm:ss AM/PM"),"'].ub=0.0      #",B636)</f>
        <v xml:space="preserve">                x[team1,team2,sport,'21,Hillel - Field 4','22,11/20/2017','8:30:00 PM'].ub=0.0      #Junior Female Flag Football</v>
      </c>
      <c r="AB636" s="301" t="str">
        <f t="shared" si="411"/>
        <v>,,Junior Female Flag Football,,1,JR F - ISR 1</v>
      </c>
      <c r="AC636" s="153" t="str">
        <f t="shared" si="412"/>
        <v>Junior Female Flag FootballJR F - ISR 1</v>
      </c>
      <c r="AD636" s="301" t="str">
        <f t="shared" si="413"/>
        <v>,,Junior Female Flag Football,,1,JR F - COL 2</v>
      </c>
      <c r="AE636" s="153" t="str">
        <f t="shared" si="414"/>
        <v>Junior Female Flag FootballJR F - COL 2</v>
      </c>
      <c r="AF636" s="383">
        <f t="shared" si="415"/>
        <v>1</v>
      </c>
      <c r="AG636" s="383">
        <f t="shared" si="416"/>
        <v>0</v>
      </c>
      <c r="AH636" s="383">
        <f t="shared" si="417"/>
        <v>0</v>
      </c>
      <c r="AI636" s="383">
        <f t="shared" si="418"/>
        <v>0</v>
      </c>
      <c r="AJ636" s="383">
        <f t="shared" si="419"/>
        <v>1</v>
      </c>
      <c r="AK636" s="383">
        <f t="shared" si="420"/>
        <v>0</v>
      </c>
      <c r="AM636" s="148" t="str">
        <f t="shared" si="421"/>
        <v>Schedulled</v>
      </c>
      <c r="AN636" s="148" t="str">
        <f t="shared" si="422"/>
        <v/>
      </c>
      <c r="AO636" s="156">
        <f t="shared" si="423"/>
        <v>43059.854166666664</v>
      </c>
      <c r="AP636" s="148" t="str">
        <f t="shared" si="424"/>
        <v>11/20/2017 20:30-&gt;Hillel - Field 4</v>
      </c>
      <c r="AQ636" s="374">
        <f t="shared" si="425"/>
        <v>1</v>
      </c>
      <c r="AR636" s="148" t="str">
        <f t="shared" si="426"/>
        <v>ISR1</v>
      </c>
      <c r="AS636" s="148" t="str">
        <f t="shared" si="427"/>
        <v>COL2</v>
      </c>
      <c r="AT636" s="157" t="str">
        <f t="shared" si="428"/>
        <v>ISR1-COL2</v>
      </c>
      <c r="AU636" s="157" t="str">
        <f t="shared" si="429"/>
        <v xml:space="preserve">ISR1-COL2 </v>
      </c>
      <c r="AV636" s="157" t="str">
        <f t="shared" si="430"/>
        <v>JUNIORS FEMALE</v>
      </c>
      <c r="AW636" s="157" t="str">
        <f t="shared" si="431"/>
        <v>Flag Football</v>
      </c>
      <c r="AX636" s="376">
        <f t="shared" si="432"/>
        <v>634</v>
      </c>
      <c r="AY636" s="148" t="str">
        <f t="shared" si="433"/>
        <v>JR F - ISR 1-&gt;JR F - COL 2</v>
      </c>
      <c r="AZ636" s="148" t="str">
        <f t="shared" si="434"/>
        <v>11/20/2017 20:30-&gt;JR F - ISR 1</v>
      </c>
      <c r="BA636" s="148" t="str">
        <f t="shared" si="435"/>
        <v>11/20/2017 20:30-&gt;JR F - COL 2</v>
      </c>
      <c r="BB636" s="374">
        <f t="shared" si="436"/>
        <v>1</v>
      </c>
      <c r="BC636" s="374">
        <f t="shared" si="437"/>
        <v>1</v>
      </c>
      <c r="BD636" s="148" t="str">
        <f t="shared" si="438"/>
        <v>no conflict</v>
      </c>
      <c r="BF636" s="148" t="str">
        <f t="shared" si="439"/>
        <v>11/20/2017 20:30-&gt;JR F - ISR 1</v>
      </c>
      <c r="BG636" s="148" t="str">
        <f t="shared" si="440"/>
        <v>11/20/2017 20:30-&gt;JR F - COL 2</v>
      </c>
      <c r="BH636" s="148" t="str">
        <f t="shared" si="441"/>
        <v>11/20/2017 20:30-&gt;Hillel - Field 4</v>
      </c>
      <c r="BI636" s="148" t="str">
        <f t="shared" si="442"/>
        <v>Flag Football in Hillel - Field 4 (ISR1-COL2)</v>
      </c>
      <c r="BJ636" s="148" t="str">
        <f t="shared" si="443"/>
        <v>Junior Female Flag Football-- JR F - ISR 1 vs. JR F - COL 2</v>
      </c>
      <c r="BK636" s="148" t="str">
        <f t="shared" si="444"/>
        <v>Flag Football</v>
      </c>
      <c r="BL636" s="148" t="str">
        <f t="shared" si="445"/>
        <v>JR F - ISR 1</v>
      </c>
      <c r="BM636" s="148" t="str">
        <f t="shared" si="446"/>
        <v>JR F - COL 2</v>
      </c>
      <c r="BN636" s="148" t="str">
        <f t="shared" si="447"/>
        <v>Round - 1</v>
      </c>
      <c r="BP636" s="148" t="str">
        <f t="shared" si="448"/>
        <v>no t, f, or sf</v>
      </c>
      <c r="BQ636" s="148" t="str">
        <f t="shared" si="449"/>
        <v/>
      </c>
    </row>
    <row r="637" spans="1:83" ht="15" customHeight="1" x14ac:dyDescent="0.2">
      <c r="A637" s="376">
        <v>635</v>
      </c>
      <c r="B637" s="121" t="s">
        <v>69</v>
      </c>
      <c r="C637" s="121" t="s">
        <v>518</v>
      </c>
      <c r="D637" s="382">
        <v>1</v>
      </c>
      <c r="E637" s="382">
        <v>1</v>
      </c>
      <c r="F637" s="315" t="s">
        <v>770</v>
      </c>
      <c r="G637" s="206">
        <v>43060</v>
      </c>
      <c r="H637" s="317">
        <v>0.78472222222222221</v>
      </c>
      <c r="I637" s="325" t="s">
        <v>770</v>
      </c>
      <c r="J637" s="121" t="s">
        <v>703</v>
      </c>
      <c r="K637" s="121">
        <v>63</v>
      </c>
      <c r="L637" s="433" t="s">
        <v>661</v>
      </c>
      <c r="M637" s="433">
        <v>63</v>
      </c>
      <c r="N637" s="433" t="s">
        <v>776</v>
      </c>
      <c r="O637" s="153" t="str">
        <f>IF(L637&lt;&gt;"",IFERROR(VLOOKUP(B637&amp;L637,Pools!$A$2:$D$130,3,FALSE),""),"")</f>
        <v/>
      </c>
      <c r="P637" s="388">
        <v>28</v>
      </c>
      <c r="Q637" s="388">
        <v>0</v>
      </c>
      <c r="R637" s="306" t="str">
        <f t="shared" si="405"/>
        <v>28-0</v>
      </c>
      <c r="S637" s="153"/>
      <c r="T637" s="148" t="str">
        <f t="shared" si="406"/>
        <v>Completed</v>
      </c>
      <c r="U637" s="153"/>
      <c r="V637" s="153"/>
      <c r="W637" s="387">
        <f t="shared" si="407"/>
        <v>21</v>
      </c>
      <c r="X637" s="387">
        <f t="shared" si="408"/>
        <v>-21</v>
      </c>
      <c r="Y637" s="301">
        <f t="shared" si="409"/>
        <v>2</v>
      </c>
      <c r="Z637" s="301">
        <f t="shared" si="410"/>
        <v>0</v>
      </c>
      <c r="AA637" s="323" t="str">
        <f>CONCATENATE("                x[team1,team2,sport,'",IF(OR(I637="x",I637=""),VLOOKUP('Schedule from TM'!J638,Tables!$P$3:$Q$33,2,FALSE),'Schedule from TM'!I638),",",J637,"','",IF(OR(F637="x",F637=""),VLOOKUP('Schedule from TM'!G638,Tables!$U$3:$V$14,2,FALSE),'Schedule from TM'!F638),",",TEXT(G637,"mm/dd/yyyy"),"','",TEXT(H637,"h:mm:ss AM/PM"),"'].ub=0.0      #",B637)</f>
        <v xml:space="preserve">                x[team1,team2,sport,'21,Hillel - Field 1','22,11/21/2017','6:50:00 PM'].ub=0.0      #Junior Female Flag Football</v>
      </c>
      <c r="AB637" s="301" t="str">
        <f t="shared" si="411"/>
        <v>,,Junior Female Flag Football,,1,JR F - ISR 1</v>
      </c>
      <c r="AC637" s="153" t="str">
        <f t="shared" si="412"/>
        <v>Junior Female Flag FootballJR F - ISR 1</v>
      </c>
      <c r="AD637" s="301" t="str">
        <f t="shared" si="413"/>
        <v>,,Junior Female Flag Football,,1,JR F - USA 3</v>
      </c>
      <c r="AE637" s="153" t="str">
        <f t="shared" si="414"/>
        <v>Junior Female Flag FootballJR F - USA 3</v>
      </c>
      <c r="AF637" s="383">
        <f t="shared" si="415"/>
        <v>1</v>
      </c>
      <c r="AG637" s="383">
        <f t="shared" si="416"/>
        <v>0</v>
      </c>
      <c r="AH637" s="383">
        <f t="shared" si="417"/>
        <v>0</v>
      </c>
      <c r="AI637" s="383">
        <f t="shared" si="418"/>
        <v>0</v>
      </c>
      <c r="AJ637" s="383">
        <f t="shared" si="419"/>
        <v>1</v>
      </c>
      <c r="AK637" s="383">
        <f t="shared" si="420"/>
        <v>0</v>
      </c>
      <c r="AM637" s="148" t="str">
        <f t="shared" si="421"/>
        <v>Schedulled</v>
      </c>
      <c r="AN637" s="148" t="str">
        <f t="shared" si="422"/>
        <v/>
      </c>
      <c r="AO637" s="156">
        <f t="shared" si="423"/>
        <v>43060.784722222219</v>
      </c>
      <c r="AP637" s="148" t="str">
        <f t="shared" si="424"/>
        <v>11/21/2017 18:50-&gt;Hillel - Field 1</v>
      </c>
      <c r="AQ637" s="374">
        <f t="shared" si="425"/>
        <v>1</v>
      </c>
      <c r="AR637" s="148" t="str">
        <f t="shared" si="426"/>
        <v>ISR1</v>
      </c>
      <c r="AS637" s="148" t="str">
        <f t="shared" si="427"/>
        <v>USA3</v>
      </c>
      <c r="AT637" s="157" t="str">
        <f t="shared" si="428"/>
        <v>ISR1-USA3</v>
      </c>
      <c r="AU637" s="157" t="str">
        <f t="shared" si="429"/>
        <v xml:space="preserve">ISR1-USA3 </v>
      </c>
      <c r="AV637" s="157" t="str">
        <f t="shared" si="430"/>
        <v>JUNIORS FEMALE</v>
      </c>
      <c r="AW637" s="157" t="str">
        <f t="shared" si="431"/>
        <v>Flag Football</v>
      </c>
      <c r="AX637" s="376">
        <f t="shared" si="432"/>
        <v>635</v>
      </c>
      <c r="AY637" s="148" t="str">
        <f t="shared" si="433"/>
        <v>JR F - ISR 1-&gt;JR F - USA 3</v>
      </c>
      <c r="AZ637" s="148" t="str">
        <f t="shared" si="434"/>
        <v>11/21/2017 18:50-&gt;JR F - ISR 1</v>
      </c>
      <c r="BA637" s="148" t="str">
        <f t="shared" si="435"/>
        <v>11/21/2017 18:50-&gt;JR F - USA 3</v>
      </c>
      <c r="BB637" s="374">
        <f t="shared" si="436"/>
        <v>1</v>
      </c>
      <c r="BC637" s="374">
        <f t="shared" si="437"/>
        <v>1</v>
      </c>
      <c r="BD637" s="148" t="str">
        <f t="shared" si="438"/>
        <v>no conflict</v>
      </c>
      <c r="BF637" s="148" t="str">
        <f t="shared" si="439"/>
        <v>11/21/2017 18:50-&gt;JR F - ISR 1</v>
      </c>
      <c r="BG637" s="148" t="str">
        <f t="shared" si="440"/>
        <v>11/21/2017 18:50-&gt;JR F - USA 3</v>
      </c>
      <c r="BH637" s="148" t="str">
        <f t="shared" si="441"/>
        <v>11/21/2017 18:50-&gt;Hillel - Field 1</v>
      </c>
      <c r="BI637" s="148" t="str">
        <f t="shared" si="442"/>
        <v>Flag Football in Hillel - Field 1 (ISR1-USA3)</v>
      </c>
      <c r="BJ637" s="148" t="str">
        <f t="shared" si="443"/>
        <v>Junior Female Flag Football-- JR F - ISR 1 vs. JR F - USA 3</v>
      </c>
      <c r="BK637" s="148" t="str">
        <f t="shared" si="444"/>
        <v>Flag Football</v>
      </c>
      <c r="BL637" s="148" t="str">
        <f t="shared" si="445"/>
        <v>JR F - ISR 1</v>
      </c>
      <c r="BM637" s="148" t="str">
        <f t="shared" si="446"/>
        <v>JR F - USA 3</v>
      </c>
      <c r="BN637" s="148" t="str">
        <f t="shared" si="447"/>
        <v>Round - 1</v>
      </c>
      <c r="BP637" s="148" t="str">
        <f t="shared" si="448"/>
        <v>no t, f, or sf</v>
      </c>
      <c r="BQ637" s="148" t="str">
        <f t="shared" si="449"/>
        <v/>
      </c>
    </row>
    <row r="638" spans="1:83" ht="15" customHeight="1" x14ac:dyDescent="0.2">
      <c r="A638" s="376">
        <v>636</v>
      </c>
      <c r="B638" s="433" t="s">
        <v>69</v>
      </c>
      <c r="C638" s="315" t="s">
        <v>518</v>
      </c>
      <c r="D638" s="378">
        <v>1</v>
      </c>
      <c r="E638" s="378">
        <v>1</v>
      </c>
      <c r="F638" s="315" t="s">
        <v>770</v>
      </c>
      <c r="G638" s="316">
        <v>43061</v>
      </c>
      <c r="H638" s="318">
        <v>0.75</v>
      </c>
      <c r="I638" s="325" t="s">
        <v>770</v>
      </c>
      <c r="J638" s="443" t="s">
        <v>705</v>
      </c>
      <c r="K638" s="315">
        <v>63</v>
      </c>
      <c r="L638" t="s">
        <v>659</v>
      </c>
      <c r="M638">
        <v>63</v>
      </c>
      <c r="N638" t="s">
        <v>776</v>
      </c>
      <c r="O638" s="153" t="str">
        <f>IF(L638&lt;&gt;"",IFERROR(VLOOKUP(B638&amp;L638,Pools!$A$2:$D$130,3,FALSE),""),"")</f>
        <v/>
      </c>
      <c r="P638" s="388">
        <v>56</v>
      </c>
      <c r="Q638" s="388">
        <v>6</v>
      </c>
      <c r="R638" s="306" t="str">
        <f t="shared" si="405"/>
        <v>56-6</v>
      </c>
      <c r="S638" s="153"/>
      <c r="T638" s="148" t="str">
        <f t="shared" si="406"/>
        <v>Completed</v>
      </c>
      <c r="U638" s="153"/>
      <c r="V638" s="153"/>
      <c r="W638" s="387">
        <f t="shared" si="407"/>
        <v>21</v>
      </c>
      <c r="X638" s="387">
        <f t="shared" si="408"/>
        <v>-21</v>
      </c>
      <c r="Y638" s="301">
        <f t="shared" si="409"/>
        <v>2</v>
      </c>
      <c r="Z638" s="301">
        <f t="shared" si="410"/>
        <v>0</v>
      </c>
      <c r="AA638" s="323" t="str">
        <f>CONCATENATE("                x[team1,team2,sport,'",IF(OR(I638="x",I638=""),VLOOKUP('Schedule from TM'!J639,Tables!$P$3:$Q$33,2,FALSE),'Schedule from TM'!I639),",",J638,"','",IF(OR(F638="x",F638=""),VLOOKUP('Schedule from TM'!G639,Tables!$U$3:$V$14,2,FALSE),'Schedule from TM'!F639),",",TEXT(G638,"mm/dd/yyyy"),"','",TEXT(H638,"h:mm:ss AM/PM"),"'].ub=0.0      #",B638)</f>
        <v xml:space="preserve">                x[team1,team2,sport,'21,Hillel - Field 3','22,11/22/2017','6:00:00 PM'].ub=0.0      #Junior Female Flag Football</v>
      </c>
      <c r="AB638" s="301" t="str">
        <f t="shared" si="411"/>
        <v>,,Junior Female Flag Football,,1,JR F - ARG 1</v>
      </c>
      <c r="AC638" s="153" t="str">
        <f t="shared" si="412"/>
        <v>Junior Female Flag FootballJR F - ARG 1</v>
      </c>
      <c r="AD638" s="301" t="str">
        <f t="shared" si="413"/>
        <v>,,Junior Female Flag Football,,1,JR F - USA 3</v>
      </c>
      <c r="AE638" s="153" t="str">
        <f t="shared" si="414"/>
        <v>Junior Female Flag FootballJR F - USA 3</v>
      </c>
      <c r="AF638" s="383">
        <f t="shared" si="415"/>
        <v>1</v>
      </c>
      <c r="AG638" s="383">
        <f t="shared" si="416"/>
        <v>0</v>
      </c>
      <c r="AH638" s="383">
        <f t="shared" si="417"/>
        <v>0</v>
      </c>
      <c r="AI638" s="383">
        <f t="shared" si="418"/>
        <v>0</v>
      </c>
      <c r="AJ638" s="383">
        <f t="shared" si="419"/>
        <v>1</v>
      </c>
      <c r="AK638" s="383">
        <f t="shared" si="420"/>
        <v>0</v>
      </c>
      <c r="AM638" s="148" t="str">
        <f t="shared" si="421"/>
        <v>Schedulled</v>
      </c>
      <c r="AN638" s="148" t="str">
        <f t="shared" si="422"/>
        <v/>
      </c>
      <c r="AO638" s="156">
        <f t="shared" si="423"/>
        <v>43061.75</v>
      </c>
      <c r="AP638" s="148" t="str">
        <f t="shared" si="424"/>
        <v>11/22/2017 18:00-&gt;Hillel - Field 3</v>
      </c>
      <c r="AQ638" s="374">
        <f t="shared" si="425"/>
        <v>1</v>
      </c>
      <c r="AR638" s="148" t="str">
        <f t="shared" si="426"/>
        <v>ARG1</v>
      </c>
      <c r="AS638" s="148" t="str">
        <f t="shared" si="427"/>
        <v>USA3</v>
      </c>
      <c r="AT638" s="157" t="str">
        <f t="shared" si="428"/>
        <v>ARG1-USA3</v>
      </c>
      <c r="AU638" s="157" t="str">
        <f t="shared" si="429"/>
        <v xml:space="preserve">ARG1-USA3 </v>
      </c>
      <c r="AV638" s="157" t="str">
        <f t="shared" si="430"/>
        <v>JUNIORS FEMALE</v>
      </c>
      <c r="AW638" s="157" t="str">
        <f t="shared" si="431"/>
        <v>Flag Football</v>
      </c>
      <c r="AX638" s="376">
        <f t="shared" si="432"/>
        <v>636</v>
      </c>
      <c r="AY638" s="148" t="str">
        <f t="shared" si="433"/>
        <v>JR F - ARG 1-&gt;JR F - USA 3</v>
      </c>
      <c r="AZ638" s="148" t="str">
        <f t="shared" si="434"/>
        <v>11/22/2017 18:00-&gt;JR F - ARG 1</v>
      </c>
      <c r="BA638" s="148" t="str">
        <f t="shared" si="435"/>
        <v>11/22/2017 18:00-&gt;JR F - USA 3</v>
      </c>
      <c r="BB638" s="374">
        <f t="shared" si="436"/>
        <v>1</v>
      </c>
      <c r="BC638" s="374">
        <f t="shared" si="437"/>
        <v>1</v>
      </c>
      <c r="BD638" s="148" t="str">
        <f t="shared" si="438"/>
        <v>no conflict</v>
      </c>
      <c r="BF638" s="148" t="str">
        <f t="shared" si="439"/>
        <v>11/22/2017 18:00-&gt;JR F - ARG 1</v>
      </c>
      <c r="BG638" s="148" t="str">
        <f t="shared" si="440"/>
        <v>11/22/2017 18:00-&gt;JR F - USA 3</v>
      </c>
      <c r="BH638" s="148" t="str">
        <f t="shared" si="441"/>
        <v>11/22/2017 18:00-&gt;Hillel - Field 3</v>
      </c>
      <c r="BI638" s="148" t="str">
        <f t="shared" si="442"/>
        <v>Flag Football in Hillel - Field 3 (ARG1-USA3)</v>
      </c>
      <c r="BJ638" s="148" t="str">
        <f t="shared" si="443"/>
        <v>Junior Female Flag Football-- JR F - ARG 1 vs. JR F - USA 3</v>
      </c>
      <c r="BK638" s="148" t="str">
        <f t="shared" si="444"/>
        <v>Flag Football</v>
      </c>
      <c r="BL638" s="148" t="str">
        <f t="shared" si="445"/>
        <v>JR F - ARG 1</v>
      </c>
      <c r="BM638" s="148" t="str">
        <f t="shared" si="446"/>
        <v>JR F - USA 3</v>
      </c>
      <c r="BN638" s="148" t="str">
        <f t="shared" si="447"/>
        <v>Round - 1</v>
      </c>
      <c r="BP638" s="148" t="str">
        <f t="shared" si="448"/>
        <v>no t, f, or sf</v>
      </c>
      <c r="BQ638" s="148" t="str">
        <f t="shared" si="449"/>
        <v/>
      </c>
    </row>
    <row r="639" spans="1:83" s="158" customFormat="1" ht="15" customHeight="1" x14ac:dyDescent="0.2">
      <c r="A639" s="376">
        <v>637</v>
      </c>
      <c r="B639" s="121" t="s">
        <v>69</v>
      </c>
      <c r="C639" s="121" t="s">
        <v>518</v>
      </c>
      <c r="D639" s="382">
        <v>1</v>
      </c>
      <c r="E639" s="382">
        <v>1</v>
      </c>
      <c r="F639" s="315" t="s">
        <v>770</v>
      </c>
      <c r="G639" s="206">
        <v>43061</v>
      </c>
      <c r="H639" s="317">
        <v>0.75</v>
      </c>
      <c r="I639" s="325" t="s">
        <v>770</v>
      </c>
      <c r="J639" s="121" t="s">
        <v>703</v>
      </c>
      <c r="K639" s="121">
        <v>63</v>
      </c>
      <c r="L639" s="433" t="s">
        <v>664</v>
      </c>
      <c r="M639" s="433">
        <v>63</v>
      </c>
      <c r="N639" s="433" t="s">
        <v>660</v>
      </c>
      <c r="O639" s="153" t="str">
        <f>IF(L639&lt;&gt;"",IFERROR(VLOOKUP(B639&amp;L639,Pools!$A$2:$D$130,3,FALSE),""),"")</f>
        <v/>
      </c>
      <c r="P639" s="388">
        <v>31</v>
      </c>
      <c r="Q639" s="388">
        <v>14</v>
      </c>
      <c r="R639" s="306" t="str">
        <f t="shared" si="405"/>
        <v>31-14</v>
      </c>
      <c r="S639" s="153"/>
      <c r="T639" s="148" t="str">
        <f t="shared" si="406"/>
        <v>Completed</v>
      </c>
      <c r="U639" s="153"/>
      <c r="V639" s="153"/>
      <c r="W639" s="387">
        <f t="shared" si="407"/>
        <v>17</v>
      </c>
      <c r="X639" s="387">
        <f t="shared" si="408"/>
        <v>-17</v>
      </c>
      <c r="Y639" s="301">
        <f t="shared" si="409"/>
        <v>2</v>
      </c>
      <c r="Z639" s="301">
        <f t="shared" si="410"/>
        <v>0</v>
      </c>
      <c r="AA639" s="323" t="str">
        <f>CONCATENATE("                x[team1,team2,sport,'",IF(OR(I639="x",I639=""),VLOOKUP('Schedule from TM'!J640,Tables!$P$3:$Q$33,2,FALSE),'Schedule from TM'!I640),",",J639,"','",IF(OR(F639="x",F639=""),VLOOKUP('Schedule from TM'!G640,Tables!$U$3:$V$14,2,FALSE),'Schedule from TM'!F640),",",TEXT(G639,"mm/dd/yyyy"),"','",TEXT(H639,"h:mm:ss AM/PM"),"'].ub=0.0      #",B639)</f>
        <v xml:space="preserve">                x[team1,team2,sport,'21,Hillel - Field 1','22,11/22/2017','6:00:00 PM'].ub=0.0      #Junior Female Flag Football</v>
      </c>
      <c r="AB639" s="301" t="str">
        <f t="shared" si="411"/>
        <v>,,Junior Female Flag Football,,1,JR F - PER</v>
      </c>
      <c r="AC639" s="153" t="str">
        <f t="shared" si="412"/>
        <v>Junior Female Flag FootballJR F - PER</v>
      </c>
      <c r="AD639" s="301" t="str">
        <f t="shared" si="413"/>
        <v>,,Junior Female Flag Football,,1,JR F - COL 2</v>
      </c>
      <c r="AE639" s="153" t="str">
        <f t="shared" si="414"/>
        <v>Junior Female Flag FootballJR F - COL 2</v>
      </c>
      <c r="AF639" s="383">
        <f t="shared" si="415"/>
        <v>1</v>
      </c>
      <c r="AG639" s="383">
        <f t="shared" si="416"/>
        <v>0</v>
      </c>
      <c r="AH639" s="383">
        <f t="shared" si="417"/>
        <v>0</v>
      </c>
      <c r="AI639" s="383">
        <f t="shared" si="418"/>
        <v>0</v>
      </c>
      <c r="AJ639" s="383">
        <f t="shared" si="419"/>
        <v>1</v>
      </c>
      <c r="AK639" s="383">
        <f t="shared" si="420"/>
        <v>0</v>
      </c>
      <c r="AL639" s="148"/>
      <c r="AM639" s="148" t="str">
        <f t="shared" si="421"/>
        <v>Schedulled</v>
      </c>
      <c r="AN639" s="148" t="str">
        <f t="shared" si="422"/>
        <v/>
      </c>
      <c r="AO639" s="156">
        <f t="shared" si="423"/>
        <v>43061.75</v>
      </c>
      <c r="AP639" s="148" t="str">
        <f t="shared" si="424"/>
        <v>11/22/2017 18:00-&gt;Hillel - Field 1</v>
      </c>
      <c r="AQ639" s="374">
        <f t="shared" si="425"/>
        <v>1</v>
      </c>
      <c r="AR639" s="148" t="str">
        <f t="shared" si="426"/>
        <v>PER</v>
      </c>
      <c r="AS639" s="148" t="str">
        <f t="shared" si="427"/>
        <v>COL2</v>
      </c>
      <c r="AT639" s="157" t="str">
        <f t="shared" si="428"/>
        <v>PER-COL2</v>
      </c>
      <c r="AU639" s="157" t="str">
        <f t="shared" si="429"/>
        <v xml:space="preserve">PER-COL2 </v>
      </c>
      <c r="AV639" s="157" t="str">
        <f t="shared" si="430"/>
        <v>JUNIORS FEMALE</v>
      </c>
      <c r="AW639" s="157" t="str">
        <f t="shared" si="431"/>
        <v>Flag Football</v>
      </c>
      <c r="AX639" s="376">
        <f t="shared" si="432"/>
        <v>637</v>
      </c>
      <c r="AY639" s="148" t="str">
        <f t="shared" si="433"/>
        <v>JR F - PER-&gt;JR F - COL 2</v>
      </c>
      <c r="AZ639" s="148" t="str">
        <f t="shared" si="434"/>
        <v>11/22/2017 18:00-&gt;JR F - PER</v>
      </c>
      <c r="BA639" s="148" t="str">
        <f t="shared" si="435"/>
        <v>11/22/2017 18:00-&gt;JR F - COL 2</v>
      </c>
      <c r="BB639" s="374">
        <f t="shared" si="436"/>
        <v>1</v>
      </c>
      <c r="BC639" s="374">
        <f t="shared" si="437"/>
        <v>1</v>
      </c>
      <c r="BD639" s="148" t="str">
        <f t="shared" si="438"/>
        <v>no conflict</v>
      </c>
      <c r="BE639" s="148"/>
      <c r="BF639" s="148" t="str">
        <f t="shared" si="439"/>
        <v>11/22/2017 18:00-&gt;JR F - PER</v>
      </c>
      <c r="BG639" s="148" t="str">
        <f t="shared" si="440"/>
        <v>11/22/2017 18:00-&gt;JR F - COL 2</v>
      </c>
      <c r="BH639" s="148" t="str">
        <f t="shared" si="441"/>
        <v>11/22/2017 18:00-&gt;Hillel - Field 1</v>
      </c>
      <c r="BI639" s="148" t="str">
        <f t="shared" si="442"/>
        <v>Flag Football in Hillel - Field 1 (PER-COL2)</v>
      </c>
      <c r="BJ639" s="148" t="str">
        <f t="shared" si="443"/>
        <v>Junior Female Flag Football-- JR F - PER vs. JR F - COL 2</v>
      </c>
      <c r="BK639" s="148" t="str">
        <f t="shared" si="444"/>
        <v>Flag Football</v>
      </c>
      <c r="BL639" s="148" t="str">
        <f t="shared" si="445"/>
        <v>JR F - PER</v>
      </c>
      <c r="BM639" s="148" t="str">
        <f t="shared" si="446"/>
        <v>JR F - COL 2</v>
      </c>
      <c r="BN639" s="148" t="str">
        <f t="shared" si="447"/>
        <v>Round - 1</v>
      </c>
      <c r="BO639" s="148"/>
      <c r="BP639" s="148" t="str">
        <f t="shared" si="448"/>
        <v>no t, f, or sf</v>
      </c>
      <c r="BQ639" s="148" t="str">
        <f t="shared" si="449"/>
        <v/>
      </c>
      <c r="BR639" s="148"/>
      <c r="BS639" s="148"/>
      <c r="BT639" s="148"/>
      <c r="BU639" s="148"/>
      <c r="BV639" s="148"/>
      <c r="BW639" s="148"/>
      <c r="BX639" s="148"/>
      <c r="BY639" s="148"/>
      <c r="BZ639" s="148"/>
      <c r="CA639" s="148"/>
      <c r="CB639" s="148"/>
      <c r="CC639" s="148"/>
      <c r="CD639" s="148"/>
      <c r="CE639" s="148"/>
    </row>
    <row r="640" spans="1:83" ht="15" customHeight="1" x14ac:dyDescent="0.2">
      <c r="A640" s="376">
        <v>638</v>
      </c>
      <c r="B640" s="121" t="s">
        <v>69</v>
      </c>
      <c r="C640" s="121" t="s">
        <v>518</v>
      </c>
      <c r="D640" s="382">
        <v>1</v>
      </c>
      <c r="E640" s="382">
        <v>1</v>
      </c>
      <c r="F640" s="315" t="s">
        <v>770</v>
      </c>
      <c r="G640" s="206">
        <v>43061</v>
      </c>
      <c r="H640" s="318">
        <v>0.85416666666666663</v>
      </c>
      <c r="I640" s="325" t="s">
        <v>770</v>
      </c>
      <c r="J640" s="121" t="s">
        <v>706</v>
      </c>
      <c r="K640" s="121">
        <v>63</v>
      </c>
      <c r="L640" s="433" t="s">
        <v>665</v>
      </c>
      <c r="M640" s="433">
        <v>63</v>
      </c>
      <c r="N640" s="433" t="s">
        <v>668</v>
      </c>
      <c r="O640" s="153" t="str">
        <f>IF(L640&lt;&gt;"",IFERROR(VLOOKUP(B640&amp;L640,Pools!$A$2:$D$130,3,FALSE),""),"")</f>
        <v/>
      </c>
      <c r="P640" s="388">
        <v>40</v>
      </c>
      <c r="Q640" s="388">
        <v>0</v>
      </c>
      <c r="R640" s="306" t="str">
        <f t="shared" si="405"/>
        <v>40-0</v>
      </c>
      <c r="S640" s="153"/>
      <c r="T640" s="148" t="str">
        <f t="shared" si="406"/>
        <v>Completed</v>
      </c>
      <c r="U640" s="153"/>
      <c r="V640" s="153"/>
      <c r="W640" s="387">
        <f t="shared" si="407"/>
        <v>21</v>
      </c>
      <c r="X640" s="387">
        <f t="shared" si="408"/>
        <v>-21</v>
      </c>
      <c r="Y640" s="301">
        <f t="shared" si="409"/>
        <v>2</v>
      </c>
      <c r="Z640" s="301">
        <f t="shared" si="410"/>
        <v>0</v>
      </c>
      <c r="AA640" s="323" t="str">
        <f>CONCATENATE("                x[team1,team2,sport,'",IF(OR(I640="x",I640=""),VLOOKUP('Schedule from TM'!J641,Tables!$P$3:$Q$33,2,FALSE),'Schedule from TM'!I641),",",J640,"','",IF(OR(F640="x",F640=""),VLOOKUP('Schedule from TM'!G641,Tables!$U$3:$V$14,2,FALSE),'Schedule from TM'!F641),",",TEXT(G640,"mm/dd/yyyy"),"','",TEXT(H640,"h:mm:ss AM/PM"),"'].ub=0.0      #",B640)</f>
        <v xml:space="preserve">                x[team1,team2,sport,'21,Hillel - Field 4','22,11/22/2017','8:30:00 PM'].ub=0.0      #Junior Female Flag Football</v>
      </c>
      <c r="AB640" s="301" t="str">
        <f t="shared" si="411"/>
        <v>,,Junior Female Flag Football,,1,JR F - USA 1</v>
      </c>
      <c r="AC640" s="153" t="str">
        <f t="shared" si="412"/>
        <v>Junior Female Flag FootballJR F - USA 1</v>
      </c>
      <c r="AD640" s="301" t="str">
        <f t="shared" si="413"/>
        <v>,,Junior Female Flag Football,,1,JR F - VEN 1</v>
      </c>
      <c r="AE640" s="153" t="str">
        <f t="shared" si="414"/>
        <v>Junior Female Flag FootballJR F - VEN 1</v>
      </c>
      <c r="AF640" s="383">
        <f t="shared" si="415"/>
        <v>1</v>
      </c>
      <c r="AG640" s="383">
        <f t="shared" si="416"/>
        <v>0</v>
      </c>
      <c r="AH640" s="383">
        <f t="shared" si="417"/>
        <v>0</v>
      </c>
      <c r="AI640" s="383">
        <f t="shared" si="418"/>
        <v>0</v>
      </c>
      <c r="AJ640" s="383">
        <f t="shared" si="419"/>
        <v>1</v>
      </c>
      <c r="AK640" s="383">
        <f t="shared" si="420"/>
        <v>0</v>
      </c>
      <c r="AM640" s="148" t="str">
        <f t="shared" si="421"/>
        <v>Schedulled</v>
      </c>
      <c r="AN640" s="148" t="str">
        <f t="shared" si="422"/>
        <v/>
      </c>
      <c r="AO640" s="156">
        <f t="shared" si="423"/>
        <v>43061.854166666664</v>
      </c>
      <c r="AP640" s="148" t="str">
        <f t="shared" si="424"/>
        <v>11/22/2017 20:30-&gt;Hillel - Field 4</v>
      </c>
      <c r="AQ640" s="374">
        <f t="shared" si="425"/>
        <v>1</v>
      </c>
      <c r="AR640" s="148" t="str">
        <f t="shared" si="426"/>
        <v>USA1</v>
      </c>
      <c r="AS640" s="148" t="str">
        <f t="shared" si="427"/>
        <v>VEN1</v>
      </c>
      <c r="AT640" s="157" t="str">
        <f t="shared" si="428"/>
        <v>USA1-VEN1</v>
      </c>
      <c r="AU640" s="157" t="str">
        <f t="shared" si="429"/>
        <v xml:space="preserve">USA1-VEN1 </v>
      </c>
      <c r="AV640" s="157" t="str">
        <f t="shared" si="430"/>
        <v>JUNIORS FEMALE</v>
      </c>
      <c r="AW640" s="157" t="str">
        <f t="shared" si="431"/>
        <v>Flag Football</v>
      </c>
      <c r="AX640" s="376">
        <f t="shared" si="432"/>
        <v>638</v>
      </c>
      <c r="AY640" s="148" t="str">
        <f t="shared" si="433"/>
        <v>JR F - USA 1-&gt;JR F - VEN 1</v>
      </c>
      <c r="AZ640" s="148" t="str">
        <f t="shared" si="434"/>
        <v>11/22/2017 20:30-&gt;JR F - USA 1</v>
      </c>
      <c r="BA640" s="148" t="str">
        <f t="shared" si="435"/>
        <v>11/22/2017 20:30-&gt;JR F - VEN 1</v>
      </c>
      <c r="BB640" s="374">
        <f t="shared" si="436"/>
        <v>1</v>
      </c>
      <c r="BC640" s="374">
        <f t="shared" si="437"/>
        <v>1</v>
      </c>
      <c r="BD640" s="148" t="str">
        <f t="shared" si="438"/>
        <v>no conflict</v>
      </c>
      <c r="BF640" s="148" t="str">
        <f t="shared" si="439"/>
        <v>11/22/2017 20:30-&gt;JR F - USA 1</v>
      </c>
      <c r="BG640" s="148" t="str">
        <f t="shared" si="440"/>
        <v>11/22/2017 20:30-&gt;JR F - VEN 1</v>
      </c>
      <c r="BH640" s="148" t="str">
        <f t="shared" si="441"/>
        <v>11/22/2017 20:30-&gt;Hillel - Field 4</v>
      </c>
      <c r="BI640" s="148" t="str">
        <f t="shared" si="442"/>
        <v>Flag Football in Hillel - Field 4 (USA1-VEN1)</v>
      </c>
      <c r="BJ640" s="148" t="str">
        <f t="shared" si="443"/>
        <v>Junior Female Flag Football-- JR F - USA 1 vs. JR F - VEN 1</v>
      </c>
      <c r="BK640" s="148" t="str">
        <f t="shared" si="444"/>
        <v>Flag Football</v>
      </c>
      <c r="BL640" s="148" t="str">
        <f t="shared" si="445"/>
        <v>JR F - USA 1</v>
      </c>
      <c r="BM640" s="148" t="str">
        <f t="shared" si="446"/>
        <v>JR F - VEN 1</v>
      </c>
      <c r="BN640" s="148" t="str">
        <f t="shared" si="447"/>
        <v>Round - 1</v>
      </c>
      <c r="BP640" s="148" t="str">
        <f t="shared" si="448"/>
        <v>no t, f, or sf</v>
      </c>
      <c r="BQ640" s="148" t="str">
        <f t="shared" si="449"/>
        <v/>
      </c>
    </row>
    <row r="641" spans="1:69" ht="15" customHeight="1" x14ac:dyDescent="0.2">
      <c r="A641" s="376">
        <v>639</v>
      </c>
      <c r="B641" s="121" t="s">
        <v>69</v>
      </c>
      <c r="C641" s="121" t="s">
        <v>518</v>
      </c>
      <c r="D641" s="382">
        <v>1</v>
      </c>
      <c r="E641" s="382">
        <v>1</v>
      </c>
      <c r="F641" s="315" t="s">
        <v>770</v>
      </c>
      <c r="G641" s="206">
        <v>43061</v>
      </c>
      <c r="H641" s="317">
        <v>0.85416666666666663</v>
      </c>
      <c r="I641" s="325" t="s">
        <v>770</v>
      </c>
      <c r="J641" s="121" t="s">
        <v>704</v>
      </c>
      <c r="K641" s="121">
        <v>63</v>
      </c>
      <c r="L641" s="433" t="s">
        <v>661</v>
      </c>
      <c r="M641" s="433">
        <v>63</v>
      </c>
      <c r="N641" s="433" t="s">
        <v>667</v>
      </c>
      <c r="O641" s="153" t="str">
        <f>IF(L641&lt;&gt;"",IFERROR(VLOOKUP(B641&amp;L641,Pools!$A$2:$D$130,3,FALSE),""),"")</f>
        <v/>
      </c>
      <c r="P641" s="388">
        <v>6</v>
      </c>
      <c r="Q641" s="388">
        <v>26</v>
      </c>
      <c r="R641" s="306" t="str">
        <f t="shared" si="405"/>
        <v>6-26</v>
      </c>
      <c r="S641" s="153"/>
      <c r="T641" s="148" t="str">
        <f t="shared" si="406"/>
        <v>Completed</v>
      </c>
      <c r="U641" s="153"/>
      <c r="V641" s="153"/>
      <c r="W641" s="387">
        <f t="shared" si="407"/>
        <v>-20</v>
      </c>
      <c r="X641" s="387">
        <f t="shared" si="408"/>
        <v>20</v>
      </c>
      <c r="Y641" s="301">
        <f t="shared" si="409"/>
        <v>0</v>
      </c>
      <c r="Z641" s="301">
        <f t="shared" si="410"/>
        <v>2</v>
      </c>
      <c r="AA641" s="323" t="str">
        <f>CONCATENATE("                x[team1,team2,sport,'",IF(OR(I641="x",I641=""),VLOOKUP('Schedule from TM'!J642,Tables!$P$3:$Q$33,2,FALSE),'Schedule from TM'!I642),",",J641,"','",IF(OR(F641="x",F641=""),VLOOKUP('Schedule from TM'!G642,Tables!$U$3:$V$14,2,FALSE),'Schedule from TM'!F642),",",TEXT(G641,"mm/dd/yyyy"),"','",TEXT(H641,"h:mm:ss AM/PM"),"'].ub=0.0      #",B641)</f>
        <v xml:space="preserve">                x[team1,team2,sport,'21,Hillel - Field 2','11,11/22/2017','8:30:00 PM'].ub=0.0      #Junior Female Flag Football</v>
      </c>
      <c r="AB641" s="301" t="str">
        <f t="shared" si="411"/>
        <v>,,Junior Female Flag Football,,1,JR F - ISR 1</v>
      </c>
      <c r="AC641" s="153" t="str">
        <f t="shared" si="412"/>
        <v>Junior Female Flag FootballJR F - ISR 1</v>
      </c>
      <c r="AD641" s="301" t="str">
        <f t="shared" si="413"/>
        <v>,,Junior Female Flag Football,,1,JR F - USA 2</v>
      </c>
      <c r="AE641" s="153" t="str">
        <f t="shared" si="414"/>
        <v>Junior Female Flag FootballJR F - USA 2</v>
      </c>
      <c r="AF641" s="383">
        <f t="shared" si="415"/>
        <v>0</v>
      </c>
      <c r="AG641" s="383">
        <f t="shared" si="416"/>
        <v>1</v>
      </c>
      <c r="AH641" s="383">
        <f t="shared" si="417"/>
        <v>0</v>
      </c>
      <c r="AI641" s="383">
        <f t="shared" si="418"/>
        <v>1</v>
      </c>
      <c r="AJ641" s="383">
        <f t="shared" si="419"/>
        <v>0</v>
      </c>
      <c r="AK641" s="383">
        <f t="shared" si="420"/>
        <v>0</v>
      </c>
      <c r="AM641" s="148" t="str">
        <f t="shared" si="421"/>
        <v>Schedulled</v>
      </c>
      <c r="AN641" s="148" t="str">
        <f t="shared" si="422"/>
        <v/>
      </c>
      <c r="AO641" s="156">
        <f t="shared" si="423"/>
        <v>43061.854166666664</v>
      </c>
      <c r="AP641" s="148" t="str">
        <f t="shared" si="424"/>
        <v>11/22/2017 20:30-&gt;Hillel - Field 2</v>
      </c>
      <c r="AQ641" s="374">
        <f t="shared" si="425"/>
        <v>1</v>
      </c>
      <c r="AR641" s="148" t="str">
        <f t="shared" si="426"/>
        <v>ISR1</v>
      </c>
      <c r="AS641" s="148" t="str">
        <f t="shared" si="427"/>
        <v>USA2</v>
      </c>
      <c r="AT641" s="157" t="str">
        <f t="shared" si="428"/>
        <v>ISR1-USA2</v>
      </c>
      <c r="AU641" s="157" t="str">
        <f t="shared" si="429"/>
        <v xml:space="preserve">ISR1-USA2 </v>
      </c>
      <c r="AV641" s="157" t="str">
        <f t="shared" si="430"/>
        <v>JUNIORS FEMALE</v>
      </c>
      <c r="AW641" s="157" t="str">
        <f t="shared" si="431"/>
        <v>Flag Football</v>
      </c>
      <c r="AX641" s="376">
        <f t="shared" si="432"/>
        <v>639</v>
      </c>
      <c r="AY641" s="148" t="str">
        <f t="shared" si="433"/>
        <v>JR F - ISR 1-&gt;JR F - USA 2</v>
      </c>
      <c r="AZ641" s="148" t="str">
        <f t="shared" si="434"/>
        <v>11/22/2017 20:30-&gt;JR F - ISR 1</v>
      </c>
      <c r="BA641" s="148" t="str">
        <f t="shared" si="435"/>
        <v>11/22/2017 20:30-&gt;JR F - USA 2</v>
      </c>
      <c r="BB641" s="374">
        <f t="shared" si="436"/>
        <v>1</v>
      </c>
      <c r="BC641" s="374">
        <f t="shared" si="437"/>
        <v>1</v>
      </c>
      <c r="BD641" s="148" t="str">
        <f t="shared" si="438"/>
        <v>no conflict</v>
      </c>
      <c r="BF641" s="148" t="str">
        <f t="shared" si="439"/>
        <v>11/22/2017 20:30-&gt;JR F - ISR 1</v>
      </c>
      <c r="BG641" s="148" t="str">
        <f t="shared" si="440"/>
        <v>11/22/2017 20:30-&gt;JR F - USA 2</v>
      </c>
      <c r="BH641" s="148" t="str">
        <f t="shared" si="441"/>
        <v>11/22/2017 20:30-&gt;Hillel - Field 2</v>
      </c>
      <c r="BI641" s="148" t="str">
        <f t="shared" si="442"/>
        <v>Flag Football in Hillel - Field 2 (ISR1-USA2)</v>
      </c>
      <c r="BJ641" s="148" t="str">
        <f t="shared" si="443"/>
        <v>Junior Female Flag Football-- JR F - ISR 1 vs. JR F - USA 2</v>
      </c>
      <c r="BK641" s="148" t="str">
        <f t="shared" si="444"/>
        <v>Flag Football</v>
      </c>
      <c r="BL641" s="148" t="str">
        <f t="shared" si="445"/>
        <v>JR F - ISR 1</v>
      </c>
      <c r="BM641" s="148" t="str">
        <f t="shared" si="446"/>
        <v>JR F - USA 2</v>
      </c>
      <c r="BN641" s="148" t="str">
        <f t="shared" si="447"/>
        <v>Round - 1</v>
      </c>
      <c r="BP641" s="148" t="str">
        <f t="shared" si="448"/>
        <v>no t, f, or sf</v>
      </c>
      <c r="BQ641" s="148" t="str">
        <f t="shared" si="449"/>
        <v/>
      </c>
    </row>
    <row r="642" spans="1:69" ht="15" customHeight="1" x14ac:dyDescent="0.2">
      <c r="A642" s="376">
        <v>640</v>
      </c>
      <c r="B642" s="443" t="s">
        <v>69</v>
      </c>
      <c r="C642" s="315" t="s">
        <v>518</v>
      </c>
      <c r="D642" s="378">
        <v>1</v>
      </c>
      <c r="E642" s="378">
        <v>1</v>
      </c>
      <c r="F642" s="315" t="s">
        <v>770</v>
      </c>
      <c r="G642" s="316">
        <v>43062</v>
      </c>
      <c r="H642" s="317">
        <v>0.57638888888888895</v>
      </c>
      <c r="I642" s="325" t="s">
        <v>770</v>
      </c>
      <c r="J642" s="444" t="s">
        <v>704</v>
      </c>
      <c r="K642" s="444">
        <v>63</v>
      </c>
      <c r="L642" s="433" t="s">
        <v>659</v>
      </c>
      <c r="M642">
        <v>63</v>
      </c>
      <c r="N642" s="433" t="s">
        <v>667</v>
      </c>
      <c r="O642" s="153" t="str">
        <f>IF(L642&lt;&gt;"",IFERROR(VLOOKUP(B642&amp;L642,Pools!$A$2:$D$130,3,FALSE),""),"")</f>
        <v/>
      </c>
      <c r="P642" s="388">
        <v>19</v>
      </c>
      <c r="Q642" s="388">
        <v>22</v>
      </c>
      <c r="R642" s="306" t="str">
        <f t="shared" si="405"/>
        <v>19-22</v>
      </c>
      <c r="S642" s="153"/>
      <c r="T642" s="148" t="str">
        <f t="shared" si="406"/>
        <v>Completed</v>
      </c>
      <c r="U642" s="153"/>
      <c r="V642" s="153"/>
      <c r="W642" s="387">
        <f t="shared" si="407"/>
        <v>-3</v>
      </c>
      <c r="X642" s="387">
        <f t="shared" si="408"/>
        <v>3</v>
      </c>
      <c r="Y642" s="301">
        <f t="shared" si="409"/>
        <v>0</v>
      </c>
      <c r="Z642" s="301">
        <f t="shared" si="410"/>
        <v>2</v>
      </c>
      <c r="AA642" s="323" t="str">
        <f>CONCATENATE("                x[team1,team2,sport,'",IF(OR(I642="x",I642=""),VLOOKUP('Schedule from TM'!J643,Tables!$P$3:$Q$33,2,FALSE),'Schedule from TM'!I643),",",J642,"','",IF(OR(F642="x",F642=""),VLOOKUP('Schedule from TM'!G643,Tables!$U$3:$V$14,2,FALSE),'Schedule from TM'!F643),",",TEXT(G642,"mm/dd/yyyy"),"','",TEXT(H642,"h:mm:ss AM/PM"),"'].ub=0.0      #",B642)</f>
        <v xml:space="preserve">                x[team1,team2,sport,'21,Hillel - Field 2','11,11/23/2017','1:50:00 PM'].ub=0.0      #Junior Female Flag Football</v>
      </c>
      <c r="AB642" s="301" t="str">
        <f t="shared" si="411"/>
        <v>,,Junior Female Flag Football,,1,JR F - ARG 1</v>
      </c>
      <c r="AC642" s="153" t="str">
        <f t="shared" si="412"/>
        <v>Junior Female Flag FootballJR F - ARG 1</v>
      </c>
      <c r="AD642" s="301" t="str">
        <f t="shared" si="413"/>
        <v>,,Junior Female Flag Football,,1,JR F - USA 2</v>
      </c>
      <c r="AE642" s="153" t="str">
        <f t="shared" si="414"/>
        <v>Junior Female Flag FootballJR F - USA 2</v>
      </c>
      <c r="AF642" s="383">
        <f t="shared" si="415"/>
        <v>0</v>
      </c>
      <c r="AG642" s="383">
        <f t="shared" si="416"/>
        <v>1</v>
      </c>
      <c r="AH642" s="383">
        <f t="shared" si="417"/>
        <v>0</v>
      </c>
      <c r="AI642" s="383">
        <f t="shared" si="418"/>
        <v>1</v>
      </c>
      <c r="AJ642" s="383">
        <f t="shared" si="419"/>
        <v>0</v>
      </c>
      <c r="AK642" s="383">
        <f t="shared" si="420"/>
        <v>0</v>
      </c>
      <c r="AM642" s="148" t="str">
        <f t="shared" si="421"/>
        <v>Schedulled</v>
      </c>
      <c r="AN642" s="148" t="str">
        <f t="shared" si="422"/>
        <v/>
      </c>
      <c r="AO642" s="156">
        <f t="shared" si="423"/>
        <v>43062.576388888891</v>
      </c>
      <c r="AP642" s="148" t="str">
        <f t="shared" si="424"/>
        <v>11/23/2017 13:50-&gt;Hillel - Field 2</v>
      </c>
      <c r="AQ642" s="374">
        <f t="shared" si="425"/>
        <v>1</v>
      </c>
      <c r="AR642" s="148" t="str">
        <f t="shared" si="426"/>
        <v>ARG1</v>
      </c>
      <c r="AS642" s="148" t="str">
        <f t="shared" si="427"/>
        <v>USA2</v>
      </c>
      <c r="AT642" s="157" t="str">
        <f t="shared" si="428"/>
        <v>ARG1-USA2</v>
      </c>
      <c r="AU642" s="157" t="str">
        <f t="shared" si="429"/>
        <v xml:space="preserve">ARG1-USA2 </v>
      </c>
      <c r="AV642" s="157" t="str">
        <f t="shared" si="430"/>
        <v>JUNIORS FEMALE</v>
      </c>
      <c r="AW642" s="157" t="str">
        <f t="shared" si="431"/>
        <v>Flag Football</v>
      </c>
      <c r="AX642" s="376">
        <f t="shared" si="432"/>
        <v>640</v>
      </c>
      <c r="AY642" s="148" t="str">
        <f t="shared" si="433"/>
        <v>JR F - ARG 1-&gt;JR F - USA 2</v>
      </c>
      <c r="AZ642" s="148" t="str">
        <f t="shared" si="434"/>
        <v>11/23/2017 13:50-&gt;JR F - ARG 1</v>
      </c>
      <c r="BA642" s="148" t="str">
        <f t="shared" si="435"/>
        <v>11/23/2017 13:50-&gt;JR F - USA 2</v>
      </c>
      <c r="BB642" s="374">
        <f t="shared" si="436"/>
        <v>1</v>
      </c>
      <c r="BC642" s="374">
        <f t="shared" si="437"/>
        <v>1</v>
      </c>
      <c r="BD642" s="148" t="str">
        <f t="shared" si="438"/>
        <v>no conflict</v>
      </c>
      <c r="BF642" s="148" t="str">
        <f t="shared" si="439"/>
        <v>11/23/2017 13:50-&gt;JR F - ARG 1</v>
      </c>
      <c r="BG642" s="148" t="str">
        <f t="shared" si="440"/>
        <v>11/23/2017 13:50-&gt;JR F - USA 2</v>
      </c>
      <c r="BH642" s="148" t="str">
        <f t="shared" si="441"/>
        <v>11/23/2017 13:50-&gt;Hillel - Field 2</v>
      </c>
      <c r="BI642" s="148" t="str">
        <f t="shared" si="442"/>
        <v>Flag Football in Hillel - Field 2 (ARG1-USA2)</v>
      </c>
      <c r="BJ642" s="148" t="str">
        <f t="shared" si="443"/>
        <v>Junior Female Flag Football-- JR F - ARG 1 vs. JR F - USA 2</v>
      </c>
      <c r="BK642" s="148" t="str">
        <f t="shared" si="444"/>
        <v>Flag Football</v>
      </c>
      <c r="BL642" s="148" t="str">
        <f t="shared" si="445"/>
        <v>JR F - ARG 1</v>
      </c>
      <c r="BM642" s="148" t="str">
        <f t="shared" si="446"/>
        <v>JR F - USA 2</v>
      </c>
      <c r="BN642" s="148" t="str">
        <f t="shared" si="447"/>
        <v>Round - 1</v>
      </c>
      <c r="BP642" s="148" t="str">
        <f t="shared" si="448"/>
        <v>no t, f, or sf</v>
      </c>
      <c r="BQ642" s="148" t="str">
        <f t="shared" si="449"/>
        <v/>
      </c>
    </row>
    <row r="643" spans="1:69" ht="15" customHeight="1" x14ac:dyDescent="0.2">
      <c r="A643" s="376">
        <v>641</v>
      </c>
      <c r="B643" s="315" t="s">
        <v>69</v>
      </c>
      <c r="C643" s="315" t="s">
        <v>518</v>
      </c>
      <c r="D643" s="378">
        <v>1</v>
      </c>
      <c r="E643" s="378">
        <v>1</v>
      </c>
      <c r="F643" s="315" t="s">
        <v>770</v>
      </c>
      <c r="G643" s="316">
        <v>43062</v>
      </c>
      <c r="H643" s="317">
        <v>0.57638888888888895</v>
      </c>
      <c r="I643" s="325" t="s">
        <v>770</v>
      </c>
      <c r="J643" s="444" t="s">
        <v>705</v>
      </c>
      <c r="K643" s="315">
        <v>63</v>
      </c>
      <c r="L643" t="s">
        <v>665</v>
      </c>
      <c r="M643">
        <v>63</v>
      </c>
      <c r="N643" t="s">
        <v>666</v>
      </c>
      <c r="O643" s="153" t="str">
        <f>IF(L643&lt;&gt;"",IFERROR(VLOOKUP(B643&amp;L643,Pools!$A$2:$D$130,3,FALSE),""),"")</f>
        <v/>
      </c>
      <c r="P643" s="388">
        <v>7</v>
      </c>
      <c r="Q643" s="388">
        <v>6</v>
      </c>
      <c r="R643" s="306" t="str">
        <f t="shared" si="405"/>
        <v>7-6</v>
      </c>
      <c r="S643" s="153"/>
      <c r="T643" s="148" t="str">
        <f t="shared" si="406"/>
        <v>Completed</v>
      </c>
      <c r="U643" s="153"/>
      <c r="V643" s="153"/>
      <c r="W643" s="387">
        <f t="shared" si="407"/>
        <v>1</v>
      </c>
      <c r="X643" s="387">
        <f t="shared" si="408"/>
        <v>-1</v>
      </c>
      <c r="Y643" s="301">
        <f t="shared" si="409"/>
        <v>2</v>
      </c>
      <c r="Z643" s="301">
        <f t="shared" si="410"/>
        <v>0</v>
      </c>
      <c r="AA643" s="323" t="str">
        <f>CONCATENATE("                x[team1,team2,sport,'",IF(OR(I643="x",I643=""),VLOOKUP('Schedule from TM'!J644,Tables!$P$3:$Q$33,2,FALSE),'Schedule from TM'!I644),",",J643,"','",IF(OR(F643="x",F643=""),VLOOKUP('Schedule from TM'!G644,Tables!$U$3:$V$14,2,FALSE),'Schedule from TM'!F644),",",TEXT(G643,"mm/dd/yyyy"),"','",TEXT(H643,"h:mm:ss AM/PM"),"'].ub=0.0      #",B643)</f>
        <v xml:space="preserve">                x[team1,team2,sport,'21,Hillel - Field 3','11,11/23/2017','1:50:00 PM'].ub=0.0      #Junior Female Flag Football</v>
      </c>
      <c r="AB643" s="301" t="str">
        <f t="shared" si="411"/>
        <v>,,Junior Female Flag Football,,1,JR F - USA 1</v>
      </c>
      <c r="AC643" s="153" t="str">
        <f t="shared" si="412"/>
        <v>Junior Female Flag FootballJR F - USA 1</v>
      </c>
      <c r="AD643" s="301" t="str">
        <f t="shared" si="413"/>
        <v>,,Junior Female Flag Football,,1,JR F - COL 1</v>
      </c>
      <c r="AE643" s="153" t="str">
        <f t="shared" si="414"/>
        <v>Junior Female Flag FootballJR F - COL 1</v>
      </c>
      <c r="AF643" s="383">
        <f t="shared" si="415"/>
        <v>1</v>
      </c>
      <c r="AG643" s="383">
        <f t="shared" si="416"/>
        <v>0</v>
      </c>
      <c r="AH643" s="383">
        <f t="shared" si="417"/>
        <v>0</v>
      </c>
      <c r="AI643" s="383">
        <f t="shared" si="418"/>
        <v>0</v>
      </c>
      <c r="AJ643" s="383">
        <f t="shared" si="419"/>
        <v>1</v>
      </c>
      <c r="AK643" s="383">
        <f t="shared" si="420"/>
        <v>0</v>
      </c>
      <c r="AM643" s="148" t="str">
        <f t="shared" si="421"/>
        <v>Schedulled</v>
      </c>
      <c r="AN643" s="148" t="str">
        <f t="shared" si="422"/>
        <v/>
      </c>
      <c r="AO643" s="156">
        <f t="shared" si="423"/>
        <v>43062.576388888891</v>
      </c>
      <c r="AP643" s="148" t="str">
        <f t="shared" si="424"/>
        <v>11/23/2017 13:50-&gt;Hillel - Field 3</v>
      </c>
      <c r="AQ643" s="374">
        <f t="shared" si="425"/>
        <v>1</v>
      </c>
      <c r="AR643" s="148" t="str">
        <f t="shared" si="426"/>
        <v>USA1</v>
      </c>
      <c r="AS643" s="148" t="str">
        <f t="shared" si="427"/>
        <v>COL1</v>
      </c>
      <c r="AT643" s="157" t="str">
        <f t="shared" si="428"/>
        <v>USA1-COL1</v>
      </c>
      <c r="AU643" s="157" t="str">
        <f t="shared" si="429"/>
        <v xml:space="preserve">USA1-COL1 </v>
      </c>
      <c r="AV643" s="157" t="str">
        <f t="shared" si="430"/>
        <v>JUNIORS FEMALE</v>
      </c>
      <c r="AW643" s="157" t="str">
        <f t="shared" si="431"/>
        <v>Flag Football</v>
      </c>
      <c r="AX643" s="376">
        <f t="shared" si="432"/>
        <v>641</v>
      </c>
      <c r="AY643" s="148" t="str">
        <f t="shared" si="433"/>
        <v>JR F - USA 1-&gt;JR F - COL 1</v>
      </c>
      <c r="AZ643" s="148" t="str">
        <f t="shared" si="434"/>
        <v>11/23/2017 13:50-&gt;JR F - USA 1</v>
      </c>
      <c r="BA643" s="148" t="str">
        <f t="shared" si="435"/>
        <v>11/23/2017 13:50-&gt;JR F - COL 1</v>
      </c>
      <c r="BB643" s="374">
        <f t="shared" si="436"/>
        <v>1</v>
      </c>
      <c r="BC643" s="374">
        <f t="shared" si="437"/>
        <v>1</v>
      </c>
      <c r="BD643" s="148" t="str">
        <f t="shared" si="438"/>
        <v>no conflict</v>
      </c>
      <c r="BF643" s="148" t="str">
        <f t="shared" si="439"/>
        <v>11/23/2017 13:50-&gt;JR F - USA 1</v>
      </c>
      <c r="BG643" s="148" t="str">
        <f t="shared" si="440"/>
        <v>11/23/2017 13:50-&gt;JR F - COL 1</v>
      </c>
      <c r="BH643" s="148" t="str">
        <f t="shared" si="441"/>
        <v>11/23/2017 13:50-&gt;Hillel - Field 3</v>
      </c>
      <c r="BI643" s="148" t="str">
        <f t="shared" si="442"/>
        <v>Flag Football in Hillel - Field 3 (USA1-COL1)</v>
      </c>
      <c r="BJ643" s="148" t="str">
        <f t="shared" si="443"/>
        <v>Junior Female Flag Football-- JR F - USA 1 vs. JR F - COL 1</v>
      </c>
      <c r="BK643" s="148" t="str">
        <f t="shared" si="444"/>
        <v>Flag Football</v>
      </c>
      <c r="BL643" s="148" t="str">
        <f t="shared" si="445"/>
        <v>JR F - USA 1</v>
      </c>
      <c r="BM643" s="148" t="str">
        <f t="shared" si="446"/>
        <v>JR F - COL 1</v>
      </c>
      <c r="BN643" s="148" t="str">
        <f t="shared" si="447"/>
        <v>Round - 1</v>
      </c>
      <c r="BP643" s="148" t="str">
        <f t="shared" si="448"/>
        <v>no t, f, or sf</v>
      </c>
      <c r="BQ643" s="148" t="str">
        <f t="shared" si="449"/>
        <v/>
      </c>
    </row>
    <row r="644" spans="1:69" ht="15" customHeight="1" x14ac:dyDescent="0.2">
      <c r="A644" s="376">
        <v>642</v>
      </c>
      <c r="B644" s="121" t="s">
        <v>69</v>
      </c>
      <c r="C644" s="121" t="s">
        <v>518</v>
      </c>
      <c r="D644" s="382">
        <v>1</v>
      </c>
      <c r="E644" s="382">
        <v>1</v>
      </c>
      <c r="F644" s="315" t="s">
        <v>770</v>
      </c>
      <c r="G644" s="206">
        <v>43062</v>
      </c>
      <c r="H644" s="317">
        <v>0.64583333333333337</v>
      </c>
      <c r="I644" s="325" t="s">
        <v>770</v>
      </c>
      <c r="J644" s="121" t="s">
        <v>704</v>
      </c>
      <c r="K644" s="121">
        <v>63</v>
      </c>
      <c r="L644" t="s">
        <v>660</v>
      </c>
      <c r="M644">
        <v>63</v>
      </c>
      <c r="N644" t="s">
        <v>667</v>
      </c>
      <c r="O644" s="153" t="str">
        <f>IF(L644&lt;&gt;"",IFERROR(VLOOKUP(B644&amp;L644,Pools!$A$2:$D$130,3,FALSE),""),"")</f>
        <v/>
      </c>
      <c r="P644" s="388">
        <v>0</v>
      </c>
      <c r="Q644" s="388">
        <v>28</v>
      </c>
      <c r="R644" s="306" t="str">
        <f t="shared" si="405"/>
        <v>0-28</v>
      </c>
      <c r="S644" s="153"/>
      <c r="T644" s="148" t="str">
        <f t="shared" si="406"/>
        <v>Completed</v>
      </c>
      <c r="U644" s="153"/>
      <c r="V644" s="153"/>
      <c r="W644" s="387">
        <f t="shared" si="407"/>
        <v>-21</v>
      </c>
      <c r="X644" s="387">
        <f t="shared" si="408"/>
        <v>21</v>
      </c>
      <c r="Y644" s="301">
        <f t="shared" si="409"/>
        <v>0</v>
      </c>
      <c r="Z644" s="301">
        <f t="shared" si="410"/>
        <v>2</v>
      </c>
      <c r="AA644" s="323" t="str">
        <f>CONCATENATE("                x[team1,team2,sport,'",IF(OR(I644="x",I644=""),VLOOKUP('Schedule from TM'!J645,Tables!$P$3:$Q$33,2,FALSE),'Schedule from TM'!I645),",",J644,"','",IF(OR(F644="x",F644=""),VLOOKUP('Schedule from TM'!G645,Tables!$U$3:$V$14,2,FALSE),'Schedule from TM'!F645),",",TEXT(G644,"mm/dd/yyyy"),"','",TEXT(H644,"h:mm:ss AM/PM"),"'].ub=0.0      #",B644)</f>
        <v xml:space="preserve">                x[team1,team2,sport,'21,Hillel - Field 2','11,11/23/2017','3:30:00 PM'].ub=0.0      #Junior Female Flag Football</v>
      </c>
      <c r="AB644" s="301" t="str">
        <f t="shared" si="411"/>
        <v>,,Junior Female Flag Football,,1,JR F - COL 2</v>
      </c>
      <c r="AC644" s="153" t="str">
        <f t="shared" si="412"/>
        <v>Junior Female Flag FootballJR F - COL 2</v>
      </c>
      <c r="AD644" s="301" t="str">
        <f t="shared" si="413"/>
        <v>,,Junior Female Flag Football,,1,JR F - USA 2</v>
      </c>
      <c r="AE644" s="153" t="str">
        <f t="shared" si="414"/>
        <v>Junior Female Flag FootballJR F - USA 2</v>
      </c>
      <c r="AF644" s="383">
        <f t="shared" si="415"/>
        <v>0</v>
      </c>
      <c r="AG644" s="383">
        <f t="shared" si="416"/>
        <v>1</v>
      </c>
      <c r="AH644" s="383">
        <f t="shared" si="417"/>
        <v>0</v>
      </c>
      <c r="AI644" s="383">
        <f t="shared" si="418"/>
        <v>1</v>
      </c>
      <c r="AJ644" s="383">
        <f t="shared" si="419"/>
        <v>0</v>
      </c>
      <c r="AK644" s="383">
        <f t="shared" si="420"/>
        <v>0</v>
      </c>
      <c r="AM644" s="148" t="str">
        <f t="shared" si="421"/>
        <v>Schedulled</v>
      </c>
      <c r="AN644" s="148" t="str">
        <f t="shared" si="422"/>
        <v/>
      </c>
      <c r="AO644" s="156">
        <f t="shared" si="423"/>
        <v>43062.645833333336</v>
      </c>
      <c r="AP644" s="148" t="str">
        <f t="shared" si="424"/>
        <v>11/23/2017 15:30-&gt;Hillel - Field 2</v>
      </c>
      <c r="AQ644" s="374">
        <f t="shared" si="425"/>
        <v>1</v>
      </c>
      <c r="AR644" s="148" t="str">
        <f t="shared" si="426"/>
        <v>COL2</v>
      </c>
      <c r="AS644" s="148" t="str">
        <f t="shared" si="427"/>
        <v>USA2</v>
      </c>
      <c r="AT644" s="157" t="str">
        <f t="shared" si="428"/>
        <v>COL2-USA2</v>
      </c>
      <c r="AU644" s="157" t="str">
        <f t="shared" si="429"/>
        <v xml:space="preserve">COL2-USA2 </v>
      </c>
      <c r="AV644" s="157" t="str">
        <f t="shared" si="430"/>
        <v>JUNIORS FEMALE</v>
      </c>
      <c r="AW644" s="157" t="str">
        <f t="shared" si="431"/>
        <v>Flag Football</v>
      </c>
      <c r="AX644" s="376">
        <f t="shared" si="432"/>
        <v>642</v>
      </c>
      <c r="AY644" s="148" t="str">
        <f t="shared" si="433"/>
        <v>JR F - COL 2-&gt;JR F - USA 2</v>
      </c>
      <c r="AZ644" s="148" t="str">
        <f t="shared" si="434"/>
        <v>11/23/2017 15:30-&gt;JR F - COL 2</v>
      </c>
      <c r="BA644" s="148" t="str">
        <f t="shared" si="435"/>
        <v>11/23/2017 15:30-&gt;JR F - USA 2</v>
      </c>
      <c r="BB644" s="374">
        <f t="shared" si="436"/>
        <v>1</v>
      </c>
      <c r="BC644" s="374">
        <f t="shared" si="437"/>
        <v>1</v>
      </c>
      <c r="BD644" s="148" t="str">
        <f t="shared" si="438"/>
        <v>no conflict</v>
      </c>
      <c r="BF644" s="148" t="str">
        <f t="shared" si="439"/>
        <v>11/23/2017 15:30-&gt;JR F - COL 2</v>
      </c>
      <c r="BG644" s="148" t="str">
        <f t="shared" si="440"/>
        <v>11/23/2017 15:30-&gt;JR F - USA 2</v>
      </c>
      <c r="BH644" s="148" t="str">
        <f t="shared" si="441"/>
        <v>11/23/2017 15:30-&gt;Hillel - Field 2</v>
      </c>
      <c r="BI644" s="148" t="str">
        <f t="shared" si="442"/>
        <v>Flag Football in Hillel - Field 2 (COL2-USA2)</v>
      </c>
      <c r="BJ644" s="148" t="str">
        <f t="shared" si="443"/>
        <v>Junior Female Flag Football-- JR F - COL 2 vs. JR F - USA 2</v>
      </c>
      <c r="BK644" s="148" t="str">
        <f t="shared" si="444"/>
        <v>Flag Football</v>
      </c>
      <c r="BL644" s="148" t="str">
        <f t="shared" si="445"/>
        <v>JR F - COL 2</v>
      </c>
      <c r="BM644" s="148" t="str">
        <f t="shared" si="446"/>
        <v>JR F - USA 2</v>
      </c>
      <c r="BN644" s="148" t="str">
        <f t="shared" si="447"/>
        <v>Round - 1</v>
      </c>
      <c r="BP644" s="148" t="str">
        <f t="shared" si="448"/>
        <v>no t, f, or sf</v>
      </c>
      <c r="BQ644" s="148" t="str">
        <f t="shared" si="449"/>
        <v/>
      </c>
    </row>
    <row r="645" spans="1:69" ht="15" customHeight="1" x14ac:dyDescent="0.2">
      <c r="A645" s="376">
        <v>643</v>
      </c>
      <c r="B645" s="444" t="s">
        <v>69</v>
      </c>
      <c r="C645" s="444" t="s">
        <v>518</v>
      </c>
      <c r="D645" s="451">
        <v>1</v>
      </c>
      <c r="E645" s="451">
        <v>1</v>
      </c>
      <c r="F645" s="315" t="s">
        <v>770</v>
      </c>
      <c r="G645" s="445">
        <v>43062</v>
      </c>
      <c r="H645" s="317">
        <v>0.64583333333333337</v>
      </c>
      <c r="I645" s="325" t="s">
        <v>770</v>
      </c>
      <c r="J645" s="444" t="s">
        <v>705</v>
      </c>
      <c r="K645" s="444">
        <v>63</v>
      </c>
      <c r="L645" s="433" t="s">
        <v>668</v>
      </c>
      <c r="M645" s="433">
        <v>63</v>
      </c>
      <c r="N645" s="433" t="s">
        <v>776</v>
      </c>
      <c r="O645" s="153" t="str">
        <f>IF(L645&lt;&gt;"",IFERROR(VLOOKUP(B645&amp;L645,Pools!$A$2:$D$130,3,FALSE),""),"")</f>
        <v/>
      </c>
      <c r="P645" s="388">
        <v>6</v>
      </c>
      <c r="Q645" s="388">
        <v>14</v>
      </c>
      <c r="R645" s="306" t="str">
        <f t="shared" si="405"/>
        <v>6-14</v>
      </c>
      <c r="S645" s="153"/>
      <c r="T645" s="148" t="str">
        <f t="shared" si="406"/>
        <v>Completed</v>
      </c>
      <c r="U645" s="153"/>
      <c r="V645" s="153"/>
      <c r="W645" s="387">
        <f t="shared" si="407"/>
        <v>-8</v>
      </c>
      <c r="X645" s="387">
        <f t="shared" si="408"/>
        <v>8</v>
      </c>
      <c r="Y645" s="301">
        <f t="shared" si="409"/>
        <v>0</v>
      </c>
      <c r="Z645" s="301">
        <f t="shared" si="410"/>
        <v>2</v>
      </c>
      <c r="AA645" s="323" t="str">
        <f>CONCATENATE("                x[team1,team2,sport,'",IF(OR(I645="x",I645=""),VLOOKUP('Schedule from TM'!J646,Tables!$P$3:$Q$33,2,FALSE),'Schedule from TM'!I646),",",J645,"','",IF(OR(F645="x",F645=""),VLOOKUP('Schedule from TM'!G646,Tables!$U$3:$V$14,2,FALSE),'Schedule from TM'!F646),",",TEXT(G645,"mm/dd/yyyy"),"','",TEXT(H645,"h:mm:ss AM/PM"),"'].ub=0.0      #",B645)</f>
        <v xml:space="preserve">                x[team1,team2,sport,'21,Hillel - Field 3','11,11/23/2017','3:30:00 PM'].ub=0.0      #Junior Female Flag Football</v>
      </c>
      <c r="AB645" s="301" t="str">
        <f t="shared" si="411"/>
        <v>,,Junior Female Flag Football,,1,JR F - VEN 1</v>
      </c>
      <c r="AC645" s="153" t="str">
        <f t="shared" si="412"/>
        <v>Junior Female Flag FootballJR F - VEN 1</v>
      </c>
      <c r="AD645" s="301" t="str">
        <f t="shared" si="413"/>
        <v>,,Junior Female Flag Football,,1,JR F - USA 3</v>
      </c>
      <c r="AE645" s="153" t="str">
        <f t="shared" si="414"/>
        <v>Junior Female Flag FootballJR F - USA 3</v>
      </c>
      <c r="AF645" s="383">
        <f t="shared" si="415"/>
        <v>0</v>
      </c>
      <c r="AG645" s="383">
        <f t="shared" si="416"/>
        <v>1</v>
      </c>
      <c r="AH645" s="383">
        <f t="shared" si="417"/>
        <v>0</v>
      </c>
      <c r="AI645" s="383">
        <f t="shared" si="418"/>
        <v>1</v>
      </c>
      <c r="AJ645" s="383">
        <f t="shared" si="419"/>
        <v>0</v>
      </c>
      <c r="AK645" s="383">
        <f t="shared" si="420"/>
        <v>0</v>
      </c>
      <c r="AM645" s="148" t="str">
        <f t="shared" si="421"/>
        <v>Schedulled</v>
      </c>
      <c r="AN645" s="148" t="str">
        <f t="shared" si="422"/>
        <v/>
      </c>
      <c r="AO645" s="156">
        <f t="shared" si="423"/>
        <v>43062.645833333336</v>
      </c>
      <c r="AP645" s="148" t="str">
        <f t="shared" si="424"/>
        <v>11/23/2017 15:30-&gt;Hillel - Field 3</v>
      </c>
      <c r="AQ645" s="374">
        <f t="shared" si="425"/>
        <v>1</v>
      </c>
      <c r="AR645" s="148" t="str">
        <f t="shared" si="426"/>
        <v>VEN1</v>
      </c>
      <c r="AS645" s="148" t="str">
        <f t="shared" si="427"/>
        <v>USA3</v>
      </c>
      <c r="AT645" s="157" t="str">
        <f t="shared" si="428"/>
        <v>VEN1-USA3</v>
      </c>
      <c r="AU645" s="157" t="str">
        <f t="shared" si="429"/>
        <v xml:space="preserve">VEN1-USA3 </v>
      </c>
      <c r="AV645" s="157" t="str">
        <f t="shared" si="430"/>
        <v>JUNIORS FEMALE</v>
      </c>
      <c r="AW645" s="157" t="str">
        <f t="shared" si="431"/>
        <v>Flag Football</v>
      </c>
      <c r="AX645" s="376">
        <f t="shared" si="432"/>
        <v>643</v>
      </c>
      <c r="AY645" s="148" t="str">
        <f t="shared" si="433"/>
        <v>JR F - VEN 1-&gt;JR F - USA 3</v>
      </c>
      <c r="AZ645" s="148" t="str">
        <f t="shared" si="434"/>
        <v>11/23/2017 15:30-&gt;JR F - VEN 1</v>
      </c>
      <c r="BA645" s="148" t="str">
        <f t="shared" si="435"/>
        <v>11/23/2017 15:30-&gt;JR F - USA 3</v>
      </c>
      <c r="BB645" s="374">
        <f t="shared" si="436"/>
        <v>1</v>
      </c>
      <c r="BC645" s="374">
        <f t="shared" si="437"/>
        <v>1</v>
      </c>
      <c r="BD645" s="148" t="str">
        <f t="shared" si="438"/>
        <v>no conflict</v>
      </c>
      <c r="BF645" s="148" t="str">
        <f t="shared" si="439"/>
        <v>11/23/2017 15:30-&gt;JR F - VEN 1</v>
      </c>
      <c r="BG645" s="148" t="str">
        <f t="shared" si="440"/>
        <v>11/23/2017 15:30-&gt;JR F - USA 3</v>
      </c>
      <c r="BH645" s="148" t="str">
        <f t="shared" si="441"/>
        <v>11/23/2017 15:30-&gt;Hillel - Field 3</v>
      </c>
      <c r="BI645" s="148" t="str">
        <f t="shared" si="442"/>
        <v>Flag Football in Hillel - Field 3 (VEN1-USA3)</v>
      </c>
      <c r="BJ645" s="148" t="str">
        <f t="shared" si="443"/>
        <v>Junior Female Flag Football-- JR F - VEN 1 vs. JR F - USA 3</v>
      </c>
      <c r="BK645" s="148" t="str">
        <f t="shared" si="444"/>
        <v>Flag Football</v>
      </c>
      <c r="BL645" s="148" t="str">
        <f t="shared" si="445"/>
        <v>JR F - VEN 1</v>
      </c>
      <c r="BM645" s="148" t="str">
        <f t="shared" si="446"/>
        <v>JR F - USA 3</v>
      </c>
      <c r="BN645" s="148" t="str">
        <f t="shared" si="447"/>
        <v>Round - 1</v>
      </c>
      <c r="BP645" s="148" t="str">
        <f t="shared" si="448"/>
        <v>no t, f, or sf</v>
      </c>
      <c r="BQ645" s="148" t="str">
        <f t="shared" si="449"/>
        <v/>
      </c>
    </row>
    <row r="646" spans="1:69" ht="15" customHeight="1" x14ac:dyDescent="0.2">
      <c r="A646" s="376">
        <v>644</v>
      </c>
      <c r="B646" s="433" t="s">
        <v>69</v>
      </c>
      <c r="C646" s="444" t="s">
        <v>518</v>
      </c>
      <c r="D646" s="451">
        <v>1</v>
      </c>
      <c r="E646" s="451">
        <v>1</v>
      </c>
      <c r="F646" s="315" t="s">
        <v>770</v>
      </c>
      <c r="G646" s="445">
        <v>43063</v>
      </c>
      <c r="H646" s="454">
        <v>0.50694444444444442</v>
      </c>
      <c r="I646" s="325" t="s">
        <v>770</v>
      </c>
      <c r="J646" s="443" t="s">
        <v>706</v>
      </c>
      <c r="K646" s="444">
        <v>63</v>
      </c>
      <c r="L646" t="s">
        <v>669</v>
      </c>
      <c r="M646">
        <v>63</v>
      </c>
      <c r="N646" t="s">
        <v>667</v>
      </c>
      <c r="O646" s="153" t="str">
        <f>IF(L646&lt;&gt;"",IFERROR(VLOOKUP(B646&amp;L646,Pools!$A$2:$D$130,3,FALSE),""),"")</f>
        <v/>
      </c>
      <c r="P646" s="388">
        <v>0</v>
      </c>
      <c r="Q646" s="388">
        <v>27</v>
      </c>
      <c r="R646" s="306" t="str">
        <f t="shared" si="405"/>
        <v>0-27</v>
      </c>
      <c r="S646" s="153"/>
      <c r="T646" s="148" t="str">
        <f t="shared" si="406"/>
        <v>Completed</v>
      </c>
      <c r="U646" s="153"/>
      <c r="V646" s="153"/>
      <c r="W646" s="387">
        <f t="shared" si="407"/>
        <v>-21</v>
      </c>
      <c r="X646" s="387">
        <f t="shared" si="408"/>
        <v>21</v>
      </c>
      <c r="Y646" s="301">
        <f t="shared" si="409"/>
        <v>0</v>
      </c>
      <c r="Z646" s="301">
        <f t="shared" si="410"/>
        <v>2</v>
      </c>
      <c r="AA646" s="323" t="str">
        <f>CONCATENATE("                x[team1,team2,sport,'",IF(OR(I646="x",I646=""),VLOOKUP('Schedule from TM'!J647,Tables!$P$3:$Q$33,2,FALSE),'Schedule from TM'!I647),",",J646,"','",IF(OR(F646="x",F646=""),VLOOKUP('Schedule from TM'!G647,Tables!$U$3:$V$14,2,FALSE),'Schedule from TM'!F647),",",TEXT(G646,"mm/dd/yyyy"),"','",TEXT(H646,"h:mm:ss AM/PM"),"'].ub=0.0      #",B646)</f>
        <v xml:space="preserve">                x[team1,team2,sport,'21,Hillel - Field 4','11,11/24/2017','12:10:00 PM'].ub=0.0      #Junior Female Flag Football</v>
      </c>
      <c r="AB646" s="301" t="str">
        <f t="shared" si="411"/>
        <v>,,Junior Female Flag Football,,1,JR F - VEN 2</v>
      </c>
      <c r="AC646" s="153" t="str">
        <f t="shared" si="412"/>
        <v>Junior Female Flag FootballJR F - VEN 2</v>
      </c>
      <c r="AD646" s="301" t="str">
        <f t="shared" si="413"/>
        <v>,,Junior Female Flag Football,,1,JR F - USA 2</v>
      </c>
      <c r="AE646" s="153" t="str">
        <f t="shared" si="414"/>
        <v>Junior Female Flag FootballJR F - USA 2</v>
      </c>
      <c r="AF646" s="383">
        <f t="shared" si="415"/>
        <v>0</v>
      </c>
      <c r="AG646" s="383">
        <f t="shared" si="416"/>
        <v>1</v>
      </c>
      <c r="AH646" s="383">
        <f t="shared" si="417"/>
        <v>0</v>
      </c>
      <c r="AI646" s="383">
        <f t="shared" si="418"/>
        <v>1</v>
      </c>
      <c r="AJ646" s="383">
        <f t="shared" si="419"/>
        <v>0</v>
      </c>
      <c r="AK646" s="383">
        <f t="shared" si="420"/>
        <v>0</v>
      </c>
      <c r="AM646" s="148" t="str">
        <f t="shared" si="421"/>
        <v>Schedulled</v>
      </c>
      <c r="AN646" s="148" t="str">
        <f t="shared" si="422"/>
        <v/>
      </c>
      <c r="AO646" s="156">
        <f t="shared" si="423"/>
        <v>43063.506944444445</v>
      </c>
      <c r="AP646" s="148" t="str">
        <f t="shared" si="424"/>
        <v>11/24/2017 12:10-&gt;Hillel - Field 4</v>
      </c>
      <c r="AQ646" s="374">
        <f t="shared" si="425"/>
        <v>1</v>
      </c>
      <c r="AR646" s="148" t="str">
        <f t="shared" si="426"/>
        <v>VEN2</v>
      </c>
      <c r="AS646" s="148" t="str">
        <f t="shared" si="427"/>
        <v>USA2</v>
      </c>
      <c r="AT646" s="157" t="str">
        <f t="shared" si="428"/>
        <v>VEN2-USA2</v>
      </c>
      <c r="AU646" s="157" t="str">
        <f t="shared" si="429"/>
        <v xml:space="preserve">VEN2-USA2 </v>
      </c>
      <c r="AV646" s="157" t="str">
        <f t="shared" si="430"/>
        <v>JUNIORS FEMALE</v>
      </c>
      <c r="AW646" s="157" t="str">
        <f t="shared" si="431"/>
        <v>Flag Football</v>
      </c>
      <c r="AX646" s="376">
        <f t="shared" si="432"/>
        <v>644</v>
      </c>
      <c r="AY646" s="148" t="str">
        <f t="shared" si="433"/>
        <v>JR F - VEN 2-&gt;JR F - USA 2</v>
      </c>
      <c r="AZ646" s="148" t="str">
        <f t="shared" si="434"/>
        <v>11/24/2017 12:10-&gt;JR F - VEN 2</v>
      </c>
      <c r="BA646" s="148" t="str">
        <f t="shared" si="435"/>
        <v>11/24/2017 12:10-&gt;JR F - USA 2</v>
      </c>
      <c r="BB646" s="374">
        <f t="shared" si="436"/>
        <v>1</v>
      </c>
      <c r="BC646" s="374">
        <f t="shared" si="437"/>
        <v>1</v>
      </c>
      <c r="BD646" s="148" t="str">
        <f t="shared" si="438"/>
        <v>no conflict</v>
      </c>
      <c r="BF646" s="148" t="str">
        <f t="shared" si="439"/>
        <v>11/24/2017 12:10-&gt;JR F - VEN 2</v>
      </c>
      <c r="BG646" s="148" t="str">
        <f t="shared" si="440"/>
        <v>11/24/2017 12:10-&gt;JR F - USA 2</v>
      </c>
      <c r="BH646" s="148" t="str">
        <f t="shared" si="441"/>
        <v>11/24/2017 12:10-&gt;Hillel - Field 4</v>
      </c>
      <c r="BI646" s="148" t="str">
        <f t="shared" si="442"/>
        <v>Flag Football in Hillel - Field 4 (VEN2-USA2)</v>
      </c>
      <c r="BJ646" s="148" t="str">
        <f t="shared" si="443"/>
        <v>Junior Female Flag Football-- JR F - VEN 2 vs. JR F - USA 2</v>
      </c>
      <c r="BK646" s="148" t="str">
        <f t="shared" si="444"/>
        <v>Flag Football</v>
      </c>
      <c r="BL646" s="148" t="str">
        <f t="shared" si="445"/>
        <v>JR F - VEN 2</v>
      </c>
      <c r="BM646" s="148" t="str">
        <f t="shared" si="446"/>
        <v>JR F - USA 2</v>
      </c>
      <c r="BN646" s="148" t="str">
        <f t="shared" si="447"/>
        <v>Round - 1</v>
      </c>
      <c r="BP646" s="148" t="str">
        <f t="shared" si="448"/>
        <v>no t, f, or sf</v>
      </c>
      <c r="BQ646" s="148" t="str">
        <f t="shared" si="449"/>
        <v/>
      </c>
    </row>
    <row r="647" spans="1:69" ht="15" customHeight="1" x14ac:dyDescent="0.2">
      <c r="A647" s="376">
        <v>645</v>
      </c>
      <c r="B647" s="433" t="s">
        <v>69</v>
      </c>
      <c r="C647" s="315" t="s">
        <v>518</v>
      </c>
      <c r="D647" s="378">
        <v>1</v>
      </c>
      <c r="E647" s="378">
        <v>1</v>
      </c>
      <c r="F647" s="315" t="s">
        <v>770</v>
      </c>
      <c r="G647" s="316">
        <v>43063</v>
      </c>
      <c r="H647" s="454">
        <v>0.61111111111111105</v>
      </c>
      <c r="I647" s="325" t="s">
        <v>770</v>
      </c>
      <c r="J647" s="315" t="s">
        <v>706</v>
      </c>
      <c r="K647" s="315">
        <v>63</v>
      </c>
      <c r="L647" t="s">
        <v>659</v>
      </c>
      <c r="M647">
        <v>63</v>
      </c>
      <c r="N647" t="s">
        <v>666</v>
      </c>
      <c r="O647" s="153" t="str">
        <f>IF(L647&lt;&gt;"",IFERROR(VLOOKUP(B647&amp;L647,Pools!$A$2:$D$130,3,FALSE),""),"")</f>
        <v/>
      </c>
      <c r="P647" s="388">
        <v>39</v>
      </c>
      <c r="Q647" s="388">
        <v>7</v>
      </c>
      <c r="R647" s="306" t="str">
        <f t="shared" si="405"/>
        <v>39-7</v>
      </c>
      <c r="S647" s="153"/>
      <c r="T647" s="148" t="str">
        <f t="shared" si="406"/>
        <v>Completed</v>
      </c>
      <c r="U647" s="153"/>
      <c r="V647" s="153"/>
      <c r="W647" s="387">
        <f t="shared" si="407"/>
        <v>21</v>
      </c>
      <c r="X647" s="387">
        <f t="shared" si="408"/>
        <v>-21</v>
      </c>
      <c r="Y647" s="301">
        <f t="shared" si="409"/>
        <v>2</v>
      </c>
      <c r="Z647" s="301">
        <f t="shared" si="410"/>
        <v>0</v>
      </c>
      <c r="AA647" s="323" t="str">
        <f>CONCATENATE("                x[team1,team2,sport,'",IF(OR(I647="x",I647=""),VLOOKUP('Schedule from TM'!J648,Tables!$P$3:$Q$33,2,FALSE),'Schedule from TM'!I648),",",J647,"','",IF(OR(F647="x",F647=""),VLOOKUP('Schedule from TM'!G648,Tables!$U$3:$V$14,2,FALSE),'Schedule from TM'!F648),",",TEXT(G647,"mm/dd/yyyy"),"','",TEXT(H647,"h:mm:ss AM/PM"),"'].ub=0.0      #",B647)</f>
        <v xml:space="preserve">                x[team1,team2,sport,'11,Hillel - Field 4','11,11/24/2017','2:40:00 PM'].ub=0.0      #Junior Female Flag Football</v>
      </c>
      <c r="AB647" s="301" t="str">
        <f t="shared" si="411"/>
        <v>,,Junior Female Flag Football,,1,JR F - ARG 1</v>
      </c>
      <c r="AC647" s="153" t="str">
        <f t="shared" si="412"/>
        <v>Junior Female Flag FootballJR F - ARG 1</v>
      </c>
      <c r="AD647" s="301" t="str">
        <f t="shared" si="413"/>
        <v>,,Junior Female Flag Football,,1,JR F - COL 1</v>
      </c>
      <c r="AE647" s="153" t="str">
        <f t="shared" si="414"/>
        <v>Junior Female Flag FootballJR F - COL 1</v>
      </c>
      <c r="AF647" s="383">
        <f t="shared" si="415"/>
        <v>1</v>
      </c>
      <c r="AG647" s="383">
        <f t="shared" si="416"/>
        <v>0</v>
      </c>
      <c r="AH647" s="383">
        <f t="shared" si="417"/>
        <v>0</v>
      </c>
      <c r="AI647" s="383">
        <f t="shared" si="418"/>
        <v>0</v>
      </c>
      <c r="AJ647" s="383">
        <f t="shared" si="419"/>
        <v>1</v>
      </c>
      <c r="AK647" s="383">
        <f t="shared" si="420"/>
        <v>0</v>
      </c>
      <c r="AM647" s="148" t="str">
        <f t="shared" si="421"/>
        <v>Schedulled</v>
      </c>
      <c r="AN647" s="148" t="str">
        <f t="shared" si="422"/>
        <v/>
      </c>
      <c r="AO647" s="156">
        <f t="shared" si="423"/>
        <v>43063.611111111109</v>
      </c>
      <c r="AP647" s="148" t="str">
        <f t="shared" si="424"/>
        <v>11/24/2017 14:40-&gt;Hillel - Field 4</v>
      </c>
      <c r="AQ647" s="374">
        <f t="shared" si="425"/>
        <v>1</v>
      </c>
      <c r="AR647" s="148" t="str">
        <f t="shared" si="426"/>
        <v>ARG1</v>
      </c>
      <c r="AS647" s="148" t="str">
        <f t="shared" si="427"/>
        <v>COL1</v>
      </c>
      <c r="AT647" s="157" t="str">
        <f t="shared" si="428"/>
        <v>ARG1-COL1</v>
      </c>
      <c r="AU647" s="157" t="str">
        <f t="shared" si="429"/>
        <v xml:space="preserve">ARG1-COL1 </v>
      </c>
      <c r="AV647" s="157" t="str">
        <f t="shared" si="430"/>
        <v>JUNIORS FEMALE</v>
      </c>
      <c r="AW647" s="157" t="str">
        <f t="shared" si="431"/>
        <v>Flag Football</v>
      </c>
      <c r="AX647" s="376">
        <f t="shared" si="432"/>
        <v>645</v>
      </c>
      <c r="AY647" s="148" t="str">
        <f t="shared" si="433"/>
        <v>JR F - ARG 1-&gt;JR F - COL 1</v>
      </c>
      <c r="AZ647" s="148" t="str">
        <f t="shared" si="434"/>
        <v>11/24/2017 14:40-&gt;JR F - ARG 1</v>
      </c>
      <c r="BA647" s="148" t="str">
        <f t="shared" si="435"/>
        <v>11/24/2017 14:40-&gt;JR F - COL 1</v>
      </c>
      <c r="BB647" s="374">
        <f t="shared" si="436"/>
        <v>1</v>
      </c>
      <c r="BC647" s="374">
        <f t="shared" si="437"/>
        <v>1</v>
      </c>
      <c r="BD647" s="148" t="str">
        <f t="shared" si="438"/>
        <v>no conflict</v>
      </c>
      <c r="BF647" s="148" t="str">
        <f t="shared" si="439"/>
        <v>11/24/2017 14:40-&gt;JR F - ARG 1</v>
      </c>
      <c r="BG647" s="148" t="str">
        <f t="shared" si="440"/>
        <v>11/24/2017 14:40-&gt;JR F - COL 1</v>
      </c>
      <c r="BH647" s="148" t="str">
        <f t="shared" si="441"/>
        <v>11/24/2017 14:40-&gt;Hillel - Field 4</v>
      </c>
      <c r="BI647" s="148" t="str">
        <f t="shared" si="442"/>
        <v>Flag Football in Hillel - Field 4 (ARG1-COL1)</v>
      </c>
      <c r="BJ647" s="148" t="str">
        <f t="shared" si="443"/>
        <v>Junior Female Flag Football-- JR F - ARG 1 vs. JR F - COL 1</v>
      </c>
      <c r="BK647" s="148" t="str">
        <f t="shared" si="444"/>
        <v>Flag Football</v>
      </c>
      <c r="BL647" s="148" t="str">
        <f t="shared" si="445"/>
        <v>JR F - ARG 1</v>
      </c>
      <c r="BM647" s="148" t="str">
        <f t="shared" si="446"/>
        <v>JR F - COL 1</v>
      </c>
      <c r="BN647" s="148" t="str">
        <f t="shared" si="447"/>
        <v>Round - 1</v>
      </c>
      <c r="BP647" s="148" t="str">
        <f t="shared" si="448"/>
        <v>no t, f, or sf</v>
      </c>
      <c r="BQ647" s="148" t="str">
        <f t="shared" si="449"/>
        <v/>
      </c>
    </row>
    <row r="648" spans="1:69" ht="15" customHeight="1" x14ac:dyDescent="0.2">
      <c r="A648" s="376">
        <v>646</v>
      </c>
      <c r="B648" s="328" t="s">
        <v>67</v>
      </c>
      <c r="C648" s="315" t="s">
        <v>518</v>
      </c>
      <c r="D648" s="378">
        <v>1</v>
      </c>
      <c r="E648" s="378">
        <v>1</v>
      </c>
      <c r="F648" s="315" t="s">
        <v>770</v>
      </c>
      <c r="G648" s="316">
        <v>43058</v>
      </c>
      <c r="H648" s="317">
        <v>0.47222222222222227</v>
      </c>
      <c r="I648" s="325" t="s">
        <v>770</v>
      </c>
      <c r="J648" s="443" t="s">
        <v>692</v>
      </c>
      <c r="K648" s="315">
        <v>63</v>
      </c>
      <c r="L648" t="s">
        <v>668</v>
      </c>
      <c r="M648">
        <v>63</v>
      </c>
      <c r="N648" t="s">
        <v>776</v>
      </c>
      <c r="O648" s="153" t="str">
        <f>IF(L648&lt;&gt;"",IFERROR(VLOOKUP(B648&amp;L648,Pools!$A$2:$D$130,3,FALSE),""),"")</f>
        <v/>
      </c>
      <c r="P648" s="388">
        <v>2</v>
      </c>
      <c r="Q648" s="388">
        <v>1</v>
      </c>
      <c r="R648" s="306" t="str">
        <f t="shared" si="405"/>
        <v>2-1</v>
      </c>
      <c r="S648" s="153"/>
      <c r="T648" s="148" t="str">
        <f t="shared" si="406"/>
        <v>Completed</v>
      </c>
      <c r="U648" s="153"/>
      <c r="V648" s="153"/>
      <c r="W648" s="387">
        <f t="shared" si="407"/>
        <v>1</v>
      </c>
      <c r="X648" s="387">
        <f t="shared" si="408"/>
        <v>-1</v>
      </c>
      <c r="Y648" s="301">
        <f t="shared" si="409"/>
        <v>2</v>
      </c>
      <c r="Z648" s="301">
        <f t="shared" si="410"/>
        <v>0</v>
      </c>
      <c r="AA648" s="323" t="str">
        <f>CONCATENATE("                x[team1,team2,sport,'",IF(OR(I648="x",I648=""),VLOOKUP('Schedule from TM'!J649,Tables!$P$3:$Q$33,2,FALSE),'Schedule from TM'!I649),",",J648,"','",IF(OR(F648="x",F648=""),VLOOKUP('Schedule from TM'!G649,Tables!$U$3:$V$14,2,FALSE),'Schedule from TM'!F649),",",TEXT(G648,"mm/dd/yyyy"),"','",TEXT(H648,"h:mm:ss AM/PM"),"'].ub=0.0      #",B648)</f>
        <v xml:space="preserve">                x[team1,team2,sport,'11,JCC Back Field 3','11,11/19/2017','11:20:00 AM'].ub=0.0      #Junior Female Mini Soccer</v>
      </c>
      <c r="AB648" s="301" t="str">
        <f t="shared" si="411"/>
        <v>,,Junior Female Mini Soccer,,1,JR F - VEN 1</v>
      </c>
      <c r="AC648" s="153" t="str">
        <f t="shared" si="412"/>
        <v>Junior Female Mini SoccerJR F - VEN 1</v>
      </c>
      <c r="AD648" s="301" t="str">
        <f t="shared" si="413"/>
        <v>,,Junior Female Mini Soccer,,1,JR F - USA 3</v>
      </c>
      <c r="AE648" s="153" t="str">
        <f t="shared" si="414"/>
        <v>Junior Female Mini SoccerJR F - USA 3</v>
      </c>
      <c r="AF648" s="383">
        <f t="shared" si="415"/>
        <v>1</v>
      </c>
      <c r="AG648" s="383">
        <f t="shared" si="416"/>
        <v>0</v>
      </c>
      <c r="AH648" s="383">
        <f t="shared" si="417"/>
        <v>0</v>
      </c>
      <c r="AI648" s="383">
        <f t="shared" si="418"/>
        <v>0</v>
      </c>
      <c r="AJ648" s="383">
        <f t="shared" si="419"/>
        <v>1</v>
      </c>
      <c r="AK648" s="383">
        <f t="shared" si="420"/>
        <v>0</v>
      </c>
      <c r="AM648" s="148" t="str">
        <f t="shared" si="421"/>
        <v>Schedulled</v>
      </c>
      <c r="AN648" s="148" t="str">
        <f t="shared" si="422"/>
        <v/>
      </c>
      <c r="AO648" s="156">
        <f t="shared" si="423"/>
        <v>43058.472222222219</v>
      </c>
      <c r="AP648" s="148" t="str">
        <f t="shared" si="424"/>
        <v>11/19/2017 11:20-&gt;JCC Back Field 3</v>
      </c>
      <c r="AQ648" s="374">
        <f t="shared" si="425"/>
        <v>1</v>
      </c>
      <c r="AR648" s="148" t="str">
        <f t="shared" si="426"/>
        <v>VEN1</v>
      </c>
      <c r="AS648" s="148" t="str">
        <f t="shared" si="427"/>
        <v>USA3</v>
      </c>
      <c r="AT648" s="157" t="str">
        <f t="shared" si="428"/>
        <v>VEN1-USA3</v>
      </c>
      <c r="AU648" s="157" t="str">
        <f t="shared" si="429"/>
        <v xml:space="preserve">VEN1-USA3 </v>
      </c>
      <c r="AV648" s="157" t="str">
        <f t="shared" si="430"/>
        <v>JUNIORS FEMALE</v>
      </c>
      <c r="AW648" s="157" t="str">
        <f t="shared" si="431"/>
        <v>Soccer</v>
      </c>
      <c r="AX648" s="376">
        <f t="shared" si="432"/>
        <v>646</v>
      </c>
      <c r="AY648" s="148" t="str">
        <f t="shared" si="433"/>
        <v>JR F - VEN 1-&gt;JR F - USA 3</v>
      </c>
      <c r="AZ648" s="148" t="str">
        <f t="shared" si="434"/>
        <v>11/19/2017 11:20-&gt;JR F - VEN 1</v>
      </c>
      <c r="BA648" s="148" t="str">
        <f t="shared" si="435"/>
        <v>11/19/2017 11:20-&gt;JR F - USA 3</v>
      </c>
      <c r="BB648" s="374">
        <f t="shared" si="436"/>
        <v>1</v>
      </c>
      <c r="BC648" s="374">
        <f t="shared" si="437"/>
        <v>1</v>
      </c>
      <c r="BD648" s="148" t="str">
        <f t="shared" si="438"/>
        <v>no conflict</v>
      </c>
      <c r="BF648" s="148" t="str">
        <f t="shared" si="439"/>
        <v>11/19/2017 11:20-&gt;JR F - VEN 1</v>
      </c>
      <c r="BG648" s="148" t="str">
        <f t="shared" si="440"/>
        <v>11/19/2017 11:20-&gt;JR F - USA 3</v>
      </c>
      <c r="BH648" s="148" t="str">
        <f t="shared" si="441"/>
        <v>11/19/2017 11:20-&gt;JCC Back Field 3</v>
      </c>
      <c r="BI648" s="148" t="str">
        <f t="shared" si="442"/>
        <v>Soccer in JCC Back Field 3 (VEN1-USA3)</v>
      </c>
      <c r="BJ648" s="148" t="str">
        <f t="shared" si="443"/>
        <v>Junior Female Mini Soccer-- JR F - VEN 1 vs. JR F - USA 3</v>
      </c>
      <c r="BK648" s="148" t="str">
        <f t="shared" si="444"/>
        <v>Soccer</v>
      </c>
      <c r="BL648" s="148" t="str">
        <f t="shared" si="445"/>
        <v>JR F - VEN 1</v>
      </c>
      <c r="BM648" s="148" t="str">
        <f t="shared" si="446"/>
        <v>JR F - USA 3</v>
      </c>
      <c r="BN648" s="148" t="str">
        <f t="shared" si="447"/>
        <v>Round - 1</v>
      </c>
      <c r="BP648" s="148" t="str">
        <f t="shared" si="448"/>
        <v>no t, f, or sf</v>
      </c>
      <c r="BQ648" s="148" t="str">
        <f t="shared" si="449"/>
        <v/>
      </c>
    </row>
    <row r="649" spans="1:69" ht="15" customHeight="1" x14ac:dyDescent="0.2">
      <c r="A649" s="376">
        <v>647</v>
      </c>
      <c r="B649" s="433" t="s">
        <v>67</v>
      </c>
      <c r="C649" s="444" t="s">
        <v>518</v>
      </c>
      <c r="D649" s="451">
        <v>1</v>
      </c>
      <c r="E649" s="451">
        <v>1</v>
      </c>
      <c r="F649" s="315" t="s">
        <v>770</v>
      </c>
      <c r="G649" s="445">
        <v>43058</v>
      </c>
      <c r="H649" s="318">
        <v>0.54166666666666663</v>
      </c>
      <c r="I649" s="325" t="s">
        <v>770</v>
      </c>
      <c r="J649" s="444" t="s">
        <v>695</v>
      </c>
      <c r="K649" s="444">
        <v>63</v>
      </c>
      <c r="L649" t="s">
        <v>669</v>
      </c>
      <c r="M649">
        <v>63</v>
      </c>
      <c r="N649" t="s">
        <v>661</v>
      </c>
      <c r="O649" s="153" t="str">
        <f>IF(L649&lt;&gt;"",IFERROR(VLOOKUP(B649&amp;L649,Pools!$A$2:$D$130,3,FALSE),""),"")</f>
        <v/>
      </c>
      <c r="P649" s="388">
        <v>1</v>
      </c>
      <c r="Q649" s="388">
        <v>2</v>
      </c>
      <c r="R649" s="306" t="str">
        <f t="shared" si="405"/>
        <v>1-2</v>
      </c>
      <c r="S649" s="153"/>
      <c r="T649" s="148" t="str">
        <f t="shared" si="406"/>
        <v>Completed</v>
      </c>
      <c r="U649" s="153"/>
      <c r="V649" s="153"/>
      <c r="W649" s="387">
        <f t="shared" si="407"/>
        <v>-1</v>
      </c>
      <c r="X649" s="387">
        <f t="shared" si="408"/>
        <v>1</v>
      </c>
      <c r="Y649" s="301">
        <f t="shared" si="409"/>
        <v>0</v>
      </c>
      <c r="Z649" s="301">
        <f t="shared" si="410"/>
        <v>2</v>
      </c>
      <c r="AA649" s="323" t="str">
        <f>CONCATENATE("                x[team1,team2,sport,'",IF(OR(I649="x",I649=""),VLOOKUP('Schedule from TM'!J650,Tables!$P$3:$Q$33,2,FALSE),'Schedule from TM'!I650),",",J649,"','",IF(OR(F649="x",F649=""),VLOOKUP('Schedule from TM'!G650,Tables!$U$3:$V$14,2,FALSE),'Schedule from TM'!F650),",",TEXT(G649,"mm/dd/yyyy"),"','",TEXT(H649,"h:mm:ss AM/PM"),"'].ub=0.0      #",B649)</f>
        <v xml:space="preserve">                x[team1,team2,sport,'11,JCC Back Field 1','11,11/19/2017','1:00:00 PM'].ub=0.0      #Junior Female Mini Soccer</v>
      </c>
      <c r="AB649" s="301" t="str">
        <f t="shared" si="411"/>
        <v>,,Junior Female Mini Soccer,,1,JR F - VEN 2</v>
      </c>
      <c r="AC649" s="153" t="str">
        <f t="shared" si="412"/>
        <v>Junior Female Mini SoccerJR F - VEN 2</v>
      </c>
      <c r="AD649" s="301" t="str">
        <f t="shared" si="413"/>
        <v>,,Junior Female Mini Soccer,,1,JR F - ISR 1</v>
      </c>
      <c r="AE649" s="153" t="str">
        <f t="shared" si="414"/>
        <v>Junior Female Mini SoccerJR F - ISR 1</v>
      </c>
      <c r="AF649" s="383">
        <f t="shared" si="415"/>
        <v>0</v>
      </c>
      <c r="AG649" s="383">
        <f t="shared" si="416"/>
        <v>1</v>
      </c>
      <c r="AH649" s="383">
        <f t="shared" si="417"/>
        <v>0</v>
      </c>
      <c r="AI649" s="383">
        <f t="shared" si="418"/>
        <v>1</v>
      </c>
      <c r="AJ649" s="383">
        <f t="shared" si="419"/>
        <v>0</v>
      </c>
      <c r="AK649" s="383">
        <f t="shared" si="420"/>
        <v>0</v>
      </c>
      <c r="AM649" s="148" t="str">
        <f t="shared" si="421"/>
        <v>Schedulled</v>
      </c>
      <c r="AN649" s="148" t="str">
        <f t="shared" si="422"/>
        <v/>
      </c>
      <c r="AO649" s="156">
        <f t="shared" si="423"/>
        <v>43058.541666666664</v>
      </c>
      <c r="AP649" s="148" t="str">
        <f t="shared" si="424"/>
        <v>11/19/2017 13:00-&gt;JCC Back Field 1</v>
      </c>
      <c r="AQ649" s="374">
        <f t="shared" si="425"/>
        <v>1</v>
      </c>
      <c r="AR649" s="148" t="str">
        <f t="shared" si="426"/>
        <v>VEN2</v>
      </c>
      <c r="AS649" s="148" t="str">
        <f t="shared" si="427"/>
        <v>ISR1</v>
      </c>
      <c r="AT649" s="157" t="str">
        <f t="shared" si="428"/>
        <v>VEN2-ISR1</v>
      </c>
      <c r="AU649" s="157" t="str">
        <f t="shared" si="429"/>
        <v xml:space="preserve">VEN2-ISR1 </v>
      </c>
      <c r="AV649" s="157" t="str">
        <f t="shared" si="430"/>
        <v>JUNIORS FEMALE</v>
      </c>
      <c r="AW649" s="157" t="str">
        <f t="shared" si="431"/>
        <v>Soccer</v>
      </c>
      <c r="AX649" s="376">
        <f t="shared" si="432"/>
        <v>647</v>
      </c>
      <c r="AY649" s="148" t="str">
        <f t="shared" si="433"/>
        <v>JR F - VEN 2-&gt;JR F - ISR 1</v>
      </c>
      <c r="AZ649" s="148" t="str">
        <f t="shared" si="434"/>
        <v>11/19/2017 13:00-&gt;JR F - VEN 2</v>
      </c>
      <c r="BA649" s="148" t="str">
        <f t="shared" si="435"/>
        <v>11/19/2017 13:00-&gt;JR F - ISR 1</v>
      </c>
      <c r="BB649" s="374">
        <f t="shared" si="436"/>
        <v>1</v>
      </c>
      <c r="BC649" s="374">
        <f t="shared" si="437"/>
        <v>1</v>
      </c>
      <c r="BD649" s="148" t="str">
        <f t="shared" si="438"/>
        <v>no conflict</v>
      </c>
      <c r="BF649" s="148" t="str">
        <f t="shared" si="439"/>
        <v>11/19/2017 13:00-&gt;JR F - VEN 2</v>
      </c>
      <c r="BG649" s="148" t="str">
        <f t="shared" si="440"/>
        <v>11/19/2017 13:00-&gt;JR F - ISR 1</v>
      </c>
      <c r="BH649" s="148" t="str">
        <f t="shared" si="441"/>
        <v>11/19/2017 13:00-&gt;JCC Back Field 1</v>
      </c>
      <c r="BI649" s="148" t="str">
        <f t="shared" si="442"/>
        <v>Soccer in JCC Back Field 1 (VEN2-ISR1)</v>
      </c>
      <c r="BJ649" s="148" t="str">
        <f t="shared" si="443"/>
        <v>Junior Female Mini Soccer-- JR F - VEN 2 vs. JR F - ISR 1</v>
      </c>
      <c r="BK649" s="148" t="str">
        <f t="shared" si="444"/>
        <v>Soccer</v>
      </c>
      <c r="BL649" s="148" t="str">
        <f t="shared" si="445"/>
        <v>JR F - VEN 2</v>
      </c>
      <c r="BM649" s="148" t="str">
        <f t="shared" si="446"/>
        <v>JR F - ISR 1</v>
      </c>
      <c r="BN649" s="148" t="str">
        <f t="shared" si="447"/>
        <v>Round - 1</v>
      </c>
      <c r="BP649" s="148" t="str">
        <f t="shared" si="448"/>
        <v>no t, f, or sf</v>
      </c>
      <c r="BQ649" s="148" t="str">
        <f t="shared" si="449"/>
        <v/>
      </c>
    </row>
    <row r="650" spans="1:69" ht="15" customHeight="1" x14ac:dyDescent="0.2">
      <c r="A650" s="376">
        <v>648</v>
      </c>
      <c r="B650" s="121" t="s">
        <v>67</v>
      </c>
      <c r="C650" s="121" t="s">
        <v>518</v>
      </c>
      <c r="D650" s="382">
        <v>1</v>
      </c>
      <c r="E650" s="382">
        <v>1</v>
      </c>
      <c r="F650" s="315" t="s">
        <v>770</v>
      </c>
      <c r="G650" s="206">
        <v>43058</v>
      </c>
      <c r="H650" s="317">
        <v>0.57638888888888895</v>
      </c>
      <c r="I650" s="325" t="s">
        <v>770</v>
      </c>
      <c r="J650" s="121" t="s">
        <v>692</v>
      </c>
      <c r="K650" s="121">
        <v>63</v>
      </c>
      <c r="L650" t="s">
        <v>665</v>
      </c>
      <c r="M650">
        <v>63</v>
      </c>
      <c r="N650" t="s">
        <v>668</v>
      </c>
      <c r="O650" s="153" t="str">
        <f>IF(L650&lt;&gt;"",IFERROR(VLOOKUP(B650&amp;L650,Pools!$A$2:$D$130,3,FALSE),""),"")</f>
        <v/>
      </c>
      <c r="P650" s="388">
        <v>0</v>
      </c>
      <c r="Q650" s="388">
        <v>3</v>
      </c>
      <c r="R650" s="306" t="str">
        <f t="shared" si="405"/>
        <v>0-3</v>
      </c>
      <c r="S650" s="153"/>
      <c r="T650" s="148" t="str">
        <f t="shared" si="406"/>
        <v>Completed</v>
      </c>
      <c r="U650" s="153"/>
      <c r="V650" s="153"/>
      <c r="W650" s="387">
        <f t="shared" si="407"/>
        <v>-3</v>
      </c>
      <c r="X650" s="387">
        <f t="shared" si="408"/>
        <v>3</v>
      </c>
      <c r="Y650" s="301">
        <f t="shared" si="409"/>
        <v>0</v>
      </c>
      <c r="Z650" s="301">
        <f t="shared" si="410"/>
        <v>2</v>
      </c>
      <c r="AA650" s="323" t="str">
        <f>CONCATENATE("                x[team1,team2,sport,'",IF(OR(I650="x",I650=""),VLOOKUP('Schedule from TM'!J651,Tables!$P$3:$Q$33,2,FALSE),'Schedule from TM'!I651),",",J650,"','",IF(OR(F650="x",F650=""),VLOOKUP('Schedule from TM'!G651,Tables!$U$3:$V$14,2,FALSE),'Schedule from TM'!F651),",",TEXT(G650,"mm/dd/yyyy"),"','",TEXT(H650,"h:mm:ss AM/PM"),"'].ub=0.0      #",B650)</f>
        <v xml:space="preserve">                x[team1,team2,sport,'11,JCC Back Field 3','11,11/19/2017','1:50:00 PM'].ub=0.0      #Junior Female Mini Soccer</v>
      </c>
      <c r="AB650" s="301" t="str">
        <f t="shared" si="411"/>
        <v>,,Junior Female Mini Soccer,,1,JR F - USA 1</v>
      </c>
      <c r="AC650" s="153" t="str">
        <f t="shared" si="412"/>
        <v>Junior Female Mini SoccerJR F - USA 1</v>
      </c>
      <c r="AD650" s="301" t="str">
        <f t="shared" si="413"/>
        <v>,,Junior Female Mini Soccer,,1,JR F - VEN 1</v>
      </c>
      <c r="AE650" s="153" t="str">
        <f t="shared" si="414"/>
        <v>Junior Female Mini SoccerJR F - VEN 1</v>
      </c>
      <c r="AF650" s="383">
        <f t="shared" si="415"/>
        <v>0</v>
      </c>
      <c r="AG650" s="383">
        <f t="shared" si="416"/>
        <v>1</v>
      </c>
      <c r="AH650" s="383">
        <f t="shared" si="417"/>
        <v>0</v>
      </c>
      <c r="AI650" s="383">
        <f t="shared" si="418"/>
        <v>1</v>
      </c>
      <c r="AJ650" s="383">
        <f t="shared" si="419"/>
        <v>0</v>
      </c>
      <c r="AK650" s="383">
        <f t="shared" si="420"/>
        <v>0</v>
      </c>
      <c r="AM650" s="148" t="str">
        <f t="shared" si="421"/>
        <v>Schedulled</v>
      </c>
      <c r="AN650" s="148" t="str">
        <f t="shared" si="422"/>
        <v/>
      </c>
      <c r="AO650" s="156">
        <f t="shared" si="423"/>
        <v>43058.576388888891</v>
      </c>
      <c r="AP650" s="148" t="str">
        <f t="shared" si="424"/>
        <v>11/19/2017 13:50-&gt;JCC Back Field 3</v>
      </c>
      <c r="AQ650" s="374">
        <f t="shared" si="425"/>
        <v>1</v>
      </c>
      <c r="AR650" s="148" t="str">
        <f t="shared" si="426"/>
        <v>USA1</v>
      </c>
      <c r="AS650" s="148" t="str">
        <f t="shared" si="427"/>
        <v>VEN1</v>
      </c>
      <c r="AT650" s="157" t="str">
        <f t="shared" si="428"/>
        <v>USA1-VEN1</v>
      </c>
      <c r="AU650" s="157" t="str">
        <f t="shared" si="429"/>
        <v xml:space="preserve">USA1-VEN1 </v>
      </c>
      <c r="AV650" s="157" t="str">
        <f t="shared" si="430"/>
        <v>JUNIORS FEMALE</v>
      </c>
      <c r="AW650" s="157" t="str">
        <f t="shared" si="431"/>
        <v>Soccer</v>
      </c>
      <c r="AX650" s="376">
        <f t="shared" si="432"/>
        <v>648</v>
      </c>
      <c r="AY650" s="148" t="str">
        <f t="shared" si="433"/>
        <v>JR F - USA 1-&gt;JR F - VEN 1</v>
      </c>
      <c r="AZ650" s="148" t="str">
        <f t="shared" si="434"/>
        <v>11/19/2017 13:50-&gt;JR F - USA 1</v>
      </c>
      <c r="BA650" s="148" t="str">
        <f t="shared" si="435"/>
        <v>11/19/2017 13:50-&gt;JR F - VEN 1</v>
      </c>
      <c r="BB650" s="374">
        <f t="shared" si="436"/>
        <v>1</v>
      </c>
      <c r="BC650" s="374">
        <f t="shared" si="437"/>
        <v>1</v>
      </c>
      <c r="BD650" s="148" t="str">
        <f t="shared" si="438"/>
        <v>no conflict</v>
      </c>
      <c r="BF650" s="148" t="str">
        <f t="shared" si="439"/>
        <v>11/19/2017 13:50-&gt;JR F - USA 1</v>
      </c>
      <c r="BG650" s="148" t="str">
        <f t="shared" si="440"/>
        <v>11/19/2017 13:50-&gt;JR F - VEN 1</v>
      </c>
      <c r="BH650" s="148" t="str">
        <f t="shared" si="441"/>
        <v>11/19/2017 13:50-&gt;JCC Back Field 3</v>
      </c>
      <c r="BI650" s="148" t="str">
        <f t="shared" si="442"/>
        <v>Soccer in JCC Back Field 3 (USA1-VEN1)</v>
      </c>
      <c r="BJ650" s="148" t="str">
        <f t="shared" si="443"/>
        <v>Junior Female Mini Soccer-- JR F - USA 1 vs. JR F - VEN 1</v>
      </c>
      <c r="BK650" s="148" t="str">
        <f t="shared" si="444"/>
        <v>Soccer</v>
      </c>
      <c r="BL650" s="148" t="str">
        <f t="shared" si="445"/>
        <v>JR F - USA 1</v>
      </c>
      <c r="BM650" s="148" t="str">
        <f t="shared" si="446"/>
        <v>JR F - VEN 1</v>
      </c>
      <c r="BN650" s="148" t="str">
        <f t="shared" si="447"/>
        <v>Round - 1</v>
      </c>
      <c r="BP650" s="148" t="str">
        <f t="shared" si="448"/>
        <v>no t, f, or sf</v>
      </c>
      <c r="BQ650" s="148" t="str">
        <f t="shared" si="449"/>
        <v/>
      </c>
    </row>
    <row r="651" spans="1:69" ht="15" customHeight="1" x14ac:dyDescent="0.2">
      <c r="A651" s="376">
        <v>649</v>
      </c>
      <c r="B651" s="121" t="s">
        <v>67</v>
      </c>
      <c r="C651" s="121" t="s">
        <v>518</v>
      </c>
      <c r="D651" s="382">
        <v>1</v>
      </c>
      <c r="E651" s="382">
        <v>1</v>
      </c>
      <c r="F651" s="315" t="s">
        <v>770</v>
      </c>
      <c r="G651" s="206">
        <v>43058</v>
      </c>
      <c r="H651" s="317">
        <v>0.71527777777777779</v>
      </c>
      <c r="I651" s="325" t="s">
        <v>770</v>
      </c>
      <c r="J651" s="121" t="s">
        <v>695</v>
      </c>
      <c r="K651" s="121">
        <v>63</v>
      </c>
      <c r="L651" t="s">
        <v>664</v>
      </c>
      <c r="M651">
        <v>63</v>
      </c>
      <c r="N651" t="s">
        <v>667</v>
      </c>
      <c r="O651" s="153" t="str">
        <f>IF(L651&lt;&gt;"",IFERROR(VLOOKUP(B651&amp;L651,Pools!$A$2:$D$130,3,FALSE),""),"")</f>
        <v/>
      </c>
      <c r="P651" s="388">
        <v>9</v>
      </c>
      <c r="Q651" s="388">
        <v>3</v>
      </c>
      <c r="R651" s="306" t="str">
        <f t="shared" ref="R651:R714" si="450">P651&amp;"-"&amp;Q651</f>
        <v>9-3</v>
      </c>
      <c r="S651" s="153"/>
      <c r="T651" s="148" t="str">
        <f t="shared" ref="T651:T714" si="451">IF(AND(P651&lt;&gt;"",Q651&lt;&gt;""),"Completed","Pending")</f>
        <v>Completed</v>
      </c>
      <c r="U651" s="153"/>
      <c r="V651" s="153"/>
      <c r="W651" s="387">
        <f t="shared" ref="W651:W714" si="452">IF(AW651="Basketball",(IF(P651-Q651&gt;15,15,IF(P651-Q651&lt;-15,-15,(P651-Q651)))),IF(AW651="Soccer",(IF(P651-Q651&gt;3,3,IF(P651-Q651&lt;-3,-3,(P651-Q651)))),IF(AW651="Kickball",(IF(P651-Q651&gt;5,5,IF(P651-Q651&lt;-5,-5,(P651-Q651)))),IF(AW651="Flag Football",(IF(P651-Q651&gt;21,21,IF(P651-Q651&lt;-21,-21,(P651-Q651)))),P651-Q651))))</f>
        <v>3</v>
      </c>
      <c r="X651" s="387">
        <f t="shared" ref="X651:X714" si="453">IF(AW651="Basketball",(IF(Q651-P651&gt;15,15,IF(Q651-P651&lt;-15,-15,(Q651-P651)))),IF(AW651="Soccer",(IF(Q651-P651&gt;3,3,IF(Q651-P651&lt;-3,-3,(Q651-P651)))),IF(AW651="Kickball",(IF(Q651-P651&gt;5,5,IF(Q651-P651&lt;-5,-5,(Q651-P651)))),IF(AW651="Flag Football",(IF(Q651-P651&gt;21,21,IF(Q651-P651&lt;-21,-21,(Q651-P651)))),Q651-P651))))</f>
        <v>-3</v>
      </c>
      <c r="Y651" s="301">
        <f t="shared" ref="Y651:Y714" si="454">IF(T651="Completed",(IF(P651&gt;Q651,2,IF(P651=Q651,1,IF(P651&lt;Q651,0)))),"X")</f>
        <v>2</v>
      </c>
      <c r="Z651" s="301">
        <f t="shared" ref="Z651:Z714" si="455">IF(T651="Completed",(IF(Q651&gt;P651,2,IF(Q651=P651,1,IF(Q651&lt;P651,0)))),"X")</f>
        <v>0</v>
      </c>
      <c r="AA651" s="323" t="str">
        <f>CONCATENATE("                x[team1,team2,sport,'",IF(OR(I651="x",I651=""),VLOOKUP('Schedule from TM'!J652,Tables!$P$3:$Q$33,2,FALSE),'Schedule from TM'!I652),",",J651,"','",IF(OR(F651="x",F651=""),VLOOKUP('Schedule from TM'!G652,Tables!$U$3:$V$14,2,FALSE),'Schedule from TM'!F652),",",TEXT(G651,"mm/dd/yyyy"),"','",TEXT(H651,"h:mm:ss AM/PM"),"'].ub=0.0      #",B651)</f>
        <v xml:space="preserve">                x[team1,team2,sport,'11,JCC Back Field 1','11,11/19/2017','5:10:00 PM'].ub=0.0      #Junior Female Mini Soccer</v>
      </c>
      <c r="AB651" s="301" t="str">
        <f t="shared" ref="AB651:AB714" si="456">",,"&amp;B651&amp;","&amp;O651&amp;",1,"&amp;L651</f>
        <v>,,Junior Female Mini Soccer,,1,JR F - PER</v>
      </c>
      <c r="AC651" s="153" t="str">
        <f t="shared" ref="AC651:AC714" si="457">B651&amp;O651&amp;L651</f>
        <v>Junior Female Mini SoccerJR F - PER</v>
      </c>
      <c r="AD651" s="301" t="str">
        <f t="shared" ref="AD651:AD714" si="458">",,"&amp;B651&amp;","&amp;O651&amp;",1,"&amp;N651</f>
        <v>,,Junior Female Mini Soccer,,1,JR F - USA 2</v>
      </c>
      <c r="AE651" s="153" t="str">
        <f t="shared" ref="AE651:AE714" si="459">B651&amp;O651&amp;N651</f>
        <v>Junior Female Mini SoccerJR F - USA 2</v>
      </c>
      <c r="AF651" s="383">
        <f t="shared" ref="AF651:AF714" si="460">IF(Y651=2,1,0)</f>
        <v>1</v>
      </c>
      <c r="AG651" s="383">
        <f t="shared" ref="AG651:AG714" si="461">IF(Y651=0,1,0)</f>
        <v>0</v>
      </c>
      <c r="AH651" s="383">
        <f t="shared" ref="AH651:AH714" si="462">IF(Y651=1,1,0)</f>
        <v>0</v>
      </c>
      <c r="AI651" s="383">
        <f t="shared" ref="AI651:AI714" si="463">IF(Z651=2,1,0)</f>
        <v>0</v>
      </c>
      <c r="AJ651" s="383">
        <f t="shared" ref="AJ651:AJ714" si="464">IF(Z651=0,1,0)</f>
        <v>1</v>
      </c>
      <c r="AK651" s="383">
        <f t="shared" ref="AK651:AK714" si="465">IF(Z651=1,1,0)</f>
        <v>0</v>
      </c>
      <c r="AM651" s="148" t="str">
        <f t="shared" ref="AM651:AM714" si="466">IF(G651&amp;H651&amp;J651&lt;&gt;"","Schedulled","Not Schedulled")</f>
        <v>Schedulled</v>
      </c>
      <c r="AN651" s="148" t="str">
        <f t="shared" ref="AN651:AN714" si="467">IF(AND(AM651="schedulled",L651&amp;N651=""),"Schedulled no team","")</f>
        <v/>
      </c>
      <c r="AO651" s="156">
        <f t="shared" ref="AO651:AO714" si="468">G651+H651</f>
        <v>43058.715277777781</v>
      </c>
      <c r="AP651" s="148" t="str">
        <f t="shared" ref="AP651:AP714" si="469">TEXT(AO651,"MM/DD/YYYY HH:MM")&amp;"-&gt;"&amp;J651</f>
        <v>11/19/2017 17:10-&gt;JCC Back Field 1</v>
      </c>
      <c r="AQ651" s="374">
        <f t="shared" ref="AQ651:AQ714" si="470">IF(AM651="not schedulled", 0,COUNTIF($AP$11:$AP$1051,AP651))</f>
        <v>1</v>
      </c>
      <c r="AR651" s="148" t="str">
        <f t="shared" ref="AR651:AR714" si="471">IFERROR(VLOOKUP(L651,teams_table,3,FALSE),"")</f>
        <v>PER</v>
      </c>
      <c r="AS651" s="148" t="str">
        <f t="shared" ref="AS651:AS714" si="472">IFERROR(VLOOKUP(N651,teams_table,3,FALSE),"")</f>
        <v>USA2</v>
      </c>
      <c r="AT651" s="157" t="str">
        <f t="shared" ref="AT651:AT714" si="473">IF(AR651&amp;AS651&lt;&gt;"",AR651&amp;"-"&amp;AS651,"")</f>
        <v>PER-USA2</v>
      </c>
      <c r="AU651" s="157" t="str">
        <f t="shared" ref="AU651:AU714" si="474">IF(AT651="","",AT651&amp;" ")&amp;IF(C651="final",AW651&amp;" Final","")&amp;IF(C651="semi-final",AW651&amp;" Semi-Final","")&amp;IF(C651="Tournament",AW651&amp;" Tournament","")</f>
        <v xml:space="preserve">PER-USA2 </v>
      </c>
      <c r="AV651" s="157" t="str">
        <f t="shared" ref="AV651:AV714" si="475">IFERROR(VLOOKUP(B651,events_table,2,FALSE),"")</f>
        <v>JUNIORS FEMALE</v>
      </c>
      <c r="AW651" s="157" t="str">
        <f t="shared" ref="AW651:AW714" si="476">IFERROR(VLOOKUP(B651,events_table,3,0),"")</f>
        <v>Soccer</v>
      </c>
      <c r="AX651" s="376">
        <f t="shared" ref="AX651:AX714" si="477">A651</f>
        <v>649</v>
      </c>
      <c r="AY651" s="148" t="str">
        <f t="shared" ref="AY651:AY714" si="478">L651&amp;"-&gt;"&amp;N651</f>
        <v>JR F - PER-&gt;JR F - USA 2</v>
      </c>
      <c r="AZ651" s="148" t="str">
        <f t="shared" ref="AZ651:AZ714" si="479">TEXT(AO651,"MM/DD/YYYY HH:MM")&amp;"-&gt;"&amp;L651</f>
        <v>11/19/2017 17:10-&gt;JR F - PER</v>
      </c>
      <c r="BA651" s="148" t="str">
        <f t="shared" ref="BA651:BA714" si="480">TEXT(AO651,"MM/DD/YYYY HH:MM")&amp;"-&gt;"&amp;N651</f>
        <v>11/19/2017 17:10-&gt;JR F - USA 2</v>
      </c>
      <c r="BB651" s="374">
        <f t="shared" ref="BB651:BB714" si="481">IF(OR(AM651="not schedulled",AN651="schedulled no team"),0,COUNTIF($AZ$11:$BA$1051,AZ651))</f>
        <v>1</v>
      </c>
      <c r="BC651" s="374">
        <f t="shared" ref="BC651:BC714" si="482">IF(OR(AM651="not schedulled",AN651="schedulled no team"),0,COUNTIF($AZ$11:$BA$1051,BA651))</f>
        <v>1</v>
      </c>
      <c r="BD651" s="148" t="str">
        <f t="shared" ref="BD651:BD714" si="483">IF(OR(BB651&gt;1,BC651&gt;1),"conflict","no conflict")</f>
        <v>no conflict</v>
      </c>
      <c r="BF651" s="148" t="str">
        <f t="shared" ref="BF651:BF714" si="484">TEXT(AO651,"MM/DD/YYYY HH:MM")&amp;"-&gt;"&amp;L651</f>
        <v>11/19/2017 17:10-&gt;JR F - PER</v>
      </c>
      <c r="BG651" s="148" t="str">
        <f t="shared" ref="BG651:BG714" si="485">TEXT(AO651,"MM/DD/YYYY HH:MM")&amp;"-&gt;"&amp;N651</f>
        <v>11/19/2017 17:10-&gt;JR F - USA 2</v>
      </c>
      <c r="BH651" s="148" t="str">
        <f t="shared" ref="BH651:BH714" si="486">TEXT(AO651,"MM/DD/YYYY HH:MM")&amp;"-&gt;"&amp;J651</f>
        <v>11/19/2017 17:10-&gt;JCC Back Field 1</v>
      </c>
      <c r="BI651" s="148" t="str">
        <f t="shared" ref="BI651:BI714" si="487">AW651&amp; " in "&amp;J651 &amp;" ("&amp;AT651&amp;")"</f>
        <v>Soccer in JCC Back Field 1 (PER-USA2)</v>
      </c>
      <c r="BJ651" s="148" t="str">
        <f t="shared" ref="BJ651:BJ714" si="488">B651 &amp;"-- " &amp;L651&amp;" vs. "&amp;N651</f>
        <v>Junior Female Mini Soccer-- JR F - PER vs. JR F - USA 2</v>
      </c>
      <c r="BK651" s="148" t="str">
        <f t="shared" ref="BK651:BK714" si="489">AW651</f>
        <v>Soccer</v>
      </c>
      <c r="BL651" s="148" t="str">
        <f t="shared" ref="BL651:BL714" si="490">L651</f>
        <v>JR F - PER</v>
      </c>
      <c r="BM651" s="148" t="str">
        <f t="shared" ref="BM651:BM714" si="491">N651</f>
        <v>JR F - USA 2</v>
      </c>
      <c r="BN651" s="148" t="str">
        <f t="shared" ref="BN651:BN714" si="492">C651</f>
        <v>Round - 1</v>
      </c>
      <c r="BP651" s="148" t="str">
        <f t="shared" ref="BP651:BP714" si="493">IF(OR(NOT(ISERR(SEARCH("final",C651))),NOT(ISERR(SEARCH("tournament",C651)))),TEXT(AO651,"MM/DD/YYYY HH:MM")&amp;"-&gt;"&amp;AV651,IF(B651="","no game","no t, f, or sf"))</f>
        <v>no t, f, or sf</v>
      </c>
      <c r="BQ651" s="148" t="str">
        <f t="shared" ref="BQ651:BQ714" si="494">IF(BP651&lt;&gt;"no t, f, or sf",AW651&amp;" "&amp;C651&amp;" in "&amp;J651,"")</f>
        <v/>
      </c>
    </row>
    <row r="652" spans="1:69" ht="15" customHeight="1" x14ac:dyDescent="0.2">
      <c r="A652" s="376">
        <v>650</v>
      </c>
      <c r="B652" s="433" t="s">
        <v>67</v>
      </c>
      <c r="C652" s="315" t="s">
        <v>518</v>
      </c>
      <c r="D652" s="378">
        <v>1</v>
      </c>
      <c r="E652" s="378">
        <v>1</v>
      </c>
      <c r="F652" s="315" t="s">
        <v>770</v>
      </c>
      <c r="G652" s="316">
        <v>43058</v>
      </c>
      <c r="H652" s="318">
        <v>0.78472222222222221</v>
      </c>
      <c r="I652" s="325" t="s">
        <v>770</v>
      </c>
      <c r="J652" s="315" t="s">
        <v>692</v>
      </c>
      <c r="K652" s="315">
        <v>63</v>
      </c>
      <c r="L652" s="433" t="s">
        <v>659</v>
      </c>
      <c r="M652" s="433">
        <v>63</v>
      </c>
      <c r="N652" s="433" t="s">
        <v>666</v>
      </c>
      <c r="O652" s="153" t="str">
        <f>IF(L652&lt;&gt;"",IFERROR(VLOOKUP(B652&amp;L652,Pools!$A$2:$D$130,3,FALSE),""),"")</f>
        <v/>
      </c>
      <c r="P652" s="388">
        <v>3</v>
      </c>
      <c r="Q652" s="388">
        <v>0</v>
      </c>
      <c r="R652" s="306" t="str">
        <f t="shared" si="450"/>
        <v>3-0</v>
      </c>
      <c r="S652" s="153"/>
      <c r="T652" s="148" t="str">
        <f t="shared" si="451"/>
        <v>Completed</v>
      </c>
      <c r="U652" s="153"/>
      <c r="V652" s="153"/>
      <c r="W652" s="387">
        <f t="shared" si="452"/>
        <v>3</v>
      </c>
      <c r="X652" s="387">
        <f t="shared" si="453"/>
        <v>-3</v>
      </c>
      <c r="Y652" s="301">
        <f t="shared" si="454"/>
        <v>2</v>
      </c>
      <c r="Z652" s="301">
        <f t="shared" si="455"/>
        <v>0</v>
      </c>
      <c r="AA652" s="323" t="str">
        <f>CONCATENATE("                x[team1,team2,sport,'",IF(OR(I652="x",I652=""),VLOOKUP('Schedule from TM'!J653,Tables!$P$3:$Q$33,2,FALSE),'Schedule from TM'!I653),",",J652,"','",IF(OR(F652="x",F652=""),VLOOKUP('Schedule from TM'!G653,Tables!$U$3:$V$14,2,FALSE),'Schedule from TM'!F653),",",TEXT(G652,"mm/dd/yyyy"),"','",TEXT(H652,"h:mm:ss AM/PM"),"'].ub=0.0      #",B652)</f>
        <v xml:space="preserve">                x[team1,team2,sport,'11,JCC Back Field 3','11,11/19/2017','6:50:00 PM'].ub=0.0      #Junior Female Mini Soccer</v>
      </c>
      <c r="AB652" s="301" t="str">
        <f t="shared" si="456"/>
        <v>,,Junior Female Mini Soccer,,1,JR F - ARG 1</v>
      </c>
      <c r="AC652" s="153" t="str">
        <f t="shared" si="457"/>
        <v>Junior Female Mini SoccerJR F - ARG 1</v>
      </c>
      <c r="AD652" s="301" t="str">
        <f t="shared" si="458"/>
        <v>,,Junior Female Mini Soccer,,1,JR F - COL 1</v>
      </c>
      <c r="AE652" s="153" t="str">
        <f t="shared" si="459"/>
        <v>Junior Female Mini SoccerJR F - COL 1</v>
      </c>
      <c r="AF652" s="383">
        <f t="shared" si="460"/>
        <v>1</v>
      </c>
      <c r="AG652" s="383">
        <f t="shared" si="461"/>
        <v>0</v>
      </c>
      <c r="AH652" s="383">
        <f t="shared" si="462"/>
        <v>0</v>
      </c>
      <c r="AI652" s="383">
        <f t="shared" si="463"/>
        <v>0</v>
      </c>
      <c r="AJ652" s="383">
        <f t="shared" si="464"/>
        <v>1</v>
      </c>
      <c r="AK652" s="383">
        <f t="shared" si="465"/>
        <v>0</v>
      </c>
      <c r="AM652" s="148" t="str">
        <f t="shared" si="466"/>
        <v>Schedulled</v>
      </c>
      <c r="AN652" s="148" t="str">
        <f t="shared" si="467"/>
        <v/>
      </c>
      <c r="AO652" s="156">
        <f t="shared" si="468"/>
        <v>43058.784722222219</v>
      </c>
      <c r="AP652" s="148" t="str">
        <f t="shared" si="469"/>
        <v>11/19/2017 18:50-&gt;JCC Back Field 3</v>
      </c>
      <c r="AQ652" s="374">
        <f t="shared" si="470"/>
        <v>1</v>
      </c>
      <c r="AR652" s="148" t="str">
        <f t="shared" si="471"/>
        <v>ARG1</v>
      </c>
      <c r="AS652" s="148" t="str">
        <f t="shared" si="472"/>
        <v>COL1</v>
      </c>
      <c r="AT652" s="157" t="str">
        <f t="shared" si="473"/>
        <v>ARG1-COL1</v>
      </c>
      <c r="AU652" s="157" t="str">
        <f t="shared" si="474"/>
        <v xml:space="preserve">ARG1-COL1 </v>
      </c>
      <c r="AV652" s="157" t="str">
        <f t="shared" si="475"/>
        <v>JUNIORS FEMALE</v>
      </c>
      <c r="AW652" s="157" t="str">
        <f t="shared" si="476"/>
        <v>Soccer</v>
      </c>
      <c r="AX652" s="376">
        <f t="shared" si="477"/>
        <v>650</v>
      </c>
      <c r="AY652" s="148" t="str">
        <f t="shared" si="478"/>
        <v>JR F - ARG 1-&gt;JR F - COL 1</v>
      </c>
      <c r="AZ652" s="148" t="str">
        <f t="shared" si="479"/>
        <v>11/19/2017 18:50-&gt;JR F - ARG 1</v>
      </c>
      <c r="BA652" s="148" t="str">
        <f t="shared" si="480"/>
        <v>11/19/2017 18:50-&gt;JR F - COL 1</v>
      </c>
      <c r="BB652" s="374">
        <f t="shared" si="481"/>
        <v>1</v>
      </c>
      <c r="BC652" s="374">
        <f t="shared" si="482"/>
        <v>1</v>
      </c>
      <c r="BD652" s="148" t="str">
        <f t="shared" si="483"/>
        <v>no conflict</v>
      </c>
      <c r="BF652" s="148" t="str">
        <f t="shared" si="484"/>
        <v>11/19/2017 18:50-&gt;JR F - ARG 1</v>
      </c>
      <c r="BG652" s="148" t="str">
        <f t="shared" si="485"/>
        <v>11/19/2017 18:50-&gt;JR F - COL 1</v>
      </c>
      <c r="BH652" s="148" t="str">
        <f t="shared" si="486"/>
        <v>11/19/2017 18:50-&gt;JCC Back Field 3</v>
      </c>
      <c r="BI652" s="148" t="str">
        <f t="shared" si="487"/>
        <v>Soccer in JCC Back Field 3 (ARG1-COL1)</v>
      </c>
      <c r="BJ652" s="148" t="str">
        <f t="shared" si="488"/>
        <v>Junior Female Mini Soccer-- JR F - ARG 1 vs. JR F - COL 1</v>
      </c>
      <c r="BK652" s="148" t="str">
        <f t="shared" si="489"/>
        <v>Soccer</v>
      </c>
      <c r="BL652" s="148" t="str">
        <f t="shared" si="490"/>
        <v>JR F - ARG 1</v>
      </c>
      <c r="BM652" s="148" t="str">
        <f t="shared" si="491"/>
        <v>JR F - COL 1</v>
      </c>
      <c r="BN652" s="148" t="str">
        <f t="shared" si="492"/>
        <v>Round - 1</v>
      </c>
      <c r="BP652" s="148" t="str">
        <f t="shared" si="493"/>
        <v>no t, f, or sf</v>
      </c>
      <c r="BQ652" s="148" t="str">
        <f t="shared" si="494"/>
        <v/>
      </c>
    </row>
    <row r="653" spans="1:69" ht="15" customHeight="1" x14ac:dyDescent="0.2">
      <c r="A653" s="376">
        <v>651</v>
      </c>
      <c r="B653" s="121" t="s">
        <v>67</v>
      </c>
      <c r="C653" s="121" t="s">
        <v>518</v>
      </c>
      <c r="D653" s="382">
        <v>1</v>
      </c>
      <c r="E653" s="382">
        <v>1</v>
      </c>
      <c r="F653" s="315" t="s">
        <v>770</v>
      </c>
      <c r="G653" s="206">
        <v>43058</v>
      </c>
      <c r="H653" s="318">
        <v>0.78472222222222221</v>
      </c>
      <c r="I653" s="325" t="s">
        <v>770</v>
      </c>
      <c r="J653" s="121" t="s">
        <v>694</v>
      </c>
      <c r="K653" s="121">
        <v>63</v>
      </c>
      <c r="L653" t="s">
        <v>665</v>
      </c>
      <c r="M653">
        <v>63</v>
      </c>
      <c r="N653" t="s">
        <v>776</v>
      </c>
      <c r="O653" s="153" t="str">
        <f>IF(L653&lt;&gt;"",IFERROR(VLOOKUP(B653&amp;L653,Pools!$A$2:$D$130,3,FALSE),""),"")</f>
        <v/>
      </c>
      <c r="P653" s="388">
        <v>2</v>
      </c>
      <c r="Q653" s="388">
        <v>10</v>
      </c>
      <c r="R653" s="306" t="str">
        <f t="shared" si="450"/>
        <v>2-10</v>
      </c>
      <c r="S653" s="153"/>
      <c r="T653" s="148" t="str">
        <f t="shared" si="451"/>
        <v>Completed</v>
      </c>
      <c r="U653" s="153"/>
      <c r="V653" s="153"/>
      <c r="W653" s="387">
        <f t="shared" si="452"/>
        <v>-3</v>
      </c>
      <c r="X653" s="387">
        <f t="shared" si="453"/>
        <v>3</v>
      </c>
      <c r="Y653" s="301">
        <f t="shared" si="454"/>
        <v>0</v>
      </c>
      <c r="Z653" s="301">
        <f t="shared" si="455"/>
        <v>2</v>
      </c>
      <c r="AA653" s="323" t="str">
        <f>CONCATENATE("                x[team1,team2,sport,'",IF(OR(I653="x",I653=""),VLOOKUP('Schedule from TM'!J654,Tables!$P$3:$Q$33,2,FALSE),'Schedule from TM'!I654),",",J653,"','",IF(OR(F653="x",F653=""),VLOOKUP('Schedule from TM'!G654,Tables!$U$3:$V$14,2,FALSE),'Schedule from TM'!F654),",",TEXT(G653,"mm/dd/yyyy"),"','",TEXT(H653,"h:mm:ss AM/PM"),"'].ub=0.0      #",B653)</f>
        <v xml:space="preserve">                x[team1,team2,sport,'11,JCC Back Field 4','22,11/19/2017','6:50:00 PM'].ub=0.0      #Junior Female Mini Soccer</v>
      </c>
      <c r="AB653" s="301" t="str">
        <f t="shared" si="456"/>
        <v>,,Junior Female Mini Soccer,,1,JR F - USA 1</v>
      </c>
      <c r="AC653" s="153" t="str">
        <f t="shared" si="457"/>
        <v>Junior Female Mini SoccerJR F - USA 1</v>
      </c>
      <c r="AD653" s="301" t="str">
        <f t="shared" si="458"/>
        <v>,,Junior Female Mini Soccer,,1,JR F - USA 3</v>
      </c>
      <c r="AE653" s="153" t="str">
        <f t="shared" si="459"/>
        <v>Junior Female Mini SoccerJR F - USA 3</v>
      </c>
      <c r="AF653" s="383">
        <f t="shared" si="460"/>
        <v>0</v>
      </c>
      <c r="AG653" s="383">
        <f t="shared" si="461"/>
        <v>1</v>
      </c>
      <c r="AH653" s="383">
        <f t="shared" si="462"/>
        <v>0</v>
      </c>
      <c r="AI653" s="383">
        <f t="shared" si="463"/>
        <v>1</v>
      </c>
      <c r="AJ653" s="383">
        <f t="shared" si="464"/>
        <v>0</v>
      </c>
      <c r="AK653" s="383">
        <f t="shared" si="465"/>
        <v>0</v>
      </c>
      <c r="AM653" s="148" t="str">
        <f t="shared" si="466"/>
        <v>Schedulled</v>
      </c>
      <c r="AN653" s="148" t="str">
        <f t="shared" si="467"/>
        <v/>
      </c>
      <c r="AO653" s="156">
        <f t="shared" si="468"/>
        <v>43058.784722222219</v>
      </c>
      <c r="AP653" s="148" t="str">
        <f t="shared" si="469"/>
        <v>11/19/2017 18:50-&gt;JCC Back Field 4</v>
      </c>
      <c r="AQ653" s="374">
        <f t="shared" si="470"/>
        <v>1</v>
      </c>
      <c r="AR653" s="148" t="str">
        <f t="shared" si="471"/>
        <v>USA1</v>
      </c>
      <c r="AS653" s="148" t="str">
        <f t="shared" si="472"/>
        <v>USA3</v>
      </c>
      <c r="AT653" s="157" t="str">
        <f t="shared" si="473"/>
        <v>USA1-USA3</v>
      </c>
      <c r="AU653" s="157" t="str">
        <f t="shared" si="474"/>
        <v xml:space="preserve">USA1-USA3 </v>
      </c>
      <c r="AV653" s="157" t="str">
        <f t="shared" si="475"/>
        <v>JUNIORS FEMALE</v>
      </c>
      <c r="AW653" s="157" t="str">
        <f t="shared" si="476"/>
        <v>Soccer</v>
      </c>
      <c r="AX653" s="376">
        <f t="shared" si="477"/>
        <v>651</v>
      </c>
      <c r="AY653" s="148" t="str">
        <f t="shared" si="478"/>
        <v>JR F - USA 1-&gt;JR F - USA 3</v>
      </c>
      <c r="AZ653" s="148" t="str">
        <f t="shared" si="479"/>
        <v>11/19/2017 18:50-&gt;JR F - USA 1</v>
      </c>
      <c r="BA653" s="148" t="str">
        <f t="shared" si="480"/>
        <v>11/19/2017 18:50-&gt;JR F - USA 3</v>
      </c>
      <c r="BB653" s="374">
        <f t="shared" si="481"/>
        <v>1</v>
      </c>
      <c r="BC653" s="374">
        <f t="shared" si="482"/>
        <v>1</v>
      </c>
      <c r="BD653" s="148" t="str">
        <f t="shared" si="483"/>
        <v>no conflict</v>
      </c>
      <c r="BF653" s="148" t="str">
        <f t="shared" si="484"/>
        <v>11/19/2017 18:50-&gt;JR F - USA 1</v>
      </c>
      <c r="BG653" s="148" t="str">
        <f t="shared" si="485"/>
        <v>11/19/2017 18:50-&gt;JR F - USA 3</v>
      </c>
      <c r="BH653" s="148" t="str">
        <f t="shared" si="486"/>
        <v>11/19/2017 18:50-&gt;JCC Back Field 4</v>
      </c>
      <c r="BI653" s="148" t="str">
        <f t="shared" si="487"/>
        <v>Soccer in JCC Back Field 4 (USA1-USA3)</v>
      </c>
      <c r="BJ653" s="148" t="str">
        <f t="shared" si="488"/>
        <v>Junior Female Mini Soccer-- JR F - USA 1 vs. JR F - USA 3</v>
      </c>
      <c r="BK653" s="148" t="str">
        <f t="shared" si="489"/>
        <v>Soccer</v>
      </c>
      <c r="BL653" s="148" t="str">
        <f t="shared" si="490"/>
        <v>JR F - USA 1</v>
      </c>
      <c r="BM653" s="148" t="str">
        <f t="shared" si="491"/>
        <v>JR F - USA 3</v>
      </c>
      <c r="BN653" s="148" t="str">
        <f t="shared" si="492"/>
        <v>Round - 1</v>
      </c>
      <c r="BP653" s="148" t="str">
        <f t="shared" si="493"/>
        <v>no t, f, or sf</v>
      </c>
      <c r="BQ653" s="148" t="str">
        <f t="shared" si="494"/>
        <v/>
      </c>
    </row>
    <row r="654" spans="1:69" ht="15" customHeight="1" x14ac:dyDescent="0.2">
      <c r="A654" s="376">
        <v>652</v>
      </c>
      <c r="B654" s="121" t="s">
        <v>67</v>
      </c>
      <c r="C654" s="121" t="s">
        <v>518</v>
      </c>
      <c r="D654" s="382">
        <v>1</v>
      </c>
      <c r="E654" s="382">
        <v>1</v>
      </c>
      <c r="F654" s="315" t="s">
        <v>770</v>
      </c>
      <c r="G654" s="206">
        <v>43059</v>
      </c>
      <c r="H654" s="317">
        <v>0.71527777777777779</v>
      </c>
      <c r="I654" s="325" t="s">
        <v>770</v>
      </c>
      <c r="J654" s="121" t="s">
        <v>695</v>
      </c>
      <c r="K654" s="121">
        <v>63</v>
      </c>
      <c r="L654" s="433" t="s">
        <v>667</v>
      </c>
      <c r="M654" s="433">
        <v>63</v>
      </c>
      <c r="N654" s="433" t="s">
        <v>666</v>
      </c>
      <c r="O654" s="153" t="str">
        <f>IF(L654&lt;&gt;"",IFERROR(VLOOKUP(B654&amp;L654,Pools!$A$2:$D$130,3,FALSE),""),"")</f>
        <v/>
      </c>
      <c r="P654" s="388">
        <v>4</v>
      </c>
      <c r="Q654" s="388">
        <v>0</v>
      </c>
      <c r="R654" s="306" t="str">
        <f t="shared" si="450"/>
        <v>4-0</v>
      </c>
      <c r="S654" s="153"/>
      <c r="T654" s="148" t="str">
        <f t="shared" si="451"/>
        <v>Completed</v>
      </c>
      <c r="U654" s="153"/>
      <c r="V654" s="153"/>
      <c r="W654" s="387">
        <f t="shared" si="452"/>
        <v>3</v>
      </c>
      <c r="X654" s="387">
        <f t="shared" si="453"/>
        <v>-3</v>
      </c>
      <c r="Y654" s="301">
        <f t="shared" si="454"/>
        <v>2</v>
      </c>
      <c r="Z654" s="301">
        <f t="shared" si="455"/>
        <v>0</v>
      </c>
      <c r="AA654" s="323" t="str">
        <f>CONCATENATE("                x[team1,team2,sport,'",IF(OR(I654="x",I654=""),VLOOKUP('Schedule from TM'!J655,Tables!$P$3:$Q$33,2,FALSE),'Schedule from TM'!I655),",",J654,"','",IF(OR(F654="x",F654=""),VLOOKUP('Schedule from TM'!G655,Tables!$U$3:$V$14,2,FALSE),'Schedule from TM'!F655),",",TEXT(G654,"mm/dd/yyyy"),"','",TEXT(H654,"h:mm:ss AM/PM"),"'].ub=0.0      #",B654)</f>
        <v xml:space="preserve">                x[team1,team2,sport,'11,JCC Back Field 1','22,11/20/2017','5:10:00 PM'].ub=0.0      #Junior Female Mini Soccer</v>
      </c>
      <c r="AB654" s="301" t="str">
        <f t="shared" si="456"/>
        <v>,,Junior Female Mini Soccer,,1,JR F - USA 2</v>
      </c>
      <c r="AC654" s="153" t="str">
        <f t="shared" si="457"/>
        <v>Junior Female Mini SoccerJR F - USA 2</v>
      </c>
      <c r="AD654" s="301" t="str">
        <f t="shared" si="458"/>
        <v>,,Junior Female Mini Soccer,,1,JR F - COL 1</v>
      </c>
      <c r="AE654" s="153" t="str">
        <f t="shared" si="459"/>
        <v>Junior Female Mini SoccerJR F - COL 1</v>
      </c>
      <c r="AF654" s="383">
        <f t="shared" si="460"/>
        <v>1</v>
      </c>
      <c r="AG654" s="383">
        <f t="shared" si="461"/>
        <v>0</v>
      </c>
      <c r="AH654" s="383">
        <f t="shared" si="462"/>
        <v>0</v>
      </c>
      <c r="AI654" s="383">
        <f t="shared" si="463"/>
        <v>0</v>
      </c>
      <c r="AJ654" s="383">
        <f t="shared" si="464"/>
        <v>1</v>
      </c>
      <c r="AK654" s="383">
        <f t="shared" si="465"/>
        <v>0</v>
      </c>
      <c r="AM654" s="148" t="str">
        <f t="shared" si="466"/>
        <v>Schedulled</v>
      </c>
      <c r="AN654" s="148" t="str">
        <f t="shared" si="467"/>
        <v/>
      </c>
      <c r="AO654" s="156">
        <f t="shared" si="468"/>
        <v>43059.715277777781</v>
      </c>
      <c r="AP654" s="148" t="str">
        <f t="shared" si="469"/>
        <v>11/20/2017 17:10-&gt;JCC Back Field 1</v>
      </c>
      <c r="AQ654" s="374">
        <f t="shared" si="470"/>
        <v>1</v>
      </c>
      <c r="AR654" s="148" t="str">
        <f t="shared" si="471"/>
        <v>USA2</v>
      </c>
      <c r="AS654" s="148" t="str">
        <f t="shared" si="472"/>
        <v>COL1</v>
      </c>
      <c r="AT654" s="157" t="str">
        <f t="shared" si="473"/>
        <v>USA2-COL1</v>
      </c>
      <c r="AU654" s="157" t="str">
        <f t="shared" si="474"/>
        <v xml:space="preserve">USA2-COL1 </v>
      </c>
      <c r="AV654" s="157" t="str">
        <f t="shared" si="475"/>
        <v>JUNIORS FEMALE</v>
      </c>
      <c r="AW654" s="157" t="str">
        <f t="shared" si="476"/>
        <v>Soccer</v>
      </c>
      <c r="AX654" s="376">
        <f t="shared" si="477"/>
        <v>652</v>
      </c>
      <c r="AY654" s="148" t="str">
        <f t="shared" si="478"/>
        <v>JR F - USA 2-&gt;JR F - COL 1</v>
      </c>
      <c r="AZ654" s="148" t="str">
        <f t="shared" si="479"/>
        <v>11/20/2017 17:10-&gt;JR F - USA 2</v>
      </c>
      <c r="BA654" s="148" t="str">
        <f t="shared" si="480"/>
        <v>11/20/2017 17:10-&gt;JR F - COL 1</v>
      </c>
      <c r="BB654" s="374">
        <f t="shared" si="481"/>
        <v>1</v>
      </c>
      <c r="BC654" s="374">
        <f t="shared" si="482"/>
        <v>1</v>
      </c>
      <c r="BD654" s="148" t="str">
        <f t="shared" si="483"/>
        <v>no conflict</v>
      </c>
      <c r="BF654" s="148" t="str">
        <f t="shared" si="484"/>
        <v>11/20/2017 17:10-&gt;JR F - USA 2</v>
      </c>
      <c r="BG654" s="148" t="str">
        <f t="shared" si="485"/>
        <v>11/20/2017 17:10-&gt;JR F - COL 1</v>
      </c>
      <c r="BH654" s="148" t="str">
        <f t="shared" si="486"/>
        <v>11/20/2017 17:10-&gt;JCC Back Field 1</v>
      </c>
      <c r="BI654" s="148" t="str">
        <f t="shared" si="487"/>
        <v>Soccer in JCC Back Field 1 (USA2-COL1)</v>
      </c>
      <c r="BJ654" s="148" t="str">
        <f t="shared" si="488"/>
        <v>Junior Female Mini Soccer-- JR F - USA 2 vs. JR F - COL 1</v>
      </c>
      <c r="BK654" s="148" t="str">
        <f t="shared" si="489"/>
        <v>Soccer</v>
      </c>
      <c r="BL654" s="148" t="str">
        <f t="shared" si="490"/>
        <v>JR F - USA 2</v>
      </c>
      <c r="BM654" s="148" t="str">
        <f t="shared" si="491"/>
        <v>JR F - COL 1</v>
      </c>
      <c r="BN654" s="148" t="str">
        <f t="shared" si="492"/>
        <v>Round - 1</v>
      </c>
      <c r="BP654" s="148" t="str">
        <f t="shared" si="493"/>
        <v>no t, f, or sf</v>
      </c>
      <c r="BQ654" s="148" t="str">
        <f t="shared" si="494"/>
        <v/>
      </c>
    </row>
    <row r="655" spans="1:69" ht="15" customHeight="1" x14ac:dyDescent="0.2">
      <c r="A655" s="376">
        <v>653</v>
      </c>
      <c r="B655" s="121" t="s">
        <v>67</v>
      </c>
      <c r="C655" s="121" t="s">
        <v>518</v>
      </c>
      <c r="D655" s="382">
        <v>1</v>
      </c>
      <c r="E655" s="382">
        <v>1</v>
      </c>
      <c r="F655" s="315" t="s">
        <v>770</v>
      </c>
      <c r="G655" s="206">
        <v>43059</v>
      </c>
      <c r="H655" s="317">
        <v>0.78472222222222221</v>
      </c>
      <c r="I655" s="325" t="s">
        <v>770</v>
      </c>
      <c r="J655" s="121" t="s">
        <v>692</v>
      </c>
      <c r="K655" s="121">
        <v>63</v>
      </c>
      <c r="L655" s="433" t="s">
        <v>661</v>
      </c>
      <c r="M655" s="433">
        <v>63</v>
      </c>
      <c r="N655" s="433" t="s">
        <v>660</v>
      </c>
      <c r="O655" s="153" t="str">
        <f>IF(L655&lt;&gt;"",IFERROR(VLOOKUP(B655&amp;L655,Pools!$A$2:$D$130,3,FALSE),""),"")</f>
        <v/>
      </c>
      <c r="P655" s="388">
        <v>0</v>
      </c>
      <c r="Q655" s="388">
        <v>1</v>
      </c>
      <c r="R655" s="306" t="str">
        <f t="shared" si="450"/>
        <v>0-1</v>
      </c>
      <c r="S655" s="153"/>
      <c r="T655" s="148" t="str">
        <f t="shared" si="451"/>
        <v>Completed</v>
      </c>
      <c r="U655" s="153"/>
      <c r="V655" s="153"/>
      <c r="W655" s="387">
        <f t="shared" si="452"/>
        <v>-1</v>
      </c>
      <c r="X655" s="387">
        <f t="shared" si="453"/>
        <v>1</v>
      </c>
      <c r="Y655" s="301">
        <f t="shared" si="454"/>
        <v>0</v>
      </c>
      <c r="Z655" s="301">
        <f t="shared" si="455"/>
        <v>2</v>
      </c>
      <c r="AA655" s="323" t="str">
        <f>CONCATENATE("                x[team1,team2,sport,'",IF(OR(I655="x",I655=""),VLOOKUP('Schedule from TM'!J656,Tables!$P$3:$Q$33,2,FALSE),'Schedule from TM'!I656),",",J655,"','",IF(OR(F655="x",F655=""),VLOOKUP('Schedule from TM'!G656,Tables!$U$3:$V$14,2,FALSE),'Schedule from TM'!F656),",",TEXT(G655,"mm/dd/yyyy"),"','",TEXT(H655,"h:mm:ss AM/PM"),"'].ub=0.0      #",B655)</f>
        <v xml:space="preserve">                x[team1,team2,sport,'11,JCC Back Field 3','22,11/20/2017','6:50:00 PM'].ub=0.0      #Junior Female Mini Soccer</v>
      </c>
      <c r="AB655" s="301" t="str">
        <f t="shared" si="456"/>
        <v>,,Junior Female Mini Soccer,,1,JR F - ISR 1</v>
      </c>
      <c r="AC655" s="153" t="str">
        <f t="shared" si="457"/>
        <v>Junior Female Mini SoccerJR F - ISR 1</v>
      </c>
      <c r="AD655" s="301" t="str">
        <f t="shared" si="458"/>
        <v>,,Junior Female Mini Soccer,,1,JR F - COL 2</v>
      </c>
      <c r="AE655" s="153" t="str">
        <f t="shared" si="459"/>
        <v>Junior Female Mini SoccerJR F - COL 2</v>
      </c>
      <c r="AF655" s="383">
        <f t="shared" si="460"/>
        <v>0</v>
      </c>
      <c r="AG655" s="383">
        <f t="shared" si="461"/>
        <v>1</v>
      </c>
      <c r="AH655" s="383">
        <f t="shared" si="462"/>
        <v>0</v>
      </c>
      <c r="AI655" s="383">
        <f t="shared" si="463"/>
        <v>1</v>
      </c>
      <c r="AJ655" s="383">
        <f t="shared" si="464"/>
        <v>0</v>
      </c>
      <c r="AK655" s="383">
        <f t="shared" si="465"/>
        <v>0</v>
      </c>
      <c r="AM655" s="148" t="str">
        <f t="shared" si="466"/>
        <v>Schedulled</v>
      </c>
      <c r="AN655" s="148" t="str">
        <f t="shared" si="467"/>
        <v/>
      </c>
      <c r="AO655" s="156">
        <f t="shared" si="468"/>
        <v>43059.784722222219</v>
      </c>
      <c r="AP655" s="148" t="str">
        <f t="shared" si="469"/>
        <v>11/20/2017 18:50-&gt;JCC Back Field 3</v>
      </c>
      <c r="AQ655" s="374">
        <f t="shared" si="470"/>
        <v>1</v>
      </c>
      <c r="AR655" s="148" t="str">
        <f t="shared" si="471"/>
        <v>ISR1</v>
      </c>
      <c r="AS655" s="148" t="str">
        <f t="shared" si="472"/>
        <v>COL2</v>
      </c>
      <c r="AT655" s="157" t="str">
        <f t="shared" si="473"/>
        <v>ISR1-COL2</v>
      </c>
      <c r="AU655" s="157" t="str">
        <f t="shared" si="474"/>
        <v xml:space="preserve">ISR1-COL2 </v>
      </c>
      <c r="AV655" s="157" t="str">
        <f t="shared" si="475"/>
        <v>JUNIORS FEMALE</v>
      </c>
      <c r="AW655" s="157" t="str">
        <f t="shared" si="476"/>
        <v>Soccer</v>
      </c>
      <c r="AX655" s="376">
        <f t="shared" si="477"/>
        <v>653</v>
      </c>
      <c r="AY655" s="148" t="str">
        <f t="shared" si="478"/>
        <v>JR F - ISR 1-&gt;JR F - COL 2</v>
      </c>
      <c r="AZ655" s="148" t="str">
        <f t="shared" si="479"/>
        <v>11/20/2017 18:50-&gt;JR F - ISR 1</v>
      </c>
      <c r="BA655" s="148" t="str">
        <f t="shared" si="480"/>
        <v>11/20/2017 18:50-&gt;JR F - COL 2</v>
      </c>
      <c r="BB655" s="374">
        <f t="shared" si="481"/>
        <v>1</v>
      </c>
      <c r="BC655" s="374">
        <f t="shared" si="482"/>
        <v>1</v>
      </c>
      <c r="BD655" s="148" t="str">
        <f t="shared" si="483"/>
        <v>no conflict</v>
      </c>
      <c r="BF655" s="148" t="str">
        <f t="shared" si="484"/>
        <v>11/20/2017 18:50-&gt;JR F - ISR 1</v>
      </c>
      <c r="BG655" s="148" t="str">
        <f t="shared" si="485"/>
        <v>11/20/2017 18:50-&gt;JR F - COL 2</v>
      </c>
      <c r="BH655" s="148" t="str">
        <f t="shared" si="486"/>
        <v>11/20/2017 18:50-&gt;JCC Back Field 3</v>
      </c>
      <c r="BI655" s="148" t="str">
        <f t="shared" si="487"/>
        <v>Soccer in JCC Back Field 3 (ISR1-COL2)</v>
      </c>
      <c r="BJ655" s="148" t="str">
        <f t="shared" si="488"/>
        <v>Junior Female Mini Soccer-- JR F - ISR 1 vs. JR F - COL 2</v>
      </c>
      <c r="BK655" s="148" t="str">
        <f t="shared" si="489"/>
        <v>Soccer</v>
      </c>
      <c r="BL655" s="148" t="str">
        <f t="shared" si="490"/>
        <v>JR F - ISR 1</v>
      </c>
      <c r="BM655" s="148" t="str">
        <f t="shared" si="491"/>
        <v>JR F - COL 2</v>
      </c>
      <c r="BN655" s="148" t="str">
        <f t="shared" si="492"/>
        <v>Round - 1</v>
      </c>
      <c r="BP655" s="148" t="str">
        <f t="shared" si="493"/>
        <v>no t, f, or sf</v>
      </c>
      <c r="BQ655" s="148" t="str">
        <f t="shared" si="494"/>
        <v/>
      </c>
    </row>
    <row r="656" spans="1:69" ht="15" customHeight="1" x14ac:dyDescent="0.2">
      <c r="A656" s="376">
        <v>654</v>
      </c>
      <c r="B656" s="433" t="s">
        <v>67</v>
      </c>
      <c r="C656" s="315" t="s">
        <v>518</v>
      </c>
      <c r="D656" s="378">
        <v>1</v>
      </c>
      <c r="E656" s="378">
        <v>1</v>
      </c>
      <c r="F656" s="315" t="s">
        <v>770</v>
      </c>
      <c r="G656" s="316">
        <v>43059</v>
      </c>
      <c r="H656" s="317">
        <v>0.81944444444444453</v>
      </c>
      <c r="I656" s="325" t="s">
        <v>770</v>
      </c>
      <c r="J656" s="443" t="s">
        <v>692</v>
      </c>
      <c r="K656" s="315">
        <v>63</v>
      </c>
      <c r="L656" t="s">
        <v>659</v>
      </c>
      <c r="M656">
        <v>63</v>
      </c>
      <c r="N656" t="s">
        <v>667</v>
      </c>
      <c r="O656" s="153" t="str">
        <f>IF(L656&lt;&gt;"",IFERROR(VLOOKUP(B656&amp;L656,Pools!$A$2:$D$130,3,FALSE),""),"")</f>
        <v/>
      </c>
      <c r="P656" s="388">
        <v>3</v>
      </c>
      <c r="Q656" s="388">
        <v>0</v>
      </c>
      <c r="R656" s="306" t="str">
        <f t="shared" si="450"/>
        <v>3-0</v>
      </c>
      <c r="S656" s="153"/>
      <c r="T656" s="148" t="str">
        <f t="shared" si="451"/>
        <v>Completed</v>
      </c>
      <c r="U656" s="153"/>
      <c r="V656" s="153"/>
      <c r="W656" s="387">
        <f t="shared" si="452"/>
        <v>3</v>
      </c>
      <c r="X656" s="387">
        <f t="shared" si="453"/>
        <v>-3</v>
      </c>
      <c r="Y656" s="301">
        <f t="shared" si="454"/>
        <v>2</v>
      </c>
      <c r="Z656" s="301">
        <f t="shared" si="455"/>
        <v>0</v>
      </c>
      <c r="AA656" s="323" t="str">
        <f>CONCATENATE("                x[team1,team2,sport,'",IF(OR(I656="x",I656=""),VLOOKUP('Schedule from TM'!J657,Tables!$P$3:$Q$33,2,FALSE),'Schedule from TM'!I657),",",J656,"','",IF(OR(F656="x",F656=""),VLOOKUP('Schedule from TM'!G657,Tables!$U$3:$V$14,2,FALSE),'Schedule from TM'!F657),",",TEXT(G656,"mm/dd/yyyy"),"','",TEXT(H656,"h:mm:ss AM/PM"),"'].ub=0.0      #",B656)</f>
        <v xml:space="preserve">                x[team1,team2,sport,'11,JCC Back Field 3','22,11/20/2017','7:40:00 PM'].ub=0.0      #Junior Female Mini Soccer</v>
      </c>
      <c r="AB656" s="301" t="str">
        <f t="shared" si="456"/>
        <v>,,Junior Female Mini Soccer,,1,JR F - ARG 1</v>
      </c>
      <c r="AC656" s="153" t="str">
        <f t="shared" si="457"/>
        <v>Junior Female Mini SoccerJR F - ARG 1</v>
      </c>
      <c r="AD656" s="301" t="str">
        <f t="shared" si="458"/>
        <v>,,Junior Female Mini Soccer,,1,JR F - USA 2</v>
      </c>
      <c r="AE656" s="153" t="str">
        <f t="shared" si="459"/>
        <v>Junior Female Mini SoccerJR F - USA 2</v>
      </c>
      <c r="AF656" s="383">
        <f t="shared" si="460"/>
        <v>1</v>
      </c>
      <c r="AG656" s="383">
        <f t="shared" si="461"/>
        <v>0</v>
      </c>
      <c r="AH656" s="383">
        <f t="shared" si="462"/>
        <v>0</v>
      </c>
      <c r="AI656" s="383">
        <f t="shared" si="463"/>
        <v>0</v>
      </c>
      <c r="AJ656" s="383">
        <f t="shared" si="464"/>
        <v>1</v>
      </c>
      <c r="AK656" s="383">
        <f t="shared" si="465"/>
        <v>0</v>
      </c>
      <c r="AM656" s="148" t="str">
        <f t="shared" si="466"/>
        <v>Schedulled</v>
      </c>
      <c r="AN656" s="148" t="str">
        <f t="shared" si="467"/>
        <v/>
      </c>
      <c r="AO656" s="156">
        <f t="shared" si="468"/>
        <v>43059.819444444445</v>
      </c>
      <c r="AP656" s="148" t="str">
        <f t="shared" si="469"/>
        <v>11/20/2017 19:40-&gt;JCC Back Field 3</v>
      </c>
      <c r="AQ656" s="374">
        <f t="shared" si="470"/>
        <v>1</v>
      </c>
      <c r="AR656" s="148" t="str">
        <f t="shared" si="471"/>
        <v>ARG1</v>
      </c>
      <c r="AS656" s="148" t="str">
        <f t="shared" si="472"/>
        <v>USA2</v>
      </c>
      <c r="AT656" s="157" t="str">
        <f t="shared" si="473"/>
        <v>ARG1-USA2</v>
      </c>
      <c r="AU656" s="157" t="str">
        <f t="shared" si="474"/>
        <v xml:space="preserve">ARG1-USA2 </v>
      </c>
      <c r="AV656" s="157" t="str">
        <f t="shared" si="475"/>
        <v>JUNIORS FEMALE</v>
      </c>
      <c r="AW656" s="157" t="str">
        <f t="shared" si="476"/>
        <v>Soccer</v>
      </c>
      <c r="AX656" s="376">
        <f t="shared" si="477"/>
        <v>654</v>
      </c>
      <c r="AY656" s="148" t="str">
        <f t="shared" si="478"/>
        <v>JR F - ARG 1-&gt;JR F - USA 2</v>
      </c>
      <c r="AZ656" s="148" t="str">
        <f t="shared" si="479"/>
        <v>11/20/2017 19:40-&gt;JR F - ARG 1</v>
      </c>
      <c r="BA656" s="148" t="str">
        <f t="shared" si="480"/>
        <v>11/20/2017 19:40-&gt;JR F - USA 2</v>
      </c>
      <c r="BB656" s="374">
        <f t="shared" si="481"/>
        <v>1</v>
      </c>
      <c r="BC656" s="374">
        <f t="shared" si="482"/>
        <v>1</v>
      </c>
      <c r="BD656" s="148" t="str">
        <f t="shared" si="483"/>
        <v>no conflict</v>
      </c>
      <c r="BF656" s="148" t="str">
        <f t="shared" si="484"/>
        <v>11/20/2017 19:40-&gt;JR F - ARG 1</v>
      </c>
      <c r="BG656" s="148" t="str">
        <f t="shared" si="485"/>
        <v>11/20/2017 19:40-&gt;JR F - USA 2</v>
      </c>
      <c r="BH656" s="148" t="str">
        <f t="shared" si="486"/>
        <v>11/20/2017 19:40-&gt;JCC Back Field 3</v>
      </c>
      <c r="BI656" s="148" t="str">
        <f t="shared" si="487"/>
        <v>Soccer in JCC Back Field 3 (ARG1-USA2)</v>
      </c>
      <c r="BJ656" s="148" t="str">
        <f t="shared" si="488"/>
        <v>Junior Female Mini Soccer-- JR F - ARG 1 vs. JR F - USA 2</v>
      </c>
      <c r="BK656" s="148" t="str">
        <f t="shared" si="489"/>
        <v>Soccer</v>
      </c>
      <c r="BL656" s="148" t="str">
        <f t="shared" si="490"/>
        <v>JR F - ARG 1</v>
      </c>
      <c r="BM656" s="148" t="str">
        <f t="shared" si="491"/>
        <v>JR F - USA 2</v>
      </c>
      <c r="BN656" s="148" t="str">
        <f t="shared" si="492"/>
        <v>Round - 1</v>
      </c>
      <c r="BP656" s="148" t="str">
        <f t="shared" si="493"/>
        <v>no t, f, or sf</v>
      </c>
      <c r="BQ656" s="148" t="str">
        <f t="shared" si="494"/>
        <v/>
      </c>
    </row>
    <row r="657" spans="1:69" ht="15" customHeight="1" x14ac:dyDescent="0.2">
      <c r="A657" s="376">
        <v>655</v>
      </c>
      <c r="B657" s="433" t="s">
        <v>67</v>
      </c>
      <c r="C657" s="315" t="s">
        <v>518</v>
      </c>
      <c r="D657" s="378">
        <v>1</v>
      </c>
      <c r="E657" s="378">
        <v>1</v>
      </c>
      <c r="F657" s="315" t="s">
        <v>770</v>
      </c>
      <c r="G657" s="316">
        <v>43060</v>
      </c>
      <c r="H657" s="317">
        <v>0.75</v>
      </c>
      <c r="I657" s="325" t="s">
        <v>770</v>
      </c>
      <c r="J657" s="315" t="s">
        <v>693</v>
      </c>
      <c r="K657" s="315">
        <v>63</v>
      </c>
      <c r="L657" t="s">
        <v>659</v>
      </c>
      <c r="M657">
        <v>63</v>
      </c>
      <c r="N657" t="s">
        <v>669</v>
      </c>
      <c r="O657" s="153" t="str">
        <f>IF(L657&lt;&gt;"",IFERROR(VLOOKUP(B657&amp;L657,Pools!$A$2:$D$130,3,FALSE),""),"")</f>
        <v/>
      </c>
      <c r="P657" s="388">
        <v>6</v>
      </c>
      <c r="Q657" s="388">
        <v>1</v>
      </c>
      <c r="R657" s="306" t="str">
        <f t="shared" si="450"/>
        <v>6-1</v>
      </c>
      <c r="S657" s="153"/>
      <c r="T657" s="148" t="str">
        <f t="shared" si="451"/>
        <v>Completed</v>
      </c>
      <c r="U657" s="153"/>
      <c r="V657" s="153"/>
      <c r="W657" s="387">
        <f t="shared" si="452"/>
        <v>3</v>
      </c>
      <c r="X657" s="387">
        <f t="shared" si="453"/>
        <v>-3</v>
      </c>
      <c r="Y657" s="301">
        <f t="shared" si="454"/>
        <v>2</v>
      </c>
      <c r="Z657" s="301">
        <f t="shared" si="455"/>
        <v>0</v>
      </c>
      <c r="AA657" s="323" t="str">
        <f>CONCATENATE("                x[team1,team2,sport,'",IF(OR(I657="x",I657=""),VLOOKUP('Schedule from TM'!J658,Tables!$P$3:$Q$33,2,FALSE),'Schedule from TM'!I658),",",J657,"','",IF(OR(F657="x",F657=""),VLOOKUP('Schedule from TM'!G658,Tables!$U$3:$V$14,2,FALSE),'Schedule from TM'!F658),",",TEXT(G657,"mm/dd/yyyy"),"','",TEXT(H657,"h:mm:ss AM/PM"),"'].ub=0.0      #",B657)</f>
        <v xml:space="preserve">                x[team1,team2,sport,'11,JCC Back Field 2','22,11/21/2017','6:00:00 PM'].ub=0.0      #Junior Female Mini Soccer</v>
      </c>
      <c r="AB657" s="301" t="str">
        <f t="shared" si="456"/>
        <v>,,Junior Female Mini Soccer,,1,JR F - ARG 1</v>
      </c>
      <c r="AC657" s="153" t="str">
        <f t="shared" si="457"/>
        <v>Junior Female Mini SoccerJR F - ARG 1</v>
      </c>
      <c r="AD657" s="301" t="str">
        <f t="shared" si="458"/>
        <v>,,Junior Female Mini Soccer,,1,JR F - VEN 2</v>
      </c>
      <c r="AE657" s="153" t="str">
        <f t="shared" si="459"/>
        <v>Junior Female Mini SoccerJR F - VEN 2</v>
      </c>
      <c r="AF657" s="383">
        <f t="shared" si="460"/>
        <v>1</v>
      </c>
      <c r="AG657" s="383">
        <f t="shared" si="461"/>
        <v>0</v>
      </c>
      <c r="AH657" s="383">
        <f t="shared" si="462"/>
        <v>0</v>
      </c>
      <c r="AI657" s="383">
        <f t="shared" si="463"/>
        <v>0</v>
      </c>
      <c r="AJ657" s="383">
        <f t="shared" si="464"/>
        <v>1</v>
      </c>
      <c r="AK657" s="383">
        <f t="shared" si="465"/>
        <v>0</v>
      </c>
      <c r="AM657" s="148" t="str">
        <f t="shared" si="466"/>
        <v>Schedulled</v>
      </c>
      <c r="AN657" s="148" t="str">
        <f t="shared" si="467"/>
        <v/>
      </c>
      <c r="AO657" s="156">
        <f t="shared" si="468"/>
        <v>43060.75</v>
      </c>
      <c r="AP657" s="148" t="str">
        <f t="shared" si="469"/>
        <v>11/21/2017 18:00-&gt;JCC Back Field 2</v>
      </c>
      <c r="AQ657" s="374">
        <f t="shared" si="470"/>
        <v>1</v>
      </c>
      <c r="AR657" s="148" t="str">
        <f t="shared" si="471"/>
        <v>ARG1</v>
      </c>
      <c r="AS657" s="148" t="str">
        <f t="shared" si="472"/>
        <v>VEN2</v>
      </c>
      <c r="AT657" s="157" t="str">
        <f t="shared" si="473"/>
        <v>ARG1-VEN2</v>
      </c>
      <c r="AU657" s="157" t="str">
        <f t="shared" si="474"/>
        <v xml:space="preserve">ARG1-VEN2 </v>
      </c>
      <c r="AV657" s="157" t="str">
        <f t="shared" si="475"/>
        <v>JUNIORS FEMALE</v>
      </c>
      <c r="AW657" s="157" t="str">
        <f t="shared" si="476"/>
        <v>Soccer</v>
      </c>
      <c r="AX657" s="376">
        <f t="shared" si="477"/>
        <v>655</v>
      </c>
      <c r="AY657" s="148" t="str">
        <f t="shared" si="478"/>
        <v>JR F - ARG 1-&gt;JR F - VEN 2</v>
      </c>
      <c r="AZ657" s="148" t="str">
        <f t="shared" si="479"/>
        <v>11/21/2017 18:00-&gt;JR F - ARG 1</v>
      </c>
      <c r="BA657" s="148" t="str">
        <f t="shared" si="480"/>
        <v>11/21/2017 18:00-&gt;JR F - VEN 2</v>
      </c>
      <c r="BB657" s="374">
        <f t="shared" si="481"/>
        <v>1</v>
      </c>
      <c r="BC657" s="374">
        <f t="shared" si="482"/>
        <v>1</v>
      </c>
      <c r="BD657" s="148" t="str">
        <f t="shared" si="483"/>
        <v>no conflict</v>
      </c>
      <c r="BF657" s="148" t="str">
        <f t="shared" si="484"/>
        <v>11/21/2017 18:00-&gt;JR F - ARG 1</v>
      </c>
      <c r="BG657" s="148" t="str">
        <f t="shared" si="485"/>
        <v>11/21/2017 18:00-&gt;JR F - VEN 2</v>
      </c>
      <c r="BH657" s="148" t="str">
        <f t="shared" si="486"/>
        <v>11/21/2017 18:00-&gt;JCC Back Field 2</v>
      </c>
      <c r="BI657" s="148" t="str">
        <f t="shared" si="487"/>
        <v>Soccer in JCC Back Field 2 (ARG1-VEN2)</v>
      </c>
      <c r="BJ657" s="148" t="str">
        <f t="shared" si="488"/>
        <v>Junior Female Mini Soccer-- JR F - ARG 1 vs. JR F - VEN 2</v>
      </c>
      <c r="BK657" s="148" t="str">
        <f t="shared" si="489"/>
        <v>Soccer</v>
      </c>
      <c r="BL657" s="148" t="str">
        <f t="shared" si="490"/>
        <v>JR F - ARG 1</v>
      </c>
      <c r="BM657" s="148" t="str">
        <f t="shared" si="491"/>
        <v>JR F - VEN 2</v>
      </c>
      <c r="BN657" s="148" t="str">
        <f t="shared" si="492"/>
        <v>Round - 1</v>
      </c>
      <c r="BP657" s="148" t="str">
        <f t="shared" si="493"/>
        <v>no t, f, or sf</v>
      </c>
      <c r="BQ657" s="148" t="str">
        <f t="shared" si="494"/>
        <v/>
      </c>
    </row>
    <row r="658" spans="1:69" ht="15" customHeight="1" x14ac:dyDescent="0.2">
      <c r="A658" s="376">
        <v>656</v>
      </c>
      <c r="B658" s="121" t="s">
        <v>67</v>
      </c>
      <c r="C658" s="121" t="s">
        <v>518</v>
      </c>
      <c r="D658" s="382">
        <v>1</v>
      </c>
      <c r="E658" s="382">
        <v>1</v>
      </c>
      <c r="F658" s="315" t="s">
        <v>770</v>
      </c>
      <c r="G658" s="206">
        <v>43060</v>
      </c>
      <c r="H658" s="317">
        <v>0.85416666666666663</v>
      </c>
      <c r="I658" s="325" t="s">
        <v>770</v>
      </c>
      <c r="J658" s="121" t="s">
        <v>694</v>
      </c>
      <c r="K658" s="121">
        <v>63</v>
      </c>
      <c r="L658" t="s">
        <v>776</v>
      </c>
      <c r="M658">
        <v>63</v>
      </c>
      <c r="N658" t="s">
        <v>666</v>
      </c>
      <c r="O658" s="153" t="str">
        <f>IF(L658&lt;&gt;"",IFERROR(VLOOKUP(B658&amp;L658,Pools!$A$2:$D$130,3,FALSE),""),"")</f>
        <v/>
      </c>
      <c r="P658" s="388">
        <v>3</v>
      </c>
      <c r="Q658" s="388">
        <v>5</v>
      </c>
      <c r="R658" s="306" t="str">
        <f t="shared" si="450"/>
        <v>3-5</v>
      </c>
      <c r="S658" s="153"/>
      <c r="T658" s="148" t="str">
        <f t="shared" si="451"/>
        <v>Completed</v>
      </c>
      <c r="U658" s="153"/>
      <c r="V658" s="153"/>
      <c r="W658" s="387">
        <f t="shared" si="452"/>
        <v>-2</v>
      </c>
      <c r="X658" s="387">
        <f t="shared" si="453"/>
        <v>2</v>
      </c>
      <c r="Y658" s="301">
        <f t="shared" si="454"/>
        <v>0</v>
      </c>
      <c r="Z658" s="301">
        <f t="shared" si="455"/>
        <v>2</v>
      </c>
      <c r="AA658" s="323" t="str">
        <f>CONCATENATE("                x[team1,team2,sport,'",IF(OR(I658="x",I658=""),VLOOKUP('Schedule from TM'!J659,Tables!$P$3:$Q$33,2,FALSE),'Schedule from TM'!I659),",",J658,"','",IF(OR(F658="x",F658=""),VLOOKUP('Schedule from TM'!G659,Tables!$U$3:$V$14,2,FALSE),'Schedule from TM'!F659),",",TEXT(G658,"mm/dd/yyyy"),"','",TEXT(H658,"h:mm:ss AM/PM"),"'].ub=0.0      #",B658)</f>
        <v xml:space="preserve">                x[team1,team2,sport,'11,JCC Back Field 4','22,11/21/2017','8:30:00 PM'].ub=0.0      #Junior Female Mini Soccer</v>
      </c>
      <c r="AB658" s="301" t="str">
        <f t="shared" si="456"/>
        <v>,,Junior Female Mini Soccer,,1,JR F - USA 3</v>
      </c>
      <c r="AC658" s="153" t="str">
        <f t="shared" si="457"/>
        <v>Junior Female Mini SoccerJR F - USA 3</v>
      </c>
      <c r="AD658" s="301" t="str">
        <f t="shared" si="458"/>
        <v>,,Junior Female Mini Soccer,,1,JR F - COL 1</v>
      </c>
      <c r="AE658" s="153" t="str">
        <f t="shared" si="459"/>
        <v>Junior Female Mini SoccerJR F - COL 1</v>
      </c>
      <c r="AF658" s="383">
        <f t="shared" si="460"/>
        <v>0</v>
      </c>
      <c r="AG658" s="383">
        <f t="shared" si="461"/>
        <v>1</v>
      </c>
      <c r="AH658" s="383">
        <f t="shared" si="462"/>
        <v>0</v>
      </c>
      <c r="AI658" s="383">
        <f t="shared" si="463"/>
        <v>1</v>
      </c>
      <c r="AJ658" s="383">
        <f t="shared" si="464"/>
        <v>0</v>
      </c>
      <c r="AK658" s="383">
        <f t="shared" si="465"/>
        <v>0</v>
      </c>
      <c r="AM658" s="148" t="str">
        <f t="shared" si="466"/>
        <v>Schedulled</v>
      </c>
      <c r="AN658" s="148" t="str">
        <f t="shared" si="467"/>
        <v/>
      </c>
      <c r="AO658" s="156">
        <f t="shared" si="468"/>
        <v>43060.854166666664</v>
      </c>
      <c r="AP658" s="148" t="str">
        <f t="shared" si="469"/>
        <v>11/21/2017 20:30-&gt;JCC Back Field 4</v>
      </c>
      <c r="AQ658" s="374">
        <f t="shared" si="470"/>
        <v>1</v>
      </c>
      <c r="AR658" s="148" t="str">
        <f t="shared" si="471"/>
        <v>USA3</v>
      </c>
      <c r="AS658" s="148" t="str">
        <f t="shared" si="472"/>
        <v>COL1</v>
      </c>
      <c r="AT658" s="157" t="str">
        <f t="shared" si="473"/>
        <v>USA3-COL1</v>
      </c>
      <c r="AU658" s="157" t="str">
        <f t="shared" si="474"/>
        <v xml:space="preserve">USA3-COL1 </v>
      </c>
      <c r="AV658" s="157" t="str">
        <f t="shared" si="475"/>
        <v>JUNIORS FEMALE</v>
      </c>
      <c r="AW658" s="157" t="str">
        <f t="shared" si="476"/>
        <v>Soccer</v>
      </c>
      <c r="AX658" s="376">
        <f t="shared" si="477"/>
        <v>656</v>
      </c>
      <c r="AY658" s="148" t="str">
        <f t="shared" si="478"/>
        <v>JR F - USA 3-&gt;JR F - COL 1</v>
      </c>
      <c r="AZ658" s="148" t="str">
        <f t="shared" si="479"/>
        <v>11/21/2017 20:30-&gt;JR F - USA 3</v>
      </c>
      <c r="BA658" s="148" t="str">
        <f t="shared" si="480"/>
        <v>11/21/2017 20:30-&gt;JR F - COL 1</v>
      </c>
      <c r="BB658" s="374">
        <f t="shared" si="481"/>
        <v>1</v>
      </c>
      <c r="BC658" s="374">
        <f t="shared" si="482"/>
        <v>1</v>
      </c>
      <c r="BD658" s="148" t="str">
        <f t="shared" si="483"/>
        <v>no conflict</v>
      </c>
      <c r="BF658" s="148" t="str">
        <f t="shared" si="484"/>
        <v>11/21/2017 20:30-&gt;JR F - USA 3</v>
      </c>
      <c r="BG658" s="148" t="str">
        <f t="shared" si="485"/>
        <v>11/21/2017 20:30-&gt;JR F - COL 1</v>
      </c>
      <c r="BH658" s="148" t="str">
        <f t="shared" si="486"/>
        <v>11/21/2017 20:30-&gt;JCC Back Field 4</v>
      </c>
      <c r="BI658" s="148" t="str">
        <f t="shared" si="487"/>
        <v>Soccer in JCC Back Field 4 (USA3-COL1)</v>
      </c>
      <c r="BJ658" s="148" t="str">
        <f t="shared" si="488"/>
        <v>Junior Female Mini Soccer-- JR F - USA 3 vs. JR F - COL 1</v>
      </c>
      <c r="BK658" s="148" t="str">
        <f t="shared" si="489"/>
        <v>Soccer</v>
      </c>
      <c r="BL658" s="148" t="str">
        <f t="shared" si="490"/>
        <v>JR F - USA 3</v>
      </c>
      <c r="BM658" s="148" t="str">
        <f t="shared" si="491"/>
        <v>JR F - COL 1</v>
      </c>
      <c r="BN658" s="148" t="str">
        <f t="shared" si="492"/>
        <v>Round - 1</v>
      </c>
      <c r="BP658" s="148" t="str">
        <f t="shared" si="493"/>
        <v>no t, f, or sf</v>
      </c>
      <c r="BQ658" s="148" t="str">
        <f t="shared" si="494"/>
        <v/>
      </c>
    </row>
    <row r="659" spans="1:69" ht="15" customHeight="1" x14ac:dyDescent="0.2">
      <c r="A659" s="376">
        <v>657</v>
      </c>
      <c r="B659" s="444" t="s">
        <v>67</v>
      </c>
      <c r="C659" s="444" t="s">
        <v>518</v>
      </c>
      <c r="D659" s="451">
        <v>1</v>
      </c>
      <c r="E659" s="451">
        <v>1</v>
      </c>
      <c r="F659" s="315" t="s">
        <v>770</v>
      </c>
      <c r="G659" s="445">
        <v>43061</v>
      </c>
      <c r="H659" s="318">
        <v>0.81944444444444453</v>
      </c>
      <c r="I659" s="325" t="s">
        <v>770</v>
      </c>
      <c r="J659" s="444" t="s">
        <v>693</v>
      </c>
      <c r="K659" s="444">
        <v>63</v>
      </c>
      <c r="L659" t="s">
        <v>664</v>
      </c>
      <c r="M659">
        <v>63</v>
      </c>
      <c r="N659" t="s">
        <v>660</v>
      </c>
      <c r="O659" s="153" t="str">
        <f>IF(L659&lt;&gt;"",IFERROR(VLOOKUP(B659&amp;L659,Pools!$A$2:$D$130,3,FALSE),""),"")</f>
        <v/>
      </c>
      <c r="P659" s="388">
        <v>2</v>
      </c>
      <c r="Q659" s="388">
        <v>1</v>
      </c>
      <c r="R659" s="306" t="str">
        <f t="shared" si="450"/>
        <v>2-1</v>
      </c>
      <c r="S659" s="153"/>
      <c r="T659" s="148" t="str">
        <f t="shared" si="451"/>
        <v>Completed</v>
      </c>
      <c r="U659" s="153"/>
      <c r="V659" s="153"/>
      <c r="W659" s="387">
        <f t="shared" si="452"/>
        <v>1</v>
      </c>
      <c r="X659" s="387">
        <f t="shared" si="453"/>
        <v>-1</v>
      </c>
      <c r="Y659" s="301">
        <f t="shared" si="454"/>
        <v>2</v>
      </c>
      <c r="Z659" s="301">
        <f t="shared" si="455"/>
        <v>0</v>
      </c>
      <c r="AA659" s="323" t="str">
        <f>CONCATENATE("                x[team1,team2,sport,'",IF(OR(I659="x",I659=""),VLOOKUP('Schedule from TM'!J660,Tables!$P$3:$Q$33,2,FALSE),'Schedule from TM'!I660),",",J659,"','",IF(OR(F659="x",F659=""),VLOOKUP('Schedule from TM'!G660,Tables!$U$3:$V$14,2,FALSE),'Schedule from TM'!F660),",",TEXT(G659,"mm/dd/yyyy"),"','",TEXT(H659,"h:mm:ss AM/PM"),"'].ub=0.0      #",B659)</f>
        <v xml:space="preserve">                x[team1,team2,sport,'11,JCC Back Field 2','11,11/22/2017','7:40:00 PM'].ub=0.0      #Junior Female Mini Soccer</v>
      </c>
      <c r="AB659" s="301" t="str">
        <f t="shared" si="456"/>
        <v>,,Junior Female Mini Soccer,,1,JR F - PER</v>
      </c>
      <c r="AC659" s="153" t="str">
        <f t="shared" si="457"/>
        <v>Junior Female Mini SoccerJR F - PER</v>
      </c>
      <c r="AD659" s="301" t="str">
        <f t="shared" si="458"/>
        <v>,,Junior Female Mini Soccer,,1,JR F - COL 2</v>
      </c>
      <c r="AE659" s="153" t="str">
        <f t="shared" si="459"/>
        <v>Junior Female Mini SoccerJR F - COL 2</v>
      </c>
      <c r="AF659" s="383">
        <f t="shared" si="460"/>
        <v>1</v>
      </c>
      <c r="AG659" s="383">
        <f t="shared" si="461"/>
        <v>0</v>
      </c>
      <c r="AH659" s="383">
        <f t="shared" si="462"/>
        <v>0</v>
      </c>
      <c r="AI659" s="383">
        <f t="shared" si="463"/>
        <v>0</v>
      </c>
      <c r="AJ659" s="383">
        <f t="shared" si="464"/>
        <v>1</v>
      </c>
      <c r="AK659" s="383">
        <f t="shared" si="465"/>
        <v>0</v>
      </c>
      <c r="AM659" s="148" t="str">
        <f t="shared" si="466"/>
        <v>Schedulled</v>
      </c>
      <c r="AN659" s="148" t="str">
        <f t="shared" si="467"/>
        <v/>
      </c>
      <c r="AO659" s="156">
        <f t="shared" si="468"/>
        <v>43061.819444444445</v>
      </c>
      <c r="AP659" s="148" t="str">
        <f t="shared" si="469"/>
        <v>11/22/2017 19:40-&gt;JCC Back Field 2</v>
      </c>
      <c r="AQ659" s="374">
        <f t="shared" si="470"/>
        <v>1</v>
      </c>
      <c r="AR659" s="148" t="str">
        <f t="shared" si="471"/>
        <v>PER</v>
      </c>
      <c r="AS659" s="148" t="str">
        <f t="shared" si="472"/>
        <v>COL2</v>
      </c>
      <c r="AT659" s="157" t="str">
        <f t="shared" si="473"/>
        <v>PER-COL2</v>
      </c>
      <c r="AU659" s="157" t="str">
        <f t="shared" si="474"/>
        <v xml:space="preserve">PER-COL2 </v>
      </c>
      <c r="AV659" s="157" t="str">
        <f t="shared" si="475"/>
        <v>JUNIORS FEMALE</v>
      </c>
      <c r="AW659" s="157" t="str">
        <f t="shared" si="476"/>
        <v>Soccer</v>
      </c>
      <c r="AX659" s="376">
        <f t="shared" si="477"/>
        <v>657</v>
      </c>
      <c r="AY659" s="148" t="str">
        <f t="shared" si="478"/>
        <v>JR F - PER-&gt;JR F - COL 2</v>
      </c>
      <c r="AZ659" s="148" t="str">
        <f t="shared" si="479"/>
        <v>11/22/2017 19:40-&gt;JR F - PER</v>
      </c>
      <c r="BA659" s="148" t="str">
        <f t="shared" si="480"/>
        <v>11/22/2017 19:40-&gt;JR F - COL 2</v>
      </c>
      <c r="BB659" s="374">
        <f t="shared" si="481"/>
        <v>1</v>
      </c>
      <c r="BC659" s="374">
        <f t="shared" si="482"/>
        <v>1</v>
      </c>
      <c r="BD659" s="148" t="str">
        <f t="shared" si="483"/>
        <v>no conflict</v>
      </c>
      <c r="BF659" s="148" t="str">
        <f t="shared" si="484"/>
        <v>11/22/2017 19:40-&gt;JR F - PER</v>
      </c>
      <c r="BG659" s="148" t="str">
        <f t="shared" si="485"/>
        <v>11/22/2017 19:40-&gt;JR F - COL 2</v>
      </c>
      <c r="BH659" s="148" t="str">
        <f t="shared" si="486"/>
        <v>11/22/2017 19:40-&gt;JCC Back Field 2</v>
      </c>
      <c r="BI659" s="148" t="str">
        <f t="shared" si="487"/>
        <v>Soccer in JCC Back Field 2 (PER-COL2)</v>
      </c>
      <c r="BJ659" s="148" t="str">
        <f t="shared" si="488"/>
        <v>Junior Female Mini Soccer-- JR F - PER vs. JR F - COL 2</v>
      </c>
      <c r="BK659" s="148" t="str">
        <f t="shared" si="489"/>
        <v>Soccer</v>
      </c>
      <c r="BL659" s="148" t="str">
        <f t="shared" si="490"/>
        <v>JR F - PER</v>
      </c>
      <c r="BM659" s="148" t="str">
        <f t="shared" si="491"/>
        <v>JR F - COL 2</v>
      </c>
      <c r="BN659" s="148" t="str">
        <f t="shared" si="492"/>
        <v>Round - 1</v>
      </c>
      <c r="BP659" s="148" t="str">
        <f t="shared" si="493"/>
        <v>no t, f, or sf</v>
      </c>
      <c r="BQ659" s="148" t="str">
        <f t="shared" si="494"/>
        <v/>
      </c>
    </row>
    <row r="660" spans="1:69" ht="15" customHeight="1" x14ac:dyDescent="0.2">
      <c r="A660" s="376">
        <v>658</v>
      </c>
      <c r="B660" s="433" t="s">
        <v>67</v>
      </c>
      <c r="C660" s="444" t="s">
        <v>518</v>
      </c>
      <c r="D660" s="451">
        <v>1</v>
      </c>
      <c r="E660" s="451">
        <v>1</v>
      </c>
      <c r="F660" s="315" t="s">
        <v>770</v>
      </c>
      <c r="G660" s="445">
        <v>43062</v>
      </c>
      <c r="H660" s="317">
        <v>0.4375</v>
      </c>
      <c r="I660" s="325" t="s">
        <v>770</v>
      </c>
      <c r="J660" s="443" t="s">
        <v>694</v>
      </c>
      <c r="K660" s="444">
        <v>63</v>
      </c>
      <c r="L660" t="s">
        <v>669</v>
      </c>
      <c r="M660">
        <v>63</v>
      </c>
      <c r="N660" t="s">
        <v>776</v>
      </c>
      <c r="O660" s="153" t="str">
        <f>IF(L660&lt;&gt;"",IFERROR(VLOOKUP(B660&amp;L660,Pools!$A$2:$D$130,3,FALSE),""),"")</f>
        <v/>
      </c>
      <c r="P660" s="388">
        <v>1</v>
      </c>
      <c r="Q660" s="388">
        <v>5</v>
      </c>
      <c r="R660" s="306" t="str">
        <f t="shared" si="450"/>
        <v>1-5</v>
      </c>
      <c r="S660" s="153"/>
      <c r="T660" s="148" t="str">
        <f t="shared" si="451"/>
        <v>Completed</v>
      </c>
      <c r="U660" s="153"/>
      <c r="V660" s="153"/>
      <c r="W660" s="387">
        <f t="shared" si="452"/>
        <v>-3</v>
      </c>
      <c r="X660" s="387">
        <f t="shared" si="453"/>
        <v>3</v>
      </c>
      <c r="Y660" s="301">
        <f t="shared" si="454"/>
        <v>0</v>
      </c>
      <c r="Z660" s="301">
        <f t="shared" si="455"/>
        <v>2</v>
      </c>
      <c r="AA660" s="323" t="str">
        <f>CONCATENATE("                x[team1,team2,sport,'",IF(OR(I660="x",I660=""),VLOOKUP('Schedule from TM'!J661,Tables!$P$3:$Q$33,2,FALSE),'Schedule from TM'!I661),",",J660,"','",IF(OR(F660="x",F660=""),VLOOKUP('Schedule from TM'!G661,Tables!$U$3:$V$14,2,FALSE),'Schedule from TM'!F661),",",TEXT(G660,"mm/dd/yyyy"),"','",TEXT(H660,"h:mm:ss AM/PM"),"'].ub=0.0      #",B660)</f>
        <v xml:space="preserve">                x[team1,team2,sport,'11,JCC Back Field 4','11,11/23/2017','10:30:00 AM'].ub=0.0      #Junior Female Mini Soccer</v>
      </c>
      <c r="AB660" s="301" t="str">
        <f t="shared" si="456"/>
        <v>,,Junior Female Mini Soccer,,1,JR F - VEN 2</v>
      </c>
      <c r="AC660" s="153" t="str">
        <f t="shared" si="457"/>
        <v>Junior Female Mini SoccerJR F - VEN 2</v>
      </c>
      <c r="AD660" s="301" t="str">
        <f t="shared" si="458"/>
        <v>,,Junior Female Mini Soccer,,1,JR F - USA 3</v>
      </c>
      <c r="AE660" s="153" t="str">
        <f t="shared" si="459"/>
        <v>Junior Female Mini SoccerJR F - USA 3</v>
      </c>
      <c r="AF660" s="383">
        <f t="shared" si="460"/>
        <v>0</v>
      </c>
      <c r="AG660" s="383">
        <f t="shared" si="461"/>
        <v>1</v>
      </c>
      <c r="AH660" s="383">
        <f t="shared" si="462"/>
        <v>0</v>
      </c>
      <c r="AI660" s="383">
        <f t="shared" si="463"/>
        <v>1</v>
      </c>
      <c r="AJ660" s="383">
        <f t="shared" si="464"/>
        <v>0</v>
      </c>
      <c r="AK660" s="383">
        <f t="shared" si="465"/>
        <v>0</v>
      </c>
      <c r="AM660" s="148" t="str">
        <f t="shared" si="466"/>
        <v>Schedulled</v>
      </c>
      <c r="AN660" s="148" t="str">
        <f t="shared" si="467"/>
        <v/>
      </c>
      <c r="AO660" s="156">
        <f t="shared" si="468"/>
        <v>43062.4375</v>
      </c>
      <c r="AP660" s="148" t="str">
        <f t="shared" si="469"/>
        <v>11/23/2017 10:30-&gt;JCC Back Field 4</v>
      </c>
      <c r="AQ660" s="374">
        <f t="shared" si="470"/>
        <v>1</v>
      </c>
      <c r="AR660" s="148" t="str">
        <f t="shared" si="471"/>
        <v>VEN2</v>
      </c>
      <c r="AS660" s="148" t="str">
        <f t="shared" si="472"/>
        <v>USA3</v>
      </c>
      <c r="AT660" s="157" t="str">
        <f t="shared" si="473"/>
        <v>VEN2-USA3</v>
      </c>
      <c r="AU660" s="157" t="str">
        <f t="shared" si="474"/>
        <v xml:space="preserve">VEN2-USA3 </v>
      </c>
      <c r="AV660" s="157" t="str">
        <f t="shared" si="475"/>
        <v>JUNIORS FEMALE</v>
      </c>
      <c r="AW660" s="157" t="str">
        <f t="shared" si="476"/>
        <v>Soccer</v>
      </c>
      <c r="AX660" s="376">
        <f t="shared" si="477"/>
        <v>658</v>
      </c>
      <c r="AY660" s="148" t="str">
        <f t="shared" si="478"/>
        <v>JR F - VEN 2-&gt;JR F - USA 3</v>
      </c>
      <c r="AZ660" s="148" t="str">
        <f t="shared" si="479"/>
        <v>11/23/2017 10:30-&gt;JR F - VEN 2</v>
      </c>
      <c r="BA660" s="148" t="str">
        <f t="shared" si="480"/>
        <v>11/23/2017 10:30-&gt;JR F - USA 3</v>
      </c>
      <c r="BB660" s="374">
        <f t="shared" si="481"/>
        <v>1</v>
      </c>
      <c r="BC660" s="374">
        <f t="shared" si="482"/>
        <v>1</v>
      </c>
      <c r="BD660" s="148" t="str">
        <f t="shared" si="483"/>
        <v>no conflict</v>
      </c>
      <c r="BF660" s="148" t="str">
        <f t="shared" si="484"/>
        <v>11/23/2017 10:30-&gt;JR F - VEN 2</v>
      </c>
      <c r="BG660" s="148" t="str">
        <f t="shared" si="485"/>
        <v>11/23/2017 10:30-&gt;JR F - USA 3</v>
      </c>
      <c r="BH660" s="148" t="str">
        <f t="shared" si="486"/>
        <v>11/23/2017 10:30-&gt;JCC Back Field 4</v>
      </c>
      <c r="BI660" s="148" t="str">
        <f t="shared" si="487"/>
        <v>Soccer in JCC Back Field 4 (VEN2-USA3)</v>
      </c>
      <c r="BJ660" s="148" t="str">
        <f t="shared" si="488"/>
        <v>Junior Female Mini Soccer-- JR F - VEN 2 vs. JR F - USA 3</v>
      </c>
      <c r="BK660" s="148" t="str">
        <f t="shared" si="489"/>
        <v>Soccer</v>
      </c>
      <c r="BL660" s="148" t="str">
        <f t="shared" si="490"/>
        <v>JR F - VEN 2</v>
      </c>
      <c r="BM660" s="148" t="str">
        <f t="shared" si="491"/>
        <v>JR F - USA 3</v>
      </c>
      <c r="BN660" s="148" t="str">
        <f t="shared" si="492"/>
        <v>Round - 1</v>
      </c>
      <c r="BP660" s="148" t="str">
        <f t="shared" si="493"/>
        <v>no t, f, or sf</v>
      </c>
      <c r="BQ660" s="148" t="str">
        <f t="shared" si="494"/>
        <v/>
      </c>
    </row>
    <row r="661" spans="1:69" ht="15" customHeight="1" x14ac:dyDescent="0.2">
      <c r="A661" s="376">
        <v>659</v>
      </c>
      <c r="B661" s="121" t="s">
        <v>67</v>
      </c>
      <c r="C661" s="121" t="s">
        <v>518</v>
      </c>
      <c r="D661" s="382">
        <v>1</v>
      </c>
      <c r="E661" s="382">
        <v>1</v>
      </c>
      <c r="F661" s="315" t="s">
        <v>770</v>
      </c>
      <c r="G661" s="206">
        <v>43062</v>
      </c>
      <c r="H661" s="317">
        <v>0.47222222222222227</v>
      </c>
      <c r="I661" s="325" t="s">
        <v>770</v>
      </c>
      <c r="J661" s="121" t="s">
        <v>694</v>
      </c>
      <c r="K661" s="121">
        <v>63</v>
      </c>
      <c r="L661" s="433" t="s">
        <v>660</v>
      </c>
      <c r="M661" s="433">
        <v>63</v>
      </c>
      <c r="N661" s="433" t="s">
        <v>667</v>
      </c>
      <c r="O661" s="153" t="str">
        <f>IF(L661&lt;&gt;"",IFERROR(VLOOKUP(B661&amp;L661,Pools!$A$2:$D$130,3,FALSE),""),"")</f>
        <v/>
      </c>
      <c r="P661" s="388">
        <v>0</v>
      </c>
      <c r="Q661" s="388">
        <v>1</v>
      </c>
      <c r="R661" s="306" t="str">
        <f t="shared" si="450"/>
        <v>0-1</v>
      </c>
      <c r="S661" s="153"/>
      <c r="T661" s="148" t="str">
        <f t="shared" si="451"/>
        <v>Completed</v>
      </c>
      <c r="U661" s="153"/>
      <c r="V661" s="153"/>
      <c r="W661" s="387">
        <f t="shared" si="452"/>
        <v>-1</v>
      </c>
      <c r="X661" s="387">
        <f t="shared" si="453"/>
        <v>1</v>
      </c>
      <c r="Y661" s="301">
        <f t="shared" si="454"/>
        <v>0</v>
      </c>
      <c r="Z661" s="301">
        <f t="shared" si="455"/>
        <v>2</v>
      </c>
      <c r="AA661" s="323" t="str">
        <f>CONCATENATE("                x[team1,team2,sport,'",IF(OR(I661="x",I661=""),VLOOKUP('Schedule from TM'!J662,Tables!$P$3:$Q$33,2,FALSE),'Schedule from TM'!I662),",",J661,"','",IF(OR(F661="x",F661=""),VLOOKUP('Schedule from TM'!G662,Tables!$U$3:$V$14,2,FALSE),'Schedule from TM'!F662),",",TEXT(G661,"mm/dd/yyyy"),"','",TEXT(H661,"h:mm:ss AM/PM"),"'].ub=0.0      #",B661)</f>
        <v xml:space="preserve">                x[team1,team2,sport,'11,JCC Back Field 4','11,11/23/2017','11:20:00 AM'].ub=0.0      #Junior Female Mini Soccer</v>
      </c>
      <c r="AB661" s="301" t="str">
        <f t="shared" si="456"/>
        <v>,,Junior Female Mini Soccer,,1,JR F - COL 2</v>
      </c>
      <c r="AC661" s="153" t="str">
        <f t="shared" si="457"/>
        <v>Junior Female Mini SoccerJR F - COL 2</v>
      </c>
      <c r="AD661" s="301" t="str">
        <f t="shared" si="458"/>
        <v>,,Junior Female Mini Soccer,,1,JR F - USA 2</v>
      </c>
      <c r="AE661" s="153" t="str">
        <f t="shared" si="459"/>
        <v>Junior Female Mini SoccerJR F - USA 2</v>
      </c>
      <c r="AF661" s="383">
        <f t="shared" si="460"/>
        <v>0</v>
      </c>
      <c r="AG661" s="383">
        <f t="shared" si="461"/>
        <v>1</v>
      </c>
      <c r="AH661" s="383">
        <f t="shared" si="462"/>
        <v>0</v>
      </c>
      <c r="AI661" s="383">
        <f t="shared" si="463"/>
        <v>1</v>
      </c>
      <c r="AJ661" s="383">
        <f t="shared" si="464"/>
        <v>0</v>
      </c>
      <c r="AK661" s="383">
        <f t="shared" si="465"/>
        <v>0</v>
      </c>
      <c r="AM661" s="148" t="str">
        <f t="shared" si="466"/>
        <v>Schedulled</v>
      </c>
      <c r="AN661" s="148" t="str">
        <f t="shared" si="467"/>
        <v/>
      </c>
      <c r="AO661" s="156">
        <f t="shared" si="468"/>
        <v>43062.472222222219</v>
      </c>
      <c r="AP661" s="148" t="str">
        <f t="shared" si="469"/>
        <v>11/23/2017 11:20-&gt;JCC Back Field 4</v>
      </c>
      <c r="AQ661" s="374">
        <f t="shared" si="470"/>
        <v>1</v>
      </c>
      <c r="AR661" s="148" t="str">
        <f t="shared" si="471"/>
        <v>COL2</v>
      </c>
      <c r="AS661" s="148" t="str">
        <f t="shared" si="472"/>
        <v>USA2</v>
      </c>
      <c r="AT661" s="157" t="str">
        <f t="shared" si="473"/>
        <v>COL2-USA2</v>
      </c>
      <c r="AU661" s="157" t="str">
        <f t="shared" si="474"/>
        <v xml:space="preserve">COL2-USA2 </v>
      </c>
      <c r="AV661" s="157" t="str">
        <f t="shared" si="475"/>
        <v>JUNIORS FEMALE</v>
      </c>
      <c r="AW661" s="157" t="str">
        <f t="shared" si="476"/>
        <v>Soccer</v>
      </c>
      <c r="AX661" s="376">
        <f t="shared" si="477"/>
        <v>659</v>
      </c>
      <c r="AY661" s="148" t="str">
        <f t="shared" si="478"/>
        <v>JR F - COL 2-&gt;JR F - USA 2</v>
      </c>
      <c r="AZ661" s="148" t="str">
        <f t="shared" si="479"/>
        <v>11/23/2017 11:20-&gt;JR F - COL 2</v>
      </c>
      <c r="BA661" s="148" t="str">
        <f t="shared" si="480"/>
        <v>11/23/2017 11:20-&gt;JR F - USA 2</v>
      </c>
      <c r="BB661" s="374">
        <f t="shared" si="481"/>
        <v>1</v>
      </c>
      <c r="BC661" s="374">
        <f t="shared" si="482"/>
        <v>1</v>
      </c>
      <c r="BD661" s="148" t="str">
        <f t="shared" si="483"/>
        <v>no conflict</v>
      </c>
      <c r="BF661" s="148" t="str">
        <f t="shared" si="484"/>
        <v>11/23/2017 11:20-&gt;JR F - COL 2</v>
      </c>
      <c r="BG661" s="148" t="str">
        <f t="shared" si="485"/>
        <v>11/23/2017 11:20-&gt;JR F - USA 2</v>
      </c>
      <c r="BH661" s="148" t="str">
        <f t="shared" si="486"/>
        <v>11/23/2017 11:20-&gt;JCC Back Field 4</v>
      </c>
      <c r="BI661" s="148" t="str">
        <f t="shared" si="487"/>
        <v>Soccer in JCC Back Field 4 (COL2-USA2)</v>
      </c>
      <c r="BJ661" s="148" t="str">
        <f t="shared" si="488"/>
        <v>Junior Female Mini Soccer-- JR F - COL 2 vs. JR F - USA 2</v>
      </c>
      <c r="BK661" s="148" t="str">
        <f t="shared" si="489"/>
        <v>Soccer</v>
      </c>
      <c r="BL661" s="148" t="str">
        <f t="shared" si="490"/>
        <v>JR F - COL 2</v>
      </c>
      <c r="BM661" s="148" t="str">
        <f t="shared" si="491"/>
        <v>JR F - USA 2</v>
      </c>
      <c r="BN661" s="148" t="str">
        <f t="shared" si="492"/>
        <v>Round - 1</v>
      </c>
      <c r="BP661" s="148" t="str">
        <f t="shared" si="493"/>
        <v>no t, f, or sf</v>
      </c>
      <c r="BQ661" s="148" t="str">
        <f t="shared" si="494"/>
        <v/>
      </c>
    </row>
    <row r="662" spans="1:69" ht="15" customHeight="1" x14ac:dyDescent="0.2">
      <c r="A662" s="376">
        <v>660</v>
      </c>
      <c r="B662" s="121" t="s">
        <v>67</v>
      </c>
      <c r="C662" s="121" t="s">
        <v>518</v>
      </c>
      <c r="D662" s="382">
        <v>1</v>
      </c>
      <c r="E662" s="382">
        <v>1</v>
      </c>
      <c r="F662" s="315" t="s">
        <v>770</v>
      </c>
      <c r="G662" s="206">
        <v>43062</v>
      </c>
      <c r="H662" s="317">
        <v>0.50694444444444442</v>
      </c>
      <c r="I662" s="325" t="s">
        <v>770</v>
      </c>
      <c r="J662" s="121" t="s">
        <v>692</v>
      </c>
      <c r="K662" s="121">
        <v>63</v>
      </c>
      <c r="L662" t="s">
        <v>664</v>
      </c>
      <c r="M662">
        <v>63</v>
      </c>
      <c r="N662" t="s">
        <v>668</v>
      </c>
      <c r="O662" s="153" t="str">
        <f>IF(L662&lt;&gt;"",IFERROR(VLOOKUP(B662&amp;L662,Pools!$A$2:$D$130,3,FALSE),""),"")</f>
        <v/>
      </c>
      <c r="P662" s="388">
        <v>4</v>
      </c>
      <c r="Q662" s="388">
        <v>1</v>
      </c>
      <c r="R662" s="306" t="str">
        <f t="shared" si="450"/>
        <v>4-1</v>
      </c>
      <c r="S662" s="153"/>
      <c r="T662" s="148" t="str">
        <f t="shared" si="451"/>
        <v>Completed</v>
      </c>
      <c r="U662" s="153"/>
      <c r="V662" s="153"/>
      <c r="W662" s="387">
        <f t="shared" si="452"/>
        <v>3</v>
      </c>
      <c r="X662" s="387">
        <f t="shared" si="453"/>
        <v>-3</v>
      </c>
      <c r="Y662" s="301">
        <f t="shared" si="454"/>
        <v>2</v>
      </c>
      <c r="Z662" s="301">
        <f t="shared" si="455"/>
        <v>0</v>
      </c>
      <c r="AA662" s="323" t="str">
        <f>CONCATENATE("                x[team1,team2,sport,'",IF(OR(I662="x",I662=""),VLOOKUP('Schedule from TM'!J663,Tables!$P$3:$Q$33,2,FALSE),'Schedule from TM'!I663),",",J662,"','",IF(OR(F662="x",F662=""),VLOOKUP('Schedule from TM'!G663,Tables!$U$3:$V$14,2,FALSE),'Schedule from TM'!F663),",",TEXT(G662,"mm/dd/yyyy"),"','",TEXT(H662,"h:mm:ss AM/PM"),"'].ub=0.0      #",B662)</f>
        <v xml:space="preserve">                x[team1,team2,sport,'11,JCC Back Field 3','11,11/23/2017','12:10:00 PM'].ub=0.0      #Junior Female Mini Soccer</v>
      </c>
      <c r="AB662" s="301" t="str">
        <f t="shared" si="456"/>
        <v>,,Junior Female Mini Soccer,,1,JR F - PER</v>
      </c>
      <c r="AC662" s="153" t="str">
        <f t="shared" si="457"/>
        <v>Junior Female Mini SoccerJR F - PER</v>
      </c>
      <c r="AD662" s="301" t="str">
        <f t="shared" si="458"/>
        <v>,,Junior Female Mini Soccer,,1,JR F - VEN 1</v>
      </c>
      <c r="AE662" s="153" t="str">
        <f t="shared" si="459"/>
        <v>Junior Female Mini SoccerJR F - VEN 1</v>
      </c>
      <c r="AF662" s="383">
        <f t="shared" si="460"/>
        <v>1</v>
      </c>
      <c r="AG662" s="383">
        <f t="shared" si="461"/>
        <v>0</v>
      </c>
      <c r="AH662" s="383">
        <f t="shared" si="462"/>
        <v>0</v>
      </c>
      <c r="AI662" s="383">
        <f t="shared" si="463"/>
        <v>0</v>
      </c>
      <c r="AJ662" s="383">
        <f t="shared" si="464"/>
        <v>1</v>
      </c>
      <c r="AK662" s="383">
        <f t="shared" si="465"/>
        <v>0</v>
      </c>
      <c r="AM662" s="148" t="str">
        <f t="shared" si="466"/>
        <v>Schedulled</v>
      </c>
      <c r="AN662" s="148" t="str">
        <f t="shared" si="467"/>
        <v/>
      </c>
      <c r="AO662" s="156">
        <f t="shared" si="468"/>
        <v>43062.506944444445</v>
      </c>
      <c r="AP662" s="148" t="str">
        <f t="shared" si="469"/>
        <v>11/23/2017 12:10-&gt;JCC Back Field 3</v>
      </c>
      <c r="AQ662" s="374">
        <f t="shared" si="470"/>
        <v>1</v>
      </c>
      <c r="AR662" s="148" t="str">
        <f t="shared" si="471"/>
        <v>PER</v>
      </c>
      <c r="AS662" s="148" t="str">
        <f t="shared" si="472"/>
        <v>VEN1</v>
      </c>
      <c r="AT662" s="157" t="str">
        <f t="shared" si="473"/>
        <v>PER-VEN1</v>
      </c>
      <c r="AU662" s="157" t="str">
        <f t="shared" si="474"/>
        <v xml:space="preserve">PER-VEN1 </v>
      </c>
      <c r="AV662" s="157" t="str">
        <f t="shared" si="475"/>
        <v>JUNIORS FEMALE</v>
      </c>
      <c r="AW662" s="157" t="str">
        <f t="shared" si="476"/>
        <v>Soccer</v>
      </c>
      <c r="AX662" s="376">
        <f t="shared" si="477"/>
        <v>660</v>
      </c>
      <c r="AY662" s="148" t="str">
        <f t="shared" si="478"/>
        <v>JR F - PER-&gt;JR F - VEN 1</v>
      </c>
      <c r="AZ662" s="148" t="str">
        <f t="shared" si="479"/>
        <v>11/23/2017 12:10-&gt;JR F - PER</v>
      </c>
      <c r="BA662" s="148" t="str">
        <f t="shared" si="480"/>
        <v>11/23/2017 12:10-&gt;JR F - VEN 1</v>
      </c>
      <c r="BB662" s="374">
        <f t="shared" si="481"/>
        <v>1</v>
      </c>
      <c r="BC662" s="374">
        <f t="shared" si="482"/>
        <v>1</v>
      </c>
      <c r="BD662" s="148" t="str">
        <f t="shared" si="483"/>
        <v>no conflict</v>
      </c>
      <c r="BF662" s="148" t="str">
        <f t="shared" si="484"/>
        <v>11/23/2017 12:10-&gt;JR F - PER</v>
      </c>
      <c r="BG662" s="148" t="str">
        <f t="shared" si="485"/>
        <v>11/23/2017 12:10-&gt;JR F - VEN 1</v>
      </c>
      <c r="BH662" s="148" t="str">
        <f t="shared" si="486"/>
        <v>11/23/2017 12:10-&gt;JCC Back Field 3</v>
      </c>
      <c r="BI662" s="148" t="str">
        <f t="shared" si="487"/>
        <v>Soccer in JCC Back Field 3 (PER-VEN1)</v>
      </c>
      <c r="BJ662" s="148" t="str">
        <f t="shared" si="488"/>
        <v>Junior Female Mini Soccer-- JR F - PER vs. JR F - VEN 1</v>
      </c>
      <c r="BK662" s="148" t="str">
        <f t="shared" si="489"/>
        <v>Soccer</v>
      </c>
      <c r="BL662" s="148" t="str">
        <f t="shared" si="490"/>
        <v>JR F - PER</v>
      </c>
      <c r="BM662" s="148" t="str">
        <f t="shared" si="491"/>
        <v>JR F - VEN 1</v>
      </c>
      <c r="BN662" s="148" t="str">
        <f t="shared" si="492"/>
        <v>Round - 1</v>
      </c>
      <c r="BP662" s="148" t="str">
        <f t="shared" si="493"/>
        <v>no t, f, or sf</v>
      </c>
      <c r="BQ662" s="148" t="str">
        <f t="shared" si="494"/>
        <v/>
      </c>
    </row>
    <row r="663" spans="1:69" ht="16" x14ac:dyDescent="0.2">
      <c r="A663" s="376">
        <v>661</v>
      </c>
      <c r="B663" s="433" t="s">
        <v>67</v>
      </c>
      <c r="C663" s="315" t="s">
        <v>518</v>
      </c>
      <c r="D663" s="378">
        <v>1</v>
      </c>
      <c r="E663" s="378">
        <v>1</v>
      </c>
      <c r="F663" s="315" t="s">
        <v>770</v>
      </c>
      <c r="G663" s="316">
        <v>43062</v>
      </c>
      <c r="H663" s="317">
        <v>0.64583333333333337</v>
      </c>
      <c r="I663" s="325" t="s">
        <v>770</v>
      </c>
      <c r="J663" s="315" t="s">
        <v>694</v>
      </c>
      <c r="K663" s="444">
        <v>63</v>
      </c>
      <c r="L663" s="433" t="s">
        <v>659</v>
      </c>
      <c r="M663" s="433">
        <v>63</v>
      </c>
      <c r="N663" s="433" t="s">
        <v>664</v>
      </c>
      <c r="O663" s="153" t="str">
        <f>IF(L663&lt;&gt;"",IFERROR(VLOOKUP(B663&amp;L663,Pools!$A$2:$D$130,3,FALSE),""),"")</f>
        <v/>
      </c>
      <c r="P663" s="388">
        <v>1</v>
      </c>
      <c r="Q663" s="388">
        <v>2</v>
      </c>
      <c r="R663" s="306" t="str">
        <f t="shared" si="450"/>
        <v>1-2</v>
      </c>
      <c r="S663" s="153"/>
      <c r="T663" s="148" t="str">
        <f t="shared" si="451"/>
        <v>Completed</v>
      </c>
      <c r="U663" s="153"/>
      <c r="V663" s="153"/>
      <c r="W663" s="387">
        <f t="shared" si="452"/>
        <v>-1</v>
      </c>
      <c r="X663" s="387">
        <f t="shared" si="453"/>
        <v>1</v>
      </c>
      <c r="Y663" s="301">
        <f t="shared" si="454"/>
        <v>0</v>
      </c>
      <c r="Z663" s="301">
        <f t="shared" si="455"/>
        <v>2</v>
      </c>
      <c r="AA663" s="323" t="str">
        <f>CONCATENATE("                x[team1,team2,sport,'",IF(OR(I663="x",I663=""),VLOOKUP('Schedule from TM'!J664,Tables!$P$3:$Q$33,2,FALSE),'Schedule from TM'!I664),",",J663,"','",IF(OR(F663="x",F663=""),VLOOKUP('Schedule from TM'!G664,Tables!$U$3:$V$14,2,FALSE),'Schedule from TM'!F664),",",TEXT(G663,"mm/dd/yyyy"),"','",TEXT(H663,"h:mm:ss AM/PM"),"'].ub=0.0      #",B663)</f>
        <v xml:space="preserve">                x[team1,team2,sport,'11,JCC Back Field 4','11,11/23/2017','3:30:00 PM'].ub=0.0      #Junior Female Mini Soccer</v>
      </c>
      <c r="AB663" s="301" t="str">
        <f t="shared" si="456"/>
        <v>,,Junior Female Mini Soccer,,1,JR F - ARG 1</v>
      </c>
      <c r="AC663" s="153" t="str">
        <f t="shared" si="457"/>
        <v>Junior Female Mini SoccerJR F - ARG 1</v>
      </c>
      <c r="AD663" s="301" t="str">
        <f t="shared" si="458"/>
        <v>,,Junior Female Mini Soccer,,1,JR F - PER</v>
      </c>
      <c r="AE663" s="153" t="str">
        <f t="shared" si="459"/>
        <v>Junior Female Mini SoccerJR F - PER</v>
      </c>
      <c r="AF663" s="383">
        <f t="shared" si="460"/>
        <v>0</v>
      </c>
      <c r="AG663" s="383">
        <f t="shared" si="461"/>
        <v>1</v>
      </c>
      <c r="AH663" s="383">
        <f t="shared" si="462"/>
        <v>0</v>
      </c>
      <c r="AI663" s="383">
        <f t="shared" si="463"/>
        <v>1</v>
      </c>
      <c r="AJ663" s="383">
        <f t="shared" si="464"/>
        <v>0</v>
      </c>
      <c r="AK663" s="383">
        <f t="shared" si="465"/>
        <v>0</v>
      </c>
      <c r="AM663" s="148" t="str">
        <f t="shared" si="466"/>
        <v>Schedulled</v>
      </c>
      <c r="AN663" s="148" t="str">
        <f t="shared" si="467"/>
        <v/>
      </c>
      <c r="AO663" s="156">
        <f t="shared" si="468"/>
        <v>43062.645833333336</v>
      </c>
      <c r="AP663" s="148" t="str">
        <f t="shared" si="469"/>
        <v>11/23/2017 15:30-&gt;JCC Back Field 4</v>
      </c>
      <c r="AQ663" s="374">
        <f t="shared" si="470"/>
        <v>1</v>
      </c>
      <c r="AR663" s="148" t="str">
        <f t="shared" si="471"/>
        <v>ARG1</v>
      </c>
      <c r="AS663" s="148" t="str">
        <f t="shared" si="472"/>
        <v>PER</v>
      </c>
      <c r="AT663" s="157" t="str">
        <f t="shared" si="473"/>
        <v>ARG1-PER</v>
      </c>
      <c r="AU663" s="157" t="str">
        <f t="shared" si="474"/>
        <v xml:space="preserve">ARG1-PER </v>
      </c>
      <c r="AV663" s="157" t="str">
        <f t="shared" si="475"/>
        <v>JUNIORS FEMALE</v>
      </c>
      <c r="AW663" s="157" t="str">
        <f t="shared" si="476"/>
        <v>Soccer</v>
      </c>
      <c r="AX663" s="376">
        <f t="shared" si="477"/>
        <v>661</v>
      </c>
      <c r="AY663" s="148" t="str">
        <f t="shared" si="478"/>
        <v>JR F - ARG 1-&gt;JR F - PER</v>
      </c>
      <c r="AZ663" s="148" t="str">
        <f t="shared" si="479"/>
        <v>11/23/2017 15:30-&gt;JR F - ARG 1</v>
      </c>
      <c r="BA663" s="148" t="str">
        <f t="shared" si="480"/>
        <v>11/23/2017 15:30-&gt;JR F - PER</v>
      </c>
      <c r="BB663" s="374">
        <f t="shared" si="481"/>
        <v>1</v>
      </c>
      <c r="BC663" s="374">
        <f t="shared" si="482"/>
        <v>1</v>
      </c>
      <c r="BD663" s="148" t="str">
        <f t="shared" si="483"/>
        <v>no conflict</v>
      </c>
      <c r="BF663" s="148" t="str">
        <f t="shared" si="484"/>
        <v>11/23/2017 15:30-&gt;JR F - ARG 1</v>
      </c>
      <c r="BG663" s="148" t="str">
        <f t="shared" si="485"/>
        <v>11/23/2017 15:30-&gt;JR F - PER</v>
      </c>
      <c r="BH663" s="148" t="str">
        <f t="shared" si="486"/>
        <v>11/23/2017 15:30-&gt;JCC Back Field 4</v>
      </c>
      <c r="BI663" s="148" t="str">
        <f t="shared" si="487"/>
        <v>Soccer in JCC Back Field 4 (ARG1-PER)</v>
      </c>
      <c r="BJ663" s="148" t="str">
        <f t="shared" si="488"/>
        <v>Junior Female Mini Soccer-- JR F - ARG 1 vs. JR F - PER</v>
      </c>
      <c r="BK663" s="148" t="str">
        <f t="shared" si="489"/>
        <v>Soccer</v>
      </c>
      <c r="BL663" s="148" t="str">
        <f t="shared" si="490"/>
        <v>JR F - ARG 1</v>
      </c>
      <c r="BM663" s="148" t="str">
        <f t="shared" si="491"/>
        <v>JR F - PER</v>
      </c>
      <c r="BN663" s="148" t="str">
        <f t="shared" si="492"/>
        <v>Round - 1</v>
      </c>
      <c r="BP663" s="148" t="str">
        <f t="shared" si="493"/>
        <v>no t, f, or sf</v>
      </c>
      <c r="BQ663" s="148" t="str">
        <f t="shared" si="494"/>
        <v/>
      </c>
    </row>
    <row r="664" spans="1:69" ht="16" x14ac:dyDescent="0.2">
      <c r="A664" s="376">
        <v>662</v>
      </c>
      <c r="B664" s="121" t="s">
        <v>67</v>
      </c>
      <c r="C664" s="121" t="s">
        <v>518</v>
      </c>
      <c r="D664" s="382">
        <v>1</v>
      </c>
      <c r="E664" s="382">
        <v>1</v>
      </c>
      <c r="F664" s="315" t="s">
        <v>770</v>
      </c>
      <c r="G664" s="206">
        <v>43062</v>
      </c>
      <c r="H664" s="317">
        <v>0.64583333333333337</v>
      </c>
      <c r="I664" s="325" t="s">
        <v>770</v>
      </c>
      <c r="J664" s="121" t="s">
        <v>692</v>
      </c>
      <c r="K664" s="121">
        <v>63</v>
      </c>
      <c r="L664" s="433" t="s">
        <v>661</v>
      </c>
      <c r="M664" s="433">
        <v>63</v>
      </c>
      <c r="N664" s="433" t="s">
        <v>665</v>
      </c>
      <c r="O664" s="153" t="str">
        <f>IF(L664&lt;&gt;"",IFERROR(VLOOKUP(B664&amp;L664,Pools!$A$2:$D$130,3,FALSE),""),"")</f>
        <v/>
      </c>
      <c r="P664" s="388">
        <v>5</v>
      </c>
      <c r="Q664" s="388">
        <v>2</v>
      </c>
      <c r="R664" s="306" t="str">
        <f t="shared" si="450"/>
        <v>5-2</v>
      </c>
      <c r="S664" s="153"/>
      <c r="T664" s="148" t="str">
        <f t="shared" si="451"/>
        <v>Completed</v>
      </c>
      <c r="U664" s="153"/>
      <c r="V664" s="153"/>
      <c r="W664" s="387">
        <f t="shared" si="452"/>
        <v>3</v>
      </c>
      <c r="X664" s="387">
        <f t="shared" si="453"/>
        <v>-3</v>
      </c>
      <c r="Y664" s="301">
        <f t="shared" si="454"/>
        <v>2</v>
      </c>
      <c r="Z664" s="301">
        <f t="shared" si="455"/>
        <v>0</v>
      </c>
      <c r="AA664" s="323" t="str">
        <f>CONCATENATE("                x[team1,team2,sport,'",IF(OR(I664="x",I664=""),VLOOKUP('Schedule from TM'!J665,Tables!$P$3:$Q$33,2,FALSE),'Schedule from TM'!I665),",",J664,"','",IF(OR(F664="x",F664=""),VLOOKUP('Schedule from TM'!G665,Tables!$U$3:$V$14,2,FALSE),'Schedule from TM'!F665),",",TEXT(G664,"mm/dd/yyyy"),"','",TEXT(H664,"h:mm:ss AM/PM"),"'].ub=0.0      #",B664)</f>
        <v xml:space="preserve">                x[team1,team2,sport,'11,JCC Back Field 3','11,11/23/2017','3:30:00 PM'].ub=0.0      #Junior Female Mini Soccer</v>
      </c>
      <c r="AB664" s="301" t="str">
        <f t="shared" si="456"/>
        <v>,,Junior Female Mini Soccer,,1,JR F - ISR 1</v>
      </c>
      <c r="AC664" s="153" t="str">
        <f t="shared" si="457"/>
        <v>Junior Female Mini SoccerJR F - ISR 1</v>
      </c>
      <c r="AD664" s="301" t="str">
        <f t="shared" si="458"/>
        <v>,,Junior Female Mini Soccer,,1,JR F - USA 1</v>
      </c>
      <c r="AE664" s="153" t="str">
        <f t="shared" si="459"/>
        <v>Junior Female Mini SoccerJR F - USA 1</v>
      </c>
      <c r="AF664" s="383">
        <f t="shared" si="460"/>
        <v>1</v>
      </c>
      <c r="AG664" s="383">
        <f t="shared" si="461"/>
        <v>0</v>
      </c>
      <c r="AH664" s="383">
        <f t="shared" si="462"/>
        <v>0</v>
      </c>
      <c r="AI664" s="383">
        <f t="shared" si="463"/>
        <v>0</v>
      </c>
      <c r="AJ664" s="383">
        <f t="shared" si="464"/>
        <v>1</v>
      </c>
      <c r="AK664" s="383">
        <f t="shared" si="465"/>
        <v>0</v>
      </c>
      <c r="AM664" s="148" t="str">
        <f t="shared" si="466"/>
        <v>Schedulled</v>
      </c>
      <c r="AN664" s="148" t="str">
        <f t="shared" si="467"/>
        <v/>
      </c>
      <c r="AO664" s="156">
        <f t="shared" si="468"/>
        <v>43062.645833333336</v>
      </c>
      <c r="AP664" s="148" t="str">
        <f t="shared" si="469"/>
        <v>11/23/2017 15:30-&gt;JCC Back Field 3</v>
      </c>
      <c r="AQ664" s="374">
        <f t="shared" si="470"/>
        <v>1</v>
      </c>
      <c r="AR664" s="148" t="str">
        <f t="shared" si="471"/>
        <v>ISR1</v>
      </c>
      <c r="AS664" s="148" t="str">
        <f t="shared" si="472"/>
        <v>USA1</v>
      </c>
      <c r="AT664" s="157" t="str">
        <f t="shared" si="473"/>
        <v>ISR1-USA1</v>
      </c>
      <c r="AU664" s="157" t="str">
        <f t="shared" si="474"/>
        <v xml:space="preserve">ISR1-USA1 </v>
      </c>
      <c r="AV664" s="157" t="str">
        <f t="shared" si="475"/>
        <v>JUNIORS FEMALE</v>
      </c>
      <c r="AW664" s="157" t="str">
        <f t="shared" si="476"/>
        <v>Soccer</v>
      </c>
      <c r="AX664" s="376">
        <f t="shared" si="477"/>
        <v>662</v>
      </c>
      <c r="AY664" s="148" t="str">
        <f t="shared" si="478"/>
        <v>JR F - ISR 1-&gt;JR F - USA 1</v>
      </c>
      <c r="AZ664" s="148" t="str">
        <f t="shared" si="479"/>
        <v>11/23/2017 15:30-&gt;JR F - ISR 1</v>
      </c>
      <c r="BA664" s="148" t="str">
        <f t="shared" si="480"/>
        <v>11/23/2017 15:30-&gt;JR F - USA 1</v>
      </c>
      <c r="BB664" s="374">
        <f t="shared" si="481"/>
        <v>1</v>
      </c>
      <c r="BC664" s="374">
        <f t="shared" si="482"/>
        <v>1</v>
      </c>
      <c r="BD664" s="148" t="str">
        <f t="shared" si="483"/>
        <v>no conflict</v>
      </c>
      <c r="BF664" s="148" t="str">
        <f t="shared" si="484"/>
        <v>11/23/2017 15:30-&gt;JR F - ISR 1</v>
      </c>
      <c r="BG664" s="148" t="str">
        <f t="shared" si="485"/>
        <v>11/23/2017 15:30-&gt;JR F - USA 1</v>
      </c>
      <c r="BH664" s="148" t="str">
        <f t="shared" si="486"/>
        <v>11/23/2017 15:30-&gt;JCC Back Field 3</v>
      </c>
      <c r="BI664" s="148" t="str">
        <f t="shared" si="487"/>
        <v>Soccer in JCC Back Field 3 (ISR1-USA1)</v>
      </c>
      <c r="BJ664" s="148" t="str">
        <f t="shared" si="488"/>
        <v>Junior Female Mini Soccer-- JR F - ISR 1 vs. JR F - USA 1</v>
      </c>
      <c r="BK664" s="148" t="str">
        <f t="shared" si="489"/>
        <v>Soccer</v>
      </c>
      <c r="BL664" s="148" t="str">
        <f t="shared" si="490"/>
        <v>JR F - ISR 1</v>
      </c>
      <c r="BM664" s="148" t="str">
        <f t="shared" si="491"/>
        <v>JR F - USA 1</v>
      </c>
      <c r="BN664" s="148" t="str">
        <f t="shared" si="492"/>
        <v>Round - 1</v>
      </c>
      <c r="BP664" s="148" t="str">
        <f t="shared" si="493"/>
        <v>no t, f, or sf</v>
      </c>
      <c r="BQ664" s="148" t="str">
        <f t="shared" si="494"/>
        <v/>
      </c>
    </row>
    <row r="665" spans="1:69" ht="15" customHeight="1" x14ac:dyDescent="0.2">
      <c r="A665" s="376">
        <v>663</v>
      </c>
      <c r="B665" s="121" t="s">
        <v>67</v>
      </c>
      <c r="C665" s="121" t="s">
        <v>518</v>
      </c>
      <c r="D665" s="382">
        <v>1</v>
      </c>
      <c r="E665" s="382">
        <v>1</v>
      </c>
      <c r="F665" s="315" t="s">
        <v>770</v>
      </c>
      <c r="G665" s="206">
        <v>43063</v>
      </c>
      <c r="H665" s="417">
        <v>0.40277777777777773</v>
      </c>
      <c r="I665" s="325" t="s">
        <v>770</v>
      </c>
      <c r="J665" s="121" t="s">
        <v>693</v>
      </c>
      <c r="K665" s="121">
        <v>63</v>
      </c>
      <c r="L665" s="433" t="s">
        <v>660</v>
      </c>
      <c r="M665" s="433">
        <v>63</v>
      </c>
      <c r="N665" s="433" t="s">
        <v>666</v>
      </c>
      <c r="O665" s="153" t="str">
        <f>IF(L665&lt;&gt;"",IFERROR(VLOOKUP(B665&amp;L665,Pools!$A$2:$D$130,3,FALSE),""),"")</f>
        <v/>
      </c>
      <c r="P665" s="388">
        <v>0</v>
      </c>
      <c r="Q665" s="388">
        <v>1</v>
      </c>
      <c r="R665" s="306" t="str">
        <f t="shared" si="450"/>
        <v>0-1</v>
      </c>
      <c r="S665" s="153"/>
      <c r="T665" s="148" t="str">
        <f t="shared" si="451"/>
        <v>Completed</v>
      </c>
      <c r="U665" s="153"/>
      <c r="V665" s="153"/>
      <c r="W665" s="387">
        <f t="shared" si="452"/>
        <v>-1</v>
      </c>
      <c r="X665" s="387">
        <f t="shared" si="453"/>
        <v>1</v>
      </c>
      <c r="Y665" s="301">
        <f t="shared" si="454"/>
        <v>0</v>
      </c>
      <c r="Z665" s="301">
        <f t="shared" si="455"/>
        <v>2</v>
      </c>
      <c r="AA665" s="323" t="str">
        <f>CONCATENATE("                x[team1,team2,sport,'",IF(OR(I665="x",I665=""),VLOOKUP('Schedule from TM'!J666,Tables!$P$3:$Q$33,2,FALSE),'Schedule from TM'!I666),",",J665,"','",IF(OR(F665="x",F665=""),VLOOKUP('Schedule from TM'!G666,Tables!$U$3:$V$14,2,FALSE),'Schedule from TM'!F666),",",TEXT(G665,"mm/dd/yyyy"),"','",TEXT(H665,"h:mm:ss AM/PM"),"'].ub=0.0      #",B665)</f>
        <v xml:space="preserve">                x[team1,team2,sport,'11,JCC Back Field 2','11,11/24/2017','9:40:00 AM'].ub=0.0      #Junior Female Mini Soccer</v>
      </c>
      <c r="AB665" s="301" t="str">
        <f t="shared" si="456"/>
        <v>,,Junior Female Mini Soccer,,1,JR F - COL 2</v>
      </c>
      <c r="AC665" s="153" t="str">
        <f t="shared" si="457"/>
        <v>Junior Female Mini SoccerJR F - COL 2</v>
      </c>
      <c r="AD665" s="301" t="str">
        <f t="shared" si="458"/>
        <v>,,Junior Female Mini Soccer,,1,JR F - COL 1</v>
      </c>
      <c r="AE665" s="153" t="str">
        <f t="shared" si="459"/>
        <v>Junior Female Mini SoccerJR F - COL 1</v>
      </c>
      <c r="AF665" s="383">
        <f t="shared" si="460"/>
        <v>0</v>
      </c>
      <c r="AG665" s="383">
        <f t="shared" si="461"/>
        <v>1</v>
      </c>
      <c r="AH665" s="383">
        <f t="shared" si="462"/>
        <v>0</v>
      </c>
      <c r="AI665" s="383">
        <f t="shared" si="463"/>
        <v>1</v>
      </c>
      <c r="AJ665" s="383">
        <f t="shared" si="464"/>
        <v>0</v>
      </c>
      <c r="AK665" s="383">
        <f t="shared" si="465"/>
        <v>0</v>
      </c>
      <c r="AM665" s="148" t="str">
        <f t="shared" si="466"/>
        <v>Schedulled</v>
      </c>
      <c r="AN665" s="148" t="str">
        <f t="shared" si="467"/>
        <v/>
      </c>
      <c r="AO665" s="156">
        <f t="shared" si="468"/>
        <v>43063.402777777781</v>
      </c>
      <c r="AP665" s="148" t="str">
        <f t="shared" si="469"/>
        <v>11/24/2017 09:40-&gt;JCC Back Field 2</v>
      </c>
      <c r="AQ665" s="374">
        <f t="shared" si="470"/>
        <v>1</v>
      </c>
      <c r="AR665" s="148" t="str">
        <f t="shared" si="471"/>
        <v>COL2</v>
      </c>
      <c r="AS665" s="148" t="str">
        <f t="shared" si="472"/>
        <v>COL1</v>
      </c>
      <c r="AT665" s="157" t="str">
        <f t="shared" si="473"/>
        <v>COL2-COL1</v>
      </c>
      <c r="AU665" s="157" t="str">
        <f t="shared" si="474"/>
        <v xml:space="preserve">COL2-COL1 </v>
      </c>
      <c r="AV665" s="157" t="str">
        <f t="shared" si="475"/>
        <v>JUNIORS FEMALE</v>
      </c>
      <c r="AW665" s="157" t="str">
        <f t="shared" si="476"/>
        <v>Soccer</v>
      </c>
      <c r="AX665" s="376">
        <f t="shared" si="477"/>
        <v>663</v>
      </c>
      <c r="AY665" s="148" t="str">
        <f t="shared" si="478"/>
        <v>JR F - COL 2-&gt;JR F - COL 1</v>
      </c>
      <c r="AZ665" s="148" t="str">
        <f t="shared" si="479"/>
        <v>11/24/2017 09:40-&gt;JR F - COL 2</v>
      </c>
      <c r="BA665" s="148" t="str">
        <f t="shared" si="480"/>
        <v>11/24/2017 09:40-&gt;JR F - COL 1</v>
      </c>
      <c r="BB665" s="374">
        <f t="shared" si="481"/>
        <v>1</v>
      </c>
      <c r="BC665" s="374">
        <f t="shared" si="482"/>
        <v>1</v>
      </c>
      <c r="BD665" s="148" t="str">
        <f t="shared" si="483"/>
        <v>no conflict</v>
      </c>
      <c r="BF665" s="148" t="str">
        <f t="shared" si="484"/>
        <v>11/24/2017 09:40-&gt;JR F - COL 2</v>
      </c>
      <c r="BG665" s="148" t="str">
        <f t="shared" si="485"/>
        <v>11/24/2017 09:40-&gt;JR F - COL 1</v>
      </c>
      <c r="BH665" s="148" t="str">
        <f t="shared" si="486"/>
        <v>11/24/2017 09:40-&gt;JCC Back Field 2</v>
      </c>
      <c r="BI665" s="148" t="str">
        <f t="shared" si="487"/>
        <v>Soccer in JCC Back Field 2 (COL2-COL1)</v>
      </c>
      <c r="BJ665" s="148" t="str">
        <f t="shared" si="488"/>
        <v>Junior Female Mini Soccer-- JR F - COL 2 vs. JR F - COL 1</v>
      </c>
      <c r="BK665" s="148" t="str">
        <f t="shared" si="489"/>
        <v>Soccer</v>
      </c>
      <c r="BL665" s="148" t="str">
        <f t="shared" si="490"/>
        <v>JR F - COL 2</v>
      </c>
      <c r="BM665" s="148" t="str">
        <f t="shared" si="491"/>
        <v>JR F - COL 1</v>
      </c>
      <c r="BN665" s="148" t="str">
        <f t="shared" si="492"/>
        <v>Round - 1</v>
      </c>
      <c r="BP665" s="148" t="str">
        <f t="shared" si="493"/>
        <v>no t, f, or sf</v>
      </c>
      <c r="BQ665" s="148" t="str">
        <f t="shared" si="494"/>
        <v/>
      </c>
    </row>
    <row r="666" spans="1:69" ht="15" customHeight="1" x14ac:dyDescent="0.2">
      <c r="A666" s="376">
        <v>664</v>
      </c>
      <c r="B666" s="433" t="s">
        <v>67</v>
      </c>
      <c r="C666" s="315" t="s">
        <v>518</v>
      </c>
      <c r="D666" s="378">
        <v>1</v>
      </c>
      <c r="E666" s="378">
        <v>1</v>
      </c>
      <c r="F666" s="315" t="s">
        <v>770</v>
      </c>
      <c r="G666" s="316">
        <v>43063</v>
      </c>
      <c r="H666" s="454">
        <v>0.4375</v>
      </c>
      <c r="I666" s="325" t="s">
        <v>770</v>
      </c>
      <c r="J666" s="315" t="s">
        <v>695</v>
      </c>
      <c r="K666" s="315">
        <v>63</v>
      </c>
      <c r="L666" t="s">
        <v>669</v>
      </c>
      <c r="M666">
        <v>63</v>
      </c>
      <c r="N666" t="s">
        <v>665</v>
      </c>
      <c r="O666" s="153" t="str">
        <f>IF(L666&lt;&gt;"",IFERROR(VLOOKUP(B666&amp;L666,Pools!$A$2:$D$130,3,FALSE),""),"")</f>
        <v/>
      </c>
      <c r="P666" s="388">
        <v>4</v>
      </c>
      <c r="Q666" s="388">
        <v>1</v>
      </c>
      <c r="R666" s="306" t="str">
        <f t="shared" si="450"/>
        <v>4-1</v>
      </c>
      <c r="S666" s="153"/>
      <c r="T666" s="148" t="str">
        <f t="shared" si="451"/>
        <v>Completed</v>
      </c>
      <c r="U666" s="153"/>
      <c r="V666" s="153"/>
      <c r="W666" s="387">
        <f t="shared" si="452"/>
        <v>3</v>
      </c>
      <c r="X666" s="387">
        <f t="shared" si="453"/>
        <v>-3</v>
      </c>
      <c r="Y666" s="301">
        <f t="shared" si="454"/>
        <v>2</v>
      </c>
      <c r="Z666" s="301">
        <f t="shared" si="455"/>
        <v>0</v>
      </c>
      <c r="AA666" s="323" t="str">
        <f>CONCATENATE("                x[team1,team2,sport,'",IF(OR(I666="x",I666=""),VLOOKUP('Schedule from TM'!J667,Tables!$P$3:$Q$33,2,FALSE),'Schedule from TM'!I667),",",J666,"','",IF(OR(F666="x",F666=""),VLOOKUP('Schedule from TM'!G667,Tables!$U$3:$V$14,2,FALSE),'Schedule from TM'!F667),",",TEXT(G666,"mm/dd/yyyy"),"','",TEXT(H666,"h:mm:ss AM/PM"),"'].ub=0.0      #",B666)</f>
        <v xml:space="preserve">                x[team1,team2,sport,'11,JCC Back Field 1','11,11/24/2017','10:30:00 AM'].ub=0.0      #Junior Female Mini Soccer</v>
      </c>
      <c r="AB666" s="301" t="str">
        <f t="shared" si="456"/>
        <v>,,Junior Female Mini Soccer,,1,JR F - VEN 2</v>
      </c>
      <c r="AC666" s="153" t="str">
        <f t="shared" si="457"/>
        <v>Junior Female Mini SoccerJR F - VEN 2</v>
      </c>
      <c r="AD666" s="301" t="str">
        <f t="shared" si="458"/>
        <v>,,Junior Female Mini Soccer,,1,JR F - USA 1</v>
      </c>
      <c r="AE666" s="153" t="str">
        <f t="shared" si="459"/>
        <v>Junior Female Mini SoccerJR F - USA 1</v>
      </c>
      <c r="AF666" s="383">
        <f t="shared" si="460"/>
        <v>1</v>
      </c>
      <c r="AG666" s="383">
        <f t="shared" si="461"/>
        <v>0</v>
      </c>
      <c r="AH666" s="383">
        <f t="shared" si="462"/>
        <v>0</v>
      </c>
      <c r="AI666" s="383">
        <f t="shared" si="463"/>
        <v>0</v>
      </c>
      <c r="AJ666" s="383">
        <f t="shared" si="464"/>
        <v>1</v>
      </c>
      <c r="AK666" s="383">
        <f t="shared" si="465"/>
        <v>0</v>
      </c>
      <c r="AM666" s="148" t="str">
        <f t="shared" si="466"/>
        <v>Schedulled</v>
      </c>
      <c r="AN666" s="148" t="str">
        <f t="shared" si="467"/>
        <v/>
      </c>
      <c r="AO666" s="156">
        <f t="shared" si="468"/>
        <v>43063.4375</v>
      </c>
      <c r="AP666" s="148" t="str">
        <f t="shared" si="469"/>
        <v>11/24/2017 10:30-&gt;JCC Back Field 1</v>
      </c>
      <c r="AQ666" s="374">
        <f t="shared" si="470"/>
        <v>1</v>
      </c>
      <c r="AR666" s="148" t="str">
        <f t="shared" si="471"/>
        <v>VEN2</v>
      </c>
      <c r="AS666" s="148" t="str">
        <f t="shared" si="472"/>
        <v>USA1</v>
      </c>
      <c r="AT666" s="157" t="str">
        <f t="shared" si="473"/>
        <v>VEN2-USA1</v>
      </c>
      <c r="AU666" s="157" t="str">
        <f t="shared" si="474"/>
        <v xml:space="preserve">VEN2-USA1 </v>
      </c>
      <c r="AV666" s="157" t="str">
        <f t="shared" si="475"/>
        <v>JUNIORS FEMALE</v>
      </c>
      <c r="AW666" s="157" t="str">
        <f t="shared" si="476"/>
        <v>Soccer</v>
      </c>
      <c r="AX666" s="376">
        <f t="shared" si="477"/>
        <v>664</v>
      </c>
      <c r="AY666" s="148" t="str">
        <f t="shared" si="478"/>
        <v>JR F - VEN 2-&gt;JR F - USA 1</v>
      </c>
      <c r="AZ666" s="148" t="str">
        <f t="shared" si="479"/>
        <v>11/24/2017 10:30-&gt;JR F - VEN 2</v>
      </c>
      <c r="BA666" s="148" t="str">
        <f t="shared" si="480"/>
        <v>11/24/2017 10:30-&gt;JR F - USA 1</v>
      </c>
      <c r="BB666" s="374">
        <f t="shared" si="481"/>
        <v>1</v>
      </c>
      <c r="BC666" s="374">
        <f t="shared" si="482"/>
        <v>1</v>
      </c>
      <c r="BD666" s="148" t="str">
        <f t="shared" si="483"/>
        <v>no conflict</v>
      </c>
      <c r="BF666" s="148" t="str">
        <f t="shared" si="484"/>
        <v>11/24/2017 10:30-&gt;JR F - VEN 2</v>
      </c>
      <c r="BG666" s="148" t="str">
        <f t="shared" si="485"/>
        <v>11/24/2017 10:30-&gt;JR F - USA 1</v>
      </c>
      <c r="BH666" s="148" t="str">
        <f t="shared" si="486"/>
        <v>11/24/2017 10:30-&gt;JCC Back Field 1</v>
      </c>
      <c r="BI666" s="148" t="str">
        <f t="shared" si="487"/>
        <v>Soccer in JCC Back Field 1 (VEN2-USA1)</v>
      </c>
      <c r="BJ666" s="148" t="str">
        <f t="shared" si="488"/>
        <v>Junior Female Mini Soccer-- JR F - VEN 2 vs. JR F - USA 1</v>
      </c>
      <c r="BK666" s="148" t="str">
        <f t="shared" si="489"/>
        <v>Soccer</v>
      </c>
      <c r="BL666" s="148" t="str">
        <f t="shared" si="490"/>
        <v>JR F - VEN 2</v>
      </c>
      <c r="BM666" s="148" t="str">
        <f t="shared" si="491"/>
        <v>JR F - USA 1</v>
      </c>
      <c r="BN666" s="148" t="str">
        <f t="shared" si="492"/>
        <v>Round - 1</v>
      </c>
      <c r="BP666" s="148" t="str">
        <f t="shared" si="493"/>
        <v>no t, f, or sf</v>
      </c>
      <c r="BQ666" s="148" t="str">
        <f t="shared" si="494"/>
        <v/>
      </c>
    </row>
    <row r="667" spans="1:69" ht="15" customHeight="1" x14ac:dyDescent="0.2">
      <c r="A667" s="376">
        <v>665</v>
      </c>
      <c r="B667" s="121" t="s">
        <v>67</v>
      </c>
      <c r="C667" s="121" t="s">
        <v>518</v>
      </c>
      <c r="D667" s="382">
        <v>1</v>
      </c>
      <c r="E667" s="382">
        <v>1</v>
      </c>
      <c r="F667" s="315" t="s">
        <v>770</v>
      </c>
      <c r="G667" s="206">
        <v>43063</v>
      </c>
      <c r="H667" s="454">
        <v>0.47222222222222227</v>
      </c>
      <c r="I667" s="325" t="s">
        <v>770</v>
      </c>
      <c r="J667" s="121" t="s">
        <v>695</v>
      </c>
      <c r="K667" s="121">
        <v>63</v>
      </c>
      <c r="L667" t="s">
        <v>661</v>
      </c>
      <c r="M667">
        <v>63</v>
      </c>
      <c r="N667" t="s">
        <v>668</v>
      </c>
      <c r="O667" s="153" t="str">
        <f>IF(L667&lt;&gt;"",IFERROR(VLOOKUP(B667&amp;L667,Pools!$A$2:$D$130,3,FALSE),""),"")</f>
        <v/>
      </c>
      <c r="P667" s="388">
        <v>1</v>
      </c>
      <c r="Q667" s="388">
        <v>0</v>
      </c>
      <c r="R667" s="306" t="str">
        <f t="shared" si="450"/>
        <v>1-0</v>
      </c>
      <c r="S667" s="153"/>
      <c r="T667" s="148" t="str">
        <f t="shared" si="451"/>
        <v>Completed</v>
      </c>
      <c r="U667" s="153"/>
      <c r="V667" s="153"/>
      <c r="W667" s="387">
        <f t="shared" si="452"/>
        <v>1</v>
      </c>
      <c r="X667" s="387">
        <f t="shared" si="453"/>
        <v>-1</v>
      </c>
      <c r="Y667" s="301">
        <f t="shared" si="454"/>
        <v>2</v>
      </c>
      <c r="Z667" s="301">
        <f t="shared" si="455"/>
        <v>0</v>
      </c>
      <c r="AA667" s="323" t="str">
        <f>CONCATENATE("                x[team1,team2,sport,'",IF(OR(I667="x",I667=""),VLOOKUP('Schedule from TM'!J668,Tables!$P$3:$Q$33,2,FALSE),'Schedule from TM'!I668),",",J667,"','",IF(OR(F667="x",F667=""),VLOOKUP('Schedule from TM'!G668,Tables!$U$3:$V$14,2,FALSE),'Schedule from TM'!F668),",",TEXT(G667,"mm/dd/yyyy"),"','",TEXT(H667,"h:mm:ss AM/PM"),"'].ub=0.0      #",B667)</f>
        <v xml:space="preserve">                x[team1,team2,sport,'11,JCC Back Field 1','11,11/24/2017','11:20:00 AM'].ub=0.0      #Junior Female Mini Soccer</v>
      </c>
      <c r="AB667" s="301" t="str">
        <f t="shared" si="456"/>
        <v>,,Junior Female Mini Soccer,,1,JR F - ISR 1</v>
      </c>
      <c r="AC667" s="153" t="str">
        <f t="shared" si="457"/>
        <v>Junior Female Mini SoccerJR F - ISR 1</v>
      </c>
      <c r="AD667" s="301" t="str">
        <f t="shared" si="458"/>
        <v>,,Junior Female Mini Soccer,,1,JR F - VEN 1</v>
      </c>
      <c r="AE667" s="153" t="str">
        <f t="shared" si="459"/>
        <v>Junior Female Mini SoccerJR F - VEN 1</v>
      </c>
      <c r="AF667" s="383">
        <f t="shared" si="460"/>
        <v>1</v>
      </c>
      <c r="AG667" s="383">
        <f t="shared" si="461"/>
        <v>0</v>
      </c>
      <c r="AH667" s="383">
        <f t="shared" si="462"/>
        <v>0</v>
      </c>
      <c r="AI667" s="383">
        <f t="shared" si="463"/>
        <v>0</v>
      </c>
      <c r="AJ667" s="383">
        <f t="shared" si="464"/>
        <v>1</v>
      </c>
      <c r="AK667" s="383">
        <f t="shared" si="465"/>
        <v>0</v>
      </c>
      <c r="AM667" s="148" t="str">
        <f t="shared" si="466"/>
        <v>Schedulled</v>
      </c>
      <c r="AN667" s="148" t="str">
        <f t="shared" si="467"/>
        <v/>
      </c>
      <c r="AO667" s="156">
        <f t="shared" si="468"/>
        <v>43063.472222222219</v>
      </c>
      <c r="AP667" s="148" t="str">
        <f t="shared" si="469"/>
        <v>11/24/2017 11:20-&gt;JCC Back Field 1</v>
      </c>
      <c r="AQ667" s="374">
        <f t="shared" si="470"/>
        <v>1</v>
      </c>
      <c r="AR667" s="148" t="str">
        <f t="shared" si="471"/>
        <v>ISR1</v>
      </c>
      <c r="AS667" s="148" t="str">
        <f t="shared" si="472"/>
        <v>VEN1</v>
      </c>
      <c r="AT667" s="157" t="str">
        <f t="shared" si="473"/>
        <v>ISR1-VEN1</v>
      </c>
      <c r="AU667" s="157" t="str">
        <f t="shared" si="474"/>
        <v xml:space="preserve">ISR1-VEN1 </v>
      </c>
      <c r="AV667" s="157" t="str">
        <f t="shared" si="475"/>
        <v>JUNIORS FEMALE</v>
      </c>
      <c r="AW667" s="157" t="str">
        <f t="shared" si="476"/>
        <v>Soccer</v>
      </c>
      <c r="AX667" s="376">
        <f t="shared" si="477"/>
        <v>665</v>
      </c>
      <c r="AY667" s="148" t="str">
        <f t="shared" si="478"/>
        <v>JR F - ISR 1-&gt;JR F - VEN 1</v>
      </c>
      <c r="AZ667" s="148" t="str">
        <f t="shared" si="479"/>
        <v>11/24/2017 11:20-&gt;JR F - ISR 1</v>
      </c>
      <c r="BA667" s="148" t="str">
        <f t="shared" si="480"/>
        <v>11/24/2017 11:20-&gt;JR F - VEN 1</v>
      </c>
      <c r="BB667" s="374">
        <f t="shared" si="481"/>
        <v>1</v>
      </c>
      <c r="BC667" s="374">
        <f t="shared" si="482"/>
        <v>1</v>
      </c>
      <c r="BD667" s="148" t="str">
        <f t="shared" si="483"/>
        <v>no conflict</v>
      </c>
      <c r="BF667" s="148" t="str">
        <f t="shared" si="484"/>
        <v>11/24/2017 11:20-&gt;JR F - ISR 1</v>
      </c>
      <c r="BG667" s="148" t="str">
        <f t="shared" si="485"/>
        <v>11/24/2017 11:20-&gt;JR F - VEN 1</v>
      </c>
      <c r="BH667" s="148" t="str">
        <f t="shared" si="486"/>
        <v>11/24/2017 11:20-&gt;JCC Back Field 1</v>
      </c>
      <c r="BI667" s="148" t="str">
        <f t="shared" si="487"/>
        <v>Soccer in JCC Back Field 1 (ISR1-VEN1)</v>
      </c>
      <c r="BJ667" s="148" t="str">
        <f t="shared" si="488"/>
        <v>Junior Female Mini Soccer-- JR F - ISR 1 vs. JR F - VEN 1</v>
      </c>
      <c r="BK667" s="148" t="str">
        <f t="shared" si="489"/>
        <v>Soccer</v>
      </c>
      <c r="BL667" s="148" t="str">
        <f t="shared" si="490"/>
        <v>JR F - ISR 1</v>
      </c>
      <c r="BM667" s="148" t="str">
        <f t="shared" si="491"/>
        <v>JR F - VEN 1</v>
      </c>
      <c r="BN667" s="148" t="str">
        <f t="shared" si="492"/>
        <v>Round - 1</v>
      </c>
      <c r="BP667" s="148" t="str">
        <f t="shared" si="493"/>
        <v>no t, f, or sf</v>
      </c>
      <c r="BQ667" s="148" t="str">
        <f t="shared" si="494"/>
        <v/>
      </c>
    </row>
    <row r="668" spans="1:69" ht="15" customHeight="1" x14ac:dyDescent="0.2">
      <c r="A668" s="376">
        <v>666</v>
      </c>
      <c r="B668" s="121" t="s">
        <v>70</v>
      </c>
      <c r="C668" s="121" t="s">
        <v>518</v>
      </c>
      <c r="D668" s="382">
        <v>1</v>
      </c>
      <c r="E668" s="382">
        <v>1</v>
      </c>
      <c r="F668" s="315" t="s">
        <v>770</v>
      </c>
      <c r="G668" s="206">
        <v>43058</v>
      </c>
      <c r="H668" s="318">
        <v>0.54166666666666663</v>
      </c>
      <c r="I668" s="325" t="s">
        <v>770</v>
      </c>
      <c r="J668" s="121" t="s">
        <v>697</v>
      </c>
      <c r="K668" s="121">
        <v>63</v>
      </c>
      <c r="L668" t="s">
        <v>660</v>
      </c>
      <c r="M668">
        <v>63</v>
      </c>
      <c r="N668" t="s">
        <v>667</v>
      </c>
      <c r="O668" s="153" t="str">
        <f>IF(L668&lt;&gt;"",IFERROR(VLOOKUP(B668&amp;L668,Pools!$A$2:$D$130,3,FALSE),""),"")</f>
        <v/>
      </c>
      <c r="P668" s="388">
        <v>0</v>
      </c>
      <c r="Q668" s="388">
        <v>2</v>
      </c>
      <c r="R668" s="306" t="str">
        <f t="shared" si="450"/>
        <v>0-2</v>
      </c>
      <c r="S668" s="153"/>
      <c r="T668" s="148" t="str">
        <f t="shared" si="451"/>
        <v>Completed</v>
      </c>
      <c r="U668" s="153"/>
      <c r="V668" s="153"/>
      <c r="W668" s="387">
        <f t="shared" si="452"/>
        <v>-2</v>
      </c>
      <c r="X668" s="387">
        <f t="shared" si="453"/>
        <v>2</v>
      </c>
      <c r="Y668" s="301">
        <f t="shared" si="454"/>
        <v>0</v>
      </c>
      <c r="Z668" s="301">
        <f t="shared" si="455"/>
        <v>2</v>
      </c>
      <c r="AA668" s="323" t="str">
        <f>CONCATENATE("                x[team1,team2,sport,'",IF(OR(I668="x",I668=""),VLOOKUP('Schedule from TM'!J669,Tables!$P$3:$Q$33,2,FALSE),'Schedule from TM'!I669),",",J668,"','",IF(OR(F668="x",F668=""),VLOOKUP('Schedule from TM'!G669,Tables!$U$3:$V$14,2,FALSE),'Schedule from TM'!F669),",",TEXT(G668,"mm/dd/yyyy"),"','",TEXT(H668,"h:mm:ss AM/PM"),"'].ub=0.0      #",B668)</f>
        <v xml:space="preserve">                x[team1,team2,sport,'11,JCC Gym South','11,11/19/2017','1:00:00 PM'].ub=0.0      #Junior Female Volleyball</v>
      </c>
      <c r="AB668" s="301" t="str">
        <f t="shared" si="456"/>
        <v>,,Junior Female Volleyball,,1,JR F - COL 2</v>
      </c>
      <c r="AC668" s="153" t="str">
        <f t="shared" si="457"/>
        <v>Junior Female VolleyballJR F - COL 2</v>
      </c>
      <c r="AD668" s="301" t="str">
        <f t="shared" si="458"/>
        <v>,,Junior Female Volleyball,,1,JR F - USA 2</v>
      </c>
      <c r="AE668" s="153" t="str">
        <f t="shared" si="459"/>
        <v>Junior Female VolleyballJR F - USA 2</v>
      </c>
      <c r="AF668" s="383">
        <f t="shared" si="460"/>
        <v>0</v>
      </c>
      <c r="AG668" s="383">
        <f t="shared" si="461"/>
        <v>1</v>
      </c>
      <c r="AH668" s="383">
        <f t="shared" si="462"/>
        <v>0</v>
      </c>
      <c r="AI668" s="383">
        <f t="shared" si="463"/>
        <v>1</v>
      </c>
      <c r="AJ668" s="383">
        <f t="shared" si="464"/>
        <v>0</v>
      </c>
      <c r="AK668" s="383">
        <f t="shared" si="465"/>
        <v>0</v>
      </c>
      <c r="AM668" s="148" t="str">
        <f t="shared" si="466"/>
        <v>Schedulled</v>
      </c>
      <c r="AN668" s="148" t="str">
        <f t="shared" si="467"/>
        <v/>
      </c>
      <c r="AO668" s="156">
        <f t="shared" si="468"/>
        <v>43058.541666666664</v>
      </c>
      <c r="AP668" s="148" t="str">
        <f t="shared" si="469"/>
        <v>11/19/2017 13:00-&gt;JCC Gym South</v>
      </c>
      <c r="AQ668" s="374">
        <f t="shared" si="470"/>
        <v>1</v>
      </c>
      <c r="AR668" s="148" t="str">
        <f t="shared" si="471"/>
        <v>COL2</v>
      </c>
      <c r="AS668" s="148" t="str">
        <f t="shared" si="472"/>
        <v>USA2</v>
      </c>
      <c r="AT668" s="157" t="str">
        <f t="shared" si="473"/>
        <v>COL2-USA2</v>
      </c>
      <c r="AU668" s="157" t="str">
        <f t="shared" si="474"/>
        <v xml:space="preserve">COL2-USA2 </v>
      </c>
      <c r="AV668" s="157" t="str">
        <f t="shared" si="475"/>
        <v>JUNIORS FEMALE</v>
      </c>
      <c r="AW668" s="157" t="str">
        <f t="shared" si="476"/>
        <v>Volleyball</v>
      </c>
      <c r="AX668" s="376">
        <f t="shared" si="477"/>
        <v>666</v>
      </c>
      <c r="AY668" s="148" t="str">
        <f t="shared" si="478"/>
        <v>JR F - COL 2-&gt;JR F - USA 2</v>
      </c>
      <c r="AZ668" s="148" t="str">
        <f t="shared" si="479"/>
        <v>11/19/2017 13:00-&gt;JR F - COL 2</v>
      </c>
      <c r="BA668" s="148" t="str">
        <f t="shared" si="480"/>
        <v>11/19/2017 13:00-&gt;JR F - USA 2</v>
      </c>
      <c r="BB668" s="374">
        <f t="shared" si="481"/>
        <v>1</v>
      </c>
      <c r="BC668" s="374">
        <f t="shared" si="482"/>
        <v>1</v>
      </c>
      <c r="BD668" s="148" t="str">
        <f t="shared" si="483"/>
        <v>no conflict</v>
      </c>
      <c r="BF668" s="148" t="str">
        <f t="shared" si="484"/>
        <v>11/19/2017 13:00-&gt;JR F - COL 2</v>
      </c>
      <c r="BG668" s="148" t="str">
        <f t="shared" si="485"/>
        <v>11/19/2017 13:00-&gt;JR F - USA 2</v>
      </c>
      <c r="BH668" s="148" t="str">
        <f t="shared" si="486"/>
        <v>11/19/2017 13:00-&gt;JCC Gym South</v>
      </c>
      <c r="BI668" s="148" t="str">
        <f t="shared" si="487"/>
        <v>Volleyball in JCC Gym South (COL2-USA2)</v>
      </c>
      <c r="BJ668" s="148" t="str">
        <f t="shared" si="488"/>
        <v>Junior Female Volleyball-- JR F - COL 2 vs. JR F - USA 2</v>
      </c>
      <c r="BK668" s="148" t="str">
        <f t="shared" si="489"/>
        <v>Volleyball</v>
      </c>
      <c r="BL668" s="148" t="str">
        <f t="shared" si="490"/>
        <v>JR F - COL 2</v>
      </c>
      <c r="BM668" s="148" t="str">
        <f t="shared" si="491"/>
        <v>JR F - USA 2</v>
      </c>
      <c r="BN668" s="148" t="str">
        <f t="shared" si="492"/>
        <v>Round - 1</v>
      </c>
      <c r="BP668" s="148" t="str">
        <f t="shared" si="493"/>
        <v>no t, f, or sf</v>
      </c>
      <c r="BQ668" s="148" t="str">
        <f t="shared" si="494"/>
        <v/>
      </c>
    </row>
    <row r="669" spans="1:69" ht="15" customHeight="1" x14ac:dyDescent="0.2">
      <c r="A669" s="376">
        <v>667</v>
      </c>
      <c r="B669" s="433" t="s">
        <v>70</v>
      </c>
      <c r="C669" s="444" t="s">
        <v>518</v>
      </c>
      <c r="D669" s="451">
        <v>1</v>
      </c>
      <c r="E669" s="451">
        <v>1</v>
      </c>
      <c r="F669" s="315" t="s">
        <v>770</v>
      </c>
      <c r="G669" s="445">
        <v>43058</v>
      </c>
      <c r="H669" s="317">
        <v>0.57638888888888895</v>
      </c>
      <c r="I669" s="325" t="s">
        <v>770</v>
      </c>
      <c r="J669" s="441" t="s">
        <v>697</v>
      </c>
      <c r="K669" s="444">
        <v>63</v>
      </c>
      <c r="L669" t="s">
        <v>659</v>
      </c>
      <c r="M669">
        <v>63</v>
      </c>
      <c r="N669" t="s">
        <v>664</v>
      </c>
      <c r="O669" s="153" t="str">
        <f>IF(L669&lt;&gt;"",IFERROR(VLOOKUP(B669&amp;L669,Pools!$A$2:$D$130,3,FALSE),""),"")</f>
        <v/>
      </c>
      <c r="P669" s="388">
        <v>2</v>
      </c>
      <c r="Q669" s="388">
        <v>0</v>
      </c>
      <c r="R669" s="306" t="str">
        <f t="shared" si="450"/>
        <v>2-0</v>
      </c>
      <c r="S669" s="153"/>
      <c r="T669" s="148" t="str">
        <f t="shared" si="451"/>
        <v>Completed</v>
      </c>
      <c r="U669" s="153"/>
      <c r="V669" s="153"/>
      <c r="W669" s="387">
        <f t="shared" si="452"/>
        <v>2</v>
      </c>
      <c r="X669" s="387">
        <f t="shared" si="453"/>
        <v>-2</v>
      </c>
      <c r="Y669" s="301">
        <f t="shared" si="454"/>
        <v>2</v>
      </c>
      <c r="Z669" s="301">
        <f t="shared" si="455"/>
        <v>0</v>
      </c>
      <c r="AA669" s="323" t="str">
        <f>CONCATENATE("                x[team1,team2,sport,'",IF(OR(I669="x",I669=""),VLOOKUP('Schedule from TM'!J670,Tables!$P$3:$Q$33,2,FALSE),'Schedule from TM'!I670),",",J669,"','",IF(OR(F669="x",F669=""),VLOOKUP('Schedule from TM'!G670,Tables!$U$3:$V$14,2,FALSE),'Schedule from TM'!F670),",",TEXT(G669,"mm/dd/yyyy"),"','",TEXT(H669,"h:mm:ss AM/PM"),"'].ub=0.0      #",B669)</f>
        <v xml:space="preserve">                x[team1,team2,sport,'21,JCC Gym South','11,11/19/2017','1:50:00 PM'].ub=0.0      #Junior Female Volleyball</v>
      </c>
      <c r="AB669" s="301" t="str">
        <f t="shared" si="456"/>
        <v>,,Junior Female Volleyball,,1,JR F - ARG 1</v>
      </c>
      <c r="AC669" s="153" t="str">
        <f t="shared" si="457"/>
        <v>Junior Female VolleyballJR F - ARG 1</v>
      </c>
      <c r="AD669" s="301" t="str">
        <f t="shared" si="458"/>
        <v>,,Junior Female Volleyball,,1,JR F - PER</v>
      </c>
      <c r="AE669" s="153" t="str">
        <f t="shared" si="459"/>
        <v>Junior Female VolleyballJR F - PER</v>
      </c>
      <c r="AF669" s="383">
        <f t="shared" si="460"/>
        <v>1</v>
      </c>
      <c r="AG669" s="383">
        <f t="shared" si="461"/>
        <v>0</v>
      </c>
      <c r="AH669" s="383">
        <f t="shared" si="462"/>
        <v>0</v>
      </c>
      <c r="AI669" s="383">
        <f t="shared" si="463"/>
        <v>0</v>
      </c>
      <c r="AJ669" s="383">
        <f t="shared" si="464"/>
        <v>1</v>
      </c>
      <c r="AK669" s="383">
        <f t="shared" si="465"/>
        <v>0</v>
      </c>
      <c r="AM669" s="148" t="str">
        <f t="shared" si="466"/>
        <v>Schedulled</v>
      </c>
      <c r="AN669" s="148" t="str">
        <f t="shared" si="467"/>
        <v/>
      </c>
      <c r="AO669" s="156">
        <f t="shared" si="468"/>
        <v>43058.576388888891</v>
      </c>
      <c r="AP669" s="148" t="str">
        <f t="shared" si="469"/>
        <v>11/19/2017 13:50-&gt;JCC Gym South</v>
      </c>
      <c r="AQ669" s="374">
        <f t="shared" si="470"/>
        <v>1</v>
      </c>
      <c r="AR669" s="148" t="str">
        <f t="shared" si="471"/>
        <v>ARG1</v>
      </c>
      <c r="AS669" s="148" t="str">
        <f t="shared" si="472"/>
        <v>PER</v>
      </c>
      <c r="AT669" s="157" t="str">
        <f t="shared" si="473"/>
        <v>ARG1-PER</v>
      </c>
      <c r="AU669" s="157" t="str">
        <f t="shared" si="474"/>
        <v xml:space="preserve">ARG1-PER </v>
      </c>
      <c r="AV669" s="157" t="str">
        <f t="shared" si="475"/>
        <v>JUNIORS FEMALE</v>
      </c>
      <c r="AW669" s="157" t="str">
        <f t="shared" si="476"/>
        <v>Volleyball</v>
      </c>
      <c r="AX669" s="376">
        <f t="shared" si="477"/>
        <v>667</v>
      </c>
      <c r="AY669" s="148" t="str">
        <f t="shared" si="478"/>
        <v>JR F - ARG 1-&gt;JR F - PER</v>
      </c>
      <c r="AZ669" s="148" t="str">
        <f t="shared" si="479"/>
        <v>11/19/2017 13:50-&gt;JR F - ARG 1</v>
      </c>
      <c r="BA669" s="148" t="str">
        <f t="shared" si="480"/>
        <v>11/19/2017 13:50-&gt;JR F - PER</v>
      </c>
      <c r="BB669" s="374">
        <f t="shared" si="481"/>
        <v>1</v>
      </c>
      <c r="BC669" s="374">
        <f t="shared" si="482"/>
        <v>1</v>
      </c>
      <c r="BD669" s="148" t="str">
        <f t="shared" si="483"/>
        <v>no conflict</v>
      </c>
      <c r="BF669" s="148" t="str">
        <f t="shared" si="484"/>
        <v>11/19/2017 13:50-&gt;JR F - ARG 1</v>
      </c>
      <c r="BG669" s="148" t="str">
        <f t="shared" si="485"/>
        <v>11/19/2017 13:50-&gt;JR F - PER</v>
      </c>
      <c r="BH669" s="148" t="str">
        <f t="shared" si="486"/>
        <v>11/19/2017 13:50-&gt;JCC Gym South</v>
      </c>
      <c r="BI669" s="148" t="str">
        <f t="shared" si="487"/>
        <v>Volleyball in JCC Gym South (ARG1-PER)</v>
      </c>
      <c r="BJ669" s="148" t="str">
        <f t="shared" si="488"/>
        <v>Junior Female Volleyball-- JR F - ARG 1 vs. JR F - PER</v>
      </c>
      <c r="BK669" s="148" t="str">
        <f t="shared" si="489"/>
        <v>Volleyball</v>
      </c>
      <c r="BL669" s="148" t="str">
        <f t="shared" si="490"/>
        <v>JR F - ARG 1</v>
      </c>
      <c r="BM669" s="148" t="str">
        <f t="shared" si="491"/>
        <v>JR F - PER</v>
      </c>
      <c r="BN669" s="148" t="str">
        <f t="shared" si="492"/>
        <v>Round - 1</v>
      </c>
      <c r="BP669" s="148" t="str">
        <f t="shared" si="493"/>
        <v>no t, f, or sf</v>
      </c>
      <c r="BQ669" s="148" t="str">
        <f t="shared" si="494"/>
        <v/>
      </c>
    </row>
    <row r="670" spans="1:69" ht="15" customHeight="1" x14ac:dyDescent="0.2">
      <c r="A670" s="376">
        <v>668</v>
      </c>
      <c r="B670" s="315" t="s">
        <v>70</v>
      </c>
      <c r="C670" s="315" t="s">
        <v>518</v>
      </c>
      <c r="D670" s="378">
        <v>1</v>
      </c>
      <c r="E670" s="378">
        <v>1</v>
      </c>
      <c r="F670" s="315" t="s">
        <v>770</v>
      </c>
      <c r="G670" s="316">
        <v>43058</v>
      </c>
      <c r="H670" s="317">
        <v>0.61111111111111105</v>
      </c>
      <c r="I670" s="325" t="s">
        <v>770</v>
      </c>
      <c r="J670" s="315" t="s">
        <v>708</v>
      </c>
      <c r="K670" s="315">
        <v>63</v>
      </c>
      <c r="L670" t="s">
        <v>776</v>
      </c>
      <c r="M670">
        <v>63</v>
      </c>
      <c r="N670" t="s">
        <v>666</v>
      </c>
      <c r="O670" s="153" t="str">
        <f>IF(L670&lt;&gt;"",IFERROR(VLOOKUP(B670&amp;L670,Pools!$A$2:$D$130,3,FALSE),""),"")</f>
        <v/>
      </c>
      <c r="P670" s="388">
        <v>0</v>
      </c>
      <c r="Q670" s="388">
        <v>2</v>
      </c>
      <c r="R670" s="306" t="str">
        <f t="shared" si="450"/>
        <v>0-2</v>
      </c>
      <c r="S670" s="153"/>
      <c r="T670" s="148" t="str">
        <f t="shared" si="451"/>
        <v>Completed</v>
      </c>
      <c r="U670" s="153"/>
      <c r="V670" s="153"/>
      <c r="W670" s="387">
        <f t="shared" si="452"/>
        <v>-2</v>
      </c>
      <c r="X670" s="387">
        <f t="shared" si="453"/>
        <v>2</v>
      </c>
      <c r="Y670" s="301">
        <f t="shared" si="454"/>
        <v>0</v>
      </c>
      <c r="Z670" s="301">
        <f t="shared" si="455"/>
        <v>2</v>
      </c>
      <c r="AA670" s="323" t="str">
        <f>CONCATENATE("                x[team1,team2,sport,'",IF(OR(I670="x",I670=""),VLOOKUP('Schedule from TM'!J671,Tables!$P$3:$Q$33,2,FALSE),'Schedule from TM'!I671),",",J670,"','",IF(OR(F670="x",F670=""),VLOOKUP('Schedule from TM'!G671,Tables!$U$3:$V$14,2,FALSE),'Schedule from TM'!F671),",",TEXT(G670,"mm/dd/yyyy"),"','",TEXT(H670,"h:mm:ss AM/PM"),"'].ub=0.0      #",B670)</f>
        <v xml:space="preserve">                x[team1,team2,sport,'21,Hillel - Gym Volleyball','11,11/19/2017','2:40:00 PM'].ub=0.0      #Junior Female Volleyball</v>
      </c>
      <c r="AB670" s="301" t="str">
        <f t="shared" si="456"/>
        <v>,,Junior Female Volleyball,,1,JR F - USA 3</v>
      </c>
      <c r="AC670" s="153" t="str">
        <f t="shared" si="457"/>
        <v>Junior Female VolleyballJR F - USA 3</v>
      </c>
      <c r="AD670" s="301" t="str">
        <f t="shared" si="458"/>
        <v>,,Junior Female Volleyball,,1,JR F - COL 1</v>
      </c>
      <c r="AE670" s="153" t="str">
        <f t="shared" si="459"/>
        <v>Junior Female VolleyballJR F - COL 1</v>
      </c>
      <c r="AF670" s="383">
        <f t="shared" si="460"/>
        <v>0</v>
      </c>
      <c r="AG670" s="383">
        <f t="shared" si="461"/>
        <v>1</v>
      </c>
      <c r="AH670" s="383">
        <f t="shared" si="462"/>
        <v>0</v>
      </c>
      <c r="AI670" s="383">
        <f t="shared" si="463"/>
        <v>1</v>
      </c>
      <c r="AJ670" s="383">
        <f t="shared" si="464"/>
        <v>0</v>
      </c>
      <c r="AK670" s="383">
        <f t="shared" si="465"/>
        <v>0</v>
      </c>
      <c r="AM670" s="148" t="str">
        <f t="shared" si="466"/>
        <v>Schedulled</v>
      </c>
      <c r="AN670" s="148" t="str">
        <f t="shared" si="467"/>
        <v/>
      </c>
      <c r="AO670" s="156">
        <f t="shared" si="468"/>
        <v>43058.611111111109</v>
      </c>
      <c r="AP670" s="148" t="str">
        <f t="shared" si="469"/>
        <v>11/19/2017 14:40-&gt;Hillel - Gym Volleyball</v>
      </c>
      <c r="AQ670" s="374">
        <f t="shared" si="470"/>
        <v>1</v>
      </c>
      <c r="AR670" s="148" t="str">
        <f t="shared" si="471"/>
        <v>USA3</v>
      </c>
      <c r="AS670" s="148" t="str">
        <f t="shared" si="472"/>
        <v>COL1</v>
      </c>
      <c r="AT670" s="157" t="str">
        <f t="shared" si="473"/>
        <v>USA3-COL1</v>
      </c>
      <c r="AU670" s="157" t="str">
        <f t="shared" si="474"/>
        <v xml:space="preserve">USA3-COL1 </v>
      </c>
      <c r="AV670" s="157" t="str">
        <f t="shared" si="475"/>
        <v>JUNIORS FEMALE</v>
      </c>
      <c r="AW670" s="157" t="str">
        <f t="shared" si="476"/>
        <v>Volleyball</v>
      </c>
      <c r="AX670" s="376">
        <f t="shared" si="477"/>
        <v>668</v>
      </c>
      <c r="AY670" s="148" t="str">
        <f t="shared" si="478"/>
        <v>JR F - USA 3-&gt;JR F - COL 1</v>
      </c>
      <c r="AZ670" s="148" t="str">
        <f t="shared" si="479"/>
        <v>11/19/2017 14:40-&gt;JR F - USA 3</v>
      </c>
      <c r="BA670" s="148" t="str">
        <f t="shared" si="480"/>
        <v>11/19/2017 14:40-&gt;JR F - COL 1</v>
      </c>
      <c r="BB670" s="374">
        <f t="shared" si="481"/>
        <v>1</v>
      </c>
      <c r="BC670" s="374">
        <f t="shared" si="482"/>
        <v>1</v>
      </c>
      <c r="BD670" s="148" t="str">
        <f t="shared" si="483"/>
        <v>no conflict</v>
      </c>
      <c r="BF670" s="148" t="str">
        <f t="shared" si="484"/>
        <v>11/19/2017 14:40-&gt;JR F - USA 3</v>
      </c>
      <c r="BG670" s="148" t="str">
        <f t="shared" si="485"/>
        <v>11/19/2017 14:40-&gt;JR F - COL 1</v>
      </c>
      <c r="BH670" s="148" t="str">
        <f t="shared" si="486"/>
        <v>11/19/2017 14:40-&gt;Hillel - Gym Volleyball</v>
      </c>
      <c r="BI670" s="148" t="str">
        <f t="shared" si="487"/>
        <v>Volleyball in Hillel - Gym Volleyball (USA3-COL1)</v>
      </c>
      <c r="BJ670" s="148" t="str">
        <f t="shared" si="488"/>
        <v>Junior Female Volleyball-- JR F - USA 3 vs. JR F - COL 1</v>
      </c>
      <c r="BK670" s="148" t="str">
        <f t="shared" si="489"/>
        <v>Volleyball</v>
      </c>
      <c r="BL670" s="148" t="str">
        <f t="shared" si="490"/>
        <v>JR F - USA 3</v>
      </c>
      <c r="BM670" s="148" t="str">
        <f t="shared" si="491"/>
        <v>JR F - COL 1</v>
      </c>
      <c r="BN670" s="148" t="str">
        <f t="shared" si="492"/>
        <v>Round - 1</v>
      </c>
      <c r="BP670" s="148" t="str">
        <f t="shared" si="493"/>
        <v>no t, f, or sf</v>
      </c>
      <c r="BQ670" s="148" t="str">
        <f t="shared" si="494"/>
        <v/>
      </c>
    </row>
    <row r="671" spans="1:69" ht="15" customHeight="1" x14ac:dyDescent="0.2">
      <c r="A671" s="376">
        <v>669</v>
      </c>
      <c r="B671" s="444" t="s">
        <v>70</v>
      </c>
      <c r="C671" s="444" t="s">
        <v>518</v>
      </c>
      <c r="D671" s="451">
        <v>1</v>
      </c>
      <c r="E671" s="451">
        <v>1</v>
      </c>
      <c r="F671" s="315" t="s">
        <v>770</v>
      </c>
      <c r="G671" s="445">
        <v>43058</v>
      </c>
      <c r="H671" s="317">
        <v>0.71527777777777779</v>
      </c>
      <c r="I671" s="325" t="s">
        <v>770</v>
      </c>
      <c r="J671" s="443" t="s">
        <v>708</v>
      </c>
      <c r="K671" s="444">
        <v>63</v>
      </c>
      <c r="L671" s="433" t="s">
        <v>669</v>
      </c>
      <c r="M671" s="433">
        <v>63</v>
      </c>
      <c r="N671" s="433" t="s">
        <v>666</v>
      </c>
      <c r="O671" s="153" t="str">
        <f>IF(L671&lt;&gt;"",IFERROR(VLOOKUP(B671&amp;L671,Pools!$A$2:$D$130,3,FALSE),""),"")</f>
        <v/>
      </c>
      <c r="P671" s="388">
        <v>2</v>
      </c>
      <c r="Q671" s="388">
        <v>1</v>
      </c>
      <c r="R671" s="306" t="str">
        <f t="shared" si="450"/>
        <v>2-1</v>
      </c>
      <c r="S671" s="153"/>
      <c r="T671" s="148" t="str">
        <f t="shared" si="451"/>
        <v>Completed</v>
      </c>
      <c r="U671" s="153"/>
      <c r="V671" s="153"/>
      <c r="W671" s="387">
        <f t="shared" si="452"/>
        <v>1</v>
      </c>
      <c r="X671" s="387">
        <f t="shared" si="453"/>
        <v>-1</v>
      </c>
      <c r="Y671" s="301">
        <f t="shared" si="454"/>
        <v>2</v>
      </c>
      <c r="Z671" s="301">
        <f t="shared" si="455"/>
        <v>0</v>
      </c>
      <c r="AA671" s="323" t="str">
        <f>CONCATENATE("                x[team1,team2,sport,'",IF(OR(I671="x",I671=""),VLOOKUP('Schedule from TM'!J672,Tables!$P$3:$Q$33,2,FALSE),'Schedule from TM'!I672),",",J671,"','",IF(OR(F671="x",F671=""),VLOOKUP('Schedule from TM'!G672,Tables!$U$3:$V$14,2,FALSE),'Schedule from TM'!F672),",",TEXT(G671,"mm/dd/yyyy"),"','",TEXT(H671,"h:mm:ss AM/PM"),"'].ub=0.0      #",B671)</f>
        <v xml:space="preserve">                x[team1,team2,sport,'11,Hillel - Gym Volleyball','11,11/19/2017','5:10:00 PM'].ub=0.0      #Junior Female Volleyball</v>
      </c>
      <c r="AB671" s="301" t="str">
        <f t="shared" si="456"/>
        <v>,,Junior Female Volleyball,,1,JR F - VEN 2</v>
      </c>
      <c r="AC671" s="153" t="str">
        <f t="shared" si="457"/>
        <v>Junior Female VolleyballJR F - VEN 2</v>
      </c>
      <c r="AD671" s="301" t="str">
        <f t="shared" si="458"/>
        <v>,,Junior Female Volleyball,,1,JR F - COL 1</v>
      </c>
      <c r="AE671" s="153" t="str">
        <f t="shared" si="459"/>
        <v>Junior Female VolleyballJR F - COL 1</v>
      </c>
      <c r="AF671" s="383">
        <f t="shared" si="460"/>
        <v>1</v>
      </c>
      <c r="AG671" s="383">
        <f t="shared" si="461"/>
        <v>0</v>
      </c>
      <c r="AH671" s="383">
        <f t="shared" si="462"/>
        <v>0</v>
      </c>
      <c r="AI671" s="383">
        <f t="shared" si="463"/>
        <v>0</v>
      </c>
      <c r="AJ671" s="383">
        <f t="shared" si="464"/>
        <v>1</v>
      </c>
      <c r="AK671" s="383">
        <f t="shared" si="465"/>
        <v>0</v>
      </c>
      <c r="AM671" s="148" t="str">
        <f t="shared" si="466"/>
        <v>Schedulled</v>
      </c>
      <c r="AN671" s="148" t="str">
        <f t="shared" si="467"/>
        <v/>
      </c>
      <c r="AO671" s="156">
        <f t="shared" si="468"/>
        <v>43058.715277777781</v>
      </c>
      <c r="AP671" s="148" t="str">
        <f t="shared" si="469"/>
        <v>11/19/2017 17:10-&gt;Hillel - Gym Volleyball</v>
      </c>
      <c r="AQ671" s="374">
        <f t="shared" si="470"/>
        <v>1</v>
      </c>
      <c r="AR671" s="148" t="str">
        <f t="shared" si="471"/>
        <v>VEN2</v>
      </c>
      <c r="AS671" s="148" t="str">
        <f t="shared" si="472"/>
        <v>COL1</v>
      </c>
      <c r="AT671" s="157" t="str">
        <f t="shared" si="473"/>
        <v>VEN2-COL1</v>
      </c>
      <c r="AU671" s="157" t="str">
        <f t="shared" si="474"/>
        <v xml:space="preserve">VEN2-COL1 </v>
      </c>
      <c r="AV671" s="157" t="str">
        <f t="shared" si="475"/>
        <v>JUNIORS FEMALE</v>
      </c>
      <c r="AW671" s="157" t="str">
        <f t="shared" si="476"/>
        <v>Volleyball</v>
      </c>
      <c r="AX671" s="376">
        <f t="shared" si="477"/>
        <v>669</v>
      </c>
      <c r="AY671" s="148" t="str">
        <f t="shared" si="478"/>
        <v>JR F - VEN 2-&gt;JR F - COL 1</v>
      </c>
      <c r="AZ671" s="148" t="str">
        <f t="shared" si="479"/>
        <v>11/19/2017 17:10-&gt;JR F - VEN 2</v>
      </c>
      <c r="BA671" s="148" t="str">
        <f t="shared" si="480"/>
        <v>11/19/2017 17:10-&gt;JR F - COL 1</v>
      </c>
      <c r="BB671" s="374">
        <f t="shared" si="481"/>
        <v>1</v>
      </c>
      <c r="BC671" s="374">
        <f t="shared" si="482"/>
        <v>1</v>
      </c>
      <c r="BD671" s="148" t="str">
        <f t="shared" si="483"/>
        <v>no conflict</v>
      </c>
      <c r="BF671" s="148" t="str">
        <f t="shared" si="484"/>
        <v>11/19/2017 17:10-&gt;JR F - VEN 2</v>
      </c>
      <c r="BG671" s="148" t="str">
        <f t="shared" si="485"/>
        <v>11/19/2017 17:10-&gt;JR F - COL 1</v>
      </c>
      <c r="BH671" s="148" t="str">
        <f t="shared" si="486"/>
        <v>11/19/2017 17:10-&gt;Hillel - Gym Volleyball</v>
      </c>
      <c r="BI671" s="148" t="str">
        <f t="shared" si="487"/>
        <v>Volleyball in Hillel - Gym Volleyball (VEN2-COL1)</v>
      </c>
      <c r="BJ671" s="148" t="str">
        <f t="shared" si="488"/>
        <v>Junior Female Volleyball-- JR F - VEN 2 vs. JR F - COL 1</v>
      </c>
      <c r="BK671" s="148" t="str">
        <f t="shared" si="489"/>
        <v>Volleyball</v>
      </c>
      <c r="BL671" s="148" t="str">
        <f t="shared" si="490"/>
        <v>JR F - VEN 2</v>
      </c>
      <c r="BM671" s="148" t="str">
        <f t="shared" si="491"/>
        <v>JR F - COL 1</v>
      </c>
      <c r="BN671" s="148" t="str">
        <f t="shared" si="492"/>
        <v>Round - 1</v>
      </c>
      <c r="BP671" s="148" t="str">
        <f t="shared" si="493"/>
        <v>no t, f, or sf</v>
      </c>
      <c r="BQ671" s="148" t="str">
        <f t="shared" si="494"/>
        <v/>
      </c>
    </row>
    <row r="672" spans="1:69" ht="15" customHeight="1" x14ac:dyDescent="0.2">
      <c r="A672" s="376">
        <v>670</v>
      </c>
      <c r="B672" s="433" t="s">
        <v>70</v>
      </c>
      <c r="C672" s="315" t="s">
        <v>518</v>
      </c>
      <c r="D672" s="378">
        <v>1</v>
      </c>
      <c r="E672" s="378">
        <v>1</v>
      </c>
      <c r="F672" s="315" t="s">
        <v>770</v>
      </c>
      <c r="G672" s="316">
        <v>43058</v>
      </c>
      <c r="H672" s="317">
        <v>0.71527777777777779</v>
      </c>
      <c r="I672" s="325" t="s">
        <v>770</v>
      </c>
      <c r="J672" s="315" t="s">
        <v>697</v>
      </c>
      <c r="K672" s="315">
        <v>63</v>
      </c>
      <c r="L672" t="s">
        <v>659</v>
      </c>
      <c r="M672">
        <v>63</v>
      </c>
      <c r="N672" t="s">
        <v>665</v>
      </c>
      <c r="O672" s="153" t="str">
        <f>IF(L672&lt;&gt;"",IFERROR(VLOOKUP(B672&amp;L672,Pools!$A$2:$D$130,3,FALSE),""),"")</f>
        <v/>
      </c>
      <c r="P672" s="388">
        <v>2</v>
      </c>
      <c r="Q672" s="388">
        <v>0</v>
      </c>
      <c r="R672" s="306" t="str">
        <f t="shared" si="450"/>
        <v>2-0</v>
      </c>
      <c r="S672" s="153"/>
      <c r="T672" s="148" t="str">
        <f t="shared" si="451"/>
        <v>Completed</v>
      </c>
      <c r="U672" s="153"/>
      <c r="V672" s="153"/>
      <c r="W672" s="387">
        <f t="shared" si="452"/>
        <v>2</v>
      </c>
      <c r="X672" s="387">
        <f t="shared" si="453"/>
        <v>-2</v>
      </c>
      <c r="Y672" s="301">
        <f t="shared" si="454"/>
        <v>2</v>
      </c>
      <c r="Z672" s="301">
        <f t="shared" si="455"/>
        <v>0</v>
      </c>
      <c r="AA672" s="323" t="str">
        <f>CONCATENATE("                x[team1,team2,sport,'",IF(OR(I672="x",I672=""),VLOOKUP('Schedule from TM'!J673,Tables!$P$3:$Q$33,2,FALSE),'Schedule from TM'!I673),",",J672,"','",IF(OR(F672="x",F672=""),VLOOKUP('Schedule from TM'!G673,Tables!$U$3:$V$14,2,FALSE),'Schedule from TM'!F673),",",TEXT(G672,"mm/dd/yyyy"),"','",TEXT(H672,"h:mm:ss AM/PM"),"'].ub=0.0      #",B672)</f>
        <v xml:space="preserve">                x[team1,team2,sport,'21,JCC Gym South','11,11/19/2017','5:10:00 PM'].ub=0.0      #Junior Female Volleyball</v>
      </c>
      <c r="AB672" s="301" t="str">
        <f t="shared" si="456"/>
        <v>,,Junior Female Volleyball,,1,JR F - ARG 1</v>
      </c>
      <c r="AC672" s="153" t="str">
        <f t="shared" si="457"/>
        <v>Junior Female VolleyballJR F - ARG 1</v>
      </c>
      <c r="AD672" s="301" t="str">
        <f t="shared" si="458"/>
        <v>,,Junior Female Volleyball,,1,JR F - USA 1</v>
      </c>
      <c r="AE672" s="153" t="str">
        <f t="shared" si="459"/>
        <v>Junior Female VolleyballJR F - USA 1</v>
      </c>
      <c r="AF672" s="383">
        <f t="shared" si="460"/>
        <v>1</v>
      </c>
      <c r="AG672" s="383">
        <f t="shared" si="461"/>
        <v>0</v>
      </c>
      <c r="AH672" s="383">
        <f t="shared" si="462"/>
        <v>0</v>
      </c>
      <c r="AI672" s="383">
        <f t="shared" si="463"/>
        <v>0</v>
      </c>
      <c r="AJ672" s="383">
        <f t="shared" si="464"/>
        <v>1</v>
      </c>
      <c r="AK672" s="383">
        <f t="shared" si="465"/>
        <v>0</v>
      </c>
      <c r="AM672" s="148" t="str">
        <f t="shared" si="466"/>
        <v>Schedulled</v>
      </c>
      <c r="AN672" s="148" t="str">
        <f t="shared" si="467"/>
        <v/>
      </c>
      <c r="AO672" s="156">
        <f t="shared" si="468"/>
        <v>43058.715277777781</v>
      </c>
      <c r="AP672" s="148" t="str">
        <f t="shared" si="469"/>
        <v>11/19/2017 17:10-&gt;JCC Gym South</v>
      </c>
      <c r="AQ672" s="374">
        <f t="shared" si="470"/>
        <v>1</v>
      </c>
      <c r="AR672" s="148" t="str">
        <f t="shared" si="471"/>
        <v>ARG1</v>
      </c>
      <c r="AS672" s="148" t="str">
        <f t="shared" si="472"/>
        <v>USA1</v>
      </c>
      <c r="AT672" s="157" t="str">
        <f t="shared" si="473"/>
        <v>ARG1-USA1</v>
      </c>
      <c r="AU672" s="157" t="str">
        <f t="shared" si="474"/>
        <v xml:space="preserve">ARG1-USA1 </v>
      </c>
      <c r="AV672" s="157" t="str">
        <f t="shared" si="475"/>
        <v>JUNIORS FEMALE</v>
      </c>
      <c r="AW672" s="157" t="str">
        <f t="shared" si="476"/>
        <v>Volleyball</v>
      </c>
      <c r="AX672" s="376">
        <f t="shared" si="477"/>
        <v>670</v>
      </c>
      <c r="AY672" s="148" t="str">
        <f t="shared" si="478"/>
        <v>JR F - ARG 1-&gt;JR F - USA 1</v>
      </c>
      <c r="AZ672" s="148" t="str">
        <f t="shared" si="479"/>
        <v>11/19/2017 17:10-&gt;JR F - ARG 1</v>
      </c>
      <c r="BA672" s="148" t="str">
        <f t="shared" si="480"/>
        <v>11/19/2017 17:10-&gt;JR F - USA 1</v>
      </c>
      <c r="BB672" s="374">
        <f t="shared" si="481"/>
        <v>1</v>
      </c>
      <c r="BC672" s="374">
        <f t="shared" si="482"/>
        <v>1</v>
      </c>
      <c r="BD672" s="148" t="str">
        <f t="shared" si="483"/>
        <v>no conflict</v>
      </c>
      <c r="BF672" s="148" t="str">
        <f t="shared" si="484"/>
        <v>11/19/2017 17:10-&gt;JR F - ARG 1</v>
      </c>
      <c r="BG672" s="148" t="str">
        <f t="shared" si="485"/>
        <v>11/19/2017 17:10-&gt;JR F - USA 1</v>
      </c>
      <c r="BH672" s="148" t="str">
        <f t="shared" si="486"/>
        <v>11/19/2017 17:10-&gt;JCC Gym South</v>
      </c>
      <c r="BI672" s="148" t="str">
        <f t="shared" si="487"/>
        <v>Volleyball in JCC Gym South (ARG1-USA1)</v>
      </c>
      <c r="BJ672" s="148" t="str">
        <f t="shared" si="488"/>
        <v>Junior Female Volleyball-- JR F - ARG 1 vs. JR F - USA 1</v>
      </c>
      <c r="BK672" s="148" t="str">
        <f t="shared" si="489"/>
        <v>Volleyball</v>
      </c>
      <c r="BL672" s="148" t="str">
        <f t="shared" si="490"/>
        <v>JR F - ARG 1</v>
      </c>
      <c r="BM672" s="148" t="str">
        <f t="shared" si="491"/>
        <v>JR F - USA 1</v>
      </c>
      <c r="BN672" s="148" t="str">
        <f t="shared" si="492"/>
        <v>Round - 1</v>
      </c>
      <c r="BP672" s="148" t="str">
        <f t="shared" si="493"/>
        <v>no t, f, or sf</v>
      </c>
      <c r="BQ672" s="148" t="str">
        <f t="shared" si="494"/>
        <v/>
      </c>
    </row>
    <row r="673" spans="1:69" ht="15" customHeight="1" x14ac:dyDescent="0.2">
      <c r="A673" s="376">
        <v>671</v>
      </c>
      <c r="B673" s="121" t="s">
        <v>70</v>
      </c>
      <c r="C673" s="121" t="s">
        <v>518</v>
      </c>
      <c r="D673" s="382">
        <v>1</v>
      </c>
      <c r="E673" s="382">
        <v>1</v>
      </c>
      <c r="F673" s="315" t="s">
        <v>770</v>
      </c>
      <c r="G673" s="206">
        <v>43058</v>
      </c>
      <c r="H673" s="318">
        <v>0.78472222222222221</v>
      </c>
      <c r="I673" s="325" t="s">
        <v>770</v>
      </c>
      <c r="J673" s="121" t="s">
        <v>708</v>
      </c>
      <c r="K673" s="121">
        <v>63</v>
      </c>
      <c r="L673" s="433" t="s">
        <v>661</v>
      </c>
      <c r="M673" s="433">
        <v>63</v>
      </c>
      <c r="N673" s="433" t="s">
        <v>667</v>
      </c>
      <c r="O673" s="153" t="str">
        <f>IF(L673&lt;&gt;"",IFERROR(VLOOKUP(B673&amp;L673,Pools!$A$2:$D$130,3,FALSE),""),"")</f>
        <v/>
      </c>
      <c r="P673" s="388">
        <v>0</v>
      </c>
      <c r="Q673" s="388">
        <v>2</v>
      </c>
      <c r="R673" s="306" t="str">
        <f t="shared" si="450"/>
        <v>0-2</v>
      </c>
      <c r="S673" s="153"/>
      <c r="T673" s="148" t="str">
        <f t="shared" si="451"/>
        <v>Completed</v>
      </c>
      <c r="U673" s="153"/>
      <c r="V673" s="153"/>
      <c r="W673" s="387">
        <f t="shared" si="452"/>
        <v>-2</v>
      </c>
      <c r="X673" s="387">
        <f t="shared" si="453"/>
        <v>2</v>
      </c>
      <c r="Y673" s="301">
        <f t="shared" si="454"/>
        <v>0</v>
      </c>
      <c r="Z673" s="301">
        <f t="shared" si="455"/>
        <v>2</v>
      </c>
      <c r="AA673" s="323" t="str">
        <f>CONCATENATE("                x[team1,team2,sport,'",IF(OR(I673="x",I673=""),VLOOKUP('Schedule from TM'!J674,Tables!$P$3:$Q$33,2,FALSE),'Schedule from TM'!I674),",",J673,"','",IF(OR(F673="x",F673=""),VLOOKUP('Schedule from TM'!G674,Tables!$U$3:$V$14,2,FALSE),'Schedule from TM'!F674),",",TEXT(G673,"mm/dd/yyyy"),"','",TEXT(H673,"h:mm:ss AM/PM"),"'].ub=0.0      #",B673)</f>
        <v xml:space="preserve">                x[team1,team2,sport,'11,Hillel - Gym Volleyball','22,11/19/2017','6:50:00 PM'].ub=0.0      #Junior Female Volleyball</v>
      </c>
      <c r="AB673" s="301" t="str">
        <f t="shared" si="456"/>
        <v>,,Junior Female Volleyball,,1,JR F - ISR 1</v>
      </c>
      <c r="AC673" s="153" t="str">
        <f t="shared" si="457"/>
        <v>Junior Female VolleyballJR F - ISR 1</v>
      </c>
      <c r="AD673" s="301" t="str">
        <f t="shared" si="458"/>
        <v>,,Junior Female Volleyball,,1,JR F - USA 2</v>
      </c>
      <c r="AE673" s="153" t="str">
        <f t="shared" si="459"/>
        <v>Junior Female VolleyballJR F - USA 2</v>
      </c>
      <c r="AF673" s="383">
        <f t="shared" si="460"/>
        <v>0</v>
      </c>
      <c r="AG673" s="383">
        <f t="shared" si="461"/>
        <v>1</v>
      </c>
      <c r="AH673" s="383">
        <f t="shared" si="462"/>
        <v>0</v>
      </c>
      <c r="AI673" s="383">
        <f t="shared" si="463"/>
        <v>1</v>
      </c>
      <c r="AJ673" s="383">
        <f t="shared" si="464"/>
        <v>0</v>
      </c>
      <c r="AK673" s="383">
        <f t="shared" si="465"/>
        <v>0</v>
      </c>
      <c r="AM673" s="148" t="str">
        <f t="shared" si="466"/>
        <v>Schedulled</v>
      </c>
      <c r="AN673" s="148" t="str">
        <f t="shared" si="467"/>
        <v/>
      </c>
      <c r="AO673" s="156">
        <f t="shared" si="468"/>
        <v>43058.784722222219</v>
      </c>
      <c r="AP673" s="148" t="str">
        <f t="shared" si="469"/>
        <v>11/19/2017 18:50-&gt;Hillel - Gym Volleyball</v>
      </c>
      <c r="AQ673" s="374">
        <f t="shared" si="470"/>
        <v>1</v>
      </c>
      <c r="AR673" s="148" t="str">
        <f t="shared" si="471"/>
        <v>ISR1</v>
      </c>
      <c r="AS673" s="148" t="str">
        <f t="shared" si="472"/>
        <v>USA2</v>
      </c>
      <c r="AT673" s="157" t="str">
        <f t="shared" si="473"/>
        <v>ISR1-USA2</v>
      </c>
      <c r="AU673" s="157" t="str">
        <f t="shared" si="474"/>
        <v xml:space="preserve">ISR1-USA2 </v>
      </c>
      <c r="AV673" s="157" t="str">
        <f t="shared" si="475"/>
        <v>JUNIORS FEMALE</v>
      </c>
      <c r="AW673" s="157" t="str">
        <f t="shared" si="476"/>
        <v>Volleyball</v>
      </c>
      <c r="AX673" s="376">
        <f t="shared" si="477"/>
        <v>671</v>
      </c>
      <c r="AY673" s="148" t="str">
        <f t="shared" si="478"/>
        <v>JR F - ISR 1-&gt;JR F - USA 2</v>
      </c>
      <c r="AZ673" s="148" t="str">
        <f t="shared" si="479"/>
        <v>11/19/2017 18:50-&gt;JR F - ISR 1</v>
      </c>
      <c r="BA673" s="148" t="str">
        <f t="shared" si="480"/>
        <v>11/19/2017 18:50-&gt;JR F - USA 2</v>
      </c>
      <c r="BB673" s="374">
        <f t="shared" si="481"/>
        <v>1</v>
      </c>
      <c r="BC673" s="374">
        <f t="shared" si="482"/>
        <v>1</v>
      </c>
      <c r="BD673" s="148" t="str">
        <f t="shared" si="483"/>
        <v>no conflict</v>
      </c>
      <c r="BF673" s="148" t="str">
        <f t="shared" si="484"/>
        <v>11/19/2017 18:50-&gt;JR F - ISR 1</v>
      </c>
      <c r="BG673" s="148" t="str">
        <f t="shared" si="485"/>
        <v>11/19/2017 18:50-&gt;JR F - USA 2</v>
      </c>
      <c r="BH673" s="148" t="str">
        <f t="shared" si="486"/>
        <v>11/19/2017 18:50-&gt;Hillel - Gym Volleyball</v>
      </c>
      <c r="BI673" s="148" t="str">
        <f t="shared" si="487"/>
        <v>Volleyball in Hillel - Gym Volleyball (ISR1-USA2)</v>
      </c>
      <c r="BJ673" s="148" t="str">
        <f t="shared" si="488"/>
        <v>Junior Female Volleyball-- JR F - ISR 1 vs. JR F - USA 2</v>
      </c>
      <c r="BK673" s="148" t="str">
        <f t="shared" si="489"/>
        <v>Volleyball</v>
      </c>
      <c r="BL673" s="148" t="str">
        <f t="shared" si="490"/>
        <v>JR F - ISR 1</v>
      </c>
      <c r="BM673" s="148" t="str">
        <f t="shared" si="491"/>
        <v>JR F - USA 2</v>
      </c>
      <c r="BN673" s="148" t="str">
        <f t="shared" si="492"/>
        <v>Round - 1</v>
      </c>
      <c r="BP673" s="148" t="str">
        <f t="shared" si="493"/>
        <v>no t, f, or sf</v>
      </c>
      <c r="BQ673" s="148" t="str">
        <f t="shared" si="494"/>
        <v/>
      </c>
    </row>
    <row r="674" spans="1:69" ht="15" customHeight="1" x14ac:dyDescent="0.2">
      <c r="A674" s="376">
        <v>672</v>
      </c>
      <c r="B674" s="333" t="s">
        <v>70</v>
      </c>
      <c r="C674" s="329" t="s">
        <v>518</v>
      </c>
      <c r="D674" s="379">
        <v>1</v>
      </c>
      <c r="E674" s="379">
        <v>1</v>
      </c>
      <c r="F674" s="315" t="s">
        <v>770</v>
      </c>
      <c r="G674" s="330">
        <v>43060</v>
      </c>
      <c r="H674" s="331">
        <v>0.78472222222222221</v>
      </c>
      <c r="I674" s="325" t="s">
        <v>770</v>
      </c>
      <c r="J674" s="315" t="s">
        <v>697</v>
      </c>
      <c r="K674" s="315">
        <v>63</v>
      </c>
      <c r="L674" s="333" t="s">
        <v>659</v>
      </c>
      <c r="M674">
        <v>63</v>
      </c>
      <c r="N674" s="333" t="s">
        <v>668</v>
      </c>
      <c r="O674" s="153" t="str">
        <f>IF(L674&lt;&gt;"",IFERROR(VLOOKUP(B674&amp;L674,Pools!$A$2:$D$130,3,FALSE),""),"")</f>
        <v/>
      </c>
      <c r="P674" s="388">
        <v>2</v>
      </c>
      <c r="Q674" s="388">
        <v>0</v>
      </c>
      <c r="R674" s="306" t="str">
        <f t="shared" si="450"/>
        <v>2-0</v>
      </c>
      <c r="S674" s="153"/>
      <c r="T674" s="148" t="str">
        <f t="shared" si="451"/>
        <v>Completed</v>
      </c>
      <c r="U674" s="153"/>
      <c r="V674" s="153"/>
      <c r="W674" s="387">
        <f t="shared" si="452"/>
        <v>2</v>
      </c>
      <c r="X674" s="387">
        <f t="shared" si="453"/>
        <v>-2</v>
      </c>
      <c r="Y674" s="301">
        <f t="shared" si="454"/>
        <v>2</v>
      </c>
      <c r="Z674" s="301">
        <f t="shared" si="455"/>
        <v>0</v>
      </c>
      <c r="AA674" s="323" t="str">
        <f>CONCATENATE("                x[team1,team2,sport,'",IF(OR(I674="x",I674=""),VLOOKUP('Schedule from TM'!J675,Tables!$P$3:$Q$33,2,FALSE),'Schedule from TM'!I675),",",J674,"','",IF(OR(F674="x",F674=""),VLOOKUP('Schedule from TM'!G675,Tables!$U$3:$V$14,2,FALSE),'Schedule from TM'!F675),",",TEXT(G674,"mm/dd/yyyy"),"','",TEXT(H674,"h:mm:ss AM/PM"),"'].ub=0.0      #",B674)</f>
        <v xml:space="preserve">                x[team1,team2,sport,'21,JCC Gym South','22,11/21/2017','6:50:00 PM'].ub=0.0      #Junior Female Volleyball</v>
      </c>
      <c r="AB674" s="301" t="str">
        <f t="shared" si="456"/>
        <v>,,Junior Female Volleyball,,1,JR F - ARG 1</v>
      </c>
      <c r="AC674" s="153" t="str">
        <f t="shared" si="457"/>
        <v>Junior Female VolleyballJR F - ARG 1</v>
      </c>
      <c r="AD674" s="301" t="str">
        <f t="shared" si="458"/>
        <v>,,Junior Female Volleyball,,1,JR F - VEN 1</v>
      </c>
      <c r="AE674" s="153" t="str">
        <f t="shared" si="459"/>
        <v>Junior Female VolleyballJR F - VEN 1</v>
      </c>
      <c r="AF674" s="383">
        <f t="shared" si="460"/>
        <v>1</v>
      </c>
      <c r="AG674" s="383">
        <f t="shared" si="461"/>
        <v>0</v>
      </c>
      <c r="AH674" s="383">
        <f t="shared" si="462"/>
        <v>0</v>
      </c>
      <c r="AI674" s="383">
        <f t="shared" si="463"/>
        <v>0</v>
      </c>
      <c r="AJ674" s="383">
        <f t="shared" si="464"/>
        <v>1</v>
      </c>
      <c r="AK674" s="383">
        <f t="shared" si="465"/>
        <v>0</v>
      </c>
      <c r="AM674" s="148" t="str">
        <f t="shared" si="466"/>
        <v>Schedulled</v>
      </c>
      <c r="AN674" s="148" t="str">
        <f t="shared" si="467"/>
        <v/>
      </c>
      <c r="AO674" s="156">
        <f t="shared" si="468"/>
        <v>43060.784722222219</v>
      </c>
      <c r="AP674" s="148" t="str">
        <f t="shared" si="469"/>
        <v>11/21/2017 18:50-&gt;JCC Gym South</v>
      </c>
      <c r="AQ674" s="374">
        <f t="shared" si="470"/>
        <v>1</v>
      </c>
      <c r="AR674" s="148" t="str">
        <f t="shared" si="471"/>
        <v>ARG1</v>
      </c>
      <c r="AS674" s="148" t="str">
        <f t="shared" si="472"/>
        <v>VEN1</v>
      </c>
      <c r="AT674" s="157" t="str">
        <f t="shared" si="473"/>
        <v>ARG1-VEN1</v>
      </c>
      <c r="AU674" s="157" t="str">
        <f t="shared" si="474"/>
        <v xml:space="preserve">ARG1-VEN1 </v>
      </c>
      <c r="AV674" s="157" t="str">
        <f t="shared" si="475"/>
        <v>JUNIORS FEMALE</v>
      </c>
      <c r="AW674" s="157" t="str">
        <f t="shared" si="476"/>
        <v>Volleyball</v>
      </c>
      <c r="AX674" s="376">
        <f t="shared" si="477"/>
        <v>672</v>
      </c>
      <c r="AY674" s="148" t="str">
        <f t="shared" si="478"/>
        <v>JR F - ARG 1-&gt;JR F - VEN 1</v>
      </c>
      <c r="AZ674" s="148" t="str">
        <f t="shared" si="479"/>
        <v>11/21/2017 18:50-&gt;JR F - ARG 1</v>
      </c>
      <c r="BA674" s="148" t="str">
        <f t="shared" si="480"/>
        <v>11/21/2017 18:50-&gt;JR F - VEN 1</v>
      </c>
      <c r="BB674" s="374">
        <f t="shared" si="481"/>
        <v>1</v>
      </c>
      <c r="BC674" s="374">
        <f t="shared" si="482"/>
        <v>1</v>
      </c>
      <c r="BD674" s="148" t="str">
        <f t="shared" si="483"/>
        <v>no conflict</v>
      </c>
      <c r="BF674" s="148" t="str">
        <f t="shared" si="484"/>
        <v>11/21/2017 18:50-&gt;JR F - ARG 1</v>
      </c>
      <c r="BG674" s="148" t="str">
        <f t="shared" si="485"/>
        <v>11/21/2017 18:50-&gt;JR F - VEN 1</v>
      </c>
      <c r="BH674" s="148" t="str">
        <f t="shared" si="486"/>
        <v>11/21/2017 18:50-&gt;JCC Gym South</v>
      </c>
      <c r="BI674" s="148" t="str">
        <f t="shared" si="487"/>
        <v>Volleyball in JCC Gym South (ARG1-VEN1)</v>
      </c>
      <c r="BJ674" s="148" t="str">
        <f t="shared" si="488"/>
        <v>Junior Female Volleyball-- JR F - ARG 1 vs. JR F - VEN 1</v>
      </c>
      <c r="BK674" s="148" t="str">
        <f t="shared" si="489"/>
        <v>Volleyball</v>
      </c>
      <c r="BL674" s="148" t="str">
        <f t="shared" si="490"/>
        <v>JR F - ARG 1</v>
      </c>
      <c r="BM674" s="148" t="str">
        <f t="shared" si="491"/>
        <v>JR F - VEN 1</v>
      </c>
      <c r="BN674" s="148" t="str">
        <f t="shared" si="492"/>
        <v>Round - 1</v>
      </c>
      <c r="BP674" s="148" t="str">
        <f t="shared" si="493"/>
        <v>no t, f, or sf</v>
      </c>
      <c r="BQ674" s="148" t="str">
        <f t="shared" si="494"/>
        <v/>
      </c>
    </row>
    <row r="675" spans="1:69" ht="15" customHeight="1" x14ac:dyDescent="0.2">
      <c r="A675" s="376">
        <v>673</v>
      </c>
      <c r="B675" s="121" t="s">
        <v>70</v>
      </c>
      <c r="C675" s="121" t="s">
        <v>518</v>
      </c>
      <c r="D675" s="382">
        <v>1</v>
      </c>
      <c r="E675" s="382">
        <v>1</v>
      </c>
      <c r="F675" s="315" t="s">
        <v>770</v>
      </c>
      <c r="G675" s="206">
        <v>43060</v>
      </c>
      <c r="H675" s="317">
        <v>0.71527777777777779</v>
      </c>
      <c r="I675" s="325" t="s">
        <v>770</v>
      </c>
      <c r="J675" s="444" t="s">
        <v>708</v>
      </c>
      <c r="K675" s="121">
        <v>63</v>
      </c>
      <c r="L675" t="s">
        <v>661</v>
      </c>
      <c r="M675">
        <v>63</v>
      </c>
      <c r="N675" t="s">
        <v>665</v>
      </c>
      <c r="O675" s="153" t="str">
        <f>IF(L675&lt;&gt;"",IFERROR(VLOOKUP(B675&amp;L675,Pools!$A$2:$D$130,3,FALSE),""),"")</f>
        <v/>
      </c>
      <c r="P675" s="388">
        <v>2</v>
      </c>
      <c r="Q675" s="388">
        <v>1</v>
      </c>
      <c r="R675" s="306" t="str">
        <f t="shared" si="450"/>
        <v>2-1</v>
      </c>
      <c r="S675" s="153"/>
      <c r="T675" s="148" t="str">
        <f t="shared" si="451"/>
        <v>Completed</v>
      </c>
      <c r="U675" s="153"/>
      <c r="V675" s="153"/>
      <c r="W675" s="387">
        <f t="shared" si="452"/>
        <v>1</v>
      </c>
      <c r="X675" s="387">
        <f t="shared" si="453"/>
        <v>-1</v>
      </c>
      <c r="Y675" s="301">
        <f t="shared" si="454"/>
        <v>2</v>
      </c>
      <c r="Z675" s="301">
        <f t="shared" si="455"/>
        <v>0</v>
      </c>
      <c r="AA675" s="323" t="str">
        <f>CONCATENATE("                x[team1,team2,sport,'",IF(OR(I675="x",I675=""),VLOOKUP('Schedule from TM'!J676,Tables!$P$3:$Q$33,2,FALSE),'Schedule from TM'!I676),",",J675,"','",IF(OR(F675="x",F675=""),VLOOKUP('Schedule from TM'!G676,Tables!$U$3:$V$14,2,FALSE),'Schedule from TM'!F676),",",TEXT(G675,"mm/dd/yyyy"),"','",TEXT(H675,"h:mm:ss AM/PM"),"'].ub=0.0      #",B675)</f>
        <v xml:space="preserve">                x[team1,team2,sport,'21,Hillel - Gym Volleyball','11,11/21/2017','5:10:00 PM'].ub=0.0      #Junior Female Volleyball</v>
      </c>
      <c r="AB675" s="301" t="str">
        <f t="shared" si="456"/>
        <v>,,Junior Female Volleyball,,1,JR F - ISR 1</v>
      </c>
      <c r="AC675" s="153" t="str">
        <f t="shared" si="457"/>
        <v>Junior Female VolleyballJR F - ISR 1</v>
      </c>
      <c r="AD675" s="301" t="str">
        <f t="shared" si="458"/>
        <v>,,Junior Female Volleyball,,1,JR F - USA 1</v>
      </c>
      <c r="AE675" s="153" t="str">
        <f t="shared" si="459"/>
        <v>Junior Female VolleyballJR F - USA 1</v>
      </c>
      <c r="AF675" s="383">
        <f t="shared" si="460"/>
        <v>1</v>
      </c>
      <c r="AG675" s="383">
        <f t="shared" si="461"/>
        <v>0</v>
      </c>
      <c r="AH675" s="383">
        <f t="shared" si="462"/>
        <v>0</v>
      </c>
      <c r="AI675" s="383">
        <f t="shared" si="463"/>
        <v>0</v>
      </c>
      <c r="AJ675" s="383">
        <f t="shared" si="464"/>
        <v>1</v>
      </c>
      <c r="AK675" s="383">
        <f t="shared" si="465"/>
        <v>0</v>
      </c>
      <c r="AM675" s="148" t="str">
        <f t="shared" si="466"/>
        <v>Schedulled</v>
      </c>
      <c r="AN675" s="148" t="str">
        <f t="shared" si="467"/>
        <v/>
      </c>
      <c r="AO675" s="156">
        <f t="shared" si="468"/>
        <v>43060.715277777781</v>
      </c>
      <c r="AP675" s="148" t="str">
        <f t="shared" si="469"/>
        <v>11/21/2017 17:10-&gt;Hillel - Gym Volleyball</v>
      </c>
      <c r="AQ675" s="374">
        <f t="shared" si="470"/>
        <v>1</v>
      </c>
      <c r="AR675" s="148" t="str">
        <f t="shared" si="471"/>
        <v>ISR1</v>
      </c>
      <c r="AS675" s="148" t="str">
        <f t="shared" si="472"/>
        <v>USA1</v>
      </c>
      <c r="AT675" s="157" t="str">
        <f t="shared" si="473"/>
        <v>ISR1-USA1</v>
      </c>
      <c r="AU675" s="157" t="str">
        <f t="shared" si="474"/>
        <v xml:space="preserve">ISR1-USA1 </v>
      </c>
      <c r="AV675" s="157" t="str">
        <f t="shared" si="475"/>
        <v>JUNIORS FEMALE</v>
      </c>
      <c r="AW675" s="157" t="str">
        <f t="shared" si="476"/>
        <v>Volleyball</v>
      </c>
      <c r="AX675" s="376">
        <f t="shared" si="477"/>
        <v>673</v>
      </c>
      <c r="AY675" s="148" t="str">
        <f t="shared" si="478"/>
        <v>JR F - ISR 1-&gt;JR F - USA 1</v>
      </c>
      <c r="AZ675" s="148" t="str">
        <f t="shared" si="479"/>
        <v>11/21/2017 17:10-&gt;JR F - ISR 1</v>
      </c>
      <c r="BA675" s="148" t="str">
        <f t="shared" si="480"/>
        <v>11/21/2017 17:10-&gt;JR F - USA 1</v>
      </c>
      <c r="BB675" s="374">
        <f t="shared" si="481"/>
        <v>1</v>
      </c>
      <c r="BC675" s="374">
        <f t="shared" si="482"/>
        <v>1</v>
      </c>
      <c r="BD675" s="148" t="str">
        <f t="shared" si="483"/>
        <v>no conflict</v>
      </c>
      <c r="BF675" s="148" t="str">
        <f t="shared" si="484"/>
        <v>11/21/2017 17:10-&gt;JR F - ISR 1</v>
      </c>
      <c r="BG675" s="148" t="str">
        <f t="shared" si="485"/>
        <v>11/21/2017 17:10-&gt;JR F - USA 1</v>
      </c>
      <c r="BH675" s="148" t="str">
        <f t="shared" si="486"/>
        <v>11/21/2017 17:10-&gt;Hillel - Gym Volleyball</v>
      </c>
      <c r="BI675" s="148" t="str">
        <f t="shared" si="487"/>
        <v>Volleyball in Hillel - Gym Volleyball (ISR1-USA1)</v>
      </c>
      <c r="BJ675" s="148" t="str">
        <f t="shared" si="488"/>
        <v>Junior Female Volleyball-- JR F - ISR 1 vs. JR F - USA 1</v>
      </c>
      <c r="BK675" s="148" t="str">
        <f t="shared" si="489"/>
        <v>Volleyball</v>
      </c>
      <c r="BL675" s="148" t="str">
        <f t="shared" si="490"/>
        <v>JR F - ISR 1</v>
      </c>
      <c r="BM675" s="148" t="str">
        <f t="shared" si="491"/>
        <v>JR F - USA 1</v>
      </c>
      <c r="BN675" s="148" t="str">
        <f t="shared" si="492"/>
        <v>Round - 1</v>
      </c>
      <c r="BP675" s="148" t="str">
        <f t="shared" si="493"/>
        <v>no t, f, or sf</v>
      </c>
      <c r="BQ675" s="148" t="str">
        <f t="shared" si="494"/>
        <v/>
      </c>
    </row>
    <row r="676" spans="1:69" ht="15" customHeight="1" x14ac:dyDescent="0.2">
      <c r="A676" s="376">
        <v>674</v>
      </c>
      <c r="B676" s="315" t="s">
        <v>70</v>
      </c>
      <c r="C676" s="315" t="s">
        <v>518</v>
      </c>
      <c r="D676" s="378">
        <v>1</v>
      </c>
      <c r="E676" s="378">
        <v>1</v>
      </c>
      <c r="F676" s="315" t="s">
        <v>770</v>
      </c>
      <c r="G676" s="316">
        <v>43058</v>
      </c>
      <c r="H676" s="317">
        <v>0.36805555555555558</v>
      </c>
      <c r="I676" s="325" t="s">
        <v>770</v>
      </c>
      <c r="J676" s="296" t="s">
        <v>708</v>
      </c>
      <c r="K676" s="315">
        <v>63</v>
      </c>
      <c r="L676" t="s">
        <v>660</v>
      </c>
      <c r="M676">
        <v>63</v>
      </c>
      <c r="N676" t="s">
        <v>668</v>
      </c>
      <c r="O676" s="153" t="str">
        <f>IF(L676&lt;&gt;"",IFERROR(VLOOKUP(B676&amp;L676,Pools!$A$2:$D$130,3,FALSE),""),"")</f>
        <v/>
      </c>
      <c r="P676" s="388">
        <v>2</v>
      </c>
      <c r="Q676" s="388">
        <v>0</v>
      </c>
      <c r="R676" s="306" t="str">
        <f t="shared" si="450"/>
        <v>2-0</v>
      </c>
      <c r="S676" s="153"/>
      <c r="T676" s="148" t="str">
        <f t="shared" si="451"/>
        <v>Completed</v>
      </c>
      <c r="U676" s="153"/>
      <c r="V676" s="153"/>
      <c r="W676" s="387">
        <f t="shared" si="452"/>
        <v>2</v>
      </c>
      <c r="X676" s="387">
        <f t="shared" si="453"/>
        <v>-2</v>
      </c>
      <c r="Y676" s="301">
        <f t="shared" si="454"/>
        <v>2</v>
      </c>
      <c r="Z676" s="301">
        <f t="shared" si="455"/>
        <v>0</v>
      </c>
      <c r="AA676" s="323" t="str">
        <f>CONCATENATE("                x[team1,team2,sport,'",IF(OR(I676="x",I676=""),VLOOKUP('Schedule from TM'!J677,Tables!$P$3:$Q$33,2,FALSE),'Schedule from TM'!I677),",",J676,"','",IF(OR(F676="x",F676=""),VLOOKUP('Schedule from TM'!G677,Tables!$U$3:$V$14,2,FALSE),'Schedule from TM'!F677),",",TEXT(G676,"mm/dd/yyyy"),"','",TEXT(H676,"h:mm:ss AM/PM"),"'].ub=0.0      #",B676)</f>
        <v xml:space="preserve">                x[team1,team2,sport,'21,Hillel - Gym Volleyball','22,11/19/2017','8:50:00 AM'].ub=0.0      #Junior Female Volleyball</v>
      </c>
      <c r="AB676" s="301" t="str">
        <f t="shared" si="456"/>
        <v>,,Junior Female Volleyball,,1,JR F - COL 2</v>
      </c>
      <c r="AC676" s="153" t="str">
        <f t="shared" si="457"/>
        <v>Junior Female VolleyballJR F - COL 2</v>
      </c>
      <c r="AD676" s="301" t="str">
        <f t="shared" si="458"/>
        <v>,,Junior Female Volleyball,,1,JR F - VEN 1</v>
      </c>
      <c r="AE676" s="153" t="str">
        <f t="shared" si="459"/>
        <v>Junior Female VolleyballJR F - VEN 1</v>
      </c>
      <c r="AF676" s="383">
        <f t="shared" si="460"/>
        <v>1</v>
      </c>
      <c r="AG676" s="383">
        <f t="shared" si="461"/>
        <v>0</v>
      </c>
      <c r="AH676" s="383">
        <f t="shared" si="462"/>
        <v>0</v>
      </c>
      <c r="AI676" s="383">
        <f t="shared" si="463"/>
        <v>0</v>
      </c>
      <c r="AJ676" s="383">
        <f t="shared" si="464"/>
        <v>1</v>
      </c>
      <c r="AK676" s="383">
        <f t="shared" si="465"/>
        <v>0</v>
      </c>
      <c r="AM676" s="148" t="str">
        <f t="shared" si="466"/>
        <v>Schedulled</v>
      </c>
      <c r="AN676" s="148" t="str">
        <f t="shared" si="467"/>
        <v/>
      </c>
      <c r="AO676" s="156">
        <f t="shared" si="468"/>
        <v>43058.368055555555</v>
      </c>
      <c r="AP676" s="148" t="str">
        <f t="shared" si="469"/>
        <v>11/19/2017 08:50-&gt;Hillel - Gym Volleyball</v>
      </c>
      <c r="AQ676" s="374">
        <f t="shared" si="470"/>
        <v>1</v>
      </c>
      <c r="AR676" s="148" t="str">
        <f t="shared" si="471"/>
        <v>COL2</v>
      </c>
      <c r="AS676" s="148" t="str">
        <f t="shared" si="472"/>
        <v>VEN1</v>
      </c>
      <c r="AT676" s="157" t="str">
        <f t="shared" si="473"/>
        <v>COL2-VEN1</v>
      </c>
      <c r="AU676" s="157" t="str">
        <f t="shared" si="474"/>
        <v xml:space="preserve">COL2-VEN1 </v>
      </c>
      <c r="AV676" s="157" t="str">
        <f t="shared" si="475"/>
        <v>JUNIORS FEMALE</v>
      </c>
      <c r="AW676" s="157" t="str">
        <f t="shared" si="476"/>
        <v>Volleyball</v>
      </c>
      <c r="AX676" s="376">
        <f t="shared" si="477"/>
        <v>674</v>
      </c>
      <c r="AY676" s="148" t="str">
        <f t="shared" si="478"/>
        <v>JR F - COL 2-&gt;JR F - VEN 1</v>
      </c>
      <c r="AZ676" s="148" t="str">
        <f t="shared" si="479"/>
        <v>11/19/2017 08:50-&gt;JR F - COL 2</v>
      </c>
      <c r="BA676" s="148" t="str">
        <f t="shared" si="480"/>
        <v>11/19/2017 08:50-&gt;JR F - VEN 1</v>
      </c>
      <c r="BB676" s="374">
        <f t="shared" si="481"/>
        <v>1</v>
      </c>
      <c r="BC676" s="374">
        <f t="shared" si="482"/>
        <v>1</v>
      </c>
      <c r="BD676" s="148" t="str">
        <f t="shared" si="483"/>
        <v>no conflict</v>
      </c>
      <c r="BF676" s="148" t="str">
        <f t="shared" si="484"/>
        <v>11/19/2017 08:50-&gt;JR F - COL 2</v>
      </c>
      <c r="BG676" s="148" t="str">
        <f t="shared" si="485"/>
        <v>11/19/2017 08:50-&gt;JR F - VEN 1</v>
      </c>
      <c r="BH676" s="148" t="str">
        <f t="shared" si="486"/>
        <v>11/19/2017 08:50-&gt;Hillel - Gym Volleyball</v>
      </c>
      <c r="BI676" s="148" t="str">
        <f t="shared" si="487"/>
        <v>Volleyball in Hillel - Gym Volleyball (COL2-VEN1)</v>
      </c>
      <c r="BJ676" s="148" t="str">
        <f t="shared" si="488"/>
        <v>Junior Female Volleyball-- JR F - COL 2 vs. JR F - VEN 1</v>
      </c>
      <c r="BK676" s="148" t="str">
        <f t="shared" si="489"/>
        <v>Volleyball</v>
      </c>
      <c r="BL676" s="148" t="str">
        <f t="shared" si="490"/>
        <v>JR F - COL 2</v>
      </c>
      <c r="BM676" s="148" t="str">
        <f t="shared" si="491"/>
        <v>JR F - VEN 1</v>
      </c>
      <c r="BN676" s="148" t="str">
        <f t="shared" si="492"/>
        <v>Round - 1</v>
      </c>
      <c r="BP676" s="148" t="str">
        <f t="shared" si="493"/>
        <v>no t, f, or sf</v>
      </c>
      <c r="BQ676" s="148" t="str">
        <f t="shared" si="494"/>
        <v/>
      </c>
    </row>
    <row r="677" spans="1:69" ht="15" customHeight="1" x14ac:dyDescent="0.2">
      <c r="A677" s="376">
        <v>675</v>
      </c>
      <c r="B677" s="315" t="s">
        <v>70</v>
      </c>
      <c r="C677" s="315" t="s">
        <v>518</v>
      </c>
      <c r="D677" s="378">
        <v>1</v>
      </c>
      <c r="E677" s="378">
        <v>1</v>
      </c>
      <c r="F677" s="315" t="s">
        <v>770</v>
      </c>
      <c r="G677" s="316">
        <v>43060</v>
      </c>
      <c r="H677" s="318">
        <v>0.78472222222222221</v>
      </c>
      <c r="I677" s="325" t="s">
        <v>770</v>
      </c>
      <c r="J677" s="315" t="s">
        <v>708</v>
      </c>
      <c r="K677" s="315">
        <v>63</v>
      </c>
      <c r="L677" t="s">
        <v>665</v>
      </c>
      <c r="M677">
        <v>63</v>
      </c>
      <c r="N677" t="s">
        <v>667</v>
      </c>
      <c r="O677" s="153" t="str">
        <f>IF(L677&lt;&gt;"",IFERROR(VLOOKUP(B677&amp;L677,Pools!$A$2:$D$130,3,FALSE),""),"")</f>
        <v/>
      </c>
      <c r="P677" s="388">
        <v>0</v>
      </c>
      <c r="Q677" s="388">
        <v>2</v>
      </c>
      <c r="R677" s="306" t="str">
        <f t="shared" si="450"/>
        <v>0-2</v>
      </c>
      <c r="S677" s="153"/>
      <c r="T677" s="148" t="str">
        <f t="shared" si="451"/>
        <v>Completed</v>
      </c>
      <c r="U677" s="153"/>
      <c r="V677" s="153"/>
      <c r="W677" s="387">
        <f t="shared" si="452"/>
        <v>-2</v>
      </c>
      <c r="X677" s="387">
        <f t="shared" si="453"/>
        <v>2</v>
      </c>
      <c r="Y677" s="301">
        <f t="shared" si="454"/>
        <v>0</v>
      </c>
      <c r="Z677" s="301">
        <f t="shared" si="455"/>
        <v>2</v>
      </c>
      <c r="AA677" s="323" t="str">
        <f>CONCATENATE("                x[team1,team2,sport,'",IF(OR(I677="x",I677=""),VLOOKUP('Schedule from TM'!J678,Tables!$P$3:$Q$33,2,FALSE),'Schedule from TM'!I678),",",J677,"','",IF(OR(F677="x",F677=""),VLOOKUP('Schedule from TM'!G678,Tables!$U$3:$V$14,2,FALSE),'Schedule from TM'!F678),",",TEXT(G677,"mm/dd/yyyy"),"','",TEXT(H677,"h:mm:ss AM/PM"),"'].ub=0.0      #",B677)</f>
        <v xml:space="preserve">                x[team1,team2,sport,'21,Hillel - Gym Volleyball','22,11/21/2017','6:50:00 PM'].ub=0.0      #Junior Female Volleyball</v>
      </c>
      <c r="AB677" s="301" t="str">
        <f t="shared" si="456"/>
        <v>,,Junior Female Volleyball,,1,JR F - USA 1</v>
      </c>
      <c r="AC677" s="153" t="str">
        <f t="shared" si="457"/>
        <v>Junior Female VolleyballJR F - USA 1</v>
      </c>
      <c r="AD677" s="301" t="str">
        <f t="shared" si="458"/>
        <v>,,Junior Female Volleyball,,1,JR F - USA 2</v>
      </c>
      <c r="AE677" s="153" t="str">
        <f t="shared" si="459"/>
        <v>Junior Female VolleyballJR F - USA 2</v>
      </c>
      <c r="AF677" s="383">
        <f t="shared" si="460"/>
        <v>0</v>
      </c>
      <c r="AG677" s="383">
        <f t="shared" si="461"/>
        <v>1</v>
      </c>
      <c r="AH677" s="383">
        <f t="shared" si="462"/>
        <v>0</v>
      </c>
      <c r="AI677" s="383">
        <f t="shared" si="463"/>
        <v>1</v>
      </c>
      <c r="AJ677" s="383">
        <f t="shared" si="464"/>
        <v>0</v>
      </c>
      <c r="AK677" s="383">
        <f t="shared" si="465"/>
        <v>0</v>
      </c>
      <c r="AM677" s="148" t="str">
        <f t="shared" si="466"/>
        <v>Schedulled</v>
      </c>
      <c r="AN677" s="148" t="str">
        <f t="shared" si="467"/>
        <v/>
      </c>
      <c r="AO677" s="156">
        <f t="shared" si="468"/>
        <v>43060.784722222219</v>
      </c>
      <c r="AP677" s="148" t="str">
        <f t="shared" si="469"/>
        <v>11/21/2017 18:50-&gt;Hillel - Gym Volleyball</v>
      </c>
      <c r="AQ677" s="374">
        <f t="shared" si="470"/>
        <v>1</v>
      </c>
      <c r="AR677" s="148" t="str">
        <f t="shared" si="471"/>
        <v>USA1</v>
      </c>
      <c r="AS677" s="148" t="str">
        <f t="shared" si="472"/>
        <v>USA2</v>
      </c>
      <c r="AT677" s="157" t="str">
        <f t="shared" si="473"/>
        <v>USA1-USA2</v>
      </c>
      <c r="AU677" s="157" t="str">
        <f t="shared" si="474"/>
        <v xml:space="preserve">USA1-USA2 </v>
      </c>
      <c r="AV677" s="157" t="str">
        <f t="shared" si="475"/>
        <v>JUNIORS FEMALE</v>
      </c>
      <c r="AW677" s="157" t="str">
        <f t="shared" si="476"/>
        <v>Volleyball</v>
      </c>
      <c r="AX677" s="376">
        <f t="shared" si="477"/>
        <v>675</v>
      </c>
      <c r="AY677" s="148" t="str">
        <f t="shared" si="478"/>
        <v>JR F - USA 1-&gt;JR F - USA 2</v>
      </c>
      <c r="AZ677" s="148" t="str">
        <f t="shared" si="479"/>
        <v>11/21/2017 18:50-&gt;JR F - USA 1</v>
      </c>
      <c r="BA677" s="148" t="str">
        <f t="shared" si="480"/>
        <v>11/21/2017 18:50-&gt;JR F - USA 2</v>
      </c>
      <c r="BB677" s="374">
        <f t="shared" si="481"/>
        <v>1</v>
      </c>
      <c r="BC677" s="374">
        <f t="shared" si="482"/>
        <v>1</v>
      </c>
      <c r="BD677" s="148" t="str">
        <f t="shared" si="483"/>
        <v>no conflict</v>
      </c>
      <c r="BF677" s="148" t="str">
        <f t="shared" si="484"/>
        <v>11/21/2017 18:50-&gt;JR F - USA 1</v>
      </c>
      <c r="BG677" s="148" t="str">
        <f t="shared" si="485"/>
        <v>11/21/2017 18:50-&gt;JR F - USA 2</v>
      </c>
      <c r="BH677" s="148" t="str">
        <f t="shared" si="486"/>
        <v>11/21/2017 18:50-&gt;Hillel - Gym Volleyball</v>
      </c>
      <c r="BI677" s="148" t="str">
        <f t="shared" si="487"/>
        <v>Volleyball in Hillel - Gym Volleyball (USA1-USA2)</v>
      </c>
      <c r="BJ677" s="148" t="str">
        <f t="shared" si="488"/>
        <v>Junior Female Volleyball-- JR F - USA 1 vs. JR F - USA 2</v>
      </c>
      <c r="BK677" s="148" t="str">
        <f t="shared" si="489"/>
        <v>Volleyball</v>
      </c>
      <c r="BL677" s="148" t="str">
        <f t="shared" si="490"/>
        <v>JR F - USA 1</v>
      </c>
      <c r="BM677" s="148" t="str">
        <f t="shared" si="491"/>
        <v>JR F - USA 2</v>
      </c>
      <c r="BN677" s="148" t="str">
        <f t="shared" si="492"/>
        <v>Round - 1</v>
      </c>
      <c r="BP677" s="148" t="str">
        <f t="shared" si="493"/>
        <v>no t, f, or sf</v>
      </c>
      <c r="BQ677" s="148" t="str">
        <f t="shared" si="494"/>
        <v/>
      </c>
    </row>
    <row r="678" spans="1:69" ht="15" customHeight="1" x14ac:dyDescent="0.2">
      <c r="A678" s="376">
        <v>676</v>
      </c>
      <c r="B678" s="121" t="s">
        <v>70</v>
      </c>
      <c r="C678" s="121" t="s">
        <v>518</v>
      </c>
      <c r="D678" s="382">
        <v>1</v>
      </c>
      <c r="E678" s="382">
        <v>1</v>
      </c>
      <c r="F678" s="315" t="s">
        <v>770</v>
      </c>
      <c r="G678" s="206">
        <v>43060</v>
      </c>
      <c r="H678" s="317">
        <v>0.85416666666666663</v>
      </c>
      <c r="I678" s="325" t="s">
        <v>770</v>
      </c>
      <c r="J678" s="315" t="s">
        <v>708</v>
      </c>
      <c r="K678" s="121">
        <v>63</v>
      </c>
      <c r="L678" t="s">
        <v>664</v>
      </c>
      <c r="M678">
        <v>63</v>
      </c>
      <c r="N678" t="s">
        <v>668</v>
      </c>
      <c r="O678" s="153" t="str">
        <f>IF(L678&lt;&gt;"",IFERROR(VLOOKUP(B678&amp;L678,Pools!$A$2:$D$130,3,FALSE),""),"")</f>
        <v/>
      </c>
      <c r="P678" s="388">
        <v>2</v>
      </c>
      <c r="Q678" s="388">
        <v>1</v>
      </c>
      <c r="R678" s="306" t="str">
        <f t="shared" si="450"/>
        <v>2-1</v>
      </c>
      <c r="S678" s="153"/>
      <c r="T678" s="148" t="str">
        <f t="shared" si="451"/>
        <v>Completed</v>
      </c>
      <c r="U678" s="153"/>
      <c r="V678" s="153"/>
      <c r="W678" s="387">
        <f t="shared" si="452"/>
        <v>1</v>
      </c>
      <c r="X678" s="387">
        <f t="shared" si="453"/>
        <v>-1</v>
      </c>
      <c r="Y678" s="301">
        <f t="shared" si="454"/>
        <v>2</v>
      </c>
      <c r="Z678" s="301">
        <f t="shared" si="455"/>
        <v>0</v>
      </c>
      <c r="AA678" s="323" t="str">
        <f>CONCATENATE("                x[team1,team2,sport,'",IF(OR(I678="x",I678=""),VLOOKUP('Schedule from TM'!J679,Tables!$P$3:$Q$33,2,FALSE),'Schedule from TM'!I679),",",J678,"','",IF(OR(F678="x",F678=""),VLOOKUP('Schedule from TM'!G679,Tables!$U$3:$V$14,2,FALSE),'Schedule from TM'!F679),",",TEXT(G678,"mm/dd/yyyy"),"','",TEXT(H678,"h:mm:ss AM/PM"),"'].ub=0.0      #",B678)</f>
        <v xml:space="preserve">                x[team1,team2,sport,'11,Hillel - Gym Volleyball','22,11/21/2017','8:30:00 PM'].ub=0.0      #Junior Female Volleyball</v>
      </c>
      <c r="AB678" s="301" t="str">
        <f t="shared" si="456"/>
        <v>,,Junior Female Volleyball,,1,JR F - PER</v>
      </c>
      <c r="AC678" s="153" t="str">
        <f t="shared" si="457"/>
        <v>Junior Female VolleyballJR F - PER</v>
      </c>
      <c r="AD678" s="301" t="str">
        <f t="shared" si="458"/>
        <v>,,Junior Female Volleyball,,1,JR F - VEN 1</v>
      </c>
      <c r="AE678" s="153" t="str">
        <f t="shared" si="459"/>
        <v>Junior Female VolleyballJR F - VEN 1</v>
      </c>
      <c r="AF678" s="383">
        <f t="shared" si="460"/>
        <v>1</v>
      </c>
      <c r="AG678" s="383">
        <f t="shared" si="461"/>
        <v>0</v>
      </c>
      <c r="AH678" s="383">
        <f t="shared" si="462"/>
        <v>0</v>
      </c>
      <c r="AI678" s="383">
        <f t="shared" si="463"/>
        <v>0</v>
      </c>
      <c r="AJ678" s="383">
        <f t="shared" si="464"/>
        <v>1</v>
      </c>
      <c r="AK678" s="383">
        <f t="shared" si="465"/>
        <v>0</v>
      </c>
      <c r="AM678" s="148" t="str">
        <f t="shared" si="466"/>
        <v>Schedulled</v>
      </c>
      <c r="AN678" s="148" t="str">
        <f t="shared" si="467"/>
        <v/>
      </c>
      <c r="AO678" s="156">
        <f t="shared" si="468"/>
        <v>43060.854166666664</v>
      </c>
      <c r="AP678" s="148" t="str">
        <f t="shared" si="469"/>
        <v>11/21/2017 20:30-&gt;Hillel - Gym Volleyball</v>
      </c>
      <c r="AQ678" s="374">
        <f t="shared" si="470"/>
        <v>1</v>
      </c>
      <c r="AR678" s="148" t="str">
        <f t="shared" si="471"/>
        <v>PER</v>
      </c>
      <c r="AS678" s="148" t="str">
        <f t="shared" si="472"/>
        <v>VEN1</v>
      </c>
      <c r="AT678" s="157" t="str">
        <f t="shared" si="473"/>
        <v>PER-VEN1</v>
      </c>
      <c r="AU678" s="157" t="str">
        <f t="shared" si="474"/>
        <v xml:space="preserve">PER-VEN1 </v>
      </c>
      <c r="AV678" s="157" t="str">
        <f t="shared" si="475"/>
        <v>JUNIORS FEMALE</v>
      </c>
      <c r="AW678" s="157" t="str">
        <f t="shared" si="476"/>
        <v>Volleyball</v>
      </c>
      <c r="AX678" s="376">
        <f t="shared" si="477"/>
        <v>676</v>
      </c>
      <c r="AY678" s="148" t="str">
        <f t="shared" si="478"/>
        <v>JR F - PER-&gt;JR F - VEN 1</v>
      </c>
      <c r="AZ678" s="148" t="str">
        <f t="shared" si="479"/>
        <v>11/21/2017 20:30-&gt;JR F - PER</v>
      </c>
      <c r="BA678" s="148" t="str">
        <f t="shared" si="480"/>
        <v>11/21/2017 20:30-&gt;JR F - VEN 1</v>
      </c>
      <c r="BB678" s="374">
        <f t="shared" si="481"/>
        <v>1</v>
      </c>
      <c r="BC678" s="374">
        <f t="shared" si="482"/>
        <v>1</v>
      </c>
      <c r="BD678" s="148" t="str">
        <f t="shared" si="483"/>
        <v>no conflict</v>
      </c>
      <c r="BF678" s="148" t="str">
        <f t="shared" si="484"/>
        <v>11/21/2017 20:30-&gt;JR F - PER</v>
      </c>
      <c r="BG678" s="148" t="str">
        <f t="shared" si="485"/>
        <v>11/21/2017 20:30-&gt;JR F - VEN 1</v>
      </c>
      <c r="BH678" s="148" t="str">
        <f t="shared" si="486"/>
        <v>11/21/2017 20:30-&gt;Hillel - Gym Volleyball</v>
      </c>
      <c r="BI678" s="148" t="str">
        <f t="shared" si="487"/>
        <v>Volleyball in Hillel - Gym Volleyball (PER-VEN1)</v>
      </c>
      <c r="BJ678" s="148" t="str">
        <f t="shared" si="488"/>
        <v>Junior Female Volleyball-- JR F - PER vs. JR F - VEN 1</v>
      </c>
      <c r="BK678" s="148" t="str">
        <f t="shared" si="489"/>
        <v>Volleyball</v>
      </c>
      <c r="BL678" s="148" t="str">
        <f t="shared" si="490"/>
        <v>JR F - PER</v>
      </c>
      <c r="BM678" s="148" t="str">
        <f t="shared" si="491"/>
        <v>JR F - VEN 1</v>
      </c>
      <c r="BN678" s="148" t="str">
        <f t="shared" si="492"/>
        <v>Round - 1</v>
      </c>
      <c r="BP678" s="148" t="str">
        <f t="shared" si="493"/>
        <v>no t, f, or sf</v>
      </c>
      <c r="BQ678" s="148" t="str">
        <f t="shared" si="494"/>
        <v/>
      </c>
    </row>
    <row r="679" spans="1:69" ht="15" customHeight="1" x14ac:dyDescent="0.2">
      <c r="A679" s="376">
        <v>677</v>
      </c>
      <c r="B679" s="433" t="s">
        <v>70</v>
      </c>
      <c r="C679" s="315" t="s">
        <v>518</v>
      </c>
      <c r="D679" s="378">
        <v>1</v>
      </c>
      <c r="E679" s="378">
        <v>1</v>
      </c>
      <c r="F679" s="315" t="s">
        <v>770</v>
      </c>
      <c r="G679" s="316">
        <v>43059</v>
      </c>
      <c r="H679" s="317">
        <v>0.75</v>
      </c>
      <c r="I679" s="325" t="s">
        <v>770</v>
      </c>
      <c r="J679" s="296" t="s">
        <v>697</v>
      </c>
      <c r="K679" s="315">
        <v>63</v>
      </c>
      <c r="L679" s="433" t="s">
        <v>669</v>
      </c>
      <c r="M679" s="433">
        <v>63</v>
      </c>
      <c r="N679" s="433" t="s">
        <v>660</v>
      </c>
      <c r="O679" s="153" t="str">
        <f>IF(L679&lt;&gt;"",IFERROR(VLOOKUP(B679&amp;L679,Pools!$A$2:$D$130,3,FALSE),""),"")</f>
        <v/>
      </c>
      <c r="P679" s="388">
        <v>2</v>
      </c>
      <c r="Q679" s="388">
        <v>1</v>
      </c>
      <c r="R679" s="306" t="str">
        <f t="shared" si="450"/>
        <v>2-1</v>
      </c>
      <c r="S679" s="153"/>
      <c r="T679" s="148" t="str">
        <f t="shared" si="451"/>
        <v>Completed</v>
      </c>
      <c r="U679" s="153"/>
      <c r="V679" s="153"/>
      <c r="W679" s="387">
        <f t="shared" si="452"/>
        <v>1</v>
      </c>
      <c r="X679" s="387">
        <f t="shared" si="453"/>
        <v>-1</v>
      </c>
      <c r="Y679" s="301">
        <f t="shared" si="454"/>
        <v>2</v>
      </c>
      <c r="Z679" s="301">
        <f t="shared" si="455"/>
        <v>0</v>
      </c>
      <c r="AA679" s="323" t="str">
        <f>CONCATENATE("                x[team1,team2,sport,'",IF(OR(I679="x",I679=""),VLOOKUP('Schedule from TM'!J680,Tables!$P$3:$Q$33,2,FALSE),'Schedule from TM'!I680),",",J679,"','",IF(OR(F679="x",F679=""),VLOOKUP('Schedule from TM'!G680,Tables!$U$3:$V$14,2,FALSE),'Schedule from TM'!F680),",",TEXT(G679,"mm/dd/yyyy"),"','",TEXT(H679,"h:mm:ss AM/PM"),"'].ub=0.0      #",B679)</f>
        <v xml:space="preserve">                x[team1,team2,sport,'11,JCC Gym South','22,11/20/2017','6:00:00 PM'].ub=0.0      #Junior Female Volleyball</v>
      </c>
      <c r="AB679" s="301" t="str">
        <f t="shared" si="456"/>
        <v>,,Junior Female Volleyball,,1,JR F - VEN 2</v>
      </c>
      <c r="AC679" s="153" t="str">
        <f t="shared" si="457"/>
        <v>Junior Female VolleyballJR F - VEN 2</v>
      </c>
      <c r="AD679" s="301" t="str">
        <f t="shared" si="458"/>
        <v>,,Junior Female Volleyball,,1,JR F - COL 2</v>
      </c>
      <c r="AE679" s="153" t="str">
        <f t="shared" si="459"/>
        <v>Junior Female VolleyballJR F - COL 2</v>
      </c>
      <c r="AF679" s="383">
        <f t="shared" si="460"/>
        <v>1</v>
      </c>
      <c r="AG679" s="383">
        <f t="shared" si="461"/>
        <v>0</v>
      </c>
      <c r="AH679" s="383">
        <f t="shared" si="462"/>
        <v>0</v>
      </c>
      <c r="AI679" s="383">
        <f t="shared" si="463"/>
        <v>0</v>
      </c>
      <c r="AJ679" s="383">
        <f t="shared" si="464"/>
        <v>1</v>
      </c>
      <c r="AK679" s="383">
        <f t="shared" si="465"/>
        <v>0</v>
      </c>
      <c r="AM679" s="148" t="str">
        <f t="shared" si="466"/>
        <v>Schedulled</v>
      </c>
      <c r="AN679" s="148" t="str">
        <f t="shared" si="467"/>
        <v/>
      </c>
      <c r="AO679" s="156">
        <f t="shared" si="468"/>
        <v>43059.75</v>
      </c>
      <c r="AP679" s="148" t="str">
        <f t="shared" si="469"/>
        <v>11/20/2017 18:00-&gt;JCC Gym South</v>
      </c>
      <c r="AQ679" s="374">
        <f t="shared" si="470"/>
        <v>1</v>
      </c>
      <c r="AR679" s="148" t="str">
        <f t="shared" si="471"/>
        <v>VEN2</v>
      </c>
      <c r="AS679" s="148" t="str">
        <f t="shared" si="472"/>
        <v>COL2</v>
      </c>
      <c r="AT679" s="157" t="str">
        <f t="shared" si="473"/>
        <v>VEN2-COL2</v>
      </c>
      <c r="AU679" s="157" t="str">
        <f t="shared" si="474"/>
        <v xml:space="preserve">VEN2-COL2 </v>
      </c>
      <c r="AV679" s="157" t="str">
        <f t="shared" si="475"/>
        <v>JUNIORS FEMALE</v>
      </c>
      <c r="AW679" s="157" t="str">
        <f t="shared" si="476"/>
        <v>Volleyball</v>
      </c>
      <c r="AX679" s="376">
        <f t="shared" si="477"/>
        <v>677</v>
      </c>
      <c r="AY679" s="148" t="str">
        <f t="shared" si="478"/>
        <v>JR F - VEN 2-&gt;JR F - COL 2</v>
      </c>
      <c r="AZ679" s="148" t="str">
        <f t="shared" si="479"/>
        <v>11/20/2017 18:00-&gt;JR F - VEN 2</v>
      </c>
      <c r="BA679" s="148" t="str">
        <f t="shared" si="480"/>
        <v>11/20/2017 18:00-&gt;JR F - COL 2</v>
      </c>
      <c r="BB679" s="374">
        <f t="shared" si="481"/>
        <v>1</v>
      </c>
      <c r="BC679" s="374">
        <f t="shared" si="482"/>
        <v>1</v>
      </c>
      <c r="BD679" s="148" t="str">
        <f t="shared" si="483"/>
        <v>no conflict</v>
      </c>
      <c r="BF679" s="148" t="str">
        <f t="shared" si="484"/>
        <v>11/20/2017 18:00-&gt;JR F - VEN 2</v>
      </c>
      <c r="BG679" s="148" t="str">
        <f t="shared" si="485"/>
        <v>11/20/2017 18:00-&gt;JR F - COL 2</v>
      </c>
      <c r="BH679" s="148" t="str">
        <f t="shared" si="486"/>
        <v>11/20/2017 18:00-&gt;JCC Gym South</v>
      </c>
      <c r="BI679" s="148" t="str">
        <f t="shared" si="487"/>
        <v>Volleyball in JCC Gym South (VEN2-COL2)</v>
      </c>
      <c r="BJ679" s="148" t="str">
        <f t="shared" si="488"/>
        <v>Junior Female Volleyball-- JR F - VEN 2 vs. JR F - COL 2</v>
      </c>
      <c r="BK679" s="148" t="str">
        <f t="shared" si="489"/>
        <v>Volleyball</v>
      </c>
      <c r="BL679" s="148" t="str">
        <f t="shared" si="490"/>
        <v>JR F - VEN 2</v>
      </c>
      <c r="BM679" s="148" t="str">
        <f t="shared" si="491"/>
        <v>JR F - COL 2</v>
      </c>
      <c r="BN679" s="148" t="str">
        <f t="shared" si="492"/>
        <v>Round - 1</v>
      </c>
      <c r="BP679" s="148" t="str">
        <f t="shared" si="493"/>
        <v>no t, f, or sf</v>
      </c>
      <c r="BQ679" s="148" t="str">
        <f t="shared" si="494"/>
        <v/>
      </c>
    </row>
    <row r="680" spans="1:69" ht="15" customHeight="1" x14ac:dyDescent="0.2">
      <c r="A680" s="376">
        <v>678</v>
      </c>
      <c r="B680" s="315" t="s">
        <v>70</v>
      </c>
      <c r="C680" s="315" t="s">
        <v>518</v>
      </c>
      <c r="D680" s="378">
        <v>1</v>
      </c>
      <c r="E680" s="378">
        <v>1</v>
      </c>
      <c r="F680" s="315" t="s">
        <v>770</v>
      </c>
      <c r="G680" s="316">
        <v>43061</v>
      </c>
      <c r="H680" s="317">
        <v>0.71527777777777779</v>
      </c>
      <c r="I680" s="325" t="s">
        <v>770</v>
      </c>
      <c r="J680" s="315" t="s">
        <v>697</v>
      </c>
      <c r="K680" s="315">
        <v>63</v>
      </c>
      <c r="L680" t="s">
        <v>668</v>
      </c>
      <c r="M680">
        <v>63</v>
      </c>
      <c r="N680" t="s">
        <v>666</v>
      </c>
      <c r="O680" s="153" t="str">
        <f>IF(L680&lt;&gt;"",IFERROR(VLOOKUP(B680&amp;L680,Pools!$A$2:$D$130,3,FALSE),""),"")</f>
        <v/>
      </c>
      <c r="P680" s="388">
        <v>0</v>
      </c>
      <c r="Q680" s="388">
        <v>2</v>
      </c>
      <c r="R680" s="306" t="str">
        <f t="shared" si="450"/>
        <v>0-2</v>
      </c>
      <c r="S680" s="153"/>
      <c r="T680" s="148" t="str">
        <f t="shared" si="451"/>
        <v>Completed</v>
      </c>
      <c r="U680" s="153"/>
      <c r="V680" s="153"/>
      <c r="W680" s="387">
        <f t="shared" si="452"/>
        <v>-2</v>
      </c>
      <c r="X680" s="387">
        <f t="shared" si="453"/>
        <v>2</v>
      </c>
      <c r="Y680" s="301">
        <f t="shared" si="454"/>
        <v>0</v>
      </c>
      <c r="Z680" s="301">
        <f t="shared" si="455"/>
        <v>2</v>
      </c>
      <c r="AA680" s="323" t="str">
        <f>CONCATENATE("                x[team1,team2,sport,'",IF(OR(I680="x",I680=""),VLOOKUP('Schedule from TM'!J681,Tables!$P$3:$Q$33,2,FALSE),'Schedule from TM'!I681),",",J680,"','",IF(OR(F680="x",F680=""),VLOOKUP('Schedule from TM'!G681,Tables!$U$3:$V$14,2,FALSE),'Schedule from TM'!F681),",",TEXT(G680,"mm/dd/yyyy"),"','",TEXT(H680,"h:mm:ss AM/PM"),"'].ub=0.0      #",B680)</f>
        <v xml:space="preserve">                x[team1,team2,sport,'11,JCC Gym South','22,11/22/2017','5:10:00 PM'].ub=0.0      #Junior Female Volleyball</v>
      </c>
      <c r="AB680" s="301" t="str">
        <f t="shared" si="456"/>
        <v>,,Junior Female Volleyball,,1,JR F - VEN 1</v>
      </c>
      <c r="AC680" s="153" t="str">
        <f t="shared" si="457"/>
        <v>Junior Female VolleyballJR F - VEN 1</v>
      </c>
      <c r="AD680" s="301" t="str">
        <f t="shared" si="458"/>
        <v>,,Junior Female Volleyball,,1,JR F - COL 1</v>
      </c>
      <c r="AE680" s="153" t="str">
        <f t="shared" si="459"/>
        <v>Junior Female VolleyballJR F - COL 1</v>
      </c>
      <c r="AF680" s="383">
        <f t="shared" si="460"/>
        <v>0</v>
      </c>
      <c r="AG680" s="383">
        <f t="shared" si="461"/>
        <v>1</v>
      </c>
      <c r="AH680" s="383">
        <f t="shared" si="462"/>
        <v>0</v>
      </c>
      <c r="AI680" s="383">
        <f t="shared" si="463"/>
        <v>1</v>
      </c>
      <c r="AJ680" s="383">
        <f t="shared" si="464"/>
        <v>0</v>
      </c>
      <c r="AK680" s="383">
        <f t="shared" si="465"/>
        <v>0</v>
      </c>
      <c r="AM680" s="148" t="str">
        <f t="shared" si="466"/>
        <v>Schedulled</v>
      </c>
      <c r="AN680" s="148" t="str">
        <f t="shared" si="467"/>
        <v/>
      </c>
      <c r="AO680" s="156">
        <f t="shared" si="468"/>
        <v>43061.715277777781</v>
      </c>
      <c r="AP680" s="148" t="str">
        <f t="shared" si="469"/>
        <v>11/22/2017 17:10-&gt;JCC Gym South</v>
      </c>
      <c r="AQ680" s="374">
        <f t="shared" si="470"/>
        <v>1</v>
      </c>
      <c r="AR680" s="148" t="str">
        <f t="shared" si="471"/>
        <v>VEN1</v>
      </c>
      <c r="AS680" s="148" t="str">
        <f t="shared" si="472"/>
        <v>COL1</v>
      </c>
      <c r="AT680" s="157" t="str">
        <f t="shared" si="473"/>
        <v>VEN1-COL1</v>
      </c>
      <c r="AU680" s="157" t="str">
        <f t="shared" si="474"/>
        <v xml:space="preserve">VEN1-COL1 </v>
      </c>
      <c r="AV680" s="157" t="str">
        <f t="shared" si="475"/>
        <v>JUNIORS FEMALE</v>
      </c>
      <c r="AW680" s="157" t="str">
        <f t="shared" si="476"/>
        <v>Volleyball</v>
      </c>
      <c r="AX680" s="376">
        <f t="shared" si="477"/>
        <v>678</v>
      </c>
      <c r="AY680" s="148" t="str">
        <f t="shared" si="478"/>
        <v>JR F - VEN 1-&gt;JR F - COL 1</v>
      </c>
      <c r="AZ680" s="148" t="str">
        <f t="shared" si="479"/>
        <v>11/22/2017 17:10-&gt;JR F - VEN 1</v>
      </c>
      <c r="BA680" s="148" t="str">
        <f t="shared" si="480"/>
        <v>11/22/2017 17:10-&gt;JR F - COL 1</v>
      </c>
      <c r="BB680" s="374">
        <f t="shared" si="481"/>
        <v>1</v>
      </c>
      <c r="BC680" s="374">
        <f t="shared" si="482"/>
        <v>1</v>
      </c>
      <c r="BD680" s="148" t="str">
        <f t="shared" si="483"/>
        <v>no conflict</v>
      </c>
      <c r="BF680" s="148" t="str">
        <f t="shared" si="484"/>
        <v>11/22/2017 17:10-&gt;JR F - VEN 1</v>
      </c>
      <c r="BG680" s="148" t="str">
        <f t="shared" si="485"/>
        <v>11/22/2017 17:10-&gt;JR F - COL 1</v>
      </c>
      <c r="BH680" s="148" t="str">
        <f t="shared" si="486"/>
        <v>11/22/2017 17:10-&gt;JCC Gym South</v>
      </c>
      <c r="BI680" s="148" t="str">
        <f t="shared" si="487"/>
        <v>Volleyball in JCC Gym South (VEN1-COL1)</v>
      </c>
      <c r="BJ680" s="148" t="str">
        <f t="shared" si="488"/>
        <v>Junior Female Volleyball-- JR F - VEN 1 vs. JR F - COL 1</v>
      </c>
      <c r="BK680" s="148" t="str">
        <f t="shared" si="489"/>
        <v>Volleyball</v>
      </c>
      <c r="BL680" s="148" t="str">
        <f t="shared" si="490"/>
        <v>JR F - VEN 1</v>
      </c>
      <c r="BM680" s="148" t="str">
        <f t="shared" si="491"/>
        <v>JR F - COL 1</v>
      </c>
      <c r="BN680" s="148" t="str">
        <f t="shared" si="492"/>
        <v>Round - 1</v>
      </c>
      <c r="BP680" s="148" t="str">
        <f t="shared" si="493"/>
        <v>no t, f, or sf</v>
      </c>
      <c r="BQ680" s="148" t="str">
        <f t="shared" si="494"/>
        <v/>
      </c>
    </row>
    <row r="681" spans="1:69" ht="15" customHeight="1" x14ac:dyDescent="0.2">
      <c r="A681" s="376">
        <v>679</v>
      </c>
      <c r="B681" s="433" t="s">
        <v>70</v>
      </c>
      <c r="C681" s="315" t="s">
        <v>518</v>
      </c>
      <c r="D681" s="378">
        <v>1</v>
      </c>
      <c r="E681" s="378">
        <v>1</v>
      </c>
      <c r="F681" s="315" t="s">
        <v>770</v>
      </c>
      <c r="G681" s="316">
        <v>43061</v>
      </c>
      <c r="H681" s="317">
        <v>0.75</v>
      </c>
      <c r="I681" s="325" t="s">
        <v>770</v>
      </c>
      <c r="J681" s="315" t="s">
        <v>697</v>
      </c>
      <c r="K681" s="315">
        <v>63</v>
      </c>
      <c r="L681" t="s">
        <v>669</v>
      </c>
      <c r="M681">
        <v>63</v>
      </c>
      <c r="N681" t="s">
        <v>661</v>
      </c>
      <c r="O681" s="153" t="str">
        <f>IF(L681&lt;&gt;"",IFERROR(VLOOKUP(B681&amp;L681,Pools!$A$2:$D$130,3,FALSE),""),"")</f>
        <v/>
      </c>
      <c r="P681" s="388">
        <v>1</v>
      </c>
      <c r="Q681" s="388">
        <v>2</v>
      </c>
      <c r="R681" s="306" t="str">
        <f t="shared" si="450"/>
        <v>1-2</v>
      </c>
      <c r="S681" s="153"/>
      <c r="T681" s="148" t="str">
        <f t="shared" si="451"/>
        <v>Completed</v>
      </c>
      <c r="U681" s="153"/>
      <c r="V681" s="153"/>
      <c r="W681" s="387">
        <f t="shared" si="452"/>
        <v>-1</v>
      </c>
      <c r="X681" s="387">
        <f t="shared" si="453"/>
        <v>1</v>
      </c>
      <c r="Y681" s="301">
        <f t="shared" si="454"/>
        <v>0</v>
      </c>
      <c r="Z681" s="301">
        <f t="shared" si="455"/>
        <v>2</v>
      </c>
      <c r="AA681" s="323" t="str">
        <f>CONCATENATE("                x[team1,team2,sport,'",IF(OR(I681="x",I681=""),VLOOKUP('Schedule from TM'!J682,Tables!$P$3:$Q$33,2,FALSE),'Schedule from TM'!I682),",",J681,"','",IF(OR(F681="x",F681=""),VLOOKUP('Schedule from TM'!G682,Tables!$U$3:$V$14,2,FALSE),'Schedule from TM'!F682),",",TEXT(G681,"mm/dd/yyyy"),"','",TEXT(H681,"h:mm:ss AM/PM"),"'].ub=0.0      #",B681)</f>
        <v xml:space="preserve">                x[team1,team2,sport,'11,JCC Gym South','22,11/22/2017','6:00:00 PM'].ub=0.0      #Junior Female Volleyball</v>
      </c>
      <c r="AB681" s="301" t="str">
        <f t="shared" si="456"/>
        <v>,,Junior Female Volleyball,,1,JR F - VEN 2</v>
      </c>
      <c r="AC681" s="153" t="str">
        <f t="shared" si="457"/>
        <v>Junior Female VolleyballJR F - VEN 2</v>
      </c>
      <c r="AD681" s="301" t="str">
        <f t="shared" si="458"/>
        <v>,,Junior Female Volleyball,,1,JR F - ISR 1</v>
      </c>
      <c r="AE681" s="153" t="str">
        <f t="shared" si="459"/>
        <v>Junior Female VolleyballJR F - ISR 1</v>
      </c>
      <c r="AF681" s="383">
        <f t="shared" si="460"/>
        <v>0</v>
      </c>
      <c r="AG681" s="383">
        <f t="shared" si="461"/>
        <v>1</v>
      </c>
      <c r="AH681" s="383">
        <f t="shared" si="462"/>
        <v>0</v>
      </c>
      <c r="AI681" s="383">
        <f t="shared" si="463"/>
        <v>1</v>
      </c>
      <c r="AJ681" s="383">
        <f t="shared" si="464"/>
        <v>0</v>
      </c>
      <c r="AK681" s="383">
        <f t="shared" si="465"/>
        <v>0</v>
      </c>
      <c r="AM681" s="148" t="str">
        <f t="shared" si="466"/>
        <v>Schedulled</v>
      </c>
      <c r="AN681" s="148" t="str">
        <f t="shared" si="467"/>
        <v/>
      </c>
      <c r="AO681" s="156">
        <f t="shared" si="468"/>
        <v>43061.75</v>
      </c>
      <c r="AP681" s="148" t="str">
        <f t="shared" si="469"/>
        <v>11/22/2017 18:00-&gt;JCC Gym South</v>
      </c>
      <c r="AQ681" s="374">
        <f t="shared" si="470"/>
        <v>1</v>
      </c>
      <c r="AR681" s="148" t="str">
        <f t="shared" si="471"/>
        <v>VEN2</v>
      </c>
      <c r="AS681" s="148" t="str">
        <f t="shared" si="472"/>
        <v>ISR1</v>
      </c>
      <c r="AT681" s="157" t="str">
        <f t="shared" si="473"/>
        <v>VEN2-ISR1</v>
      </c>
      <c r="AU681" s="157" t="str">
        <f t="shared" si="474"/>
        <v xml:space="preserve">VEN2-ISR1 </v>
      </c>
      <c r="AV681" s="157" t="str">
        <f t="shared" si="475"/>
        <v>JUNIORS FEMALE</v>
      </c>
      <c r="AW681" s="157" t="str">
        <f t="shared" si="476"/>
        <v>Volleyball</v>
      </c>
      <c r="AX681" s="376">
        <f t="shared" si="477"/>
        <v>679</v>
      </c>
      <c r="AY681" s="148" t="str">
        <f t="shared" si="478"/>
        <v>JR F - VEN 2-&gt;JR F - ISR 1</v>
      </c>
      <c r="AZ681" s="148" t="str">
        <f t="shared" si="479"/>
        <v>11/22/2017 18:00-&gt;JR F - VEN 2</v>
      </c>
      <c r="BA681" s="148" t="str">
        <f t="shared" si="480"/>
        <v>11/22/2017 18:00-&gt;JR F - ISR 1</v>
      </c>
      <c r="BB681" s="374">
        <f t="shared" si="481"/>
        <v>1</v>
      </c>
      <c r="BC681" s="374">
        <f t="shared" si="482"/>
        <v>1</v>
      </c>
      <c r="BD681" s="148" t="str">
        <f t="shared" si="483"/>
        <v>no conflict</v>
      </c>
      <c r="BF681" s="148" t="str">
        <f t="shared" si="484"/>
        <v>11/22/2017 18:00-&gt;JR F - VEN 2</v>
      </c>
      <c r="BG681" s="148" t="str">
        <f t="shared" si="485"/>
        <v>11/22/2017 18:00-&gt;JR F - ISR 1</v>
      </c>
      <c r="BH681" s="148" t="str">
        <f t="shared" si="486"/>
        <v>11/22/2017 18:00-&gt;JCC Gym South</v>
      </c>
      <c r="BI681" s="148" t="str">
        <f t="shared" si="487"/>
        <v>Volleyball in JCC Gym South (VEN2-ISR1)</v>
      </c>
      <c r="BJ681" s="148" t="str">
        <f t="shared" si="488"/>
        <v>Junior Female Volleyball-- JR F - VEN 2 vs. JR F - ISR 1</v>
      </c>
      <c r="BK681" s="148" t="str">
        <f t="shared" si="489"/>
        <v>Volleyball</v>
      </c>
      <c r="BL681" s="148" t="str">
        <f t="shared" si="490"/>
        <v>JR F - VEN 2</v>
      </c>
      <c r="BM681" s="148" t="str">
        <f t="shared" si="491"/>
        <v>JR F - ISR 1</v>
      </c>
      <c r="BN681" s="148" t="str">
        <f t="shared" si="492"/>
        <v>Round - 1</v>
      </c>
      <c r="BP681" s="148" t="str">
        <f t="shared" si="493"/>
        <v>no t, f, or sf</v>
      </c>
      <c r="BQ681" s="148" t="str">
        <f t="shared" si="494"/>
        <v/>
      </c>
    </row>
    <row r="682" spans="1:69" ht="15" customHeight="1" x14ac:dyDescent="0.2">
      <c r="A682" s="376">
        <v>680</v>
      </c>
      <c r="B682" s="121" t="s">
        <v>70</v>
      </c>
      <c r="C682" s="121" t="s">
        <v>518</v>
      </c>
      <c r="D682" s="382">
        <v>1</v>
      </c>
      <c r="E682" s="382">
        <v>1</v>
      </c>
      <c r="F682" s="315" t="s">
        <v>770</v>
      </c>
      <c r="G682" s="206">
        <v>43061</v>
      </c>
      <c r="H682" s="318">
        <v>0.78472222222222221</v>
      </c>
      <c r="I682" s="325" t="s">
        <v>770</v>
      </c>
      <c r="J682" s="121" t="s">
        <v>697</v>
      </c>
      <c r="K682" s="121">
        <v>63</v>
      </c>
      <c r="L682" t="s">
        <v>665</v>
      </c>
      <c r="M682">
        <v>63</v>
      </c>
      <c r="N682" t="s">
        <v>666</v>
      </c>
      <c r="O682" s="153" t="str">
        <f>IF(L682&lt;&gt;"",IFERROR(VLOOKUP(B682&amp;L682,Pools!$A$2:$D$130,3,FALSE),""),"")</f>
        <v/>
      </c>
      <c r="P682" s="388">
        <v>1</v>
      </c>
      <c r="Q682" s="388">
        <v>2</v>
      </c>
      <c r="R682" s="306" t="str">
        <f t="shared" si="450"/>
        <v>1-2</v>
      </c>
      <c r="S682" s="153"/>
      <c r="T682" s="148" t="str">
        <f t="shared" si="451"/>
        <v>Completed</v>
      </c>
      <c r="U682" s="153"/>
      <c r="V682" s="153"/>
      <c r="W682" s="387">
        <f t="shared" si="452"/>
        <v>-1</v>
      </c>
      <c r="X682" s="387">
        <f t="shared" si="453"/>
        <v>1</v>
      </c>
      <c r="Y682" s="301">
        <f t="shared" si="454"/>
        <v>0</v>
      </c>
      <c r="Z682" s="301">
        <f t="shared" si="455"/>
        <v>2</v>
      </c>
      <c r="AA682" s="323" t="str">
        <f>CONCATENATE("                x[team1,team2,sport,'",IF(OR(I682="x",I682=""),VLOOKUP('Schedule from TM'!J683,Tables!$P$3:$Q$33,2,FALSE),'Schedule from TM'!I683),",",J682,"','",IF(OR(F682="x",F682=""),VLOOKUP('Schedule from TM'!G683,Tables!$U$3:$V$14,2,FALSE),'Schedule from TM'!F683),",",TEXT(G682,"mm/dd/yyyy"),"','",TEXT(H682,"h:mm:ss AM/PM"),"'].ub=0.0      #",B682)</f>
        <v xml:space="preserve">                x[team1,team2,sport,'21,JCC Gym South','22,11/22/2017','6:50:00 PM'].ub=0.0      #Junior Female Volleyball</v>
      </c>
      <c r="AB682" s="301" t="str">
        <f t="shared" si="456"/>
        <v>,,Junior Female Volleyball,,1,JR F - USA 1</v>
      </c>
      <c r="AC682" s="153" t="str">
        <f t="shared" si="457"/>
        <v>Junior Female VolleyballJR F - USA 1</v>
      </c>
      <c r="AD682" s="301" t="str">
        <f t="shared" si="458"/>
        <v>,,Junior Female Volleyball,,1,JR F - COL 1</v>
      </c>
      <c r="AE682" s="153" t="str">
        <f t="shared" si="459"/>
        <v>Junior Female VolleyballJR F - COL 1</v>
      </c>
      <c r="AF682" s="383">
        <f t="shared" si="460"/>
        <v>0</v>
      </c>
      <c r="AG682" s="383">
        <f t="shared" si="461"/>
        <v>1</v>
      </c>
      <c r="AH682" s="383">
        <f t="shared" si="462"/>
        <v>0</v>
      </c>
      <c r="AI682" s="383">
        <f t="shared" si="463"/>
        <v>1</v>
      </c>
      <c r="AJ682" s="383">
        <f t="shared" si="464"/>
        <v>0</v>
      </c>
      <c r="AK682" s="383">
        <f t="shared" si="465"/>
        <v>0</v>
      </c>
      <c r="AM682" s="148" t="str">
        <f t="shared" si="466"/>
        <v>Schedulled</v>
      </c>
      <c r="AN682" s="148" t="str">
        <f t="shared" si="467"/>
        <v/>
      </c>
      <c r="AO682" s="156">
        <f t="shared" si="468"/>
        <v>43061.784722222219</v>
      </c>
      <c r="AP682" s="148" t="str">
        <f t="shared" si="469"/>
        <v>11/22/2017 18:50-&gt;JCC Gym South</v>
      </c>
      <c r="AQ682" s="374">
        <f t="shared" si="470"/>
        <v>1</v>
      </c>
      <c r="AR682" s="148" t="str">
        <f t="shared" si="471"/>
        <v>USA1</v>
      </c>
      <c r="AS682" s="148" t="str">
        <f t="shared" si="472"/>
        <v>COL1</v>
      </c>
      <c r="AT682" s="157" t="str">
        <f t="shared" si="473"/>
        <v>USA1-COL1</v>
      </c>
      <c r="AU682" s="157" t="str">
        <f t="shared" si="474"/>
        <v xml:space="preserve">USA1-COL1 </v>
      </c>
      <c r="AV682" s="157" t="str">
        <f t="shared" si="475"/>
        <v>JUNIORS FEMALE</v>
      </c>
      <c r="AW682" s="157" t="str">
        <f t="shared" si="476"/>
        <v>Volleyball</v>
      </c>
      <c r="AX682" s="376">
        <f t="shared" si="477"/>
        <v>680</v>
      </c>
      <c r="AY682" s="148" t="str">
        <f t="shared" si="478"/>
        <v>JR F - USA 1-&gt;JR F - COL 1</v>
      </c>
      <c r="AZ682" s="148" t="str">
        <f t="shared" si="479"/>
        <v>11/22/2017 18:50-&gt;JR F - USA 1</v>
      </c>
      <c r="BA682" s="148" t="str">
        <f t="shared" si="480"/>
        <v>11/22/2017 18:50-&gt;JR F - COL 1</v>
      </c>
      <c r="BB682" s="374">
        <f t="shared" si="481"/>
        <v>1</v>
      </c>
      <c r="BC682" s="374">
        <f t="shared" si="482"/>
        <v>1</v>
      </c>
      <c r="BD682" s="148" t="str">
        <f t="shared" si="483"/>
        <v>no conflict</v>
      </c>
      <c r="BF682" s="148" t="str">
        <f t="shared" si="484"/>
        <v>11/22/2017 18:50-&gt;JR F - USA 1</v>
      </c>
      <c r="BG682" s="148" t="str">
        <f t="shared" si="485"/>
        <v>11/22/2017 18:50-&gt;JR F - COL 1</v>
      </c>
      <c r="BH682" s="148" t="str">
        <f t="shared" si="486"/>
        <v>11/22/2017 18:50-&gt;JCC Gym South</v>
      </c>
      <c r="BI682" s="148" t="str">
        <f t="shared" si="487"/>
        <v>Volleyball in JCC Gym South (USA1-COL1)</v>
      </c>
      <c r="BJ682" s="148" t="str">
        <f t="shared" si="488"/>
        <v>Junior Female Volleyball-- JR F - USA 1 vs. JR F - COL 1</v>
      </c>
      <c r="BK682" s="148" t="str">
        <f t="shared" si="489"/>
        <v>Volleyball</v>
      </c>
      <c r="BL682" s="148" t="str">
        <f t="shared" si="490"/>
        <v>JR F - USA 1</v>
      </c>
      <c r="BM682" s="148" t="str">
        <f t="shared" si="491"/>
        <v>JR F - COL 1</v>
      </c>
      <c r="BN682" s="148" t="str">
        <f t="shared" si="492"/>
        <v>Round - 1</v>
      </c>
      <c r="BP682" s="148" t="str">
        <f t="shared" si="493"/>
        <v>no t, f, or sf</v>
      </c>
      <c r="BQ682" s="148" t="str">
        <f t="shared" si="494"/>
        <v/>
      </c>
    </row>
    <row r="683" spans="1:69" ht="15" customHeight="1" x14ac:dyDescent="0.2">
      <c r="A683" s="376">
        <v>681</v>
      </c>
      <c r="B683" s="328" t="s">
        <v>70</v>
      </c>
      <c r="C683" s="315" t="s">
        <v>518</v>
      </c>
      <c r="D683" s="378">
        <v>1</v>
      </c>
      <c r="E683" s="378">
        <v>1</v>
      </c>
      <c r="F683" s="315" t="s">
        <v>770</v>
      </c>
      <c r="G683" s="316">
        <v>43061</v>
      </c>
      <c r="H683" s="317">
        <v>0.81944444444444453</v>
      </c>
      <c r="I683" s="325" t="s">
        <v>770</v>
      </c>
      <c r="J683" s="315" t="s">
        <v>708</v>
      </c>
      <c r="K683" s="315">
        <v>63</v>
      </c>
      <c r="L683" s="433" t="s">
        <v>667</v>
      </c>
      <c r="M683" s="433">
        <v>63</v>
      </c>
      <c r="N683" s="433" t="s">
        <v>776</v>
      </c>
      <c r="O683" s="153" t="str">
        <f>IF(L683&lt;&gt;"",IFERROR(VLOOKUP(B683&amp;L683,Pools!$A$2:$D$130,3,FALSE),""),"")</f>
        <v/>
      </c>
      <c r="P683" s="388">
        <v>2</v>
      </c>
      <c r="Q683" s="388">
        <v>0</v>
      </c>
      <c r="R683" s="306" t="str">
        <f t="shared" si="450"/>
        <v>2-0</v>
      </c>
      <c r="S683" s="153"/>
      <c r="T683" s="148" t="str">
        <f t="shared" si="451"/>
        <v>Completed</v>
      </c>
      <c r="U683" s="153"/>
      <c r="V683" s="153"/>
      <c r="W683" s="387">
        <f t="shared" si="452"/>
        <v>2</v>
      </c>
      <c r="X683" s="387">
        <f t="shared" si="453"/>
        <v>-2</v>
      </c>
      <c r="Y683" s="301">
        <f t="shared" si="454"/>
        <v>2</v>
      </c>
      <c r="Z683" s="301">
        <f t="shared" si="455"/>
        <v>0</v>
      </c>
      <c r="AA683" s="323" t="str">
        <f>CONCATENATE("                x[team1,team2,sport,'",IF(OR(I683="x",I683=""),VLOOKUP('Schedule from TM'!J684,Tables!$P$3:$Q$33,2,FALSE),'Schedule from TM'!I684),",",J683,"','",IF(OR(F683="x",F683=""),VLOOKUP('Schedule from TM'!G684,Tables!$U$3:$V$14,2,FALSE),'Schedule from TM'!F684),",",TEXT(G683,"mm/dd/yyyy"),"','",TEXT(H683,"h:mm:ss AM/PM"),"'].ub=0.0      #",B683)</f>
        <v xml:space="preserve">                x[team1,team2,sport,'21,Hillel - Gym Volleyball','11,11/22/2017','7:40:00 PM'].ub=0.0      #Junior Female Volleyball</v>
      </c>
      <c r="AB683" s="301" t="str">
        <f t="shared" si="456"/>
        <v>,,Junior Female Volleyball,,1,JR F - USA 2</v>
      </c>
      <c r="AC683" s="153" t="str">
        <f t="shared" si="457"/>
        <v>Junior Female VolleyballJR F - USA 2</v>
      </c>
      <c r="AD683" s="301" t="str">
        <f t="shared" si="458"/>
        <v>,,Junior Female Volleyball,,1,JR F - USA 3</v>
      </c>
      <c r="AE683" s="153" t="str">
        <f t="shared" si="459"/>
        <v>Junior Female VolleyballJR F - USA 3</v>
      </c>
      <c r="AF683" s="383">
        <f t="shared" si="460"/>
        <v>1</v>
      </c>
      <c r="AG683" s="383">
        <f t="shared" si="461"/>
        <v>0</v>
      </c>
      <c r="AH683" s="383">
        <f t="shared" si="462"/>
        <v>0</v>
      </c>
      <c r="AI683" s="383">
        <f t="shared" si="463"/>
        <v>0</v>
      </c>
      <c r="AJ683" s="383">
        <f t="shared" si="464"/>
        <v>1</v>
      </c>
      <c r="AK683" s="383">
        <f t="shared" si="465"/>
        <v>0</v>
      </c>
      <c r="AM683" s="148" t="str">
        <f t="shared" si="466"/>
        <v>Schedulled</v>
      </c>
      <c r="AN683" s="148" t="str">
        <f t="shared" si="467"/>
        <v/>
      </c>
      <c r="AO683" s="156">
        <f t="shared" si="468"/>
        <v>43061.819444444445</v>
      </c>
      <c r="AP683" s="148" t="str">
        <f t="shared" si="469"/>
        <v>11/22/2017 19:40-&gt;Hillel - Gym Volleyball</v>
      </c>
      <c r="AQ683" s="374">
        <f t="shared" si="470"/>
        <v>1</v>
      </c>
      <c r="AR683" s="148" t="str">
        <f t="shared" si="471"/>
        <v>USA2</v>
      </c>
      <c r="AS683" s="148" t="str">
        <f t="shared" si="472"/>
        <v>USA3</v>
      </c>
      <c r="AT683" s="157" t="str">
        <f t="shared" si="473"/>
        <v>USA2-USA3</v>
      </c>
      <c r="AU683" s="157" t="str">
        <f t="shared" si="474"/>
        <v xml:space="preserve">USA2-USA3 </v>
      </c>
      <c r="AV683" s="157" t="str">
        <f t="shared" si="475"/>
        <v>JUNIORS FEMALE</v>
      </c>
      <c r="AW683" s="157" t="str">
        <f t="shared" si="476"/>
        <v>Volleyball</v>
      </c>
      <c r="AX683" s="376">
        <f t="shared" si="477"/>
        <v>681</v>
      </c>
      <c r="AY683" s="148" t="str">
        <f t="shared" si="478"/>
        <v>JR F - USA 2-&gt;JR F - USA 3</v>
      </c>
      <c r="AZ683" s="148" t="str">
        <f t="shared" si="479"/>
        <v>11/22/2017 19:40-&gt;JR F - USA 2</v>
      </c>
      <c r="BA683" s="148" t="str">
        <f t="shared" si="480"/>
        <v>11/22/2017 19:40-&gt;JR F - USA 3</v>
      </c>
      <c r="BB683" s="374">
        <f t="shared" si="481"/>
        <v>1</v>
      </c>
      <c r="BC683" s="374">
        <f t="shared" si="482"/>
        <v>1</v>
      </c>
      <c r="BD683" s="148" t="str">
        <f t="shared" si="483"/>
        <v>no conflict</v>
      </c>
      <c r="BF683" s="148" t="str">
        <f t="shared" si="484"/>
        <v>11/22/2017 19:40-&gt;JR F - USA 2</v>
      </c>
      <c r="BG683" s="148" t="str">
        <f t="shared" si="485"/>
        <v>11/22/2017 19:40-&gt;JR F - USA 3</v>
      </c>
      <c r="BH683" s="148" t="str">
        <f t="shared" si="486"/>
        <v>11/22/2017 19:40-&gt;Hillel - Gym Volleyball</v>
      </c>
      <c r="BI683" s="148" t="str">
        <f t="shared" si="487"/>
        <v>Volleyball in Hillel - Gym Volleyball (USA2-USA3)</v>
      </c>
      <c r="BJ683" s="148" t="str">
        <f t="shared" si="488"/>
        <v>Junior Female Volleyball-- JR F - USA 2 vs. JR F - USA 3</v>
      </c>
      <c r="BK683" s="148" t="str">
        <f t="shared" si="489"/>
        <v>Volleyball</v>
      </c>
      <c r="BL683" s="148" t="str">
        <f t="shared" si="490"/>
        <v>JR F - USA 2</v>
      </c>
      <c r="BM683" s="148" t="str">
        <f t="shared" si="491"/>
        <v>JR F - USA 3</v>
      </c>
      <c r="BN683" s="148" t="str">
        <f t="shared" si="492"/>
        <v>Round - 1</v>
      </c>
      <c r="BP683" s="148" t="str">
        <f t="shared" si="493"/>
        <v>no t, f, or sf</v>
      </c>
      <c r="BQ683" s="148" t="str">
        <f t="shared" si="494"/>
        <v/>
      </c>
    </row>
    <row r="684" spans="1:69" ht="15" customHeight="1" x14ac:dyDescent="0.2">
      <c r="A684" s="376">
        <v>682</v>
      </c>
      <c r="B684" s="433" t="s">
        <v>70</v>
      </c>
      <c r="C684" s="315" t="s">
        <v>518</v>
      </c>
      <c r="D684" s="378">
        <v>1</v>
      </c>
      <c r="E684" s="378">
        <v>1</v>
      </c>
      <c r="F684" s="315" t="s">
        <v>770</v>
      </c>
      <c r="G684" s="316">
        <v>43063</v>
      </c>
      <c r="H684" s="417">
        <v>0.40277777777777773</v>
      </c>
      <c r="I684" s="325" t="s">
        <v>770</v>
      </c>
      <c r="J684" s="315" t="s">
        <v>708</v>
      </c>
      <c r="K684" s="315">
        <v>63</v>
      </c>
      <c r="L684" t="s">
        <v>659</v>
      </c>
      <c r="M684">
        <v>63</v>
      </c>
      <c r="N684" t="s">
        <v>661</v>
      </c>
      <c r="O684" s="153" t="str">
        <f>IF(L684&lt;&gt;"",IFERROR(VLOOKUP(B684&amp;L684,Pools!$A$2:$D$130,3,FALSE),""),"")</f>
        <v/>
      </c>
      <c r="P684" s="388">
        <v>2</v>
      </c>
      <c r="Q684" s="388">
        <v>1</v>
      </c>
      <c r="R684" s="306" t="str">
        <f t="shared" si="450"/>
        <v>2-1</v>
      </c>
      <c r="S684" s="153"/>
      <c r="T684" s="148" t="str">
        <f t="shared" si="451"/>
        <v>Completed</v>
      </c>
      <c r="U684" s="153"/>
      <c r="V684" s="153"/>
      <c r="W684" s="387">
        <f t="shared" si="452"/>
        <v>1</v>
      </c>
      <c r="X684" s="387">
        <f t="shared" si="453"/>
        <v>-1</v>
      </c>
      <c r="Y684" s="301">
        <f t="shared" si="454"/>
        <v>2</v>
      </c>
      <c r="Z684" s="301">
        <f t="shared" si="455"/>
        <v>0</v>
      </c>
      <c r="AA684" s="323" t="str">
        <f>CONCATENATE("                x[team1,team2,sport,'",IF(OR(I684="x",I684=""),VLOOKUP('Schedule from TM'!J685,Tables!$P$3:$Q$33,2,FALSE),'Schedule from TM'!I685),",",J684,"','",IF(OR(F684="x",F684=""),VLOOKUP('Schedule from TM'!G685,Tables!$U$3:$V$14,2,FALSE),'Schedule from TM'!F685),",",TEXT(G684,"mm/dd/yyyy"),"','",TEXT(H684,"h:mm:ss AM/PM"),"'].ub=0.0      #",B684)</f>
        <v xml:space="preserve">                x[team1,team2,sport,'11,Hillel - Gym Volleyball','11,11/24/2017','9:40:00 AM'].ub=0.0      #Junior Female Volleyball</v>
      </c>
      <c r="AB684" s="301" t="str">
        <f t="shared" si="456"/>
        <v>,,Junior Female Volleyball,,1,JR F - ARG 1</v>
      </c>
      <c r="AC684" s="153" t="str">
        <f t="shared" si="457"/>
        <v>Junior Female VolleyballJR F - ARG 1</v>
      </c>
      <c r="AD684" s="301" t="str">
        <f t="shared" si="458"/>
        <v>,,Junior Female Volleyball,,1,JR F - ISR 1</v>
      </c>
      <c r="AE684" s="153" t="str">
        <f t="shared" si="459"/>
        <v>Junior Female VolleyballJR F - ISR 1</v>
      </c>
      <c r="AF684" s="383">
        <f t="shared" si="460"/>
        <v>1</v>
      </c>
      <c r="AG684" s="383">
        <f t="shared" si="461"/>
        <v>0</v>
      </c>
      <c r="AH684" s="383">
        <f t="shared" si="462"/>
        <v>0</v>
      </c>
      <c r="AI684" s="383">
        <f t="shared" si="463"/>
        <v>0</v>
      </c>
      <c r="AJ684" s="383">
        <f t="shared" si="464"/>
        <v>1</v>
      </c>
      <c r="AK684" s="383">
        <f t="shared" si="465"/>
        <v>0</v>
      </c>
      <c r="AM684" s="148" t="str">
        <f t="shared" si="466"/>
        <v>Schedulled</v>
      </c>
      <c r="AN684" s="148" t="str">
        <f t="shared" si="467"/>
        <v/>
      </c>
      <c r="AO684" s="156">
        <f t="shared" si="468"/>
        <v>43063.402777777781</v>
      </c>
      <c r="AP684" s="148" t="str">
        <f t="shared" si="469"/>
        <v>11/24/2017 09:40-&gt;Hillel - Gym Volleyball</v>
      </c>
      <c r="AQ684" s="374">
        <f t="shared" si="470"/>
        <v>1</v>
      </c>
      <c r="AR684" s="148" t="str">
        <f t="shared" si="471"/>
        <v>ARG1</v>
      </c>
      <c r="AS684" s="148" t="str">
        <f t="shared" si="472"/>
        <v>ISR1</v>
      </c>
      <c r="AT684" s="157" t="str">
        <f t="shared" si="473"/>
        <v>ARG1-ISR1</v>
      </c>
      <c r="AU684" s="157" t="str">
        <f t="shared" si="474"/>
        <v xml:space="preserve">ARG1-ISR1 </v>
      </c>
      <c r="AV684" s="157" t="str">
        <f t="shared" si="475"/>
        <v>JUNIORS FEMALE</v>
      </c>
      <c r="AW684" s="157" t="str">
        <f t="shared" si="476"/>
        <v>Volleyball</v>
      </c>
      <c r="AX684" s="376">
        <f t="shared" si="477"/>
        <v>682</v>
      </c>
      <c r="AY684" s="148" t="str">
        <f t="shared" si="478"/>
        <v>JR F - ARG 1-&gt;JR F - ISR 1</v>
      </c>
      <c r="AZ684" s="148" t="str">
        <f t="shared" si="479"/>
        <v>11/24/2017 09:40-&gt;JR F - ARG 1</v>
      </c>
      <c r="BA684" s="148" t="str">
        <f t="shared" si="480"/>
        <v>11/24/2017 09:40-&gt;JR F - ISR 1</v>
      </c>
      <c r="BB684" s="374">
        <f t="shared" si="481"/>
        <v>1</v>
      </c>
      <c r="BC684" s="374">
        <f t="shared" si="482"/>
        <v>1</v>
      </c>
      <c r="BD684" s="148" t="str">
        <f t="shared" si="483"/>
        <v>no conflict</v>
      </c>
      <c r="BF684" s="148" t="str">
        <f t="shared" si="484"/>
        <v>11/24/2017 09:40-&gt;JR F - ARG 1</v>
      </c>
      <c r="BG684" s="148" t="str">
        <f t="shared" si="485"/>
        <v>11/24/2017 09:40-&gt;JR F - ISR 1</v>
      </c>
      <c r="BH684" s="148" t="str">
        <f t="shared" si="486"/>
        <v>11/24/2017 09:40-&gt;Hillel - Gym Volleyball</v>
      </c>
      <c r="BI684" s="148" t="str">
        <f t="shared" si="487"/>
        <v>Volleyball in Hillel - Gym Volleyball (ARG1-ISR1)</v>
      </c>
      <c r="BJ684" s="148" t="str">
        <f t="shared" si="488"/>
        <v>Junior Female Volleyball-- JR F - ARG 1 vs. JR F - ISR 1</v>
      </c>
      <c r="BK684" s="148" t="str">
        <f t="shared" si="489"/>
        <v>Volleyball</v>
      </c>
      <c r="BL684" s="148" t="str">
        <f t="shared" si="490"/>
        <v>JR F - ARG 1</v>
      </c>
      <c r="BM684" s="148" t="str">
        <f t="shared" si="491"/>
        <v>JR F - ISR 1</v>
      </c>
      <c r="BN684" s="148" t="str">
        <f t="shared" si="492"/>
        <v>Round - 1</v>
      </c>
      <c r="BP684" s="148" t="str">
        <f t="shared" si="493"/>
        <v>no t, f, or sf</v>
      </c>
      <c r="BQ684" s="148" t="str">
        <f t="shared" si="494"/>
        <v/>
      </c>
    </row>
    <row r="685" spans="1:69" ht="15" customHeight="1" x14ac:dyDescent="0.2">
      <c r="A685" s="376">
        <v>683</v>
      </c>
      <c r="B685" s="121" t="s">
        <v>70</v>
      </c>
      <c r="C685" s="121" t="s">
        <v>518</v>
      </c>
      <c r="D685" s="382">
        <v>1</v>
      </c>
      <c r="E685" s="382">
        <v>1</v>
      </c>
      <c r="F685" s="315" t="s">
        <v>770</v>
      </c>
      <c r="G685" s="206">
        <v>43063</v>
      </c>
      <c r="H685" s="417">
        <v>0.40277777777777773</v>
      </c>
      <c r="I685" s="325" t="s">
        <v>770</v>
      </c>
      <c r="J685" s="121" t="s">
        <v>697</v>
      </c>
      <c r="K685" s="121">
        <v>63</v>
      </c>
      <c r="L685" s="433" t="s">
        <v>664</v>
      </c>
      <c r="M685" s="433">
        <v>63</v>
      </c>
      <c r="N685" s="433" t="s">
        <v>776</v>
      </c>
      <c r="O685" s="153" t="str">
        <f>IF(L685&lt;&gt;"",IFERROR(VLOOKUP(B685&amp;L685,Pools!$A$2:$D$130,3,FALSE),""),"")</f>
        <v/>
      </c>
      <c r="P685" s="388">
        <v>2</v>
      </c>
      <c r="Q685" s="388">
        <v>0</v>
      </c>
      <c r="R685" s="306" t="str">
        <f t="shared" si="450"/>
        <v>2-0</v>
      </c>
      <c r="S685" s="153"/>
      <c r="T685" s="148" t="str">
        <f t="shared" si="451"/>
        <v>Completed</v>
      </c>
      <c r="U685" s="153"/>
      <c r="V685" s="153"/>
      <c r="W685" s="387">
        <f t="shared" si="452"/>
        <v>2</v>
      </c>
      <c r="X685" s="387">
        <f t="shared" si="453"/>
        <v>-2</v>
      </c>
      <c r="Y685" s="301">
        <f t="shared" si="454"/>
        <v>2</v>
      </c>
      <c r="Z685" s="301">
        <f t="shared" si="455"/>
        <v>0</v>
      </c>
      <c r="AA685" s="323" t="str">
        <f>CONCATENATE("                x[team1,team2,sport,'",IF(OR(I685="x",I685=""),VLOOKUP('Schedule from TM'!J686,Tables!$P$3:$Q$33,2,FALSE),'Schedule from TM'!I686),",",J685,"','",IF(OR(F685="x",F685=""),VLOOKUP('Schedule from TM'!G686,Tables!$U$3:$V$14,2,FALSE),'Schedule from TM'!F686),",",TEXT(G685,"mm/dd/yyyy"),"','",TEXT(H685,"h:mm:ss AM/PM"),"'].ub=0.0      #",B685)</f>
        <v xml:space="preserve">                x[team1,team2,sport,'21,JCC Gym South','11,11/24/2017','9:40:00 AM'].ub=0.0      #Junior Female Volleyball</v>
      </c>
      <c r="AB685" s="301" t="str">
        <f t="shared" si="456"/>
        <v>,,Junior Female Volleyball,,1,JR F - PER</v>
      </c>
      <c r="AC685" s="153" t="str">
        <f t="shared" si="457"/>
        <v>Junior Female VolleyballJR F - PER</v>
      </c>
      <c r="AD685" s="301" t="str">
        <f t="shared" si="458"/>
        <v>,,Junior Female Volleyball,,1,JR F - USA 3</v>
      </c>
      <c r="AE685" s="153" t="str">
        <f t="shared" si="459"/>
        <v>Junior Female VolleyballJR F - USA 3</v>
      </c>
      <c r="AF685" s="383">
        <f t="shared" si="460"/>
        <v>1</v>
      </c>
      <c r="AG685" s="383">
        <f t="shared" si="461"/>
        <v>0</v>
      </c>
      <c r="AH685" s="383">
        <f t="shared" si="462"/>
        <v>0</v>
      </c>
      <c r="AI685" s="383">
        <f t="shared" si="463"/>
        <v>0</v>
      </c>
      <c r="AJ685" s="383">
        <f t="shared" si="464"/>
        <v>1</v>
      </c>
      <c r="AK685" s="383">
        <f t="shared" si="465"/>
        <v>0</v>
      </c>
      <c r="AM685" s="148" t="str">
        <f t="shared" si="466"/>
        <v>Schedulled</v>
      </c>
      <c r="AN685" s="148" t="str">
        <f t="shared" si="467"/>
        <v/>
      </c>
      <c r="AO685" s="156">
        <f t="shared" si="468"/>
        <v>43063.402777777781</v>
      </c>
      <c r="AP685" s="148" t="str">
        <f t="shared" si="469"/>
        <v>11/24/2017 09:40-&gt;JCC Gym South</v>
      </c>
      <c r="AQ685" s="374">
        <f t="shared" si="470"/>
        <v>1</v>
      </c>
      <c r="AR685" s="148" t="str">
        <f t="shared" si="471"/>
        <v>PER</v>
      </c>
      <c r="AS685" s="148" t="str">
        <f t="shared" si="472"/>
        <v>USA3</v>
      </c>
      <c r="AT685" s="157" t="str">
        <f t="shared" si="473"/>
        <v>PER-USA3</v>
      </c>
      <c r="AU685" s="157" t="str">
        <f t="shared" si="474"/>
        <v xml:space="preserve">PER-USA3 </v>
      </c>
      <c r="AV685" s="157" t="str">
        <f t="shared" si="475"/>
        <v>JUNIORS FEMALE</v>
      </c>
      <c r="AW685" s="157" t="str">
        <f t="shared" si="476"/>
        <v>Volleyball</v>
      </c>
      <c r="AX685" s="376">
        <f t="shared" si="477"/>
        <v>683</v>
      </c>
      <c r="AY685" s="148" t="str">
        <f t="shared" si="478"/>
        <v>JR F - PER-&gt;JR F - USA 3</v>
      </c>
      <c r="AZ685" s="148" t="str">
        <f t="shared" si="479"/>
        <v>11/24/2017 09:40-&gt;JR F - PER</v>
      </c>
      <c r="BA685" s="148" t="str">
        <f t="shared" si="480"/>
        <v>11/24/2017 09:40-&gt;JR F - USA 3</v>
      </c>
      <c r="BB685" s="374">
        <f t="shared" si="481"/>
        <v>1</v>
      </c>
      <c r="BC685" s="374">
        <f t="shared" si="482"/>
        <v>1</v>
      </c>
      <c r="BD685" s="148" t="str">
        <f t="shared" si="483"/>
        <v>no conflict</v>
      </c>
      <c r="BF685" s="148" t="str">
        <f t="shared" si="484"/>
        <v>11/24/2017 09:40-&gt;JR F - PER</v>
      </c>
      <c r="BG685" s="148" t="str">
        <f t="shared" si="485"/>
        <v>11/24/2017 09:40-&gt;JR F - USA 3</v>
      </c>
      <c r="BH685" s="148" t="str">
        <f t="shared" si="486"/>
        <v>11/24/2017 09:40-&gt;JCC Gym South</v>
      </c>
      <c r="BI685" s="148" t="str">
        <f t="shared" si="487"/>
        <v>Volleyball in JCC Gym South (PER-USA3)</v>
      </c>
      <c r="BJ685" s="148" t="str">
        <f t="shared" si="488"/>
        <v>Junior Female Volleyball-- JR F - PER vs. JR F - USA 3</v>
      </c>
      <c r="BK685" s="148" t="str">
        <f t="shared" si="489"/>
        <v>Volleyball</v>
      </c>
      <c r="BL685" s="148" t="str">
        <f t="shared" si="490"/>
        <v>JR F - PER</v>
      </c>
      <c r="BM685" s="148" t="str">
        <f t="shared" si="491"/>
        <v>JR F - USA 3</v>
      </c>
      <c r="BN685" s="148" t="str">
        <f t="shared" si="492"/>
        <v>Round - 1</v>
      </c>
      <c r="BP685" s="148" t="str">
        <f t="shared" si="493"/>
        <v>no t, f, or sf</v>
      </c>
      <c r="BQ685" s="148" t="str">
        <f t="shared" si="494"/>
        <v/>
      </c>
    </row>
    <row r="686" spans="1:69" ht="15" customHeight="1" x14ac:dyDescent="0.2">
      <c r="A686" s="450">
        <v>684</v>
      </c>
      <c r="B686" s="121" t="s">
        <v>70</v>
      </c>
      <c r="C686" s="121" t="s">
        <v>518</v>
      </c>
      <c r="D686" s="382">
        <v>1</v>
      </c>
      <c r="E686" s="382">
        <v>1</v>
      </c>
      <c r="F686" s="444" t="s">
        <v>770</v>
      </c>
      <c r="G686" s="206">
        <v>43063</v>
      </c>
      <c r="H686" s="454">
        <v>0.47222222222222227</v>
      </c>
      <c r="I686" s="446" t="s">
        <v>770</v>
      </c>
      <c r="J686" s="121" t="s">
        <v>708</v>
      </c>
      <c r="K686" s="121">
        <v>63</v>
      </c>
      <c r="L686" s="433" t="s">
        <v>664</v>
      </c>
      <c r="M686" s="433">
        <v>63</v>
      </c>
      <c r="N686" s="433" t="s">
        <v>660</v>
      </c>
      <c r="O686" s="153" t="str">
        <f>IF(L686&lt;&gt;"",IFERROR(VLOOKUP(B686&amp;L686,Pools!$A$2:$D$130,3,FALSE),""),"")</f>
        <v/>
      </c>
      <c r="P686" s="388">
        <v>2</v>
      </c>
      <c r="Q686" s="388">
        <v>0</v>
      </c>
      <c r="R686" s="306" t="str">
        <f t="shared" si="450"/>
        <v>2-0</v>
      </c>
      <c r="S686" s="153"/>
      <c r="T686" s="148" t="str">
        <f t="shared" si="451"/>
        <v>Completed</v>
      </c>
      <c r="U686" s="153"/>
      <c r="V686" s="153"/>
      <c r="W686" s="387">
        <f t="shared" si="452"/>
        <v>2</v>
      </c>
      <c r="X686" s="387">
        <f t="shared" si="453"/>
        <v>-2</v>
      </c>
      <c r="Y686" s="301">
        <f t="shared" si="454"/>
        <v>2</v>
      </c>
      <c r="Z686" s="301">
        <f t="shared" si="455"/>
        <v>0</v>
      </c>
      <c r="AA686" s="323" t="str">
        <f>CONCATENATE("                x[team1,team2,sport,'",IF(OR(I686="x",I686=""),VLOOKUP('Schedule from TM'!J687,Tables!$P$3:$Q$33,2,FALSE),'Schedule from TM'!I687),",",J686,"','",IF(OR(F686="x",F686=""),VLOOKUP('Schedule from TM'!G687,Tables!$U$3:$V$14,2,FALSE),'Schedule from TM'!F687),",",TEXT(G686,"mm/dd/yyyy"),"','",TEXT(H686,"h:mm:ss AM/PM"),"'].ub=0.0      #",B686)</f>
        <v xml:space="preserve">                x[team1,team2,sport,'21,Hillel - Gym Volleyball','11,11/24/2017','11:20:00 AM'].ub=0.0      #Junior Female Volleyball</v>
      </c>
      <c r="AB686" s="301" t="str">
        <f t="shared" si="456"/>
        <v>,,Junior Female Volleyball,,1,JR F - PER</v>
      </c>
      <c r="AC686" s="153" t="str">
        <f t="shared" si="457"/>
        <v>Junior Female VolleyballJR F - PER</v>
      </c>
      <c r="AD686" s="301" t="str">
        <f t="shared" si="458"/>
        <v>,,Junior Female Volleyball,,1,JR F - COL 2</v>
      </c>
      <c r="AE686" s="153" t="str">
        <f t="shared" si="459"/>
        <v>Junior Female VolleyballJR F - COL 2</v>
      </c>
      <c r="AF686" s="383">
        <f t="shared" si="460"/>
        <v>1</v>
      </c>
      <c r="AG686" s="383">
        <f t="shared" si="461"/>
        <v>0</v>
      </c>
      <c r="AH686" s="383">
        <f t="shared" si="462"/>
        <v>0</v>
      </c>
      <c r="AI686" s="383">
        <f t="shared" si="463"/>
        <v>0</v>
      </c>
      <c r="AJ686" s="383">
        <f t="shared" si="464"/>
        <v>1</v>
      </c>
      <c r="AK686" s="383">
        <f t="shared" si="465"/>
        <v>0</v>
      </c>
      <c r="AM686" s="148" t="str">
        <f t="shared" si="466"/>
        <v>Schedulled</v>
      </c>
      <c r="AN686" s="148" t="str">
        <f t="shared" si="467"/>
        <v/>
      </c>
      <c r="AO686" s="156">
        <f t="shared" si="468"/>
        <v>43063.472222222219</v>
      </c>
      <c r="AP686" s="148" t="str">
        <f t="shared" si="469"/>
        <v>11/24/2017 11:20-&gt;Hillel - Gym Volleyball</v>
      </c>
      <c r="AQ686" s="374">
        <f t="shared" si="470"/>
        <v>1</v>
      </c>
      <c r="AR686" s="148" t="str">
        <f t="shared" si="471"/>
        <v>PER</v>
      </c>
      <c r="AS686" s="148" t="str">
        <f t="shared" si="472"/>
        <v>COL2</v>
      </c>
      <c r="AT686" s="157" t="str">
        <f t="shared" si="473"/>
        <v>PER-COL2</v>
      </c>
      <c r="AU686" s="157" t="str">
        <f t="shared" si="474"/>
        <v xml:space="preserve">PER-COL2 </v>
      </c>
      <c r="AV686" s="157" t="str">
        <f t="shared" si="475"/>
        <v>JUNIORS FEMALE</v>
      </c>
      <c r="AW686" s="157" t="str">
        <f t="shared" si="476"/>
        <v>Volleyball</v>
      </c>
      <c r="AX686" s="450">
        <f t="shared" si="477"/>
        <v>684</v>
      </c>
      <c r="AY686" s="148" t="str">
        <f t="shared" si="478"/>
        <v>JR F - PER-&gt;JR F - COL 2</v>
      </c>
      <c r="AZ686" s="148" t="str">
        <f t="shared" si="479"/>
        <v>11/24/2017 11:20-&gt;JR F - PER</v>
      </c>
      <c r="BA686" s="148" t="str">
        <f t="shared" si="480"/>
        <v>11/24/2017 11:20-&gt;JR F - COL 2</v>
      </c>
      <c r="BB686" s="374">
        <f t="shared" si="481"/>
        <v>1</v>
      </c>
      <c r="BC686" s="374">
        <f t="shared" si="482"/>
        <v>1</v>
      </c>
      <c r="BD686" s="148" t="str">
        <f t="shared" si="483"/>
        <v>no conflict</v>
      </c>
      <c r="BF686" s="148" t="str">
        <f t="shared" si="484"/>
        <v>11/24/2017 11:20-&gt;JR F - PER</v>
      </c>
      <c r="BG686" s="148" t="str">
        <f t="shared" si="485"/>
        <v>11/24/2017 11:20-&gt;JR F - COL 2</v>
      </c>
      <c r="BH686" s="148" t="str">
        <f t="shared" si="486"/>
        <v>11/24/2017 11:20-&gt;Hillel - Gym Volleyball</v>
      </c>
      <c r="BI686" s="148" t="str">
        <f t="shared" si="487"/>
        <v>Volleyball in Hillel - Gym Volleyball (PER-COL2)</v>
      </c>
      <c r="BJ686" s="148" t="str">
        <f t="shared" si="488"/>
        <v>Junior Female Volleyball-- JR F - PER vs. JR F - COL 2</v>
      </c>
      <c r="BK686" s="148" t="str">
        <f t="shared" si="489"/>
        <v>Volleyball</v>
      </c>
      <c r="BL686" s="148" t="str">
        <f t="shared" si="490"/>
        <v>JR F - PER</v>
      </c>
      <c r="BM686" s="148" t="str">
        <f t="shared" si="491"/>
        <v>JR F - COL 2</v>
      </c>
      <c r="BN686" s="148" t="str">
        <f t="shared" si="492"/>
        <v>Round - 1</v>
      </c>
      <c r="BP686" s="148" t="str">
        <f t="shared" si="493"/>
        <v>no t, f, or sf</v>
      </c>
      <c r="BQ686" s="148" t="str">
        <f t="shared" si="494"/>
        <v/>
      </c>
    </row>
    <row r="687" spans="1:69" ht="15" customHeight="1" x14ac:dyDescent="0.2">
      <c r="A687" s="376">
        <v>685</v>
      </c>
      <c r="B687" s="433" t="s">
        <v>70</v>
      </c>
      <c r="C687" s="444" t="s">
        <v>518</v>
      </c>
      <c r="D687" s="451">
        <v>1</v>
      </c>
      <c r="E687" s="451">
        <v>1</v>
      </c>
      <c r="F687" s="315" t="s">
        <v>770</v>
      </c>
      <c r="G687" s="445">
        <v>43063</v>
      </c>
      <c r="H687" s="454">
        <v>0.61111111111111105</v>
      </c>
      <c r="I687" s="325" t="s">
        <v>770</v>
      </c>
      <c r="J687" s="444" t="s">
        <v>708</v>
      </c>
      <c r="K687" s="444">
        <v>63</v>
      </c>
      <c r="L687" t="s">
        <v>669</v>
      </c>
      <c r="M687">
        <v>63</v>
      </c>
      <c r="N687" t="s">
        <v>776</v>
      </c>
      <c r="O687" s="153" t="str">
        <f>IF(L687&lt;&gt;"",IFERROR(VLOOKUP(B687&amp;L687,Pools!$A$2:$D$130,3,FALSE),""),"")</f>
        <v/>
      </c>
      <c r="P687" s="388">
        <v>1</v>
      </c>
      <c r="Q687" s="388">
        <v>2</v>
      </c>
      <c r="R687" s="306" t="str">
        <f t="shared" si="450"/>
        <v>1-2</v>
      </c>
      <c r="S687" s="153"/>
      <c r="T687" s="148" t="str">
        <f t="shared" si="451"/>
        <v>Completed</v>
      </c>
      <c r="U687" s="153"/>
      <c r="V687" s="153"/>
      <c r="W687" s="387">
        <f t="shared" si="452"/>
        <v>-1</v>
      </c>
      <c r="X687" s="387">
        <f t="shared" si="453"/>
        <v>1</v>
      </c>
      <c r="Y687" s="301">
        <f t="shared" si="454"/>
        <v>0</v>
      </c>
      <c r="Z687" s="301">
        <f t="shared" si="455"/>
        <v>2</v>
      </c>
      <c r="AA687" s="323" t="str">
        <f>CONCATENATE("                x[team1,team2,sport,'",IF(OR(I687="x",I687=""),VLOOKUP('Schedule from TM'!J688,Tables!$P$3:$Q$33,2,FALSE),'Schedule from TM'!I688),",",J687,"','",IF(OR(F687="x",F687=""),VLOOKUP('Schedule from TM'!G688,Tables!$U$3:$V$14,2,FALSE),'Schedule from TM'!F688),",",TEXT(G687,"mm/dd/yyyy"),"','",TEXT(H687,"h:mm:ss AM/PM"),"'].ub=0.0      #",B687)</f>
        <v xml:space="preserve">                x[team1,team2,sport,'11,Hillel - Gym Volleyball','11,11/24/2017','2:40:00 PM'].ub=0.0      #Junior Female Volleyball</v>
      </c>
      <c r="AB687" s="301" t="str">
        <f t="shared" si="456"/>
        <v>,,Junior Female Volleyball,,1,JR F - VEN 2</v>
      </c>
      <c r="AC687" s="153" t="str">
        <f t="shared" si="457"/>
        <v>Junior Female VolleyballJR F - VEN 2</v>
      </c>
      <c r="AD687" s="301" t="str">
        <f t="shared" si="458"/>
        <v>,,Junior Female Volleyball,,1,JR F - USA 3</v>
      </c>
      <c r="AE687" s="153" t="str">
        <f t="shared" si="459"/>
        <v>Junior Female VolleyballJR F - USA 3</v>
      </c>
      <c r="AF687" s="383">
        <f t="shared" si="460"/>
        <v>0</v>
      </c>
      <c r="AG687" s="383">
        <f t="shared" si="461"/>
        <v>1</v>
      </c>
      <c r="AH687" s="383">
        <f t="shared" si="462"/>
        <v>0</v>
      </c>
      <c r="AI687" s="383">
        <f t="shared" si="463"/>
        <v>1</v>
      </c>
      <c r="AJ687" s="383">
        <f t="shared" si="464"/>
        <v>0</v>
      </c>
      <c r="AK687" s="383">
        <f t="shared" si="465"/>
        <v>0</v>
      </c>
      <c r="AM687" s="148" t="str">
        <f t="shared" si="466"/>
        <v>Schedulled</v>
      </c>
      <c r="AN687" s="148" t="str">
        <f t="shared" si="467"/>
        <v/>
      </c>
      <c r="AO687" s="156">
        <f t="shared" si="468"/>
        <v>43063.611111111109</v>
      </c>
      <c r="AP687" s="148" t="str">
        <f t="shared" si="469"/>
        <v>11/24/2017 14:40-&gt;Hillel - Gym Volleyball</v>
      </c>
      <c r="AQ687" s="374">
        <f t="shared" si="470"/>
        <v>1</v>
      </c>
      <c r="AR687" s="148" t="str">
        <f t="shared" si="471"/>
        <v>VEN2</v>
      </c>
      <c r="AS687" s="148" t="str">
        <f t="shared" si="472"/>
        <v>USA3</v>
      </c>
      <c r="AT687" s="157" t="str">
        <f t="shared" si="473"/>
        <v>VEN2-USA3</v>
      </c>
      <c r="AU687" s="157" t="str">
        <f t="shared" si="474"/>
        <v xml:space="preserve">VEN2-USA3 </v>
      </c>
      <c r="AV687" s="157" t="str">
        <f t="shared" si="475"/>
        <v>JUNIORS FEMALE</v>
      </c>
      <c r="AW687" s="157" t="str">
        <f t="shared" si="476"/>
        <v>Volleyball</v>
      </c>
      <c r="AX687" s="376">
        <f t="shared" si="477"/>
        <v>685</v>
      </c>
      <c r="AY687" s="148" t="str">
        <f t="shared" si="478"/>
        <v>JR F - VEN 2-&gt;JR F - USA 3</v>
      </c>
      <c r="AZ687" s="148" t="str">
        <f t="shared" si="479"/>
        <v>11/24/2017 14:40-&gt;JR F - VEN 2</v>
      </c>
      <c r="BA687" s="148" t="str">
        <f t="shared" si="480"/>
        <v>11/24/2017 14:40-&gt;JR F - USA 3</v>
      </c>
      <c r="BB687" s="374">
        <f t="shared" si="481"/>
        <v>1</v>
      </c>
      <c r="BC687" s="374">
        <f t="shared" si="482"/>
        <v>1</v>
      </c>
      <c r="BD687" s="148" t="str">
        <f t="shared" si="483"/>
        <v>no conflict</v>
      </c>
      <c r="BF687" s="148" t="str">
        <f t="shared" si="484"/>
        <v>11/24/2017 14:40-&gt;JR F - VEN 2</v>
      </c>
      <c r="BG687" s="148" t="str">
        <f t="shared" si="485"/>
        <v>11/24/2017 14:40-&gt;JR F - USA 3</v>
      </c>
      <c r="BH687" s="148" t="str">
        <f t="shared" si="486"/>
        <v>11/24/2017 14:40-&gt;Hillel - Gym Volleyball</v>
      </c>
      <c r="BI687" s="148" t="str">
        <f t="shared" si="487"/>
        <v>Volleyball in Hillel - Gym Volleyball (VEN2-USA3)</v>
      </c>
      <c r="BJ687" s="148" t="str">
        <f t="shared" si="488"/>
        <v>Junior Female Volleyball-- JR F - VEN 2 vs. JR F - USA 3</v>
      </c>
      <c r="BK687" s="148" t="str">
        <f t="shared" si="489"/>
        <v>Volleyball</v>
      </c>
      <c r="BL687" s="148" t="str">
        <f t="shared" si="490"/>
        <v>JR F - VEN 2</v>
      </c>
      <c r="BM687" s="148" t="str">
        <f t="shared" si="491"/>
        <v>JR F - USA 3</v>
      </c>
      <c r="BN687" s="148" t="str">
        <f t="shared" si="492"/>
        <v>Round - 1</v>
      </c>
      <c r="BP687" s="148" t="str">
        <f t="shared" si="493"/>
        <v>no t, f, or sf</v>
      </c>
      <c r="BQ687" s="148" t="str">
        <f t="shared" si="494"/>
        <v/>
      </c>
    </row>
    <row r="688" spans="1:69" ht="15" customHeight="1" x14ac:dyDescent="0.2">
      <c r="A688" s="376">
        <v>686</v>
      </c>
      <c r="B688" s="433" t="s">
        <v>517</v>
      </c>
      <c r="C688" s="315" t="s">
        <v>518</v>
      </c>
      <c r="D688" s="378">
        <v>1</v>
      </c>
      <c r="E688" s="378">
        <v>1</v>
      </c>
      <c r="F688" s="315" t="s">
        <v>770</v>
      </c>
      <c r="G688" s="316">
        <v>43058</v>
      </c>
      <c r="H688" s="317">
        <v>0.47222222222222227</v>
      </c>
      <c r="I688" s="325" t="s">
        <v>770</v>
      </c>
      <c r="J688" s="443" t="s">
        <v>695</v>
      </c>
      <c r="K688" s="315">
        <v>911</v>
      </c>
      <c r="L688" t="s">
        <v>672</v>
      </c>
      <c r="M688">
        <v>911</v>
      </c>
      <c r="N688" t="s">
        <v>678</v>
      </c>
      <c r="O688" s="153" t="str">
        <f>IF(L688&lt;&gt;"",IFERROR(VLOOKUP(B688&amp;L688,Pools!$A$2:$D$130,3,FALSE),""),"")</f>
        <v/>
      </c>
      <c r="P688" s="388">
        <v>1</v>
      </c>
      <c r="Q688" s="388">
        <v>2</v>
      </c>
      <c r="R688" s="306" t="str">
        <f t="shared" si="450"/>
        <v>1-2</v>
      </c>
      <c r="S688" s="153"/>
      <c r="T688" s="148" t="str">
        <f t="shared" si="451"/>
        <v>Completed</v>
      </c>
      <c r="U688" s="153"/>
      <c r="V688" s="153"/>
      <c r="W688" s="387">
        <f t="shared" si="452"/>
        <v>-1</v>
      </c>
      <c r="X688" s="387">
        <f t="shared" si="453"/>
        <v>1</v>
      </c>
      <c r="Y688" s="301">
        <f t="shared" si="454"/>
        <v>0</v>
      </c>
      <c r="Z688" s="301">
        <f t="shared" si="455"/>
        <v>2</v>
      </c>
      <c r="AA688" s="323" t="str">
        <f>CONCATENATE("                x[team1,team2,sport,'",IF(OR(I688="x",I688=""),VLOOKUP('Schedule from TM'!J689,Tables!$P$3:$Q$33,2,FALSE),'Schedule from TM'!I689),",",J688,"','",IF(OR(F688="x",F688=""),VLOOKUP('Schedule from TM'!G689,Tables!$U$3:$V$14,2,FALSE),'Schedule from TM'!F689),",",TEXT(G688,"mm/dd/yyyy"),"','",TEXT(H688,"h:mm:ss AM/PM"),"'].ub=0.0      #",B688)</f>
        <v xml:space="preserve">                x[team1,team2,sport,'11,JCC Back Field 1','11,11/19/2017','11:20:00 AM'].ub=0.0      #Veterans Mini Soccer</v>
      </c>
      <c r="AB688" s="301" t="str">
        <f t="shared" si="456"/>
        <v>,,Veterans Mini Soccer,,1,VET - ARG 1</v>
      </c>
      <c r="AC688" s="153" t="str">
        <f t="shared" si="457"/>
        <v>Veterans Mini SoccerVET - ARG 1</v>
      </c>
      <c r="AD688" s="301" t="str">
        <f t="shared" si="458"/>
        <v>,,Veterans Mini Soccer,,1,VET - VEN 1</v>
      </c>
      <c r="AE688" s="153" t="str">
        <f t="shared" si="459"/>
        <v>Veterans Mini SoccerVET - VEN 1</v>
      </c>
      <c r="AF688" s="383">
        <f t="shared" si="460"/>
        <v>0</v>
      </c>
      <c r="AG688" s="383">
        <f t="shared" si="461"/>
        <v>1</v>
      </c>
      <c r="AH688" s="383">
        <f t="shared" si="462"/>
        <v>0</v>
      </c>
      <c r="AI688" s="383">
        <f t="shared" si="463"/>
        <v>1</v>
      </c>
      <c r="AJ688" s="383">
        <f t="shared" si="464"/>
        <v>0</v>
      </c>
      <c r="AK688" s="383">
        <f t="shared" si="465"/>
        <v>0</v>
      </c>
      <c r="AM688" s="148" t="str">
        <f t="shared" si="466"/>
        <v>Schedulled</v>
      </c>
      <c r="AN688" s="148" t="str">
        <f t="shared" si="467"/>
        <v/>
      </c>
      <c r="AO688" s="156">
        <f t="shared" si="468"/>
        <v>43058.472222222219</v>
      </c>
      <c r="AP688" s="148" t="str">
        <f t="shared" si="469"/>
        <v>11/19/2017 11:20-&gt;JCC Back Field 1</v>
      </c>
      <c r="AQ688" s="374">
        <f t="shared" si="470"/>
        <v>1</v>
      </c>
      <c r="AR688" s="148" t="str">
        <f t="shared" si="471"/>
        <v>ARG1</v>
      </c>
      <c r="AS688" s="148" t="str">
        <f t="shared" si="472"/>
        <v>VEN1</v>
      </c>
      <c r="AT688" s="157" t="str">
        <f t="shared" si="473"/>
        <v>ARG1-VEN1</v>
      </c>
      <c r="AU688" s="157" t="str">
        <f t="shared" si="474"/>
        <v xml:space="preserve">ARG1-VEN1 </v>
      </c>
      <c r="AV688" s="157" t="str">
        <f t="shared" si="475"/>
        <v>VETERANs MAlE</v>
      </c>
      <c r="AW688" s="157" t="str">
        <f t="shared" si="476"/>
        <v>Soccer</v>
      </c>
      <c r="AX688" s="376">
        <f t="shared" si="477"/>
        <v>686</v>
      </c>
      <c r="AY688" s="148" t="str">
        <f t="shared" si="478"/>
        <v>VET - ARG 1-&gt;VET - VEN 1</v>
      </c>
      <c r="AZ688" s="148" t="str">
        <f t="shared" si="479"/>
        <v>11/19/2017 11:20-&gt;VET - ARG 1</v>
      </c>
      <c r="BA688" s="148" t="str">
        <f t="shared" si="480"/>
        <v>11/19/2017 11:20-&gt;VET - VEN 1</v>
      </c>
      <c r="BB688" s="374">
        <f t="shared" si="481"/>
        <v>1</v>
      </c>
      <c r="BC688" s="374">
        <f t="shared" si="482"/>
        <v>1</v>
      </c>
      <c r="BD688" s="148" t="str">
        <f t="shared" si="483"/>
        <v>no conflict</v>
      </c>
      <c r="BF688" s="148" t="str">
        <f t="shared" si="484"/>
        <v>11/19/2017 11:20-&gt;VET - ARG 1</v>
      </c>
      <c r="BG688" s="148" t="str">
        <f t="shared" si="485"/>
        <v>11/19/2017 11:20-&gt;VET - VEN 1</v>
      </c>
      <c r="BH688" s="148" t="str">
        <f t="shared" si="486"/>
        <v>11/19/2017 11:20-&gt;JCC Back Field 1</v>
      </c>
      <c r="BI688" s="148" t="str">
        <f t="shared" si="487"/>
        <v>Soccer in JCC Back Field 1 (ARG1-VEN1)</v>
      </c>
      <c r="BJ688" s="148" t="str">
        <f t="shared" si="488"/>
        <v>Veterans Mini Soccer-- VET - ARG 1 vs. VET - VEN 1</v>
      </c>
      <c r="BK688" s="148" t="str">
        <f t="shared" si="489"/>
        <v>Soccer</v>
      </c>
      <c r="BL688" s="148" t="str">
        <f t="shared" si="490"/>
        <v>VET - ARG 1</v>
      </c>
      <c r="BM688" s="148" t="str">
        <f t="shared" si="491"/>
        <v>VET - VEN 1</v>
      </c>
      <c r="BN688" s="148" t="str">
        <f t="shared" si="492"/>
        <v>Round - 1</v>
      </c>
      <c r="BP688" s="148" t="str">
        <f t="shared" si="493"/>
        <v>no t, f, or sf</v>
      </c>
      <c r="BQ688" s="148" t="str">
        <f t="shared" si="494"/>
        <v/>
      </c>
    </row>
    <row r="689" spans="1:69" ht="15" customHeight="1" x14ac:dyDescent="0.2">
      <c r="A689" s="376">
        <v>687</v>
      </c>
      <c r="B689" s="315" t="s">
        <v>517</v>
      </c>
      <c r="C689" s="315" t="s">
        <v>518</v>
      </c>
      <c r="D689" s="378">
        <v>1</v>
      </c>
      <c r="E689" s="378">
        <v>1</v>
      </c>
      <c r="F689" s="315" t="s">
        <v>770</v>
      </c>
      <c r="G689" s="316">
        <v>43058</v>
      </c>
      <c r="H689" s="317">
        <v>0.61111111111111105</v>
      </c>
      <c r="I689" s="325" t="s">
        <v>770</v>
      </c>
      <c r="J689" s="443" t="s">
        <v>692</v>
      </c>
      <c r="K689" s="315">
        <v>911</v>
      </c>
      <c r="L689" t="s">
        <v>674</v>
      </c>
      <c r="M689">
        <v>911</v>
      </c>
      <c r="N689" t="s">
        <v>721</v>
      </c>
      <c r="O689" s="153" t="str">
        <f>IF(L689&lt;&gt;"",IFERROR(VLOOKUP(B689&amp;L689,Pools!$A$2:$D$130,3,FALSE),""),"")</f>
        <v/>
      </c>
      <c r="P689" s="388">
        <v>2</v>
      </c>
      <c r="Q689" s="388">
        <v>3</v>
      </c>
      <c r="R689" s="306" t="str">
        <f t="shared" si="450"/>
        <v>2-3</v>
      </c>
      <c r="S689" s="153"/>
      <c r="T689" s="148" t="str">
        <f t="shared" si="451"/>
        <v>Completed</v>
      </c>
      <c r="U689" s="153"/>
      <c r="V689" s="153"/>
      <c r="W689" s="387">
        <f t="shared" si="452"/>
        <v>-1</v>
      </c>
      <c r="X689" s="387">
        <f t="shared" si="453"/>
        <v>1</v>
      </c>
      <c r="Y689" s="301">
        <f t="shared" si="454"/>
        <v>0</v>
      </c>
      <c r="Z689" s="301">
        <f t="shared" si="455"/>
        <v>2</v>
      </c>
      <c r="AA689" s="323" t="str">
        <f>CONCATENATE("                x[team1,team2,sport,'",IF(OR(I689="x",I689=""),VLOOKUP('Schedule from TM'!J690,Tables!$P$3:$Q$33,2,FALSE),'Schedule from TM'!I690),",",J689,"','",IF(OR(F689="x",F689=""),VLOOKUP('Schedule from TM'!G690,Tables!$U$3:$V$14,2,FALSE),'Schedule from TM'!F690),",",TEXT(G689,"mm/dd/yyyy"),"','",TEXT(H689,"h:mm:ss AM/PM"),"'].ub=0.0      #",B689)</f>
        <v xml:space="preserve">                x[team1,team2,sport,'11,JCC Back Field 3','22,11/19/2017','2:40:00 PM'].ub=0.0      #Veterans Mini Soccer</v>
      </c>
      <c r="AB689" s="301" t="str">
        <f t="shared" si="456"/>
        <v>,,Veterans Mini Soccer,,1,VET - COL 1</v>
      </c>
      <c r="AC689" s="153" t="str">
        <f t="shared" si="457"/>
        <v>Veterans Mini SoccerVET - COL 1</v>
      </c>
      <c r="AD689" s="301" t="str">
        <f t="shared" si="458"/>
        <v>,,Veterans Mini Soccer,,1,VET - ISR 1</v>
      </c>
      <c r="AE689" s="153" t="str">
        <f t="shared" si="459"/>
        <v>Veterans Mini SoccerVET - ISR 1</v>
      </c>
      <c r="AF689" s="383">
        <f t="shared" si="460"/>
        <v>0</v>
      </c>
      <c r="AG689" s="383">
        <f t="shared" si="461"/>
        <v>1</v>
      </c>
      <c r="AH689" s="383">
        <f t="shared" si="462"/>
        <v>0</v>
      </c>
      <c r="AI689" s="383">
        <f t="shared" si="463"/>
        <v>1</v>
      </c>
      <c r="AJ689" s="383">
        <f t="shared" si="464"/>
        <v>0</v>
      </c>
      <c r="AK689" s="383">
        <f t="shared" si="465"/>
        <v>0</v>
      </c>
      <c r="AM689" s="148" t="str">
        <f t="shared" si="466"/>
        <v>Schedulled</v>
      </c>
      <c r="AN689" s="148" t="str">
        <f t="shared" si="467"/>
        <v/>
      </c>
      <c r="AO689" s="156">
        <f t="shared" si="468"/>
        <v>43058.611111111109</v>
      </c>
      <c r="AP689" s="148" t="str">
        <f t="shared" si="469"/>
        <v>11/19/2017 14:40-&gt;JCC Back Field 3</v>
      </c>
      <c r="AQ689" s="374">
        <f t="shared" si="470"/>
        <v>1</v>
      </c>
      <c r="AR689" s="148" t="str">
        <f t="shared" si="471"/>
        <v>COL1</v>
      </c>
      <c r="AS689" s="148" t="str">
        <f t="shared" si="472"/>
        <v>ISR1</v>
      </c>
      <c r="AT689" s="157" t="str">
        <f t="shared" si="473"/>
        <v>COL1-ISR1</v>
      </c>
      <c r="AU689" s="157" t="str">
        <f t="shared" si="474"/>
        <v xml:space="preserve">COL1-ISR1 </v>
      </c>
      <c r="AV689" s="157" t="str">
        <f t="shared" si="475"/>
        <v>VETERANs MAlE</v>
      </c>
      <c r="AW689" s="157" t="str">
        <f t="shared" si="476"/>
        <v>Soccer</v>
      </c>
      <c r="AX689" s="376">
        <f t="shared" si="477"/>
        <v>687</v>
      </c>
      <c r="AY689" s="148" t="str">
        <f t="shared" si="478"/>
        <v>VET - COL 1-&gt;VET - ISR 1</v>
      </c>
      <c r="AZ689" s="148" t="str">
        <f t="shared" si="479"/>
        <v>11/19/2017 14:40-&gt;VET - COL 1</v>
      </c>
      <c r="BA689" s="148" t="str">
        <f t="shared" si="480"/>
        <v>11/19/2017 14:40-&gt;VET - ISR 1</v>
      </c>
      <c r="BB689" s="374">
        <f t="shared" si="481"/>
        <v>1</v>
      </c>
      <c r="BC689" s="374">
        <f t="shared" si="482"/>
        <v>1</v>
      </c>
      <c r="BD689" s="148" t="str">
        <f t="shared" si="483"/>
        <v>no conflict</v>
      </c>
      <c r="BF689" s="148" t="str">
        <f t="shared" si="484"/>
        <v>11/19/2017 14:40-&gt;VET - COL 1</v>
      </c>
      <c r="BG689" s="148" t="str">
        <f t="shared" si="485"/>
        <v>11/19/2017 14:40-&gt;VET - ISR 1</v>
      </c>
      <c r="BH689" s="148" t="str">
        <f t="shared" si="486"/>
        <v>11/19/2017 14:40-&gt;JCC Back Field 3</v>
      </c>
      <c r="BI689" s="148" t="str">
        <f t="shared" si="487"/>
        <v>Soccer in JCC Back Field 3 (COL1-ISR1)</v>
      </c>
      <c r="BJ689" s="148" t="str">
        <f t="shared" si="488"/>
        <v>Veterans Mini Soccer-- VET - COL 1 vs. VET - ISR 1</v>
      </c>
      <c r="BK689" s="148" t="str">
        <f t="shared" si="489"/>
        <v>Soccer</v>
      </c>
      <c r="BL689" s="148" t="str">
        <f t="shared" si="490"/>
        <v>VET - COL 1</v>
      </c>
      <c r="BM689" s="148" t="str">
        <f t="shared" si="491"/>
        <v>VET - ISR 1</v>
      </c>
      <c r="BN689" s="148" t="str">
        <f t="shared" si="492"/>
        <v>Round - 1</v>
      </c>
      <c r="BP689" s="148" t="str">
        <f t="shared" si="493"/>
        <v>no t, f, or sf</v>
      </c>
      <c r="BQ689" s="148" t="str">
        <f t="shared" si="494"/>
        <v/>
      </c>
    </row>
    <row r="690" spans="1:69" ht="15" customHeight="1" x14ac:dyDescent="0.2">
      <c r="A690" s="376">
        <v>688</v>
      </c>
      <c r="B690" s="315" t="s">
        <v>517</v>
      </c>
      <c r="C690" s="315" t="s">
        <v>518</v>
      </c>
      <c r="D690" s="378">
        <v>1</v>
      </c>
      <c r="E690" s="378">
        <v>1</v>
      </c>
      <c r="F690" s="315" t="s">
        <v>770</v>
      </c>
      <c r="G690" s="316">
        <v>43059</v>
      </c>
      <c r="H690" s="317">
        <v>0.81944444444444453</v>
      </c>
      <c r="I690" s="325" t="s">
        <v>770</v>
      </c>
      <c r="J690" s="443" t="s">
        <v>693</v>
      </c>
      <c r="K690" s="315">
        <v>911</v>
      </c>
      <c r="L690" t="s">
        <v>678</v>
      </c>
      <c r="M690">
        <v>911</v>
      </c>
      <c r="N690" t="s">
        <v>721</v>
      </c>
      <c r="O690" s="153" t="str">
        <f>IF(L690&lt;&gt;"",IFERROR(VLOOKUP(B690&amp;L690,Pools!$A$2:$D$130,3,FALSE),""),"")</f>
        <v/>
      </c>
      <c r="P690" s="388">
        <v>6</v>
      </c>
      <c r="Q690" s="388">
        <v>0</v>
      </c>
      <c r="R690" s="306" t="str">
        <f t="shared" si="450"/>
        <v>6-0</v>
      </c>
      <c r="S690" s="153"/>
      <c r="T690" s="148" t="str">
        <f t="shared" si="451"/>
        <v>Completed</v>
      </c>
      <c r="U690" s="153"/>
      <c r="V690" s="153"/>
      <c r="W690" s="387">
        <f t="shared" si="452"/>
        <v>3</v>
      </c>
      <c r="X690" s="387">
        <f t="shared" si="453"/>
        <v>-3</v>
      </c>
      <c r="Y690" s="301">
        <f t="shared" si="454"/>
        <v>2</v>
      </c>
      <c r="Z690" s="301">
        <f t="shared" si="455"/>
        <v>0</v>
      </c>
      <c r="AA690" s="323" t="str">
        <f>CONCATENATE("                x[team1,team2,sport,'",IF(OR(I690="x",I690=""),VLOOKUP('Schedule from TM'!J691,Tables!$P$3:$Q$33,2,FALSE),'Schedule from TM'!I691),",",J690,"','",IF(OR(F690="x",F690=""),VLOOKUP('Schedule from TM'!G691,Tables!$U$3:$V$14,2,FALSE),'Schedule from TM'!F691),",",TEXT(G690,"mm/dd/yyyy"),"','",TEXT(H690,"h:mm:ss AM/PM"),"'].ub=0.0      #",B690)</f>
        <v xml:space="preserve">                x[team1,team2,sport,'11,JCC Back Field 2','22,11/20/2017','7:40:00 PM'].ub=0.0      #Veterans Mini Soccer</v>
      </c>
      <c r="AB690" s="301" t="str">
        <f t="shared" si="456"/>
        <v>,,Veterans Mini Soccer,,1,VET - VEN 1</v>
      </c>
      <c r="AC690" s="153" t="str">
        <f t="shared" si="457"/>
        <v>Veterans Mini SoccerVET - VEN 1</v>
      </c>
      <c r="AD690" s="301" t="str">
        <f t="shared" si="458"/>
        <v>,,Veterans Mini Soccer,,1,VET - ISR 1</v>
      </c>
      <c r="AE690" s="153" t="str">
        <f t="shared" si="459"/>
        <v>Veterans Mini SoccerVET - ISR 1</v>
      </c>
      <c r="AF690" s="383">
        <f t="shared" si="460"/>
        <v>1</v>
      </c>
      <c r="AG690" s="383">
        <f t="shared" si="461"/>
        <v>0</v>
      </c>
      <c r="AH690" s="383">
        <f t="shared" si="462"/>
        <v>0</v>
      </c>
      <c r="AI690" s="383">
        <f t="shared" si="463"/>
        <v>0</v>
      </c>
      <c r="AJ690" s="383">
        <f t="shared" si="464"/>
        <v>1</v>
      </c>
      <c r="AK690" s="383">
        <f t="shared" si="465"/>
        <v>0</v>
      </c>
      <c r="AM690" s="148" t="str">
        <f t="shared" si="466"/>
        <v>Schedulled</v>
      </c>
      <c r="AN690" s="148" t="str">
        <f t="shared" si="467"/>
        <v/>
      </c>
      <c r="AO690" s="156">
        <f t="shared" si="468"/>
        <v>43059.819444444445</v>
      </c>
      <c r="AP690" s="148" t="str">
        <f t="shared" si="469"/>
        <v>11/20/2017 19:40-&gt;JCC Back Field 2</v>
      </c>
      <c r="AQ690" s="374">
        <f t="shared" si="470"/>
        <v>1</v>
      </c>
      <c r="AR690" s="148" t="str">
        <f t="shared" si="471"/>
        <v>VEN1</v>
      </c>
      <c r="AS690" s="148" t="str">
        <f t="shared" si="472"/>
        <v>ISR1</v>
      </c>
      <c r="AT690" s="157" t="str">
        <f t="shared" si="473"/>
        <v>VEN1-ISR1</v>
      </c>
      <c r="AU690" s="157" t="str">
        <f t="shared" si="474"/>
        <v xml:space="preserve">VEN1-ISR1 </v>
      </c>
      <c r="AV690" s="157" t="str">
        <f t="shared" si="475"/>
        <v>VETERANs MAlE</v>
      </c>
      <c r="AW690" s="157" t="str">
        <f t="shared" si="476"/>
        <v>Soccer</v>
      </c>
      <c r="AX690" s="376">
        <f t="shared" si="477"/>
        <v>688</v>
      </c>
      <c r="AY690" s="148" t="str">
        <f t="shared" si="478"/>
        <v>VET - VEN 1-&gt;VET - ISR 1</v>
      </c>
      <c r="AZ690" s="148" t="str">
        <f t="shared" si="479"/>
        <v>11/20/2017 19:40-&gt;VET - VEN 1</v>
      </c>
      <c r="BA690" s="148" t="str">
        <f t="shared" si="480"/>
        <v>11/20/2017 19:40-&gt;VET - ISR 1</v>
      </c>
      <c r="BB690" s="374">
        <f t="shared" si="481"/>
        <v>1</v>
      </c>
      <c r="BC690" s="374">
        <f t="shared" si="482"/>
        <v>1</v>
      </c>
      <c r="BD690" s="148" t="str">
        <f t="shared" si="483"/>
        <v>no conflict</v>
      </c>
      <c r="BF690" s="148" t="str">
        <f t="shared" si="484"/>
        <v>11/20/2017 19:40-&gt;VET - VEN 1</v>
      </c>
      <c r="BG690" s="148" t="str">
        <f t="shared" si="485"/>
        <v>11/20/2017 19:40-&gt;VET - ISR 1</v>
      </c>
      <c r="BH690" s="148" t="str">
        <f t="shared" si="486"/>
        <v>11/20/2017 19:40-&gt;JCC Back Field 2</v>
      </c>
      <c r="BI690" s="148" t="str">
        <f t="shared" si="487"/>
        <v>Soccer in JCC Back Field 2 (VEN1-ISR1)</v>
      </c>
      <c r="BJ690" s="148" t="str">
        <f t="shared" si="488"/>
        <v>Veterans Mini Soccer-- VET - VEN 1 vs. VET - ISR 1</v>
      </c>
      <c r="BK690" s="148" t="str">
        <f t="shared" si="489"/>
        <v>Soccer</v>
      </c>
      <c r="BL690" s="148" t="str">
        <f t="shared" si="490"/>
        <v>VET - VEN 1</v>
      </c>
      <c r="BM690" s="148" t="str">
        <f t="shared" si="491"/>
        <v>VET - ISR 1</v>
      </c>
      <c r="BN690" s="148" t="str">
        <f t="shared" si="492"/>
        <v>Round - 1</v>
      </c>
      <c r="BP690" s="148" t="str">
        <f t="shared" si="493"/>
        <v>no t, f, or sf</v>
      </c>
      <c r="BQ690" s="148" t="str">
        <f t="shared" si="494"/>
        <v/>
      </c>
    </row>
    <row r="691" spans="1:69" ht="15" customHeight="1" x14ac:dyDescent="0.2">
      <c r="A691" s="376">
        <v>689</v>
      </c>
      <c r="B691" s="444" t="s">
        <v>517</v>
      </c>
      <c r="C691" s="444" t="s">
        <v>518</v>
      </c>
      <c r="D691" s="451">
        <v>1</v>
      </c>
      <c r="E691" s="451">
        <v>1</v>
      </c>
      <c r="F691" s="315" t="s">
        <v>770</v>
      </c>
      <c r="G691" s="445">
        <v>43060</v>
      </c>
      <c r="H691" s="317">
        <v>0.78472222222222221</v>
      </c>
      <c r="I691" s="325" t="s">
        <v>770</v>
      </c>
      <c r="J691" s="444" t="s">
        <v>693</v>
      </c>
      <c r="K691" s="444">
        <v>911</v>
      </c>
      <c r="L691" t="s">
        <v>675</v>
      </c>
      <c r="M691">
        <v>911</v>
      </c>
      <c r="N691" t="s">
        <v>721</v>
      </c>
      <c r="O691" s="153" t="str">
        <f>IF(L691&lt;&gt;"",IFERROR(VLOOKUP(B691&amp;L691,Pools!$A$2:$D$130,3,FALSE),""),"")</f>
        <v/>
      </c>
      <c r="P691" s="388">
        <v>1</v>
      </c>
      <c r="Q691" s="388">
        <v>0</v>
      </c>
      <c r="R691" s="306" t="str">
        <f t="shared" si="450"/>
        <v>1-0</v>
      </c>
      <c r="S691" s="153"/>
      <c r="T691" s="148" t="str">
        <f t="shared" si="451"/>
        <v>Completed</v>
      </c>
      <c r="U691" s="153"/>
      <c r="V691" s="153"/>
      <c r="W691" s="387">
        <f t="shared" si="452"/>
        <v>1</v>
      </c>
      <c r="X691" s="387">
        <f t="shared" si="453"/>
        <v>-1</v>
      </c>
      <c r="Y691" s="301">
        <f t="shared" si="454"/>
        <v>2</v>
      </c>
      <c r="Z691" s="301">
        <f t="shared" si="455"/>
        <v>0</v>
      </c>
      <c r="AA691" s="323" t="str">
        <f>CONCATENATE("                x[team1,team2,sport,'",IF(OR(I691="x",I691=""),VLOOKUP('Schedule from TM'!J692,Tables!$P$3:$Q$33,2,FALSE),'Schedule from TM'!I692),",",J691,"','",IF(OR(F691="x",F691=""),VLOOKUP('Schedule from TM'!G692,Tables!$U$3:$V$14,2,FALSE),'Schedule from TM'!F692),",",TEXT(G691,"mm/dd/yyyy"),"','",TEXT(H691,"h:mm:ss AM/PM"),"'].ub=0.0      #",B691)</f>
        <v xml:space="preserve">                x[team1,team2,sport,'11,JCC Back Field 2','22,11/21/2017','6:50:00 PM'].ub=0.0      #Veterans Mini Soccer</v>
      </c>
      <c r="AB691" s="301" t="str">
        <f t="shared" si="456"/>
        <v>,,Veterans Mini Soccer,,1,VET - MEX</v>
      </c>
      <c r="AC691" s="153" t="str">
        <f t="shared" si="457"/>
        <v>Veterans Mini SoccerVET - MEX</v>
      </c>
      <c r="AD691" s="301" t="str">
        <f t="shared" si="458"/>
        <v>,,Veterans Mini Soccer,,1,VET - ISR 1</v>
      </c>
      <c r="AE691" s="153" t="str">
        <f t="shared" si="459"/>
        <v>Veterans Mini SoccerVET - ISR 1</v>
      </c>
      <c r="AF691" s="383">
        <f t="shared" si="460"/>
        <v>1</v>
      </c>
      <c r="AG691" s="383">
        <f t="shared" si="461"/>
        <v>0</v>
      </c>
      <c r="AH691" s="383">
        <f t="shared" si="462"/>
        <v>0</v>
      </c>
      <c r="AI691" s="383">
        <f t="shared" si="463"/>
        <v>0</v>
      </c>
      <c r="AJ691" s="383">
        <f t="shared" si="464"/>
        <v>1</v>
      </c>
      <c r="AK691" s="383">
        <f t="shared" si="465"/>
        <v>0</v>
      </c>
      <c r="AM691" s="148" t="str">
        <f t="shared" si="466"/>
        <v>Schedulled</v>
      </c>
      <c r="AN691" s="148" t="str">
        <f t="shared" si="467"/>
        <v/>
      </c>
      <c r="AO691" s="156">
        <f t="shared" si="468"/>
        <v>43060.784722222219</v>
      </c>
      <c r="AP691" s="148" t="str">
        <f t="shared" si="469"/>
        <v>11/21/2017 18:50-&gt;JCC Back Field 2</v>
      </c>
      <c r="AQ691" s="374">
        <f t="shared" si="470"/>
        <v>1</v>
      </c>
      <c r="AR691" s="148" t="str">
        <f t="shared" si="471"/>
        <v>MEX</v>
      </c>
      <c r="AS691" s="148" t="str">
        <f t="shared" si="472"/>
        <v>ISR1</v>
      </c>
      <c r="AT691" s="157" t="str">
        <f t="shared" si="473"/>
        <v>MEX-ISR1</v>
      </c>
      <c r="AU691" s="157" t="str">
        <f t="shared" si="474"/>
        <v xml:space="preserve">MEX-ISR1 </v>
      </c>
      <c r="AV691" s="157" t="str">
        <f t="shared" si="475"/>
        <v>VETERANs MAlE</v>
      </c>
      <c r="AW691" s="157" t="str">
        <f t="shared" si="476"/>
        <v>Soccer</v>
      </c>
      <c r="AX691" s="376">
        <f t="shared" si="477"/>
        <v>689</v>
      </c>
      <c r="AY691" s="148" t="str">
        <f t="shared" si="478"/>
        <v>VET - MEX-&gt;VET - ISR 1</v>
      </c>
      <c r="AZ691" s="148" t="str">
        <f t="shared" si="479"/>
        <v>11/21/2017 18:50-&gt;VET - MEX</v>
      </c>
      <c r="BA691" s="148" t="str">
        <f t="shared" si="480"/>
        <v>11/21/2017 18:50-&gt;VET - ISR 1</v>
      </c>
      <c r="BB691" s="374">
        <f t="shared" si="481"/>
        <v>1</v>
      </c>
      <c r="BC691" s="374">
        <f t="shared" si="482"/>
        <v>1</v>
      </c>
      <c r="BD691" s="148" t="str">
        <f t="shared" si="483"/>
        <v>no conflict</v>
      </c>
      <c r="BF691" s="148" t="str">
        <f t="shared" si="484"/>
        <v>11/21/2017 18:50-&gt;VET - MEX</v>
      </c>
      <c r="BG691" s="148" t="str">
        <f t="shared" si="485"/>
        <v>11/21/2017 18:50-&gt;VET - ISR 1</v>
      </c>
      <c r="BH691" s="148" t="str">
        <f t="shared" si="486"/>
        <v>11/21/2017 18:50-&gt;JCC Back Field 2</v>
      </c>
      <c r="BI691" s="148" t="str">
        <f t="shared" si="487"/>
        <v>Soccer in JCC Back Field 2 (MEX-ISR1)</v>
      </c>
      <c r="BJ691" s="148" t="str">
        <f t="shared" si="488"/>
        <v>Veterans Mini Soccer-- VET - MEX vs. VET - ISR 1</v>
      </c>
      <c r="BK691" s="148" t="str">
        <f t="shared" si="489"/>
        <v>Soccer</v>
      </c>
      <c r="BL691" s="148" t="str">
        <f t="shared" si="490"/>
        <v>VET - MEX</v>
      </c>
      <c r="BM691" s="148" t="str">
        <f t="shared" si="491"/>
        <v>VET - ISR 1</v>
      </c>
      <c r="BN691" s="148" t="str">
        <f t="shared" si="492"/>
        <v>Round - 1</v>
      </c>
      <c r="BP691" s="148" t="str">
        <f t="shared" si="493"/>
        <v>no t, f, or sf</v>
      </c>
      <c r="BQ691" s="148" t="str">
        <f t="shared" si="494"/>
        <v/>
      </c>
    </row>
    <row r="692" spans="1:69" ht="15" customHeight="1" x14ac:dyDescent="0.2">
      <c r="A692" s="376">
        <v>690</v>
      </c>
      <c r="B692" s="433" t="s">
        <v>517</v>
      </c>
      <c r="C692" s="441" t="s">
        <v>518</v>
      </c>
      <c r="D692" s="450">
        <v>1</v>
      </c>
      <c r="E692" s="450">
        <v>1</v>
      </c>
      <c r="F692" s="315" t="s">
        <v>770</v>
      </c>
      <c r="G692" s="320">
        <v>43059</v>
      </c>
      <c r="H692" s="318">
        <v>0.85416666666666663</v>
      </c>
      <c r="I692" s="325" t="s">
        <v>770</v>
      </c>
      <c r="J692" s="296" t="s">
        <v>695</v>
      </c>
      <c r="K692" s="441">
        <v>911</v>
      </c>
      <c r="L692" t="s">
        <v>672</v>
      </c>
      <c r="M692">
        <v>911</v>
      </c>
      <c r="N692" t="s">
        <v>674</v>
      </c>
      <c r="O692" s="153" t="str">
        <f>IF(L692&lt;&gt;"",IFERROR(VLOOKUP(B692&amp;L692,Pools!$A$2:$D$130,3,FALSE),""),"")</f>
        <v/>
      </c>
      <c r="P692" s="388">
        <v>6</v>
      </c>
      <c r="Q692" s="388">
        <v>0</v>
      </c>
      <c r="R692" s="306" t="str">
        <f t="shared" si="450"/>
        <v>6-0</v>
      </c>
      <c r="S692" s="153"/>
      <c r="T692" s="148" t="str">
        <f t="shared" si="451"/>
        <v>Completed</v>
      </c>
      <c r="U692" s="153"/>
      <c r="V692" s="153"/>
      <c r="W692" s="387">
        <f t="shared" si="452"/>
        <v>3</v>
      </c>
      <c r="X692" s="387">
        <f t="shared" si="453"/>
        <v>-3</v>
      </c>
      <c r="Y692" s="301">
        <f t="shared" si="454"/>
        <v>2</v>
      </c>
      <c r="Z692" s="301">
        <f t="shared" si="455"/>
        <v>0</v>
      </c>
      <c r="AA692" s="323" t="str">
        <f>CONCATENATE("                x[team1,team2,sport,'",IF(OR(I692="x",I692=""),VLOOKUP('Schedule from TM'!J693,Tables!$P$3:$Q$33,2,FALSE),'Schedule from TM'!I693),",",J692,"','",IF(OR(F692="x",F692=""),VLOOKUP('Schedule from TM'!G693,Tables!$U$3:$V$14,2,FALSE),'Schedule from TM'!F693),",",TEXT(G692,"mm/dd/yyyy"),"','",TEXT(H692,"h:mm:ss AM/PM"),"'].ub=0.0      #",B692)</f>
        <v xml:space="preserve">                x[team1,team2,sport,'11,JCC Back Field 1','22,11/20/2017','8:30:00 PM'].ub=0.0      #Veterans Mini Soccer</v>
      </c>
      <c r="AB692" s="301" t="str">
        <f t="shared" si="456"/>
        <v>,,Veterans Mini Soccer,,1,VET - ARG 1</v>
      </c>
      <c r="AC692" s="153" t="str">
        <f t="shared" si="457"/>
        <v>Veterans Mini SoccerVET - ARG 1</v>
      </c>
      <c r="AD692" s="301" t="str">
        <f t="shared" si="458"/>
        <v>,,Veterans Mini Soccer,,1,VET - COL 1</v>
      </c>
      <c r="AE692" s="153" t="str">
        <f t="shared" si="459"/>
        <v>Veterans Mini SoccerVET - COL 1</v>
      </c>
      <c r="AF692" s="383">
        <f t="shared" si="460"/>
        <v>1</v>
      </c>
      <c r="AG692" s="383">
        <f t="shared" si="461"/>
        <v>0</v>
      </c>
      <c r="AH692" s="383">
        <f t="shared" si="462"/>
        <v>0</v>
      </c>
      <c r="AI692" s="383">
        <f t="shared" si="463"/>
        <v>0</v>
      </c>
      <c r="AJ692" s="383">
        <f t="shared" si="464"/>
        <v>1</v>
      </c>
      <c r="AK692" s="383">
        <f t="shared" si="465"/>
        <v>0</v>
      </c>
      <c r="AM692" s="148" t="str">
        <f t="shared" si="466"/>
        <v>Schedulled</v>
      </c>
      <c r="AN692" s="148" t="str">
        <f t="shared" si="467"/>
        <v/>
      </c>
      <c r="AO692" s="156">
        <f t="shared" si="468"/>
        <v>43059.854166666664</v>
      </c>
      <c r="AP692" s="148" t="str">
        <f t="shared" si="469"/>
        <v>11/20/2017 20:30-&gt;JCC Back Field 1</v>
      </c>
      <c r="AQ692" s="374">
        <f t="shared" si="470"/>
        <v>1</v>
      </c>
      <c r="AR692" s="148" t="str">
        <f t="shared" si="471"/>
        <v>ARG1</v>
      </c>
      <c r="AS692" s="148" t="str">
        <f t="shared" si="472"/>
        <v>COL1</v>
      </c>
      <c r="AT692" s="157" t="str">
        <f t="shared" si="473"/>
        <v>ARG1-COL1</v>
      </c>
      <c r="AU692" s="157" t="str">
        <f t="shared" si="474"/>
        <v xml:space="preserve">ARG1-COL1 </v>
      </c>
      <c r="AV692" s="157" t="str">
        <f t="shared" si="475"/>
        <v>VETERANs MAlE</v>
      </c>
      <c r="AW692" s="157" t="str">
        <f t="shared" si="476"/>
        <v>Soccer</v>
      </c>
      <c r="AX692" s="376">
        <f t="shared" si="477"/>
        <v>690</v>
      </c>
      <c r="AY692" s="148" t="str">
        <f t="shared" si="478"/>
        <v>VET - ARG 1-&gt;VET - COL 1</v>
      </c>
      <c r="AZ692" s="148" t="str">
        <f t="shared" si="479"/>
        <v>11/20/2017 20:30-&gt;VET - ARG 1</v>
      </c>
      <c r="BA692" s="148" t="str">
        <f t="shared" si="480"/>
        <v>11/20/2017 20:30-&gt;VET - COL 1</v>
      </c>
      <c r="BB692" s="374">
        <f t="shared" si="481"/>
        <v>1</v>
      </c>
      <c r="BC692" s="374">
        <f t="shared" si="482"/>
        <v>1</v>
      </c>
      <c r="BD692" s="148" t="str">
        <f t="shared" si="483"/>
        <v>no conflict</v>
      </c>
      <c r="BF692" s="148" t="str">
        <f t="shared" si="484"/>
        <v>11/20/2017 20:30-&gt;VET - ARG 1</v>
      </c>
      <c r="BG692" s="148" t="str">
        <f t="shared" si="485"/>
        <v>11/20/2017 20:30-&gt;VET - COL 1</v>
      </c>
      <c r="BH692" s="148" t="str">
        <f t="shared" si="486"/>
        <v>11/20/2017 20:30-&gt;JCC Back Field 1</v>
      </c>
      <c r="BI692" s="148" t="str">
        <f t="shared" si="487"/>
        <v>Soccer in JCC Back Field 1 (ARG1-COL1)</v>
      </c>
      <c r="BJ692" s="148" t="str">
        <f t="shared" si="488"/>
        <v>Veterans Mini Soccer-- VET - ARG 1 vs. VET - COL 1</v>
      </c>
      <c r="BK692" s="148" t="str">
        <f t="shared" si="489"/>
        <v>Soccer</v>
      </c>
      <c r="BL692" s="148" t="str">
        <f t="shared" si="490"/>
        <v>VET - ARG 1</v>
      </c>
      <c r="BM692" s="148" t="str">
        <f t="shared" si="491"/>
        <v>VET - COL 1</v>
      </c>
      <c r="BN692" s="148" t="str">
        <f t="shared" si="492"/>
        <v>Round - 1</v>
      </c>
      <c r="BP692" s="148" t="str">
        <f t="shared" si="493"/>
        <v>no t, f, or sf</v>
      </c>
      <c r="BQ692" s="148" t="str">
        <f t="shared" si="494"/>
        <v/>
      </c>
    </row>
    <row r="693" spans="1:69" ht="15" customHeight="1" x14ac:dyDescent="0.2">
      <c r="A693" s="376">
        <v>691</v>
      </c>
      <c r="B693" s="444" t="s">
        <v>517</v>
      </c>
      <c r="C693" s="444" t="s">
        <v>518</v>
      </c>
      <c r="D693" s="451">
        <v>1</v>
      </c>
      <c r="E693" s="451">
        <v>1</v>
      </c>
      <c r="F693" s="315" t="s">
        <v>770</v>
      </c>
      <c r="G693" s="445">
        <v>43061</v>
      </c>
      <c r="H693" s="318">
        <v>0.75</v>
      </c>
      <c r="I693" s="325" t="s">
        <v>770</v>
      </c>
      <c r="J693" s="443" t="s">
        <v>694</v>
      </c>
      <c r="K693" s="444">
        <v>911</v>
      </c>
      <c r="L693" t="s">
        <v>675</v>
      </c>
      <c r="M693">
        <v>911</v>
      </c>
      <c r="N693" t="s">
        <v>678</v>
      </c>
      <c r="O693" s="153" t="str">
        <f>IF(L693&lt;&gt;"",IFERROR(VLOOKUP(B693&amp;L693,Pools!$A$2:$D$130,3,FALSE),""),"")</f>
        <v/>
      </c>
      <c r="P693" s="388">
        <v>0</v>
      </c>
      <c r="Q693" s="388">
        <v>3</v>
      </c>
      <c r="R693" s="306" t="str">
        <f t="shared" si="450"/>
        <v>0-3</v>
      </c>
      <c r="S693" s="153"/>
      <c r="T693" s="148" t="str">
        <f t="shared" si="451"/>
        <v>Completed</v>
      </c>
      <c r="U693" s="153"/>
      <c r="V693" s="153"/>
      <c r="W693" s="387">
        <f t="shared" si="452"/>
        <v>-3</v>
      </c>
      <c r="X693" s="387">
        <f t="shared" si="453"/>
        <v>3</v>
      </c>
      <c r="Y693" s="301">
        <f t="shared" si="454"/>
        <v>0</v>
      </c>
      <c r="Z693" s="301">
        <f t="shared" si="455"/>
        <v>2</v>
      </c>
      <c r="AA693" s="323" t="str">
        <f>CONCATENATE("                x[team1,team2,sport,'",IF(OR(I693="x",I693=""),VLOOKUP('Schedule from TM'!J694,Tables!$P$3:$Q$33,2,FALSE),'Schedule from TM'!I694),",",J693,"','",IF(OR(F693="x",F693=""),VLOOKUP('Schedule from TM'!G694,Tables!$U$3:$V$14,2,FALSE),'Schedule from TM'!F694),",",TEXT(G693,"mm/dd/yyyy"),"','",TEXT(H693,"h:mm:ss AM/PM"),"'].ub=0.0      #",B693)</f>
        <v xml:space="preserve">                x[team1,team2,sport,'11,JCC Back Field 4','11,11/22/2017','6:00:00 PM'].ub=0.0      #Veterans Mini Soccer</v>
      </c>
      <c r="AB693" s="301" t="str">
        <f t="shared" si="456"/>
        <v>,,Veterans Mini Soccer,,1,VET - MEX</v>
      </c>
      <c r="AC693" s="153" t="str">
        <f t="shared" si="457"/>
        <v>Veterans Mini SoccerVET - MEX</v>
      </c>
      <c r="AD693" s="301" t="str">
        <f t="shared" si="458"/>
        <v>,,Veterans Mini Soccer,,1,VET - VEN 1</v>
      </c>
      <c r="AE693" s="153" t="str">
        <f t="shared" si="459"/>
        <v>Veterans Mini SoccerVET - VEN 1</v>
      </c>
      <c r="AF693" s="383">
        <f t="shared" si="460"/>
        <v>0</v>
      </c>
      <c r="AG693" s="383">
        <f t="shared" si="461"/>
        <v>1</v>
      </c>
      <c r="AH693" s="383">
        <f t="shared" si="462"/>
        <v>0</v>
      </c>
      <c r="AI693" s="383">
        <f t="shared" si="463"/>
        <v>1</v>
      </c>
      <c r="AJ693" s="383">
        <f t="shared" si="464"/>
        <v>0</v>
      </c>
      <c r="AK693" s="383">
        <f t="shared" si="465"/>
        <v>0</v>
      </c>
      <c r="AM693" s="148" t="str">
        <f t="shared" si="466"/>
        <v>Schedulled</v>
      </c>
      <c r="AN693" s="148" t="str">
        <f t="shared" si="467"/>
        <v/>
      </c>
      <c r="AO693" s="156">
        <f t="shared" si="468"/>
        <v>43061.75</v>
      </c>
      <c r="AP693" s="148" t="str">
        <f t="shared" si="469"/>
        <v>11/22/2017 18:00-&gt;JCC Back Field 4</v>
      </c>
      <c r="AQ693" s="374">
        <f t="shared" si="470"/>
        <v>1</v>
      </c>
      <c r="AR693" s="148" t="str">
        <f t="shared" si="471"/>
        <v>MEX</v>
      </c>
      <c r="AS693" s="148" t="str">
        <f t="shared" si="472"/>
        <v>VEN1</v>
      </c>
      <c r="AT693" s="157" t="str">
        <f t="shared" si="473"/>
        <v>MEX-VEN1</v>
      </c>
      <c r="AU693" s="157" t="str">
        <f t="shared" si="474"/>
        <v xml:space="preserve">MEX-VEN1 </v>
      </c>
      <c r="AV693" s="157" t="str">
        <f t="shared" si="475"/>
        <v>VETERANs MAlE</v>
      </c>
      <c r="AW693" s="157" t="str">
        <f t="shared" si="476"/>
        <v>Soccer</v>
      </c>
      <c r="AX693" s="376">
        <f t="shared" si="477"/>
        <v>691</v>
      </c>
      <c r="AY693" s="148" t="str">
        <f t="shared" si="478"/>
        <v>VET - MEX-&gt;VET - VEN 1</v>
      </c>
      <c r="AZ693" s="148" t="str">
        <f t="shared" si="479"/>
        <v>11/22/2017 18:00-&gt;VET - MEX</v>
      </c>
      <c r="BA693" s="148" t="str">
        <f t="shared" si="480"/>
        <v>11/22/2017 18:00-&gt;VET - VEN 1</v>
      </c>
      <c r="BB693" s="374">
        <f t="shared" si="481"/>
        <v>1</v>
      </c>
      <c r="BC693" s="374">
        <f t="shared" si="482"/>
        <v>1</v>
      </c>
      <c r="BD693" s="148" t="str">
        <f t="shared" si="483"/>
        <v>no conflict</v>
      </c>
      <c r="BF693" s="148" t="str">
        <f t="shared" si="484"/>
        <v>11/22/2017 18:00-&gt;VET - MEX</v>
      </c>
      <c r="BG693" s="148" t="str">
        <f t="shared" si="485"/>
        <v>11/22/2017 18:00-&gt;VET - VEN 1</v>
      </c>
      <c r="BH693" s="148" t="str">
        <f t="shared" si="486"/>
        <v>11/22/2017 18:00-&gt;JCC Back Field 4</v>
      </c>
      <c r="BI693" s="148" t="str">
        <f t="shared" si="487"/>
        <v>Soccer in JCC Back Field 4 (MEX-VEN1)</v>
      </c>
      <c r="BJ693" s="148" t="str">
        <f t="shared" si="488"/>
        <v>Veterans Mini Soccer-- VET - MEX vs. VET - VEN 1</v>
      </c>
      <c r="BK693" s="148" t="str">
        <f t="shared" si="489"/>
        <v>Soccer</v>
      </c>
      <c r="BL693" s="148" t="str">
        <f t="shared" si="490"/>
        <v>VET - MEX</v>
      </c>
      <c r="BM693" s="148" t="str">
        <f t="shared" si="491"/>
        <v>VET - VEN 1</v>
      </c>
      <c r="BN693" s="148" t="str">
        <f t="shared" si="492"/>
        <v>Round - 1</v>
      </c>
      <c r="BP693" s="148" t="str">
        <f t="shared" si="493"/>
        <v>no t, f, or sf</v>
      </c>
      <c r="BQ693" s="148" t="str">
        <f t="shared" si="494"/>
        <v/>
      </c>
    </row>
    <row r="694" spans="1:69" ht="15" customHeight="1" x14ac:dyDescent="0.2">
      <c r="A694" s="376">
        <v>692</v>
      </c>
      <c r="B694" s="444" t="s">
        <v>517</v>
      </c>
      <c r="C694" s="444" t="s">
        <v>518</v>
      </c>
      <c r="D694" s="451">
        <v>1</v>
      </c>
      <c r="E694" s="451">
        <v>1</v>
      </c>
      <c r="F694" s="315" t="s">
        <v>770</v>
      </c>
      <c r="G694" s="445">
        <v>43062</v>
      </c>
      <c r="H694" s="317">
        <v>0.50694444444444442</v>
      </c>
      <c r="I694" s="325" t="s">
        <v>770</v>
      </c>
      <c r="J694" s="444" t="s">
        <v>695</v>
      </c>
      <c r="K694" s="444">
        <v>911</v>
      </c>
      <c r="L694" t="s">
        <v>672</v>
      </c>
      <c r="M694">
        <v>911</v>
      </c>
      <c r="N694" t="s">
        <v>721</v>
      </c>
      <c r="O694" s="153" t="str">
        <f>IF(L694&lt;&gt;"",IFERROR(VLOOKUP(B694&amp;L694,Pools!$A$2:$D$130,3,FALSE),""),"")</f>
        <v/>
      </c>
      <c r="P694" s="388">
        <v>3</v>
      </c>
      <c r="Q694" s="388">
        <v>0</v>
      </c>
      <c r="R694" s="306" t="str">
        <f t="shared" si="450"/>
        <v>3-0</v>
      </c>
      <c r="S694" s="153"/>
      <c r="T694" s="148" t="str">
        <f t="shared" si="451"/>
        <v>Completed</v>
      </c>
      <c r="U694" s="153"/>
      <c r="V694" s="153"/>
      <c r="W694" s="387">
        <f t="shared" si="452"/>
        <v>3</v>
      </c>
      <c r="X694" s="387">
        <f t="shared" si="453"/>
        <v>-3</v>
      </c>
      <c r="Y694" s="301">
        <f t="shared" si="454"/>
        <v>2</v>
      </c>
      <c r="Z694" s="301">
        <f t="shared" si="455"/>
        <v>0</v>
      </c>
      <c r="AA694" s="323" t="str">
        <f>CONCATENATE("                x[team1,team2,sport,'",IF(OR(I694="x",I694=""),VLOOKUP('Schedule from TM'!J695,Tables!$P$3:$Q$33,2,FALSE),'Schedule from TM'!I695),",",J694,"','",IF(OR(F694="x",F694=""),VLOOKUP('Schedule from TM'!G695,Tables!$U$3:$V$14,2,FALSE),'Schedule from TM'!F695),",",TEXT(G694,"mm/dd/yyyy"),"','",TEXT(H694,"h:mm:ss AM/PM"),"'].ub=0.0      #",B694)</f>
        <v xml:space="preserve">                x[team1,team2,sport,'11,JCC Back Field 1','11,11/23/2017','12:10:00 PM'].ub=0.0      #Veterans Mini Soccer</v>
      </c>
      <c r="AB694" s="301" t="str">
        <f t="shared" si="456"/>
        <v>,,Veterans Mini Soccer,,1,VET - ARG 1</v>
      </c>
      <c r="AC694" s="153" t="str">
        <f t="shared" si="457"/>
        <v>Veterans Mini SoccerVET - ARG 1</v>
      </c>
      <c r="AD694" s="301" t="str">
        <f t="shared" si="458"/>
        <v>,,Veterans Mini Soccer,,1,VET - ISR 1</v>
      </c>
      <c r="AE694" s="153" t="str">
        <f t="shared" si="459"/>
        <v>Veterans Mini SoccerVET - ISR 1</v>
      </c>
      <c r="AF694" s="383">
        <f t="shared" si="460"/>
        <v>1</v>
      </c>
      <c r="AG694" s="383">
        <f t="shared" si="461"/>
        <v>0</v>
      </c>
      <c r="AH694" s="383">
        <f t="shared" si="462"/>
        <v>0</v>
      </c>
      <c r="AI694" s="383">
        <f t="shared" si="463"/>
        <v>0</v>
      </c>
      <c r="AJ694" s="383">
        <f t="shared" si="464"/>
        <v>1</v>
      </c>
      <c r="AK694" s="383">
        <f t="shared" si="465"/>
        <v>0</v>
      </c>
      <c r="AM694" s="148" t="str">
        <f t="shared" si="466"/>
        <v>Schedulled</v>
      </c>
      <c r="AN694" s="148" t="str">
        <f t="shared" si="467"/>
        <v/>
      </c>
      <c r="AO694" s="156">
        <f t="shared" si="468"/>
        <v>43062.506944444445</v>
      </c>
      <c r="AP694" s="148" t="str">
        <f t="shared" si="469"/>
        <v>11/23/2017 12:10-&gt;JCC Back Field 1</v>
      </c>
      <c r="AQ694" s="374">
        <f t="shared" si="470"/>
        <v>1</v>
      </c>
      <c r="AR694" s="148" t="str">
        <f t="shared" si="471"/>
        <v>ARG1</v>
      </c>
      <c r="AS694" s="148" t="str">
        <f t="shared" si="472"/>
        <v>ISR1</v>
      </c>
      <c r="AT694" s="157" t="str">
        <f t="shared" si="473"/>
        <v>ARG1-ISR1</v>
      </c>
      <c r="AU694" s="157" t="str">
        <f t="shared" si="474"/>
        <v xml:space="preserve">ARG1-ISR1 </v>
      </c>
      <c r="AV694" s="157" t="str">
        <f t="shared" si="475"/>
        <v>VETERANs MAlE</v>
      </c>
      <c r="AW694" s="157" t="str">
        <f t="shared" si="476"/>
        <v>Soccer</v>
      </c>
      <c r="AX694" s="376">
        <f t="shared" si="477"/>
        <v>692</v>
      </c>
      <c r="AY694" s="148" t="str">
        <f t="shared" si="478"/>
        <v>VET - ARG 1-&gt;VET - ISR 1</v>
      </c>
      <c r="AZ694" s="148" t="str">
        <f t="shared" si="479"/>
        <v>11/23/2017 12:10-&gt;VET - ARG 1</v>
      </c>
      <c r="BA694" s="148" t="str">
        <f t="shared" si="480"/>
        <v>11/23/2017 12:10-&gt;VET - ISR 1</v>
      </c>
      <c r="BB694" s="374">
        <f t="shared" si="481"/>
        <v>1</v>
      </c>
      <c r="BC694" s="374">
        <f t="shared" si="482"/>
        <v>1</v>
      </c>
      <c r="BD694" s="148" t="str">
        <f t="shared" si="483"/>
        <v>no conflict</v>
      </c>
      <c r="BF694" s="148" t="str">
        <f t="shared" si="484"/>
        <v>11/23/2017 12:10-&gt;VET - ARG 1</v>
      </c>
      <c r="BG694" s="148" t="str">
        <f t="shared" si="485"/>
        <v>11/23/2017 12:10-&gt;VET - ISR 1</v>
      </c>
      <c r="BH694" s="148" t="str">
        <f t="shared" si="486"/>
        <v>11/23/2017 12:10-&gt;JCC Back Field 1</v>
      </c>
      <c r="BI694" s="148" t="str">
        <f t="shared" si="487"/>
        <v>Soccer in JCC Back Field 1 (ARG1-ISR1)</v>
      </c>
      <c r="BJ694" s="148" t="str">
        <f t="shared" si="488"/>
        <v>Veterans Mini Soccer-- VET - ARG 1 vs. VET - ISR 1</v>
      </c>
      <c r="BK694" s="148" t="str">
        <f t="shared" si="489"/>
        <v>Soccer</v>
      </c>
      <c r="BL694" s="148" t="str">
        <f t="shared" si="490"/>
        <v>VET - ARG 1</v>
      </c>
      <c r="BM694" s="148" t="str">
        <f t="shared" si="491"/>
        <v>VET - ISR 1</v>
      </c>
      <c r="BN694" s="148" t="str">
        <f t="shared" si="492"/>
        <v>Round - 1</v>
      </c>
      <c r="BP694" s="148" t="str">
        <f t="shared" si="493"/>
        <v>no t, f, or sf</v>
      </c>
      <c r="BQ694" s="148" t="str">
        <f t="shared" si="494"/>
        <v/>
      </c>
    </row>
    <row r="695" spans="1:69" ht="15" customHeight="1" x14ac:dyDescent="0.2">
      <c r="A695" s="376">
        <v>693</v>
      </c>
      <c r="B695" s="444" t="s">
        <v>517</v>
      </c>
      <c r="C695" s="444" t="s">
        <v>518</v>
      </c>
      <c r="D695" s="451">
        <v>1</v>
      </c>
      <c r="E695" s="451">
        <v>1</v>
      </c>
      <c r="F695" s="315" t="s">
        <v>770</v>
      </c>
      <c r="G695" s="445">
        <v>43062</v>
      </c>
      <c r="H695" s="317">
        <v>0.50694444444444442</v>
      </c>
      <c r="I695" s="325" t="s">
        <v>770</v>
      </c>
      <c r="J695" s="444" t="s">
        <v>694</v>
      </c>
      <c r="K695" s="444">
        <v>911</v>
      </c>
      <c r="L695" t="s">
        <v>674</v>
      </c>
      <c r="M695">
        <v>911</v>
      </c>
      <c r="N695" t="s">
        <v>675</v>
      </c>
      <c r="O695" s="153" t="str">
        <f>IF(L695&lt;&gt;"",IFERROR(VLOOKUP(B695&amp;L695,Pools!$A$2:$D$130,3,FALSE),""),"")</f>
        <v/>
      </c>
      <c r="P695" s="388">
        <v>3</v>
      </c>
      <c r="Q695" s="388">
        <v>2</v>
      </c>
      <c r="R695" s="306" t="str">
        <f t="shared" si="450"/>
        <v>3-2</v>
      </c>
      <c r="S695" s="153"/>
      <c r="T695" s="148" t="str">
        <f t="shared" si="451"/>
        <v>Completed</v>
      </c>
      <c r="U695" s="153"/>
      <c r="V695" s="153"/>
      <c r="W695" s="387">
        <f t="shared" si="452"/>
        <v>1</v>
      </c>
      <c r="X695" s="387">
        <f t="shared" si="453"/>
        <v>-1</v>
      </c>
      <c r="Y695" s="301">
        <f t="shared" si="454"/>
        <v>2</v>
      </c>
      <c r="Z695" s="301">
        <f t="shared" si="455"/>
        <v>0</v>
      </c>
      <c r="AA695" s="323" t="str">
        <f>CONCATENATE("                x[team1,team2,sport,'",IF(OR(I695="x",I695=""),VLOOKUP('Schedule from TM'!J696,Tables!$P$3:$Q$33,2,FALSE),'Schedule from TM'!I696),",",J695,"','",IF(OR(F695="x",F695=""),VLOOKUP('Schedule from TM'!G696,Tables!$U$3:$V$14,2,FALSE),'Schedule from TM'!F696),",",TEXT(G695,"mm/dd/yyyy"),"','",TEXT(H695,"h:mm:ss AM/PM"),"'].ub=0.0      #",B695)</f>
        <v xml:space="preserve">                x[team1,team2,sport,'11,JCC Back Field 4','11,11/23/2017','12:10:00 PM'].ub=0.0      #Veterans Mini Soccer</v>
      </c>
      <c r="AB695" s="301" t="str">
        <f t="shared" si="456"/>
        <v>,,Veterans Mini Soccer,,1,VET - COL 1</v>
      </c>
      <c r="AC695" s="153" t="str">
        <f t="shared" si="457"/>
        <v>Veterans Mini SoccerVET - COL 1</v>
      </c>
      <c r="AD695" s="301" t="str">
        <f t="shared" si="458"/>
        <v>,,Veterans Mini Soccer,,1,VET - MEX</v>
      </c>
      <c r="AE695" s="153" t="str">
        <f t="shared" si="459"/>
        <v>Veterans Mini SoccerVET - MEX</v>
      </c>
      <c r="AF695" s="383">
        <f t="shared" si="460"/>
        <v>1</v>
      </c>
      <c r="AG695" s="383">
        <f t="shared" si="461"/>
        <v>0</v>
      </c>
      <c r="AH695" s="383">
        <f t="shared" si="462"/>
        <v>0</v>
      </c>
      <c r="AI695" s="383">
        <f t="shared" si="463"/>
        <v>0</v>
      </c>
      <c r="AJ695" s="383">
        <f t="shared" si="464"/>
        <v>1</v>
      </c>
      <c r="AK695" s="383">
        <f t="shared" si="465"/>
        <v>0</v>
      </c>
      <c r="AM695" s="148" t="str">
        <f t="shared" si="466"/>
        <v>Schedulled</v>
      </c>
      <c r="AN695" s="148" t="str">
        <f t="shared" si="467"/>
        <v/>
      </c>
      <c r="AO695" s="156">
        <f t="shared" si="468"/>
        <v>43062.506944444445</v>
      </c>
      <c r="AP695" s="148" t="str">
        <f t="shared" si="469"/>
        <v>11/23/2017 12:10-&gt;JCC Back Field 4</v>
      </c>
      <c r="AQ695" s="374">
        <f t="shared" si="470"/>
        <v>1</v>
      </c>
      <c r="AR695" s="148" t="str">
        <f t="shared" si="471"/>
        <v>COL1</v>
      </c>
      <c r="AS695" s="148" t="str">
        <f t="shared" si="472"/>
        <v>MEX</v>
      </c>
      <c r="AT695" s="157" t="str">
        <f t="shared" si="473"/>
        <v>COL1-MEX</v>
      </c>
      <c r="AU695" s="157" t="str">
        <f t="shared" si="474"/>
        <v xml:space="preserve">COL1-MEX </v>
      </c>
      <c r="AV695" s="157" t="str">
        <f t="shared" si="475"/>
        <v>VETERANs MAlE</v>
      </c>
      <c r="AW695" s="157" t="str">
        <f t="shared" si="476"/>
        <v>Soccer</v>
      </c>
      <c r="AX695" s="376">
        <f t="shared" si="477"/>
        <v>693</v>
      </c>
      <c r="AY695" s="148" t="str">
        <f t="shared" si="478"/>
        <v>VET - COL 1-&gt;VET - MEX</v>
      </c>
      <c r="AZ695" s="148" t="str">
        <f t="shared" si="479"/>
        <v>11/23/2017 12:10-&gt;VET - COL 1</v>
      </c>
      <c r="BA695" s="148" t="str">
        <f t="shared" si="480"/>
        <v>11/23/2017 12:10-&gt;VET - MEX</v>
      </c>
      <c r="BB695" s="374">
        <f t="shared" si="481"/>
        <v>1</v>
      </c>
      <c r="BC695" s="374">
        <f t="shared" si="482"/>
        <v>1</v>
      </c>
      <c r="BD695" s="148" t="str">
        <f t="shared" si="483"/>
        <v>no conflict</v>
      </c>
      <c r="BF695" s="148" t="str">
        <f t="shared" si="484"/>
        <v>11/23/2017 12:10-&gt;VET - COL 1</v>
      </c>
      <c r="BG695" s="148" t="str">
        <f t="shared" si="485"/>
        <v>11/23/2017 12:10-&gt;VET - MEX</v>
      </c>
      <c r="BH695" s="148" t="str">
        <f t="shared" si="486"/>
        <v>11/23/2017 12:10-&gt;JCC Back Field 4</v>
      </c>
      <c r="BI695" s="148" t="str">
        <f t="shared" si="487"/>
        <v>Soccer in JCC Back Field 4 (COL1-MEX)</v>
      </c>
      <c r="BJ695" s="148" t="str">
        <f t="shared" si="488"/>
        <v>Veterans Mini Soccer-- VET - COL 1 vs. VET - MEX</v>
      </c>
      <c r="BK695" s="148" t="str">
        <f t="shared" si="489"/>
        <v>Soccer</v>
      </c>
      <c r="BL695" s="148" t="str">
        <f t="shared" si="490"/>
        <v>VET - COL 1</v>
      </c>
      <c r="BM695" s="148" t="str">
        <f t="shared" si="491"/>
        <v>VET - MEX</v>
      </c>
      <c r="BN695" s="148" t="str">
        <f t="shared" si="492"/>
        <v>Round - 1</v>
      </c>
      <c r="BP695" s="148" t="str">
        <f t="shared" si="493"/>
        <v>no t, f, or sf</v>
      </c>
      <c r="BQ695" s="148" t="str">
        <f t="shared" si="494"/>
        <v/>
      </c>
    </row>
    <row r="696" spans="1:69" ht="15" customHeight="1" x14ac:dyDescent="0.2">
      <c r="A696" s="376">
        <v>694</v>
      </c>
      <c r="B696" s="444" t="s">
        <v>517</v>
      </c>
      <c r="C696" s="444" t="s">
        <v>518</v>
      </c>
      <c r="D696" s="451">
        <v>1</v>
      </c>
      <c r="E696" s="451">
        <v>1</v>
      </c>
      <c r="F696" s="315" t="s">
        <v>770</v>
      </c>
      <c r="G696" s="445">
        <v>43063</v>
      </c>
      <c r="H696" s="454">
        <v>0.36805555555555558</v>
      </c>
      <c r="I696" s="325" t="s">
        <v>770</v>
      </c>
      <c r="J696" s="444" t="s">
        <v>692</v>
      </c>
      <c r="K696" s="444">
        <v>911</v>
      </c>
      <c r="L696" s="433" t="s">
        <v>674</v>
      </c>
      <c r="M696">
        <v>911</v>
      </c>
      <c r="N696" s="433" t="s">
        <v>678</v>
      </c>
      <c r="O696" s="153" t="str">
        <f>IF(L696&lt;&gt;"",IFERROR(VLOOKUP(B696&amp;L696,Pools!$A$2:$D$130,3,FALSE),""),"")</f>
        <v/>
      </c>
      <c r="P696" s="388">
        <v>2</v>
      </c>
      <c r="Q696" s="388">
        <v>7</v>
      </c>
      <c r="R696" s="306" t="str">
        <f t="shared" si="450"/>
        <v>2-7</v>
      </c>
      <c r="S696" s="153"/>
      <c r="T696" s="148" t="str">
        <f t="shared" si="451"/>
        <v>Completed</v>
      </c>
      <c r="U696" s="153"/>
      <c r="V696" s="153"/>
      <c r="W696" s="387">
        <f t="shared" si="452"/>
        <v>-3</v>
      </c>
      <c r="X696" s="387">
        <f t="shared" si="453"/>
        <v>3</v>
      </c>
      <c r="Y696" s="301">
        <f t="shared" si="454"/>
        <v>0</v>
      </c>
      <c r="Z696" s="301">
        <f t="shared" si="455"/>
        <v>2</v>
      </c>
      <c r="AA696" s="323" t="str">
        <f>CONCATENATE("                x[team1,team2,sport,'",IF(OR(I696="x",I696=""),VLOOKUP('Schedule from TM'!J697,Tables!$P$3:$Q$33,2,FALSE),'Schedule from TM'!I697),",",J696,"','",IF(OR(F696="x",F696=""),VLOOKUP('Schedule from TM'!G697,Tables!$U$3:$V$14,2,FALSE),'Schedule from TM'!F697),",",TEXT(G696,"mm/dd/yyyy"),"','",TEXT(H696,"h:mm:ss AM/PM"),"'].ub=0.0      #",B696)</f>
        <v xml:space="preserve">                x[team1,team2,sport,'11,JCC Back Field 3','11,11/24/2017','8:50:00 AM'].ub=0.0      #Veterans Mini Soccer</v>
      </c>
      <c r="AB696" s="301" t="str">
        <f t="shared" si="456"/>
        <v>,,Veterans Mini Soccer,,1,VET - COL 1</v>
      </c>
      <c r="AC696" s="153" t="str">
        <f t="shared" si="457"/>
        <v>Veterans Mini SoccerVET - COL 1</v>
      </c>
      <c r="AD696" s="301" t="str">
        <f t="shared" si="458"/>
        <v>,,Veterans Mini Soccer,,1,VET - VEN 1</v>
      </c>
      <c r="AE696" s="153" t="str">
        <f t="shared" si="459"/>
        <v>Veterans Mini SoccerVET - VEN 1</v>
      </c>
      <c r="AF696" s="383">
        <f t="shared" si="460"/>
        <v>0</v>
      </c>
      <c r="AG696" s="383">
        <f t="shared" si="461"/>
        <v>1</v>
      </c>
      <c r="AH696" s="383">
        <f t="shared" si="462"/>
        <v>0</v>
      </c>
      <c r="AI696" s="383">
        <f t="shared" si="463"/>
        <v>1</v>
      </c>
      <c r="AJ696" s="383">
        <f t="shared" si="464"/>
        <v>0</v>
      </c>
      <c r="AK696" s="383">
        <f t="shared" si="465"/>
        <v>0</v>
      </c>
      <c r="AM696" s="148" t="str">
        <f t="shared" si="466"/>
        <v>Schedulled</v>
      </c>
      <c r="AN696" s="148" t="str">
        <f t="shared" si="467"/>
        <v/>
      </c>
      <c r="AO696" s="156">
        <f t="shared" si="468"/>
        <v>43063.368055555555</v>
      </c>
      <c r="AP696" s="148" t="str">
        <f t="shared" si="469"/>
        <v>11/24/2017 08:50-&gt;JCC Back Field 3</v>
      </c>
      <c r="AQ696" s="374">
        <f t="shared" si="470"/>
        <v>1</v>
      </c>
      <c r="AR696" s="148" t="str">
        <f t="shared" si="471"/>
        <v>COL1</v>
      </c>
      <c r="AS696" s="148" t="str">
        <f t="shared" si="472"/>
        <v>VEN1</v>
      </c>
      <c r="AT696" s="157" t="str">
        <f t="shared" si="473"/>
        <v>COL1-VEN1</v>
      </c>
      <c r="AU696" s="157" t="str">
        <f t="shared" si="474"/>
        <v xml:space="preserve">COL1-VEN1 </v>
      </c>
      <c r="AV696" s="157" t="str">
        <f t="shared" si="475"/>
        <v>VETERANs MAlE</v>
      </c>
      <c r="AW696" s="157" t="str">
        <f t="shared" si="476"/>
        <v>Soccer</v>
      </c>
      <c r="AX696" s="376">
        <f t="shared" si="477"/>
        <v>694</v>
      </c>
      <c r="AY696" s="148" t="str">
        <f t="shared" si="478"/>
        <v>VET - COL 1-&gt;VET - VEN 1</v>
      </c>
      <c r="AZ696" s="148" t="str">
        <f t="shared" si="479"/>
        <v>11/24/2017 08:50-&gt;VET - COL 1</v>
      </c>
      <c r="BA696" s="148" t="str">
        <f t="shared" si="480"/>
        <v>11/24/2017 08:50-&gt;VET - VEN 1</v>
      </c>
      <c r="BB696" s="374">
        <f t="shared" si="481"/>
        <v>1</v>
      </c>
      <c r="BC696" s="374">
        <f t="shared" si="482"/>
        <v>1</v>
      </c>
      <c r="BD696" s="148" t="str">
        <f t="shared" si="483"/>
        <v>no conflict</v>
      </c>
      <c r="BF696" s="148" t="str">
        <f t="shared" si="484"/>
        <v>11/24/2017 08:50-&gt;VET - COL 1</v>
      </c>
      <c r="BG696" s="148" t="str">
        <f t="shared" si="485"/>
        <v>11/24/2017 08:50-&gt;VET - VEN 1</v>
      </c>
      <c r="BH696" s="148" t="str">
        <f t="shared" si="486"/>
        <v>11/24/2017 08:50-&gt;JCC Back Field 3</v>
      </c>
      <c r="BI696" s="148" t="str">
        <f t="shared" si="487"/>
        <v>Soccer in JCC Back Field 3 (COL1-VEN1)</v>
      </c>
      <c r="BJ696" s="148" t="str">
        <f t="shared" si="488"/>
        <v>Veterans Mini Soccer-- VET - COL 1 vs. VET - VEN 1</v>
      </c>
      <c r="BK696" s="148" t="str">
        <f t="shared" si="489"/>
        <v>Soccer</v>
      </c>
      <c r="BL696" s="148" t="str">
        <f t="shared" si="490"/>
        <v>VET - COL 1</v>
      </c>
      <c r="BM696" s="148" t="str">
        <f t="shared" si="491"/>
        <v>VET - VEN 1</v>
      </c>
      <c r="BN696" s="148" t="str">
        <f t="shared" si="492"/>
        <v>Round - 1</v>
      </c>
      <c r="BP696" s="148" t="str">
        <f t="shared" si="493"/>
        <v>no t, f, or sf</v>
      </c>
      <c r="BQ696" s="148" t="str">
        <f t="shared" si="494"/>
        <v/>
      </c>
    </row>
    <row r="697" spans="1:69" ht="15" customHeight="1" x14ac:dyDescent="0.2">
      <c r="A697" s="376">
        <v>695</v>
      </c>
      <c r="B697" s="433" t="s">
        <v>517</v>
      </c>
      <c r="C697" s="319" t="s">
        <v>518</v>
      </c>
      <c r="D697" s="376">
        <v>1</v>
      </c>
      <c r="E697" s="376">
        <v>1</v>
      </c>
      <c r="F697" s="315" t="s">
        <v>770</v>
      </c>
      <c r="G697" s="320">
        <v>43063</v>
      </c>
      <c r="H697" s="418">
        <v>0.40277777777777773</v>
      </c>
      <c r="I697" s="325" t="s">
        <v>770</v>
      </c>
      <c r="J697" s="296" t="s">
        <v>694</v>
      </c>
      <c r="K697" s="319">
        <v>911</v>
      </c>
      <c r="L697" t="s">
        <v>672</v>
      </c>
      <c r="M697">
        <v>911</v>
      </c>
      <c r="N697" t="s">
        <v>675</v>
      </c>
      <c r="O697" s="153" t="str">
        <f>IF(L697&lt;&gt;"",IFERROR(VLOOKUP(B697&amp;L697,Pools!$A$2:$D$130,3,FALSE),""),"")</f>
        <v/>
      </c>
      <c r="P697" s="388">
        <v>3</v>
      </c>
      <c r="Q697" s="388">
        <v>2</v>
      </c>
      <c r="R697" s="306" t="str">
        <f t="shared" si="450"/>
        <v>3-2</v>
      </c>
      <c r="S697" s="153"/>
      <c r="T697" s="148" t="str">
        <f t="shared" si="451"/>
        <v>Completed</v>
      </c>
      <c r="U697" s="153"/>
      <c r="V697" s="153"/>
      <c r="W697" s="387">
        <f t="shared" si="452"/>
        <v>1</v>
      </c>
      <c r="X697" s="387">
        <f t="shared" si="453"/>
        <v>-1</v>
      </c>
      <c r="Y697" s="301">
        <f t="shared" si="454"/>
        <v>2</v>
      </c>
      <c r="Z697" s="301">
        <f t="shared" si="455"/>
        <v>0</v>
      </c>
      <c r="AA697" s="323" t="str">
        <f>CONCATENATE("                x[team1,team2,sport,'",IF(OR(I697="x",I697=""),VLOOKUP('Schedule from TM'!J698,Tables!$P$3:$Q$33,2,FALSE),'Schedule from TM'!I698),",",J697,"','",IF(OR(F697="x",F697=""),VLOOKUP('Schedule from TM'!G698,Tables!$U$3:$V$14,2,FALSE),'Schedule from TM'!F698),",",TEXT(G697,"mm/dd/yyyy"),"','",TEXT(H697,"h:mm:ss AM/PM"),"'].ub=0.0      #",B697)</f>
        <v xml:space="preserve">                x[team1,team2,sport,'11,JCC Back Field 4','11,11/24/2017','9:40:00 AM'].ub=0.0      #Veterans Mini Soccer</v>
      </c>
      <c r="AB697" s="301" t="str">
        <f t="shared" si="456"/>
        <v>,,Veterans Mini Soccer,,1,VET - ARG 1</v>
      </c>
      <c r="AC697" s="153" t="str">
        <f t="shared" si="457"/>
        <v>Veterans Mini SoccerVET - ARG 1</v>
      </c>
      <c r="AD697" s="301" t="str">
        <f t="shared" si="458"/>
        <v>,,Veterans Mini Soccer,,1,VET - MEX</v>
      </c>
      <c r="AE697" s="153" t="str">
        <f t="shared" si="459"/>
        <v>Veterans Mini SoccerVET - MEX</v>
      </c>
      <c r="AF697" s="383">
        <f t="shared" si="460"/>
        <v>1</v>
      </c>
      <c r="AG697" s="383">
        <f t="shared" si="461"/>
        <v>0</v>
      </c>
      <c r="AH697" s="383">
        <f t="shared" si="462"/>
        <v>0</v>
      </c>
      <c r="AI697" s="383">
        <f t="shared" si="463"/>
        <v>0</v>
      </c>
      <c r="AJ697" s="383">
        <f t="shared" si="464"/>
        <v>1</v>
      </c>
      <c r="AK697" s="383">
        <f t="shared" si="465"/>
        <v>0</v>
      </c>
      <c r="AM697" s="148" t="str">
        <f t="shared" si="466"/>
        <v>Schedulled</v>
      </c>
      <c r="AN697" s="148" t="str">
        <f t="shared" si="467"/>
        <v/>
      </c>
      <c r="AO697" s="156">
        <f t="shared" si="468"/>
        <v>43063.402777777781</v>
      </c>
      <c r="AP697" s="148" t="str">
        <f t="shared" si="469"/>
        <v>11/24/2017 09:40-&gt;JCC Back Field 4</v>
      </c>
      <c r="AQ697" s="374">
        <f t="shared" si="470"/>
        <v>1</v>
      </c>
      <c r="AR697" s="148" t="str">
        <f t="shared" si="471"/>
        <v>ARG1</v>
      </c>
      <c r="AS697" s="148" t="str">
        <f t="shared" si="472"/>
        <v>MEX</v>
      </c>
      <c r="AT697" s="157" t="str">
        <f t="shared" si="473"/>
        <v>ARG1-MEX</v>
      </c>
      <c r="AU697" s="157" t="str">
        <f t="shared" si="474"/>
        <v xml:space="preserve">ARG1-MEX </v>
      </c>
      <c r="AV697" s="157" t="str">
        <f t="shared" si="475"/>
        <v>VETERANs MAlE</v>
      </c>
      <c r="AW697" s="157" t="str">
        <f t="shared" si="476"/>
        <v>Soccer</v>
      </c>
      <c r="AX697" s="376">
        <f t="shared" si="477"/>
        <v>695</v>
      </c>
      <c r="AY697" s="148" t="str">
        <f t="shared" si="478"/>
        <v>VET - ARG 1-&gt;VET - MEX</v>
      </c>
      <c r="AZ697" s="148" t="str">
        <f t="shared" si="479"/>
        <v>11/24/2017 09:40-&gt;VET - ARG 1</v>
      </c>
      <c r="BA697" s="148" t="str">
        <f t="shared" si="480"/>
        <v>11/24/2017 09:40-&gt;VET - MEX</v>
      </c>
      <c r="BB697" s="374">
        <f t="shared" si="481"/>
        <v>1</v>
      </c>
      <c r="BC697" s="374">
        <f t="shared" si="482"/>
        <v>1</v>
      </c>
      <c r="BD697" s="148" t="str">
        <f t="shared" si="483"/>
        <v>no conflict</v>
      </c>
      <c r="BF697" s="148" t="str">
        <f t="shared" si="484"/>
        <v>11/24/2017 09:40-&gt;VET - ARG 1</v>
      </c>
      <c r="BG697" s="148" t="str">
        <f t="shared" si="485"/>
        <v>11/24/2017 09:40-&gt;VET - MEX</v>
      </c>
      <c r="BH697" s="148" t="str">
        <f t="shared" si="486"/>
        <v>11/24/2017 09:40-&gt;JCC Back Field 4</v>
      </c>
      <c r="BI697" s="148" t="str">
        <f t="shared" si="487"/>
        <v>Soccer in JCC Back Field 4 (ARG1-MEX)</v>
      </c>
      <c r="BJ697" s="148" t="str">
        <f t="shared" si="488"/>
        <v>Veterans Mini Soccer-- VET - ARG 1 vs. VET - MEX</v>
      </c>
      <c r="BK697" s="148" t="str">
        <f t="shared" si="489"/>
        <v>Soccer</v>
      </c>
      <c r="BL697" s="148" t="str">
        <f t="shared" si="490"/>
        <v>VET - ARG 1</v>
      </c>
      <c r="BM697" s="148" t="str">
        <f t="shared" si="491"/>
        <v>VET - MEX</v>
      </c>
      <c r="BN697" s="148" t="str">
        <f t="shared" si="492"/>
        <v>Round - 1</v>
      </c>
      <c r="BP697" s="148" t="str">
        <f t="shared" si="493"/>
        <v>no t, f, or sf</v>
      </c>
      <c r="BQ697" s="148" t="str">
        <f t="shared" si="494"/>
        <v/>
      </c>
    </row>
    <row r="698" spans="1:69" ht="15" customHeight="1" x14ac:dyDescent="0.2">
      <c r="A698" s="376">
        <v>696</v>
      </c>
      <c r="B698" s="315" t="s">
        <v>516</v>
      </c>
      <c r="C698" s="315" t="s">
        <v>518</v>
      </c>
      <c r="D698" s="378">
        <v>1</v>
      </c>
      <c r="E698" s="378">
        <v>1</v>
      </c>
      <c r="F698" s="315" t="s">
        <v>770</v>
      </c>
      <c r="G698" s="316">
        <v>43058</v>
      </c>
      <c r="H698" s="317">
        <v>0.36805555555555558</v>
      </c>
      <c r="I698" s="325" t="s">
        <v>770</v>
      </c>
      <c r="J698" s="315" t="s">
        <v>697</v>
      </c>
      <c r="K698" s="315">
        <v>912</v>
      </c>
      <c r="L698" t="s">
        <v>675</v>
      </c>
      <c r="M698">
        <v>912</v>
      </c>
      <c r="N698" t="s">
        <v>677</v>
      </c>
      <c r="O698" s="153" t="str">
        <f>IF(L698&lt;&gt;"",IFERROR(VLOOKUP(B698&amp;L698,Pools!$A$2:$D$130,3,FALSE),""),"")</f>
        <v/>
      </c>
      <c r="P698" s="388">
        <v>2</v>
      </c>
      <c r="Q698" s="388">
        <v>0</v>
      </c>
      <c r="R698" s="306" t="str">
        <f t="shared" si="450"/>
        <v>2-0</v>
      </c>
      <c r="S698" s="153"/>
      <c r="T698" s="148" t="str">
        <f t="shared" si="451"/>
        <v>Completed</v>
      </c>
      <c r="U698" s="153"/>
      <c r="V698" s="153"/>
      <c r="W698" s="387">
        <f t="shared" si="452"/>
        <v>2</v>
      </c>
      <c r="X698" s="387">
        <f t="shared" si="453"/>
        <v>-2</v>
      </c>
      <c r="Y698" s="301">
        <f t="shared" si="454"/>
        <v>2</v>
      </c>
      <c r="Z698" s="301">
        <f t="shared" si="455"/>
        <v>0</v>
      </c>
      <c r="AA698" s="323" t="str">
        <f>CONCATENATE("                x[team1,team2,sport,'",IF(OR(I698="x",I698=""),VLOOKUP('Schedule from TM'!J699,Tables!$P$3:$Q$33,2,FALSE),'Schedule from TM'!I699),",",J698,"','",IF(OR(F698="x",F698=""),VLOOKUP('Schedule from TM'!G699,Tables!$U$3:$V$14,2,FALSE),'Schedule from TM'!F699),",",TEXT(G698,"mm/dd/yyyy"),"','",TEXT(H698,"h:mm:ss AM/PM"),"'].ub=0.0      #",B698)</f>
        <v xml:space="preserve">                x[team1,team2,sport,'11,JCC Gym South','11,11/19/2017','8:50:00 AM'].ub=0.0      #Veterans Volleyball</v>
      </c>
      <c r="AB698" s="301" t="str">
        <f t="shared" si="456"/>
        <v>,,Veterans Volleyball,,1,VET - MEX</v>
      </c>
      <c r="AC698" s="153" t="str">
        <f t="shared" si="457"/>
        <v>Veterans VolleyballVET - MEX</v>
      </c>
      <c r="AD698" s="301" t="str">
        <f t="shared" si="458"/>
        <v>,,Veterans Volleyball,,1,VET - USA 1</v>
      </c>
      <c r="AE698" s="153" t="str">
        <f t="shared" si="459"/>
        <v>Veterans VolleyballVET - USA 1</v>
      </c>
      <c r="AF698" s="383">
        <f t="shared" si="460"/>
        <v>1</v>
      </c>
      <c r="AG698" s="383">
        <f t="shared" si="461"/>
        <v>0</v>
      </c>
      <c r="AH698" s="383">
        <f t="shared" si="462"/>
        <v>0</v>
      </c>
      <c r="AI698" s="383">
        <f t="shared" si="463"/>
        <v>0</v>
      </c>
      <c r="AJ698" s="383">
        <f t="shared" si="464"/>
        <v>1</v>
      </c>
      <c r="AK698" s="383">
        <f t="shared" si="465"/>
        <v>0</v>
      </c>
      <c r="AM698" s="148" t="str">
        <f t="shared" si="466"/>
        <v>Schedulled</v>
      </c>
      <c r="AN698" s="148" t="str">
        <f t="shared" si="467"/>
        <v/>
      </c>
      <c r="AO698" s="156">
        <f t="shared" si="468"/>
        <v>43058.368055555555</v>
      </c>
      <c r="AP698" s="148" t="str">
        <f t="shared" si="469"/>
        <v>11/19/2017 08:50-&gt;JCC Gym South</v>
      </c>
      <c r="AQ698" s="374">
        <f t="shared" si="470"/>
        <v>1</v>
      </c>
      <c r="AR698" s="148" t="str">
        <f t="shared" si="471"/>
        <v>MEX</v>
      </c>
      <c r="AS698" s="148" t="str">
        <f t="shared" si="472"/>
        <v>USA1</v>
      </c>
      <c r="AT698" s="157" t="str">
        <f t="shared" si="473"/>
        <v>MEX-USA1</v>
      </c>
      <c r="AU698" s="157" t="str">
        <f t="shared" si="474"/>
        <v xml:space="preserve">MEX-USA1 </v>
      </c>
      <c r="AV698" s="157" t="str">
        <f t="shared" si="475"/>
        <v>VETERANs MAlE</v>
      </c>
      <c r="AW698" s="157" t="str">
        <f t="shared" si="476"/>
        <v>Volleyball</v>
      </c>
      <c r="AX698" s="376">
        <f t="shared" si="477"/>
        <v>696</v>
      </c>
      <c r="AY698" s="148" t="str">
        <f t="shared" si="478"/>
        <v>VET - MEX-&gt;VET - USA 1</v>
      </c>
      <c r="AZ698" s="148" t="str">
        <f t="shared" si="479"/>
        <v>11/19/2017 08:50-&gt;VET - MEX</v>
      </c>
      <c r="BA698" s="148" t="str">
        <f t="shared" si="480"/>
        <v>11/19/2017 08:50-&gt;VET - USA 1</v>
      </c>
      <c r="BB698" s="374">
        <f t="shared" si="481"/>
        <v>1</v>
      </c>
      <c r="BC698" s="374">
        <f t="shared" si="482"/>
        <v>1</v>
      </c>
      <c r="BD698" s="148" t="str">
        <f t="shared" si="483"/>
        <v>no conflict</v>
      </c>
      <c r="BF698" s="148" t="str">
        <f t="shared" si="484"/>
        <v>11/19/2017 08:50-&gt;VET - MEX</v>
      </c>
      <c r="BG698" s="148" t="str">
        <f t="shared" si="485"/>
        <v>11/19/2017 08:50-&gt;VET - USA 1</v>
      </c>
      <c r="BH698" s="148" t="str">
        <f t="shared" si="486"/>
        <v>11/19/2017 08:50-&gt;JCC Gym South</v>
      </c>
      <c r="BI698" s="148" t="str">
        <f t="shared" si="487"/>
        <v>Volleyball in JCC Gym South (MEX-USA1)</v>
      </c>
      <c r="BJ698" s="148" t="str">
        <f t="shared" si="488"/>
        <v>Veterans Volleyball-- VET - MEX vs. VET - USA 1</v>
      </c>
      <c r="BK698" s="148" t="str">
        <f t="shared" si="489"/>
        <v>Volleyball</v>
      </c>
      <c r="BL698" s="148" t="str">
        <f t="shared" si="490"/>
        <v>VET - MEX</v>
      </c>
      <c r="BM698" s="148" t="str">
        <f t="shared" si="491"/>
        <v>VET - USA 1</v>
      </c>
      <c r="BN698" s="148" t="str">
        <f t="shared" si="492"/>
        <v>Round - 1</v>
      </c>
      <c r="BP698" s="148" t="str">
        <f t="shared" si="493"/>
        <v>no t, f, or sf</v>
      </c>
      <c r="BQ698" s="148" t="str">
        <f t="shared" si="494"/>
        <v/>
      </c>
    </row>
    <row r="699" spans="1:69" ht="15" customHeight="1" x14ac:dyDescent="0.2">
      <c r="A699" s="450">
        <v>697</v>
      </c>
      <c r="B699" s="444" t="s">
        <v>516</v>
      </c>
      <c r="C699" s="444" t="s">
        <v>518</v>
      </c>
      <c r="D699" s="451">
        <v>1</v>
      </c>
      <c r="E699" s="451">
        <v>1</v>
      </c>
      <c r="F699" s="444" t="s">
        <v>770</v>
      </c>
      <c r="G699" s="445">
        <v>43058</v>
      </c>
      <c r="H699" s="317">
        <v>0.40277777777777773</v>
      </c>
      <c r="I699" s="446" t="s">
        <v>770</v>
      </c>
      <c r="J699" s="444" t="s">
        <v>697</v>
      </c>
      <c r="K699" s="444">
        <v>912</v>
      </c>
      <c r="L699" s="433" t="s">
        <v>672</v>
      </c>
      <c r="M699" s="433">
        <v>912</v>
      </c>
      <c r="N699" s="433" t="s">
        <v>678</v>
      </c>
      <c r="O699" s="153" t="str">
        <f>IF(L699&lt;&gt;"",IFERROR(VLOOKUP(B699&amp;L699,Pools!$A$2:$D$130,3,FALSE),""),"")</f>
        <v/>
      </c>
      <c r="P699" s="388">
        <v>0</v>
      </c>
      <c r="Q699" s="388">
        <v>2</v>
      </c>
      <c r="R699" s="306" t="str">
        <f t="shared" si="450"/>
        <v>0-2</v>
      </c>
      <c r="S699" s="153"/>
      <c r="T699" s="148" t="str">
        <f t="shared" si="451"/>
        <v>Completed</v>
      </c>
      <c r="U699" s="153"/>
      <c r="V699" s="153"/>
      <c r="W699" s="387">
        <f t="shared" si="452"/>
        <v>-2</v>
      </c>
      <c r="X699" s="387">
        <f t="shared" si="453"/>
        <v>2</v>
      </c>
      <c r="Y699" s="301">
        <f t="shared" si="454"/>
        <v>0</v>
      </c>
      <c r="Z699" s="301">
        <f t="shared" si="455"/>
        <v>2</v>
      </c>
      <c r="AA699" s="323" t="str">
        <f>CONCATENATE("                x[team1,team2,sport,'",IF(OR(I699="x",I699=""),VLOOKUP('Schedule from TM'!J700,Tables!$P$3:$Q$33,2,FALSE),'Schedule from TM'!I700),",",J699,"','",IF(OR(F699="x",F699=""),VLOOKUP('Schedule from TM'!G700,Tables!$U$3:$V$14,2,FALSE),'Schedule from TM'!F700),",",TEXT(G699,"mm/dd/yyyy"),"','",TEXT(H699,"h:mm:ss AM/PM"),"'].ub=0.0      #",B699)</f>
        <v xml:space="preserve">                x[team1,team2,sport,'11,JCC Gym South','11,11/19/2017','9:40:00 AM'].ub=0.0      #Veterans Volleyball</v>
      </c>
      <c r="AB699" s="301" t="str">
        <f t="shared" si="456"/>
        <v>,,Veterans Volleyball,,1,VET - ARG 1</v>
      </c>
      <c r="AC699" s="153" t="str">
        <f t="shared" si="457"/>
        <v>Veterans VolleyballVET - ARG 1</v>
      </c>
      <c r="AD699" s="301" t="str">
        <f t="shared" si="458"/>
        <v>,,Veterans Volleyball,,1,VET - VEN 1</v>
      </c>
      <c r="AE699" s="153" t="str">
        <f t="shared" si="459"/>
        <v>Veterans VolleyballVET - VEN 1</v>
      </c>
      <c r="AF699" s="383">
        <f t="shared" si="460"/>
        <v>0</v>
      </c>
      <c r="AG699" s="383">
        <f t="shared" si="461"/>
        <v>1</v>
      </c>
      <c r="AH699" s="383">
        <f t="shared" si="462"/>
        <v>0</v>
      </c>
      <c r="AI699" s="383">
        <f t="shared" si="463"/>
        <v>1</v>
      </c>
      <c r="AJ699" s="383">
        <f t="shared" si="464"/>
        <v>0</v>
      </c>
      <c r="AK699" s="383">
        <f t="shared" si="465"/>
        <v>0</v>
      </c>
      <c r="AM699" s="148" t="str">
        <f t="shared" si="466"/>
        <v>Schedulled</v>
      </c>
      <c r="AN699" s="148" t="str">
        <f t="shared" si="467"/>
        <v/>
      </c>
      <c r="AO699" s="156">
        <f t="shared" si="468"/>
        <v>43058.402777777781</v>
      </c>
      <c r="AP699" s="148" t="str">
        <f t="shared" si="469"/>
        <v>11/19/2017 09:40-&gt;JCC Gym South</v>
      </c>
      <c r="AQ699" s="374">
        <f t="shared" si="470"/>
        <v>1</v>
      </c>
      <c r="AR699" s="148" t="str">
        <f t="shared" si="471"/>
        <v>ARG1</v>
      </c>
      <c r="AS699" s="148" t="str">
        <f t="shared" si="472"/>
        <v>VEN1</v>
      </c>
      <c r="AT699" s="157" t="str">
        <f t="shared" si="473"/>
        <v>ARG1-VEN1</v>
      </c>
      <c r="AU699" s="157" t="str">
        <f t="shared" si="474"/>
        <v xml:space="preserve">ARG1-VEN1 </v>
      </c>
      <c r="AV699" s="157" t="str">
        <f t="shared" si="475"/>
        <v>VETERANs MAlE</v>
      </c>
      <c r="AW699" s="157" t="str">
        <f t="shared" si="476"/>
        <v>Volleyball</v>
      </c>
      <c r="AX699" s="450">
        <f t="shared" si="477"/>
        <v>697</v>
      </c>
      <c r="AY699" s="148" t="str">
        <f t="shared" si="478"/>
        <v>VET - ARG 1-&gt;VET - VEN 1</v>
      </c>
      <c r="AZ699" s="148" t="str">
        <f t="shared" si="479"/>
        <v>11/19/2017 09:40-&gt;VET - ARG 1</v>
      </c>
      <c r="BA699" s="148" t="str">
        <f t="shared" si="480"/>
        <v>11/19/2017 09:40-&gt;VET - VEN 1</v>
      </c>
      <c r="BB699" s="374">
        <f t="shared" si="481"/>
        <v>1</v>
      </c>
      <c r="BC699" s="374">
        <f t="shared" si="482"/>
        <v>1</v>
      </c>
      <c r="BD699" s="148" t="str">
        <f t="shared" si="483"/>
        <v>no conflict</v>
      </c>
      <c r="BF699" s="148" t="str">
        <f t="shared" si="484"/>
        <v>11/19/2017 09:40-&gt;VET - ARG 1</v>
      </c>
      <c r="BG699" s="148" t="str">
        <f t="shared" si="485"/>
        <v>11/19/2017 09:40-&gt;VET - VEN 1</v>
      </c>
      <c r="BH699" s="148" t="str">
        <f t="shared" si="486"/>
        <v>11/19/2017 09:40-&gt;JCC Gym South</v>
      </c>
      <c r="BI699" s="148" t="str">
        <f t="shared" si="487"/>
        <v>Volleyball in JCC Gym South (ARG1-VEN1)</v>
      </c>
      <c r="BJ699" s="148" t="str">
        <f t="shared" si="488"/>
        <v>Veterans Volleyball-- VET - ARG 1 vs. VET - VEN 1</v>
      </c>
      <c r="BK699" s="148" t="str">
        <f t="shared" si="489"/>
        <v>Volleyball</v>
      </c>
      <c r="BL699" s="148" t="str">
        <f t="shared" si="490"/>
        <v>VET - ARG 1</v>
      </c>
      <c r="BM699" s="148" t="str">
        <f t="shared" si="491"/>
        <v>VET - VEN 1</v>
      </c>
      <c r="BN699" s="148" t="str">
        <f t="shared" si="492"/>
        <v>Round - 1</v>
      </c>
      <c r="BP699" s="148" t="str">
        <f t="shared" si="493"/>
        <v>no t, f, or sf</v>
      </c>
      <c r="BQ699" s="148" t="str">
        <f t="shared" si="494"/>
        <v/>
      </c>
    </row>
    <row r="700" spans="1:69" ht="15" customHeight="1" x14ac:dyDescent="0.2">
      <c r="A700" s="376">
        <v>698</v>
      </c>
      <c r="B700" s="444" t="s">
        <v>516</v>
      </c>
      <c r="C700" s="315" t="s">
        <v>518</v>
      </c>
      <c r="D700" s="378">
        <v>1</v>
      </c>
      <c r="E700" s="378">
        <v>1</v>
      </c>
      <c r="F700" s="315" t="s">
        <v>770</v>
      </c>
      <c r="G700" s="316">
        <v>43058</v>
      </c>
      <c r="H700" s="317">
        <v>0.47222222222222227</v>
      </c>
      <c r="I700" s="325" t="s">
        <v>770</v>
      </c>
      <c r="J700" s="444" t="s">
        <v>697</v>
      </c>
      <c r="K700" s="444">
        <v>912</v>
      </c>
      <c r="L700" s="433" t="s">
        <v>674</v>
      </c>
      <c r="M700">
        <v>912</v>
      </c>
      <c r="N700" s="433" t="s">
        <v>721</v>
      </c>
      <c r="O700" s="153" t="str">
        <f>IF(L700&lt;&gt;"",IFERROR(VLOOKUP(B700&amp;L700,Pools!$A$2:$D$130,3,FALSE),""),"")</f>
        <v/>
      </c>
      <c r="P700" s="388">
        <v>0</v>
      </c>
      <c r="Q700" s="388">
        <v>2</v>
      </c>
      <c r="R700" s="306" t="str">
        <f t="shared" si="450"/>
        <v>0-2</v>
      </c>
      <c r="S700" s="153"/>
      <c r="T700" s="148" t="str">
        <f t="shared" si="451"/>
        <v>Completed</v>
      </c>
      <c r="U700" s="153"/>
      <c r="V700" s="153"/>
      <c r="W700" s="387">
        <f t="shared" si="452"/>
        <v>-2</v>
      </c>
      <c r="X700" s="387">
        <f t="shared" si="453"/>
        <v>2</v>
      </c>
      <c r="Y700" s="301">
        <f t="shared" si="454"/>
        <v>0</v>
      </c>
      <c r="Z700" s="301">
        <f t="shared" si="455"/>
        <v>2</v>
      </c>
      <c r="AA700" s="323" t="str">
        <f>CONCATENATE("                x[team1,team2,sport,'",IF(OR(I700="x",I700=""),VLOOKUP('Schedule from TM'!J701,Tables!$P$3:$Q$33,2,FALSE),'Schedule from TM'!I701),",",J700,"','",IF(OR(F700="x",F700=""),VLOOKUP('Schedule from TM'!G701,Tables!$U$3:$V$14,2,FALSE),'Schedule from TM'!F701),",",TEXT(G700,"mm/dd/yyyy"),"','",TEXT(H700,"h:mm:ss AM/PM"),"'].ub=0.0      #",B700)</f>
        <v xml:space="preserve">                x[team1,team2,sport,'11,JCC Gym South','11,11/19/2017','11:20:00 AM'].ub=0.0      #Veterans Volleyball</v>
      </c>
      <c r="AB700" s="301" t="str">
        <f t="shared" si="456"/>
        <v>,,Veterans Volleyball,,1,VET - COL 1</v>
      </c>
      <c r="AC700" s="153" t="str">
        <f t="shared" si="457"/>
        <v>Veterans VolleyballVET - COL 1</v>
      </c>
      <c r="AD700" s="301" t="str">
        <f t="shared" si="458"/>
        <v>,,Veterans Volleyball,,1,VET - ISR 1</v>
      </c>
      <c r="AE700" s="153" t="str">
        <f t="shared" si="459"/>
        <v>Veterans VolleyballVET - ISR 1</v>
      </c>
      <c r="AF700" s="383">
        <f t="shared" si="460"/>
        <v>0</v>
      </c>
      <c r="AG700" s="383">
        <f t="shared" si="461"/>
        <v>1</v>
      </c>
      <c r="AH700" s="383">
        <f t="shared" si="462"/>
        <v>0</v>
      </c>
      <c r="AI700" s="383">
        <f t="shared" si="463"/>
        <v>1</v>
      </c>
      <c r="AJ700" s="383">
        <f t="shared" si="464"/>
        <v>0</v>
      </c>
      <c r="AK700" s="383">
        <f t="shared" si="465"/>
        <v>0</v>
      </c>
      <c r="AM700" s="148" t="str">
        <f t="shared" si="466"/>
        <v>Schedulled</v>
      </c>
      <c r="AN700" s="148" t="str">
        <f t="shared" si="467"/>
        <v/>
      </c>
      <c r="AO700" s="156">
        <f t="shared" si="468"/>
        <v>43058.472222222219</v>
      </c>
      <c r="AP700" s="148" t="str">
        <f t="shared" si="469"/>
        <v>11/19/2017 11:20-&gt;JCC Gym South</v>
      </c>
      <c r="AQ700" s="374">
        <f t="shared" si="470"/>
        <v>1</v>
      </c>
      <c r="AR700" s="148" t="str">
        <f t="shared" si="471"/>
        <v>COL1</v>
      </c>
      <c r="AS700" s="148" t="str">
        <f t="shared" si="472"/>
        <v>ISR1</v>
      </c>
      <c r="AT700" s="157" t="str">
        <f t="shared" si="473"/>
        <v>COL1-ISR1</v>
      </c>
      <c r="AU700" s="157" t="str">
        <f t="shared" si="474"/>
        <v xml:space="preserve">COL1-ISR1 </v>
      </c>
      <c r="AV700" s="157" t="str">
        <f t="shared" si="475"/>
        <v>VETERANs MAlE</v>
      </c>
      <c r="AW700" s="157" t="str">
        <f t="shared" si="476"/>
        <v>Volleyball</v>
      </c>
      <c r="AX700" s="376">
        <f t="shared" si="477"/>
        <v>698</v>
      </c>
      <c r="AY700" s="148" t="str">
        <f t="shared" si="478"/>
        <v>VET - COL 1-&gt;VET - ISR 1</v>
      </c>
      <c r="AZ700" s="148" t="str">
        <f t="shared" si="479"/>
        <v>11/19/2017 11:20-&gt;VET - COL 1</v>
      </c>
      <c r="BA700" s="148" t="str">
        <f t="shared" si="480"/>
        <v>11/19/2017 11:20-&gt;VET - ISR 1</v>
      </c>
      <c r="BB700" s="374">
        <f t="shared" si="481"/>
        <v>1</v>
      </c>
      <c r="BC700" s="374">
        <f t="shared" si="482"/>
        <v>1</v>
      </c>
      <c r="BD700" s="148" t="str">
        <f t="shared" si="483"/>
        <v>no conflict</v>
      </c>
      <c r="BF700" s="148" t="str">
        <f t="shared" si="484"/>
        <v>11/19/2017 11:20-&gt;VET - COL 1</v>
      </c>
      <c r="BG700" s="148" t="str">
        <f t="shared" si="485"/>
        <v>11/19/2017 11:20-&gt;VET - ISR 1</v>
      </c>
      <c r="BH700" s="148" t="str">
        <f t="shared" si="486"/>
        <v>11/19/2017 11:20-&gt;JCC Gym South</v>
      </c>
      <c r="BI700" s="148" t="str">
        <f t="shared" si="487"/>
        <v>Volleyball in JCC Gym South (COL1-ISR1)</v>
      </c>
      <c r="BJ700" s="148" t="str">
        <f t="shared" si="488"/>
        <v>Veterans Volleyball-- VET - COL 1 vs. VET - ISR 1</v>
      </c>
      <c r="BK700" s="148" t="str">
        <f t="shared" si="489"/>
        <v>Volleyball</v>
      </c>
      <c r="BL700" s="148" t="str">
        <f t="shared" si="490"/>
        <v>VET - COL 1</v>
      </c>
      <c r="BM700" s="148" t="str">
        <f t="shared" si="491"/>
        <v>VET - ISR 1</v>
      </c>
      <c r="BN700" s="148" t="str">
        <f t="shared" si="492"/>
        <v>Round - 1</v>
      </c>
      <c r="BP700" s="148" t="str">
        <f t="shared" si="493"/>
        <v>no t, f, or sf</v>
      </c>
      <c r="BQ700" s="148" t="str">
        <f t="shared" si="494"/>
        <v/>
      </c>
    </row>
    <row r="701" spans="1:69" ht="15" customHeight="1" x14ac:dyDescent="0.2">
      <c r="A701" s="376">
        <v>699</v>
      </c>
      <c r="B701" s="444" t="s">
        <v>516</v>
      </c>
      <c r="C701" s="315" t="s">
        <v>518</v>
      </c>
      <c r="D701" s="378">
        <v>1</v>
      </c>
      <c r="E701" s="378">
        <v>1</v>
      </c>
      <c r="F701" s="315" t="s">
        <v>770</v>
      </c>
      <c r="G701" s="316">
        <v>43058</v>
      </c>
      <c r="H701" s="317">
        <v>0.68055555555555547</v>
      </c>
      <c r="I701" s="325" t="s">
        <v>770</v>
      </c>
      <c r="J701" s="444" t="s">
        <v>697</v>
      </c>
      <c r="K701" s="444">
        <v>912</v>
      </c>
      <c r="L701" s="433" t="s">
        <v>674</v>
      </c>
      <c r="M701">
        <v>912</v>
      </c>
      <c r="N701" s="433" t="s">
        <v>675</v>
      </c>
      <c r="O701" s="153" t="str">
        <f>IF(L701&lt;&gt;"",IFERROR(VLOOKUP(B701&amp;L701,Pools!$A$2:$D$130,3,FALSE),""),"")</f>
        <v/>
      </c>
      <c r="P701" s="388">
        <v>2</v>
      </c>
      <c r="Q701" s="388">
        <v>1</v>
      </c>
      <c r="R701" s="306" t="str">
        <f t="shared" si="450"/>
        <v>2-1</v>
      </c>
      <c r="S701" s="153"/>
      <c r="T701" s="148" t="str">
        <f t="shared" si="451"/>
        <v>Completed</v>
      </c>
      <c r="U701" s="153"/>
      <c r="V701" s="153"/>
      <c r="W701" s="387">
        <f t="shared" si="452"/>
        <v>1</v>
      </c>
      <c r="X701" s="387">
        <f t="shared" si="453"/>
        <v>-1</v>
      </c>
      <c r="Y701" s="301">
        <f t="shared" si="454"/>
        <v>2</v>
      </c>
      <c r="Z701" s="301">
        <f t="shared" si="455"/>
        <v>0</v>
      </c>
      <c r="AA701" s="323" t="str">
        <f>CONCATENATE("                x[team1,team2,sport,'",IF(OR(I701="x",I701=""),VLOOKUP('Schedule from TM'!J702,Tables!$P$3:$Q$33,2,FALSE),'Schedule from TM'!I702),",",J701,"','",IF(OR(F701="x",F701=""),VLOOKUP('Schedule from TM'!G702,Tables!$U$3:$V$14,2,FALSE),'Schedule from TM'!F702),",",TEXT(G701,"mm/dd/yyyy"),"','",TEXT(H701,"h:mm:ss AM/PM"),"'].ub=0.0      #",B701)</f>
        <v xml:space="preserve">                x[team1,team2,sport,'11,JCC Gym South','11,11/19/2017','4:20:00 PM'].ub=0.0      #Veterans Volleyball</v>
      </c>
      <c r="AB701" s="301" t="str">
        <f t="shared" si="456"/>
        <v>,,Veterans Volleyball,,1,VET - COL 1</v>
      </c>
      <c r="AC701" s="153" t="str">
        <f t="shared" si="457"/>
        <v>Veterans VolleyballVET - COL 1</v>
      </c>
      <c r="AD701" s="301" t="str">
        <f t="shared" si="458"/>
        <v>,,Veterans Volleyball,,1,VET - MEX</v>
      </c>
      <c r="AE701" s="153" t="str">
        <f t="shared" si="459"/>
        <v>Veterans VolleyballVET - MEX</v>
      </c>
      <c r="AF701" s="383">
        <f t="shared" si="460"/>
        <v>1</v>
      </c>
      <c r="AG701" s="383">
        <f t="shared" si="461"/>
        <v>0</v>
      </c>
      <c r="AH701" s="383">
        <f t="shared" si="462"/>
        <v>0</v>
      </c>
      <c r="AI701" s="383">
        <f t="shared" si="463"/>
        <v>0</v>
      </c>
      <c r="AJ701" s="383">
        <f t="shared" si="464"/>
        <v>1</v>
      </c>
      <c r="AK701" s="383">
        <f t="shared" si="465"/>
        <v>0</v>
      </c>
      <c r="AM701" s="148" t="str">
        <f t="shared" si="466"/>
        <v>Schedulled</v>
      </c>
      <c r="AN701" s="148" t="str">
        <f t="shared" si="467"/>
        <v/>
      </c>
      <c r="AO701" s="156">
        <f t="shared" si="468"/>
        <v>43058.680555555555</v>
      </c>
      <c r="AP701" s="148" t="str">
        <f t="shared" si="469"/>
        <v>11/19/2017 16:20-&gt;JCC Gym South</v>
      </c>
      <c r="AQ701" s="374">
        <f t="shared" si="470"/>
        <v>1</v>
      </c>
      <c r="AR701" s="148" t="str">
        <f t="shared" si="471"/>
        <v>COL1</v>
      </c>
      <c r="AS701" s="148" t="str">
        <f t="shared" si="472"/>
        <v>MEX</v>
      </c>
      <c r="AT701" s="157" t="str">
        <f t="shared" si="473"/>
        <v>COL1-MEX</v>
      </c>
      <c r="AU701" s="157" t="str">
        <f t="shared" si="474"/>
        <v xml:space="preserve">COL1-MEX </v>
      </c>
      <c r="AV701" s="157" t="str">
        <f t="shared" si="475"/>
        <v>VETERANs MAlE</v>
      </c>
      <c r="AW701" s="157" t="str">
        <f t="shared" si="476"/>
        <v>Volleyball</v>
      </c>
      <c r="AX701" s="376">
        <f t="shared" si="477"/>
        <v>699</v>
      </c>
      <c r="AY701" s="148" t="str">
        <f t="shared" si="478"/>
        <v>VET - COL 1-&gt;VET - MEX</v>
      </c>
      <c r="AZ701" s="148" t="str">
        <f t="shared" si="479"/>
        <v>11/19/2017 16:20-&gt;VET - COL 1</v>
      </c>
      <c r="BA701" s="148" t="str">
        <f t="shared" si="480"/>
        <v>11/19/2017 16:20-&gt;VET - MEX</v>
      </c>
      <c r="BB701" s="374">
        <f t="shared" si="481"/>
        <v>1</v>
      </c>
      <c r="BC701" s="374">
        <f t="shared" si="482"/>
        <v>1</v>
      </c>
      <c r="BD701" s="148" t="str">
        <f t="shared" si="483"/>
        <v>no conflict</v>
      </c>
      <c r="BF701" s="148" t="str">
        <f t="shared" si="484"/>
        <v>11/19/2017 16:20-&gt;VET - COL 1</v>
      </c>
      <c r="BG701" s="148" t="str">
        <f t="shared" si="485"/>
        <v>11/19/2017 16:20-&gt;VET - MEX</v>
      </c>
      <c r="BH701" s="148" t="str">
        <f t="shared" si="486"/>
        <v>11/19/2017 16:20-&gt;JCC Gym South</v>
      </c>
      <c r="BI701" s="148" t="str">
        <f t="shared" si="487"/>
        <v>Volleyball in JCC Gym South (COL1-MEX)</v>
      </c>
      <c r="BJ701" s="148" t="str">
        <f t="shared" si="488"/>
        <v>Veterans Volleyball-- VET - COL 1 vs. VET - MEX</v>
      </c>
      <c r="BK701" s="148" t="str">
        <f t="shared" si="489"/>
        <v>Volleyball</v>
      </c>
      <c r="BL701" s="148" t="str">
        <f t="shared" si="490"/>
        <v>VET - COL 1</v>
      </c>
      <c r="BM701" s="148" t="str">
        <f t="shared" si="491"/>
        <v>VET - MEX</v>
      </c>
      <c r="BN701" s="148" t="str">
        <f t="shared" si="492"/>
        <v>Round - 1</v>
      </c>
      <c r="BP701" s="148" t="str">
        <f t="shared" si="493"/>
        <v>no t, f, or sf</v>
      </c>
      <c r="BQ701" s="148" t="str">
        <f t="shared" si="494"/>
        <v/>
      </c>
    </row>
    <row r="702" spans="1:69" ht="15" customHeight="1" x14ac:dyDescent="0.2">
      <c r="A702" s="376">
        <v>700</v>
      </c>
      <c r="B702" s="444" t="s">
        <v>516</v>
      </c>
      <c r="C702" s="444" t="s">
        <v>518</v>
      </c>
      <c r="D702" s="451">
        <v>1</v>
      </c>
      <c r="E702" s="451">
        <v>1</v>
      </c>
      <c r="F702" s="444" t="s">
        <v>770</v>
      </c>
      <c r="G702" s="445">
        <v>43058</v>
      </c>
      <c r="H702" s="317">
        <v>0.75</v>
      </c>
      <c r="I702" s="446" t="s">
        <v>770</v>
      </c>
      <c r="J702" s="444" t="s">
        <v>697</v>
      </c>
      <c r="K702" s="315">
        <v>912</v>
      </c>
      <c r="L702" s="433" t="s">
        <v>678</v>
      </c>
      <c r="M702" s="433">
        <v>912</v>
      </c>
      <c r="N702" s="433" t="s">
        <v>721</v>
      </c>
      <c r="O702" s="153" t="str">
        <f>IF(L702&lt;&gt;"",IFERROR(VLOOKUP(B702&amp;L702,Pools!$A$2:$D$130,3,FALSE),""),"")</f>
        <v/>
      </c>
      <c r="P702" s="388">
        <v>1</v>
      </c>
      <c r="Q702" s="388">
        <v>2</v>
      </c>
      <c r="R702" s="306" t="str">
        <f t="shared" si="450"/>
        <v>1-2</v>
      </c>
      <c r="S702" s="153"/>
      <c r="T702" s="148" t="str">
        <f t="shared" si="451"/>
        <v>Completed</v>
      </c>
      <c r="U702" s="153"/>
      <c r="V702" s="153"/>
      <c r="W702" s="387">
        <f t="shared" si="452"/>
        <v>-1</v>
      </c>
      <c r="X702" s="387">
        <f t="shared" si="453"/>
        <v>1</v>
      </c>
      <c r="Y702" s="301">
        <f t="shared" si="454"/>
        <v>0</v>
      </c>
      <c r="Z702" s="301">
        <f t="shared" si="455"/>
        <v>2</v>
      </c>
      <c r="AA702" s="323" t="str">
        <f>CONCATENATE("                x[team1,team2,sport,'",IF(OR(I702="x",I702=""),VLOOKUP('Schedule from TM'!J703,Tables!$P$3:$Q$33,2,FALSE),'Schedule from TM'!I703),",",J702,"','",IF(OR(F702="x",F702=""),VLOOKUP('Schedule from TM'!G703,Tables!$U$3:$V$14,2,FALSE),'Schedule from TM'!F703),",",TEXT(G702,"mm/dd/yyyy"),"','",TEXT(H702,"h:mm:ss AM/PM"),"'].ub=0.0      #",B702)</f>
        <v xml:space="preserve">                x[team1,team2,sport,'11,JCC Gym South','22,11/19/2017','6:00:00 PM'].ub=0.0      #Veterans Volleyball</v>
      </c>
      <c r="AB702" s="301" t="str">
        <f t="shared" si="456"/>
        <v>,,Veterans Volleyball,,1,VET - VEN 1</v>
      </c>
      <c r="AC702" s="153" t="str">
        <f t="shared" si="457"/>
        <v>Veterans VolleyballVET - VEN 1</v>
      </c>
      <c r="AD702" s="301" t="str">
        <f t="shared" si="458"/>
        <v>,,Veterans Volleyball,,1,VET - ISR 1</v>
      </c>
      <c r="AE702" s="153" t="str">
        <f t="shared" si="459"/>
        <v>Veterans VolleyballVET - ISR 1</v>
      </c>
      <c r="AF702" s="383">
        <f t="shared" si="460"/>
        <v>0</v>
      </c>
      <c r="AG702" s="383">
        <f t="shared" si="461"/>
        <v>1</v>
      </c>
      <c r="AH702" s="383">
        <f t="shared" si="462"/>
        <v>0</v>
      </c>
      <c r="AI702" s="383">
        <f t="shared" si="463"/>
        <v>1</v>
      </c>
      <c r="AJ702" s="383">
        <f t="shared" si="464"/>
        <v>0</v>
      </c>
      <c r="AK702" s="383">
        <f t="shared" si="465"/>
        <v>0</v>
      </c>
      <c r="AM702" s="148" t="str">
        <f t="shared" si="466"/>
        <v>Schedulled</v>
      </c>
      <c r="AN702" s="148" t="str">
        <f t="shared" si="467"/>
        <v/>
      </c>
      <c r="AO702" s="156">
        <f t="shared" si="468"/>
        <v>43058.75</v>
      </c>
      <c r="AP702" s="148" t="str">
        <f t="shared" si="469"/>
        <v>11/19/2017 18:00-&gt;JCC Gym South</v>
      </c>
      <c r="AQ702" s="374">
        <f t="shared" si="470"/>
        <v>1</v>
      </c>
      <c r="AR702" s="148" t="str">
        <f t="shared" si="471"/>
        <v>VEN1</v>
      </c>
      <c r="AS702" s="148" t="str">
        <f t="shared" si="472"/>
        <v>ISR1</v>
      </c>
      <c r="AT702" s="157" t="str">
        <f t="shared" si="473"/>
        <v>VEN1-ISR1</v>
      </c>
      <c r="AU702" s="157" t="str">
        <f t="shared" si="474"/>
        <v xml:space="preserve">VEN1-ISR1 </v>
      </c>
      <c r="AV702" s="157" t="str">
        <f t="shared" si="475"/>
        <v>VETERANs MAlE</v>
      </c>
      <c r="AW702" s="157" t="str">
        <f t="shared" si="476"/>
        <v>Volleyball</v>
      </c>
      <c r="AX702" s="376">
        <f t="shared" si="477"/>
        <v>700</v>
      </c>
      <c r="AY702" s="148" t="str">
        <f t="shared" si="478"/>
        <v>VET - VEN 1-&gt;VET - ISR 1</v>
      </c>
      <c r="AZ702" s="148" t="str">
        <f t="shared" si="479"/>
        <v>11/19/2017 18:00-&gt;VET - VEN 1</v>
      </c>
      <c r="BA702" s="148" t="str">
        <f t="shared" si="480"/>
        <v>11/19/2017 18:00-&gt;VET - ISR 1</v>
      </c>
      <c r="BB702" s="374">
        <f t="shared" si="481"/>
        <v>1</v>
      </c>
      <c r="BC702" s="374">
        <f t="shared" si="482"/>
        <v>1</v>
      </c>
      <c r="BD702" s="148" t="str">
        <f t="shared" si="483"/>
        <v>no conflict</v>
      </c>
      <c r="BF702" s="148" t="str">
        <f t="shared" si="484"/>
        <v>11/19/2017 18:00-&gt;VET - VEN 1</v>
      </c>
      <c r="BG702" s="148" t="str">
        <f t="shared" si="485"/>
        <v>11/19/2017 18:00-&gt;VET - ISR 1</v>
      </c>
      <c r="BH702" s="148" t="str">
        <f t="shared" si="486"/>
        <v>11/19/2017 18:00-&gt;JCC Gym South</v>
      </c>
      <c r="BI702" s="148" t="str">
        <f t="shared" si="487"/>
        <v>Volleyball in JCC Gym South (VEN1-ISR1)</v>
      </c>
      <c r="BJ702" s="148" t="str">
        <f t="shared" si="488"/>
        <v>Veterans Volleyball-- VET - VEN 1 vs. VET - ISR 1</v>
      </c>
      <c r="BK702" s="148" t="str">
        <f t="shared" si="489"/>
        <v>Volleyball</v>
      </c>
      <c r="BL702" s="148" t="str">
        <f t="shared" si="490"/>
        <v>VET - VEN 1</v>
      </c>
      <c r="BM702" s="148" t="str">
        <f t="shared" si="491"/>
        <v>VET - ISR 1</v>
      </c>
      <c r="BN702" s="148" t="str">
        <f t="shared" si="492"/>
        <v>Round - 1</v>
      </c>
      <c r="BP702" s="148" t="str">
        <f t="shared" si="493"/>
        <v>no t, f, or sf</v>
      </c>
      <c r="BQ702" s="148" t="str">
        <f t="shared" si="494"/>
        <v/>
      </c>
    </row>
    <row r="703" spans="1:69" ht="15" customHeight="1" x14ac:dyDescent="0.2">
      <c r="A703" s="376">
        <v>701</v>
      </c>
      <c r="B703" s="444" t="s">
        <v>516</v>
      </c>
      <c r="C703" s="444" t="s">
        <v>518</v>
      </c>
      <c r="D703" s="451">
        <v>1</v>
      </c>
      <c r="E703" s="451">
        <v>1</v>
      </c>
      <c r="F703" s="444" t="s">
        <v>770</v>
      </c>
      <c r="G703" s="445">
        <v>43059</v>
      </c>
      <c r="H703" s="317">
        <v>0.88888888888888884</v>
      </c>
      <c r="I703" s="446" t="s">
        <v>770</v>
      </c>
      <c r="J703" s="444" t="s">
        <v>697</v>
      </c>
      <c r="K703" s="315">
        <v>912</v>
      </c>
      <c r="L703" s="433" t="s">
        <v>672</v>
      </c>
      <c r="M703" s="433">
        <v>912</v>
      </c>
      <c r="N703" s="433" t="s">
        <v>674</v>
      </c>
      <c r="O703" s="153" t="str">
        <f>IF(L703&lt;&gt;"",IFERROR(VLOOKUP(B703&amp;L703,Pools!$A$2:$D$130,3,FALSE),""),"")</f>
        <v/>
      </c>
      <c r="P703" s="388">
        <v>0</v>
      </c>
      <c r="Q703" s="388">
        <v>2</v>
      </c>
      <c r="R703" s="306" t="str">
        <f t="shared" si="450"/>
        <v>0-2</v>
      </c>
      <c r="S703" s="153"/>
      <c r="T703" s="148" t="str">
        <f t="shared" si="451"/>
        <v>Completed</v>
      </c>
      <c r="U703" s="153"/>
      <c r="V703" s="153"/>
      <c r="W703" s="387">
        <f t="shared" si="452"/>
        <v>-2</v>
      </c>
      <c r="X703" s="387">
        <f t="shared" si="453"/>
        <v>2</v>
      </c>
      <c r="Y703" s="301">
        <f t="shared" si="454"/>
        <v>0</v>
      </c>
      <c r="Z703" s="301">
        <f t="shared" si="455"/>
        <v>2</v>
      </c>
      <c r="AA703" s="323" t="str">
        <f>CONCATENATE("                x[team1,team2,sport,'",IF(OR(I703="x",I703=""),VLOOKUP('Schedule from TM'!J704,Tables!$P$3:$Q$33,2,FALSE),'Schedule from TM'!I704),",",J703,"','",IF(OR(F703="x",F703=""),VLOOKUP('Schedule from TM'!G704,Tables!$U$3:$V$14,2,FALSE),'Schedule from TM'!F704),",",TEXT(G703,"mm/dd/yyyy"),"','",TEXT(H703,"h:mm:ss AM/PM"),"'].ub=0.0      #",B703)</f>
        <v xml:space="preserve">                x[team1,team2,sport,'11,JCC Gym South','11,11/20/2017','9:20:00 PM'].ub=0.0      #Veterans Volleyball</v>
      </c>
      <c r="AB703" s="301" t="str">
        <f t="shared" si="456"/>
        <v>,,Veterans Volleyball,,1,VET - ARG 1</v>
      </c>
      <c r="AC703" s="153" t="str">
        <f t="shared" si="457"/>
        <v>Veterans VolleyballVET - ARG 1</v>
      </c>
      <c r="AD703" s="301" t="str">
        <f t="shared" si="458"/>
        <v>,,Veterans Volleyball,,1,VET - COL 1</v>
      </c>
      <c r="AE703" s="153" t="str">
        <f t="shared" si="459"/>
        <v>Veterans VolleyballVET - COL 1</v>
      </c>
      <c r="AF703" s="383">
        <f t="shared" si="460"/>
        <v>0</v>
      </c>
      <c r="AG703" s="383">
        <f t="shared" si="461"/>
        <v>1</v>
      </c>
      <c r="AH703" s="383">
        <f t="shared" si="462"/>
        <v>0</v>
      </c>
      <c r="AI703" s="383">
        <f t="shared" si="463"/>
        <v>1</v>
      </c>
      <c r="AJ703" s="383">
        <f t="shared" si="464"/>
        <v>0</v>
      </c>
      <c r="AK703" s="383">
        <f t="shared" si="465"/>
        <v>0</v>
      </c>
      <c r="AM703" s="148" t="str">
        <f t="shared" si="466"/>
        <v>Schedulled</v>
      </c>
      <c r="AN703" s="148" t="str">
        <f t="shared" si="467"/>
        <v/>
      </c>
      <c r="AO703" s="156">
        <f t="shared" si="468"/>
        <v>43059.888888888891</v>
      </c>
      <c r="AP703" s="148" t="str">
        <f t="shared" si="469"/>
        <v>11/20/2017 21:20-&gt;JCC Gym South</v>
      </c>
      <c r="AQ703" s="374">
        <f t="shared" si="470"/>
        <v>1</v>
      </c>
      <c r="AR703" s="148" t="str">
        <f t="shared" si="471"/>
        <v>ARG1</v>
      </c>
      <c r="AS703" s="148" t="str">
        <f t="shared" si="472"/>
        <v>COL1</v>
      </c>
      <c r="AT703" s="157" t="str">
        <f t="shared" si="473"/>
        <v>ARG1-COL1</v>
      </c>
      <c r="AU703" s="157" t="str">
        <f t="shared" si="474"/>
        <v xml:space="preserve">ARG1-COL1 </v>
      </c>
      <c r="AV703" s="157" t="str">
        <f t="shared" si="475"/>
        <v>VETERANs MAlE</v>
      </c>
      <c r="AW703" s="157" t="str">
        <f t="shared" si="476"/>
        <v>Volleyball</v>
      </c>
      <c r="AX703" s="376">
        <f t="shared" si="477"/>
        <v>701</v>
      </c>
      <c r="AY703" s="148" t="str">
        <f t="shared" si="478"/>
        <v>VET - ARG 1-&gt;VET - COL 1</v>
      </c>
      <c r="AZ703" s="148" t="str">
        <f t="shared" si="479"/>
        <v>11/20/2017 21:20-&gt;VET - ARG 1</v>
      </c>
      <c r="BA703" s="148" t="str">
        <f t="shared" si="480"/>
        <v>11/20/2017 21:20-&gt;VET - COL 1</v>
      </c>
      <c r="BB703" s="374">
        <f t="shared" si="481"/>
        <v>1</v>
      </c>
      <c r="BC703" s="374">
        <f t="shared" si="482"/>
        <v>1</v>
      </c>
      <c r="BD703" s="148" t="str">
        <f t="shared" si="483"/>
        <v>no conflict</v>
      </c>
      <c r="BF703" s="148" t="str">
        <f t="shared" si="484"/>
        <v>11/20/2017 21:20-&gt;VET - ARG 1</v>
      </c>
      <c r="BG703" s="148" t="str">
        <f t="shared" si="485"/>
        <v>11/20/2017 21:20-&gt;VET - COL 1</v>
      </c>
      <c r="BH703" s="148" t="str">
        <f t="shared" si="486"/>
        <v>11/20/2017 21:20-&gt;JCC Gym South</v>
      </c>
      <c r="BI703" s="148" t="str">
        <f t="shared" si="487"/>
        <v>Volleyball in JCC Gym South (ARG1-COL1)</v>
      </c>
      <c r="BJ703" s="148" t="str">
        <f t="shared" si="488"/>
        <v>Veterans Volleyball-- VET - ARG 1 vs. VET - COL 1</v>
      </c>
      <c r="BK703" s="148" t="str">
        <f t="shared" si="489"/>
        <v>Volleyball</v>
      </c>
      <c r="BL703" s="148" t="str">
        <f t="shared" si="490"/>
        <v>VET - ARG 1</v>
      </c>
      <c r="BM703" s="148" t="str">
        <f t="shared" si="491"/>
        <v>VET - COL 1</v>
      </c>
      <c r="BN703" s="148" t="str">
        <f t="shared" si="492"/>
        <v>Round - 1</v>
      </c>
      <c r="BP703" s="148" t="str">
        <f t="shared" si="493"/>
        <v>no t, f, or sf</v>
      </c>
      <c r="BQ703" s="148" t="str">
        <f t="shared" si="494"/>
        <v/>
      </c>
    </row>
    <row r="704" spans="1:69" ht="15" customHeight="1" x14ac:dyDescent="0.2">
      <c r="A704" s="376">
        <v>702</v>
      </c>
      <c r="B704" s="444" t="s">
        <v>516</v>
      </c>
      <c r="C704" s="444" t="s">
        <v>518</v>
      </c>
      <c r="D704" s="451">
        <v>1</v>
      </c>
      <c r="E704" s="451">
        <v>1</v>
      </c>
      <c r="F704" s="444" t="s">
        <v>770</v>
      </c>
      <c r="G704" s="445">
        <v>43062</v>
      </c>
      <c r="H704" s="317">
        <v>0.40277777777777773</v>
      </c>
      <c r="I704" s="446" t="s">
        <v>770</v>
      </c>
      <c r="J704" s="444" t="s">
        <v>697</v>
      </c>
      <c r="K704" s="315">
        <v>912</v>
      </c>
      <c r="L704" s="433" t="s">
        <v>677</v>
      </c>
      <c r="M704" s="433">
        <v>912</v>
      </c>
      <c r="N704" s="433" t="s">
        <v>678</v>
      </c>
      <c r="O704" s="153" t="str">
        <f>IF(L704&lt;&gt;"",IFERROR(VLOOKUP(B704&amp;L704,Pools!$A$2:$D$130,3,FALSE),""),"")</f>
        <v/>
      </c>
      <c r="P704" s="388">
        <v>1</v>
      </c>
      <c r="Q704" s="388">
        <v>2</v>
      </c>
      <c r="R704" s="306" t="str">
        <f t="shared" si="450"/>
        <v>1-2</v>
      </c>
      <c r="S704" s="153"/>
      <c r="T704" s="148" t="str">
        <f t="shared" si="451"/>
        <v>Completed</v>
      </c>
      <c r="U704" s="153"/>
      <c r="V704" s="153"/>
      <c r="W704" s="387">
        <f t="shared" si="452"/>
        <v>-1</v>
      </c>
      <c r="X704" s="387">
        <f t="shared" si="453"/>
        <v>1</v>
      </c>
      <c r="Y704" s="301">
        <f t="shared" si="454"/>
        <v>0</v>
      </c>
      <c r="Z704" s="301">
        <f t="shared" si="455"/>
        <v>2</v>
      </c>
      <c r="AA704" s="323" t="str">
        <f>CONCATENATE("                x[team1,team2,sport,'",IF(OR(I704="x",I704=""),VLOOKUP('Schedule from TM'!J705,Tables!$P$3:$Q$33,2,FALSE),'Schedule from TM'!I705),",",J704,"','",IF(OR(F704="x",F704=""),VLOOKUP('Schedule from TM'!G705,Tables!$U$3:$V$14,2,FALSE),'Schedule from TM'!F705),",",TEXT(G704,"mm/dd/yyyy"),"','",TEXT(H704,"h:mm:ss AM/PM"),"'].ub=0.0      #",B704)</f>
        <v xml:space="preserve">                x[team1,team2,sport,'11,JCC Gym South','11,11/23/2017','9:40:00 AM'].ub=0.0      #Veterans Volleyball</v>
      </c>
      <c r="AB704" s="301" t="str">
        <f t="shared" si="456"/>
        <v>,,Veterans Volleyball,,1,VET - USA 1</v>
      </c>
      <c r="AC704" s="153" t="str">
        <f t="shared" si="457"/>
        <v>Veterans VolleyballVET - USA 1</v>
      </c>
      <c r="AD704" s="301" t="str">
        <f t="shared" si="458"/>
        <v>,,Veterans Volleyball,,1,VET - VEN 1</v>
      </c>
      <c r="AE704" s="153" t="str">
        <f t="shared" si="459"/>
        <v>Veterans VolleyballVET - VEN 1</v>
      </c>
      <c r="AF704" s="383">
        <f t="shared" si="460"/>
        <v>0</v>
      </c>
      <c r="AG704" s="383">
        <f t="shared" si="461"/>
        <v>1</v>
      </c>
      <c r="AH704" s="383">
        <f t="shared" si="462"/>
        <v>0</v>
      </c>
      <c r="AI704" s="383">
        <f t="shared" si="463"/>
        <v>1</v>
      </c>
      <c r="AJ704" s="383">
        <f t="shared" si="464"/>
        <v>0</v>
      </c>
      <c r="AK704" s="383">
        <f t="shared" si="465"/>
        <v>0</v>
      </c>
      <c r="AM704" s="148" t="str">
        <f t="shared" si="466"/>
        <v>Schedulled</v>
      </c>
      <c r="AN704" s="148" t="str">
        <f t="shared" si="467"/>
        <v/>
      </c>
      <c r="AO704" s="156">
        <f t="shared" si="468"/>
        <v>43062.402777777781</v>
      </c>
      <c r="AP704" s="148" t="str">
        <f t="shared" si="469"/>
        <v>11/23/2017 09:40-&gt;JCC Gym South</v>
      </c>
      <c r="AQ704" s="374">
        <f t="shared" si="470"/>
        <v>1</v>
      </c>
      <c r="AR704" s="148" t="str">
        <f t="shared" si="471"/>
        <v>USA1</v>
      </c>
      <c r="AS704" s="148" t="str">
        <f t="shared" si="472"/>
        <v>VEN1</v>
      </c>
      <c r="AT704" s="157" t="str">
        <f t="shared" si="473"/>
        <v>USA1-VEN1</v>
      </c>
      <c r="AU704" s="157" t="str">
        <f t="shared" si="474"/>
        <v xml:space="preserve">USA1-VEN1 </v>
      </c>
      <c r="AV704" s="157" t="str">
        <f t="shared" si="475"/>
        <v>VETERANs MAlE</v>
      </c>
      <c r="AW704" s="157" t="str">
        <f t="shared" si="476"/>
        <v>Volleyball</v>
      </c>
      <c r="AX704" s="376">
        <f t="shared" si="477"/>
        <v>702</v>
      </c>
      <c r="AY704" s="148" t="str">
        <f t="shared" si="478"/>
        <v>VET - USA 1-&gt;VET - VEN 1</v>
      </c>
      <c r="AZ704" s="148" t="str">
        <f t="shared" si="479"/>
        <v>11/23/2017 09:40-&gt;VET - USA 1</v>
      </c>
      <c r="BA704" s="148" t="str">
        <f t="shared" si="480"/>
        <v>11/23/2017 09:40-&gt;VET - VEN 1</v>
      </c>
      <c r="BB704" s="374">
        <f t="shared" si="481"/>
        <v>1</v>
      </c>
      <c r="BC704" s="374">
        <f t="shared" si="482"/>
        <v>1</v>
      </c>
      <c r="BD704" s="148" t="str">
        <f t="shared" si="483"/>
        <v>no conflict</v>
      </c>
      <c r="BF704" s="148" t="str">
        <f t="shared" si="484"/>
        <v>11/23/2017 09:40-&gt;VET - USA 1</v>
      </c>
      <c r="BG704" s="148" t="str">
        <f t="shared" si="485"/>
        <v>11/23/2017 09:40-&gt;VET - VEN 1</v>
      </c>
      <c r="BH704" s="148" t="str">
        <f t="shared" si="486"/>
        <v>11/23/2017 09:40-&gt;JCC Gym South</v>
      </c>
      <c r="BI704" s="148" t="str">
        <f t="shared" si="487"/>
        <v>Volleyball in JCC Gym South (USA1-VEN1)</v>
      </c>
      <c r="BJ704" s="148" t="str">
        <f t="shared" si="488"/>
        <v>Veterans Volleyball-- VET - USA 1 vs. VET - VEN 1</v>
      </c>
      <c r="BK704" s="148" t="str">
        <f t="shared" si="489"/>
        <v>Volleyball</v>
      </c>
      <c r="BL704" s="148" t="str">
        <f t="shared" si="490"/>
        <v>VET - USA 1</v>
      </c>
      <c r="BM704" s="148" t="str">
        <f t="shared" si="491"/>
        <v>VET - VEN 1</v>
      </c>
      <c r="BN704" s="148" t="str">
        <f t="shared" si="492"/>
        <v>Round - 1</v>
      </c>
      <c r="BP704" s="148" t="str">
        <f t="shared" si="493"/>
        <v>no t, f, or sf</v>
      </c>
      <c r="BQ704" s="148" t="str">
        <f t="shared" si="494"/>
        <v/>
      </c>
    </row>
    <row r="705" spans="1:69" ht="15" customHeight="1" x14ac:dyDescent="0.2">
      <c r="A705" s="376">
        <v>703</v>
      </c>
      <c r="B705" s="444" t="s">
        <v>516</v>
      </c>
      <c r="C705" s="444" t="s">
        <v>518</v>
      </c>
      <c r="D705" s="451">
        <v>1</v>
      </c>
      <c r="E705" s="451">
        <v>1</v>
      </c>
      <c r="F705" s="444" t="s">
        <v>770</v>
      </c>
      <c r="G705" s="445">
        <v>43062</v>
      </c>
      <c r="H705" s="317">
        <v>0.4375</v>
      </c>
      <c r="I705" s="446" t="s">
        <v>770</v>
      </c>
      <c r="J705" s="444" t="s">
        <v>697</v>
      </c>
      <c r="K705" s="315">
        <v>912</v>
      </c>
      <c r="L705" s="433" t="s">
        <v>672</v>
      </c>
      <c r="M705" s="433">
        <v>912</v>
      </c>
      <c r="N705" s="433" t="s">
        <v>721</v>
      </c>
      <c r="O705" s="153" t="str">
        <f>IF(L705&lt;&gt;"",IFERROR(VLOOKUP(B705&amp;L705,Pools!$A$2:$D$130,3,FALSE),""),"")</f>
        <v/>
      </c>
      <c r="P705" s="388">
        <v>0</v>
      </c>
      <c r="Q705" s="388">
        <v>2</v>
      </c>
      <c r="R705" s="306" t="str">
        <f t="shared" si="450"/>
        <v>0-2</v>
      </c>
      <c r="S705" s="153"/>
      <c r="T705" s="148" t="str">
        <f t="shared" si="451"/>
        <v>Completed</v>
      </c>
      <c r="U705" s="153"/>
      <c r="V705" s="153"/>
      <c r="W705" s="387">
        <f t="shared" si="452"/>
        <v>-2</v>
      </c>
      <c r="X705" s="387">
        <f t="shared" si="453"/>
        <v>2</v>
      </c>
      <c r="Y705" s="301">
        <f t="shared" si="454"/>
        <v>0</v>
      </c>
      <c r="Z705" s="301">
        <f t="shared" si="455"/>
        <v>2</v>
      </c>
      <c r="AA705" s="323" t="str">
        <f>CONCATENATE("                x[team1,team2,sport,'",IF(OR(I705="x",I705=""),VLOOKUP('Schedule from TM'!J706,Tables!$P$3:$Q$33,2,FALSE),'Schedule from TM'!I706),",",J705,"','",IF(OR(F705="x",F705=""),VLOOKUP('Schedule from TM'!G706,Tables!$U$3:$V$14,2,FALSE),'Schedule from TM'!F706),",",TEXT(G705,"mm/dd/yyyy"),"','",TEXT(H705,"h:mm:ss AM/PM"),"'].ub=0.0      #",B705)</f>
        <v xml:space="preserve">                x[team1,team2,sport,'11,JCC Gym South','11,11/23/2017','10:30:00 AM'].ub=0.0      #Veterans Volleyball</v>
      </c>
      <c r="AB705" s="301" t="str">
        <f t="shared" si="456"/>
        <v>,,Veterans Volleyball,,1,VET - ARG 1</v>
      </c>
      <c r="AC705" s="153" t="str">
        <f t="shared" si="457"/>
        <v>Veterans VolleyballVET - ARG 1</v>
      </c>
      <c r="AD705" s="301" t="str">
        <f t="shared" si="458"/>
        <v>,,Veterans Volleyball,,1,VET - ISR 1</v>
      </c>
      <c r="AE705" s="153" t="str">
        <f t="shared" si="459"/>
        <v>Veterans VolleyballVET - ISR 1</v>
      </c>
      <c r="AF705" s="383">
        <f t="shared" si="460"/>
        <v>0</v>
      </c>
      <c r="AG705" s="383">
        <f t="shared" si="461"/>
        <v>1</v>
      </c>
      <c r="AH705" s="383">
        <f t="shared" si="462"/>
        <v>0</v>
      </c>
      <c r="AI705" s="383">
        <f t="shared" si="463"/>
        <v>1</v>
      </c>
      <c r="AJ705" s="383">
        <f t="shared" si="464"/>
        <v>0</v>
      </c>
      <c r="AK705" s="383">
        <f t="shared" si="465"/>
        <v>0</v>
      </c>
      <c r="AM705" s="148" t="str">
        <f t="shared" si="466"/>
        <v>Schedulled</v>
      </c>
      <c r="AN705" s="148" t="str">
        <f t="shared" si="467"/>
        <v/>
      </c>
      <c r="AO705" s="156">
        <f t="shared" si="468"/>
        <v>43062.4375</v>
      </c>
      <c r="AP705" s="148" t="str">
        <f t="shared" si="469"/>
        <v>11/23/2017 10:30-&gt;JCC Gym South</v>
      </c>
      <c r="AQ705" s="374">
        <f t="shared" si="470"/>
        <v>1</v>
      </c>
      <c r="AR705" s="148" t="str">
        <f t="shared" si="471"/>
        <v>ARG1</v>
      </c>
      <c r="AS705" s="148" t="str">
        <f t="shared" si="472"/>
        <v>ISR1</v>
      </c>
      <c r="AT705" s="157" t="str">
        <f t="shared" si="473"/>
        <v>ARG1-ISR1</v>
      </c>
      <c r="AU705" s="157" t="str">
        <f t="shared" si="474"/>
        <v xml:space="preserve">ARG1-ISR1 </v>
      </c>
      <c r="AV705" s="157" t="str">
        <f t="shared" si="475"/>
        <v>VETERANs MAlE</v>
      </c>
      <c r="AW705" s="157" t="str">
        <f t="shared" si="476"/>
        <v>Volleyball</v>
      </c>
      <c r="AX705" s="376">
        <f t="shared" si="477"/>
        <v>703</v>
      </c>
      <c r="AY705" s="148" t="str">
        <f t="shared" si="478"/>
        <v>VET - ARG 1-&gt;VET - ISR 1</v>
      </c>
      <c r="AZ705" s="148" t="str">
        <f t="shared" si="479"/>
        <v>11/23/2017 10:30-&gt;VET - ARG 1</v>
      </c>
      <c r="BA705" s="148" t="str">
        <f t="shared" si="480"/>
        <v>11/23/2017 10:30-&gt;VET - ISR 1</v>
      </c>
      <c r="BB705" s="374">
        <f t="shared" si="481"/>
        <v>1</v>
      </c>
      <c r="BC705" s="374">
        <f t="shared" si="482"/>
        <v>1</v>
      </c>
      <c r="BD705" s="148" t="str">
        <f t="shared" si="483"/>
        <v>no conflict</v>
      </c>
      <c r="BF705" s="148" t="str">
        <f t="shared" si="484"/>
        <v>11/23/2017 10:30-&gt;VET - ARG 1</v>
      </c>
      <c r="BG705" s="148" t="str">
        <f t="shared" si="485"/>
        <v>11/23/2017 10:30-&gt;VET - ISR 1</v>
      </c>
      <c r="BH705" s="148" t="str">
        <f t="shared" si="486"/>
        <v>11/23/2017 10:30-&gt;JCC Gym South</v>
      </c>
      <c r="BI705" s="148" t="str">
        <f t="shared" si="487"/>
        <v>Volleyball in JCC Gym South (ARG1-ISR1)</v>
      </c>
      <c r="BJ705" s="148" t="str">
        <f t="shared" si="488"/>
        <v>Veterans Volleyball-- VET - ARG 1 vs. VET - ISR 1</v>
      </c>
      <c r="BK705" s="148" t="str">
        <f t="shared" si="489"/>
        <v>Volleyball</v>
      </c>
      <c r="BL705" s="148" t="str">
        <f t="shared" si="490"/>
        <v>VET - ARG 1</v>
      </c>
      <c r="BM705" s="148" t="str">
        <f t="shared" si="491"/>
        <v>VET - ISR 1</v>
      </c>
      <c r="BN705" s="148" t="str">
        <f t="shared" si="492"/>
        <v>Round - 1</v>
      </c>
      <c r="BP705" s="148" t="str">
        <f t="shared" si="493"/>
        <v>no t, f, or sf</v>
      </c>
      <c r="BQ705" s="148" t="str">
        <f t="shared" si="494"/>
        <v/>
      </c>
    </row>
    <row r="706" spans="1:69" ht="15" customHeight="1" x14ac:dyDescent="0.2">
      <c r="A706" s="376">
        <v>704</v>
      </c>
      <c r="B706" s="444" t="s">
        <v>516</v>
      </c>
      <c r="C706" s="444" t="s">
        <v>518</v>
      </c>
      <c r="D706" s="451">
        <v>1</v>
      </c>
      <c r="E706" s="451">
        <v>1</v>
      </c>
      <c r="F706" s="315" t="s">
        <v>770</v>
      </c>
      <c r="G706" s="445">
        <v>43062</v>
      </c>
      <c r="H706" s="317">
        <v>0.57638888888888895</v>
      </c>
      <c r="I706" s="325" t="s">
        <v>770</v>
      </c>
      <c r="J706" s="319" t="s">
        <v>697</v>
      </c>
      <c r="K706" s="444">
        <v>912</v>
      </c>
      <c r="L706" t="s">
        <v>675</v>
      </c>
      <c r="M706">
        <v>912</v>
      </c>
      <c r="N706" t="s">
        <v>678</v>
      </c>
      <c r="O706" s="153" t="str">
        <f>IF(L706&lt;&gt;"",IFERROR(VLOOKUP(B706&amp;L706,Pools!$A$2:$D$130,3,FALSE),""),"")</f>
        <v/>
      </c>
      <c r="P706" s="388">
        <v>0</v>
      </c>
      <c r="Q706" s="388">
        <v>2</v>
      </c>
      <c r="R706" s="306" t="str">
        <f t="shared" si="450"/>
        <v>0-2</v>
      </c>
      <c r="S706" s="153"/>
      <c r="T706" s="148" t="str">
        <f t="shared" si="451"/>
        <v>Completed</v>
      </c>
      <c r="U706" s="153"/>
      <c r="V706" s="153"/>
      <c r="W706" s="387">
        <f t="shared" si="452"/>
        <v>-2</v>
      </c>
      <c r="X706" s="387">
        <f t="shared" si="453"/>
        <v>2</v>
      </c>
      <c r="Y706" s="301">
        <f t="shared" si="454"/>
        <v>0</v>
      </c>
      <c r="Z706" s="301">
        <f t="shared" si="455"/>
        <v>2</v>
      </c>
      <c r="AA706" s="323" t="str">
        <f>CONCATENATE("                x[team1,team2,sport,'",IF(OR(I706="x",I706=""),VLOOKUP('Schedule from TM'!J707,Tables!$P$3:$Q$33,2,FALSE),'Schedule from TM'!I707),",",J706,"','",IF(OR(F706="x",F706=""),VLOOKUP('Schedule from TM'!G707,Tables!$U$3:$V$14,2,FALSE),'Schedule from TM'!F707),",",TEXT(G706,"mm/dd/yyyy"),"','",TEXT(H706,"h:mm:ss AM/PM"),"'].ub=0.0      #",B706)</f>
        <v xml:space="preserve">                x[team1,team2,sport,'11,JCC Gym South','11,11/23/2017','1:50:00 PM'].ub=0.0      #Veterans Volleyball</v>
      </c>
      <c r="AB706" s="301" t="str">
        <f t="shared" si="456"/>
        <v>,,Veterans Volleyball,,1,VET - MEX</v>
      </c>
      <c r="AC706" s="153" t="str">
        <f t="shared" si="457"/>
        <v>Veterans VolleyballVET - MEX</v>
      </c>
      <c r="AD706" s="301" t="str">
        <f t="shared" si="458"/>
        <v>,,Veterans Volleyball,,1,VET - VEN 1</v>
      </c>
      <c r="AE706" s="153" t="str">
        <f t="shared" si="459"/>
        <v>Veterans VolleyballVET - VEN 1</v>
      </c>
      <c r="AF706" s="383">
        <f t="shared" si="460"/>
        <v>0</v>
      </c>
      <c r="AG706" s="383">
        <f t="shared" si="461"/>
        <v>1</v>
      </c>
      <c r="AH706" s="383">
        <f t="shared" si="462"/>
        <v>0</v>
      </c>
      <c r="AI706" s="383">
        <f t="shared" si="463"/>
        <v>1</v>
      </c>
      <c r="AJ706" s="383">
        <f t="shared" si="464"/>
        <v>0</v>
      </c>
      <c r="AK706" s="383">
        <f t="shared" si="465"/>
        <v>0</v>
      </c>
      <c r="AM706" s="148" t="str">
        <f t="shared" si="466"/>
        <v>Schedulled</v>
      </c>
      <c r="AN706" s="148" t="str">
        <f t="shared" si="467"/>
        <v/>
      </c>
      <c r="AO706" s="156">
        <f t="shared" si="468"/>
        <v>43062.576388888891</v>
      </c>
      <c r="AP706" s="148" t="str">
        <f t="shared" si="469"/>
        <v>11/23/2017 13:50-&gt;JCC Gym South</v>
      </c>
      <c r="AQ706" s="374">
        <f t="shared" si="470"/>
        <v>1</v>
      </c>
      <c r="AR706" s="148" t="str">
        <f t="shared" si="471"/>
        <v>MEX</v>
      </c>
      <c r="AS706" s="148" t="str">
        <f t="shared" si="472"/>
        <v>VEN1</v>
      </c>
      <c r="AT706" s="157" t="str">
        <f t="shared" si="473"/>
        <v>MEX-VEN1</v>
      </c>
      <c r="AU706" s="157" t="str">
        <f t="shared" si="474"/>
        <v xml:space="preserve">MEX-VEN1 </v>
      </c>
      <c r="AV706" s="157" t="str">
        <f t="shared" si="475"/>
        <v>VETERANs MAlE</v>
      </c>
      <c r="AW706" s="157" t="str">
        <f t="shared" si="476"/>
        <v>Volleyball</v>
      </c>
      <c r="AX706" s="376">
        <f t="shared" si="477"/>
        <v>704</v>
      </c>
      <c r="AY706" s="148" t="str">
        <f t="shared" si="478"/>
        <v>VET - MEX-&gt;VET - VEN 1</v>
      </c>
      <c r="AZ706" s="148" t="str">
        <f t="shared" si="479"/>
        <v>11/23/2017 13:50-&gt;VET - MEX</v>
      </c>
      <c r="BA706" s="148" t="str">
        <f t="shared" si="480"/>
        <v>11/23/2017 13:50-&gt;VET - VEN 1</v>
      </c>
      <c r="BB706" s="374">
        <f t="shared" si="481"/>
        <v>1</v>
      </c>
      <c r="BC706" s="374">
        <f t="shared" si="482"/>
        <v>1</v>
      </c>
      <c r="BD706" s="148" t="str">
        <f t="shared" si="483"/>
        <v>no conflict</v>
      </c>
      <c r="BF706" s="148" t="str">
        <f t="shared" si="484"/>
        <v>11/23/2017 13:50-&gt;VET - MEX</v>
      </c>
      <c r="BG706" s="148" t="str">
        <f t="shared" si="485"/>
        <v>11/23/2017 13:50-&gt;VET - VEN 1</v>
      </c>
      <c r="BH706" s="148" t="str">
        <f t="shared" si="486"/>
        <v>11/23/2017 13:50-&gt;JCC Gym South</v>
      </c>
      <c r="BI706" s="148" t="str">
        <f t="shared" si="487"/>
        <v>Volleyball in JCC Gym South (MEX-VEN1)</v>
      </c>
      <c r="BJ706" s="148" t="str">
        <f t="shared" si="488"/>
        <v>Veterans Volleyball-- VET - MEX vs. VET - VEN 1</v>
      </c>
      <c r="BK706" s="148" t="str">
        <f t="shared" si="489"/>
        <v>Volleyball</v>
      </c>
      <c r="BL706" s="148" t="str">
        <f t="shared" si="490"/>
        <v>VET - MEX</v>
      </c>
      <c r="BM706" s="148" t="str">
        <f t="shared" si="491"/>
        <v>VET - VEN 1</v>
      </c>
      <c r="BN706" s="148" t="str">
        <f t="shared" si="492"/>
        <v>Round - 1</v>
      </c>
      <c r="BP706" s="148" t="str">
        <f t="shared" si="493"/>
        <v>no t, f, or sf</v>
      </c>
      <c r="BQ706" s="148" t="str">
        <f t="shared" si="494"/>
        <v/>
      </c>
    </row>
    <row r="707" spans="1:69" ht="15" customHeight="1" x14ac:dyDescent="0.2">
      <c r="A707" s="376">
        <v>705</v>
      </c>
      <c r="B707" s="444" t="s">
        <v>516</v>
      </c>
      <c r="C707" s="444" t="s">
        <v>518</v>
      </c>
      <c r="D707" s="451">
        <v>1</v>
      </c>
      <c r="E707" s="451">
        <v>1</v>
      </c>
      <c r="F707" s="315" t="s">
        <v>770</v>
      </c>
      <c r="G707" s="445">
        <v>43062</v>
      </c>
      <c r="H707" s="317">
        <v>0.61111111111111105</v>
      </c>
      <c r="I707" s="325" t="s">
        <v>770</v>
      </c>
      <c r="J707" s="444" t="s">
        <v>697</v>
      </c>
      <c r="K707" s="444">
        <v>912</v>
      </c>
      <c r="L707" t="s">
        <v>674</v>
      </c>
      <c r="M707">
        <v>912</v>
      </c>
      <c r="N707" t="s">
        <v>677</v>
      </c>
      <c r="O707" s="153" t="str">
        <f>IF(L707&lt;&gt;"",IFERROR(VLOOKUP(B707&amp;L707,Pools!$A$2:$D$130,3,FALSE),""),"")</f>
        <v/>
      </c>
      <c r="P707" s="388">
        <v>2</v>
      </c>
      <c r="Q707" s="388">
        <v>1</v>
      </c>
      <c r="R707" s="306" t="str">
        <f t="shared" si="450"/>
        <v>2-1</v>
      </c>
      <c r="S707" s="153"/>
      <c r="T707" s="148" t="str">
        <f t="shared" si="451"/>
        <v>Completed</v>
      </c>
      <c r="U707" s="153"/>
      <c r="V707" s="153"/>
      <c r="W707" s="387">
        <f t="shared" si="452"/>
        <v>1</v>
      </c>
      <c r="X707" s="387">
        <f t="shared" si="453"/>
        <v>-1</v>
      </c>
      <c r="Y707" s="301">
        <f t="shared" si="454"/>
        <v>2</v>
      </c>
      <c r="Z707" s="301">
        <f t="shared" si="455"/>
        <v>0</v>
      </c>
      <c r="AA707" s="323" t="str">
        <f>CONCATENATE("                x[team1,team2,sport,'",IF(OR(I707="x",I707=""),VLOOKUP('Schedule from TM'!J708,Tables!$P$3:$Q$33,2,FALSE),'Schedule from TM'!I708),",",J707,"','",IF(OR(F707="x",F707=""),VLOOKUP('Schedule from TM'!G708,Tables!$U$3:$V$14,2,FALSE),'Schedule from TM'!F708),",",TEXT(G707,"mm/dd/yyyy"),"','",TEXT(H707,"h:mm:ss AM/PM"),"'].ub=0.0      #",B707)</f>
        <v xml:space="preserve">                x[team1,team2,sport,'11,JCC Gym South','11,11/23/2017','2:40:00 PM'].ub=0.0      #Veterans Volleyball</v>
      </c>
      <c r="AB707" s="301" t="str">
        <f t="shared" si="456"/>
        <v>,,Veterans Volleyball,,1,VET - COL 1</v>
      </c>
      <c r="AC707" s="153" t="str">
        <f t="shared" si="457"/>
        <v>Veterans VolleyballVET - COL 1</v>
      </c>
      <c r="AD707" s="301" t="str">
        <f t="shared" si="458"/>
        <v>,,Veterans Volleyball,,1,VET - USA 1</v>
      </c>
      <c r="AE707" s="153" t="str">
        <f t="shared" si="459"/>
        <v>Veterans VolleyballVET - USA 1</v>
      </c>
      <c r="AF707" s="383">
        <f t="shared" si="460"/>
        <v>1</v>
      </c>
      <c r="AG707" s="383">
        <f t="shared" si="461"/>
        <v>0</v>
      </c>
      <c r="AH707" s="383">
        <f t="shared" si="462"/>
        <v>0</v>
      </c>
      <c r="AI707" s="383">
        <f t="shared" si="463"/>
        <v>0</v>
      </c>
      <c r="AJ707" s="383">
        <f t="shared" si="464"/>
        <v>1</v>
      </c>
      <c r="AK707" s="383">
        <f t="shared" si="465"/>
        <v>0</v>
      </c>
      <c r="AM707" s="148" t="str">
        <f t="shared" si="466"/>
        <v>Schedulled</v>
      </c>
      <c r="AN707" s="148" t="str">
        <f t="shared" si="467"/>
        <v/>
      </c>
      <c r="AO707" s="156">
        <f t="shared" si="468"/>
        <v>43062.611111111109</v>
      </c>
      <c r="AP707" s="148" t="str">
        <f t="shared" si="469"/>
        <v>11/23/2017 14:40-&gt;JCC Gym South</v>
      </c>
      <c r="AQ707" s="374">
        <f t="shared" si="470"/>
        <v>1</v>
      </c>
      <c r="AR707" s="148" t="str">
        <f t="shared" si="471"/>
        <v>COL1</v>
      </c>
      <c r="AS707" s="148" t="str">
        <f t="shared" si="472"/>
        <v>USA1</v>
      </c>
      <c r="AT707" s="157" t="str">
        <f t="shared" si="473"/>
        <v>COL1-USA1</v>
      </c>
      <c r="AU707" s="157" t="str">
        <f t="shared" si="474"/>
        <v xml:space="preserve">COL1-USA1 </v>
      </c>
      <c r="AV707" s="157" t="str">
        <f t="shared" si="475"/>
        <v>VETERANs MAlE</v>
      </c>
      <c r="AW707" s="157" t="str">
        <f t="shared" si="476"/>
        <v>Volleyball</v>
      </c>
      <c r="AX707" s="376">
        <f t="shared" si="477"/>
        <v>705</v>
      </c>
      <c r="AY707" s="148" t="str">
        <f t="shared" si="478"/>
        <v>VET - COL 1-&gt;VET - USA 1</v>
      </c>
      <c r="AZ707" s="148" t="str">
        <f t="shared" si="479"/>
        <v>11/23/2017 14:40-&gt;VET - COL 1</v>
      </c>
      <c r="BA707" s="148" t="str">
        <f t="shared" si="480"/>
        <v>11/23/2017 14:40-&gt;VET - USA 1</v>
      </c>
      <c r="BB707" s="374">
        <f t="shared" si="481"/>
        <v>1</v>
      </c>
      <c r="BC707" s="374">
        <f t="shared" si="482"/>
        <v>1</v>
      </c>
      <c r="BD707" s="148" t="str">
        <f t="shared" si="483"/>
        <v>no conflict</v>
      </c>
      <c r="BF707" s="148" t="str">
        <f t="shared" si="484"/>
        <v>11/23/2017 14:40-&gt;VET - COL 1</v>
      </c>
      <c r="BG707" s="148" t="str">
        <f t="shared" si="485"/>
        <v>11/23/2017 14:40-&gt;VET - USA 1</v>
      </c>
      <c r="BH707" s="148" t="str">
        <f t="shared" si="486"/>
        <v>11/23/2017 14:40-&gt;JCC Gym South</v>
      </c>
      <c r="BI707" s="148" t="str">
        <f t="shared" si="487"/>
        <v>Volleyball in JCC Gym South (COL1-USA1)</v>
      </c>
      <c r="BJ707" s="148" t="str">
        <f t="shared" si="488"/>
        <v>Veterans Volleyball-- VET - COL 1 vs. VET - USA 1</v>
      </c>
      <c r="BK707" s="148" t="str">
        <f t="shared" si="489"/>
        <v>Volleyball</v>
      </c>
      <c r="BL707" s="148" t="str">
        <f t="shared" si="490"/>
        <v>VET - COL 1</v>
      </c>
      <c r="BM707" s="148" t="str">
        <f t="shared" si="491"/>
        <v>VET - USA 1</v>
      </c>
      <c r="BN707" s="148" t="str">
        <f t="shared" si="492"/>
        <v>Round - 1</v>
      </c>
      <c r="BP707" s="148" t="str">
        <f t="shared" si="493"/>
        <v>no t, f, or sf</v>
      </c>
      <c r="BQ707" s="148" t="str">
        <f t="shared" si="494"/>
        <v/>
      </c>
    </row>
    <row r="708" spans="1:69" ht="15" customHeight="1" x14ac:dyDescent="0.2">
      <c r="A708" s="376">
        <v>706</v>
      </c>
      <c r="B708" s="443" t="s">
        <v>516</v>
      </c>
      <c r="C708" s="315" t="s">
        <v>518</v>
      </c>
      <c r="D708" s="378">
        <v>1</v>
      </c>
      <c r="E708" s="378">
        <v>1</v>
      </c>
      <c r="F708" s="315" t="s">
        <v>770</v>
      </c>
      <c r="G708" s="316">
        <v>43063</v>
      </c>
      <c r="H708" s="454">
        <v>0.54166666666666663</v>
      </c>
      <c r="I708" s="325" t="s">
        <v>770</v>
      </c>
      <c r="J708" s="315" t="s">
        <v>697</v>
      </c>
      <c r="K708" s="315">
        <v>912</v>
      </c>
      <c r="L708" t="s">
        <v>675</v>
      </c>
      <c r="M708">
        <v>912</v>
      </c>
      <c r="N708" t="s">
        <v>721</v>
      </c>
      <c r="O708" s="153" t="str">
        <f>IF(L708&lt;&gt;"",IFERROR(VLOOKUP(B708&amp;L708,Pools!$A$2:$D$130,3,FALSE),""),"")</f>
        <v/>
      </c>
      <c r="P708" s="388">
        <v>0</v>
      </c>
      <c r="Q708" s="388">
        <v>2</v>
      </c>
      <c r="R708" s="306" t="str">
        <f t="shared" si="450"/>
        <v>0-2</v>
      </c>
      <c r="S708" s="153"/>
      <c r="T708" s="148" t="str">
        <f t="shared" si="451"/>
        <v>Completed</v>
      </c>
      <c r="U708" s="153"/>
      <c r="V708" s="153"/>
      <c r="W708" s="387">
        <f t="shared" si="452"/>
        <v>-2</v>
      </c>
      <c r="X708" s="387">
        <f t="shared" si="453"/>
        <v>2</v>
      </c>
      <c r="Y708" s="301">
        <f t="shared" si="454"/>
        <v>0</v>
      </c>
      <c r="Z708" s="301">
        <f t="shared" si="455"/>
        <v>2</v>
      </c>
      <c r="AA708" s="323" t="str">
        <f>CONCATENATE("                x[team1,team2,sport,'",IF(OR(I708="x",I708=""),VLOOKUP('Schedule from TM'!J709,Tables!$P$3:$Q$33,2,FALSE),'Schedule from TM'!I709),",",J708,"','",IF(OR(F708="x",F708=""),VLOOKUP('Schedule from TM'!G709,Tables!$U$3:$V$14,2,FALSE),'Schedule from TM'!F709),",",TEXT(G708,"mm/dd/yyyy"),"','",TEXT(H708,"h:mm:ss AM/PM"),"'].ub=0.0      #",B708)</f>
        <v xml:space="preserve">                x[team1,team2,sport,'11,JCC Gym South','11,11/24/2017','1:00:00 PM'].ub=0.0      #Veterans Volleyball</v>
      </c>
      <c r="AB708" s="301" t="str">
        <f t="shared" si="456"/>
        <v>,,Veterans Volleyball,,1,VET - MEX</v>
      </c>
      <c r="AC708" s="153" t="str">
        <f t="shared" si="457"/>
        <v>Veterans VolleyballVET - MEX</v>
      </c>
      <c r="AD708" s="301" t="str">
        <f t="shared" si="458"/>
        <v>,,Veterans Volleyball,,1,VET - ISR 1</v>
      </c>
      <c r="AE708" s="153" t="str">
        <f t="shared" si="459"/>
        <v>Veterans VolleyballVET - ISR 1</v>
      </c>
      <c r="AF708" s="383">
        <f t="shared" si="460"/>
        <v>0</v>
      </c>
      <c r="AG708" s="383">
        <f t="shared" si="461"/>
        <v>1</v>
      </c>
      <c r="AH708" s="383">
        <f t="shared" si="462"/>
        <v>0</v>
      </c>
      <c r="AI708" s="383">
        <f t="shared" si="463"/>
        <v>1</v>
      </c>
      <c r="AJ708" s="383">
        <f t="shared" si="464"/>
        <v>0</v>
      </c>
      <c r="AK708" s="383">
        <f t="shared" si="465"/>
        <v>0</v>
      </c>
      <c r="AM708" s="148" t="str">
        <f t="shared" si="466"/>
        <v>Schedulled</v>
      </c>
      <c r="AN708" s="148" t="str">
        <f t="shared" si="467"/>
        <v/>
      </c>
      <c r="AO708" s="156">
        <f t="shared" si="468"/>
        <v>43063.541666666664</v>
      </c>
      <c r="AP708" s="148" t="str">
        <f t="shared" si="469"/>
        <v>11/24/2017 13:00-&gt;JCC Gym South</v>
      </c>
      <c r="AQ708" s="374">
        <f t="shared" si="470"/>
        <v>1</v>
      </c>
      <c r="AR708" s="148" t="str">
        <f t="shared" si="471"/>
        <v>MEX</v>
      </c>
      <c r="AS708" s="148" t="str">
        <f t="shared" si="472"/>
        <v>ISR1</v>
      </c>
      <c r="AT708" s="157" t="str">
        <f t="shared" si="473"/>
        <v>MEX-ISR1</v>
      </c>
      <c r="AU708" s="157" t="str">
        <f t="shared" si="474"/>
        <v xml:space="preserve">MEX-ISR1 </v>
      </c>
      <c r="AV708" s="157" t="str">
        <f t="shared" si="475"/>
        <v>VETERANs MAlE</v>
      </c>
      <c r="AW708" s="157" t="str">
        <f t="shared" si="476"/>
        <v>Volleyball</v>
      </c>
      <c r="AX708" s="376">
        <f t="shared" si="477"/>
        <v>706</v>
      </c>
      <c r="AY708" s="148" t="str">
        <f t="shared" si="478"/>
        <v>VET - MEX-&gt;VET - ISR 1</v>
      </c>
      <c r="AZ708" s="148" t="str">
        <f t="shared" si="479"/>
        <v>11/24/2017 13:00-&gt;VET - MEX</v>
      </c>
      <c r="BA708" s="148" t="str">
        <f t="shared" si="480"/>
        <v>11/24/2017 13:00-&gt;VET - ISR 1</v>
      </c>
      <c r="BB708" s="374">
        <f t="shared" si="481"/>
        <v>1</v>
      </c>
      <c r="BC708" s="374">
        <f t="shared" si="482"/>
        <v>1</v>
      </c>
      <c r="BD708" s="148" t="str">
        <f t="shared" si="483"/>
        <v>no conflict</v>
      </c>
      <c r="BF708" s="148" t="str">
        <f t="shared" si="484"/>
        <v>11/24/2017 13:00-&gt;VET - MEX</v>
      </c>
      <c r="BG708" s="148" t="str">
        <f t="shared" si="485"/>
        <v>11/24/2017 13:00-&gt;VET - ISR 1</v>
      </c>
      <c r="BH708" s="148" t="str">
        <f t="shared" si="486"/>
        <v>11/24/2017 13:00-&gt;JCC Gym South</v>
      </c>
      <c r="BI708" s="148" t="str">
        <f t="shared" si="487"/>
        <v>Volleyball in JCC Gym South (MEX-ISR1)</v>
      </c>
      <c r="BJ708" s="148" t="str">
        <f t="shared" si="488"/>
        <v>Veterans Volleyball-- VET - MEX vs. VET - ISR 1</v>
      </c>
      <c r="BK708" s="148" t="str">
        <f t="shared" si="489"/>
        <v>Volleyball</v>
      </c>
      <c r="BL708" s="148" t="str">
        <f t="shared" si="490"/>
        <v>VET - MEX</v>
      </c>
      <c r="BM708" s="148" t="str">
        <f t="shared" si="491"/>
        <v>VET - ISR 1</v>
      </c>
      <c r="BN708" s="148" t="str">
        <f t="shared" si="492"/>
        <v>Round - 1</v>
      </c>
      <c r="BP708" s="148" t="str">
        <f t="shared" si="493"/>
        <v>no t, f, or sf</v>
      </c>
      <c r="BQ708" s="148" t="str">
        <f t="shared" si="494"/>
        <v/>
      </c>
    </row>
    <row r="709" spans="1:69" ht="15" customHeight="1" x14ac:dyDescent="0.2">
      <c r="A709" s="376">
        <v>707</v>
      </c>
      <c r="B709" s="444" t="s">
        <v>516</v>
      </c>
      <c r="C709" s="444" t="s">
        <v>518</v>
      </c>
      <c r="D709" s="451">
        <v>1</v>
      </c>
      <c r="E709" s="451">
        <v>1</v>
      </c>
      <c r="F709" s="315" t="s">
        <v>770</v>
      </c>
      <c r="G709" s="445">
        <v>43063</v>
      </c>
      <c r="H709" s="454">
        <v>0.61111111111111105</v>
      </c>
      <c r="I709" s="325" t="s">
        <v>770</v>
      </c>
      <c r="J709" s="444" t="s">
        <v>697</v>
      </c>
      <c r="K709" s="444">
        <v>912</v>
      </c>
      <c r="L709" t="s">
        <v>672</v>
      </c>
      <c r="M709">
        <v>912</v>
      </c>
      <c r="N709" t="s">
        <v>677</v>
      </c>
      <c r="O709" s="153" t="str">
        <f>IF(L709&lt;&gt;"",IFERROR(VLOOKUP(B709&amp;L709,Pools!$A$2:$D$130,3,FALSE),""),"")</f>
        <v/>
      </c>
      <c r="P709" s="388">
        <v>0</v>
      </c>
      <c r="Q709" s="388">
        <v>2</v>
      </c>
      <c r="R709" s="306" t="str">
        <f t="shared" si="450"/>
        <v>0-2</v>
      </c>
      <c r="S709" s="153"/>
      <c r="T709" s="148" t="str">
        <f t="shared" si="451"/>
        <v>Completed</v>
      </c>
      <c r="U709" s="153"/>
      <c r="V709" s="153"/>
      <c r="W709" s="387">
        <f t="shared" si="452"/>
        <v>-2</v>
      </c>
      <c r="X709" s="387">
        <f t="shared" si="453"/>
        <v>2</v>
      </c>
      <c r="Y709" s="301">
        <f t="shared" si="454"/>
        <v>0</v>
      </c>
      <c r="Z709" s="301">
        <f t="shared" si="455"/>
        <v>2</v>
      </c>
      <c r="AA709" s="323" t="str">
        <f>CONCATENATE("                x[team1,team2,sport,'",IF(OR(I709="x",I709=""),VLOOKUP('Schedule from TM'!J710,Tables!$P$3:$Q$33,2,FALSE),'Schedule from TM'!I710),",",J709,"','",IF(OR(F709="x",F709=""),VLOOKUP('Schedule from TM'!G710,Tables!$U$3:$V$14,2,FALSE),'Schedule from TM'!F710),",",TEXT(G709,"mm/dd/yyyy"),"','",TEXT(H709,"h:mm:ss AM/PM"),"'].ub=0.0      #",B709)</f>
        <v xml:space="preserve">                x[team1,team2,sport,'11,JCC Gym South','22,11/24/2017','2:40:00 PM'].ub=0.0      #Veterans Volleyball</v>
      </c>
      <c r="AB709" s="301" t="str">
        <f t="shared" si="456"/>
        <v>,,Veterans Volleyball,,1,VET - ARG 1</v>
      </c>
      <c r="AC709" s="153" t="str">
        <f t="shared" si="457"/>
        <v>Veterans VolleyballVET - ARG 1</v>
      </c>
      <c r="AD709" s="301" t="str">
        <f t="shared" si="458"/>
        <v>,,Veterans Volleyball,,1,VET - USA 1</v>
      </c>
      <c r="AE709" s="153" t="str">
        <f t="shared" si="459"/>
        <v>Veterans VolleyballVET - USA 1</v>
      </c>
      <c r="AF709" s="383">
        <f t="shared" si="460"/>
        <v>0</v>
      </c>
      <c r="AG709" s="383">
        <f t="shared" si="461"/>
        <v>1</v>
      </c>
      <c r="AH709" s="383">
        <f t="shared" si="462"/>
        <v>0</v>
      </c>
      <c r="AI709" s="383">
        <f t="shared" si="463"/>
        <v>1</v>
      </c>
      <c r="AJ709" s="383">
        <f t="shared" si="464"/>
        <v>0</v>
      </c>
      <c r="AK709" s="383">
        <f t="shared" si="465"/>
        <v>0</v>
      </c>
      <c r="AM709" s="148" t="str">
        <f t="shared" si="466"/>
        <v>Schedulled</v>
      </c>
      <c r="AN709" s="148" t="str">
        <f t="shared" si="467"/>
        <v/>
      </c>
      <c r="AO709" s="156">
        <f t="shared" si="468"/>
        <v>43063.611111111109</v>
      </c>
      <c r="AP709" s="148" t="str">
        <f t="shared" si="469"/>
        <v>11/24/2017 14:40-&gt;JCC Gym South</v>
      </c>
      <c r="AQ709" s="374">
        <f t="shared" si="470"/>
        <v>1</v>
      </c>
      <c r="AR709" s="148" t="str">
        <f t="shared" si="471"/>
        <v>ARG1</v>
      </c>
      <c r="AS709" s="148" t="str">
        <f t="shared" si="472"/>
        <v>USA1</v>
      </c>
      <c r="AT709" s="157" t="str">
        <f t="shared" si="473"/>
        <v>ARG1-USA1</v>
      </c>
      <c r="AU709" s="157" t="str">
        <f t="shared" si="474"/>
        <v xml:space="preserve">ARG1-USA1 </v>
      </c>
      <c r="AV709" s="157" t="str">
        <f t="shared" si="475"/>
        <v>VETERANs MAlE</v>
      </c>
      <c r="AW709" s="157" t="str">
        <f t="shared" si="476"/>
        <v>Volleyball</v>
      </c>
      <c r="AX709" s="376">
        <f t="shared" si="477"/>
        <v>707</v>
      </c>
      <c r="AY709" s="148" t="str">
        <f t="shared" si="478"/>
        <v>VET - ARG 1-&gt;VET - USA 1</v>
      </c>
      <c r="AZ709" s="148" t="str">
        <f t="shared" si="479"/>
        <v>11/24/2017 14:40-&gt;VET - ARG 1</v>
      </c>
      <c r="BA709" s="148" t="str">
        <f t="shared" si="480"/>
        <v>11/24/2017 14:40-&gt;VET - USA 1</v>
      </c>
      <c r="BB709" s="374">
        <f t="shared" si="481"/>
        <v>1</v>
      </c>
      <c r="BC709" s="374">
        <f t="shared" si="482"/>
        <v>1</v>
      </c>
      <c r="BD709" s="148" t="str">
        <f t="shared" si="483"/>
        <v>no conflict</v>
      </c>
      <c r="BF709" s="148" t="str">
        <f t="shared" si="484"/>
        <v>11/24/2017 14:40-&gt;VET - ARG 1</v>
      </c>
      <c r="BG709" s="148" t="str">
        <f t="shared" si="485"/>
        <v>11/24/2017 14:40-&gt;VET - USA 1</v>
      </c>
      <c r="BH709" s="148" t="str">
        <f t="shared" si="486"/>
        <v>11/24/2017 14:40-&gt;JCC Gym South</v>
      </c>
      <c r="BI709" s="148" t="str">
        <f t="shared" si="487"/>
        <v>Volleyball in JCC Gym South (ARG1-USA1)</v>
      </c>
      <c r="BJ709" s="148" t="str">
        <f t="shared" si="488"/>
        <v>Veterans Volleyball-- VET - ARG 1 vs. VET - USA 1</v>
      </c>
      <c r="BK709" s="148" t="str">
        <f t="shared" si="489"/>
        <v>Volleyball</v>
      </c>
      <c r="BL709" s="148" t="str">
        <f t="shared" si="490"/>
        <v>VET - ARG 1</v>
      </c>
      <c r="BM709" s="148" t="str">
        <f t="shared" si="491"/>
        <v>VET - USA 1</v>
      </c>
      <c r="BN709" s="148" t="str">
        <f t="shared" si="492"/>
        <v>Round - 1</v>
      </c>
      <c r="BP709" s="148" t="str">
        <f t="shared" si="493"/>
        <v>no t, f, or sf</v>
      </c>
      <c r="BQ709" s="148" t="str">
        <f t="shared" si="494"/>
        <v/>
      </c>
    </row>
    <row r="710" spans="1:69" ht="15" customHeight="1" x14ac:dyDescent="0.2">
      <c r="A710" s="376">
        <v>708</v>
      </c>
      <c r="B710" s="441" t="s">
        <v>41</v>
      </c>
      <c r="C710" s="441" t="s">
        <v>711</v>
      </c>
      <c r="D710" s="450">
        <v>1</v>
      </c>
      <c r="E710" s="450">
        <v>1</v>
      </c>
      <c r="F710" s="315" t="s">
        <v>770</v>
      </c>
      <c r="G710" s="320">
        <v>43059</v>
      </c>
      <c r="H710" s="317">
        <v>0.68055555555555547</v>
      </c>
      <c r="I710" s="325" t="s">
        <v>770</v>
      </c>
      <c r="J710" s="441" t="s">
        <v>694</v>
      </c>
      <c r="K710" s="441"/>
      <c r="L710" s="441"/>
      <c r="M710" s="441"/>
      <c r="N710" s="441"/>
      <c r="O710" s="153" t="str">
        <f>IF(L710&lt;&gt;"",IFERROR(VLOOKUP(B710&amp;L710,Pools!$A$2:$D$130,3,FALSE),""),"")</f>
        <v/>
      </c>
      <c r="P710" s="388"/>
      <c r="Q710" s="388"/>
      <c r="R710" s="306" t="str">
        <f t="shared" si="450"/>
        <v>-</v>
      </c>
      <c r="S710" s="153"/>
      <c r="T710" s="148" t="str">
        <f t="shared" si="451"/>
        <v>Pending</v>
      </c>
      <c r="U710" s="153"/>
      <c r="V710" s="153"/>
      <c r="W710" s="387">
        <f t="shared" si="452"/>
        <v>0</v>
      </c>
      <c r="X710" s="387">
        <f t="shared" si="453"/>
        <v>0</v>
      </c>
      <c r="Y710" s="301" t="str">
        <f t="shared" si="454"/>
        <v>X</v>
      </c>
      <c r="Z710" s="301" t="str">
        <f t="shared" si="455"/>
        <v>X</v>
      </c>
      <c r="AA710" s="323" t="str">
        <f>CONCATENATE("                x[team1,team2,sport,'",IF(OR(I710="x",I710=""),VLOOKUP('Schedule from TM'!J711,Tables!$P$3:$Q$33,2,FALSE),'Schedule from TM'!I711),",",J710,"','",IF(OR(F710="x",F710=""),VLOOKUP('Schedule from TM'!G711,Tables!$U$3:$V$14,2,FALSE),'Schedule from TM'!F711),",",TEXT(G710,"mm/dd/yyyy"),"','",TEXT(H710,"h:mm:ss AM/PM"),"'].ub=0.0      #",B710)</f>
        <v xml:space="preserve">                x[team1,team2,sport,'11,JCC Back Field 4','22,11/20/2017','4:20:00 PM'].ub=0.0      #Ch C Female Dodgeball</v>
      </c>
      <c r="AB710" s="301" t="str">
        <f t="shared" si="456"/>
        <v>,,Ch C Female Dodgeball,,1,</v>
      </c>
      <c r="AC710" s="153" t="str">
        <f t="shared" si="457"/>
        <v>Ch C Female Dodgeball</v>
      </c>
      <c r="AD710" s="301" t="str">
        <f t="shared" si="458"/>
        <v>,,Ch C Female Dodgeball,,1,</v>
      </c>
      <c r="AE710" s="153" t="str">
        <f t="shared" si="459"/>
        <v>Ch C Female Dodgeball</v>
      </c>
      <c r="AF710" s="383">
        <f t="shared" si="460"/>
        <v>0</v>
      </c>
      <c r="AG710" s="383">
        <f t="shared" si="461"/>
        <v>0</v>
      </c>
      <c r="AH710" s="383">
        <f t="shared" si="462"/>
        <v>0</v>
      </c>
      <c r="AI710" s="383">
        <f t="shared" si="463"/>
        <v>0</v>
      </c>
      <c r="AJ710" s="383">
        <f t="shared" si="464"/>
        <v>0</v>
      </c>
      <c r="AK710" s="383">
        <f t="shared" si="465"/>
        <v>0</v>
      </c>
      <c r="AM710" s="148" t="str">
        <f t="shared" si="466"/>
        <v>Schedulled</v>
      </c>
      <c r="AN710" s="148" t="str">
        <f t="shared" si="467"/>
        <v>Schedulled no team</v>
      </c>
      <c r="AO710" s="156">
        <f t="shared" si="468"/>
        <v>43059.680555555555</v>
      </c>
      <c r="AP710" s="148" t="str">
        <f t="shared" si="469"/>
        <v>11/20/2017 16:20-&gt;JCC Back Field 4</v>
      </c>
      <c r="AQ710" s="374">
        <f t="shared" si="470"/>
        <v>1</v>
      </c>
      <c r="AR710" s="148" t="str">
        <f t="shared" si="471"/>
        <v/>
      </c>
      <c r="AS710" s="148" t="str">
        <f t="shared" si="472"/>
        <v/>
      </c>
      <c r="AT710" s="157" t="str">
        <f t="shared" si="473"/>
        <v/>
      </c>
      <c r="AU710" s="157" t="str">
        <f t="shared" si="474"/>
        <v>Dodgeball Tournament</v>
      </c>
      <c r="AV710" s="157" t="str">
        <f t="shared" si="475"/>
        <v>CHILDREN C FEMALE</v>
      </c>
      <c r="AW710" s="157" t="str">
        <f t="shared" si="476"/>
        <v>Dodgeball</v>
      </c>
      <c r="AX710" s="376">
        <f t="shared" si="477"/>
        <v>708</v>
      </c>
      <c r="AY710" s="148" t="str">
        <f t="shared" si="478"/>
        <v>-&gt;</v>
      </c>
      <c r="AZ710" s="148" t="str">
        <f t="shared" si="479"/>
        <v>11/20/2017 16:20-&gt;</v>
      </c>
      <c r="BA710" s="148" t="str">
        <f t="shared" si="480"/>
        <v>11/20/2017 16:20-&gt;</v>
      </c>
      <c r="BB710" s="374">
        <f t="shared" si="481"/>
        <v>0</v>
      </c>
      <c r="BC710" s="374">
        <f t="shared" si="482"/>
        <v>0</v>
      </c>
      <c r="BD710" s="148" t="str">
        <f t="shared" si="483"/>
        <v>no conflict</v>
      </c>
      <c r="BF710" s="148" t="str">
        <f t="shared" si="484"/>
        <v>11/20/2017 16:20-&gt;</v>
      </c>
      <c r="BG710" s="148" t="str">
        <f t="shared" si="485"/>
        <v>11/20/2017 16:20-&gt;</v>
      </c>
      <c r="BH710" s="148" t="str">
        <f t="shared" si="486"/>
        <v>11/20/2017 16:20-&gt;JCC Back Field 4</v>
      </c>
      <c r="BI710" s="148" t="str">
        <f t="shared" si="487"/>
        <v>Dodgeball in JCC Back Field 4 ()</v>
      </c>
      <c r="BJ710" s="148" t="str">
        <f t="shared" si="488"/>
        <v xml:space="preserve">Ch C Female Dodgeball--  vs. </v>
      </c>
      <c r="BK710" s="148" t="str">
        <f t="shared" si="489"/>
        <v>Dodgeball</v>
      </c>
      <c r="BL710" s="148">
        <f t="shared" si="490"/>
        <v>0</v>
      </c>
      <c r="BM710" s="148">
        <f t="shared" si="491"/>
        <v>0</v>
      </c>
      <c r="BN710" s="148" t="str">
        <f t="shared" si="492"/>
        <v>Tournament</v>
      </c>
      <c r="BP710" s="148" t="str">
        <f t="shared" si="493"/>
        <v>11/20/2017 16:20-&gt;CHILDREN C FEMALE</v>
      </c>
      <c r="BQ710" s="148" t="str">
        <f t="shared" si="494"/>
        <v>Dodgeball Tournament in JCC Back Field 4</v>
      </c>
    </row>
    <row r="711" spans="1:69" ht="15" customHeight="1" x14ac:dyDescent="0.2">
      <c r="A711" s="376">
        <v>709</v>
      </c>
      <c r="B711" s="441" t="s">
        <v>41</v>
      </c>
      <c r="C711" s="441" t="s">
        <v>711</v>
      </c>
      <c r="D711" s="450">
        <v>1</v>
      </c>
      <c r="E711" s="450">
        <v>1</v>
      </c>
      <c r="F711" s="315" t="s">
        <v>770</v>
      </c>
      <c r="G711" s="320">
        <v>43059</v>
      </c>
      <c r="H711" s="317">
        <v>0.68055555555555547</v>
      </c>
      <c r="I711" s="325" t="s">
        <v>770</v>
      </c>
      <c r="J711" s="441" t="s">
        <v>688</v>
      </c>
      <c r="K711" s="441"/>
      <c r="L711" s="441"/>
      <c r="M711" s="441"/>
      <c r="N711" s="441"/>
      <c r="O711" s="153" t="str">
        <f>IF(L711&lt;&gt;"",IFERROR(VLOOKUP(B711&amp;L711,Pools!$A$2:$D$130,3,FALSE),""),"")</f>
        <v/>
      </c>
      <c r="P711" s="388"/>
      <c r="Q711" s="388"/>
      <c r="R711" s="306" t="str">
        <f t="shared" si="450"/>
        <v>-</v>
      </c>
      <c r="S711" s="153"/>
      <c r="T711" s="148" t="str">
        <f t="shared" si="451"/>
        <v>Pending</v>
      </c>
      <c r="U711" s="153"/>
      <c r="V711" s="153"/>
      <c r="W711" s="387">
        <f t="shared" si="452"/>
        <v>0</v>
      </c>
      <c r="X711" s="387">
        <f t="shared" si="453"/>
        <v>0</v>
      </c>
      <c r="Y711" s="301" t="str">
        <f t="shared" si="454"/>
        <v>X</v>
      </c>
      <c r="Z711" s="301" t="str">
        <f t="shared" si="455"/>
        <v>X</v>
      </c>
      <c r="AA711" s="323" t="str">
        <f>CONCATENATE("                x[team1,team2,sport,'",IF(OR(I711="x",I711=""),VLOOKUP('Schedule from TM'!J712,Tables!$P$3:$Q$33,2,FALSE),'Schedule from TM'!I712),",",J711,"','",IF(OR(F711="x",F711=""),VLOOKUP('Schedule from TM'!G712,Tables!$U$3:$V$14,2,FALSE),'Schedule from TM'!F712),",",TEXT(G711,"mm/dd/yyyy"),"','",TEXT(H711,"h:mm:ss AM/PM"),"'].ub=0.0      #",B711)</f>
        <v xml:space="preserve">                x[team1,team2,sport,'11,JCC Basketball Out 1','22,11/20/2017','4:20:00 PM'].ub=0.0      #Ch C Female Dodgeball</v>
      </c>
      <c r="AB711" s="301" t="str">
        <f t="shared" si="456"/>
        <v>,,Ch C Female Dodgeball,,1,</v>
      </c>
      <c r="AC711" s="153" t="str">
        <f t="shared" si="457"/>
        <v>Ch C Female Dodgeball</v>
      </c>
      <c r="AD711" s="301" t="str">
        <f t="shared" si="458"/>
        <v>,,Ch C Female Dodgeball,,1,</v>
      </c>
      <c r="AE711" s="153" t="str">
        <f t="shared" si="459"/>
        <v>Ch C Female Dodgeball</v>
      </c>
      <c r="AF711" s="383">
        <f t="shared" si="460"/>
        <v>0</v>
      </c>
      <c r="AG711" s="383">
        <f t="shared" si="461"/>
        <v>0</v>
      </c>
      <c r="AH711" s="383">
        <f t="shared" si="462"/>
        <v>0</v>
      </c>
      <c r="AI711" s="383">
        <f t="shared" si="463"/>
        <v>0</v>
      </c>
      <c r="AJ711" s="383">
        <f t="shared" si="464"/>
        <v>0</v>
      </c>
      <c r="AK711" s="383">
        <f t="shared" si="465"/>
        <v>0</v>
      </c>
      <c r="AM711" s="148" t="str">
        <f t="shared" si="466"/>
        <v>Schedulled</v>
      </c>
      <c r="AN711" s="148" t="str">
        <f t="shared" si="467"/>
        <v>Schedulled no team</v>
      </c>
      <c r="AO711" s="156">
        <f t="shared" si="468"/>
        <v>43059.680555555555</v>
      </c>
      <c r="AP711" s="148" t="str">
        <f t="shared" si="469"/>
        <v>11/20/2017 16:20-&gt;JCC Basketball Out 1</v>
      </c>
      <c r="AQ711" s="374">
        <f t="shared" si="470"/>
        <v>1</v>
      </c>
      <c r="AR711" s="148" t="str">
        <f t="shared" si="471"/>
        <v/>
      </c>
      <c r="AS711" s="148" t="str">
        <f t="shared" si="472"/>
        <v/>
      </c>
      <c r="AT711" s="157" t="str">
        <f t="shared" si="473"/>
        <v/>
      </c>
      <c r="AU711" s="157" t="str">
        <f t="shared" si="474"/>
        <v>Dodgeball Tournament</v>
      </c>
      <c r="AV711" s="157" t="str">
        <f t="shared" si="475"/>
        <v>CHILDREN C FEMALE</v>
      </c>
      <c r="AW711" s="157" t="str">
        <f t="shared" si="476"/>
        <v>Dodgeball</v>
      </c>
      <c r="AX711" s="376">
        <f t="shared" si="477"/>
        <v>709</v>
      </c>
      <c r="AY711" s="148" t="str">
        <f t="shared" si="478"/>
        <v>-&gt;</v>
      </c>
      <c r="AZ711" s="148" t="str">
        <f t="shared" si="479"/>
        <v>11/20/2017 16:20-&gt;</v>
      </c>
      <c r="BA711" s="148" t="str">
        <f t="shared" si="480"/>
        <v>11/20/2017 16:20-&gt;</v>
      </c>
      <c r="BB711" s="374">
        <f t="shared" si="481"/>
        <v>0</v>
      </c>
      <c r="BC711" s="374">
        <f t="shared" si="482"/>
        <v>0</v>
      </c>
      <c r="BD711" s="148" t="str">
        <f t="shared" si="483"/>
        <v>no conflict</v>
      </c>
      <c r="BF711" s="148" t="str">
        <f t="shared" si="484"/>
        <v>11/20/2017 16:20-&gt;</v>
      </c>
      <c r="BG711" s="148" t="str">
        <f t="shared" si="485"/>
        <v>11/20/2017 16:20-&gt;</v>
      </c>
      <c r="BH711" s="148" t="str">
        <f t="shared" si="486"/>
        <v>11/20/2017 16:20-&gt;JCC Basketball Out 1</v>
      </c>
      <c r="BI711" s="148" t="str">
        <f t="shared" si="487"/>
        <v>Dodgeball in JCC Basketball Out 1 ()</v>
      </c>
      <c r="BJ711" s="148" t="str">
        <f t="shared" si="488"/>
        <v xml:space="preserve">Ch C Female Dodgeball--  vs. </v>
      </c>
      <c r="BK711" s="148" t="str">
        <f t="shared" si="489"/>
        <v>Dodgeball</v>
      </c>
      <c r="BL711" s="148">
        <f t="shared" si="490"/>
        <v>0</v>
      </c>
      <c r="BM711" s="148">
        <f t="shared" si="491"/>
        <v>0</v>
      </c>
      <c r="BN711" s="148" t="str">
        <f t="shared" si="492"/>
        <v>Tournament</v>
      </c>
      <c r="BP711" s="148" t="str">
        <f t="shared" si="493"/>
        <v>11/20/2017 16:20-&gt;CHILDREN C FEMALE</v>
      </c>
      <c r="BQ711" s="148" t="str">
        <f t="shared" si="494"/>
        <v>Dodgeball Tournament in JCC Basketball Out 1</v>
      </c>
    </row>
    <row r="712" spans="1:69" ht="15" customHeight="1" x14ac:dyDescent="0.2">
      <c r="A712" s="376">
        <v>710</v>
      </c>
      <c r="B712" s="441" t="s">
        <v>41</v>
      </c>
      <c r="C712" s="441" t="s">
        <v>711</v>
      </c>
      <c r="D712" s="450">
        <v>1</v>
      </c>
      <c r="E712" s="450">
        <v>1</v>
      </c>
      <c r="F712" s="315" t="s">
        <v>770</v>
      </c>
      <c r="G712" s="320">
        <v>43059</v>
      </c>
      <c r="H712" s="317">
        <v>0.68055555555555547</v>
      </c>
      <c r="I712" s="325" t="s">
        <v>770</v>
      </c>
      <c r="J712" s="441" t="s">
        <v>709</v>
      </c>
      <c r="K712" s="441"/>
      <c r="L712" s="441"/>
      <c r="M712" s="441"/>
      <c r="N712" s="441"/>
      <c r="O712" s="153" t="str">
        <f>IF(L712&lt;&gt;"",IFERROR(VLOOKUP(B712&amp;L712,Pools!$A$2:$D$130,3,FALSE),""),"")</f>
        <v/>
      </c>
      <c r="P712" s="388"/>
      <c r="Q712" s="388"/>
      <c r="R712" s="306" t="str">
        <f t="shared" si="450"/>
        <v>-</v>
      </c>
      <c r="S712" s="153"/>
      <c r="T712" s="148" t="str">
        <f t="shared" si="451"/>
        <v>Pending</v>
      </c>
      <c r="U712" s="153"/>
      <c r="V712" s="153"/>
      <c r="W712" s="387">
        <f t="shared" si="452"/>
        <v>0</v>
      </c>
      <c r="X712" s="387">
        <f t="shared" si="453"/>
        <v>0</v>
      </c>
      <c r="Y712" s="301" t="str">
        <f t="shared" si="454"/>
        <v>X</v>
      </c>
      <c r="Z712" s="301" t="str">
        <f t="shared" si="455"/>
        <v>X</v>
      </c>
      <c r="AA712" s="323" t="str">
        <f>CONCATENATE("                x[team1,team2,sport,'",IF(OR(I712="x",I712=""),VLOOKUP('Schedule from TM'!J713,Tables!$P$3:$Q$33,2,FALSE),'Schedule from TM'!I713),",",J712,"','",IF(OR(F712="x",F712=""),VLOOKUP('Schedule from TM'!G713,Tables!$U$3:$V$14,2,FALSE),'Schedule from TM'!F713),",",TEXT(G712,"mm/dd/yyyy"),"','",TEXT(H712,"h:mm:ss AM/PM"),"'].ub=0.0      #",B712)</f>
        <v xml:space="preserve">                x[team1,team2,sport,'11,JCC Basketball Out 2','22,11/20/2017','4:20:00 PM'].ub=0.0      #Ch C Female Dodgeball</v>
      </c>
      <c r="AB712" s="301" t="str">
        <f t="shared" si="456"/>
        <v>,,Ch C Female Dodgeball,,1,</v>
      </c>
      <c r="AC712" s="153" t="str">
        <f t="shared" si="457"/>
        <v>Ch C Female Dodgeball</v>
      </c>
      <c r="AD712" s="301" t="str">
        <f t="shared" si="458"/>
        <v>,,Ch C Female Dodgeball,,1,</v>
      </c>
      <c r="AE712" s="153" t="str">
        <f t="shared" si="459"/>
        <v>Ch C Female Dodgeball</v>
      </c>
      <c r="AF712" s="383">
        <f t="shared" si="460"/>
        <v>0</v>
      </c>
      <c r="AG712" s="383">
        <f t="shared" si="461"/>
        <v>0</v>
      </c>
      <c r="AH712" s="383">
        <f t="shared" si="462"/>
        <v>0</v>
      </c>
      <c r="AI712" s="383">
        <f t="shared" si="463"/>
        <v>0</v>
      </c>
      <c r="AJ712" s="383">
        <f t="shared" si="464"/>
        <v>0</v>
      </c>
      <c r="AK712" s="383">
        <f t="shared" si="465"/>
        <v>0</v>
      </c>
      <c r="AM712" s="148" t="str">
        <f t="shared" si="466"/>
        <v>Schedulled</v>
      </c>
      <c r="AN712" s="148" t="str">
        <f t="shared" si="467"/>
        <v>Schedulled no team</v>
      </c>
      <c r="AO712" s="156">
        <f t="shared" si="468"/>
        <v>43059.680555555555</v>
      </c>
      <c r="AP712" s="148" t="str">
        <f t="shared" si="469"/>
        <v>11/20/2017 16:20-&gt;JCC Basketball Out 2</v>
      </c>
      <c r="AQ712" s="374">
        <f t="shared" si="470"/>
        <v>1</v>
      </c>
      <c r="AR712" s="148" t="str">
        <f t="shared" si="471"/>
        <v/>
      </c>
      <c r="AS712" s="148" t="str">
        <f t="shared" si="472"/>
        <v/>
      </c>
      <c r="AT712" s="157" t="str">
        <f t="shared" si="473"/>
        <v/>
      </c>
      <c r="AU712" s="157" t="str">
        <f t="shared" si="474"/>
        <v>Dodgeball Tournament</v>
      </c>
      <c r="AV712" s="157" t="str">
        <f t="shared" si="475"/>
        <v>CHILDREN C FEMALE</v>
      </c>
      <c r="AW712" s="157" t="str">
        <f t="shared" si="476"/>
        <v>Dodgeball</v>
      </c>
      <c r="AX712" s="376">
        <f t="shared" si="477"/>
        <v>710</v>
      </c>
      <c r="AY712" s="148" t="str">
        <f t="shared" si="478"/>
        <v>-&gt;</v>
      </c>
      <c r="AZ712" s="148" t="str">
        <f t="shared" si="479"/>
        <v>11/20/2017 16:20-&gt;</v>
      </c>
      <c r="BA712" s="148" t="str">
        <f t="shared" si="480"/>
        <v>11/20/2017 16:20-&gt;</v>
      </c>
      <c r="BB712" s="374">
        <f t="shared" si="481"/>
        <v>0</v>
      </c>
      <c r="BC712" s="374">
        <f t="shared" si="482"/>
        <v>0</v>
      </c>
      <c r="BD712" s="148" t="str">
        <f t="shared" si="483"/>
        <v>no conflict</v>
      </c>
      <c r="BF712" s="148" t="str">
        <f t="shared" si="484"/>
        <v>11/20/2017 16:20-&gt;</v>
      </c>
      <c r="BG712" s="148" t="str">
        <f t="shared" si="485"/>
        <v>11/20/2017 16:20-&gt;</v>
      </c>
      <c r="BH712" s="148" t="str">
        <f t="shared" si="486"/>
        <v>11/20/2017 16:20-&gt;JCC Basketball Out 2</v>
      </c>
      <c r="BI712" s="148" t="str">
        <f t="shared" si="487"/>
        <v>Dodgeball in JCC Basketball Out 2 ()</v>
      </c>
      <c r="BJ712" s="148" t="str">
        <f t="shared" si="488"/>
        <v xml:space="preserve">Ch C Female Dodgeball--  vs. </v>
      </c>
      <c r="BK712" s="148" t="str">
        <f t="shared" si="489"/>
        <v>Dodgeball</v>
      </c>
      <c r="BL712" s="148">
        <f t="shared" si="490"/>
        <v>0</v>
      </c>
      <c r="BM712" s="148">
        <f t="shared" si="491"/>
        <v>0</v>
      </c>
      <c r="BN712" s="148" t="str">
        <f t="shared" si="492"/>
        <v>Tournament</v>
      </c>
      <c r="BP712" s="148" t="str">
        <f t="shared" si="493"/>
        <v>11/20/2017 16:20-&gt;CHILDREN C FEMALE</v>
      </c>
      <c r="BQ712" s="148" t="str">
        <f t="shared" si="494"/>
        <v>Dodgeball Tournament in JCC Basketball Out 2</v>
      </c>
    </row>
    <row r="713" spans="1:69" ht="15" customHeight="1" x14ac:dyDescent="0.2">
      <c r="A713" s="376">
        <v>711</v>
      </c>
      <c r="B713" s="441" t="s">
        <v>41</v>
      </c>
      <c r="C713" s="441" t="s">
        <v>711</v>
      </c>
      <c r="D713" s="450">
        <v>1</v>
      </c>
      <c r="E713" s="450">
        <v>1</v>
      </c>
      <c r="F713" s="315" t="s">
        <v>770</v>
      </c>
      <c r="G713" s="320">
        <v>43059</v>
      </c>
      <c r="H713" s="318">
        <v>0.71527777777777779</v>
      </c>
      <c r="I713" s="325" t="s">
        <v>770</v>
      </c>
      <c r="J713" s="441" t="s">
        <v>694</v>
      </c>
      <c r="K713" s="441"/>
      <c r="L713" s="441"/>
      <c r="M713" s="441"/>
      <c r="N713" s="441"/>
      <c r="O713" s="153" t="str">
        <f>IF(L713&lt;&gt;"",IFERROR(VLOOKUP(B713&amp;L713,Pools!$A$2:$D$130,3,FALSE),""),"")</f>
        <v/>
      </c>
      <c r="P713" s="388"/>
      <c r="Q713" s="388"/>
      <c r="R713" s="306" t="str">
        <f t="shared" si="450"/>
        <v>-</v>
      </c>
      <c r="S713" s="153"/>
      <c r="T713" s="148" t="str">
        <f t="shared" si="451"/>
        <v>Pending</v>
      </c>
      <c r="U713" s="153"/>
      <c r="V713" s="153"/>
      <c r="W713" s="387">
        <f t="shared" si="452"/>
        <v>0</v>
      </c>
      <c r="X713" s="387">
        <f t="shared" si="453"/>
        <v>0</v>
      </c>
      <c r="Y713" s="301" t="str">
        <f t="shared" si="454"/>
        <v>X</v>
      </c>
      <c r="Z713" s="301" t="str">
        <f t="shared" si="455"/>
        <v>X</v>
      </c>
      <c r="AA713" s="323" t="str">
        <f>CONCATENATE("                x[team1,team2,sport,'",IF(OR(I713="x",I713=""),VLOOKUP('Schedule from TM'!J714,Tables!$P$3:$Q$33,2,FALSE),'Schedule from TM'!I714),",",J713,"','",IF(OR(F713="x",F713=""),VLOOKUP('Schedule from TM'!G714,Tables!$U$3:$V$14,2,FALSE),'Schedule from TM'!F714),",",TEXT(G713,"mm/dd/yyyy"),"','",TEXT(H713,"h:mm:ss AM/PM"),"'].ub=0.0      #",B713)</f>
        <v xml:space="preserve">                x[team1,team2,sport,'11,JCC Back Field 4','22,11/20/2017','5:10:00 PM'].ub=0.0      #Ch C Female Dodgeball</v>
      </c>
      <c r="AB713" s="301" t="str">
        <f t="shared" si="456"/>
        <v>,,Ch C Female Dodgeball,,1,</v>
      </c>
      <c r="AC713" s="153" t="str">
        <f t="shared" si="457"/>
        <v>Ch C Female Dodgeball</v>
      </c>
      <c r="AD713" s="301" t="str">
        <f t="shared" si="458"/>
        <v>,,Ch C Female Dodgeball,,1,</v>
      </c>
      <c r="AE713" s="153" t="str">
        <f t="shared" si="459"/>
        <v>Ch C Female Dodgeball</v>
      </c>
      <c r="AF713" s="383">
        <f t="shared" si="460"/>
        <v>0</v>
      </c>
      <c r="AG713" s="383">
        <f t="shared" si="461"/>
        <v>0</v>
      </c>
      <c r="AH713" s="383">
        <f t="shared" si="462"/>
        <v>0</v>
      </c>
      <c r="AI713" s="383">
        <f t="shared" si="463"/>
        <v>0</v>
      </c>
      <c r="AJ713" s="383">
        <f t="shared" si="464"/>
        <v>0</v>
      </c>
      <c r="AK713" s="383">
        <f t="shared" si="465"/>
        <v>0</v>
      </c>
      <c r="AM713" s="148" t="str">
        <f t="shared" si="466"/>
        <v>Schedulled</v>
      </c>
      <c r="AN713" s="148" t="str">
        <f t="shared" si="467"/>
        <v>Schedulled no team</v>
      </c>
      <c r="AO713" s="156">
        <f t="shared" si="468"/>
        <v>43059.715277777781</v>
      </c>
      <c r="AP713" s="148" t="str">
        <f t="shared" si="469"/>
        <v>11/20/2017 17:10-&gt;JCC Back Field 4</v>
      </c>
      <c r="AQ713" s="374">
        <f t="shared" si="470"/>
        <v>1</v>
      </c>
      <c r="AR713" s="148" t="str">
        <f t="shared" si="471"/>
        <v/>
      </c>
      <c r="AS713" s="148" t="str">
        <f t="shared" si="472"/>
        <v/>
      </c>
      <c r="AT713" s="157" t="str">
        <f t="shared" si="473"/>
        <v/>
      </c>
      <c r="AU713" s="157" t="str">
        <f t="shared" si="474"/>
        <v>Dodgeball Tournament</v>
      </c>
      <c r="AV713" s="157" t="str">
        <f t="shared" si="475"/>
        <v>CHILDREN C FEMALE</v>
      </c>
      <c r="AW713" s="157" t="str">
        <f t="shared" si="476"/>
        <v>Dodgeball</v>
      </c>
      <c r="AX713" s="376">
        <f t="shared" si="477"/>
        <v>711</v>
      </c>
      <c r="AY713" s="148" t="str">
        <f t="shared" si="478"/>
        <v>-&gt;</v>
      </c>
      <c r="AZ713" s="148" t="str">
        <f t="shared" si="479"/>
        <v>11/20/2017 17:10-&gt;</v>
      </c>
      <c r="BA713" s="148" t="str">
        <f t="shared" si="480"/>
        <v>11/20/2017 17:10-&gt;</v>
      </c>
      <c r="BB713" s="374">
        <f t="shared" si="481"/>
        <v>0</v>
      </c>
      <c r="BC713" s="374">
        <f t="shared" si="482"/>
        <v>0</v>
      </c>
      <c r="BD713" s="148" t="str">
        <f t="shared" si="483"/>
        <v>no conflict</v>
      </c>
      <c r="BF713" s="148" t="str">
        <f t="shared" si="484"/>
        <v>11/20/2017 17:10-&gt;</v>
      </c>
      <c r="BG713" s="148" t="str">
        <f t="shared" si="485"/>
        <v>11/20/2017 17:10-&gt;</v>
      </c>
      <c r="BH713" s="148" t="str">
        <f t="shared" si="486"/>
        <v>11/20/2017 17:10-&gt;JCC Back Field 4</v>
      </c>
      <c r="BI713" s="148" t="str">
        <f t="shared" si="487"/>
        <v>Dodgeball in JCC Back Field 4 ()</v>
      </c>
      <c r="BJ713" s="148" t="str">
        <f t="shared" si="488"/>
        <v xml:space="preserve">Ch C Female Dodgeball--  vs. </v>
      </c>
      <c r="BK713" s="148" t="str">
        <f t="shared" si="489"/>
        <v>Dodgeball</v>
      </c>
      <c r="BL713" s="148">
        <f t="shared" si="490"/>
        <v>0</v>
      </c>
      <c r="BM713" s="148">
        <f t="shared" si="491"/>
        <v>0</v>
      </c>
      <c r="BN713" s="148" t="str">
        <f t="shared" si="492"/>
        <v>Tournament</v>
      </c>
      <c r="BP713" s="148" t="str">
        <f t="shared" si="493"/>
        <v>11/20/2017 17:10-&gt;CHILDREN C FEMALE</v>
      </c>
      <c r="BQ713" s="148" t="str">
        <f t="shared" si="494"/>
        <v>Dodgeball Tournament in JCC Back Field 4</v>
      </c>
    </row>
    <row r="714" spans="1:69" ht="15" customHeight="1" x14ac:dyDescent="0.2">
      <c r="A714" s="376">
        <v>712</v>
      </c>
      <c r="B714" s="441" t="s">
        <v>41</v>
      </c>
      <c r="C714" s="441" t="s">
        <v>711</v>
      </c>
      <c r="D714" s="450">
        <v>1</v>
      </c>
      <c r="E714" s="450">
        <v>1</v>
      </c>
      <c r="F714" s="315" t="s">
        <v>770</v>
      </c>
      <c r="G714" s="320">
        <v>43059</v>
      </c>
      <c r="H714" s="318">
        <v>0.71527777777777779</v>
      </c>
      <c r="I714" s="325" t="s">
        <v>770</v>
      </c>
      <c r="J714" s="441" t="s">
        <v>688</v>
      </c>
      <c r="K714" s="315"/>
      <c r="L714" s="444"/>
      <c r="M714" s="444"/>
      <c r="N714" s="444"/>
      <c r="O714" s="153" t="str">
        <f>IF(L714&lt;&gt;"",IFERROR(VLOOKUP(B714&amp;L714,Pools!$A$2:$D$130,3,FALSE),""),"")</f>
        <v/>
      </c>
      <c r="P714" s="388"/>
      <c r="Q714" s="388"/>
      <c r="R714" s="306" t="str">
        <f t="shared" si="450"/>
        <v>-</v>
      </c>
      <c r="S714" s="153"/>
      <c r="T714" s="148" t="str">
        <f t="shared" si="451"/>
        <v>Pending</v>
      </c>
      <c r="U714" s="153"/>
      <c r="V714" s="153"/>
      <c r="W714" s="387">
        <f t="shared" si="452"/>
        <v>0</v>
      </c>
      <c r="X714" s="387">
        <f t="shared" si="453"/>
        <v>0</v>
      </c>
      <c r="Y714" s="301" t="str">
        <f t="shared" si="454"/>
        <v>X</v>
      </c>
      <c r="Z714" s="301" t="str">
        <f t="shared" si="455"/>
        <v>X</v>
      </c>
      <c r="AA714" s="323" t="str">
        <f>CONCATENATE("                x[team1,team2,sport,'",IF(OR(I714="x",I714=""),VLOOKUP('Schedule from TM'!J715,Tables!$P$3:$Q$33,2,FALSE),'Schedule from TM'!I715),",",J714,"','",IF(OR(F714="x",F714=""),VLOOKUP('Schedule from TM'!G715,Tables!$U$3:$V$14,2,FALSE),'Schedule from TM'!F715),",",TEXT(G714,"mm/dd/yyyy"),"','",TEXT(H714,"h:mm:ss AM/PM"),"'].ub=0.0      #",B714)</f>
        <v xml:space="preserve">                x[team1,team2,sport,'11,JCC Basketball Out 1','22,11/20/2017','5:10:00 PM'].ub=0.0      #Ch C Female Dodgeball</v>
      </c>
      <c r="AB714" s="301" t="str">
        <f t="shared" si="456"/>
        <v>,,Ch C Female Dodgeball,,1,</v>
      </c>
      <c r="AC714" s="153" t="str">
        <f t="shared" si="457"/>
        <v>Ch C Female Dodgeball</v>
      </c>
      <c r="AD714" s="301" t="str">
        <f t="shared" si="458"/>
        <v>,,Ch C Female Dodgeball,,1,</v>
      </c>
      <c r="AE714" s="153" t="str">
        <f t="shared" si="459"/>
        <v>Ch C Female Dodgeball</v>
      </c>
      <c r="AF714" s="383">
        <f t="shared" si="460"/>
        <v>0</v>
      </c>
      <c r="AG714" s="383">
        <f t="shared" si="461"/>
        <v>0</v>
      </c>
      <c r="AH714" s="383">
        <f t="shared" si="462"/>
        <v>0</v>
      </c>
      <c r="AI714" s="383">
        <f t="shared" si="463"/>
        <v>0</v>
      </c>
      <c r="AJ714" s="383">
        <f t="shared" si="464"/>
        <v>0</v>
      </c>
      <c r="AK714" s="383">
        <f t="shared" si="465"/>
        <v>0</v>
      </c>
      <c r="AM714" s="148" t="str">
        <f t="shared" si="466"/>
        <v>Schedulled</v>
      </c>
      <c r="AN714" s="148" t="str">
        <f t="shared" si="467"/>
        <v>Schedulled no team</v>
      </c>
      <c r="AO714" s="156">
        <f t="shared" si="468"/>
        <v>43059.715277777781</v>
      </c>
      <c r="AP714" s="148" t="str">
        <f t="shared" si="469"/>
        <v>11/20/2017 17:10-&gt;JCC Basketball Out 1</v>
      </c>
      <c r="AQ714" s="374">
        <f t="shared" si="470"/>
        <v>1</v>
      </c>
      <c r="AR714" s="148" t="str">
        <f t="shared" si="471"/>
        <v/>
      </c>
      <c r="AS714" s="148" t="str">
        <f t="shared" si="472"/>
        <v/>
      </c>
      <c r="AT714" s="157" t="str">
        <f t="shared" si="473"/>
        <v/>
      </c>
      <c r="AU714" s="157" t="str">
        <f t="shared" si="474"/>
        <v>Dodgeball Tournament</v>
      </c>
      <c r="AV714" s="157" t="str">
        <f t="shared" si="475"/>
        <v>CHILDREN C FEMALE</v>
      </c>
      <c r="AW714" s="157" t="str">
        <f t="shared" si="476"/>
        <v>Dodgeball</v>
      </c>
      <c r="AX714" s="376">
        <f t="shared" si="477"/>
        <v>712</v>
      </c>
      <c r="AY714" s="148" t="str">
        <f t="shared" si="478"/>
        <v>-&gt;</v>
      </c>
      <c r="AZ714" s="148" t="str">
        <f t="shared" si="479"/>
        <v>11/20/2017 17:10-&gt;</v>
      </c>
      <c r="BA714" s="148" t="str">
        <f t="shared" si="480"/>
        <v>11/20/2017 17:10-&gt;</v>
      </c>
      <c r="BB714" s="374">
        <f t="shared" si="481"/>
        <v>0</v>
      </c>
      <c r="BC714" s="374">
        <f t="shared" si="482"/>
        <v>0</v>
      </c>
      <c r="BD714" s="148" t="str">
        <f t="shared" si="483"/>
        <v>no conflict</v>
      </c>
      <c r="BF714" s="148" t="str">
        <f t="shared" si="484"/>
        <v>11/20/2017 17:10-&gt;</v>
      </c>
      <c r="BG714" s="148" t="str">
        <f t="shared" si="485"/>
        <v>11/20/2017 17:10-&gt;</v>
      </c>
      <c r="BH714" s="148" t="str">
        <f t="shared" si="486"/>
        <v>11/20/2017 17:10-&gt;JCC Basketball Out 1</v>
      </c>
      <c r="BI714" s="148" t="str">
        <f t="shared" si="487"/>
        <v>Dodgeball in JCC Basketball Out 1 ()</v>
      </c>
      <c r="BJ714" s="148" t="str">
        <f t="shared" si="488"/>
        <v xml:space="preserve">Ch C Female Dodgeball--  vs. </v>
      </c>
      <c r="BK714" s="148" t="str">
        <f t="shared" si="489"/>
        <v>Dodgeball</v>
      </c>
      <c r="BL714" s="148">
        <f t="shared" si="490"/>
        <v>0</v>
      </c>
      <c r="BM714" s="148">
        <f t="shared" si="491"/>
        <v>0</v>
      </c>
      <c r="BN714" s="148" t="str">
        <f t="shared" si="492"/>
        <v>Tournament</v>
      </c>
      <c r="BP714" s="148" t="str">
        <f t="shared" si="493"/>
        <v>11/20/2017 17:10-&gt;CHILDREN C FEMALE</v>
      </c>
      <c r="BQ714" s="148" t="str">
        <f t="shared" si="494"/>
        <v>Dodgeball Tournament in JCC Basketball Out 1</v>
      </c>
    </row>
    <row r="715" spans="1:69" ht="15" customHeight="1" x14ac:dyDescent="0.2">
      <c r="A715" s="376">
        <v>713</v>
      </c>
      <c r="B715" s="441" t="s">
        <v>41</v>
      </c>
      <c r="C715" s="441" t="s">
        <v>711</v>
      </c>
      <c r="D715" s="450">
        <v>1</v>
      </c>
      <c r="E715" s="450">
        <v>1</v>
      </c>
      <c r="F715" s="315" t="s">
        <v>770</v>
      </c>
      <c r="G715" s="320">
        <v>43059</v>
      </c>
      <c r="H715" s="318">
        <v>0.71527777777777779</v>
      </c>
      <c r="I715" s="325" t="s">
        <v>770</v>
      </c>
      <c r="J715" s="441" t="s">
        <v>709</v>
      </c>
      <c r="K715" s="444"/>
      <c r="L715" s="444"/>
      <c r="M715" s="444"/>
      <c r="N715" s="444"/>
      <c r="O715" s="153" t="str">
        <f>IF(L715&lt;&gt;"",IFERROR(VLOOKUP(B715&amp;L715,Pools!$A$2:$D$130,3,FALSE),""),"")</f>
        <v/>
      </c>
      <c r="P715" s="388"/>
      <c r="Q715" s="388"/>
      <c r="R715" s="306" t="str">
        <f t="shared" ref="R715:R778" si="495">P715&amp;"-"&amp;Q715</f>
        <v>-</v>
      </c>
      <c r="S715" s="153"/>
      <c r="T715" s="148" t="str">
        <f t="shared" ref="T715:T778" si="496">IF(AND(P715&lt;&gt;"",Q715&lt;&gt;""),"Completed","Pending")</f>
        <v>Pending</v>
      </c>
      <c r="U715" s="153"/>
      <c r="V715" s="153"/>
      <c r="W715" s="387">
        <f t="shared" ref="W715:W778" si="497">IF(AW715="Basketball",(IF(P715-Q715&gt;15,15,IF(P715-Q715&lt;-15,-15,(P715-Q715)))),IF(AW715="Soccer",(IF(P715-Q715&gt;3,3,IF(P715-Q715&lt;-3,-3,(P715-Q715)))),IF(AW715="Kickball",(IF(P715-Q715&gt;5,5,IF(P715-Q715&lt;-5,-5,(P715-Q715)))),IF(AW715="Flag Football",(IF(P715-Q715&gt;21,21,IF(P715-Q715&lt;-21,-21,(P715-Q715)))),P715-Q715))))</f>
        <v>0</v>
      </c>
      <c r="X715" s="387">
        <f t="shared" ref="X715:X778" si="498">IF(AW715="Basketball",(IF(Q715-P715&gt;15,15,IF(Q715-P715&lt;-15,-15,(Q715-P715)))),IF(AW715="Soccer",(IF(Q715-P715&gt;3,3,IF(Q715-P715&lt;-3,-3,(Q715-P715)))),IF(AW715="Kickball",(IF(Q715-P715&gt;5,5,IF(Q715-P715&lt;-5,-5,(Q715-P715)))),IF(AW715="Flag Football",(IF(Q715-P715&gt;21,21,IF(Q715-P715&lt;-21,-21,(Q715-P715)))),Q715-P715))))</f>
        <v>0</v>
      </c>
      <c r="Y715" s="301" t="str">
        <f t="shared" ref="Y715:Y778" si="499">IF(T715="Completed",(IF(P715&gt;Q715,2,IF(P715=Q715,1,IF(P715&lt;Q715,0)))),"X")</f>
        <v>X</v>
      </c>
      <c r="Z715" s="301" t="str">
        <f t="shared" ref="Z715:Z778" si="500">IF(T715="Completed",(IF(Q715&gt;P715,2,IF(Q715=P715,1,IF(Q715&lt;P715,0)))),"X")</f>
        <v>X</v>
      </c>
      <c r="AA715" s="323" t="str">
        <f>CONCATENATE("                x[team1,team2,sport,'",IF(OR(I715="x",I715=""),VLOOKUP('Schedule from TM'!J716,Tables!$P$3:$Q$33,2,FALSE),'Schedule from TM'!I716),",",J715,"','",IF(OR(F715="x",F715=""),VLOOKUP('Schedule from TM'!G716,Tables!$U$3:$V$14,2,FALSE),'Schedule from TM'!F716),",",TEXT(G715,"mm/dd/yyyy"),"','",TEXT(H715,"h:mm:ss AM/PM"),"'].ub=0.0      #",B715)</f>
        <v xml:space="preserve">                x[team1,team2,sport,'11,JCC Basketball Out 2','22,11/20/2017','5:10:00 PM'].ub=0.0      #Ch C Female Dodgeball</v>
      </c>
      <c r="AB715" s="301" t="str">
        <f t="shared" ref="AB715:AB778" si="501">",,"&amp;B715&amp;","&amp;O715&amp;",1,"&amp;L715</f>
        <v>,,Ch C Female Dodgeball,,1,</v>
      </c>
      <c r="AC715" s="153" t="str">
        <f t="shared" ref="AC715:AC778" si="502">B715&amp;O715&amp;L715</f>
        <v>Ch C Female Dodgeball</v>
      </c>
      <c r="AD715" s="301" t="str">
        <f t="shared" ref="AD715:AD778" si="503">",,"&amp;B715&amp;","&amp;O715&amp;",1,"&amp;N715</f>
        <v>,,Ch C Female Dodgeball,,1,</v>
      </c>
      <c r="AE715" s="153" t="str">
        <f t="shared" ref="AE715:AE778" si="504">B715&amp;O715&amp;N715</f>
        <v>Ch C Female Dodgeball</v>
      </c>
      <c r="AF715" s="383">
        <f t="shared" ref="AF715:AF778" si="505">IF(Y715=2,1,0)</f>
        <v>0</v>
      </c>
      <c r="AG715" s="383">
        <f t="shared" ref="AG715:AG778" si="506">IF(Y715=0,1,0)</f>
        <v>0</v>
      </c>
      <c r="AH715" s="383">
        <f t="shared" ref="AH715:AH778" si="507">IF(Y715=1,1,0)</f>
        <v>0</v>
      </c>
      <c r="AI715" s="383">
        <f t="shared" ref="AI715:AI778" si="508">IF(Z715=2,1,0)</f>
        <v>0</v>
      </c>
      <c r="AJ715" s="383">
        <f t="shared" ref="AJ715:AJ778" si="509">IF(Z715=0,1,0)</f>
        <v>0</v>
      </c>
      <c r="AK715" s="383">
        <f t="shared" ref="AK715:AK778" si="510">IF(Z715=1,1,0)</f>
        <v>0</v>
      </c>
      <c r="AM715" s="148" t="str">
        <f t="shared" ref="AM715:AM778" si="511">IF(G715&amp;H715&amp;J715&lt;&gt;"","Schedulled","Not Schedulled")</f>
        <v>Schedulled</v>
      </c>
      <c r="AN715" s="148" t="str">
        <f t="shared" ref="AN715:AN778" si="512">IF(AND(AM715="schedulled",L715&amp;N715=""),"Schedulled no team","")</f>
        <v>Schedulled no team</v>
      </c>
      <c r="AO715" s="156">
        <f t="shared" ref="AO715:AO778" si="513">G715+H715</f>
        <v>43059.715277777781</v>
      </c>
      <c r="AP715" s="148" t="str">
        <f t="shared" ref="AP715:AP778" si="514">TEXT(AO715,"MM/DD/YYYY HH:MM")&amp;"-&gt;"&amp;J715</f>
        <v>11/20/2017 17:10-&gt;JCC Basketball Out 2</v>
      </c>
      <c r="AQ715" s="374">
        <f t="shared" ref="AQ715:AQ778" si="515">IF(AM715="not schedulled", 0,COUNTIF($AP$11:$AP$1051,AP715))</f>
        <v>1</v>
      </c>
      <c r="AR715" s="148" t="str">
        <f t="shared" ref="AR715:AR778" si="516">IFERROR(VLOOKUP(L715,teams_table,3,FALSE),"")</f>
        <v/>
      </c>
      <c r="AS715" s="148" t="str">
        <f t="shared" ref="AS715:AS778" si="517">IFERROR(VLOOKUP(N715,teams_table,3,FALSE),"")</f>
        <v/>
      </c>
      <c r="AT715" s="157" t="str">
        <f t="shared" ref="AT715:AT778" si="518">IF(AR715&amp;AS715&lt;&gt;"",AR715&amp;"-"&amp;AS715,"")</f>
        <v/>
      </c>
      <c r="AU715" s="157" t="str">
        <f t="shared" ref="AU715:AU778" si="519">IF(AT715="","",AT715&amp;" ")&amp;IF(C715="final",AW715&amp;" Final","")&amp;IF(C715="semi-final",AW715&amp;" Semi-Final","")&amp;IF(C715="Tournament",AW715&amp;" Tournament","")</f>
        <v>Dodgeball Tournament</v>
      </c>
      <c r="AV715" s="157" t="str">
        <f t="shared" ref="AV715:AV778" si="520">IFERROR(VLOOKUP(B715,events_table,2,FALSE),"")</f>
        <v>CHILDREN C FEMALE</v>
      </c>
      <c r="AW715" s="157" t="str">
        <f t="shared" ref="AW715:AW778" si="521">IFERROR(VLOOKUP(B715,events_table,3,0),"")</f>
        <v>Dodgeball</v>
      </c>
      <c r="AX715" s="376">
        <f t="shared" ref="AX715:AX778" si="522">A715</f>
        <v>713</v>
      </c>
      <c r="AY715" s="148" t="str">
        <f t="shared" ref="AY715:AY778" si="523">L715&amp;"-&gt;"&amp;N715</f>
        <v>-&gt;</v>
      </c>
      <c r="AZ715" s="148" t="str">
        <f t="shared" ref="AZ715:AZ778" si="524">TEXT(AO715,"MM/DD/YYYY HH:MM")&amp;"-&gt;"&amp;L715</f>
        <v>11/20/2017 17:10-&gt;</v>
      </c>
      <c r="BA715" s="148" t="str">
        <f t="shared" ref="BA715:BA778" si="525">TEXT(AO715,"MM/DD/YYYY HH:MM")&amp;"-&gt;"&amp;N715</f>
        <v>11/20/2017 17:10-&gt;</v>
      </c>
      <c r="BB715" s="374">
        <f t="shared" ref="BB715:BB778" si="526">IF(OR(AM715="not schedulled",AN715="schedulled no team"),0,COUNTIF($AZ$11:$BA$1051,AZ715))</f>
        <v>0</v>
      </c>
      <c r="BC715" s="374">
        <f t="shared" ref="BC715:BC778" si="527">IF(OR(AM715="not schedulled",AN715="schedulled no team"),0,COUNTIF($AZ$11:$BA$1051,BA715))</f>
        <v>0</v>
      </c>
      <c r="BD715" s="148" t="str">
        <f t="shared" ref="BD715:BD778" si="528">IF(OR(BB715&gt;1,BC715&gt;1),"conflict","no conflict")</f>
        <v>no conflict</v>
      </c>
      <c r="BF715" s="148" t="str">
        <f t="shared" ref="BF715:BF778" si="529">TEXT(AO715,"MM/DD/YYYY HH:MM")&amp;"-&gt;"&amp;L715</f>
        <v>11/20/2017 17:10-&gt;</v>
      </c>
      <c r="BG715" s="148" t="str">
        <f t="shared" ref="BG715:BG778" si="530">TEXT(AO715,"MM/DD/YYYY HH:MM")&amp;"-&gt;"&amp;N715</f>
        <v>11/20/2017 17:10-&gt;</v>
      </c>
      <c r="BH715" s="148" t="str">
        <f t="shared" ref="BH715:BH778" si="531">TEXT(AO715,"MM/DD/YYYY HH:MM")&amp;"-&gt;"&amp;J715</f>
        <v>11/20/2017 17:10-&gt;JCC Basketball Out 2</v>
      </c>
      <c r="BI715" s="148" t="str">
        <f t="shared" ref="BI715:BI778" si="532">AW715&amp; " in "&amp;J715 &amp;" ("&amp;AT715&amp;")"</f>
        <v>Dodgeball in JCC Basketball Out 2 ()</v>
      </c>
      <c r="BJ715" s="148" t="str">
        <f t="shared" ref="BJ715:BJ778" si="533">B715 &amp;"-- " &amp;L715&amp;" vs. "&amp;N715</f>
        <v xml:space="preserve">Ch C Female Dodgeball--  vs. </v>
      </c>
      <c r="BK715" s="148" t="str">
        <f t="shared" ref="BK715:BK778" si="534">AW715</f>
        <v>Dodgeball</v>
      </c>
      <c r="BL715" s="148">
        <f t="shared" ref="BL715:BL778" si="535">L715</f>
        <v>0</v>
      </c>
      <c r="BM715" s="148">
        <f t="shared" ref="BM715:BM778" si="536">N715</f>
        <v>0</v>
      </c>
      <c r="BN715" s="148" t="str">
        <f t="shared" ref="BN715:BN778" si="537">C715</f>
        <v>Tournament</v>
      </c>
      <c r="BP715" s="148" t="str">
        <f t="shared" ref="BP715:BP778" si="538">IF(OR(NOT(ISERR(SEARCH("final",C715))),NOT(ISERR(SEARCH("tournament",C715)))),TEXT(AO715,"MM/DD/YYYY HH:MM")&amp;"-&gt;"&amp;AV715,IF(B715="","no game","no t, f, or sf"))</f>
        <v>11/20/2017 17:10-&gt;CHILDREN C FEMALE</v>
      </c>
      <c r="BQ715" s="148" t="str">
        <f t="shared" ref="BQ715:BQ778" si="539">IF(BP715&lt;&gt;"no t, f, or sf",AW715&amp;" "&amp;C715&amp;" in "&amp;J715,"")</f>
        <v>Dodgeball Tournament in JCC Basketball Out 2</v>
      </c>
    </row>
    <row r="716" spans="1:69" ht="15" customHeight="1" x14ac:dyDescent="0.2">
      <c r="A716" s="376">
        <v>714</v>
      </c>
      <c r="B716" s="441" t="s">
        <v>45</v>
      </c>
      <c r="C716" s="441" t="s">
        <v>711</v>
      </c>
      <c r="D716" s="450">
        <v>1</v>
      </c>
      <c r="E716" s="450">
        <v>1</v>
      </c>
      <c r="F716" s="315" t="s">
        <v>770</v>
      </c>
      <c r="G716" s="320">
        <v>43060</v>
      </c>
      <c r="H716" s="317">
        <v>0.68055555555555547</v>
      </c>
      <c r="I716" s="325" t="s">
        <v>770</v>
      </c>
      <c r="J716" s="441" t="s">
        <v>692</v>
      </c>
      <c r="K716" s="441"/>
      <c r="L716" s="441"/>
      <c r="M716" s="441"/>
      <c r="N716" s="441"/>
      <c r="O716" s="153" t="str">
        <f>IF(L716&lt;&gt;"",IFERROR(VLOOKUP(B716&amp;L716,Pools!$A$2:$D$130,3,FALSE),""),"")</f>
        <v/>
      </c>
      <c r="P716" s="388"/>
      <c r="Q716" s="388"/>
      <c r="R716" s="306" t="str">
        <f t="shared" si="495"/>
        <v>-</v>
      </c>
      <c r="S716" s="153"/>
      <c r="T716" s="148" t="str">
        <f t="shared" si="496"/>
        <v>Pending</v>
      </c>
      <c r="U716" s="153"/>
      <c r="V716" s="153"/>
      <c r="W716" s="387">
        <f t="shared" si="497"/>
        <v>0</v>
      </c>
      <c r="X716" s="387">
        <f t="shared" si="498"/>
        <v>0</v>
      </c>
      <c r="Y716" s="301" t="str">
        <f t="shared" si="499"/>
        <v>X</v>
      </c>
      <c r="Z716" s="301" t="str">
        <f t="shared" si="500"/>
        <v>X</v>
      </c>
      <c r="AA716" s="323" t="str">
        <f>CONCATENATE("                x[team1,team2,sport,'",IF(OR(I716="x",I716=""),VLOOKUP('Schedule from TM'!J717,Tables!$P$3:$Q$33,2,FALSE),'Schedule from TM'!I717),",",J716,"','",IF(OR(F716="x",F716=""),VLOOKUP('Schedule from TM'!G717,Tables!$U$3:$V$14,2,FALSE),'Schedule from TM'!F717),",",TEXT(G716,"mm/dd/yyyy"),"','",TEXT(H716,"h:mm:ss AM/PM"),"'].ub=0.0      #",B716)</f>
        <v xml:space="preserve">                x[team1,team2,sport,'11,JCC Back Field 3','22,11/21/2017','4:20:00 PM'].ub=0.0      #Ch C Male Dodgeball</v>
      </c>
      <c r="AB716" s="301" t="str">
        <f t="shared" si="501"/>
        <v>,,Ch C Male Dodgeball,,1,</v>
      </c>
      <c r="AC716" s="153" t="str">
        <f t="shared" si="502"/>
        <v>Ch C Male Dodgeball</v>
      </c>
      <c r="AD716" s="301" t="str">
        <f t="shared" si="503"/>
        <v>,,Ch C Male Dodgeball,,1,</v>
      </c>
      <c r="AE716" s="153" t="str">
        <f t="shared" si="504"/>
        <v>Ch C Male Dodgeball</v>
      </c>
      <c r="AF716" s="383">
        <f t="shared" si="505"/>
        <v>0</v>
      </c>
      <c r="AG716" s="383">
        <f t="shared" si="506"/>
        <v>0</v>
      </c>
      <c r="AH716" s="383">
        <f t="shared" si="507"/>
        <v>0</v>
      </c>
      <c r="AI716" s="383">
        <f t="shared" si="508"/>
        <v>0</v>
      </c>
      <c r="AJ716" s="383">
        <f t="shared" si="509"/>
        <v>0</v>
      </c>
      <c r="AK716" s="383">
        <f t="shared" si="510"/>
        <v>0</v>
      </c>
      <c r="AM716" s="148" t="str">
        <f t="shared" si="511"/>
        <v>Schedulled</v>
      </c>
      <c r="AN716" s="148" t="str">
        <f t="shared" si="512"/>
        <v>Schedulled no team</v>
      </c>
      <c r="AO716" s="156">
        <f t="shared" si="513"/>
        <v>43060.680555555555</v>
      </c>
      <c r="AP716" s="148" t="str">
        <f t="shared" si="514"/>
        <v>11/21/2017 16:20-&gt;JCC Back Field 3</v>
      </c>
      <c r="AQ716" s="374">
        <f t="shared" si="515"/>
        <v>1</v>
      </c>
      <c r="AR716" s="148" t="str">
        <f t="shared" si="516"/>
        <v/>
      </c>
      <c r="AS716" s="148" t="str">
        <f t="shared" si="517"/>
        <v/>
      </c>
      <c r="AT716" s="157" t="str">
        <f t="shared" si="518"/>
        <v/>
      </c>
      <c r="AU716" s="157" t="str">
        <f t="shared" si="519"/>
        <v>Dodgeball Tournament</v>
      </c>
      <c r="AV716" s="157" t="str">
        <f t="shared" si="520"/>
        <v>CHILDREN C MALE</v>
      </c>
      <c r="AW716" s="157" t="str">
        <f t="shared" si="521"/>
        <v>Dodgeball</v>
      </c>
      <c r="AX716" s="376">
        <f t="shared" si="522"/>
        <v>714</v>
      </c>
      <c r="AY716" s="148" t="str">
        <f t="shared" si="523"/>
        <v>-&gt;</v>
      </c>
      <c r="AZ716" s="148" t="str">
        <f t="shared" si="524"/>
        <v>11/21/2017 16:20-&gt;</v>
      </c>
      <c r="BA716" s="148" t="str">
        <f t="shared" si="525"/>
        <v>11/21/2017 16:20-&gt;</v>
      </c>
      <c r="BB716" s="374">
        <f t="shared" si="526"/>
        <v>0</v>
      </c>
      <c r="BC716" s="374">
        <f t="shared" si="527"/>
        <v>0</v>
      </c>
      <c r="BD716" s="148" t="str">
        <f t="shared" si="528"/>
        <v>no conflict</v>
      </c>
      <c r="BF716" s="148" t="str">
        <f t="shared" si="529"/>
        <v>11/21/2017 16:20-&gt;</v>
      </c>
      <c r="BG716" s="148" t="str">
        <f t="shared" si="530"/>
        <v>11/21/2017 16:20-&gt;</v>
      </c>
      <c r="BH716" s="148" t="str">
        <f t="shared" si="531"/>
        <v>11/21/2017 16:20-&gt;JCC Back Field 3</v>
      </c>
      <c r="BI716" s="148" t="str">
        <f t="shared" si="532"/>
        <v>Dodgeball in JCC Back Field 3 ()</v>
      </c>
      <c r="BJ716" s="148" t="str">
        <f t="shared" si="533"/>
        <v xml:space="preserve">Ch C Male Dodgeball--  vs. </v>
      </c>
      <c r="BK716" s="148" t="str">
        <f t="shared" si="534"/>
        <v>Dodgeball</v>
      </c>
      <c r="BL716" s="148">
        <f t="shared" si="535"/>
        <v>0</v>
      </c>
      <c r="BM716" s="148">
        <f t="shared" si="536"/>
        <v>0</v>
      </c>
      <c r="BN716" s="148" t="str">
        <f t="shared" si="537"/>
        <v>Tournament</v>
      </c>
      <c r="BP716" s="148" t="str">
        <f t="shared" si="538"/>
        <v>11/21/2017 16:20-&gt;CHILDREN C MALE</v>
      </c>
      <c r="BQ716" s="148" t="str">
        <f t="shared" si="539"/>
        <v>Dodgeball Tournament in JCC Back Field 3</v>
      </c>
    </row>
    <row r="717" spans="1:69" ht="15" customHeight="1" x14ac:dyDescent="0.2">
      <c r="A717" s="376">
        <v>715</v>
      </c>
      <c r="B717" s="441" t="s">
        <v>45</v>
      </c>
      <c r="C717" s="441" t="s">
        <v>711</v>
      </c>
      <c r="D717" s="450">
        <v>1</v>
      </c>
      <c r="E717" s="450">
        <v>1</v>
      </c>
      <c r="F717" s="315" t="s">
        <v>770</v>
      </c>
      <c r="G717" s="320">
        <v>43060</v>
      </c>
      <c r="H717" s="317">
        <v>0.68055555555555547</v>
      </c>
      <c r="I717" s="325" t="s">
        <v>770</v>
      </c>
      <c r="J717" s="441" t="s">
        <v>694</v>
      </c>
      <c r="K717" s="441"/>
      <c r="L717" s="441"/>
      <c r="M717" s="441"/>
      <c r="N717" s="441"/>
      <c r="O717" s="153" t="str">
        <f>IF(L717&lt;&gt;"",IFERROR(VLOOKUP(B717&amp;L717,Pools!$A$2:$D$130,3,FALSE),""),"")</f>
        <v/>
      </c>
      <c r="P717" s="388"/>
      <c r="Q717" s="388"/>
      <c r="R717" s="306" t="str">
        <f t="shared" si="495"/>
        <v>-</v>
      </c>
      <c r="S717" s="153"/>
      <c r="T717" s="148" t="str">
        <f t="shared" si="496"/>
        <v>Pending</v>
      </c>
      <c r="U717" s="153"/>
      <c r="V717" s="153"/>
      <c r="W717" s="387">
        <f t="shared" si="497"/>
        <v>0</v>
      </c>
      <c r="X717" s="387">
        <f t="shared" si="498"/>
        <v>0</v>
      </c>
      <c r="Y717" s="301" t="str">
        <f t="shared" si="499"/>
        <v>X</v>
      </c>
      <c r="Z717" s="301" t="str">
        <f t="shared" si="500"/>
        <v>X</v>
      </c>
      <c r="AA717" s="323" t="str">
        <f>CONCATENATE("                x[team1,team2,sport,'",IF(OR(I717="x",I717=""),VLOOKUP('Schedule from TM'!J718,Tables!$P$3:$Q$33,2,FALSE),'Schedule from TM'!I718),",",J717,"','",IF(OR(F717="x",F717=""),VLOOKUP('Schedule from TM'!G718,Tables!$U$3:$V$14,2,FALSE),'Schedule from TM'!F718),",",TEXT(G717,"mm/dd/yyyy"),"','",TEXT(H717,"h:mm:ss AM/PM"),"'].ub=0.0      #",B717)</f>
        <v xml:space="preserve">                x[team1,team2,sport,'11,JCC Back Field 4','22,11/21/2017','4:20:00 PM'].ub=0.0      #Ch C Male Dodgeball</v>
      </c>
      <c r="AB717" s="301" t="str">
        <f t="shared" si="501"/>
        <v>,,Ch C Male Dodgeball,,1,</v>
      </c>
      <c r="AC717" s="153" t="str">
        <f t="shared" si="502"/>
        <v>Ch C Male Dodgeball</v>
      </c>
      <c r="AD717" s="301" t="str">
        <f t="shared" si="503"/>
        <v>,,Ch C Male Dodgeball,,1,</v>
      </c>
      <c r="AE717" s="153" t="str">
        <f t="shared" si="504"/>
        <v>Ch C Male Dodgeball</v>
      </c>
      <c r="AF717" s="383">
        <f t="shared" si="505"/>
        <v>0</v>
      </c>
      <c r="AG717" s="383">
        <f t="shared" si="506"/>
        <v>0</v>
      </c>
      <c r="AH717" s="383">
        <f t="shared" si="507"/>
        <v>0</v>
      </c>
      <c r="AI717" s="383">
        <f t="shared" si="508"/>
        <v>0</v>
      </c>
      <c r="AJ717" s="383">
        <f t="shared" si="509"/>
        <v>0</v>
      </c>
      <c r="AK717" s="383">
        <f t="shared" si="510"/>
        <v>0</v>
      </c>
      <c r="AM717" s="148" t="str">
        <f t="shared" si="511"/>
        <v>Schedulled</v>
      </c>
      <c r="AN717" s="148" t="str">
        <f t="shared" si="512"/>
        <v>Schedulled no team</v>
      </c>
      <c r="AO717" s="156">
        <f t="shared" si="513"/>
        <v>43060.680555555555</v>
      </c>
      <c r="AP717" s="148" t="str">
        <f t="shared" si="514"/>
        <v>11/21/2017 16:20-&gt;JCC Back Field 4</v>
      </c>
      <c r="AQ717" s="374">
        <f t="shared" si="515"/>
        <v>1</v>
      </c>
      <c r="AR717" s="148" t="str">
        <f t="shared" si="516"/>
        <v/>
      </c>
      <c r="AS717" s="148" t="str">
        <f t="shared" si="517"/>
        <v/>
      </c>
      <c r="AT717" s="157" t="str">
        <f t="shared" si="518"/>
        <v/>
      </c>
      <c r="AU717" s="157" t="str">
        <f t="shared" si="519"/>
        <v>Dodgeball Tournament</v>
      </c>
      <c r="AV717" s="157" t="str">
        <f t="shared" si="520"/>
        <v>CHILDREN C MALE</v>
      </c>
      <c r="AW717" s="157" t="str">
        <f t="shared" si="521"/>
        <v>Dodgeball</v>
      </c>
      <c r="AX717" s="376">
        <f t="shared" si="522"/>
        <v>715</v>
      </c>
      <c r="AY717" s="148" t="str">
        <f t="shared" si="523"/>
        <v>-&gt;</v>
      </c>
      <c r="AZ717" s="148" t="str">
        <f t="shared" si="524"/>
        <v>11/21/2017 16:20-&gt;</v>
      </c>
      <c r="BA717" s="148" t="str">
        <f t="shared" si="525"/>
        <v>11/21/2017 16:20-&gt;</v>
      </c>
      <c r="BB717" s="374">
        <f t="shared" si="526"/>
        <v>0</v>
      </c>
      <c r="BC717" s="374">
        <f t="shared" si="527"/>
        <v>0</v>
      </c>
      <c r="BD717" s="148" t="str">
        <f t="shared" si="528"/>
        <v>no conflict</v>
      </c>
      <c r="BF717" s="148" t="str">
        <f t="shared" si="529"/>
        <v>11/21/2017 16:20-&gt;</v>
      </c>
      <c r="BG717" s="148" t="str">
        <f t="shared" si="530"/>
        <v>11/21/2017 16:20-&gt;</v>
      </c>
      <c r="BH717" s="148" t="str">
        <f t="shared" si="531"/>
        <v>11/21/2017 16:20-&gt;JCC Back Field 4</v>
      </c>
      <c r="BI717" s="148" t="str">
        <f t="shared" si="532"/>
        <v>Dodgeball in JCC Back Field 4 ()</v>
      </c>
      <c r="BJ717" s="148" t="str">
        <f t="shared" si="533"/>
        <v xml:space="preserve">Ch C Male Dodgeball--  vs. </v>
      </c>
      <c r="BK717" s="148" t="str">
        <f t="shared" si="534"/>
        <v>Dodgeball</v>
      </c>
      <c r="BL717" s="148">
        <f t="shared" si="535"/>
        <v>0</v>
      </c>
      <c r="BM717" s="148">
        <f t="shared" si="536"/>
        <v>0</v>
      </c>
      <c r="BN717" s="148" t="str">
        <f t="shared" si="537"/>
        <v>Tournament</v>
      </c>
      <c r="BP717" s="148" t="str">
        <f t="shared" si="538"/>
        <v>11/21/2017 16:20-&gt;CHILDREN C MALE</v>
      </c>
      <c r="BQ717" s="148" t="str">
        <f t="shared" si="539"/>
        <v>Dodgeball Tournament in JCC Back Field 4</v>
      </c>
    </row>
    <row r="718" spans="1:69" ht="15" customHeight="1" x14ac:dyDescent="0.2">
      <c r="A718" s="376">
        <v>716</v>
      </c>
      <c r="B718" s="441" t="s">
        <v>45</v>
      </c>
      <c r="C718" s="441" t="s">
        <v>711</v>
      </c>
      <c r="D718" s="450">
        <v>1</v>
      </c>
      <c r="E718" s="450">
        <v>1</v>
      </c>
      <c r="F718" s="315" t="s">
        <v>770</v>
      </c>
      <c r="G718" s="320">
        <v>43060</v>
      </c>
      <c r="H718" s="317">
        <v>0.68055555555555547</v>
      </c>
      <c r="I718" s="325" t="s">
        <v>770</v>
      </c>
      <c r="J718" s="441" t="s">
        <v>688</v>
      </c>
      <c r="K718" s="444"/>
      <c r="L718" s="433"/>
      <c r="M718"/>
      <c r="N718" s="433"/>
      <c r="O718" s="153" t="str">
        <f>IF(L718&lt;&gt;"",IFERROR(VLOOKUP(B718&amp;L718,Pools!$A$2:$D$130,3,FALSE),""),"")</f>
        <v/>
      </c>
      <c r="P718" s="388"/>
      <c r="Q718" s="388"/>
      <c r="R718" s="306" t="str">
        <f t="shared" si="495"/>
        <v>-</v>
      </c>
      <c r="S718" s="153"/>
      <c r="T718" s="148" t="str">
        <f t="shared" si="496"/>
        <v>Pending</v>
      </c>
      <c r="U718" s="153"/>
      <c r="V718" s="153"/>
      <c r="W718" s="387">
        <f t="shared" si="497"/>
        <v>0</v>
      </c>
      <c r="X718" s="387">
        <f t="shared" si="498"/>
        <v>0</v>
      </c>
      <c r="Y718" s="301" t="str">
        <f t="shared" si="499"/>
        <v>X</v>
      </c>
      <c r="Z718" s="301" t="str">
        <f t="shared" si="500"/>
        <v>X</v>
      </c>
      <c r="AA718" s="323" t="str">
        <f>CONCATENATE("                x[team1,team2,sport,'",IF(OR(I718="x",I718=""),VLOOKUP('Schedule from TM'!J719,Tables!$P$3:$Q$33,2,FALSE),'Schedule from TM'!I719),",",J718,"','",IF(OR(F718="x",F718=""),VLOOKUP('Schedule from TM'!G719,Tables!$U$3:$V$14,2,FALSE),'Schedule from TM'!F719),",",TEXT(G718,"mm/dd/yyyy"),"','",TEXT(H718,"h:mm:ss AM/PM"),"'].ub=0.0      #",B718)</f>
        <v xml:space="preserve">                x[team1,team2,sport,'11,JCC Basketball Out 1','22,11/21/2017','4:20:00 PM'].ub=0.0      #Ch C Male Dodgeball</v>
      </c>
      <c r="AB718" s="301" t="str">
        <f t="shared" si="501"/>
        <v>,,Ch C Male Dodgeball,,1,</v>
      </c>
      <c r="AC718" s="153" t="str">
        <f t="shared" si="502"/>
        <v>Ch C Male Dodgeball</v>
      </c>
      <c r="AD718" s="301" t="str">
        <f t="shared" si="503"/>
        <v>,,Ch C Male Dodgeball,,1,</v>
      </c>
      <c r="AE718" s="153" t="str">
        <f t="shared" si="504"/>
        <v>Ch C Male Dodgeball</v>
      </c>
      <c r="AF718" s="383">
        <f t="shared" si="505"/>
        <v>0</v>
      </c>
      <c r="AG718" s="383">
        <f t="shared" si="506"/>
        <v>0</v>
      </c>
      <c r="AH718" s="383">
        <f t="shared" si="507"/>
        <v>0</v>
      </c>
      <c r="AI718" s="383">
        <f t="shared" si="508"/>
        <v>0</v>
      </c>
      <c r="AJ718" s="383">
        <f t="shared" si="509"/>
        <v>0</v>
      </c>
      <c r="AK718" s="383">
        <f t="shared" si="510"/>
        <v>0</v>
      </c>
      <c r="AM718" s="148" t="str">
        <f t="shared" si="511"/>
        <v>Schedulled</v>
      </c>
      <c r="AN718" s="148" t="str">
        <f t="shared" si="512"/>
        <v>Schedulled no team</v>
      </c>
      <c r="AO718" s="156">
        <f t="shared" si="513"/>
        <v>43060.680555555555</v>
      </c>
      <c r="AP718" s="148" t="str">
        <f t="shared" si="514"/>
        <v>11/21/2017 16:20-&gt;JCC Basketball Out 1</v>
      </c>
      <c r="AQ718" s="374">
        <f t="shared" si="515"/>
        <v>1</v>
      </c>
      <c r="AR718" s="148" t="str">
        <f t="shared" si="516"/>
        <v/>
      </c>
      <c r="AS718" s="148" t="str">
        <f t="shared" si="517"/>
        <v/>
      </c>
      <c r="AT718" s="157" t="str">
        <f t="shared" si="518"/>
        <v/>
      </c>
      <c r="AU718" s="157" t="str">
        <f t="shared" si="519"/>
        <v>Dodgeball Tournament</v>
      </c>
      <c r="AV718" s="157" t="str">
        <f t="shared" si="520"/>
        <v>CHILDREN C MALE</v>
      </c>
      <c r="AW718" s="157" t="str">
        <f t="shared" si="521"/>
        <v>Dodgeball</v>
      </c>
      <c r="AX718" s="376">
        <f t="shared" si="522"/>
        <v>716</v>
      </c>
      <c r="AY718" s="148" t="str">
        <f t="shared" si="523"/>
        <v>-&gt;</v>
      </c>
      <c r="AZ718" s="148" t="str">
        <f t="shared" si="524"/>
        <v>11/21/2017 16:20-&gt;</v>
      </c>
      <c r="BA718" s="148" t="str">
        <f t="shared" si="525"/>
        <v>11/21/2017 16:20-&gt;</v>
      </c>
      <c r="BB718" s="374">
        <f t="shared" si="526"/>
        <v>0</v>
      </c>
      <c r="BC718" s="374">
        <f t="shared" si="527"/>
        <v>0</v>
      </c>
      <c r="BD718" s="148" t="str">
        <f t="shared" si="528"/>
        <v>no conflict</v>
      </c>
      <c r="BF718" s="148" t="str">
        <f t="shared" si="529"/>
        <v>11/21/2017 16:20-&gt;</v>
      </c>
      <c r="BG718" s="148" t="str">
        <f t="shared" si="530"/>
        <v>11/21/2017 16:20-&gt;</v>
      </c>
      <c r="BH718" s="148" t="str">
        <f t="shared" si="531"/>
        <v>11/21/2017 16:20-&gt;JCC Basketball Out 1</v>
      </c>
      <c r="BI718" s="148" t="str">
        <f t="shared" si="532"/>
        <v>Dodgeball in JCC Basketball Out 1 ()</v>
      </c>
      <c r="BJ718" s="148" t="str">
        <f t="shared" si="533"/>
        <v xml:space="preserve">Ch C Male Dodgeball--  vs. </v>
      </c>
      <c r="BK718" s="148" t="str">
        <f t="shared" si="534"/>
        <v>Dodgeball</v>
      </c>
      <c r="BL718" s="148">
        <f t="shared" si="535"/>
        <v>0</v>
      </c>
      <c r="BM718" s="148">
        <f t="shared" si="536"/>
        <v>0</v>
      </c>
      <c r="BN718" s="148" t="str">
        <f t="shared" si="537"/>
        <v>Tournament</v>
      </c>
      <c r="BP718" s="148" t="str">
        <f t="shared" si="538"/>
        <v>11/21/2017 16:20-&gt;CHILDREN C MALE</v>
      </c>
      <c r="BQ718" s="148" t="str">
        <f t="shared" si="539"/>
        <v>Dodgeball Tournament in JCC Basketball Out 1</v>
      </c>
    </row>
    <row r="719" spans="1:69" ht="15" customHeight="1" x14ac:dyDescent="0.2">
      <c r="A719" s="376">
        <v>717</v>
      </c>
      <c r="B719" s="441" t="s">
        <v>45</v>
      </c>
      <c r="C719" s="441" t="s">
        <v>711</v>
      </c>
      <c r="D719" s="450">
        <v>1</v>
      </c>
      <c r="E719" s="450">
        <v>1</v>
      </c>
      <c r="F719" s="315" t="s">
        <v>770</v>
      </c>
      <c r="G719" s="320">
        <v>43060</v>
      </c>
      <c r="H719" s="317">
        <v>0.68055555555555547</v>
      </c>
      <c r="I719" s="325" t="s">
        <v>770</v>
      </c>
      <c r="J719" s="441" t="s">
        <v>709</v>
      </c>
      <c r="K719" s="441"/>
      <c r="L719" s="433"/>
      <c r="M719"/>
      <c r="N719" s="433"/>
      <c r="O719" s="153" t="str">
        <f>IF(L719&lt;&gt;"",IFERROR(VLOOKUP(B719&amp;L719,Pools!$A$2:$D$130,3,FALSE),""),"")</f>
        <v/>
      </c>
      <c r="P719" s="388"/>
      <c r="Q719" s="388"/>
      <c r="R719" s="306" t="str">
        <f t="shared" si="495"/>
        <v>-</v>
      </c>
      <c r="S719" s="153"/>
      <c r="T719" s="148" t="str">
        <f t="shared" si="496"/>
        <v>Pending</v>
      </c>
      <c r="U719" s="153"/>
      <c r="V719" s="153"/>
      <c r="W719" s="387">
        <f t="shared" si="497"/>
        <v>0</v>
      </c>
      <c r="X719" s="387">
        <f t="shared" si="498"/>
        <v>0</v>
      </c>
      <c r="Y719" s="301" t="str">
        <f t="shared" si="499"/>
        <v>X</v>
      </c>
      <c r="Z719" s="301" t="str">
        <f t="shared" si="500"/>
        <v>X</v>
      </c>
      <c r="AA719" s="323" t="str">
        <f>CONCATENATE("                x[team1,team2,sport,'",IF(OR(I719="x",I719=""),VLOOKUP('Schedule from TM'!J720,Tables!$P$3:$Q$33,2,FALSE),'Schedule from TM'!I720),",",J719,"','",IF(OR(F719="x",F719=""),VLOOKUP('Schedule from TM'!G720,Tables!$U$3:$V$14,2,FALSE),'Schedule from TM'!F720),",",TEXT(G719,"mm/dd/yyyy"),"','",TEXT(H719,"h:mm:ss AM/PM"),"'].ub=0.0      #",B719)</f>
        <v xml:space="preserve">                x[team1,team2,sport,'11,JCC Basketball Out 2','22,11/21/2017','4:20:00 PM'].ub=0.0      #Ch C Male Dodgeball</v>
      </c>
      <c r="AB719" s="301" t="str">
        <f t="shared" si="501"/>
        <v>,,Ch C Male Dodgeball,,1,</v>
      </c>
      <c r="AC719" s="153" t="str">
        <f t="shared" si="502"/>
        <v>Ch C Male Dodgeball</v>
      </c>
      <c r="AD719" s="301" t="str">
        <f t="shared" si="503"/>
        <v>,,Ch C Male Dodgeball,,1,</v>
      </c>
      <c r="AE719" s="153" t="str">
        <f t="shared" si="504"/>
        <v>Ch C Male Dodgeball</v>
      </c>
      <c r="AF719" s="383">
        <f t="shared" si="505"/>
        <v>0</v>
      </c>
      <c r="AG719" s="383">
        <f t="shared" si="506"/>
        <v>0</v>
      </c>
      <c r="AH719" s="383">
        <f t="shared" si="507"/>
        <v>0</v>
      </c>
      <c r="AI719" s="383">
        <f t="shared" si="508"/>
        <v>0</v>
      </c>
      <c r="AJ719" s="383">
        <f t="shared" si="509"/>
        <v>0</v>
      </c>
      <c r="AK719" s="383">
        <f t="shared" si="510"/>
        <v>0</v>
      </c>
      <c r="AM719" s="148" t="str">
        <f t="shared" si="511"/>
        <v>Schedulled</v>
      </c>
      <c r="AN719" s="148" t="str">
        <f t="shared" si="512"/>
        <v>Schedulled no team</v>
      </c>
      <c r="AO719" s="156">
        <f t="shared" si="513"/>
        <v>43060.680555555555</v>
      </c>
      <c r="AP719" s="148" t="str">
        <f t="shared" si="514"/>
        <v>11/21/2017 16:20-&gt;JCC Basketball Out 2</v>
      </c>
      <c r="AQ719" s="374">
        <f t="shared" si="515"/>
        <v>1</v>
      </c>
      <c r="AR719" s="148" t="str">
        <f t="shared" si="516"/>
        <v/>
      </c>
      <c r="AS719" s="148" t="str">
        <f t="shared" si="517"/>
        <v/>
      </c>
      <c r="AT719" s="157" t="str">
        <f t="shared" si="518"/>
        <v/>
      </c>
      <c r="AU719" s="157" t="str">
        <f t="shared" si="519"/>
        <v>Dodgeball Tournament</v>
      </c>
      <c r="AV719" s="157" t="str">
        <f t="shared" si="520"/>
        <v>CHILDREN C MALE</v>
      </c>
      <c r="AW719" s="157" t="str">
        <f t="shared" si="521"/>
        <v>Dodgeball</v>
      </c>
      <c r="AX719" s="376">
        <f t="shared" si="522"/>
        <v>717</v>
      </c>
      <c r="AY719" s="148" t="str">
        <f t="shared" si="523"/>
        <v>-&gt;</v>
      </c>
      <c r="AZ719" s="148" t="str">
        <f t="shared" si="524"/>
        <v>11/21/2017 16:20-&gt;</v>
      </c>
      <c r="BA719" s="148" t="str">
        <f t="shared" si="525"/>
        <v>11/21/2017 16:20-&gt;</v>
      </c>
      <c r="BB719" s="374">
        <f t="shared" si="526"/>
        <v>0</v>
      </c>
      <c r="BC719" s="374">
        <f t="shared" si="527"/>
        <v>0</v>
      </c>
      <c r="BD719" s="148" t="str">
        <f t="shared" si="528"/>
        <v>no conflict</v>
      </c>
      <c r="BF719" s="148" t="str">
        <f t="shared" si="529"/>
        <v>11/21/2017 16:20-&gt;</v>
      </c>
      <c r="BG719" s="148" t="str">
        <f t="shared" si="530"/>
        <v>11/21/2017 16:20-&gt;</v>
      </c>
      <c r="BH719" s="148" t="str">
        <f t="shared" si="531"/>
        <v>11/21/2017 16:20-&gt;JCC Basketball Out 2</v>
      </c>
      <c r="BI719" s="148" t="str">
        <f t="shared" si="532"/>
        <v>Dodgeball in JCC Basketball Out 2 ()</v>
      </c>
      <c r="BJ719" s="148" t="str">
        <f t="shared" si="533"/>
        <v xml:space="preserve">Ch C Male Dodgeball--  vs. </v>
      </c>
      <c r="BK719" s="148" t="str">
        <f t="shared" si="534"/>
        <v>Dodgeball</v>
      </c>
      <c r="BL719" s="148">
        <f t="shared" si="535"/>
        <v>0</v>
      </c>
      <c r="BM719" s="148">
        <f t="shared" si="536"/>
        <v>0</v>
      </c>
      <c r="BN719" s="148" t="str">
        <f t="shared" si="537"/>
        <v>Tournament</v>
      </c>
      <c r="BP719" s="148" t="str">
        <f t="shared" si="538"/>
        <v>11/21/2017 16:20-&gt;CHILDREN C MALE</v>
      </c>
      <c r="BQ719" s="148" t="str">
        <f t="shared" si="539"/>
        <v>Dodgeball Tournament in JCC Basketball Out 2</v>
      </c>
    </row>
    <row r="720" spans="1:69" ht="15" customHeight="1" x14ac:dyDescent="0.2">
      <c r="A720" s="376">
        <v>718</v>
      </c>
      <c r="B720" s="441" t="s">
        <v>45</v>
      </c>
      <c r="C720" s="441" t="s">
        <v>711</v>
      </c>
      <c r="D720" s="450">
        <v>1</v>
      </c>
      <c r="E720" s="450">
        <v>1</v>
      </c>
      <c r="F720" s="315" t="s">
        <v>770</v>
      </c>
      <c r="G720" s="320">
        <v>43060</v>
      </c>
      <c r="H720" s="318">
        <v>0.71527777777777779</v>
      </c>
      <c r="I720" s="325" t="s">
        <v>770</v>
      </c>
      <c r="J720" s="441" t="s">
        <v>692</v>
      </c>
      <c r="K720" s="441"/>
      <c r="L720" s="433"/>
      <c r="M720" s="433"/>
      <c r="N720" s="433"/>
      <c r="O720" s="153" t="str">
        <f>IF(L720&lt;&gt;"",IFERROR(VLOOKUP(B720&amp;L720,Pools!$A$2:$D$130,3,FALSE),""),"")</f>
        <v/>
      </c>
      <c r="P720" s="388"/>
      <c r="Q720" s="388"/>
      <c r="R720" s="306" t="str">
        <f t="shared" si="495"/>
        <v>-</v>
      </c>
      <c r="S720" s="153"/>
      <c r="T720" s="148" t="str">
        <f t="shared" si="496"/>
        <v>Pending</v>
      </c>
      <c r="U720" s="153"/>
      <c r="V720" s="153"/>
      <c r="W720" s="387">
        <f t="shared" si="497"/>
        <v>0</v>
      </c>
      <c r="X720" s="387">
        <f t="shared" si="498"/>
        <v>0</v>
      </c>
      <c r="Y720" s="301" t="str">
        <f t="shared" si="499"/>
        <v>X</v>
      </c>
      <c r="Z720" s="301" t="str">
        <f t="shared" si="500"/>
        <v>X</v>
      </c>
      <c r="AA720" s="323" t="str">
        <f>CONCATENATE("                x[team1,team2,sport,'",IF(OR(I720="x",I720=""),VLOOKUP('Schedule from TM'!J721,Tables!$P$3:$Q$33,2,FALSE),'Schedule from TM'!I721),",",J720,"','",IF(OR(F720="x",F720=""),VLOOKUP('Schedule from TM'!G721,Tables!$U$3:$V$14,2,FALSE),'Schedule from TM'!F721),",",TEXT(G720,"mm/dd/yyyy"),"','",TEXT(H720,"h:mm:ss AM/PM"),"'].ub=0.0      #",B720)</f>
        <v xml:space="preserve">                x[team1,team2,sport,'11,JCC Back Field 3','22,11/21/2017','5:10:00 PM'].ub=0.0      #Ch C Male Dodgeball</v>
      </c>
      <c r="AB720" s="301" t="str">
        <f t="shared" si="501"/>
        <v>,,Ch C Male Dodgeball,,1,</v>
      </c>
      <c r="AC720" s="153" t="str">
        <f t="shared" si="502"/>
        <v>Ch C Male Dodgeball</v>
      </c>
      <c r="AD720" s="301" t="str">
        <f t="shared" si="503"/>
        <v>,,Ch C Male Dodgeball,,1,</v>
      </c>
      <c r="AE720" s="153" t="str">
        <f t="shared" si="504"/>
        <v>Ch C Male Dodgeball</v>
      </c>
      <c r="AF720" s="383">
        <f t="shared" si="505"/>
        <v>0</v>
      </c>
      <c r="AG720" s="383">
        <f t="shared" si="506"/>
        <v>0</v>
      </c>
      <c r="AH720" s="383">
        <f t="shared" si="507"/>
        <v>0</v>
      </c>
      <c r="AI720" s="383">
        <f t="shared" si="508"/>
        <v>0</v>
      </c>
      <c r="AJ720" s="383">
        <f t="shared" si="509"/>
        <v>0</v>
      </c>
      <c r="AK720" s="383">
        <f t="shared" si="510"/>
        <v>0</v>
      </c>
      <c r="AM720" s="148" t="str">
        <f t="shared" si="511"/>
        <v>Schedulled</v>
      </c>
      <c r="AN720" s="148" t="str">
        <f t="shared" si="512"/>
        <v>Schedulled no team</v>
      </c>
      <c r="AO720" s="156">
        <f t="shared" si="513"/>
        <v>43060.715277777781</v>
      </c>
      <c r="AP720" s="148" t="str">
        <f t="shared" si="514"/>
        <v>11/21/2017 17:10-&gt;JCC Back Field 3</v>
      </c>
      <c r="AQ720" s="374">
        <f t="shared" si="515"/>
        <v>1</v>
      </c>
      <c r="AR720" s="148" t="str">
        <f t="shared" si="516"/>
        <v/>
      </c>
      <c r="AS720" s="148" t="str">
        <f t="shared" si="517"/>
        <v/>
      </c>
      <c r="AT720" s="157" t="str">
        <f t="shared" si="518"/>
        <v/>
      </c>
      <c r="AU720" s="157" t="str">
        <f t="shared" si="519"/>
        <v>Dodgeball Tournament</v>
      </c>
      <c r="AV720" s="157" t="str">
        <f t="shared" si="520"/>
        <v>CHILDREN C MALE</v>
      </c>
      <c r="AW720" s="157" t="str">
        <f t="shared" si="521"/>
        <v>Dodgeball</v>
      </c>
      <c r="AX720" s="376">
        <f t="shared" si="522"/>
        <v>718</v>
      </c>
      <c r="AY720" s="148" t="str">
        <f t="shared" si="523"/>
        <v>-&gt;</v>
      </c>
      <c r="AZ720" s="148" t="str">
        <f t="shared" si="524"/>
        <v>11/21/2017 17:10-&gt;</v>
      </c>
      <c r="BA720" s="148" t="str">
        <f t="shared" si="525"/>
        <v>11/21/2017 17:10-&gt;</v>
      </c>
      <c r="BB720" s="374">
        <f t="shared" si="526"/>
        <v>0</v>
      </c>
      <c r="BC720" s="374">
        <f t="shared" si="527"/>
        <v>0</v>
      </c>
      <c r="BD720" s="148" t="str">
        <f t="shared" si="528"/>
        <v>no conflict</v>
      </c>
      <c r="BF720" s="148" t="str">
        <f t="shared" si="529"/>
        <v>11/21/2017 17:10-&gt;</v>
      </c>
      <c r="BG720" s="148" t="str">
        <f t="shared" si="530"/>
        <v>11/21/2017 17:10-&gt;</v>
      </c>
      <c r="BH720" s="148" t="str">
        <f t="shared" si="531"/>
        <v>11/21/2017 17:10-&gt;JCC Back Field 3</v>
      </c>
      <c r="BI720" s="148" t="str">
        <f t="shared" si="532"/>
        <v>Dodgeball in JCC Back Field 3 ()</v>
      </c>
      <c r="BJ720" s="148" t="str">
        <f t="shared" si="533"/>
        <v xml:space="preserve">Ch C Male Dodgeball--  vs. </v>
      </c>
      <c r="BK720" s="148" t="str">
        <f t="shared" si="534"/>
        <v>Dodgeball</v>
      </c>
      <c r="BL720" s="148">
        <f t="shared" si="535"/>
        <v>0</v>
      </c>
      <c r="BM720" s="148">
        <f t="shared" si="536"/>
        <v>0</v>
      </c>
      <c r="BN720" s="148" t="str">
        <f t="shared" si="537"/>
        <v>Tournament</v>
      </c>
      <c r="BP720" s="148" t="str">
        <f t="shared" si="538"/>
        <v>11/21/2017 17:10-&gt;CHILDREN C MALE</v>
      </c>
      <c r="BQ720" s="148" t="str">
        <f t="shared" si="539"/>
        <v>Dodgeball Tournament in JCC Back Field 3</v>
      </c>
    </row>
    <row r="721" spans="1:69" ht="15" customHeight="1" x14ac:dyDescent="0.2">
      <c r="A721" s="376">
        <v>719</v>
      </c>
      <c r="B721" s="441" t="s">
        <v>45</v>
      </c>
      <c r="C721" s="441" t="s">
        <v>711</v>
      </c>
      <c r="D721" s="450">
        <v>1</v>
      </c>
      <c r="E721" s="450">
        <v>1</v>
      </c>
      <c r="F721" s="315" t="s">
        <v>770</v>
      </c>
      <c r="G721" s="320">
        <v>43060</v>
      </c>
      <c r="H721" s="318">
        <v>0.71527777777777779</v>
      </c>
      <c r="I721" s="325" t="s">
        <v>770</v>
      </c>
      <c r="J721" s="441" t="s">
        <v>694</v>
      </c>
      <c r="K721" s="444"/>
      <c r="L721"/>
      <c r="M721"/>
      <c r="N721"/>
      <c r="O721" s="153" t="str">
        <f>IF(L721&lt;&gt;"",IFERROR(VLOOKUP(B721&amp;L721,Pools!$A$2:$D$130,3,FALSE),""),"")</f>
        <v/>
      </c>
      <c r="P721" s="388"/>
      <c r="Q721" s="388"/>
      <c r="R721" s="306" t="str">
        <f t="shared" si="495"/>
        <v>-</v>
      </c>
      <c r="S721" s="153"/>
      <c r="T721" s="148" t="str">
        <f t="shared" si="496"/>
        <v>Pending</v>
      </c>
      <c r="U721" s="153"/>
      <c r="V721" s="153"/>
      <c r="W721" s="387">
        <f t="shared" si="497"/>
        <v>0</v>
      </c>
      <c r="X721" s="387">
        <f t="shared" si="498"/>
        <v>0</v>
      </c>
      <c r="Y721" s="301" t="str">
        <f t="shared" si="499"/>
        <v>X</v>
      </c>
      <c r="Z721" s="301" t="str">
        <f t="shared" si="500"/>
        <v>X</v>
      </c>
      <c r="AA721" s="323" t="str">
        <f>CONCATENATE("                x[team1,team2,sport,'",IF(OR(I721="x",I721=""),VLOOKUP('Schedule from TM'!J722,Tables!$P$3:$Q$33,2,FALSE),'Schedule from TM'!I722),",",J721,"','",IF(OR(F721="x",F721=""),VLOOKUP('Schedule from TM'!G722,Tables!$U$3:$V$14,2,FALSE),'Schedule from TM'!F722),",",TEXT(G721,"mm/dd/yyyy"),"','",TEXT(H721,"h:mm:ss AM/PM"),"'].ub=0.0      #",B721)</f>
        <v xml:space="preserve">                x[team1,team2,sport,'11,JCC Back Field 4','22,11/21/2017','5:10:00 PM'].ub=0.0      #Ch C Male Dodgeball</v>
      </c>
      <c r="AB721" s="301" t="str">
        <f t="shared" si="501"/>
        <v>,,Ch C Male Dodgeball,,1,</v>
      </c>
      <c r="AC721" s="153" t="str">
        <f t="shared" si="502"/>
        <v>Ch C Male Dodgeball</v>
      </c>
      <c r="AD721" s="301" t="str">
        <f t="shared" si="503"/>
        <v>,,Ch C Male Dodgeball,,1,</v>
      </c>
      <c r="AE721" s="153" t="str">
        <f t="shared" si="504"/>
        <v>Ch C Male Dodgeball</v>
      </c>
      <c r="AF721" s="383">
        <f t="shared" si="505"/>
        <v>0</v>
      </c>
      <c r="AG721" s="383">
        <f t="shared" si="506"/>
        <v>0</v>
      </c>
      <c r="AH721" s="383">
        <f t="shared" si="507"/>
        <v>0</v>
      </c>
      <c r="AI721" s="383">
        <f t="shared" si="508"/>
        <v>0</v>
      </c>
      <c r="AJ721" s="383">
        <f t="shared" si="509"/>
        <v>0</v>
      </c>
      <c r="AK721" s="383">
        <f t="shared" si="510"/>
        <v>0</v>
      </c>
      <c r="AM721" s="148" t="str">
        <f t="shared" si="511"/>
        <v>Schedulled</v>
      </c>
      <c r="AN721" s="148" t="str">
        <f t="shared" si="512"/>
        <v>Schedulled no team</v>
      </c>
      <c r="AO721" s="156">
        <f t="shared" si="513"/>
        <v>43060.715277777781</v>
      </c>
      <c r="AP721" s="148" t="str">
        <f t="shared" si="514"/>
        <v>11/21/2017 17:10-&gt;JCC Back Field 4</v>
      </c>
      <c r="AQ721" s="374">
        <f t="shared" si="515"/>
        <v>1</v>
      </c>
      <c r="AR721" s="148" t="str">
        <f t="shared" si="516"/>
        <v/>
      </c>
      <c r="AS721" s="148" t="str">
        <f t="shared" si="517"/>
        <v/>
      </c>
      <c r="AT721" s="157" t="str">
        <f t="shared" si="518"/>
        <v/>
      </c>
      <c r="AU721" s="157" t="str">
        <f t="shared" si="519"/>
        <v>Dodgeball Tournament</v>
      </c>
      <c r="AV721" s="157" t="str">
        <f t="shared" si="520"/>
        <v>CHILDREN C MALE</v>
      </c>
      <c r="AW721" s="157" t="str">
        <f t="shared" si="521"/>
        <v>Dodgeball</v>
      </c>
      <c r="AX721" s="376">
        <f t="shared" si="522"/>
        <v>719</v>
      </c>
      <c r="AY721" s="148" t="str">
        <f t="shared" si="523"/>
        <v>-&gt;</v>
      </c>
      <c r="AZ721" s="148" t="str">
        <f t="shared" si="524"/>
        <v>11/21/2017 17:10-&gt;</v>
      </c>
      <c r="BA721" s="148" t="str">
        <f t="shared" si="525"/>
        <v>11/21/2017 17:10-&gt;</v>
      </c>
      <c r="BB721" s="374">
        <f t="shared" si="526"/>
        <v>0</v>
      </c>
      <c r="BC721" s="374">
        <f t="shared" si="527"/>
        <v>0</v>
      </c>
      <c r="BD721" s="148" t="str">
        <f t="shared" si="528"/>
        <v>no conflict</v>
      </c>
      <c r="BF721" s="148" t="str">
        <f t="shared" si="529"/>
        <v>11/21/2017 17:10-&gt;</v>
      </c>
      <c r="BG721" s="148" t="str">
        <f t="shared" si="530"/>
        <v>11/21/2017 17:10-&gt;</v>
      </c>
      <c r="BH721" s="148" t="str">
        <f t="shared" si="531"/>
        <v>11/21/2017 17:10-&gt;JCC Back Field 4</v>
      </c>
      <c r="BI721" s="148" t="str">
        <f t="shared" si="532"/>
        <v>Dodgeball in JCC Back Field 4 ()</v>
      </c>
      <c r="BJ721" s="148" t="str">
        <f t="shared" si="533"/>
        <v xml:space="preserve">Ch C Male Dodgeball--  vs. </v>
      </c>
      <c r="BK721" s="148" t="str">
        <f t="shared" si="534"/>
        <v>Dodgeball</v>
      </c>
      <c r="BL721" s="148">
        <f t="shared" si="535"/>
        <v>0</v>
      </c>
      <c r="BM721" s="148">
        <f t="shared" si="536"/>
        <v>0</v>
      </c>
      <c r="BN721" s="148" t="str">
        <f t="shared" si="537"/>
        <v>Tournament</v>
      </c>
      <c r="BP721" s="148" t="str">
        <f t="shared" si="538"/>
        <v>11/21/2017 17:10-&gt;CHILDREN C MALE</v>
      </c>
      <c r="BQ721" s="148" t="str">
        <f t="shared" si="539"/>
        <v>Dodgeball Tournament in JCC Back Field 4</v>
      </c>
    </row>
    <row r="722" spans="1:69" ht="15" customHeight="1" x14ac:dyDescent="0.2">
      <c r="A722" s="376">
        <v>720</v>
      </c>
      <c r="B722" s="441" t="s">
        <v>45</v>
      </c>
      <c r="C722" s="441" t="s">
        <v>711</v>
      </c>
      <c r="D722" s="450">
        <v>1</v>
      </c>
      <c r="E722" s="450">
        <v>1</v>
      </c>
      <c r="F722" s="315" t="s">
        <v>770</v>
      </c>
      <c r="G722" s="320">
        <v>43060</v>
      </c>
      <c r="H722" s="318">
        <v>0.71527777777777779</v>
      </c>
      <c r="I722" s="325" t="s">
        <v>770</v>
      </c>
      <c r="J722" s="441" t="s">
        <v>688</v>
      </c>
      <c r="K722" s="444"/>
      <c r="L722"/>
      <c r="M722"/>
      <c r="N722"/>
      <c r="O722" s="153" t="str">
        <f>IF(L722&lt;&gt;"",IFERROR(VLOOKUP(B722&amp;L722,Pools!$A$2:$D$130,3,FALSE),""),"")</f>
        <v/>
      </c>
      <c r="P722" s="388"/>
      <c r="Q722" s="388"/>
      <c r="R722" s="306" t="str">
        <f t="shared" si="495"/>
        <v>-</v>
      </c>
      <c r="S722" s="153"/>
      <c r="T722" s="148" t="str">
        <f t="shared" si="496"/>
        <v>Pending</v>
      </c>
      <c r="U722" s="153"/>
      <c r="V722" s="153"/>
      <c r="W722" s="387">
        <f t="shared" si="497"/>
        <v>0</v>
      </c>
      <c r="X722" s="387">
        <f t="shared" si="498"/>
        <v>0</v>
      </c>
      <c r="Y722" s="301" t="str">
        <f t="shared" si="499"/>
        <v>X</v>
      </c>
      <c r="Z722" s="301" t="str">
        <f t="shared" si="500"/>
        <v>X</v>
      </c>
      <c r="AA722" s="323" t="str">
        <f>CONCATENATE("                x[team1,team2,sport,'",IF(OR(I722="x",I722=""),VLOOKUP('Schedule from TM'!J723,Tables!$P$3:$Q$33,2,FALSE),'Schedule from TM'!I723),",",J722,"','",IF(OR(F722="x",F722=""),VLOOKUP('Schedule from TM'!G723,Tables!$U$3:$V$14,2,FALSE),'Schedule from TM'!F723),",",TEXT(G722,"mm/dd/yyyy"),"','",TEXT(H722,"h:mm:ss AM/PM"),"'].ub=0.0      #",B722)</f>
        <v xml:space="preserve">                x[team1,team2,sport,'11,JCC Basketball Out 1','22,11/21/2017','5:10:00 PM'].ub=0.0      #Ch C Male Dodgeball</v>
      </c>
      <c r="AB722" s="301" t="str">
        <f t="shared" si="501"/>
        <v>,,Ch C Male Dodgeball,,1,</v>
      </c>
      <c r="AC722" s="153" t="str">
        <f t="shared" si="502"/>
        <v>Ch C Male Dodgeball</v>
      </c>
      <c r="AD722" s="301" t="str">
        <f t="shared" si="503"/>
        <v>,,Ch C Male Dodgeball,,1,</v>
      </c>
      <c r="AE722" s="153" t="str">
        <f t="shared" si="504"/>
        <v>Ch C Male Dodgeball</v>
      </c>
      <c r="AF722" s="383">
        <f t="shared" si="505"/>
        <v>0</v>
      </c>
      <c r="AG722" s="383">
        <f t="shared" si="506"/>
        <v>0</v>
      </c>
      <c r="AH722" s="383">
        <f t="shared" si="507"/>
        <v>0</v>
      </c>
      <c r="AI722" s="383">
        <f t="shared" si="508"/>
        <v>0</v>
      </c>
      <c r="AJ722" s="383">
        <f t="shared" si="509"/>
        <v>0</v>
      </c>
      <c r="AK722" s="383">
        <f t="shared" si="510"/>
        <v>0</v>
      </c>
      <c r="AM722" s="148" t="str">
        <f t="shared" si="511"/>
        <v>Schedulled</v>
      </c>
      <c r="AN722" s="148" t="str">
        <f t="shared" si="512"/>
        <v>Schedulled no team</v>
      </c>
      <c r="AO722" s="156">
        <f t="shared" si="513"/>
        <v>43060.715277777781</v>
      </c>
      <c r="AP722" s="148" t="str">
        <f t="shared" si="514"/>
        <v>11/21/2017 17:10-&gt;JCC Basketball Out 1</v>
      </c>
      <c r="AQ722" s="374">
        <f t="shared" si="515"/>
        <v>1</v>
      </c>
      <c r="AR722" s="148" t="str">
        <f t="shared" si="516"/>
        <v/>
      </c>
      <c r="AS722" s="148" t="str">
        <f t="shared" si="517"/>
        <v/>
      </c>
      <c r="AT722" s="157" t="str">
        <f t="shared" si="518"/>
        <v/>
      </c>
      <c r="AU722" s="157" t="str">
        <f t="shared" si="519"/>
        <v>Dodgeball Tournament</v>
      </c>
      <c r="AV722" s="157" t="str">
        <f t="shared" si="520"/>
        <v>CHILDREN C MALE</v>
      </c>
      <c r="AW722" s="157" t="str">
        <f t="shared" si="521"/>
        <v>Dodgeball</v>
      </c>
      <c r="AX722" s="376">
        <f t="shared" si="522"/>
        <v>720</v>
      </c>
      <c r="AY722" s="148" t="str">
        <f t="shared" si="523"/>
        <v>-&gt;</v>
      </c>
      <c r="AZ722" s="148" t="str">
        <f t="shared" si="524"/>
        <v>11/21/2017 17:10-&gt;</v>
      </c>
      <c r="BA722" s="148" t="str">
        <f t="shared" si="525"/>
        <v>11/21/2017 17:10-&gt;</v>
      </c>
      <c r="BB722" s="374">
        <f t="shared" si="526"/>
        <v>0</v>
      </c>
      <c r="BC722" s="374">
        <f t="shared" si="527"/>
        <v>0</v>
      </c>
      <c r="BD722" s="148" t="str">
        <f t="shared" si="528"/>
        <v>no conflict</v>
      </c>
      <c r="BF722" s="148" t="str">
        <f t="shared" si="529"/>
        <v>11/21/2017 17:10-&gt;</v>
      </c>
      <c r="BG722" s="148" t="str">
        <f t="shared" si="530"/>
        <v>11/21/2017 17:10-&gt;</v>
      </c>
      <c r="BH722" s="148" t="str">
        <f t="shared" si="531"/>
        <v>11/21/2017 17:10-&gt;JCC Basketball Out 1</v>
      </c>
      <c r="BI722" s="148" t="str">
        <f t="shared" si="532"/>
        <v>Dodgeball in JCC Basketball Out 1 ()</v>
      </c>
      <c r="BJ722" s="148" t="str">
        <f t="shared" si="533"/>
        <v xml:space="preserve">Ch C Male Dodgeball--  vs. </v>
      </c>
      <c r="BK722" s="148" t="str">
        <f t="shared" si="534"/>
        <v>Dodgeball</v>
      </c>
      <c r="BL722" s="148">
        <f t="shared" si="535"/>
        <v>0</v>
      </c>
      <c r="BM722" s="148">
        <f t="shared" si="536"/>
        <v>0</v>
      </c>
      <c r="BN722" s="148" t="str">
        <f t="shared" si="537"/>
        <v>Tournament</v>
      </c>
      <c r="BP722" s="148" t="str">
        <f t="shared" si="538"/>
        <v>11/21/2017 17:10-&gt;CHILDREN C MALE</v>
      </c>
      <c r="BQ722" s="148" t="str">
        <f t="shared" si="539"/>
        <v>Dodgeball Tournament in JCC Basketball Out 1</v>
      </c>
    </row>
    <row r="723" spans="1:69" ht="15" customHeight="1" x14ac:dyDescent="0.2">
      <c r="A723" s="376">
        <v>721</v>
      </c>
      <c r="B723" s="441" t="s">
        <v>45</v>
      </c>
      <c r="C723" s="441" t="s">
        <v>711</v>
      </c>
      <c r="D723" s="450">
        <v>1</v>
      </c>
      <c r="E723" s="450">
        <v>1</v>
      </c>
      <c r="F723" s="315" t="s">
        <v>770</v>
      </c>
      <c r="G723" s="320">
        <v>43060</v>
      </c>
      <c r="H723" s="318">
        <v>0.71527777777777779</v>
      </c>
      <c r="I723" s="325" t="s">
        <v>770</v>
      </c>
      <c r="J723" s="441" t="s">
        <v>709</v>
      </c>
      <c r="K723" s="315"/>
      <c r="L723"/>
      <c r="M723"/>
      <c r="N723"/>
      <c r="O723" s="153" t="str">
        <f>IF(L723&lt;&gt;"",IFERROR(VLOOKUP(B723&amp;L723,Pools!$A$2:$D$130,3,FALSE),""),"")</f>
        <v/>
      </c>
      <c r="P723" s="388"/>
      <c r="Q723" s="388"/>
      <c r="R723" s="306" t="str">
        <f t="shared" si="495"/>
        <v>-</v>
      </c>
      <c r="S723" s="153"/>
      <c r="T723" s="148" t="str">
        <f t="shared" si="496"/>
        <v>Pending</v>
      </c>
      <c r="U723" s="153"/>
      <c r="V723" s="153"/>
      <c r="W723" s="387">
        <f t="shared" si="497"/>
        <v>0</v>
      </c>
      <c r="X723" s="387">
        <f t="shared" si="498"/>
        <v>0</v>
      </c>
      <c r="Y723" s="301" t="str">
        <f t="shared" si="499"/>
        <v>X</v>
      </c>
      <c r="Z723" s="301" t="str">
        <f t="shared" si="500"/>
        <v>X</v>
      </c>
      <c r="AA723" s="323" t="str">
        <f>CONCATENATE("                x[team1,team2,sport,'",IF(OR(I723="x",I723=""),VLOOKUP('Schedule from TM'!J724,Tables!$P$3:$Q$33,2,FALSE),'Schedule from TM'!I724),",",J723,"','",IF(OR(F723="x",F723=""),VLOOKUP('Schedule from TM'!G724,Tables!$U$3:$V$14,2,FALSE),'Schedule from TM'!F724),",",TEXT(G723,"mm/dd/yyyy"),"','",TEXT(H723,"h:mm:ss AM/PM"),"'].ub=0.0      #",B723)</f>
        <v xml:space="preserve">                x[team1,team2,sport,'11,JCC Basketball Out 2','22,11/21/2017','5:10:00 PM'].ub=0.0      #Ch C Male Dodgeball</v>
      </c>
      <c r="AB723" s="301" t="str">
        <f t="shared" si="501"/>
        <v>,,Ch C Male Dodgeball,,1,</v>
      </c>
      <c r="AC723" s="153" t="str">
        <f t="shared" si="502"/>
        <v>Ch C Male Dodgeball</v>
      </c>
      <c r="AD723" s="301" t="str">
        <f t="shared" si="503"/>
        <v>,,Ch C Male Dodgeball,,1,</v>
      </c>
      <c r="AE723" s="153" t="str">
        <f t="shared" si="504"/>
        <v>Ch C Male Dodgeball</v>
      </c>
      <c r="AF723" s="383">
        <f t="shared" si="505"/>
        <v>0</v>
      </c>
      <c r="AG723" s="383">
        <f t="shared" si="506"/>
        <v>0</v>
      </c>
      <c r="AH723" s="383">
        <f t="shared" si="507"/>
        <v>0</v>
      </c>
      <c r="AI723" s="383">
        <f t="shared" si="508"/>
        <v>0</v>
      </c>
      <c r="AJ723" s="383">
        <f t="shared" si="509"/>
        <v>0</v>
      </c>
      <c r="AK723" s="383">
        <f t="shared" si="510"/>
        <v>0</v>
      </c>
      <c r="AM723" s="148" t="str">
        <f t="shared" si="511"/>
        <v>Schedulled</v>
      </c>
      <c r="AN723" s="148" t="str">
        <f t="shared" si="512"/>
        <v>Schedulled no team</v>
      </c>
      <c r="AO723" s="156">
        <f t="shared" si="513"/>
        <v>43060.715277777781</v>
      </c>
      <c r="AP723" s="148" t="str">
        <f t="shared" si="514"/>
        <v>11/21/2017 17:10-&gt;JCC Basketball Out 2</v>
      </c>
      <c r="AQ723" s="374">
        <f t="shared" si="515"/>
        <v>1</v>
      </c>
      <c r="AR723" s="148" t="str">
        <f t="shared" si="516"/>
        <v/>
      </c>
      <c r="AS723" s="148" t="str">
        <f t="shared" si="517"/>
        <v/>
      </c>
      <c r="AT723" s="157" t="str">
        <f t="shared" si="518"/>
        <v/>
      </c>
      <c r="AU723" s="157" t="str">
        <f t="shared" si="519"/>
        <v>Dodgeball Tournament</v>
      </c>
      <c r="AV723" s="157" t="str">
        <f t="shared" si="520"/>
        <v>CHILDREN C MALE</v>
      </c>
      <c r="AW723" s="157" t="str">
        <f t="shared" si="521"/>
        <v>Dodgeball</v>
      </c>
      <c r="AX723" s="376">
        <f t="shared" si="522"/>
        <v>721</v>
      </c>
      <c r="AY723" s="148" t="str">
        <f t="shared" si="523"/>
        <v>-&gt;</v>
      </c>
      <c r="AZ723" s="148" t="str">
        <f t="shared" si="524"/>
        <v>11/21/2017 17:10-&gt;</v>
      </c>
      <c r="BA723" s="148" t="str">
        <f t="shared" si="525"/>
        <v>11/21/2017 17:10-&gt;</v>
      </c>
      <c r="BB723" s="374">
        <f t="shared" si="526"/>
        <v>0</v>
      </c>
      <c r="BC723" s="374">
        <f t="shared" si="527"/>
        <v>0</v>
      </c>
      <c r="BD723" s="148" t="str">
        <f t="shared" si="528"/>
        <v>no conflict</v>
      </c>
      <c r="BF723" s="148" t="str">
        <f t="shared" si="529"/>
        <v>11/21/2017 17:10-&gt;</v>
      </c>
      <c r="BG723" s="148" t="str">
        <f t="shared" si="530"/>
        <v>11/21/2017 17:10-&gt;</v>
      </c>
      <c r="BH723" s="148" t="str">
        <f t="shared" si="531"/>
        <v>11/21/2017 17:10-&gt;JCC Basketball Out 2</v>
      </c>
      <c r="BI723" s="148" t="str">
        <f t="shared" si="532"/>
        <v>Dodgeball in JCC Basketball Out 2 ()</v>
      </c>
      <c r="BJ723" s="148" t="str">
        <f t="shared" si="533"/>
        <v xml:space="preserve">Ch C Male Dodgeball--  vs. </v>
      </c>
      <c r="BK723" s="148" t="str">
        <f t="shared" si="534"/>
        <v>Dodgeball</v>
      </c>
      <c r="BL723" s="148">
        <f t="shared" si="535"/>
        <v>0</v>
      </c>
      <c r="BM723" s="148">
        <f t="shared" si="536"/>
        <v>0</v>
      </c>
      <c r="BN723" s="148" t="str">
        <f t="shared" si="537"/>
        <v>Tournament</v>
      </c>
      <c r="BP723" s="148" t="str">
        <f t="shared" si="538"/>
        <v>11/21/2017 17:10-&gt;CHILDREN C MALE</v>
      </c>
      <c r="BQ723" s="148" t="str">
        <f t="shared" si="539"/>
        <v>Dodgeball Tournament in JCC Basketball Out 2</v>
      </c>
    </row>
    <row r="724" spans="1:69" ht="15" customHeight="1" x14ac:dyDescent="0.2">
      <c r="A724" s="376">
        <v>722</v>
      </c>
      <c r="B724" s="441" t="s">
        <v>51</v>
      </c>
      <c r="C724" s="441" t="s">
        <v>711</v>
      </c>
      <c r="D724" s="450">
        <v>1</v>
      </c>
      <c r="E724" s="450">
        <v>1</v>
      </c>
      <c r="F724" s="315" t="s">
        <v>770</v>
      </c>
      <c r="G724" s="320">
        <v>43061</v>
      </c>
      <c r="H724" s="317">
        <v>0.68055555555555547</v>
      </c>
      <c r="I724" s="325" t="s">
        <v>770</v>
      </c>
      <c r="J724" s="441" t="s">
        <v>693</v>
      </c>
      <c r="K724" s="315"/>
      <c r="L724"/>
      <c r="M724"/>
      <c r="N724"/>
      <c r="O724" s="153" t="str">
        <f>IF(L724&lt;&gt;"",IFERROR(VLOOKUP(B724&amp;L724,Pools!$A$2:$D$130,3,FALSE),""),"")</f>
        <v/>
      </c>
      <c r="P724" s="388"/>
      <c r="Q724" s="388"/>
      <c r="R724" s="306" t="str">
        <f t="shared" si="495"/>
        <v>-</v>
      </c>
      <c r="S724" s="153"/>
      <c r="T724" s="148" t="str">
        <f t="shared" si="496"/>
        <v>Pending</v>
      </c>
      <c r="U724" s="153"/>
      <c r="V724" s="153"/>
      <c r="W724" s="387">
        <f t="shared" si="497"/>
        <v>0</v>
      </c>
      <c r="X724" s="387">
        <f t="shared" si="498"/>
        <v>0</v>
      </c>
      <c r="Y724" s="301" t="str">
        <f t="shared" si="499"/>
        <v>X</v>
      </c>
      <c r="Z724" s="301" t="str">
        <f t="shared" si="500"/>
        <v>X</v>
      </c>
      <c r="AA724" s="323" t="str">
        <f>CONCATENATE("                x[team1,team2,sport,'",IF(OR(I724="x",I724=""),VLOOKUP('Schedule from TM'!J725,Tables!$P$3:$Q$33,2,FALSE),'Schedule from TM'!I725),",",J724,"','",IF(OR(F724="x",F724=""),VLOOKUP('Schedule from TM'!G725,Tables!$U$3:$V$14,2,FALSE),'Schedule from TM'!F725),",",TEXT(G724,"mm/dd/yyyy"),"','",TEXT(H724,"h:mm:ss AM/PM"),"'].ub=0.0      #",B724)</f>
        <v xml:space="preserve">                x[team1,team2,sport,'11,JCC Back Field 2','22,11/22/2017','4:20:00 PM'].ub=0.0      #Ch D Female Dodgeball</v>
      </c>
      <c r="AB724" s="301" t="str">
        <f t="shared" si="501"/>
        <v>,,Ch D Female Dodgeball,,1,</v>
      </c>
      <c r="AC724" s="153" t="str">
        <f t="shared" si="502"/>
        <v>Ch D Female Dodgeball</v>
      </c>
      <c r="AD724" s="301" t="str">
        <f t="shared" si="503"/>
        <v>,,Ch D Female Dodgeball,,1,</v>
      </c>
      <c r="AE724" s="153" t="str">
        <f t="shared" si="504"/>
        <v>Ch D Female Dodgeball</v>
      </c>
      <c r="AF724" s="383">
        <f t="shared" si="505"/>
        <v>0</v>
      </c>
      <c r="AG724" s="383">
        <f t="shared" si="506"/>
        <v>0</v>
      </c>
      <c r="AH724" s="383">
        <f t="shared" si="507"/>
        <v>0</v>
      </c>
      <c r="AI724" s="383">
        <f t="shared" si="508"/>
        <v>0</v>
      </c>
      <c r="AJ724" s="383">
        <f t="shared" si="509"/>
        <v>0</v>
      </c>
      <c r="AK724" s="383">
        <f t="shared" si="510"/>
        <v>0</v>
      </c>
      <c r="AM724" s="148" t="str">
        <f t="shared" si="511"/>
        <v>Schedulled</v>
      </c>
      <c r="AN724" s="148" t="str">
        <f t="shared" si="512"/>
        <v>Schedulled no team</v>
      </c>
      <c r="AO724" s="156">
        <f t="shared" si="513"/>
        <v>43061.680555555555</v>
      </c>
      <c r="AP724" s="148" t="str">
        <f t="shared" si="514"/>
        <v>11/22/2017 16:20-&gt;JCC Back Field 2</v>
      </c>
      <c r="AQ724" s="374">
        <f t="shared" si="515"/>
        <v>1</v>
      </c>
      <c r="AR724" s="148" t="str">
        <f t="shared" si="516"/>
        <v/>
      </c>
      <c r="AS724" s="148" t="str">
        <f t="shared" si="517"/>
        <v/>
      </c>
      <c r="AT724" s="157" t="str">
        <f t="shared" si="518"/>
        <v/>
      </c>
      <c r="AU724" s="157" t="str">
        <f t="shared" si="519"/>
        <v>Dodgeball Tournament</v>
      </c>
      <c r="AV724" s="157" t="str">
        <f t="shared" si="520"/>
        <v>CHILDREN D FEMALE</v>
      </c>
      <c r="AW724" s="157" t="str">
        <f t="shared" si="521"/>
        <v>Dodgeball</v>
      </c>
      <c r="AX724" s="376">
        <f t="shared" si="522"/>
        <v>722</v>
      </c>
      <c r="AY724" s="148" t="str">
        <f t="shared" si="523"/>
        <v>-&gt;</v>
      </c>
      <c r="AZ724" s="148" t="str">
        <f t="shared" si="524"/>
        <v>11/22/2017 16:20-&gt;</v>
      </c>
      <c r="BA724" s="148" t="str">
        <f t="shared" si="525"/>
        <v>11/22/2017 16:20-&gt;</v>
      </c>
      <c r="BB724" s="374">
        <f t="shared" si="526"/>
        <v>0</v>
      </c>
      <c r="BC724" s="374">
        <f t="shared" si="527"/>
        <v>0</v>
      </c>
      <c r="BD724" s="148" t="str">
        <f t="shared" si="528"/>
        <v>no conflict</v>
      </c>
      <c r="BF724" s="148" t="str">
        <f t="shared" si="529"/>
        <v>11/22/2017 16:20-&gt;</v>
      </c>
      <c r="BG724" s="148" t="str">
        <f t="shared" si="530"/>
        <v>11/22/2017 16:20-&gt;</v>
      </c>
      <c r="BH724" s="148" t="str">
        <f t="shared" si="531"/>
        <v>11/22/2017 16:20-&gt;JCC Back Field 2</v>
      </c>
      <c r="BI724" s="148" t="str">
        <f t="shared" si="532"/>
        <v>Dodgeball in JCC Back Field 2 ()</v>
      </c>
      <c r="BJ724" s="148" t="str">
        <f t="shared" si="533"/>
        <v xml:space="preserve">Ch D Female Dodgeball--  vs. </v>
      </c>
      <c r="BK724" s="148" t="str">
        <f t="shared" si="534"/>
        <v>Dodgeball</v>
      </c>
      <c r="BL724" s="148">
        <f t="shared" si="535"/>
        <v>0</v>
      </c>
      <c r="BM724" s="148">
        <f t="shared" si="536"/>
        <v>0</v>
      </c>
      <c r="BN724" s="148" t="str">
        <f t="shared" si="537"/>
        <v>Tournament</v>
      </c>
      <c r="BP724" s="148" t="str">
        <f t="shared" si="538"/>
        <v>11/22/2017 16:20-&gt;CHILDREN D FEMALE</v>
      </c>
      <c r="BQ724" s="148" t="str">
        <f t="shared" si="539"/>
        <v>Dodgeball Tournament in JCC Back Field 2</v>
      </c>
    </row>
    <row r="725" spans="1:69" ht="15" customHeight="1" x14ac:dyDescent="0.2">
      <c r="A725" s="376">
        <v>723</v>
      </c>
      <c r="B725" s="441" t="s">
        <v>51</v>
      </c>
      <c r="C725" s="441" t="s">
        <v>711</v>
      </c>
      <c r="D725" s="450">
        <v>1</v>
      </c>
      <c r="E725" s="450">
        <v>1</v>
      </c>
      <c r="F725" s="315" t="s">
        <v>770</v>
      </c>
      <c r="G725" s="320">
        <v>43061</v>
      </c>
      <c r="H725" s="317">
        <v>0.68055555555555547</v>
      </c>
      <c r="I725" s="325" t="s">
        <v>770</v>
      </c>
      <c r="J725" s="441" t="s">
        <v>692</v>
      </c>
      <c r="K725" s="444"/>
      <c r="L725"/>
      <c r="M725"/>
      <c r="N725"/>
      <c r="O725" s="153" t="str">
        <f>IF(L725&lt;&gt;"",IFERROR(VLOOKUP(B725&amp;L725,Pools!$A$2:$D$130,3,FALSE),""),"")</f>
        <v/>
      </c>
      <c r="P725" s="388"/>
      <c r="Q725" s="388"/>
      <c r="R725" s="306" t="str">
        <f t="shared" si="495"/>
        <v>-</v>
      </c>
      <c r="S725" s="153"/>
      <c r="T725" s="148" t="str">
        <f t="shared" si="496"/>
        <v>Pending</v>
      </c>
      <c r="U725" s="153"/>
      <c r="V725" s="153"/>
      <c r="W725" s="387">
        <f t="shared" si="497"/>
        <v>0</v>
      </c>
      <c r="X725" s="387">
        <f t="shared" si="498"/>
        <v>0</v>
      </c>
      <c r="Y725" s="301" t="str">
        <f t="shared" si="499"/>
        <v>X</v>
      </c>
      <c r="Z725" s="301" t="str">
        <f t="shared" si="500"/>
        <v>X</v>
      </c>
      <c r="AA725" s="323" t="str">
        <f>CONCATENATE("                x[team1,team2,sport,'",IF(OR(I725="x",I725=""),VLOOKUP('Schedule from TM'!J726,Tables!$P$3:$Q$33,2,FALSE),'Schedule from TM'!I726),",",J725,"','",IF(OR(F725="x",F725=""),VLOOKUP('Schedule from TM'!G726,Tables!$U$3:$V$14,2,FALSE),'Schedule from TM'!F726),",",TEXT(G725,"mm/dd/yyyy"),"','",TEXT(H725,"h:mm:ss AM/PM"),"'].ub=0.0      #",B725)</f>
        <v xml:space="preserve">                x[team1,team2,sport,'11,JCC Back Field 3','22,11/22/2017','4:20:00 PM'].ub=0.0      #Ch D Female Dodgeball</v>
      </c>
      <c r="AB725" s="301" t="str">
        <f t="shared" si="501"/>
        <v>,,Ch D Female Dodgeball,,1,</v>
      </c>
      <c r="AC725" s="153" t="str">
        <f t="shared" si="502"/>
        <v>Ch D Female Dodgeball</v>
      </c>
      <c r="AD725" s="301" t="str">
        <f t="shared" si="503"/>
        <v>,,Ch D Female Dodgeball,,1,</v>
      </c>
      <c r="AE725" s="153" t="str">
        <f t="shared" si="504"/>
        <v>Ch D Female Dodgeball</v>
      </c>
      <c r="AF725" s="383">
        <f t="shared" si="505"/>
        <v>0</v>
      </c>
      <c r="AG725" s="383">
        <f t="shared" si="506"/>
        <v>0</v>
      </c>
      <c r="AH725" s="383">
        <f t="shared" si="507"/>
        <v>0</v>
      </c>
      <c r="AI725" s="383">
        <f t="shared" si="508"/>
        <v>0</v>
      </c>
      <c r="AJ725" s="383">
        <f t="shared" si="509"/>
        <v>0</v>
      </c>
      <c r="AK725" s="383">
        <f t="shared" si="510"/>
        <v>0</v>
      </c>
      <c r="AM725" s="148" t="str">
        <f t="shared" si="511"/>
        <v>Schedulled</v>
      </c>
      <c r="AN725" s="148" t="str">
        <f t="shared" si="512"/>
        <v>Schedulled no team</v>
      </c>
      <c r="AO725" s="156">
        <f t="shared" si="513"/>
        <v>43061.680555555555</v>
      </c>
      <c r="AP725" s="148" t="str">
        <f t="shared" si="514"/>
        <v>11/22/2017 16:20-&gt;JCC Back Field 3</v>
      </c>
      <c r="AQ725" s="374">
        <f t="shared" si="515"/>
        <v>1</v>
      </c>
      <c r="AR725" s="148" t="str">
        <f t="shared" si="516"/>
        <v/>
      </c>
      <c r="AS725" s="148" t="str">
        <f t="shared" si="517"/>
        <v/>
      </c>
      <c r="AT725" s="157" t="str">
        <f t="shared" si="518"/>
        <v/>
      </c>
      <c r="AU725" s="157" t="str">
        <f t="shared" si="519"/>
        <v>Dodgeball Tournament</v>
      </c>
      <c r="AV725" s="157" t="str">
        <f t="shared" si="520"/>
        <v>CHILDREN D FEMALE</v>
      </c>
      <c r="AW725" s="157" t="str">
        <f t="shared" si="521"/>
        <v>Dodgeball</v>
      </c>
      <c r="AX725" s="376">
        <f t="shared" si="522"/>
        <v>723</v>
      </c>
      <c r="AY725" s="148" t="str">
        <f t="shared" si="523"/>
        <v>-&gt;</v>
      </c>
      <c r="AZ725" s="148" t="str">
        <f t="shared" si="524"/>
        <v>11/22/2017 16:20-&gt;</v>
      </c>
      <c r="BA725" s="148" t="str">
        <f t="shared" si="525"/>
        <v>11/22/2017 16:20-&gt;</v>
      </c>
      <c r="BB725" s="374">
        <f t="shared" si="526"/>
        <v>0</v>
      </c>
      <c r="BC725" s="374">
        <f t="shared" si="527"/>
        <v>0</v>
      </c>
      <c r="BD725" s="148" t="str">
        <f t="shared" si="528"/>
        <v>no conflict</v>
      </c>
      <c r="BF725" s="148" t="str">
        <f t="shared" si="529"/>
        <v>11/22/2017 16:20-&gt;</v>
      </c>
      <c r="BG725" s="148" t="str">
        <f t="shared" si="530"/>
        <v>11/22/2017 16:20-&gt;</v>
      </c>
      <c r="BH725" s="148" t="str">
        <f t="shared" si="531"/>
        <v>11/22/2017 16:20-&gt;JCC Back Field 3</v>
      </c>
      <c r="BI725" s="148" t="str">
        <f t="shared" si="532"/>
        <v>Dodgeball in JCC Back Field 3 ()</v>
      </c>
      <c r="BJ725" s="148" t="str">
        <f t="shared" si="533"/>
        <v xml:space="preserve">Ch D Female Dodgeball--  vs. </v>
      </c>
      <c r="BK725" s="148" t="str">
        <f t="shared" si="534"/>
        <v>Dodgeball</v>
      </c>
      <c r="BL725" s="148">
        <f t="shared" si="535"/>
        <v>0</v>
      </c>
      <c r="BM725" s="148">
        <f t="shared" si="536"/>
        <v>0</v>
      </c>
      <c r="BN725" s="148" t="str">
        <f t="shared" si="537"/>
        <v>Tournament</v>
      </c>
      <c r="BP725" s="148" t="str">
        <f t="shared" si="538"/>
        <v>11/22/2017 16:20-&gt;CHILDREN D FEMALE</v>
      </c>
      <c r="BQ725" s="148" t="str">
        <f t="shared" si="539"/>
        <v>Dodgeball Tournament in JCC Back Field 3</v>
      </c>
    </row>
    <row r="726" spans="1:69" ht="15" customHeight="1" x14ac:dyDescent="0.2">
      <c r="A726" s="376">
        <v>724</v>
      </c>
      <c r="B726" s="441" t="s">
        <v>51</v>
      </c>
      <c r="C726" s="441" t="s">
        <v>711</v>
      </c>
      <c r="D726" s="450">
        <v>1</v>
      </c>
      <c r="E726" s="450">
        <v>1</v>
      </c>
      <c r="F726" s="315" t="s">
        <v>770</v>
      </c>
      <c r="G726" s="320">
        <v>43061</v>
      </c>
      <c r="H726" s="317">
        <v>0.68055555555555547</v>
      </c>
      <c r="I726" s="325" t="s">
        <v>770</v>
      </c>
      <c r="J726" s="441" t="s">
        <v>694</v>
      </c>
      <c r="K726" s="444"/>
      <c r="L726"/>
      <c r="M726"/>
      <c r="N726"/>
      <c r="O726" s="153" t="str">
        <f>IF(L726&lt;&gt;"",IFERROR(VLOOKUP(B726&amp;L726,Pools!$A$2:$D$130,3,FALSE),""),"")</f>
        <v/>
      </c>
      <c r="P726" s="388"/>
      <c r="Q726" s="388"/>
      <c r="R726" s="306" t="str">
        <f t="shared" si="495"/>
        <v>-</v>
      </c>
      <c r="S726" s="153"/>
      <c r="T726" s="148" t="str">
        <f t="shared" si="496"/>
        <v>Pending</v>
      </c>
      <c r="U726" s="153"/>
      <c r="V726" s="153"/>
      <c r="W726" s="387">
        <f t="shared" si="497"/>
        <v>0</v>
      </c>
      <c r="X726" s="387">
        <f t="shared" si="498"/>
        <v>0</v>
      </c>
      <c r="Y726" s="301" t="str">
        <f t="shared" si="499"/>
        <v>X</v>
      </c>
      <c r="Z726" s="301" t="str">
        <f t="shared" si="500"/>
        <v>X</v>
      </c>
      <c r="AA726" s="323" t="str">
        <f>CONCATENATE("                x[team1,team2,sport,'",IF(OR(I726="x",I726=""),VLOOKUP('Schedule from TM'!J727,Tables!$P$3:$Q$33,2,FALSE),'Schedule from TM'!I727),",",J726,"','",IF(OR(F726="x",F726=""),VLOOKUP('Schedule from TM'!G727,Tables!$U$3:$V$14,2,FALSE),'Schedule from TM'!F727),",",TEXT(G726,"mm/dd/yyyy"),"','",TEXT(H726,"h:mm:ss AM/PM"),"'].ub=0.0      #",B726)</f>
        <v xml:space="preserve">                x[team1,team2,sport,'11,JCC Back Field 4','22,11/22/2017','4:20:00 PM'].ub=0.0      #Ch D Female Dodgeball</v>
      </c>
      <c r="AB726" s="301" t="str">
        <f t="shared" si="501"/>
        <v>,,Ch D Female Dodgeball,,1,</v>
      </c>
      <c r="AC726" s="153" t="str">
        <f t="shared" si="502"/>
        <v>Ch D Female Dodgeball</v>
      </c>
      <c r="AD726" s="301" t="str">
        <f t="shared" si="503"/>
        <v>,,Ch D Female Dodgeball,,1,</v>
      </c>
      <c r="AE726" s="153" t="str">
        <f t="shared" si="504"/>
        <v>Ch D Female Dodgeball</v>
      </c>
      <c r="AF726" s="383">
        <f t="shared" si="505"/>
        <v>0</v>
      </c>
      <c r="AG726" s="383">
        <f t="shared" si="506"/>
        <v>0</v>
      </c>
      <c r="AH726" s="383">
        <f t="shared" si="507"/>
        <v>0</v>
      </c>
      <c r="AI726" s="383">
        <f t="shared" si="508"/>
        <v>0</v>
      </c>
      <c r="AJ726" s="383">
        <f t="shared" si="509"/>
        <v>0</v>
      </c>
      <c r="AK726" s="383">
        <f t="shared" si="510"/>
        <v>0</v>
      </c>
      <c r="AM726" s="148" t="str">
        <f t="shared" si="511"/>
        <v>Schedulled</v>
      </c>
      <c r="AN726" s="148" t="str">
        <f t="shared" si="512"/>
        <v>Schedulled no team</v>
      </c>
      <c r="AO726" s="156">
        <f t="shared" si="513"/>
        <v>43061.680555555555</v>
      </c>
      <c r="AP726" s="148" t="str">
        <f t="shared" si="514"/>
        <v>11/22/2017 16:20-&gt;JCC Back Field 4</v>
      </c>
      <c r="AQ726" s="374">
        <f t="shared" si="515"/>
        <v>1</v>
      </c>
      <c r="AR726" s="148" t="str">
        <f t="shared" si="516"/>
        <v/>
      </c>
      <c r="AS726" s="148" t="str">
        <f t="shared" si="517"/>
        <v/>
      </c>
      <c r="AT726" s="157" t="str">
        <f t="shared" si="518"/>
        <v/>
      </c>
      <c r="AU726" s="157" t="str">
        <f t="shared" si="519"/>
        <v>Dodgeball Tournament</v>
      </c>
      <c r="AV726" s="157" t="str">
        <f t="shared" si="520"/>
        <v>CHILDREN D FEMALE</v>
      </c>
      <c r="AW726" s="157" t="str">
        <f t="shared" si="521"/>
        <v>Dodgeball</v>
      </c>
      <c r="AX726" s="376">
        <f t="shared" si="522"/>
        <v>724</v>
      </c>
      <c r="AY726" s="148" t="str">
        <f t="shared" si="523"/>
        <v>-&gt;</v>
      </c>
      <c r="AZ726" s="148" t="str">
        <f t="shared" si="524"/>
        <v>11/22/2017 16:20-&gt;</v>
      </c>
      <c r="BA726" s="148" t="str">
        <f t="shared" si="525"/>
        <v>11/22/2017 16:20-&gt;</v>
      </c>
      <c r="BB726" s="374">
        <f t="shared" si="526"/>
        <v>0</v>
      </c>
      <c r="BC726" s="374">
        <f t="shared" si="527"/>
        <v>0</v>
      </c>
      <c r="BD726" s="148" t="str">
        <f t="shared" si="528"/>
        <v>no conflict</v>
      </c>
      <c r="BF726" s="148" t="str">
        <f t="shared" si="529"/>
        <v>11/22/2017 16:20-&gt;</v>
      </c>
      <c r="BG726" s="148" t="str">
        <f t="shared" si="530"/>
        <v>11/22/2017 16:20-&gt;</v>
      </c>
      <c r="BH726" s="148" t="str">
        <f t="shared" si="531"/>
        <v>11/22/2017 16:20-&gt;JCC Back Field 4</v>
      </c>
      <c r="BI726" s="148" t="str">
        <f t="shared" si="532"/>
        <v>Dodgeball in JCC Back Field 4 ()</v>
      </c>
      <c r="BJ726" s="148" t="str">
        <f t="shared" si="533"/>
        <v xml:space="preserve">Ch D Female Dodgeball--  vs. </v>
      </c>
      <c r="BK726" s="148" t="str">
        <f t="shared" si="534"/>
        <v>Dodgeball</v>
      </c>
      <c r="BL726" s="148">
        <f t="shared" si="535"/>
        <v>0</v>
      </c>
      <c r="BM726" s="148">
        <f t="shared" si="536"/>
        <v>0</v>
      </c>
      <c r="BN726" s="148" t="str">
        <f t="shared" si="537"/>
        <v>Tournament</v>
      </c>
      <c r="BP726" s="148" t="str">
        <f t="shared" si="538"/>
        <v>11/22/2017 16:20-&gt;CHILDREN D FEMALE</v>
      </c>
      <c r="BQ726" s="148" t="str">
        <f t="shared" si="539"/>
        <v>Dodgeball Tournament in JCC Back Field 4</v>
      </c>
    </row>
    <row r="727" spans="1:69" ht="15" customHeight="1" x14ac:dyDescent="0.2">
      <c r="A727" s="376">
        <v>725</v>
      </c>
      <c r="B727" s="319" t="s">
        <v>51</v>
      </c>
      <c r="C727" s="319" t="s">
        <v>711</v>
      </c>
      <c r="D727" s="376">
        <v>1</v>
      </c>
      <c r="E727" s="376">
        <v>1</v>
      </c>
      <c r="F727" s="315" t="s">
        <v>770</v>
      </c>
      <c r="G727" s="320">
        <v>43061</v>
      </c>
      <c r="H727" s="317">
        <v>0.68055555555555547</v>
      </c>
      <c r="I727" s="325" t="s">
        <v>770</v>
      </c>
      <c r="J727" s="319" t="s">
        <v>688</v>
      </c>
      <c r="K727" s="444"/>
      <c r="L727"/>
      <c r="M727"/>
      <c r="N727"/>
      <c r="O727" s="153" t="str">
        <f>IF(L727&lt;&gt;"",IFERROR(VLOOKUP(B727&amp;L727,Pools!$A$2:$D$130,3,FALSE),""),"")</f>
        <v/>
      </c>
      <c r="P727" s="388"/>
      <c r="Q727" s="388"/>
      <c r="R727" s="306" t="str">
        <f t="shared" si="495"/>
        <v>-</v>
      </c>
      <c r="S727" s="153"/>
      <c r="T727" s="148" t="str">
        <f t="shared" si="496"/>
        <v>Pending</v>
      </c>
      <c r="U727" s="153"/>
      <c r="V727" s="153"/>
      <c r="W727" s="387">
        <f t="shared" si="497"/>
        <v>0</v>
      </c>
      <c r="X727" s="387">
        <f t="shared" si="498"/>
        <v>0</v>
      </c>
      <c r="Y727" s="301" t="str">
        <f t="shared" si="499"/>
        <v>X</v>
      </c>
      <c r="Z727" s="301" t="str">
        <f t="shared" si="500"/>
        <v>X</v>
      </c>
      <c r="AA727" s="323" t="str">
        <f>CONCATENATE("                x[team1,team2,sport,'",IF(OR(I727="x",I727=""),VLOOKUP('Schedule from TM'!J728,Tables!$P$3:$Q$33,2,FALSE),'Schedule from TM'!I728),",",J727,"','",IF(OR(F727="x",F727=""),VLOOKUP('Schedule from TM'!G728,Tables!$U$3:$V$14,2,FALSE),'Schedule from TM'!F728),",",TEXT(G727,"mm/dd/yyyy"),"','",TEXT(H727,"h:mm:ss AM/PM"),"'].ub=0.0      #",B727)</f>
        <v xml:space="preserve">                x[team1,team2,sport,'11,JCC Basketball Out 1','22,11/22/2017','4:20:00 PM'].ub=0.0      #Ch D Female Dodgeball</v>
      </c>
      <c r="AB727" s="301" t="str">
        <f t="shared" si="501"/>
        <v>,,Ch D Female Dodgeball,,1,</v>
      </c>
      <c r="AC727" s="153" t="str">
        <f t="shared" si="502"/>
        <v>Ch D Female Dodgeball</v>
      </c>
      <c r="AD727" s="301" t="str">
        <f t="shared" si="503"/>
        <v>,,Ch D Female Dodgeball,,1,</v>
      </c>
      <c r="AE727" s="153" t="str">
        <f t="shared" si="504"/>
        <v>Ch D Female Dodgeball</v>
      </c>
      <c r="AF727" s="383">
        <f t="shared" si="505"/>
        <v>0</v>
      </c>
      <c r="AG727" s="383">
        <f t="shared" si="506"/>
        <v>0</v>
      </c>
      <c r="AH727" s="383">
        <f t="shared" si="507"/>
        <v>0</v>
      </c>
      <c r="AI727" s="383">
        <f t="shared" si="508"/>
        <v>0</v>
      </c>
      <c r="AJ727" s="383">
        <f t="shared" si="509"/>
        <v>0</v>
      </c>
      <c r="AK727" s="383">
        <f t="shared" si="510"/>
        <v>0</v>
      </c>
      <c r="AM727" s="148" t="str">
        <f t="shared" si="511"/>
        <v>Schedulled</v>
      </c>
      <c r="AN727" s="148" t="str">
        <f t="shared" si="512"/>
        <v>Schedulled no team</v>
      </c>
      <c r="AO727" s="156">
        <f t="shared" si="513"/>
        <v>43061.680555555555</v>
      </c>
      <c r="AP727" s="148" t="str">
        <f t="shared" si="514"/>
        <v>11/22/2017 16:20-&gt;JCC Basketball Out 1</v>
      </c>
      <c r="AQ727" s="374">
        <f t="shared" si="515"/>
        <v>1</v>
      </c>
      <c r="AR727" s="148" t="str">
        <f t="shared" si="516"/>
        <v/>
      </c>
      <c r="AS727" s="148" t="str">
        <f t="shared" si="517"/>
        <v/>
      </c>
      <c r="AT727" s="157" t="str">
        <f t="shared" si="518"/>
        <v/>
      </c>
      <c r="AU727" s="157" t="str">
        <f t="shared" si="519"/>
        <v>Dodgeball Tournament</v>
      </c>
      <c r="AV727" s="157" t="str">
        <f t="shared" si="520"/>
        <v>CHILDREN D FEMALE</v>
      </c>
      <c r="AW727" s="157" t="str">
        <f t="shared" si="521"/>
        <v>Dodgeball</v>
      </c>
      <c r="AX727" s="376">
        <f t="shared" si="522"/>
        <v>725</v>
      </c>
      <c r="AY727" s="148" t="str">
        <f t="shared" si="523"/>
        <v>-&gt;</v>
      </c>
      <c r="AZ727" s="148" t="str">
        <f t="shared" si="524"/>
        <v>11/22/2017 16:20-&gt;</v>
      </c>
      <c r="BA727" s="148" t="str">
        <f t="shared" si="525"/>
        <v>11/22/2017 16:20-&gt;</v>
      </c>
      <c r="BB727" s="374">
        <f t="shared" si="526"/>
        <v>0</v>
      </c>
      <c r="BC727" s="374">
        <f t="shared" si="527"/>
        <v>0</v>
      </c>
      <c r="BD727" s="148" t="str">
        <f t="shared" si="528"/>
        <v>no conflict</v>
      </c>
      <c r="BF727" s="148" t="str">
        <f t="shared" si="529"/>
        <v>11/22/2017 16:20-&gt;</v>
      </c>
      <c r="BG727" s="148" t="str">
        <f t="shared" si="530"/>
        <v>11/22/2017 16:20-&gt;</v>
      </c>
      <c r="BH727" s="148" t="str">
        <f t="shared" si="531"/>
        <v>11/22/2017 16:20-&gt;JCC Basketball Out 1</v>
      </c>
      <c r="BI727" s="148" t="str">
        <f t="shared" si="532"/>
        <v>Dodgeball in JCC Basketball Out 1 ()</v>
      </c>
      <c r="BJ727" s="148" t="str">
        <f t="shared" si="533"/>
        <v xml:space="preserve">Ch D Female Dodgeball--  vs. </v>
      </c>
      <c r="BK727" s="148" t="str">
        <f t="shared" si="534"/>
        <v>Dodgeball</v>
      </c>
      <c r="BL727" s="148">
        <f t="shared" si="535"/>
        <v>0</v>
      </c>
      <c r="BM727" s="148">
        <f t="shared" si="536"/>
        <v>0</v>
      </c>
      <c r="BN727" s="148" t="str">
        <f t="shared" si="537"/>
        <v>Tournament</v>
      </c>
      <c r="BP727" s="148" t="str">
        <f t="shared" si="538"/>
        <v>11/22/2017 16:20-&gt;CHILDREN D FEMALE</v>
      </c>
      <c r="BQ727" s="148" t="str">
        <f t="shared" si="539"/>
        <v>Dodgeball Tournament in JCC Basketball Out 1</v>
      </c>
    </row>
    <row r="728" spans="1:69" ht="15" customHeight="1" x14ac:dyDescent="0.2">
      <c r="A728" s="376">
        <v>726</v>
      </c>
      <c r="B728" s="441" t="s">
        <v>51</v>
      </c>
      <c r="C728" s="441" t="s">
        <v>711</v>
      </c>
      <c r="D728" s="450">
        <v>1</v>
      </c>
      <c r="E728" s="450">
        <v>1</v>
      </c>
      <c r="F728" s="315" t="s">
        <v>770</v>
      </c>
      <c r="G728" s="320">
        <v>43061</v>
      </c>
      <c r="H728" s="317">
        <v>0.68055555555555547</v>
      </c>
      <c r="I728" s="325" t="s">
        <v>770</v>
      </c>
      <c r="J728" s="441" t="s">
        <v>709</v>
      </c>
      <c r="K728" s="444"/>
      <c r="L728"/>
      <c r="M728"/>
      <c r="N728"/>
      <c r="O728" s="153" t="str">
        <f>IF(L728&lt;&gt;"",IFERROR(VLOOKUP(B728&amp;L728,Pools!$A$2:$D$130,3,FALSE),""),"")</f>
        <v/>
      </c>
      <c r="P728" s="388"/>
      <c r="Q728" s="388"/>
      <c r="R728" s="306" t="str">
        <f t="shared" si="495"/>
        <v>-</v>
      </c>
      <c r="S728" s="153"/>
      <c r="T728" s="148" t="str">
        <f t="shared" si="496"/>
        <v>Pending</v>
      </c>
      <c r="U728" s="153"/>
      <c r="V728" s="153"/>
      <c r="W728" s="387">
        <f t="shared" si="497"/>
        <v>0</v>
      </c>
      <c r="X728" s="387">
        <f t="shared" si="498"/>
        <v>0</v>
      </c>
      <c r="Y728" s="301" t="str">
        <f t="shared" si="499"/>
        <v>X</v>
      </c>
      <c r="Z728" s="301" t="str">
        <f t="shared" si="500"/>
        <v>X</v>
      </c>
      <c r="AA728" s="323" t="str">
        <f>CONCATENATE("                x[team1,team2,sport,'",IF(OR(I728="x",I728=""),VLOOKUP('Schedule from TM'!J729,Tables!$P$3:$Q$33,2,FALSE),'Schedule from TM'!I729),",",J728,"','",IF(OR(F728="x",F728=""),VLOOKUP('Schedule from TM'!G729,Tables!$U$3:$V$14,2,FALSE),'Schedule from TM'!F729),",",TEXT(G728,"mm/dd/yyyy"),"','",TEXT(H728,"h:mm:ss AM/PM"),"'].ub=0.0      #",B728)</f>
        <v xml:space="preserve">                x[team1,team2,sport,'11,JCC Basketball Out 2','22,11/22/2017','4:20:00 PM'].ub=0.0      #Ch D Female Dodgeball</v>
      </c>
      <c r="AB728" s="301" t="str">
        <f t="shared" si="501"/>
        <v>,,Ch D Female Dodgeball,,1,</v>
      </c>
      <c r="AC728" s="153" t="str">
        <f t="shared" si="502"/>
        <v>Ch D Female Dodgeball</v>
      </c>
      <c r="AD728" s="301" t="str">
        <f t="shared" si="503"/>
        <v>,,Ch D Female Dodgeball,,1,</v>
      </c>
      <c r="AE728" s="153" t="str">
        <f t="shared" si="504"/>
        <v>Ch D Female Dodgeball</v>
      </c>
      <c r="AF728" s="383">
        <f t="shared" si="505"/>
        <v>0</v>
      </c>
      <c r="AG728" s="383">
        <f t="shared" si="506"/>
        <v>0</v>
      </c>
      <c r="AH728" s="383">
        <f t="shared" si="507"/>
        <v>0</v>
      </c>
      <c r="AI728" s="383">
        <f t="shared" si="508"/>
        <v>0</v>
      </c>
      <c r="AJ728" s="383">
        <f t="shared" si="509"/>
        <v>0</v>
      </c>
      <c r="AK728" s="383">
        <f t="shared" si="510"/>
        <v>0</v>
      </c>
      <c r="AM728" s="148" t="str">
        <f t="shared" si="511"/>
        <v>Schedulled</v>
      </c>
      <c r="AN728" s="148" t="str">
        <f t="shared" si="512"/>
        <v>Schedulled no team</v>
      </c>
      <c r="AO728" s="156">
        <f t="shared" si="513"/>
        <v>43061.680555555555</v>
      </c>
      <c r="AP728" s="148" t="str">
        <f t="shared" si="514"/>
        <v>11/22/2017 16:20-&gt;JCC Basketball Out 2</v>
      </c>
      <c r="AQ728" s="374">
        <f t="shared" si="515"/>
        <v>1</v>
      </c>
      <c r="AR728" s="148" t="str">
        <f t="shared" si="516"/>
        <v/>
      </c>
      <c r="AS728" s="148" t="str">
        <f t="shared" si="517"/>
        <v/>
      </c>
      <c r="AT728" s="157" t="str">
        <f t="shared" si="518"/>
        <v/>
      </c>
      <c r="AU728" s="157" t="str">
        <f t="shared" si="519"/>
        <v>Dodgeball Tournament</v>
      </c>
      <c r="AV728" s="157" t="str">
        <f t="shared" si="520"/>
        <v>CHILDREN D FEMALE</v>
      </c>
      <c r="AW728" s="157" t="str">
        <f t="shared" si="521"/>
        <v>Dodgeball</v>
      </c>
      <c r="AX728" s="376">
        <f t="shared" si="522"/>
        <v>726</v>
      </c>
      <c r="AY728" s="148" t="str">
        <f t="shared" si="523"/>
        <v>-&gt;</v>
      </c>
      <c r="AZ728" s="148" t="str">
        <f t="shared" si="524"/>
        <v>11/22/2017 16:20-&gt;</v>
      </c>
      <c r="BA728" s="148" t="str">
        <f t="shared" si="525"/>
        <v>11/22/2017 16:20-&gt;</v>
      </c>
      <c r="BB728" s="374">
        <f t="shared" si="526"/>
        <v>0</v>
      </c>
      <c r="BC728" s="374">
        <f t="shared" si="527"/>
        <v>0</v>
      </c>
      <c r="BD728" s="148" t="str">
        <f t="shared" si="528"/>
        <v>no conflict</v>
      </c>
      <c r="BF728" s="148" t="str">
        <f t="shared" si="529"/>
        <v>11/22/2017 16:20-&gt;</v>
      </c>
      <c r="BG728" s="148" t="str">
        <f t="shared" si="530"/>
        <v>11/22/2017 16:20-&gt;</v>
      </c>
      <c r="BH728" s="148" t="str">
        <f t="shared" si="531"/>
        <v>11/22/2017 16:20-&gt;JCC Basketball Out 2</v>
      </c>
      <c r="BI728" s="148" t="str">
        <f t="shared" si="532"/>
        <v>Dodgeball in JCC Basketball Out 2 ()</v>
      </c>
      <c r="BJ728" s="148" t="str">
        <f t="shared" si="533"/>
        <v xml:space="preserve">Ch D Female Dodgeball--  vs. </v>
      </c>
      <c r="BK728" s="148" t="str">
        <f t="shared" si="534"/>
        <v>Dodgeball</v>
      </c>
      <c r="BL728" s="148">
        <f t="shared" si="535"/>
        <v>0</v>
      </c>
      <c r="BM728" s="148">
        <f t="shared" si="536"/>
        <v>0</v>
      </c>
      <c r="BN728" s="148" t="str">
        <f t="shared" si="537"/>
        <v>Tournament</v>
      </c>
      <c r="BP728" s="148" t="str">
        <f t="shared" si="538"/>
        <v>11/22/2017 16:20-&gt;CHILDREN D FEMALE</v>
      </c>
      <c r="BQ728" s="148" t="str">
        <f t="shared" si="539"/>
        <v>Dodgeball Tournament in JCC Basketball Out 2</v>
      </c>
    </row>
    <row r="729" spans="1:69" ht="15" customHeight="1" x14ac:dyDescent="0.2">
      <c r="A729" s="376">
        <v>727</v>
      </c>
      <c r="B729" s="441" t="s">
        <v>51</v>
      </c>
      <c r="C729" s="441" t="s">
        <v>711</v>
      </c>
      <c r="D729" s="450">
        <v>1</v>
      </c>
      <c r="E729" s="450">
        <v>1</v>
      </c>
      <c r="F729" s="315" t="s">
        <v>770</v>
      </c>
      <c r="G729" s="320">
        <v>43061</v>
      </c>
      <c r="H729" s="318">
        <v>0.71527777777777779</v>
      </c>
      <c r="I729" s="325" t="s">
        <v>770</v>
      </c>
      <c r="J729" s="441" t="s">
        <v>693</v>
      </c>
      <c r="K729" s="315"/>
      <c r="L729"/>
      <c r="M729"/>
      <c r="N729"/>
      <c r="O729" s="153" t="str">
        <f>IF(L729&lt;&gt;"",IFERROR(VLOOKUP(B729&amp;L729,Pools!$A$2:$D$130,3,FALSE),""),"")</f>
        <v/>
      </c>
      <c r="P729" s="388"/>
      <c r="Q729" s="388"/>
      <c r="R729" s="306" t="str">
        <f t="shared" si="495"/>
        <v>-</v>
      </c>
      <c r="S729" s="153"/>
      <c r="T729" s="148" t="str">
        <f t="shared" si="496"/>
        <v>Pending</v>
      </c>
      <c r="U729" s="153"/>
      <c r="V729" s="153"/>
      <c r="W729" s="387">
        <f t="shared" si="497"/>
        <v>0</v>
      </c>
      <c r="X729" s="387">
        <f t="shared" si="498"/>
        <v>0</v>
      </c>
      <c r="Y729" s="301" t="str">
        <f t="shared" si="499"/>
        <v>X</v>
      </c>
      <c r="Z729" s="301" t="str">
        <f t="shared" si="500"/>
        <v>X</v>
      </c>
      <c r="AA729" s="323" t="str">
        <f>CONCATENATE("                x[team1,team2,sport,'",IF(OR(I729="x",I729=""),VLOOKUP('Schedule from TM'!J730,Tables!$P$3:$Q$33,2,FALSE),'Schedule from TM'!I730),",",J729,"','",IF(OR(F729="x",F729=""),VLOOKUP('Schedule from TM'!G730,Tables!$U$3:$V$14,2,FALSE),'Schedule from TM'!F730),",",TEXT(G729,"mm/dd/yyyy"),"','",TEXT(H729,"h:mm:ss AM/PM"),"'].ub=0.0      #",B729)</f>
        <v xml:space="preserve">                x[team1,team2,sport,'11,JCC Back Field 2','22,11/22/2017','5:10:00 PM'].ub=0.0      #Ch D Female Dodgeball</v>
      </c>
      <c r="AB729" s="301" t="str">
        <f t="shared" si="501"/>
        <v>,,Ch D Female Dodgeball,,1,</v>
      </c>
      <c r="AC729" s="153" t="str">
        <f t="shared" si="502"/>
        <v>Ch D Female Dodgeball</v>
      </c>
      <c r="AD729" s="301" t="str">
        <f t="shared" si="503"/>
        <v>,,Ch D Female Dodgeball,,1,</v>
      </c>
      <c r="AE729" s="153" t="str">
        <f t="shared" si="504"/>
        <v>Ch D Female Dodgeball</v>
      </c>
      <c r="AF729" s="383">
        <f t="shared" si="505"/>
        <v>0</v>
      </c>
      <c r="AG729" s="383">
        <f t="shared" si="506"/>
        <v>0</v>
      </c>
      <c r="AH729" s="383">
        <f t="shared" si="507"/>
        <v>0</v>
      </c>
      <c r="AI729" s="383">
        <f t="shared" si="508"/>
        <v>0</v>
      </c>
      <c r="AJ729" s="383">
        <f t="shared" si="509"/>
        <v>0</v>
      </c>
      <c r="AK729" s="383">
        <f t="shared" si="510"/>
        <v>0</v>
      </c>
      <c r="AM729" s="148" t="str">
        <f t="shared" si="511"/>
        <v>Schedulled</v>
      </c>
      <c r="AN729" s="148" t="str">
        <f t="shared" si="512"/>
        <v>Schedulled no team</v>
      </c>
      <c r="AO729" s="156">
        <f t="shared" si="513"/>
        <v>43061.715277777781</v>
      </c>
      <c r="AP729" s="148" t="str">
        <f t="shared" si="514"/>
        <v>11/22/2017 17:10-&gt;JCC Back Field 2</v>
      </c>
      <c r="AQ729" s="374">
        <f t="shared" si="515"/>
        <v>1</v>
      </c>
      <c r="AR729" s="148" t="str">
        <f t="shared" si="516"/>
        <v/>
      </c>
      <c r="AS729" s="148" t="str">
        <f t="shared" si="517"/>
        <v/>
      </c>
      <c r="AT729" s="157" t="str">
        <f t="shared" si="518"/>
        <v/>
      </c>
      <c r="AU729" s="157" t="str">
        <f t="shared" si="519"/>
        <v>Dodgeball Tournament</v>
      </c>
      <c r="AV729" s="157" t="str">
        <f t="shared" si="520"/>
        <v>CHILDREN D FEMALE</v>
      </c>
      <c r="AW729" s="157" t="str">
        <f t="shared" si="521"/>
        <v>Dodgeball</v>
      </c>
      <c r="AX729" s="376">
        <f t="shared" si="522"/>
        <v>727</v>
      </c>
      <c r="AY729" s="148" t="str">
        <f t="shared" si="523"/>
        <v>-&gt;</v>
      </c>
      <c r="AZ729" s="148" t="str">
        <f t="shared" si="524"/>
        <v>11/22/2017 17:10-&gt;</v>
      </c>
      <c r="BA729" s="148" t="str">
        <f t="shared" si="525"/>
        <v>11/22/2017 17:10-&gt;</v>
      </c>
      <c r="BB729" s="374">
        <f t="shared" si="526"/>
        <v>0</v>
      </c>
      <c r="BC729" s="374">
        <f t="shared" si="527"/>
        <v>0</v>
      </c>
      <c r="BD729" s="148" t="str">
        <f t="shared" si="528"/>
        <v>no conflict</v>
      </c>
      <c r="BF729" s="148" t="str">
        <f t="shared" si="529"/>
        <v>11/22/2017 17:10-&gt;</v>
      </c>
      <c r="BG729" s="148" t="str">
        <f t="shared" si="530"/>
        <v>11/22/2017 17:10-&gt;</v>
      </c>
      <c r="BH729" s="148" t="str">
        <f t="shared" si="531"/>
        <v>11/22/2017 17:10-&gt;JCC Back Field 2</v>
      </c>
      <c r="BI729" s="148" t="str">
        <f t="shared" si="532"/>
        <v>Dodgeball in JCC Back Field 2 ()</v>
      </c>
      <c r="BJ729" s="148" t="str">
        <f t="shared" si="533"/>
        <v xml:space="preserve">Ch D Female Dodgeball--  vs. </v>
      </c>
      <c r="BK729" s="148" t="str">
        <f t="shared" si="534"/>
        <v>Dodgeball</v>
      </c>
      <c r="BL729" s="148">
        <f t="shared" si="535"/>
        <v>0</v>
      </c>
      <c r="BM729" s="148">
        <f t="shared" si="536"/>
        <v>0</v>
      </c>
      <c r="BN729" s="148" t="str">
        <f t="shared" si="537"/>
        <v>Tournament</v>
      </c>
      <c r="BP729" s="148" t="str">
        <f t="shared" si="538"/>
        <v>11/22/2017 17:10-&gt;CHILDREN D FEMALE</v>
      </c>
      <c r="BQ729" s="148" t="str">
        <f t="shared" si="539"/>
        <v>Dodgeball Tournament in JCC Back Field 2</v>
      </c>
    </row>
    <row r="730" spans="1:69" ht="15" customHeight="1" x14ac:dyDescent="0.2">
      <c r="A730" s="376">
        <v>728</v>
      </c>
      <c r="B730" s="441" t="s">
        <v>51</v>
      </c>
      <c r="C730" s="441" t="s">
        <v>711</v>
      </c>
      <c r="D730" s="450">
        <v>1</v>
      </c>
      <c r="E730" s="450">
        <v>1</v>
      </c>
      <c r="F730" s="315" t="s">
        <v>770</v>
      </c>
      <c r="G730" s="320">
        <v>43061</v>
      </c>
      <c r="H730" s="318">
        <v>0.71527777777777779</v>
      </c>
      <c r="I730" s="325" t="s">
        <v>770</v>
      </c>
      <c r="J730" s="441" t="s">
        <v>692</v>
      </c>
      <c r="K730" s="444"/>
      <c r="L730"/>
      <c r="M730"/>
      <c r="N730"/>
      <c r="O730" s="153" t="str">
        <f>IF(L730&lt;&gt;"",IFERROR(VLOOKUP(B730&amp;L730,Pools!$A$2:$D$130,3,FALSE),""),"")</f>
        <v/>
      </c>
      <c r="P730" s="388"/>
      <c r="Q730" s="388"/>
      <c r="R730" s="306" t="str">
        <f t="shared" si="495"/>
        <v>-</v>
      </c>
      <c r="S730" s="153"/>
      <c r="T730" s="148" t="str">
        <f t="shared" si="496"/>
        <v>Pending</v>
      </c>
      <c r="U730" s="153"/>
      <c r="V730" s="153"/>
      <c r="W730" s="387">
        <f t="shared" si="497"/>
        <v>0</v>
      </c>
      <c r="X730" s="387">
        <f t="shared" si="498"/>
        <v>0</v>
      </c>
      <c r="Y730" s="301" t="str">
        <f t="shared" si="499"/>
        <v>X</v>
      </c>
      <c r="Z730" s="301" t="str">
        <f t="shared" si="500"/>
        <v>X</v>
      </c>
      <c r="AA730" s="323" t="str">
        <f>CONCATENATE("                x[team1,team2,sport,'",IF(OR(I730="x",I730=""),VLOOKUP('Schedule from TM'!J731,Tables!$P$3:$Q$33,2,FALSE),'Schedule from TM'!I731),",",J730,"','",IF(OR(F730="x",F730=""),VLOOKUP('Schedule from TM'!G731,Tables!$U$3:$V$14,2,FALSE),'Schedule from TM'!F731),",",TEXT(G730,"mm/dd/yyyy"),"','",TEXT(H730,"h:mm:ss AM/PM"),"'].ub=0.0      #",B730)</f>
        <v xml:space="preserve">                x[team1,team2,sport,'11,JCC Back Field 3','22,11/22/2017','5:10:00 PM'].ub=0.0      #Ch D Female Dodgeball</v>
      </c>
      <c r="AB730" s="301" t="str">
        <f t="shared" si="501"/>
        <v>,,Ch D Female Dodgeball,,1,</v>
      </c>
      <c r="AC730" s="153" t="str">
        <f t="shared" si="502"/>
        <v>Ch D Female Dodgeball</v>
      </c>
      <c r="AD730" s="301" t="str">
        <f t="shared" si="503"/>
        <v>,,Ch D Female Dodgeball,,1,</v>
      </c>
      <c r="AE730" s="153" t="str">
        <f t="shared" si="504"/>
        <v>Ch D Female Dodgeball</v>
      </c>
      <c r="AF730" s="383">
        <f t="shared" si="505"/>
        <v>0</v>
      </c>
      <c r="AG730" s="383">
        <f t="shared" si="506"/>
        <v>0</v>
      </c>
      <c r="AH730" s="383">
        <f t="shared" si="507"/>
        <v>0</v>
      </c>
      <c r="AI730" s="383">
        <f t="shared" si="508"/>
        <v>0</v>
      </c>
      <c r="AJ730" s="383">
        <f t="shared" si="509"/>
        <v>0</v>
      </c>
      <c r="AK730" s="383">
        <f t="shared" si="510"/>
        <v>0</v>
      </c>
      <c r="AM730" s="148" t="str">
        <f t="shared" si="511"/>
        <v>Schedulled</v>
      </c>
      <c r="AN730" s="148" t="str">
        <f t="shared" si="512"/>
        <v>Schedulled no team</v>
      </c>
      <c r="AO730" s="156">
        <f t="shared" si="513"/>
        <v>43061.715277777781</v>
      </c>
      <c r="AP730" s="148" t="str">
        <f t="shared" si="514"/>
        <v>11/22/2017 17:10-&gt;JCC Back Field 3</v>
      </c>
      <c r="AQ730" s="374">
        <f t="shared" si="515"/>
        <v>1</v>
      </c>
      <c r="AR730" s="148" t="str">
        <f t="shared" si="516"/>
        <v/>
      </c>
      <c r="AS730" s="148" t="str">
        <f t="shared" si="517"/>
        <v/>
      </c>
      <c r="AT730" s="157" t="str">
        <f t="shared" si="518"/>
        <v/>
      </c>
      <c r="AU730" s="157" t="str">
        <f t="shared" si="519"/>
        <v>Dodgeball Tournament</v>
      </c>
      <c r="AV730" s="157" t="str">
        <f t="shared" si="520"/>
        <v>CHILDREN D FEMALE</v>
      </c>
      <c r="AW730" s="157" t="str">
        <f t="shared" si="521"/>
        <v>Dodgeball</v>
      </c>
      <c r="AX730" s="376">
        <f t="shared" si="522"/>
        <v>728</v>
      </c>
      <c r="AY730" s="148" t="str">
        <f t="shared" si="523"/>
        <v>-&gt;</v>
      </c>
      <c r="AZ730" s="148" t="str">
        <f t="shared" si="524"/>
        <v>11/22/2017 17:10-&gt;</v>
      </c>
      <c r="BA730" s="148" t="str">
        <f t="shared" si="525"/>
        <v>11/22/2017 17:10-&gt;</v>
      </c>
      <c r="BB730" s="374">
        <f t="shared" si="526"/>
        <v>0</v>
      </c>
      <c r="BC730" s="374">
        <f t="shared" si="527"/>
        <v>0</v>
      </c>
      <c r="BD730" s="148" t="str">
        <f t="shared" si="528"/>
        <v>no conflict</v>
      </c>
      <c r="BF730" s="148" t="str">
        <f t="shared" si="529"/>
        <v>11/22/2017 17:10-&gt;</v>
      </c>
      <c r="BG730" s="148" t="str">
        <f t="shared" si="530"/>
        <v>11/22/2017 17:10-&gt;</v>
      </c>
      <c r="BH730" s="148" t="str">
        <f t="shared" si="531"/>
        <v>11/22/2017 17:10-&gt;JCC Back Field 3</v>
      </c>
      <c r="BI730" s="148" t="str">
        <f t="shared" si="532"/>
        <v>Dodgeball in JCC Back Field 3 ()</v>
      </c>
      <c r="BJ730" s="148" t="str">
        <f t="shared" si="533"/>
        <v xml:space="preserve">Ch D Female Dodgeball--  vs. </v>
      </c>
      <c r="BK730" s="148" t="str">
        <f t="shared" si="534"/>
        <v>Dodgeball</v>
      </c>
      <c r="BL730" s="148">
        <f t="shared" si="535"/>
        <v>0</v>
      </c>
      <c r="BM730" s="148">
        <f t="shared" si="536"/>
        <v>0</v>
      </c>
      <c r="BN730" s="148" t="str">
        <f t="shared" si="537"/>
        <v>Tournament</v>
      </c>
      <c r="BP730" s="148" t="str">
        <f t="shared" si="538"/>
        <v>11/22/2017 17:10-&gt;CHILDREN D FEMALE</v>
      </c>
      <c r="BQ730" s="148" t="str">
        <f t="shared" si="539"/>
        <v>Dodgeball Tournament in JCC Back Field 3</v>
      </c>
    </row>
    <row r="731" spans="1:69" ht="15" customHeight="1" x14ac:dyDescent="0.2">
      <c r="A731" s="376">
        <v>729</v>
      </c>
      <c r="B731" s="441" t="s">
        <v>51</v>
      </c>
      <c r="C731" s="441" t="s">
        <v>711</v>
      </c>
      <c r="D731" s="450">
        <v>1</v>
      </c>
      <c r="E731" s="450">
        <v>1</v>
      </c>
      <c r="F731" s="315" t="s">
        <v>770</v>
      </c>
      <c r="G731" s="320">
        <v>43061</v>
      </c>
      <c r="H731" s="318">
        <v>0.71527777777777779</v>
      </c>
      <c r="I731" s="325" t="s">
        <v>770</v>
      </c>
      <c r="J731" s="441" t="s">
        <v>694</v>
      </c>
      <c r="K731" s="444"/>
      <c r="L731"/>
      <c r="M731"/>
      <c r="N731"/>
      <c r="O731" s="153" t="str">
        <f>IF(L731&lt;&gt;"",IFERROR(VLOOKUP(B731&amp;L731,Pools!$A$2:$D$130,3,FALSE),""),"")</f>
        <v/>
      </c>
      <c r="P731" s="388"/>
      <c r="Q731" s="388"/>
      <c r="R731" s="306" t="str">
        <f t="shared" si="495"/>
        <v>-</v>
      </c>
      <c r="S731" s="153"/>
      <c r="T731" s="148" t="str">
        <f t="shared" si="496"/>
        <v>Pending</v>
      </c>
      <c r="U731" s="153"/>
      <c r="V731" s="153"/>
      <c r="W731" s="387">
        <f t="shared" si="497"/>
        <v>0</v>
      </c>
      <c r="X731" s="387">
        <f t="shared" si="498"/>
        <v>0</v>
      </c>
      <c r="Y731" s="301" t="str">
        <f t="shared" si="499"/>
        <v>X</v>
      </c>
      <c r="Z731" s="301" t="str">
        <f t="shared" si="500"/>
        <v>X</v>
      </c>
      <c r="AA731" s="323" t="str">
        <f>CONCATENATE("                x[team1,team2,sport,'",IF(OR(I731="x",I731=""),VLOOKUP('Schedule from TM'!J732,Tables!$P$3:$Q$33,2,FALSE),'Schedule from TM'!I732),",",J731,"','",IF(OR(F731="x",F731=""),VLOOKUP('Schedule from TM'!G732,Tables!$U$3:$V$14,2,FALSE),'Schedule from TM'!F732),",",TEXT(G731,"mm/dd/yyyy"),"','",TEXT(H731,"h:mm:ss AM/PM"),"'].ub=0.0      #",B731)</f>
        <v xml:space="preserve">                x[team1,team2,sport,'11,JCC Back Field 4','22,11/22/2017','5:10:00 PM'].ub=0.0      #Ch D Female Dodgeball</v>
      </c>
      <c r="AB731" s="301" t="str">
        <f t="shared" si="501"/>
        <v>,,Ch D Female Dodgeball,,1,</v>
      </c>
      <c r="AC731" s="153" t="str">
        <f t="shared" si="502"/>
        <v>Ch D Female Dodgeball</v>
      </c>
      <c r="AD731" s="301" t="str">
        <f t="shared" si="503"/>
        <v>,,Ch D Female Dodgeball,,1,</v>
      </c>
      <c r="AE731" s="153" t="str">
        <f t="shared" si="504"/>
        <v>Ch D Female Dodgeball</v>
      </c>
      <c r="AF731" s="383">
        <f t="shared" si="505"/>
        <v>0</v>
      </c>
      <c r="AG731" s="383">
        <f t="shared" si="506"/>
        <v>0</v>
      </c>
      <c r="AH731" s="383">
        <f t="shared" si="507"/>
        <v>0</v>
      </c>
      <c r="AI731" s="383">
        <f t="shared" si="508"/>
        <v>0</v>
      </c>
      <c r="AJ731" s="383">
        <f t="shared" si="509"/>
        <v>0</v>
      </c>
      <c r="AK731" s="383">
        <f t="shared" si="510"/>
        <v>0</v>
      </c>
      <c r="AM731" s="148" t="str">
        <f t="shared" si="511"/>
        <v>Schedulled</v>
      </c>
      <c r="AN731" s="148" t="str">
        <f t="shared" si="512"/>
        <v>Schedulled no team</v>
      </c>
      <c r="AO731" s="156">
        <f t="shared" si="513"/>
        <v>43061.715277777781</v>
      </c>
      <c r="AP731" s="148" t="str">
        <f t="shared" si="514"/>
        <v>11/22/2017 17:10-&gt;JCC Back Field 4</v>
      </c>
      <c r="AQ731" s="374">
        <f t="shared" si="515"/>
        <v>1</v>
      </c>
      <c r="AR731" s="148" t="str">
        <f t="shared" si="516"/>
        <v/>
      </c>
      <c r="AS731" s="148" t="str">
        <f t="shared" si="517"/>
        <v/>
      </c>
      <c r="AT731" s="157" t="str">
        <f t="shared" si="518"/>
        <v/>
      </c>
      <c r="AU731" s="157" t="str">
        <f t="shared" si="519"/>
        <v>Dodgeball Tournament</v>
      </c>
      <c r="AV731" s="157" t="str">
        <f t="shared" si="520"/>
        <v>CHILDREN D FEMALE</v>
      </c>
      <c r="AW731" s="157" t="str">
        <f t="shared" si="521"/>
        <v>Dodgeball</v>
      </c>
      <c r="AX731" s="376">
        <f t="shared" si="522"/>
        <v>729</v>
      </c>
      <c r="AY731" s="148" t="str">
        <f t="shared" si="523"/>
        <v>-&gt;</v>
      </c>
      <c r="AZ731" s="148" t="str">
        <f t="shared" si="524"/>
        <v>11/22/2017 17:10-&gt;</v>
      </c>
      <c r="BA731" s="148" t="str">
        <f t="shared" si="525"/>
        <v>11/22/2017 17:10-&gt;</v>
      </c>
      <c r="BB731" s="374">
        <f t="shared" si="526"/>
        <v>0</v>
      </c>
      <c r="BC731" s="374">
        <f t="shared" si="527"/>
        <v>0</v>
      </c>
      <c r="BD731" s="148" t="str">
        <f t="shared" si="528"/>
        <v>no conflict</v>
      </c>
      <c r="BF731" s="148" t="str">
        <f t="shared" si="529"/>
        <v>11/22/2017 17:10-&gt;</v>
      </c>
      <c r="BG731" s="148" t="str">
        <f t="shared" si="530"/>
        <v>11/22/2017 17:10-&gt;</v>
      </c>
      <c r="BH731" s="148" t="str">
        <f t="shared" si="531"/>
        <v>11/22/2017 17:10-&gt;JCC Back Field 4</v>
      </c>
      <c r="BI731" s="148" t="str">
        <f t="shared" si="532"/>
        <v>Dodgeball in JCC Back Field 4 ()</v>
      </c>
      <c r="BJ731" s="148" t="str">
        <f t="shared" si="533"/>
        <v xml:space="preserve">Ch D Female Dodgeball--  vs. </v>
      </c>
      <c r="BK731" s="148" t="str">
        <f t="shared" si="534"/>
        <v>Dodgeball</v>
      </c>
      <c r="BL731" s="148">
        <f t="shared" si="535"/>
        <v>0</v>
      </c>
      <c r="BM731" s="148">
        <f t="shared" si="536"/>
        <v>0</v>
      </c>
      <c r="BN731" s="148" t="str">
        <f t="shared" si="537"/>
        <v>Tournament</v>
      </c>
      <c r="BP731" s="148" t="str">
        <f t="shared" si="538"/>
        <v>11/22/2017 17:10-&gt;CHILDREN D FEMALE</v>
      </c>
      <c r="BQ731" s="148" t="str">
        <f t="shared" si="539"/>
        <v>Dodgeball Tournament in JCC Back Field 4</v>
      </c>
    </row>
    <row r="732" spans="1:69" ht="15" customHeight="1" x14ac:dyDescent="0.2">
      <c r="A732" s="376">
        <v>730</v>
      </c>
      <c r="B732" s="441" t="s">
        <v>51</v>
      </c>
      <c r="C732" s="441" t="s">
        <v>711</v>
      </c>
      <c r="D732" s="450">
        <v>1</v>
      </c>
      <c r="E732" s="450">
        <v>1</v>
      </c>
      <c r="F732" s="315" t="s">
        <v>770</v>
      </c>
      <c r="G732" s="320">
        <v>43061</v>
      </c>
      <c r="H732" s="318">
        <v>0.71527777777777779</v>
      </c>
      <c r="I732" s="325" t="s">
        <v>770</v>
      </c>
      <c r="J732" s="441" t="s">
        <v>688</v>
      </c>
      <c r="K732" s="315"/>
      <c r="L732" s="433"/>
      <c r="M732" s="433"/>
      <c r="N732" s="433"/>
      <c r="O732" s="153" t="str">
        <f>IF(L732&lt;&gt;"",IFERROR(VLOOKUP(B732&amp;L732,Pools!$A$2:$D$130,3,FALSE),""),"")</f>
        <v/>
      </c>
      <c r="P732" s="388"/>
      <c r="Q732" s="388"/>
      <c r="R732" s="306" t="str">
        <f t="shared" si="495"/>
        <v>-</v>
      </c>
      <c r="S732" s="153"/>
      <c r="T732" s="148" t="str">
        <f t="shared" si="496"/>
        <v>Pending</v>
      </c>
      <c r="U732" s="153"/>
      <c r="V732" s="153"/>
      <c r="W732" s="387">
        <f t="shared" si="497"/>
        <v>0</v>
      </c>
      <c r="X732" s="387">
        <f t="shared" si="498"/>
        <v>0</v>
      </c>
      <c r="Y732" s="301" t="str">
        <f t="shared" si="499"/>
        <v>X</v>
      </c>
      <c r="Z732" s="301" t="str">
        <f t="shared" si="500"/>
        <v>X</v>
      </c>
      <c r="AA732" s="323" t="str">
        <f>CONCATENATE("                x[team1,team2,sport,'",IF(OR(I732="x",I732=""),VLOOKUP('Schedule from TM'!J733,Tables!$P$3:$Q$33,2,FALSE),'Schedule from TM'!I733),",",J732,"','",IF(OR(F732="x",F732=""),VLOOKUP('Schedule from TM'!G733,Tables!$U$3:$V$14,2,FALSE),'Schedule from TM'!F733),",",TEXT(G732,"mm/dd/yyyy"),"','",TEXT(H732,"h:mm:ss AM/PM"),"'].ub=0.0      #",B732)</f>
        <v xml:space="preserve">                x[team1,team2,sport,'11,JCC Basketball Out 1','22,11/22/2017','5:10:00 PM'].ub=0.0      #Ch D Female Dodgeball</v>
      </c>
      <c r="AB732" s="301" t="str">
        <f t="shared" si="501"/>
        <v>,,Ch D Female Dodgeball,,1,</v>
      </c>
      <c r="AC732" s="153" t="str">
        <f t="shared" si="502"/>
        <v>Ch D Female Dodgeball</v>
      </c>
      <c r="AD732" s="301" t="str">
        <f t="shared" si="503"/>
        <v>,,Ch D Female Dodgeball,,1,</v>
      </c>
      <c r="AE732" s="153" t="str">
        <f t="shared" si="504"/>
        <v>Ch D Female Dodgeball</v>
      </c>
      <c r="AF732" s="383">
        <f t="shared" si="505"/>
        <v>0</v>
      </c>
      <c r="AG732" s="383">
        <f t="shared" si="506"/>
        <v>0</v>
      </c>
      <c r="AH732" s="383">
        <f t="shared" si="507"/>
        <v>0</v>
      </c>
      <c r="AI732" s="383">
        <f t="shared" si="508"/>
        <v>0</v>
      </c>
      <c r="AJ732" s="383">
        <f t="shared" si="509"/>
        <v>0</v>
      </c>
      <c r="AK732" s="383">
        <f t="shared" si="510"/>
        <v>0</v>
      </c>
      <c r="AM732" s="148" t="str">
        <f t="shared" si="511"/>
        <v>Schedulled</v>
      </c>
      <c r="AN732" s="148" t="str">
        <f t="shared" si="512"/>
        <v>Schedulled no team</v>
      </c>
      <c r="AO732" s="156">
        <f t="shared" si="513"/>
        <v>43061.715277777781</v>
      </c>
      <c r="AP732" s="148" t="str">
        <f t="shared" si="514"/>
        <v>11/22/2017 17:10-&gt;JCC Basketball Out 1</v>
      </c>
      <c r="AQ732" s="374">
        <f t="shared" si="515"/>
        <v>1</v>
      </c>
      <c r="AR732" s="148" t="str">
        <f t="shared" si="516"/>
        <v/>
      </c>
      <c r="AS732" s="148" t="str">
        <f t="shared" si="517"/>
        <v/>
      </c>
      <c r="AT732" s="157" t="str">
        <f t="shared" si="518"/>
        <v/>
      </c>
      <c r="AU732" s="157" t="str">
        <f t="shared" si="519"/>
        <v>Dodgeball Tournament</v>
      </c>
      <c r="AV732" s="157" t="str">
        <f t="shared" si="520"/>
        <v>CHILDREN D FEMALE</v>
      </c>
      <c r="AW732" s="157" t="str">
        <f t="shared" si="521"/>
        <v>Dodgeball</v>
      </c>
      <c r="AX732" s="376">
        <f t="shared" si="522"/>
        <v>730</v>
      </c>
      <c r="AY732" s="148" t="str">
        <f t="shared" si="523"/>
        <v>-&gt;</v>
      </c>
      <c r="AZ732" s="148" t="str">
        <f t="shared" si="524"/>
        <v>11/22/2017 17:10-&gt;</v>
      </c>
      <c r="BA732" s="148" t="str">
        <f t="shared" si="525"/>
        <v>11/22/2017 17:10-&gt;</v>
      </c>
      <c r="BB732" s="374">
        <f t="shared" si="526"/>
        <v>0</v>
      </c>
      <c r="BC732" s="374">
        <f t="shared" si="527"/>
        <v>0</v>
      </c>
      <c r="BD732" s="148" t="str">
        <f t="shared" si="528"/>
        <v>no conflict</v>
      </c>
      <c r="BF732" s="148" t="str">
        <f t="shared" si="529"/>
        <v>11/22/2017 17:10-&gt;</v>
      </c>
      <c r="BG732" s="148" t="str">
        <f t="shared" si="530"/>
        <v>11/22/2017 17:10-&gt;</v>
      </c>
      <c r="BH732" s="148" t="str">
        <f t="shared" si="531"/>
        <v>11/22/2017 17:10-&gt;JCC Basketball Out 1</v>
      </c>
      <c r="BI732" s="148" t="str">
        <f t="shared" si="532"/>
        <v>Dodgeball in JCC Basketball Out 1 ()</v>
      </c>
      <c r="BJ732" s="148" t="str">
        <f t="shared" si="533"/>
        <v xml:space="preserve">Ch D Female Dodgeball--  vs. </v>
      </c>
      <c r="BK732" s="148" t="str">
        <f t="shared" si="534"/>
        <v>Dodgeball</v>
      </c>
      <c r="BL732" s="148">
        <f t="shared" si="535"/>
        <v>0</v>
      </c>
      <c r="BM732" s="148">
        <f t="shared" si="536"/>
        <v>0</v>
      </c>
      <c r="BN732" s="148" t="str">
        <f t="shared" si="537"/>
        <v>Tournament</v>
      </c>
      <c r="BP732" s="148" t="str">
        <f t="shared" si="538"/>
        <v>11/22/2017 17:10-&gt;CHILDREN D FEMALE</v>
      </c>
      <c r="BQ732" s="148" t="str">
        <f t="shared" si="539"/>
        <v>Dodgeball Tournament in JCC Basketball Out 1</v>
      </c>
    </row>
    <row r="733" spans="1:69" ht="15" customHeight="1" x14ac:dyDescent="0.2">
      <c r="A733" s="376">
        <v>731</v>
      </c>
      <c r="B733" s="441" t="s">
        <v>51</v>
      </c>
      <c r="C733" s="441" t="s">
        <v>711</v>
      </c>
      <c r="D733" s="450">
        <v>1</v>
      </c>
      <c r="E733" s="450">
        <v>1</v>
      </c>
      <c r="F733" s="315" t="s">
        <v>770</v>
      </c>
      <c r="G733" s="320">
        <v>43061</v>
      </c>
      <c r="H733" s="318">
        <v>0.71527777777777779</v>
      </c>
      <c r="I733" s="325" t="s">
        <v>770</v>
      </c>
      <c r="J733" s="441" t="s">
        <v>709</v>
      </c>
      <c r="K733" s="444"/>
      <c r="L733" s="433"/>
      <c r="M733" s="433"/>
      <c r="N733" s="433"/>
      <c r="O733" s="153" t="str">
        <f>IF(L733&lt;&gt;"",IFERROR(VLOOKUP(B733&amp;L733,Pools!$A$2:$D$130,3,FALSE),""),"")</f>
        <v/>
      </c>
      <c r="P733" s="388"/>
      <c r="Q733" s="388"/>
      <c r="R733" s="306" t="str">
        <f t="shared" si="495"/>
        <v>-</v>
      </c>
      <c r="S733" s="153"/>
      <c r="T733" s="148" t="str">
        <f t="shared" si="496"/>
        <v>Pending</v>
      </c>
      <c r="U733" s="153"/>
      <c r="V733" s="153"/>
      <c r="W733" s="387">
        <f t="shared" si="497"/>
        <v>0</v>
      </c>
      <c r="X733" s="387">
        <f t="shared" si="498"/>
        <v>0</v>
      </c>
      <c r="Y733" s="301" t="str">
        <f t="shared" si="499"/>
        <v>X</v>
      </c>
      <c r="Z733" s="301" t="str">
        <f t="shared" si="500"/>
        <v>X</v>
      </c>
      <c r="AA733" s="323" t="str">
        <f>CONCATENATE("                x[team1,team2,sport,'",IF(OR(I733="x",I733=""),VLOOKUP('Schedule from TM'!J734,Tables!$P$3:$Q$33,2,FALSE),'Schedule from TM'!I734),",",J733,"','",IF(OR(F733="x",F733=""),VLOOKUP('Schedule from TM'!G734,Tables!$U$3:$V$14,2,FALSE),'Schedule from TM'!F734),",",TEXT(G733,"mm/dd/yyyy"),"','",TEXT(H733,"h:mm:ss AM/PM"),"'].ub=0.0      #",B733)</f>
        <v xml:space="preserve">                x[team1,team2,sport,'11,JCC Basketball Out 2','21,11/22/2017','5:10:00 PM'].ub=0.0      #Ch D Female Dodgeball</v>
      </c>
      <c r="AB733" s="301" t="str">
        <f t="shared" si="501"/>
        <v>,,Ch D Female Dodgeball,,1,</v>
      </c>
      <c r="AC733" s="153" t="str">
        <f t="shared" si="502"/>
        <v>Ch D Female Dodgeball</v>
      </c>
      <c r="AD733" s="301" t="str">
        <f t="shared" si="503"/>
        <v>,,Ch D Female Dodgeball,,1,</v>
      </c>
      <c r="AE733" s="153" t="str">
        <f t="shared" si="504"/>
        <v>Ch D Female Dodgeball</v>
      </c>
      <c r="AF733" s="383">
        <f t="shared" si="505"/>
        <v>0</v>
      </c>
      <c r="AG733" s="383">
        <f t="shared" si="506"/>
        <v>0</v>
      </c>
      <c r="AH733" s="383">
        <f t="shared" si="507"/>
        <v>0</v>
      </c>
      <c r="AI733" s="383">
        <f t="shared" si="508"/>
        <v>0</v>
      </c>
      <c r="AJ733" s="383">
        <f t="shared" si="509"/>
        <v>0</v>
      </c>
      <c r="AK733" s="383">
        <f t="shared" si="510"/>
        <v>0</v>
      </c>
      <c r="AM733" s="148" t="str">
        <f t="shared" si="511"/>
        <v>Schedulled</v>
      </c>
      <c r="AN733" s="148" t="str">
        <f t="shared" si="512"/>
        <v>Schedulled no team</v>
      </c>
      <c r="AO733" s="156">
        <f t="shared" si="513"/>
        <v>43061.715277777781</v>
      </c>
      <c r="AP733" s="148" t="str">
        <f t="shared" si="514"/>
        <v>11/22/2017 17:10-&gt;JCC Basketball Out 2</v>
      </c>
      <c r="AQ733" s="374">
        <f t="shared" si="515"/>
        <v>1</v>
      </c>
      <c r="AR733" s="148" t="str">
        <f t="shared" si="516"/>
        <v/>
      </c>
      <c r="AS733" s="148" t="str">
        <f t="shared" si="517"/>
        <v/>
      </c>
      <c r="AT733" s="157" t="str">
        <f t="shared" si="518"/>
        <v/>
      </c>
      <c r="AU733" s="157" t="str">
        <f t="shared" si="519"/>
        <v>Dodgeball Tournament</v>
      </c>
      <c r="AV733" s="157" t="str">
        <f t="shared" si="520"/>
        <v>CHILDREN D FEMALE</v>
      </c>
      <c r="AW733" s="157" t="str">
        <f t="shared" si="521"/>
        <v>Dodgeball</v>
      </c>
      <c r="AX733" s="376">
        <f t="shared" si="522"/>
        <v>731</v>
      </c>
      <c r="AY733" s="148" t="str">
        <f t="shared" si="523"/>
        <v>-&gt;</v>
      </c>
      <c r="AZ733" s="148" t="str">
        <f t="shared" si="524"/>
        <v>11/22/2017 17:10-&gt;</v>
      </c>
      <c r="BA733" s="148" t="str">
        <f t="shared" si="525"/>
        <v>11/22/2017 17:10-&gt;</v>
      </c>
      <c r="BB733" s="374">
        <f t="shared" si="526"/>
        <v>0</v>
      </c>
      <c r="BC733" s="374">
        <f t="shared" si="527"/>
        <v>0</v>
      </c>
      <c r="BD733" s="148" t="str">
        <f t="shared" si="528"/>
        <v>no conflict</v>
      </c>
      <c r="BF733" s="148" t="str">
        <f t="shared" si="529"/>
        <v>11/22/2017 17:10-&gt;</v>
      </c>
      <c r="BG733" s="148" t="str">
        <f t="shared" si="530"/>
        <v>11/22/2017 17:10-&gt;</v>
      </c>
      <c r="BH733" s="148" t="str">
        <f t="shared" si="531"/>
        <v>11/22/2017 17:10-&gt;JCC Basketball Out 2</v>
      </c>
      <c r="BI733" s="148" t="str">
        <f t="shared" si="532"/>
        <v>Dodgeball in JCC Basketball Out 2 ()</v>
      </c>
      <c r="BJ733" s="148" t="str">
        <f t="shared" si="533"/>
        <v xml:space="preserve">Ch D Female Dodgeball--  vs. </v>
      </c>
      <c r="BK733" s="148" t="str">
        <f t="shared" si="534"/>
        <v>Dodgeball</v>
      </c>
      <c r="BL733" s="148">
        <f t="shared" si="535"/>
        <v>0</v>
      </c>
      <c r="BM733" s="148">
        <f t="shared" si="536"/>
        <v>0</v>
      </c>
      <c r="BN733" s="148" t="str">
        <f t="shared" si="537"/>
        <v>Tournament</v>
      </c>
      <c r="BP733" s="148" t="str">
        <f t="shared" si="538"/>
        <v>11/22/2017 17:10-&gt;CHILDREN D FEMALE</v>
      </c>
      <c r="BQ733" s="148" t="str">
        <f t="shared" si="539"/>
        <v>Dodgeball Tournament in JCC Basketball Out 2</v>
      </c>
    </row>
    <row r="734" spans="1:69" ht="15" customHeight="1" x14ac:dyDescent="0.2">
      <c r="A734" s="376">
        <v>732</v>
      </c>
      <c r="B734" s="444" t="s">
        <v>56</v>
      </c>
      <c r="C734" s="315" t="s">
        <v>711</v>
      </c>
      <c r="D734" s="378">
        <v>1</v>
      </c>
      <c r="E734" s="378">
        <v>1</v>
      </c>
      <c r="F734" s="315" t="s">
        <v>770</v>
      </c>
      <c r="G734" s="316">
        <v>43057</v>
      </c>
      <c r="H734" s="317">
        <v>0.78472222222222221</v>
      </c>
      <c r="I734" s="325" t="s">
        <v>770</v>
      </c>
      <c r="J734" s="444" t="s">
        <v>695</v>
      </c>
      <c r="K734" s="444"/>
      <c r="L734" s="433"/>
      <c r="M734" s="433"/>
      <c r="N734" s="433"/>
      <c r="O734" s="153" t="str">
        <f>IF(L734&lt;&gt;"",IFERROR(VLOOKUP(B734&amp;L734,Pools!$A$2:$D$130,3,FALSE),""),"")</f>
        <v/>
      </c>
      <c r="P734" s="388"/>
      <c r="Q734" s="388"/>
      <c r="R734" s="306" t="str">
        <f t="shared" si="495"/>
        <v>-</v>
      </c>
      <c r="S734" s="153"/>
      <c r="T734" s="148" t="str">
        <f t="shared" si="496"/>
        <v>Pending</v>
      </c>
      <c r="U734" s="153"/>
      <c r="V734" s="153"/>
      <c r="W734" s="387">
        <f t="shared" si="497"/>
        <v>0</v>
      </c>
      <c r="X734" s="387">
        <f t="shared" si="498"/>
        <v>0</v>
      </c>
      <c r="Y734" s="301" t="str">
        <f t="shared" si="499"/>
        <v>X</v>
      </c>
      <c r="Z734" s="301" t="str">
        <f t="shared" si="500"/>
        <v>X</v>
      </c>
      <c r="AA734" s="323" t="str">
        <f>CONCATENATE("                x[team1,team2,sport,'",IF(OR(I734="x",I734=""),VLOOKUP('Schedule from TM'!J735,Tables!$P$3:$Q$33,2,FALSE),'Schedule from TM'!I735),",",J734,"','",IF(OR(F734="x",F734=""),VLOOKUP('Schedule from TM'!G735,Tables!$U$3:$V$14,2,FALSE),'Schedule from TM'!F735),",",TEXT(G734,"mm/dd/yyyy"),"','",TEXT(H734,"h:mm:ss AM/PM"),"'].ub=0.0      #",B734)</f>
        <v xml:space="preserve">                x[team1,team2,sport,'11,JCC Back Field 1','21,11/18/2017','6:50:00 PM'].ub=0.0      #Ch D Male Dodgeball</v>
      </c>
      <c r="AB734" s="301" t="str">
        <f t="shared" si="501"/>
        <v>,,Ch D Male Dodgeball,,1,</v>
      </c>
      <c r="AC734" s="153" t="str">
        <f t="shared" si="502"/>
        <v>Ch D Male Dodgeball</v>
      </c>
      <c r="AD734" s="301" t="str">
        <f t="shared" si="503"/>
        <v>,,Ch D Male Dodgeball,,1,</v>
      </c>
      <c r="AE734" s="153" t="str">
        <f t="shared" si="504"/>
        <v>Ch D Male Dodgeball</v>
      </c>
      <c r="AF734" s="383">
        <f t="shared" si="505"/>
        <v>0</v>
      </c>
      <c r="AG734" s="383">
        <f t="shared" si="506"/>
        <v>0</v>
      </c>
      <c r="AH734" s="383">
        <f t="shared" si="507"/>
        <v>0</v>
      </c>
      <c r="AI734" s="383">
        <f t="shared" si="508"/>
        <v>0</v>
      </c>
      <c r="AJ734" s="383">
        <f t="shared" si="509"/>
        <v>0</v>
      </c>
      <c r="AK734" s="383">
        <f t="shared" si="510"/>
        <v>0</v>
      </c>
      <c r="AM734" s="148" t="str">
        <f t="shared" si="511"/>
        <v>Schedulled</v>
      </c>
      <c r="AN734" s="148" t="str">
        <f t="shared" si="512"/>
        <v>Schedulled no team</v>
      </c>
      <c r="AO734" s="156">
        <f t="shared" si="513"/>
        <v>43057.784722222219</v>
      </c>
      <c r="AP734" s="148" t="str">
        <f t="shared" si="514"/>
        <v>11/18/2017 18:50-&gt;JCC Back Field 1</v>
      </c>
      <c r="AQ734" s="374">
        <f t="shared" si="515"/>
        <v>1</v>
      </c>
      <c r="AR734" s="148" t="str">
        <f t="shared" si="516"/>
        <v/>
      </c>
      <c r="AS734" s="148" t="str">
        <f t="shared" si="517"/>
        <v/>
      </c>
      <c r="AT734" s="157" t="str">
        <f t="shared" si="518"/>
        <v/>
      </c>
      <c r="AU734" s="157" t="str">
        <f t="shared" si="519"/>
        <v>Dodgeball Tournament</v>
      </c>
      <c r="AV734" s="157" t="str">
        <f t="shared" si="520"/>
        <v>CHILDREN D MALE</v>
      </c>
      <c r="AW734" s="157" t="str">
        <f t="shared" si="521"/>
        <v>Dodgeball</v>
      </c>
      <c r="AX734" s="376">
        <f t="shared" si="522"/>
        <v>732</v>
      </c>
      <c r="AY734" s="148" t="str">
        <f t="shared" si="523"/>
        <v>-&gt;</v>
      </c>
      <c r="AZ734" s="148" t="str">
        <f t="shared" si="524"/>
        <v>11/18/2017 18:50-&gt;</v>
      </c>
      <c r="BA734" s="148" t="str">
        <f t="shared" si="525"/>
        <v>11/18/2017 18:50-&gt;</v>
      </c>
      <c r="BB734" s="374">
        <f t="shared" si="526"/>
        <v>0</v>
      </c>
      <c r="BC734" s="374">
        <f t="shared" si="527"/>
        <v>0</v>
      </c>
      <c r="BD734" s="148" t="str">
        <f t="shared" si="528"/>
        <v>no conflict</v>
      </c>
      <c r="BF734" s="148" t="str">
        <f t="shared" si="529"/>
        <v>11/18/2017 18:50-&gt;</v>
      </c>
      <c r="BG734" s="148" t="str">
        <f t="shared" si="530"/>
        <v>11/18/2017 18:50-&gt;</v>
      </c>
      <c r="BH734" s="148" t="str">
        <f t="shared" si="531"/>
        <v>11/18/2017 18:50-&gt;JCC Back Field 1</v>
      </c>
      <c r="BI734" s="148" t="str">
        <f t="shared" si="532"/>
        <v>Dodgeball in JCC Back Field 1 ()</v>
      </c>
      <c r="BJ734" s="148" t="str">
        <f t="shared" si="533"/>
        <v xml:space="preserve">Ch D Male Dodgeball--  vs. </v>
      </c>
      <c r="BK734" s="148" t="str">
        <f t="shared" si="534"/>
        <v>Dodgeball</v>
      </c>
      <c r="BL734" s="148">
        <f t="shared" si="535"/>
        <v>0</v>
      </c>
      <c r="BM734" s="148">
        <f t="shared" si="536"/>
        <v>0</v>
      </c>
      <c r="BN734" s="148" t="str">
        <f t="shared" si="537"/>
        <v>Tournament</v>
      </c>
      <c r="BP734" s="148" t="str">
        <f t="shared" si="538"/>
        <v>11/18/2017 18:50-&gt;CHILDREN D MALE</v>
      </c>
      <c r="BQ734" s="148" t="str">
        <f t="shared" si="539"/>
        <v>Dodgeball Tournament in JCC Back Field 1</v>
      </c>
    </row>
    <row r="735" spans="1:69" ht="15" customHeight="1" x14ac:dyDescent="0.2">
      <c r="A735" s="376">
        <v>733</v>
      </c>
      <c r="B735" s="315" t="s">
        <v>56</v>
      </c>
      <c r="C735" s="315" t="s">
        <v>711</v>
      </c>
      <c r="D735" s="378">
        <v>1</v>
      </c>
      <c r="E735" s="378">
        <v>1</v>
      </c>
      <c r="F735" s="315" t="s">
        <v>770</v>
      </c>
      <c r="G735" s="316">
        <v>43057</v>
      </c>
      <c r="H735" s="317">
        <v>0.78472222222222221</v>
      </c>
      <c r="I735" s="325" t="s">
        <v>770</v>
      </c>
      <c r="J735" s="315" t="s">
        <v>693</v>
      </c>
      <c r="K735" s="444"/>
      <c r="L735" s="433"/>
      <c r="M735" s="433"/>
      <c r="N735" s="433"/>
      <c r="O735" s="153" t="str">
        <f>IF(L735&lt;&gt;"",IFERROR(VLOOKUP(B735&amp;L735,Pools!$A$2:$D$130,3,FALSE),""),"")</f>
        <v/>
      </c>
      <c r="P735" s="388"/>
      <c r="Q735" s="388"/>
      <c r="R735" s="306" t="str">
        <f t="shared" si="495"/>
        <v>-</v>
      </c>
      <c r="S735" s="153"/>
      <c r="T735" s="148" t="str">
        <f t="shared" si="496"/>
        <v>Pending</v>
      </c>
      <c r="U735" s="153"/>
      <c r="V735" s="153"/>
      <c r="W735" s="387">
        <f t="shared" si="497"/>
        <v>0</v>
      </c>
      <c r="X735" s="387">
        <f t="shared" si="498"/>
        <v>0</v>
      </c>
      <c r="Y735" s="301" t="str">
        <f t="shared" si="499"/>
        <v>X</v>
      </c>
      <c r="Z735" s="301" t="str">
        <f t="shared" si="500"/>
        <v>X</v>
      </c>
      <c r="AA735" s="323" t="str">
        <f>CONCATENATE("                x[team1,team2,sport,'",IF(OR(I735="x",I735=""),VLOOKUP('Schedule from TM'!J736,Tables!$P$3:$Q$33,2,FALSE),'Schedule from TM'!I736),",",J735,"','",IF(OR(F735="x",F735=""),VLOOKUP('Schedule from TM'!G736,Tables!$U$3:$V$14,2,FALSE),'Schedule from TM'!F736),",",TEXT(G735,"mm/dd/yyyy"),"','",TEXT(H735,"h:mm:ss AM/PM"),"'].ub=0.0      #",B735)</f>
        <v xml:space="preserve">                x[team1,team2,sport,'11,JCC Back Field 2','21,11/18/2017','6:50:00 PM'].ub=0.0      #Ch D Male Dodgeball</v>
      </c>
      <c r="AB735" s="301" t="str">
        <f t="shared" si="501"/>
        <v>,,Ch D Male Dodgeball,,1,</v>
      </c>
      <c r="AC735" s="153" t="str">
        <f t="shared" si="502"/>
        <v>Ch D Male Dodgeball</v>
      </c>
      <c r="AD735" s="301" t="str">
        <f t="shared" si="503"/>
        <v>,,Ch D Male Dodgeball,,1,</v>
      </c>
      <c r="AE735" s="153" t="str">
        <f t="shared" si="504"/>
        <v>Ch D Male Dodgeball</v>
      </c>
      <c r="AF735" s="383">
        <f t="shared" si="505"/>
        <v>0</v>
      </c>
      <c r="AG735" s="383">
        <f t="shared" si="506"/>
        <v>0</v>
      </c>
      <c r="AH735" s="383">
        <f t="shared" si="507"/>
        <v>0</v>
      </c>
      <c r="AI735" s="383">
        <f t="shared" si="508"/>
        <v>0</v>
      </c>
      <c r="AJ735" s="383">
        <f t="shared" si="509"/>
        <v>0</v>
      </c>
      <c r="AK735" s="383">
        <f t="shared" si="510"/>
        <v>0</v>
      </c>
      <c r="AM735" s="148" t="str">
        <f t="shared" si="511"/>
        <v>Schedulled</v>
      </c>
      <c r="AN735" s="148" t="str">
        <f t="shared" si="512"/>
        <v>Schedulled no team</v>
      </c>
      <c r="AO735" s="156">
        <f t="shared" si="513"/>
        <v>43057.784722222219</v>
      </c>
      <c r="AP735" s="148" t="str">
        <f t="shared" si="514"/>
        <v>11/18/2017 18:50-&gt;JCC Back Field 2</v>
      </c>
      <c r="AQ735" s="374">
        <f t="shared" si="515"/>
        <v>1</v>
      </c>
      <c r="AR735" s="148" t="str">
        <f t="shared" si="516"/>
        <v/>
      </c>
      <c r="AS735" s="148" t="str">
        <f t="shared" si="517"/>
        <v/>
      </c>
      <c r="AT735" s="157" t="str">
        <f t="shared" si="518"/>
        <v/>
      </c>
      <c r="AU735" s="157" t="str">
        <f t="shared" si="519"/>
        <v>Dodgeball Tournament</v>
      </c>
      <c r="AV735" s="157" t="str">
        <f t="shared" si="520"/>
        <v>CHILDREN D MALE</v>
      </c>
      <c r="AW735" s="157" t="str">
        <f t="shared" si="521"/>
        <v>Dodgeball</v>
      </c>
      <c r="AX735" s="376">
        <f t="shared" si="522"/>
        <v>733</v>
      </c>
      <c r="AY735" s="148" t="str">
        <f t="shared" si="523"/>
        <v>-&gt;</v>
      </c>
      <c r="AZ735" s="148" t="str">
        <f t="shared" si="524"/>
        <v>11/18/2017 18:50-&gt;</v>
      </c>
      <c r="BA735" s="148" t="str">
        <f t="shared" si="525"/>
        <v>11/18/2017 18:50-&gt;</v>
      </c>
      <c r="BB735" s="374">
        <f t="shared" si="526"/>
        <v>0</v>
      </c>
      <c r="BC735" s="374">
        <f t="shared" si="527"/>
        <v>0</v>
      </c>
      <c r="BD735" s="148" t="str">
        <f t="shared" si="528"/>
        <v>no conflict</v>
      </c>
      <c r="BF735" s="148" t="str">
        <f t="shared" si="529"/>
        <v>11/18/2017 18:50-&gt;</v>
      </c>
      <c r="BG735" s="148" t="str">
        <f t="shared" si="530"/>
        <v>11/18/2017 18:50-&gt;</v>
      </c>
      <c r="BH735" s="148" t="str">
        <f t="shared" si="531"/>
        <v>11/18/2017 18:50-&gt;JCC Back Field 2</v>
      </c>
      <c r="BI735" s="148" t="str">
        <f t="shared" si="532"/>
        <v>Dodgeball in JCC Back Field 2 ()</v>
      </c>
      <c r="BJ735" s="148" t="str">
        <f t="shared" si="533"/>
        <v xml:space="preserve">Ch D Male Dodgeball--  vs. </v>
      </c>
      <c r="BK735" s="148" t="str">
        <f t="shared" si="534"/>
        <v>Dodgeball</v>
      </c>
      <c r="BL735" s="148">
        <f t="shared" si="535"/>
        <v>0</v>
      </c>
      <c r="BM735" s="148">
        <f t="shared" si="536"/>
        <v>0</v>
      </c>
      <c r="BN735" s="148" t="str">
        <f t="shared" si="537"/>
        <v>Tournament</v>
      </c>
      <c r="BP735" s="148" t="str">
        <f t="shared" si="538"/>
        <v>11/18/2017 18:50-&gt;CHILDREN D MALE</v>
      </c>
      <c r="BQ735" s="148" t="str">
        <f t="shared" si="539"/>
        <v>Dodgeball Tournament in JCC Back Field 2</v>
      </c>
    </row>
    <row r="736" spans="1:69" ht="15" customHeight="1" x14ac:dyDescent="0.2">
      <c r="A736" s="376">
        <v>734</v>
      </c>
      <c r="B736" s="444" t="s">
        <v>56</v>
      </c>
      <c r="C736" s="444" t="s">
        <v>711</v>
      </c>
      <c r="D736" s="451">
        <v>1</v>
      </c>
      <c r="E736" s="451">
        <v>1</v>
      </c>
      <c r="F736" s="315" t="s">
        <v>770</v>
      </c>
      <c r="G736" s="316">
        <v>43057</v>
      </c>
      <c r="H736" s="317">
        <v>0.78472222222222221</v>
      </c>
      <c r="I736" s="325" t="s">
        <v>770</v>
      </c>
      <c r="J736" s="444" t="s">
        <v>692</v>
      </c>
      <c r="K736" s="444"/>
      <c r="L736"/>
      <c r="M736"/>
      <c r="N736"/>
      <c r="O736" s="153" t="str">
        <f>IF(L736&lt;&gt;"",IFERROR(VLOOKUP(B736&amp;L736,Pools!$A$2:$D$130,3,FALSE),""),"")</f>
        <v/>
      </c>
      <c r="P736" s="388"/>
      <c r="Q736" s="388"/>
      <c r="R736" s="306" t="str">
        <f t="shared" si="495"/>
        <v>-</v>
      </c>
      <c r="S736" s="153"/>
      <c r="T736" s="148" t="str">
        <f t="shared" si="496"/>
        <v>Pending</v>
      </c>
      <c r="U736" s="153"/>
      <c r="V736" s="153"/>
      <c r="W736" s="387">
        <f t="shared" si="497"/>
        <v>0</v>
      </c>
      <c r="X736" s="387">
        <f t="shared" si="498"/>
        <v>0</v>
      </c>
      <c r="Y736" s="301" t="str">
        <f t="shared" si="499"/>
        <v>X</v>
      </c>
      <c r="Z736" s="301" t="str">
        <f t="shared" si="500"/>
        <v>X</v>
      </c>
      <c r="AA736" s="323" t="str">
        <f>CONCATENATE("                x[team1,team2,sport,'",IF(OR(I736="x",I736=""),VLOOKUP('Schedule from TM'!J737,Tables!$P$3:$Q$33,2,FALSE),'Schedule from TM'!I737),",",J736,"','",IF(OR(F736="x",F736=""),VLOOKUP('Schedule from TM'!G737,Tables!$U$3:$V$14,2,FALSE),'Schedule from TM'!F737),",",TEXT(G736,"mm/dd/yyyy"),"','",TEXT(H736,"h:mm:ss AM/PM"),"'].ub=0.0      #",B736)</f>
        <v xml:space="preserve">                x[team1,team2,sport,'11,JCC Back Field 3','21,11/18/2017','6:50:00 PM'].ub=0.0      #Ch D Male Dodgeball</v>
      </c>
      <c r="AB736" s="301" t="str">
        <f t="shared" si="501"/>
        <v>,,Ch D Male Dodgeball,,1,</v>
      </c>
      <c r="AC736" s="153" t="str">
        <f t="shared" si="502"/>
        <v>Ch D Male Dodgeball</v>
      </c>
      <c r="AD736" s="301" t="str">
        <f t="shared" si="503"/>
        <v>,,Ch D Male Dodgeball,,1,</v>
      </c>
      <c r="AE736" s="153" t="str">
        <f t="shared" si="504"/>
        <v>Ch D Male Dodgeball</v>
      </c>
      <c r="AF736" s="383">
        <f t="shared" si="505"/>
        <v>0</v>
      </c>
      <c r="AG736" s="383">
        <f t="shared" si="506"/>
        <v>0</v>
      </c>
      <c r="AH736" s="383">
        <f t="shared" si="507"/>
        <v>0</v>
      </c>
      <c r="AI736" s="383">
        <f t="shared" si="508"/>
        <v>0</v>
      </c>
      <c r="AJ736" s="383">
        <f t="shared" si="509"/>
        <v>0</v>
      </c>
      <c r="AK736" s="383">
        <f t="shared" si="510"/>
        <v>0</v>
      </c>
      <c r="AM736" s="148" t="str">
        <f t="shared" si="511"/>
        <v>Schedulled</v>
      </c>
      <c r="AN736" s="148" t="str">
        <f t="shared" si="512"/>
        <v>Schedulled no team</v>
      </c>
      <c r="AO736" s="156">
        <f t="shared" si="513"/>
        <v>43057.784722222219</v>
      </c>
      <c r="AP736" s="148" t="str">
        <f t="shared" si="514"/>
        <v>11/18/2017 18:50-&gt;JCC Back Field 3</v>
      </c>
      <c r="AQ736" s="374">
        <f t="shared" si="515"/>
        <v>1</v>
      </c>
      <c r="AR736" s="148" t="str">
        <f t="shared" si="516"/>
        <v/>
      </c>
      <c r="AS736" s="148" t="str">
        <f t="shared" si="517"/>
        <v/>
      </c>
      <c r="AT736" s="157" t="str">
        <f t="shared" si="518"/>
        <v/>
      </c>
      <c r="AU736" s="157" t="str">
        <f t="shared" si="519"/>
        <v>Dodgeball Tournament</v>
      </c>
      <c r="AV736" s="157" t="str">
        <f t="shared" si="520"/>
        <v>CHILDREN D MALE</v>
      </c>
      <c r="AW736" s="157" t="str">
        <f t="shared" si="521"/>
        <v>Dodgeball</v>
      </c>
      <c r="AX736" s="376">
        <f t="shared" si="522"/>
        <v>734</v>
      </c>
      <c r="AY736" s="148" t="str">
        <f t="shared" si="523"/>
        <v>-&gt;</v>
      </c>
      <c r="AZ736" s="148" t="str">
        <f t="shared" si="524"/>
        <v>11/18/2017 18:50-&gt;</v>
      </c>
      <c r="BA736" s="148" t="str">
        <f t="shared" si="525"/>
        <v>11/18/2017 18:50-&gt;</v>
      </c>
      <c r="BB736" s="374">
        <f t="shared" si="526"/>
        <v>0</v>
      </c>
      <c r="BC736" s="374">
        <f t="shared" si="527"/>
        <v>0</v>
      </c>
      <c r="BD736" s="148" t="str">
        <f t="shared" si="528"/>
        <v>no conflict</v>
      </c>
      <c r="BF736" s="148" t="str">
        <f t="shared" si="529"/>
        <v>11/18/2017 18:50-&gt;</v>
      </c>
      <c r="BG736" s="148" t="str">
        <f t="shared" si="530"/>
        <v>11/18/2017 18:50-&gt;</v>
      </c>
      <c r="BH736" s="148" t="str">
        <f t="shared" si="531"/>
        <v>11/18/2017 18:50-&gt;JCC Back Field 3</v>
      </c>
      <c r="BI736" s="148" t="str">
        <f t="shared" si="532"/>
        <v>Dodgeball in JCC Back Field 3 ()</v>
      </c>
      <c r="BJ736" s="148" t="str">
        <f t="shared" si="533"/>
        <v xml:space="preserve">Ch D Male Dodgeball--  vs. </v>
      </c>
      <c r="BK736" s="148" t="str">
        <f t="shared" si="534"/>
        <v>Dodgeball</v>
      </c>
      <c r="BL736" s="148">
        <f t="shared" si="535"/>
        <v>0</v>
      </c>
      <c r="BM736" s="148">
        <f t="shared" si="536"/>
        <v>0</v>
      </c>
      <c r="BN736" s="148" t="str">
        <f t="shared" si="537"/>
        <v>Tournament</v>
      </c>
      <c r="BP736" s="148" t="str">
        <f t="shared" si="538"/>
        <v>11/18/2017 18:50-&gt;CHILDREN D MALE</v>
      </c>
      <c r="BQ736" s="148" t="str">
        <f t="shared" si="539"/>
        <v>Dodgeball Tournament in JCC Back Field 3</v>
      </c>
    </row>
    <row r="737" spans="1:69" ht="15" customHeight="1" x14ac:dyDescent="0.2">
      <c r="A737" s="376">
        <v>735</v>
      </c>
      <c r="B737" s="315" t="s">
        <v>56</v>
      </c>
      <c r="C737" s="315" t="s">
        <v>711</v>
      </c>
      <c r="D737" s="378">
        <v>1</v>
      </c>
      <c r="E737" s="378">
        <v>1</v>
      </c>
      <c r="F737" s="315" t="s">
        <v>770</v>
      </c>
      <c r="G737" s="316">
        <v>43057</v>
      </c>
      <c r="H737" s="317">
        <v>0.78472222222222221</v>
      </c>
      <c r="I737" s="325" t="s">
        <v>770</v>
      </c>
      <c r="J737" s="444" t="s">
        <v>694</v>
      </c>
      <c r="K737" s="315"/>
      <c r="L737"/>
      <c r="M737"/>
      <c r="N737"/>
      <c r="O737" s="153" t="str">
        <f>IF(L737&lt;&gt;"",IFERROR(VLOOKUP(B737&amp;L737,Pools!$A$2:$D$130,3,FALSE),""),"")</f>
        <v/>
      </c>
      <c r="P737" s="388"/>
      <c r="Q737" s="388"/>
      <c r="R737" s="306" t="str">
        <f t="shared" si="495"/>
        <v>-</v>
      </c>
      <c r="S737" s="153"/>
      <c r="T737" s="148" t="str">
        <f t="shared" si="496"/>
        <v>Pending</v>
      </c>
      <c r="U737" s="153"/>
      <c r="V737" s="153"/>
      <c r="W737" s="387">
        <f t="shared" si="497"/>
        <v>0</v>
      </c>
      <c r="X737" s="387">
        <f t="shared" si="498"/>
        <v>0</v>
      </c>
      <c r="Y737" s="301" t="str">
        <f t="shared" si="499"/>
        <v>X</v>
      </c>
      <c r="Z737" s="301" t="str">
        <f t="shared" si="500"/>
        <v>X</v>
      </c>
      <c r="AA737" s="323" t="str">
        <f>CONCATENATE("                x[team1,team2,sport,'",IF(OR(I737="x",I737=""),VLOOKUP('Schedule from TM'!J738,Tables!$P$3:$Q$33,2,FALSE),'Schedule from TM'!I738),",",J737,"','",IF(OR(F737="x",F737=""),VLOOKUP('Schedule from TM'!G738,Tables!$U$3:$V$14,2,FALSE),'Schedule from TM'!F738),",",TEXT(G737,"mm/dd/yyyy"),"','",TEXT(H737,"h:mm:ss AM/PM"),"'].ub=0.0      #",B737)</f>
        <v xml:space="preserve">                x[team1,team2,sport,'11,JCC Back Field 4','21,11/18/2017','6:50:00 PM'].ub=0.0      #Ch D Male Dodgeball</v>
      </c>
      <c r="AB737" s="301" t="str">
        <f t="shared" si="501"/>
        <v>,,Ch D Male Dodgeball,,1,</v>
      </c>
      <c r="AC737" s="153" t="str">
        <f t="shared" si="502"/>
        <v>Ch D Male Dodgeball</v>
      </c>
      <c r="AD737" s="301" t="str">
        <f t="shared" si="503"/>
        <v>,,Ch D Male Dodgeball,,1,</v>
      </c>
      <c r="AE737" s="153" t="str">
        <f t="shared" si="504"/>
        <v>Ch D Male Dodgeball</v>
      </c>
      <c r="AF737" s="383">
        <f t="shared" si="505"/>
        <v>0</v>
      </c>
      <c r="AG737" s="383">
        <f t="shared" si="506"/>
        <v>0</v>
      </c>
      <c r="AH737" s="383">
        <f t="shared" si="507"/>
        <v>0</v>
      </c>
      <c r="AI737" s="383">
        <f t="shared" si="508"/>
        <v>0</v>
      </c>
      <c r="AJ737" s="383">
        <f t="shared" si="509"/>
        <v>0</v>
      </c>
      <c r="AK737" s="383">
        <f t="shared" si="510"/>
        <v>0</v>
      </c>
      <c r="AM737" s="148" t="str">
        <f t="shared" si="511"/>
        <v>Schedulled</v>
      </c>
      <c r="AN737" s="148" t="str">
        <f t="shared" si="512"/>
        <v>Schedulled no team</v>
      </c>
      <c r="AO737" s="156">
        <f t="shared" si="513"/>
        <v>43057.784722222219</v>
      </c>
      <c r="AP737" s="148" t="str">
        <f t="shared" si="514"/>
        <v>11/18/2017 18:50-&gt;JCC Back Field 4</v>
      </c>
      <c r="AQ737" s="374">
        <f t="shared" si="515"/>
        <v>1</v>
      </c>
      <c r="AR737" s="148" t="str">
        <f t="shared" si="516"/>
        <v/>
      </c>
      <c r="AS737" s="148" t="str">
        <f t="shared" si="517"/>
        <v/>
      </c>
      <c r="AT737" s="157" t="str">
        <f t="shared" si="518"/>
        <v/>
      </c>
      <c r="AU737" s="157" t="str">
        <f t="shared" si="519"/>
        <v>Dodgeball Tournament</v>
      </c>
      <c r="AV737" s="157" t="str">
        <f t="shared" si="520"/>
        <v>CHILDREN D MALE</v>
      </c>
      <c r="AW737" s="157" t="str">
        <f t="shared" si="521"/>
        <v>Dodgeball</v>
      </c>
      <c r="AX737" s="376">
        <f t="shared" si="522"/>
        <v>735</v>
      </c>
      <c r="AY737" s="148" t="str">
        <f t="shared" si="523"/>
        <v>-&gt;</v>
      </c>
      <c r="AZ737" s="148" t="str">
        <f t="shared" si="524"/>
        <v>11/18/2017 18:50-&gt;</v>
      </c>
      <c r="BA737" s="148" t="str">
        <f t="shared" si="525"/>
        <v>11/18/2017 18:50-&gt;</v>
      </c>
      <c r="BB737" s="374">
        <f t="shared" si="526"/>
        <v>0</v>
      </c>
      <c r="BC737" s="374">
        <f t="shared" si="527"/>
        <v>0</v>
      </c>
      <c r="BD737" s="148" t="str">
        <f t="shared" si="528"/>
        <v>no conflict</v>
      </c>
      <c r="BF737" s="148" t="str">
        <f t="shared" si="529"/>
        <v>11/18/2017 18:50-&gt;</v>
      </c>
      <c r="BG737" s="148" t="str">
        <f t="shared" si="530"/>
        <v>11/18/2017 18:50-&gt;</v>
      </c>
      <c r="BH737" s="148" t="str">
        <f t="shared" si="531"/>
        <v>11/18/2017 18:50-&gt;JCC Back Field 4</v>
      </c>
      <c r="BI737" s="148" t="str">
        <f t="shared" si="532"/>
        <v>Dodgeball in JCC Back Field 4 ()</v>
      </c>
      <c r="BJ737" s="148" t="str">
        <f t="shared" si="533"/>
        <v xml:space="preserve">Ch D Male Dodgeball--  vs. </v>
      </c>
      <c r="BK737" s="148" t="str">
        <f t="shared" si="534"/>
        <v>Dodgeball</v>
      </c>
      <c r="BL737" s="148">
        <f t="shared" si="535"/>
        <v>0</v>
      </c>
      <c r="BM737" s="148">
        <f t="shared" si="536"/>
        <v>0</v>
      </c>
      <c r="BN737" s="148" t="str">
        <f t="shared" si="537"/>
        <v>Tournament</v>
      </c>
      <c r="BP737" s="148" t="str">
        <f t="shared" si="538"/>
        <v>11/18/2017 18:50-&gt;CHILDREN D MALE</v>
      </c>
      <c r="BQ737" s="148" t="str">
        <f t="shared" si="539"/>
        <v>Dodgeball Tournament in JCC Back Field 4</v>
      </c>
    </row>
    <row r="738" spans="1:69" ht="15" customHeight="1" x14ac:dyDescent="0.2">
      <c r="A738" s="376">
        <v>736</v>
      </c>
      <c r="B738" s="444" t="s">
        <v>56</v>
      </c>
      <c r="C738" s="444" t="s">
        <v>711</v>
      </c>
      <c r="D738" s="451">
        <v>1</v>
      </c>
      <c r="E738" s="451">
        <v>1</v>
      </c>
      <c r="F738" s="315" t="s">
        <v>770</v>
      </c>
      <c r="G738" s="316">
        <v>43057</v>
      </c>
      <c r="H738" s="317">
        <v>0.78472222222222221</v>
      </c>
      <c r="I738" s="325" t="s">
        <v>770</v>
      </c>
      <c r="J738" s="444" t="s">
        <v>688</v>
      </c>
      <c r="K738" s="444"/>
      <c r="L738"/>
      <c r="M738"/>
      <c r="N738"/>
      <c r="O738" s="153" t="str">
        <f>IF(L738&lt;&gt;"",IFERROR(VLOOKUP(B738&amp;L738,Pools!$A$2:$D$130,3,FALSE),""),"")</f>
        <v/>
      </c>
      <c r="P738" s="388"/>
      <c r="Q738" s="388"/>
      <c r="R738" s="306" t="str">
        <f t="shared" si="495"/>
        <v>-</v>
      </c>
      <c r="S738" s="153"/>
      <c r="T738" s="148" t="str">
        <f t="shared" si="496"/>
        <v>Pending</v>
      </c>
      <c r="U738" s="153"/>
      <c r="V738" s="153"/>
      <c r="W738" s="387">
        <f t="shared" si="497"/>
        <v>0</v>
      </c>
      <c r="X738" s="387">
        <f t="shared" si="498"/>
        <v>0</v>
      </c>
      <c r="Y738" s="301" t="str">
        <f t="shared" si="499"/>
        <v>X</v>
      </c>
      <c r="Z738" s="301" t="str">
        <f t="shared" si="500"/>
        <v>X</v>
      </c>
      <c r="AA738" s="323" t="str">
        <f>CONCATENATE("                x[team1,team2,sport,'",IF(OR(I738="x",I738=""),VLOOKUP('Schedule from TM'!J739,Tables!$P$3:$Q$33,2,FALSE),'Schedule from TM'!I739),",",J738,"','",IF(OR(F738="x",F738=""),VLOOKUP('Schedule from TM'!G739,Tables!$U$3:$V$14,2,FALSE),'Schedule from TM'!F739),",",TEXT(G738,"mm/dd/yyyy"),"','",TEXT(H738,"h:mm:ss AM/PM"),"'].ub=0.0      #",B738)</f>
        <v xml:space="preserve">                x[team1,team2,sport,'11,JCC Basketball Out 1','21,11/18/2017','6:50:00 PM'].ub=0.0      #Ch D Male Dodgeball</v>
      </c>
      <c r="AB738" s="301" t="str">
        <f t="shared" si="501"/>
        <v>,,Ch D Male Dodgeball,,1,</v>
      </c>
      <c r="AC738" s="153" t="str">
        <f t="shared" si="502"/>
        <v>Ch D Male Dodgeball</v>
      </c>
      <c r="AD738" s="301" t="str">
        <f t="shared" si="503"/>
        <v>,,Ch D Male Dodgeball,,1,</v>
      </c>
      <c r="AE738" s="153" t="str">
        <f t="shared" si="504"/>
        <v>Ch D Male Dodgeball</v>
      </c>
      <c r="AF738" s="383">
        <f t="shared" si="505"/>
        <v>0</v>
      </c>
      <c r="AG738" s="383">
        <f t="shared" si="506"/>
        <v>0</v>
      </c>
      <c r="AH738" s="383">
        <f t="shared" si="507"/>
        <v>0</v>
      </c>
      <c r="AI738" s="383">
        <f t="shared" si="508"/>
        <v>0</v>
      </c>
      <c r="AJ738" s="383">
        <f t="shared" si="509"/>
        <v>0</v>
      </c>
      <c r="AK738" s="383">
        <f t="shared" si="510"/>
        <v>0</v>
      </c>
      <c r="AM738" s="148" t="str">
        <f t="shared" si="511"/>
        <v>Schedulled</v>
      </c>
      <c r="AN738" s="148" t="str">
        <f t="shared" si="512"/>
        <v>Schedulled no team</v>
      </c>
      <c r="AO738" s="156">
        <f t="shared" si="513"/>
        <v>43057.784722222219</v>
      </c>
      <c r="AP738" s="148" t="str">
        <f t="shared" si="514"/>
        <v>11/18/2017 18:50-&gt;JCC Basketball Out 1</v>
      </c>
      <c r="AQ738" s="374">
        <f t="shared" si="515"/>
        <v>1</v>
      </c>
      <c r="AR738" s="148" t="str">
        <f t="shared" si="516"/>
        <v/>
      </c>
      <c r="AS738" s="148" t="str">
        <f t="shared" si="517"/>
        <v/>
      </c>
      <c r="AT738" s="157" t="str">
        <f t="shared" si="518"/>
        <v/>
      </c>
      <c r="AU738" s="157" t="str">
        <f t="shared" si="519"/>
        <v>Dodgeball Tournament</v>
      </c>
      <c r="AV738" s="157" t="str">
        <f t="shared" si="520"/>
        <v>CHILDREN D MALE</v>
      </c>
      <c r="AW738" s="157" t="str">
        <f t="shared" si="521"/>
        <v>Dodgeball</v>
      </c>
      <c r="AX738" s="376">
        <f t="shared" si="522"/>
        <v>736</v>
      </c>
      <c r="AY738" s="148" t="str">
        <f t="shared" si="523"/>
        <v>-&gt;</v>
      </c>
      <c r="AZ738" s="148" t="str">
        <f t="shared" si="524"/>
        <v>11/18/2017 18:50-&gt;</v>
      </c>
      <c r="BA738" s="148" t="str">
        <f t="shared" si="525"/>
        <v>11/18/2017 18:50-&gt;</v>
      </c>
      <c r="BB738" s="374">
        <f t="shared" si="526"/>
        <v>0</v>
      </c>
      <c r="BC738" s="374">
        <f t="shared" si="527"/>
        <v>0</v>
      </c>
      <c r="BD738" s="148" t="str">
        <f t="shared" si="528"/>
        <v>no conflict</v>
      </c>
      <c r="BF738" s="148" t="str">
        <f t="shared" si="529"/>
        <v>11/18/2017 18:50-&gt;</v>
      </c>
      <c r="BG738" s="148" t="str">
        <f t="shared" si="530"/>
        <v>11/18/2017 18:50-&gt;</v>
      </c>
      <c r="BH738" s="148" t="str">
        <f t="shared" si="531"/>
        <v>11/18/2017 18:50-&gt;JCC Basketball Out 1</v>
      </c>
      <c r="BI738" s="148" t="str">
        <f t="shared" si="532"/>
        <v>Dodgeball in JCC Basketball Out 1 ()</v>
      </c>
      <c r="BJ738" s="148" t="str">
        <f t="shared" si="533"/>
        <v xml:space="preserve">Ch D Male Dodgeball--  vs. </v>
      </c>
      <c r="BK738" s="148" t="str">
        <f t="shared" si="534"/>
        <v>Dodgeball</v>
      </c>
      <c r="BL738" s="148">
        <f t="shared" si="535"/>
        <v>0</v>
      </c>
      <c r="BM738" s="148">
        <f t="shared" si="536"/>
        <v>0</v>
      </c>
      <c r="BN738" s="148" t="str">
        <f t="shared" si="537"/>
        <v>Tournament</v>
      </c>
      <c r="BP738" s="148" t="str">
        <f t="shared" si="538"/>
        <v>11/18/2017 18:50-&gt;CHILDREN D MALE</v>
      </c>
      <c r="BQ738" s="148" t="str">
        <f t="shared" si="539"/>
        <v>Dodgeball Tournament in JCC Basketball Out 1</v>
      </c>
    </row>
    <row r="739" spans="1:69" ht="15" customHeight="1" x14ac:dyDescent="0.2">
      <c r="A739" s="376">
        <v>737</v>
      </c>
      <c r="B739" s="315" t="s">
        <v>56</v>
      </c>
      <c r="C739" s="315" t="s">
        <v>711</v>
      </c>
      <c r="D739" s="378">
        <v>1</v>
      </c>
      <c r="E739" s="378">
        <v>1</v>
      </c>
      <c r="F739" s="315" t="s">
        <v>770</v>
      </c>
      <c r="G739" s="316">
        <v>43057</v>
      </c>
      <c r="H739" s="317">
        <v>0.78472222222222221</v>
      </c>
      <c r="I739" s="325" t="s">
        <v>770</v>
      </c>
      <c r="J739" s="315" t="s">
        <v>709</v>
      </c>
      <c r="K739" s="315"/>
      <c r="L739"/>
      <c r="M739"/>
      <c r="N739"/>
      <c r="O739" s="153" t="str">
        <f>IF(L739&lt;&gt;"",IFERROR(VLOOKUP(B739&amp;L739,Pools!$A$2:$D$130,3,FALSE),""),"")</f>
        <v/>
      </c>
      <c r="P739" s="388"/>
      <c r="Q739" s="388"/>
      <c r="R739" s="306" t="str">
        <f t="shared" si="495"/>
        <v>-</v>
      </c>
      <c r="S739" s="153"/>
      <c r="T739" s="148" t="str">
        <f t="shared" si="496"/>
        <v>Pending</v>
      </c>
      <c r="U739" s="153"/>
      <c r="V739" s="153"/>
      <c r="W739" s="387">
        <f t="shared" si="497"/>
        <v>0</v>
      </c>
      <c r="X739" s="387">
        <f t="shared" si="498"/>
        <v>0</v>
      </c>
      <c r="Y739" s="301" t="str">
        <f t="shared" si="499"/>
        <v>X</v>
      </c>
      <c r="Z739" s="301" t="str">
        <f t="shared" si="500"/>
        <v>X</v>
      </c>
      <c r="AA739" s="323" t="str">
        <f>CONCATENATE("                x[team1,team2,sport,'",IF(OR(I739="x",I739=""),VLOOKUP('Schedule from TM'!J740,Tables!$P$3:$Q$33,2,FALSE),'Schedule from TM'!I740),",",J739,"','",IF(OR(F739="x",F739=""),VLOOKUP('Schedule from TM'!G740,Tables!$U$3:$V$14,2,FALSE),'Schedule from TM'!F740),",",TEXT(G739,"mm/dd/yyyy"),"','",TEXT(H739,"h:mm:ss AM/PM"),"'].ub=0.0      #",B739)</f>
        <v xml:space="preserve">                x[team1,team2,sport,'11,JCC Basketball Out 2','21,11/18/2017','6:50:00 PM'].ub=0.0      #Ch D Male Dodgeball</v>
      </c>
      <c r="AB739" s="301" t="str">
        <f t="shared" si="501"/>
        <v>,,Ch D Male Dodgeball,,1,</v>
      </c>
      <c r="AC739" s="153" t="str">
        <f t="shared" si="502"/>
        <v>Ch D Male Dodgeball</v>
      </c>
      <c r="AD739" s="301" t="str">
        <f t="shared" si="503"/>
        <v>,,Ch D Male Dodgeball,,1,</v>
      </c>
      <c r="AE739" s="153" t="str">
        <f t="shared" si="504"/>
        <v>Ch D Male Dodgeball</v>
      </c>
      <c r="AF739" s="383">
        <f t="shared" si="505"/>
        <v>0</v>
      </c>
      <c r="AG739" s="383">
        <f t="shared" si="506"/>
        <v>0</v>
      </c>
      <c r="AH739" s="383">
        <f t="shared" si="507"/>
        <v>0</v>
      </c>
      <c r="AI739" s="383">
        <f t="shared" si="508"/>
        <v>0</v>
      </c>
      <c r="AJ739" s="383">
        <f t="shared" si="509"/>
        <v>0</v>
      </c>
      <c r="AK739" s="383">
        <f t="shared" si="510"/>
        <v>0</v>
      </c>
      <c r="AM739" s="148" t="str">
        <f t="shared" si="511"/>
        <v>Schedulled</v>
      </c>
      <c r="AN739" s="148" t="str">
        <f t="shared" si="512"/>
        <v>Schedulled no team</v>
      </c>
      <c r="AO739" s="156">
        <f t="shared" si="513"/>
        <v>43057.784722222219</v>
      </c>
      <c r="AP739" s="148" t="str">
        <f t="shared" si="514"/>
        <v>11/18/2017 18:50-&gt;JCC Basketball Out 2</v>
      </c>
      <c r="AQ739" s="374">
        <f t="shared" si="515"/>
        <v>1</v>
      </c>
      <c r="AR739" s="148" t="str">
        <f t="shared" si="516"/>
        <v/>
      </c>
      <c r="AS739" s="148" t="str">
        <f t="shared" si="517"/>
        <v/>
      </c>
      <c r="AT739" s="157" t="str">
        <f t="shared" si="518"/>
        <v/>
      </c>
      <c r="AU739" s="157" t="str">
        <f t="shared" si="519"/>
        <v>Dodgeball Tournament</v>
      </c>
      <c r="AV739" s="157" t="str">
        <f t="shared" si="520"/>
        <v>CHILDREN D MALE</v>
      </c>
      <c r="AW739" s="157" t="str">
        <f t="shared" si="521"/>
        <v>Dodgeball</v>
      </c>
      <c r="AX739" s="376">
        <f t="shared" si="522"/>
        <v>737</v>
      </c>
      <c r="AY739" s="148" t="str">
        <f t="shared" si="523"/>
        <v>-&gt;</v>
      </c>
      <c r="AZ739" s="148" t="str">
        <f t="shared" si="524"/>
        <v>11/18/2017 18:50-&gt;</v>
      </c>
      <c r="BA739" s="148" t="str">
        <f t="shared" si="525"/>
        <v>11/18/2017 18:50-&gt;</v>
      </c>
      <c r="BB739" s="374">
        <f t="shared" si="526"/>
        <v>0</v>
      </c>
      <c r="BC739" s="374">
        <f t="shared" si="527"/>
        <v>0</v>
      </c>
      <c r="BD739" s="148" t="str">
        <f t="shared" si="528"/>
        <v>no conflict</v>
      </c>
      <c r="BF739" s="148" t="str">
        <f t="shared" si="529"/>
        <v>11/18/2017 18:50-&gt;</v>
      </c>
      <c r="BG739" s="148" t="str">
        <f t="shared" si="530"/>
        <v>11/18/2017 18:50-&gt;</v>
      </c>
      <c r="BH739" s="148" t="str">
        <f t="shared" si="531"/>
        <v>11/18/2017 18:50-&gt;JCC Basketball Out 2</v>
      </c>
      <c r="BI739" s="148" t="str">
        <f t="shared" si="532"/>
        <v>Dodgeball in JCC Basketball Out 2 ()</v>
      </c>
      <c r="BJ739" s="148" t="str">
        <f t="shared" si="533"/>
        <v xml:space="preserve">Ch D Male Dodgeball--  vs. </v>
      </c>
      <c r="BK739" s="148" t="str">
        <f t="shared" si="534"/>
        <v>Dodgeball</v>
      </c>
      <c r="BL739" s="148">
        <f t="shared" si="535"/>
        <v>0</v>
      </c>
      <c r="BM739" s="148">
        <f t="shared" si="536"/>
        <v>0</v>
      </c>
      <c r="BN739" s="148" t="str">
        <f t="shared" si="537"/>
        <v>Tournament</v>
      </c>
      <c r="BP739" s="148" t="str">
        <f t="shared" si="538"/>
        <v>11/18/2017 18:50-&gt;CHILDREN D MALE</v>
      </c>
      <c r="BQ739" s="148" t="str">
        <f t="shared" si="539"/>
        <v>Dodgeball Tournament in JCC Basketball Out 2</v>
      </c>
    </row>
    <row r="740" spans="1:69" ht="15" customHeight="1" x14ac:dyDescent="0.2">
      <c r="A740" s="376">
        <v>738</v>
      </c>
      <c r="B740" s="315" t="s">
        <v>56</v>
      </c>
      <c r="C740" s="315" t="s">
        <v>711</v>
      </c>
      <c r="D740" s="378">
        <v>1</v>
      </c>
      <c r="E740" s="378">
        <v>1</v>
      </c>
      <c r="F740" s="315" t="s">
        <v>770</v>
      </c>
      <c r="G740" s="316">
        <v>43057</v>
      </c>
      <c r="H740" s="317">
        <v>0.81944444444444453</v>
      </c>
      <c r="I740" s="325" t="s">
        <v>770</v>
      </c>
      <c r="J740" s="315" t="s">
        <v>695</v>
      </c>
      <c r="K740" s="441"/>
      <c r="L740"/>
      <c r="M740"/>
      <c r="N740"/>
      <c r="O740" s="153" t="str">
        <f>IF(L740&lt;&gt;"",IFERROR(VLOOKUP(B740&amp;L740,Pools!$A$2:$D$130,3,FALSE),""),"")</f>
        <v/>
      </c>
      <c r="P740" s="388"/>
      <c r="Q740" s="388"/>
      <c r="R740" s="306" t="str">
        <f t="shared" si="495"/>
        <v>-</v>
      </c>
      <c r="S740" s="153"/>
      <c r="T740" s="148" t="str">
        <f t="shared" si="496"/>
        <v>Pending</v>
      </c>
      <c r="U740" s="153"/>
      <c r="V740" s="153"/>
      <c r="W740" s="387">
        <f t="shared" si="497"/>
        <v>0</v>
      </c>
      <c r="X740" s="387">
        <f t="shared" si="498"/>
        <v>0</v>
      </c>
      <c r="Y740" s="301" t="str">
        <f t="shared" si="499"/>
        <v>X</v>
      </c>
      <c r="Z740" s="301" t="str">
        <f t="shared" si="500"/>
        <v>X</v>
      </c>
      <c r="AA740" s="323" t="str">
        <f>CONCATENATE("                x[team1,team2,sport,'",IF(OR(I740="x",I740=""),VLOOKUP('Schedule from TM'!J741,Tables!$P$3:$Q$33,2,FALSE),'Schedule from TM'!I741),",",J740,"','",IF(OR(F740="x",F740=""),VLOOKUP('Schedule from TM'!G741,Tables!$U$3:$V$14,2,FALSE),'Schedule from TM'!F741),",",TEXT(G740,"mm/dd/yyyy"),"','",TEXT(H740,"h:mm:ss AM/PM"),"'].ub=0.0      #",B740)</f>
        <v xml:space="preserve">                x[team1,team2,sport,'11,JCC Back Field 1','21,11/18/2017','7:40:00 PM'].ub=0.0      #Ch D Male Dodgeball</v>
      </c>
      <c r="AB740" s="301" t="str">
        <f t="shared" si="501"/>
        <v>,,Ch D Male Dodgeball,,1,</v>
      </c>
      <c r="AC740" s="153" t="str">
        <f t="shared" si="502"/>
        <v>Ch D Male Dodgeball</v>
      </c>
      <c r="AD740" s="301" t="str">
        <f t="shared" si="503"/>
        <v>,,Ch D Male Dodgeball,,1,</v>
      </c>
      <c r="AE740" s="153" t="str">
        <f t="shared" si="504"/>
        <v>Ch D Male Dodgeball</v>
      </c>
      <c r="AF740" s="383">
        <f t="shared" si="505"/>
        <v>0</v>
      </c>
      <c r="AG740" s="383">
        <f t="shared" si="506"/>
        <v>0</v>
      </c>
      <c r="AH740" s="383">
        <f t="shared" si="507"/>
        <v>0</v>
      </c>
      <c r="AI740" s="383">
        <f t="shared" si="508"/>
        <v>0</v>
      </c>
      <c r="AJ740" s="383">
        <f t="shared" si="509"/>
        <v>0</v>
      </c>
      <c r="AK740" s="383">
        <f t="shared" si="510"/>
        <v>0</v>
      </c>
      <c r="AM740" s="148" t="str">
        <f t="shared" si="511"/>
        <v>Schedulled</v>
      </c>
      <c r="AN740" s="148" t="str">
        <f t="shared" si="512"/>
        <v>Schedulled no team</v>
      </c>
      <c r="AO740" s="156">
        <f t="shared" si="513"/>
        <v>43057.819444444445</v>
      </c>
      <c r="AP740" s="148" t="str">
        <f t="shared" si="514"/>
        <v>11/18/2017 19:40-&gt;JCC Back Field 1</v>
      </c>
      <c r="AQ740" s="374">
        <f t="shared" si="515"/>
        <v>1</v>
      </c>
      <c r="AR740" s="148" t="str">
        <f t="shared" si="516"/>
        <v/>
      </c>
      <c r="AS740" s="148" t="str">
        <f t="shared" si="517"/>
        <v/>
      </c>
      <c r="AT740" s="157" t="str">
        <f t="shared" si="518"/>
        <v/>
      </c>
      <c r="AU740" s="157" t="str">
        <f t="shared" si="519"/>
        <v>Dodgeball Tournament</v>
      </c>
      <c r="AV740" s="157" t="str">
        <f t="shared" si="520"/>
        <v>CHILDREN D MALE</v>
      </c>
      <c r="AW740" s="157" t="str">
        <f t="shared" si="521"/>
        <v>Dodgeball</v>
      </c>
      <c r="AX740" s="376">
        <f t="shared" si="522"/>
        <v>738</v>
      </c>
      <c r="AY740" s="148" t="str">
        <f t="shared" si="523"/>
        <v>-&gt;</v>
      </c>
      <c r="AZ740" s="148" t="str">
        <f t="shared" si="524"/>
        <v>11/18/2017 19:40-&gt;</v>
      </c>
      <c r="BA740" s="148" t="str">
        <f t="shared" si="525"/>
        <v>11/18/2017 19:40-&gt;</v>
      </c>
      <c r="BB740" s="374">
        <f t="shared" si="526"/>
        <v>0</v>
      </c>
      <c r="BC740" s="374">
        <f t="shared" si="527"/>
        <v>0</v>
      </c>
      <c r="BD740" s="148" t="str">
        <f t="shared" si="528"/>
        <v>no conflict</v>
      </c>
      <c r="BF740" s="148" t="str">
        <f t="shared" si="529"/>
        <v>11/18/2017 19:40-&gt;</v>
      </c>
      <c r="BG740" s="148" t="str">
        <f t="shared" si="530"/>
        <v>11/18/2017 19:40-&gt;</v>
      </c>
      <c r="BH740" s="148" t="str">
        <f t="shared" si="531"/>
        <v>11/18/2017 19:40-&gt;JCC Back Field 1</v>
      </c>
      <c r="BI740" s="148" t="str">
        <f t="shared" si="532"/>
        <v>Dodgeball in JCC Back Field 1 ()</v>
      </c>
      <c r="BJ740" s="148" t="str">
        <f t="shared" si="533"/>
        <v xml:space="preserve">Ch D Male Dodgeball--  vs. </v>
      </c>
      <c r="BK740" s="148" t="str">
        <f t="shared" si="534"/>
        <v>Dodgeball</v>
      </c>
      <c r="BL740" s="148">
        <f t="shared" si="535"/>
        <v>0</v>
      </c>
      <c r="BM740" s="148">
        <f t="shared" si="536"/>
        <v>0</v>
      </c>
      <c r="BN740" s="148" t="str">
        <f t="shared" si="537"/>
        <v>Tournament</v>
      </c>
      <c r="BP740" s="148" t="str">
        <f t="shared" si="538"/>
        <v>11/18/2017 19:40-&gt;CHILDREN D MALE</v>
      </c>
      <c r="BQ740" s="148" t="str">
        <f t="shared" si="539"/>
        <v>Dodgeball Tournament in JCC Back Field 1</v>
      </c>
    </row>
    <row r="741" spans="1:69" ht="15" customHeight="1" x14ac:dyDescent="0.2">
      <c r="A741" s="376">
        <v>739</v>
      </c>
      <c r="B741" s="444" t="s">
        <v>56</v>
      </c>
      <c r="C741" s="444" t="s">
        <v>711</v>
      </c>
      <c r="D741" s="451">
        <v>1</v>
      </c>
      <c r="E741" s="451">
        <v>1</v>
      </c>
      <c r="F741" s="315" t="s">
        <v>770</v>
      </c>
      <c r="G741" s="445">
        <v>43057</v>
      </c>
      <c r="H741" s="317">
        <v>0.81944444444444453</v>
      </c>
      <c r="I741" s="325" t="s">
        <v>770</v>
      </c>
      <c r="J741" s="444" t="s">
        <v>693</v>
      </c>
      <c r="K741" s="444"/>
      <c r="L741"/>
      <c r="M741"/>
      <c r="N741"/>
      <c r="O741" s="153" t="str">
        <f>IF(L741&lt;&gt;"",IFERROR(VLOOKUP(B741&amp;L741,Pools!$A$2:$D$130,3,FALSE),""),"")</f>
        <v/>
      </c>
      <c r="P741" s="388"/>
      <c r="Q741" s="388"/>
      <c r="R741" s="306" t="str">
        <f t="shared" si="495"/>
        <v>-</v>
      </c>
      <c r="S741" s="153"/>
      <c r="T741" s="148" t="str">
        <f t="shared" si="496"/>
        <v>Pending</v>
      </c>
      <c r="U741" s="153"/>
      <c r="V741" s="153"/>
      <c r="W741" s="387">
        <f t="shared" si="497"/>
        <v>0</v>
      </c>
      <c r="X741" s="387">
        <f t="shared" si="498"/>
        <v>0</v>
      </c>
      <c r="Y741" s="301" t="str">
        <f t="shared" si="499"/>
        <v>X</v>
      </c>
      <c r="Z741" s="301" t="str">
        <f t="shared" si="500"/>
        <v>X</v>
      </c>
      <c r="AA741" s="323" t="str">
        <f>CONCATENATE("                x[team1,team2,sport,'",IF(OR(I741="x",I741=""),VLOOKUP('Schedule from TM'!J742,Tables!$P$3:$Q$33,2,FALSE),'Schedule from TM'!I742),",",J741,"','",IF(OR(F741="x",F741=""),VLOOKUP('Schedule from TM'!G742,Tables!$U$3:$V$14,2,FALSE),'Schedule from TM'!F742),",",TEXT(G741,"mm/dd/yyyy"),"','",TEXT(H741,"h:mm:ss AM/PM"),"'].ub=0.0      #",B741)</f>
        <v xml:space="preserve">                x[team1,team2,sport,'11,JCC Back Field 2','21,11/18/2017','7:40:00 PM'].ub=0.0      #Ch D Male Dodgeball</v>
      </c>
      <c r="AB741" s="301" t="str">
        <f t="shared" si="501"/>
        <v>,,Ch D Male Dodgeball,,1,</v>
      </c>
      <c r="AC741" s="153" t="str">
        <f t="shared" si="502"/>
        <v>Ch D Male Dodgeball</v>
      </c>
      <c r="AD741" s="301" t="str">
        <f t="shared" si="503"/>
        <v>,,Ch D Male Dodgeball,,1,</v>
      </c>
      <c r="AE741" s="153" t="str">
        <f t="shared" si="504"/>
        <v>Ch D Male Dodgeball</v>
      </c>
      <c r="AF741" s="383">
        <f t="shared" si="505"/>
        <v>0</v>
      </c>
      <c r="AG741" s="383">
        <f t="shared" si="506"/>
        <v>0</v>
      </c>
      <c r="AH741" s="383">
        <f t="shared" si="507"/>
        <v>0</v>
      </c>
      <c r="AI741" s="383">
        <f t="shared" si="508"/>
        <v>0</v>
      </c>
      <c r="AJ741" s="383">
        <f t="shared" si="509"/>
        <v>0</v>
      </c>
      <c r="AK741" s="383">
        <f t="shared" si="510"/>
        <v>0</v>
      </c>
      <c r="AM741" s="148" t="str">
        <f t="shared" si="511"/>
        <v>Schedulled</v>
      </c>
      <c r="AN741" s="148" t="str">
        <f t="shared" si="512"/>
        <v>Schedulled no team</v>
      </c>
      <c r="AO741" s="156">
        <f t="shared" si="513"/>
        <v>43057.819444444445</v>
      </c>
      <c r="AP741" s="148" t="str">
        <f t="shared" si="514"/>
        <v>11/18/2017 19:40-&gt;JCC Back Field 2</v>
      </c>
      <c r="AQ741" s="374">
        <f t="shared" si="515"/>
        <v>1</v>
      </c>
      <c r="AR741" s="148" t="str">
        <f t="shared" si="516"/>
        <v/>
      </c>
      <c r="AS741" s="148" t="str">
        <f t="shared" si="517"/>
        <v/>
      </c>
      <c r="AT741" s="157" t="str">
        <f t="shared" si="518"/>
        <v/>
      </c>
      <c r="AU741" s="157" t="str">
        <f t="shared" si="519"/>
        <v>Dodgeball Tournament</v>
      </c>
      <c r="AV741" s="157" t="str">
        <f t="shared" si="520"/>
        <v>CHILDREN D MALE</v>
      </c>
      <c r="AW741" s="157" t="str">
        <f t="shared" si="521"/>
        <v>Dodgeball</v>
      </c>
      <c r="AX741" s="376">
        <f t="shared" si="522"/>
        <v>739</v>
      </c>
      <c r="AY741" s="148" t="str">
        <f t="shared" si="523"/>
        <v>-&gt;</v>
      </c>
      <c r="AZ741" s="148" t="str">
        <f t="shared" si="524"/>
        <v>11/18/2017 19:40-&gt;</v>
      </c>
      <c r="BA741" s="148" t="str">
        <f t="shared" si="525"/>
        <v>11/18/2017 19:40-&gt;</v>
      </c>
      <c r="BB741" s="374">
        <f t="shared" si="526"/>
        <v>0</v>
      </c>
      <c r="BC741" s="374">
        <f t="shared" si="527"/>
        <v>0</v>
      </c>
      <c r="BD741" s="148" t="str">
        <f t="shared" si="528"/>
        <v>no conflict</v>
      </c>
      <c r="BF741" s="148" t="str">
        <f t="shared" si="529"/>
        <v>11/18/2017 19:40-&gt;</v>
      </c>
      <c r="BG741" s="148" t="str">
        <f t="shared" si="530"/>
        <v>11/18/2017 19:40-&gt;</v>
      </c>
      <c r="BH741" s="148" t="str">
        <f t="shared" si="531"/>
        <v>11/18/2017 19:40-&gt;JCC Back Field 2</v>
      </c>
      <c r="BI741" s="148" t="str">
        <f t="shared" si="532"/>
        <v>Dodgeball in JCC Back Field 2 ()</v>
      </c>
      <c r="BJ741" s="148" t="str">
        <f t="shared" si="533"/>
        <v xml:space="preserve">Ch D Male Dodgeball--  vs. </v>
      </c>
      <c r="BK741" s="148" t="str">
        <f t="shared" si="534"/>
        <v>Dodgeball</v>
      </c>
      <c r="BL741" s="148">
        <f t="shared" si="535"/>
        <v>0</v>
      </c>
      <c r="BM741" s="148">
        <f t="shared" si="536"/>
        <v>0</v>
      </c>
      <c r="BN741" s="148" t="str">
        <f t="shared" si="537"/>
        <v>Tournament</v>
      </c>
      <c r="BP741" s="148" t="str">
        <f t="shared" si="538"/>
        <v>11/18/2017 19:40-&gt;CHILDREN D MALE</v>
      </c>
      <c r="BQ741" s="148" t="str">
        <f t="shared" si="539"/>
        <v>Dodgeball Tournament in JCC Back Field 2</v>
      </c>
    </row>
    <row r="742" spans="1:69" ht="15" customHeight="1" x14ac:dyDescent="0.2">
      <c r="A742" s="376">
        <v>740</v>
      </c>
      <c r="B742" s="315" t="s">
        <v>56</v>
      </c>
      <c r="C742" s="315" t="s">
        <v>711</v>
      </c>
      <c r="D742" s="378">
        <v>1</v>
      </c>
      <c r="E742" s="378">
        <v>1</v>
      </c>
      <c r="F742" s="315" t="s">
        <v>770</v>
      </c>
      <c r="G742" s="316">
        <v>43057</v>
      </c>
      <c r="H742" s="317">
        <v>0.81944444444444453</v>
      </c>
      <c r="I742" s="325" t="s">
        <v>770</v>
      </c>
      <c r="J742" s="315" t="s">
        <v>692</v>
      </c>
      <c r="K742" s="315"/>
      <c r="L742"/>
      <c r="M742"/>
      <c r="N742"/>
      <c r="O742" s="153" t="str">
        <f>IF(L742&lt;&gt;"",IFERROR(VLOOKUP(B742&amp;L742,Pools!$A$2:$D$130,3,FALSE),""),"")</f>
        <v/>
      </c>
      <c r="P742" s="388"/>
      <c r="Q742" s="388"/>
      <c r="R742" s="306" t="str">
        <f t="shared" si="495"/>
        <v>-</v>
      </c>
      <c r="S742" s="153"/>
      <c r="T742" s="148" t="str">
        <f t="shared" si="496"/>
        <v>Pending</v>
      </c>
      <c r="U742" s="153"/>
      <c r="V742" s="153"/>
      <c r="W742" s="387">
        <f t="shared" si="497"/>
        <v>0</v>
      </c>
      <c r="X742" s="387">
        <f t="shared" si="498"/>
        <v>0</v>
      </c>
      <c r="Y742" s="301" t="str">
        <f t="shared" si="499"/>
        <v>X</v>
      </c>
      <c r="Z742" s="301" t="str">
        <f t="shared" si="500"/>
        <v>X</v>
      </c>
      <c r="AA742" s="323" t="str">
        <f>CONCATENATE("                x[team1,team2,sport,'",IF(OR(I742="x",I742=""),VLOOKUP('Schedule from TM'!J743,Tables!$P$3:$Q$33,2,FALSE),'Schedule from TM'!I743),",",J742,"','",IF(OR(F742="x",F742=""),VLOOKUP('Schedule from TM'!G743,Tables!$U$3:$V$14,2,FALSE),'Schedule from TM'!F743),",",TEXT(G742,"mm/dd/yyyy"),"','",TEXT(H742,"h:mm:ss AM/PM"),"'].ub=0.0      #",B742)</f>
        <v xml:space="preserve">                x[team1,team2,sport,'11,JCC Back Field 3','21,11/18/2017','7:40:00 PM'].ub=0.0      #Ch D Male Dodgeball</v>
      </c>
      <c r="AB742" s="301" t="str">
        <f t="shared" si="501"/>
        <v>,,Ch D Male Dodgeball,,1,</v>
      </c>
      <c r="AC742" s="153" t="str">
        <f t="shared" si="502"/>
        <v>Ch D Male Dodgeball</v>
      </c>
      <c r="AD742" s="301" t="str">
        <f t="shared" si="503"/>
        <v>,,Ch D Male Dodgeball,,1,</v>
      </c>
      <c r="AE742" s="153" t="str">
        <f t="shared" si="504"/>
        <v>Ch D Male Dodgeball</v>
      </c>
      <c r="AF742" s="383">
        <f t="shared" si="505"/>
        <v>0</v>
      </c>
      <c r="AG742" s="383">
        <f t="shared" si="506"/>
        <v>0</v>
      </c>
      <c r="AH742" s="383">
        <f t="shared" si="507"/>
        <v>0</v>
      </c>
      <c r="AI742" s="383">
        <f t="shared" si="508"/>
        <v>0</v>
      </c>
      <c r="AJ742" s="383">
        <f t="shared" si="509"/>
        <v>0</v>
      </c>
      <c r="AK742" s="383">
        <f t="shared" si="510"/>
        <v>0</v>
      </c>
      <c r="AM742" s="148" t="str">
        <f t="shared" si="511"/>
        <v>Schedulled</v>
      </c>
      <c r="AN742" s="148" t="str">
        <f t="shared" si="512"/>
        <v>Schedulled no team</v>
      </c>
      <c r="AO742" s="156">
        <f t="shared" si="513"/>
        <v>43057.819444444445</v>
      </c>
      <c r="AP742" s="148" t="str">
        <f t="shared" si="514"/>
        <v>11/18/2017 19:40-&gt;JCC Back Field 3</v>
      </c>
      <c r="AQ742" s="374">
        <f t="shared" si="515"/>
        <v>1</v>
      </c>
      <c r="AR742" s="148" t="str">
        <f t="shared" si="516"/>
        <v/>
      </c>
      <c r="AS742" s="148" t="str">
        <f t="shared" si="517"/>
        <v/>
      </c>
      <c r="AT742" s="157" t="str">
        <f t="shared" si="518"/>
        <v/>
      </c>
      <c r="AU742" s="157" t="str">
        <f t="shared" si="519"/>
        <v>Dodgeball Tournament</v>
      </c>
      <c r="AV742" s="157" t="str">
        <f t="shared" si="520"/>
        <v>CHILDREN D MALE</v>
      </c>
      <c r="AW742" s="157" t="str">
        <f t="shared" si="521"/>
        <v>Dodgeball</v>
      </c>
      <c r="AX742" s="376">
        <f t="shared" si="522"/>
        <v>740</v>
      </c>
      <c r="AY742" s="148" t="str">
        <f t="shared" si="523"/>
        <v>-&gt;</v>
      </c>
      <c r="AZ742" s="148" t="str">
        <f t="shared" si="524"/>
        <v>11/18/2017 19:40-&gt;</v>
      </c>
      <c r="BA742" s="148" t="str">
        <f t="shared" si="525"/>
        <v>11/18/2017 19:40-&gt;</v>
      </c>
      <c r="BB742" s="374">
        <f t="shared" si="526"/>
        <v>0</v>
      </c>
      <c r="BC742" s="374">
        <f t="shared" si="527"/>
        <v>0</v>
      </c>
      <c r="BD742" s="148" t="str">
        <f t="shared" si="528"/>
        <v>no conflict</v>
      </c>
      <c r="BF742" s="148" t="str">
        <f t="shared" si="529"/>
        <v>11/18/2017 19:40-&gt;</v>
      </c>
      <c r="BG742" s="148" t="str">
        <f t="shared" si="530"/>
        <v>11/18/2017 19:40-&gt;</v>
      </c>
      <c r="BH742" s="148" t="str">
        <f t="shared" si="531"/>
        <v>11/18/2017 19:40-&gt;JCC Back Field 3</v>
      </c>
      <c r="BI742" s="148" t="str">
        <f t="shared" si="532"/>
        <v>Dodgeball in JCC Back Field 3 ()</v>
      </c>
      <c r="BJ742" s="148" t="str">
        <f t="shared" si="533"/>
        <v xml:space="preserve">Ch D Male Dodgeball--  vs. </v>
      </c>
      <c r="BK742" s="148" t="str">
        <f t="shared" si="534"/>
        <v>Dodgeball</v>
      </c>
      <c r="BL742" s="148">
        <f t="shared" si="535"/>
        <v>0</v>
      </c>
      <c r="BM742" s="148">
        <f t="shared" si="536"/>
        <v>0</v>
      </c>
      <c r="BN742" s="148" t="str">
        <f t="shared" si="537"/>
        <v>Tournament</v>
      </c>
      <c r="BP742" s="148" t="str">
        <f t="shared" si="538"/>
        <v>11/18/2017 19:40-&gt;CHILDREN D MALE</v>
      </c>
      <c r="BQ742" s="148" t="str">
        <f t="shared" si="539"/>
        <v>Dodgeball Tournament in JCC Back Field 3</v>
      </c>
    </row>
    <row r="743" spans="1:69" ht="15" customHeight="1" x14ac:dyDescent="0.2">
      <c r="A743" s="376">
        <v>741</v>
      </c>
      <c r="B743" s="444" t="s">
        <v>56</v>
      </c>
      <c r="C743" s="444" t="s">
        <v>711</v>
      </c>
      <c r="D743" s="451">
        <v>1</v>
      </c>
      <c r="E743" s="451">
        <v>1</v>
      </c>
      <c r="F743" s="315" t="s">
        <v>770</v>
      </c>
      <c r="G743" s="445">
        <v>43057</v>
      </c>
      <c r="H743" s="317">
        <v>0.81944444444444453</v>
      </c>
      <c r="I743" s="325" t="s">
        <v>770</v>
      </c>
      <c r="J743" s="444" t="s">
        <v>694</v>
      </c>
      <c r="K743" s="444"/>
      <c r="L743"/>
      <c r="M743"/>
      <c r="N743"/>
      <c r="O743" s="153" t="str">
        <f>IF(L743&lt;&gt;"",IFERROR(VLOOKUP(B743&amp;L743,Pools!$A$2:$D$130,3,FALSE),""),"")</f>
        <v/>
      </c>
      <c r="P743" s="388"/>
      <c r="Q743" s="388"/>
      <c r="R743" s="306" t="str">
        <f t="shared" si="495"/>
        <v>-</v>
      </c>
      <c r="S743" s="153"/>
      <c r="T743" s="148" t="str">
        <f t="shared" si="496"/>
        <v>Pending</v>
      </c>
      <c r="U743" s="153"/>
      <c r="V743" s="153"/>
      <c r="W743" s="387">
        <f t="shared" si="497"/>
        <v>0</v>
      </c>
      <c r="X743" s="387">
        <f t="shared" si="498"/>
        <v>0</v>
      </c>
      <c r="Y743" s="301" t="str">
        <f t="shared" si="499"/>
        <v>X</v>
      </c>
      <c r="Z743" s="301" t="str">
        <f t="shared" si="500"/>
        <v>X</v>
      </c>
      <c r="AA743" s="323" t="str">
        <f>CONCATENATE("                x[team1,team2,sport,'",IF(OR(I743="x",I743=""),VLOOKUP('Schedule from TM'!J744,Tables!$P$3:$Q$33,2,FALSE),'Schedule from TM'!I744),",",J743,"','",IF(OR(F743="x",F743=""),VLOOKUP('Schedule from TM'!G744,Tables!$U$3:$V$14,2,FALSE),'Schedule from TM'!F744),",",TEXT(G743,"mm/dd/yyyy"),"','",TEXT(H743,"h:mm:ss AM/PM"),"'].ub=0.0      #",B743)</f>
        <v xml:space="preserve">                x[team1,team2,sport,'11,JCC Back Field 4','21,11/18/2017','7:40:00 PM'].ub=0.0      #Ch D Male Dodgeball</v>
      </c>
      <c r="AB743" s="301" t="str">
        <f t="shared" si="501"/>
        <v>,,Ch D Male Dodgeball,,1,</v>
      </c>
      <c r="AC743" s="153" t="str">
        <f t="shared" si="502"/>
        <v>Ch D Male Dodgeball</v>
      </c>
      <c r="AD743" s="301" t="str">
        <f t="shared" si="503"/>
        <v>,,Ch D Male Dodgeball,,1,</v>
      </c>
      <c r="AE743" s="153" t="str">
        <f t="shared" si="504"/>
        <v>Ch D Male Dodgeball</v>
      </c>
      <c r="AF743" s="383">
        <f t="shared" si="505"/>
        <v>0</v>
      </c>
      <c r="AG743" s="383">
        <f t="shared" si="506"/>
        <v>0</v>
      </c>
      <c r="AH743" s="383">
        <f t="shared" si="507"/>
        <v>0</v>
      </c>
      <c r="AI743" s="383">
        <f t="shared" si="508"/>
        <v>0</v>
      </c>
      <c r="AJ743" s="383">
        <f t="shared" si="509"/>
        <v>0</v>
      </c>
      <c r="AK743" s="383">
        <f t="shared" si="510"/>
        <v>0</v>
      </c>
      <c r="AM743" s="148" t="str">
        <f t="shared" si="511"/>
        <v>Schedulled</v>
      </c>
      <c r="AN743" s="148" t="str">
        <f t="shared" si="512"/>
        <v>Schedulled no team</v>
      </c>
      <c r="AO743" s="156">
        <f t="shared" si="513"/>
        <v>43057.819444444445</v>
      </c>
      <c r="AP743" s="148" t="str">
        <f t="shared" si="514"/>
        <v>11/18/2017 19:40-&gt;JCC Back Field 4</v>
      </c>
      <c r="AQ743" s="374">
        <f t="shared" si="515"/>
        <v>1</v>
      </c>
      <c r="AR743" s="148" t="str">
        <f t="shared" si="516"/>
        <v/>
      </c>
      <c r="AS743" s="148" t="str">
        <f t="shared" si="517"/>
        <v/>
      </c>
      <c r="AT743" s="157" t="str">
        <f t="shared" si="518"/>
        <v/>
      </c>
      <c r="AU743" s="157" t="str">
        <f t="shared" si="519"/>
        <v>Dodgeball Tournament</v>
      </c>
      <c r="AV743" s="157" t="str">
        <f t="shared" si="520"/>
        <v>CHILDREN D MALE</v>
      </c>
      <c r="AW743" s="157" t="str">
        <f t="shared" si="521"/>
        <v>Dodgeball</v>
      </c>
      <c r="AX743" s="376">
        <f t="shared" si="522"/>
        <v>741</v>
      </c>
      <c r="AY743" s="148" t="str">
        <f t="shared" si="523"/>
        <v>-&gt;</v>
      </c>
      <c r="AZ743" s="148" t="str">
        <f t="shared" si="524"/>
        <v>11/18/2017 19:40-&gt;</v>
      </c>
      <c r="BA743" s="148" t="str">
        <f t="shared" si="525"/>
        <v>11/18/2017 19:40-&gt;</v>
      </c>
      <c r="BB743" s="374">
        <f t="shared" si="526"/>
        <v>0</v>
      </c>
      <c r="BC743" s="374">
        <f t="shared" si="527"/>
        <v>0</v>
      </c>
      <c r="BD743" s="148" t="str">
        <f t="shared" si="528"/>
        <v>no conflict</v>
      </c>
      <c r="BF743" s="148" t="str">
        <f t="shared" si="529"/>
        <v>11/18/2017 19:40-&gt;</v>
      </c>
      <c r="BG743" s="148" t="str">
        <f t="shared" si="530"/>
        <v>11/18/2017 19:40-&gt;</v>
      </c>
      <c r="BH743" s="148" t="str">
        <f t="shared" si="531"/>
        <v>11/18/2017 19:40-&gt;JCC Back Field 4</v>
      </c>
      <c r="BI743" s="148" t="str">
        <f t="shared" si="532"/>
        <v>Dodgeball in JCC Back Field 4 ()</v>
      </c>
      <c r="BJ743" s="148" t="str">
        <f t="shared" si="533"/>
        <v xml:space="preserve">Ch D Male Dodgeball--  vs. </v>
      </c>
      <c r="BK743" s="148" t="str">
        <f t="shared" si="534"/>
        <v>Dodgeball</v>
      </c>
      <c r="BL743" s="148">
        <f t="shared" si="535"/>
        <v>0</v>
      </c>
      <c r="BM743" s="148">
        <f t="shared" si="536"/>
        <v>0</v>
      </c>
      <c r="BN743" s="148" t="str">
        <f t="shared" si="537"/>
        <v>Tournament</v>
      </c>
      <c r="BP743" s="148" t="str">
        <f t="shared" si="538"/>
        <v>11/18/2017 19:40-&gt;CHILDREN D MALE</v>
      </c>
      <c r="BQ743" s="148" t="str">
        <f t="shared" si="539"/>
        <v>Dodgeball Tournament in JCC Back Field 4</v>
      </c>
    </row>
    <row r="744" spans="1:69" ht="15" customHeight="1" x14ac:dyDescent="0.2">
      <c r="A744" s="376">
        <v>742</v>
      </c>
      <c r="B744" s="444" t="s">
        <v>56</v>
      </c>
      <c r="C744" s="315" t="s">
        <v>711</v>
      </c>
      <c r="D744" s="378">
        <v>1</v>
      </c>
      <c r="E744" s="378">
        <v>1</v>
      </c>
      <c r="F744" s="315" t="s">
        <v>770</v>
      </c>
      <c r="G744" s="316">
        <v>43057</v>
      </c>
      <c r="H744" s="317">
        <v>0.81944444444444453</v>
      </c>
      <c r="I744" s="325" t="s">
        <v>770</v>
      </c>
      <c r="J744" s="315" t="s">
        <v>688</v>
      </c>
      <c r="K744" s="315"/>
      <c r="L744"/>
      <c r="M744"/>
      <c r="N744"/>
      <c r="O744" s="153" t="str">
        <f>IF(L744&lt;&gt;"",IFERROR(VLOOKUP(B744&amp;L744,Pools!$A$2:$D$130,3,FALSE),""),"")</f>
        <v/>
      </c>
      <c r="P744" s="388"/>
      <c r="Q744" s="388"/>
      <c r="R744" s="306" t="str">
        <f t="shared" si="495"/>
        <v>-</v>
      </c>
      <c r="S744" s="153"/>
      <c r="T744" s="148" t="str">
        <f t="shared" si="496"/>
        <v>Pending</v>
      </c>
      <c r="U744" s="153"/>
      <c r="V744" s="153"/>
      <c r="W744" s="387">
        <f t="shared" si="497"/>
        <v>0</v>
      </c>
      <c r="X744" s="387">
        <f t="shared" si="498"/>
        <v>0</v>
      </c>
      <c r="Y744" s="301" t="str">
        <f t="shared" si="499"/>
        <v>X</v>
      </c>
      <c r="Z744" s="301" t="str">
        <f t="shared" si="500"/>
        <v>X</v>
      </c>
      <c r="AA744" s="323" t="str">
        <f>CONCATENATE("                x[team1,team2,sport,'",IF(OR(I744="x",I744=""),VLOOKUP('Schedule from TM'!J745,Tables!$P$3:$Q$33,2,FALSE),'Schedule from TM'!I745),",",J744,"','",IF(OR(F744="x",F744=""),VLOOKUP('Schedule from TM'!G745,Tables!$U$3:$V$14,2,FALSE),'Schedule from TM'!F745),",",TEXT(G744,"mm/dd/yyyy"),"','",TEXT(H744,"h:mm:ss AM/PM"),"'].ub=0.0      #",B744)</f>
        <v xml:space="preserve">                x[team1,team2,sport,'11,JCC Basketball Out 1','21,11/18/2017','7:40:00 PM'].ub=0.0      #Ch D Male Dodgeball</v>
      </c>
      <c r="AB744" s="301" t="str">
        <f t="shared" si="501"/>
        <v>,,Ch D Male Dodgeball,,1,</v>
      </c>
      <c r="AC744" s="153" t="str">
        <f t="shared" si="502"/>
        <v>Ch D Male Dodgeball</v>
      </c>
      <c r="AD744" s="301" t="str">
        <f t="shared" si="503"/>
        <v>,,Ch D Male Dodgeball,,1,</v>
      </c>
      <c r="AE744" s="153" t="str">
        <f t="shared" si="504"/>
        <v>Ch D Male Dodgeball</v>
      </c>
      <c r="AF744" s="383">
        <f t="shared" si="505"/>
        <v>0</v>
      </c>
      <c r="AG744" s="383">
        <f t="shared" si="506"/>
        <v>0</v>
      </c>
      <c r="AH744" s="383">
        <f t="shared" si="507"/>
        <v>0</v>
      </c>
      <c r="AI744" s="383">
        <f t="shared" si="508"/>
        <v>0</v>
      </c>
      <c r="AJ744" s="383">
        <f t="shared" si="509"/>
        <v>0</v>
      </c>
      <c r="AK744" s="383">
        <f t="shared" si="510"/>
        <v>0</v>
      </c>
      <c r="AM744" s="148" t="str">
        <f t="shared" si="511"/>
        <v>Schedulled</v>
      </c>
      <c r="AN744" s="148" t="str">
        <f t="shared" si="512"/>
        <v>Schedulled no team</v>
      </c>
      <c r="AO744" s="156">
        <f t="shared" si="513"/>
        <v>43057.819444444445</v>
      </c>
      <c r="AP744" s="148" t="str">
        <f t="shared" si="514"/>
        <v>11/18/2017 19:40-&gt;JCC Basketball Out 1</v>
      </c>
      <c r="AQ744" s="374">
        <f t="shared" si="515"/>
        <v>1</v>
      </c>
      <c r="AR744" s="148" t="str">
        <f t="shared" si="516"/>
        <v/>
      </c>
      <c r="AS744" s="148" t="str">
        <f t="shared" si="517"/>
        <v/>
      </c>
      <c r="AT744" s="157" t="str">
        <f t="shared" si="518"/>
        <v/>
      </c>
      <c r="AU744" s="157" t="str">
        <f t="shared" si="519"/>
        <v>Dodgeball Tournament</v>
      </c>
      <c r="AV744" s="157" t="str">
        <f t="shared" si="520"/>
        <v>CHILDREN D MALE</v>
      </c>
      <c r="AW744" s="157" t="str">
        <f t="shared" si="521"/>
        <v>Dodgeball</v>
      </c>
      <c r="AX744" s="376">
        <f t="shared" si="522"/>
        <v>742</v>
      </c>
      <c r="AY744" s="148" t="str">
        <f t="shared" si="523"/>
        <v>-&gt;</v>
      </c>
      <c r="AZ744" s="148" t="str">
        <f t="shared" si="524"/>
        <v>11/18/2017 19:40-&gt;</v>
      </c>
      <c r="BA744" s="148" t="str">
        <f t="shared" si="525"/>
        <v>11/18/2017 19:40-&gt;</v>
      </c>
      <c r="BB744" s="374">
        <f t="shared" si="526"/>
        <v>0</v>
      </c>
      <c r="BC744" s="374">
        <f t="shared" si="527"/>
        <v>0</v>
      </c>
      <c r="BD744" s="148" t="str">
        <f t="shared" si="528"/>
        <v>no conflict</v>
      </c>
      <c r="BF744" s="148" t="str">
        <f t="shared" si="529"/>
        <v>11/18/2017 19:40-&gt;</v>
      </c>
      <c r="BG744" s="148" t="str">
        <f t="shared" si="530"/>
        <v>11/18/2017 19:40-&gt;</v>
      </c>
      <c r="BH744" s="148" t="str">
        <f t="shared" si="531"/>
        <v>11/18/2017 19:40-&gt;JCC Basketball Out 1</v>
      </c>
      <c r="BI744" s="148" t="str">
        <f t="shared" si="532"/>
        <v>Dodgeball in JCC Basketball Out 1 ()</v>
      </c>
      <c r="BJ744" s="148" t="str">
        <f t="shared" si="533"/>
        <v xml:space="preserve">Ch D Male Dodgeball--  vs. </v>
      </c>
      <c r="BK744" s="148" t="str">
        <f t="shared" si="534"/>
        <v>Dodgeball</v>
      </c>
      <c r="BL744" s="148">
        <f t="shared" si="535"/>
        <v>0</v>
      </c>
      <c r="BM744" s="148">
        <f t="shared" si="536"/>
        <v>0</v>
      </c>
      <c r="BN744" s="148" t="str">
        <f t="shared" si="537"/>
        <v>Tournament</v>
      </c>
      <c r="BP744" s="148" t="str">
        <f t="shared" si="538"/>
        <v>11/18/2017 19:40-&gt;CHILDREN D MALE</v>
      </c>
      <c r="BQ744" s="148" t="str">
        <f t="shared" si="539"/>
        <v>Dodgeball Tournament in JCC Basketball Out 1</v>
      </c>
    </row>
    <row r="745" spans="1:69" ht="15" customHeight="1" x14ac:dyDescent="0.2">
      <c r="A745" s="376">
        <v>743</v>
      </c>
      <c r="B745" s="444" t="s">
        <v>56</v>
      </c>
      <c r="C745" s="444" t="s">
        <v>711</v>
      </c>
      <c r="D745" s="451">
        <v>1</v>
      </c>
      <c r="E745" s="451">
        <v>1</v>
      </c>
      <c r="F745" s="315" t="s">
        <v>770</v>
      </c>
      <c r="G745" s="445">
        <v>43057</v>
      </c>
      <c r="H745" s="317">
        <v>0.81944444444444453</v>
      </c>
      <c r="I745" s="325" t="s">
        <v>770</v>
      </c>
      <c r="J745" s="444" t="s">
        <v>709</v>
      </c>
      <c r="K745" s="444"/>
      <c r="L745"/>
      <c r="M745"/>
      <c r="N745"/>
      <c r="O745" s="153" t="str">
        <f>IF(L745&lt;&gt;"",IFERROR(VLOOKUP(B745&amp;L745,Pools!$A$2:$D$130,3,FALSE),""),"")</f>
        <v/>
      </c>
      <c r="P745" s="388"/>
      <c r="Q745" s="388"/>
      <c r="R745" s="306" t="str">
        <f t="shared" si="495"/>
        <v>-</v>
      </c>
      <c r="S745" s="153"/>
      <c r="T745" s="148" t="str">
        <f t="shared" si="496"/>
        <v>Pending</v>
      </c>
      <c r="U745" s="153"/>
      <c r="V745" s="153"/>
      <c r="W745" s="387">
        <f t="shared" si="497"/>
        <v>0</v>
      </c>
      <c r="X745" s="387">
        <f t="shared" si="498"/>
        <v>0</v>
      </c>
      <c r="Y745" s="301" t="str">
        <f t="shared" si="499"/>
        <v>X</v>
      </c>
      <c r="Z745" s="301" t="str">
        <f t="shared" si="500"/>
        <v>X</v>
      </c>
      <c r="AA745" s="323" t="str">
        <f>CONCATENATE("                x[team1,team2,sport,'",IF(OR(I745="x",I745=""),VLOOKUP('Schedule from TM'!J746,Tables!$P$3:$Q$33,2,FALSE),'Schedule from TM'!I746),",",J745,"','",IF(OR(F745="x",F745=""),VLOOKUP('Schedule from TM'!G746,Tables!$U$3:$V$14,2,FALSE),'Schedule from TM'!F746),",",TEXT(G745,"mm/dd/yyyy"),"','",TEXT(H745,"h:mm:ss AM/PM"),"'].ub=0.0      #",B745)</f>
        <v xml:space="preserve">                x[team1,team2,sport,'11,JCC Basketball Out 2','22,11/18/2017','7:40:00 PM'].ub=0.0      #Ch D Male Dodgeball</v>
      </c>
      <c r="AB745" s="301" t="str">
        <f t="shared" si="501"/>
        <v>,,Ch D Male Dodgeball,,1,</v>
      </c>
      <c r="AC745" s="153" t="str">
        <f t="shared" si="502"/>
        <v>Ch D Male Dodgeball</v>
      </c>
      <c r="AD745" s="301" t="str">
        <f t="shared" si="503"/>
        <v>,,Ch D Male Dodgeball,,1,</v>
      </c>
      <c r="AE745" s="153" t="str">
        <f t="shared" si="504"/>
        <v>Ch D Male Dodgeball</v>
      </c>
      <c r="AF745" s="383">
        <f t="shared" si="505"/>
        <v>0</v>
      </c>
      <c r="AG745" s="383">
        <f t="shared" si="506"/>
        <v>0</v>
      </c>
      <c r="AH745" s="383">
        <f t="shared" si="507"/>
        <v>0</v>
      </c>
      <c r="AI745" s="383">
        <f t="shared" si="508"/>
        <v>0</v>
      </c>
      <c r="AJ745" s="383">
        <f t="shared" si="509"/>
        <v>0</v>
      </c>
      <c r="AK745" s="383">
        <f t="shared" si="510"/>
        <v>0</v>
      </c>
      <c r="AM745" s="148" t="str">
        <f t="shared" si="511"/>
        <v>Schedulled</v>
      </c>
      <c r="AN745" s="148" t="str">
        <f t="shared" si="512"/>
        <v>Schedulled no team</v>
      </c>
      <c r="AO745" s="156">
        <f t="shared" si="513"/>
        <v>43057.819444444445</v>
      </c>
      <c r="AP745" s="148" t="str">
        <f t="shared" si="514"/>
        <v>11/18/2017 19:40-&gt;JCC Basketball Out 2</v>
      </c>
      <c r="AQ745" s="374">
        <f t="shared" si="515"/>
        <v>1</v>
      </c>
      <c r="AR745" s="148" t="str">
        <f t="shared" si="516"/>
        <v/>
      </c>
      <c r="AS745" s="148" t="str">
        <f t="shared" si="517"/>
        <v/>
      </c>
      <c r="AT745" s="157" t="str">
        <f t="shared" si="518"/>
        <v/>
      </c>
      <c r="AU745" s="157" t="str">
        <f t="shared" si="519"/>
        <v>Dodgeball Tournament</v>
      </c>
      <c r="AV745" s="157" t="str">
        <f t="shared" si="520"/>
        <v>CHILDREN D MALE</v>
      </c>
      <c r="AW745" s="157" t="str">
        <f t="shared" si="521"/>
        <v>Dodgeball</v>
      </c>
      <c r="AX745" s="376">
        <f t="shared" si="522"/>
        <v>743</v>
      </c>
      <c r="AY745" s="148" t="str">
        <f t="shared" si="523"/>
        <v>-&gt;</v>
      </c>
      <c r="AZ745" s="148" t="str">
        <f t="shared" si="524"/>
        <v>11/18/2017 19:40-&gt;</v>
      </c>
      <c r="BA745" s="148" t="str">
        <f t="shared" si="525"/>
        <v>11/18/2017 19:40-&gt;</v>
      </c>
      <c r="BB745" s="374">
        <f t="shared" si="526"/>
        <v>0</v>
      </c>
      <c r="BC745" s="374">
        <f t="shared" si="527"/>
        <v>0</v>
      </c>
      <c r="BD745" s="148" t="str">
        <f t="shared" si="528"/>
        <v>no conflict</v>
      </c>
      <c r="BF745" s="148" t="str">
        <f t="shared" si="529"/>
        <v>11/18/2017 19:40-&gt;</v>
      </c>
      <c r="BG745" s="148" t="str">
        <f t="shared" si="530"/>
        <v>11/18/2017 19:40-&gt;</v>
      </c>
      <c r="BH745" s="148" t="str">
        <f t="shared" si="531"/>
        <v>11/18/2017 19:40-&gt;JCC Basketball Out 2</v>
      </c>
      <c r="BI745" s="148" t="str">
        <f t="shared" si="532"/>
        <v>Dodgeball in JCC Basketball Out 2 ()</v>
      </c>
      <c r="BJ745" s="148" t="str">
        <f t="shared" si="533"/>
        <v xml:space="preserve">Ch D Male Dodgeball--  vs. </v>
      </c>
      <c r="BK745" s="148" t="str">
        <f t="shared" si="534"/>
        <v>Dodgeball</v>
      </c>
      <c r="BL745" s="148">
        <f t="shared" si="535"/>
        <v>0</v>
      </c>
      <c r="BM745" s="148">
        <f t="shared" si="536"/>
        <v>0</v>
      </c>
      <c r="BN745" s="148" t="str">
        <f t="shared" si="537"/>
        <v>Tournament</v>
      </c>
      <c r="BP745" s="148" t="str">
        <f t="shared" si="538"/>
        <v>11/18/2017 19:40-&gt;CHILDREN D MALE</v>
      </c>
      <c r="BQ745" s="148" t="str">
        <f t="shared" si="539"/>
        <v>Dodgeball Tournament in JCC Basketball Out 2</v>
      </c>
    </row>
    <row r="746" spans="1:69" ht="15" customHeight="1" x14ac:dyDescent="0.2">
      <c r="A746" s="376">
        <v>744</v>
      </c>
      <c r="B746" s="444" t="s">
        <v>60</v>
      </c>
      <c r="C746" s="444" t="s">
        <v>711</v>
      </c>
      <c r="D746" s="451">
        <v>1</v>
      </c>
      <c r="E746" s="451">
        <v>1</v>
      </c>
      <c r="F746" s="315" t="s">
        <v>770</v>
      </c>
      <c r="G746" s="445">
        <v>43055</v>
      </c>
      <c r="H746" s="318">
        <v>0.85416666666666663</v>
      </c>
      <c r="I746" s="325" t="s">
        <v>770</v>
      </c>
      <c r="J746" s="444" t="s">
        <v>695</v>
      </c>
      <c r="K746" s="441"/>
      <c r="L746"/>
      <c r="M746"/>
      <c r="N746"/>
      <c r="O746" s="153" t="str">
        <f>IF(L746&lt;&gt;"",IFERROR(VLOOKUP(B746&amp;L746,Pools!$A$2:$D$130,3,FALSE),""),"")</f>
        <v/>
      </c>
      <c r="P746" s="388"/>
      <c r="Q746" s="388"/>
      <c r="R746" s="306" t="str">
        <f t="shared" si="495"/>
        <v>-</v>
      </c>
      <c r="S746" s="153"/>
      <c r="T746" s="148" t="str">
        <f t="shared" si="496"/>
        <v>Pending</v>
      </c>
      <c r="U746" s="153"/>
      <c r="V746" s="153"/>
      <c r="W746" s="387">
        <f t="shared" si="497"/>
        <v>0</v>
      </c>
      <c r="X746" s="387">
        <f t="shared" si="498"/>
        <v>0</v>
      </c>
      <c r="Y746" s="301" t="str">
        <f t="shared" si="499"/>
        <v>X</v>
      </c>
      <c r="Z746" s="301" t="str">
        <f t="shared" si="500"/>
        <v>X</v>
      </c>
      <c r="AA746" s="323" t="str">
        <f>CONCATENATE("                x[team1,team2,sport,'",IF(OR(I746="x",I746=""),VLOOKUP('Schedule from TM'!J747,Tables!$P$3:$Q$33,2,FALSE),'Schedule from TM'!I747),",",J746,"','",IF(OR(F746="x",F746=""),VLOOKUP('Schedule from TM'!G747,Tables!$U$3:$V$14,2,FALSE),'Schedule from TM'!F747),",",TEXT(G746,"mm/dd/yyyy"),"','",TEXT(H746,"h:mm:ss AM/PM"),"'].ub=0.0      #",B746)</f>
        <v xml:space="preserve">                x[team1,team2,sport,'11,JCC Back Field 1','22,11/16/2017','8:30:00 PM'].ub=0.0      #Ch E Female Dodgeball</v>
      </c>
      <c r="AB746" s="301" t="str">
        <f t="shared" si="501"/>
        <v>,,Ch E Female Dodgeball,,1,</v>
      </c>
      <c r="AC746" s="153" t="str">
        <f t="shared" si="502"/>
        <v>Ch E Female Dodgeball</v>
      </c>
      <c r="AD746" s="301" t="str">
        <f t="shared" si="503"/>
        <v>,,Ch E Female Dodgeball,,1,</v>
      </c>
      <c r="AE746" s="153" t="str">
        <f t="shared" si="504"/>
        <v>Ch E Female Dodgeball</v>
      </c>
      <c r="AF746" s="383">
        <f t="shared" si="505"/>
        <v>0</v>
      </c>
      <c r="AG746" s="383">
        <f t="shared" si="506"/>
        <v>0</v>
      </c>
      <c r="AH746" s="383">
        <f t="shared" si="507"/>
        <v>0</v>
      </c>
      <c r="AI746" s="383">
        <f t="shared" si="508"/>
        <v>0</v>
      </c>
      <c r="AJ746" s="383">
        <f t="shared" si="509"/>
        <v>0</v>
      </c>
      <c r="AK746" s="383">
        <f t="shared" si="510"/>
        <v>0</v>
      </c>
      <c r="AM746" s="148" t="str">
        <f t="shared" si="511"/>
        <v>Schedulled</v>
      </c>
      <c r="AN746" s="148" t="str">
        <f t="shared" si="512"/>
        <v>Schedulled no team</v>
      </c>
      <c r="AO746" s="156">
        <f t="shared" si="513"/>
        <v>43055.854166666664</v>
      </c>
      <c r="AP746" s="148" t="str">
        <f t="shared" si="514"/>
        <v>11/16/2017 20:30-&gt;JCC Back Field 1</v>
      </c>
      <c r="AQ746" s="374">
        <f t="shared" si="515"/>
        <v>1</v>
      </c>
      <c r="AR746" s="148" t="str">
        <f t="shared" si="516"/>
        <v/>
      </c>
      <c r="AS746" s="148" t="str">
        <f t="shared" si="517"/>
        <v/>
      </c>
      <c r="AT746" s="157" t="str">
        <f t="shared" si="518"/>
        <v/>
      </c>
      <c r="AU746" s="157" t="str">
        <f t="shared" si="519"/>
        <v>Dodgeball Tournament</v>
      </c>
      <c r="AV746" s="157" t="str">
        <f t="shared" si="520"/>
        <v>CHILDREN E FEMALE</v>
      </c>
      <c r="AW746" s="157" t="str">
        <f t="shared" si="521"/>
        <v>Dodgeball</v>
      </c>
      <c r="AX746" s="376">
        <f t="shared" si="522"/>
        <v>744</v>
      </c>
      <c r="AY746" s="148" t="str">
        <f t="shared" si="523"/>
        <v>-&gt;</v>
      </c>
      <c r="AZ746" s="148" t="str">
        <f t="shared" si="524"/>
        <v>11/16/2017 20:30-&gt;</v>
      </c>
      <c r="BA746" s="148" t="str">
        <f t="shared" si="525"/>
        <v>11/16/2017 20:30-&gt;</v>
      </c>
      <c r="BB746" s="374">
        <f t="shared" si="526"/>
        <v>0</v>
      </c>
      <c r="BC746" s="374">
        <f t="shared" si="527"/>
        <v>0</v>
      </c>
      <c r="BD746" s="148" t="str">
        <f t="shared" si="528"/>
        <v>no conflict</v>
      </c>
      <c r="BF746" s="148" t="str">
        <f t="shared" si="529"/>
        <v>11/16/2017 20:30-&gt;</v>
      </c>
      <c r="BG746" s="148" t="str">
        <f t="shared" si="530"/>
        <v>11/16/2017 20:30-&gt;</v>
      </c>
      <c r="BH746" s="148" t="str">
        <f t="shared" si="531"/>
        <v>11/16/2017 20:30-&gt;JCC Back Field 1</v>
      </c>
      <c r="BI746" s="148" t="str">
        <f t="shared" si="532"/>
        <v>Dodgeball in JCC Back Field 1 ()</v>
      </c>
      <c r="BJ746" s="148" t="str">
        <f t="shared" si="533"/>
        <v xml:space="preserve">Ch E Female Dodgeball--  vs. </v>
      </c>
      <c r="BK746" s="148" t="str">
        <f t="shared" si="534"/>
        <v>Dodgeball</v>
      </c>
      <c r="BL746" s="148">
        <f t="shared" si="535"/>
        <v>0</v>
      </c>
      <c r="BM746" s="148">
        <f t="shared" si="536"/>
        <v>0</v>
      </c>
      <c r="BN746" s="148" t="str">
        <f t="shared" si="537"/>
        <v>Tournament</v>
      </c>
      <c r="BP746" s="148" t="str">
        <f t="shared" si="538"/>
        <v>11/16/2017 20:30-&gt;CHILDREN E FEMALE</v>
      </c>
      <c r="BQ746" s="148" t="str">
        <f t="shared" si="539"/>
        <v>Dodgeball Tournament in JCC Back Field 1</v>
      </c>
    </row>
    <row r="747" spans="1:69" ht="15" customHeight="1" x14ac:dyDescent="0.2">
      <c r="A747" s="376">
        <v>745</v>
      </c>
      <c r="B747" s="444" t="s">
        <v>60</v>
      </c>
      <c r="C747" s="315" t="s">
        <v>711</v>
      </c>
      <c r="D747" s="378">
        <v>1</v>
      </c>
      <c r="E747" s="378">
        <v>1</v>
      </c>
      <c r="F747" s="315" t="s">
        <v>770</v>
      </c>
      <c r="G747" s="316">
        <v>43055</v>
      </c>
      <c r="H747" s="318">
        <v>0.85416666666666663</v>
      </c>
      <c r="I747" s="325" t="s">
        <v>770</v>
      </c>
      <c r="J747" s="315" t="s">
        <v>692</v>
      </c>
      <c r="K747" s="315"/>
      <c r="L747"/>
      <c r="M747"/>
      <c r="N747"/>
      <c r="O747" s="153" t="str">
        <f>IF(L747&lt;&gt;"",IFERROR(VLOOKUP(B747&amp;L747,Pools!$A$2:$D$130,3,FALSE),""),"")</f>
        <v/>
      </c>
      <c r="P747" s="388"/>
      <c r="Q747" s="388"/>
      <c r="R747" s="306" t="str">
        <f t="shared" si="495"/>
        <v>-</v>
      </c>
      <c r="S747" s="153"/>
      <c r="T747" s="148" t="str">
        <f t="shared" si="496"/>
        <v>Pending</v>
      </c>
      <c r="U747" s="153"/>
      <c r="V747" s="153"/>
      <c r="W747" s="387">
        <f t="shared" si="497"/>
        <v>0</v>
      </c>
      <c r="X747" s="387">
        <f t="shared" si="498"/>
        <v>0</v>
      </c>
      <c r="Y747" s="301" t="str">
        <f t="shared" si="499"/>
        <v>X</v>
      </c>
      <c r="Z747" s="301" t="str">
        <f t="shared" si="500"/>
        <v>X</v>
      </c>
      <c r="AA747" s="323" t="str">
        <f>CONCATENATE("                x[team1,team2,sport,'",IF(OR(I747="x",I747=""),VLOOKUP('Schedule from TM'!J748,Tables!$P$3:$Q$33,2,FALSE),'Schedule from TM'!I748),",",J747,"','",IF(OR(F747="x",F747=""),VLOOKUP('Schedule from TM'!G748,Tables!$U$3:$V$14,2,FALSE),'Schedule from TM'!F748),",",TEXT(G747,"mm/dd/yyyy"),"','",TEXT(H747,"h:mm:ss AM/PM"),"'].ub=0.0      #",B747)</f>
        <v xml:space="preserve">                x[team1,team2,sport,'11,JCC Back Field 3','22,11/16/2017','8:30:00 PM'].ub=0.0      #Ch E Female Dodgeball</v>
      </c>
      <c r="AB747" s="301" t="str">
        <f t="shared" si="501"/>
        <v>,,Ch E Female Dodgeball,,1,</v>
      </c>
      <c r="AC747" s="153" t="str">
        <f t="shared" si="502"/>
        <v>Ch E Female Dodgeball</v>
      </c>
      <c r="AD747" s="301" t="str">
        <f t="shared" si="503"/>
        <v>,,Ch E Female Dodgeball,,1,</v>
      </c>
      <c r="AE747" s="153" t="str">
        <f t="shared" si="504"/>
        <v>Ch E Female Dodgeball</v>
      </c>
      <c r="AF747" s="383">
        <f t="shared" si="505"/>
        <v>0</v>
      </c>
      <c r="AG747" s="383">
        <f t="shared" si="506"/>
        <v>0</v>
      </c>
      <c r="AH747" s="383">
        <f t="shared" si="507"/>
        <v>0</v>
      </c>
      <c r="AI747" s="383">
        <f t="shared" si="508"/>
        <v>0</v>
      </c>
      <c r="AJ747" s="383">
        <f t="shared" si="509"/>
        <v>0</v>
      </c>
      <c r="AK747" s="383">
        <f t="shared" si="510"/>
        <v>0</v>
      </c>
      <c r="AM747" s="148" t="str">
        <f t="shared" si="511"/>
        <v>Schedulled</v>
      </c>
      <c r="AN747" s="148" t="str">
        <f t="shared" si="512"/>
        <v>Schedulled no team</v>
      </c>
      <c r="AO747" s="156">
        <f t="shared" si="513"/>
        <v>43055.854166666664</v>
      </c>
      <c r="AP747" s="148" t="str">
        <f t="shared" si="514"/>
        <v>11/16/2017 20:30-&gt;JCC Back Field 3</v>
      </c>
      <c r="AQ747" s="374">
        <f t="shared" si="515"/>
        <v>1</v>
      </c>
      <c r="AR747" s="148" t="str">
        <f t="shared" si="516"/>
        <v/>
      </c>
      <c r="AS747" s="148" t="str">
        <f t="shared" si="517"/>
        <v/>
      </c>
      <c r="AT747" s="157" t="str">
        <f t="shared" si="518"/>
        <v/>
      </c>
      <c r="AU747" s="157" t="str">
        <f t="shared" si="519"/>
        <v>Dodgeball Tournament</v>
      </c>
      <c r="AV747" s="157" t="str">
        <f t="shared" si="520"/>
        <v>CHILDREN E FEMALE</v>
      </c>
      <c r="AW747" s="157" t="str">
        <f t="shared" si="521"/>
        <v>Dodgeball</v>
      </c>
      <c r="AX747" s="376">
        <f t="shared" si="522"/>
        <v>745</v>
      </c>
      <c r="AY747" s="148" t="str">
        <f t="shared" si="523"/>
        <v>-&gt;</v>
      </c>
      <c r="AZ747" s="148" t="str">
        <f t="shared" si="524"/>
        <v>11/16/2017 20:30-&gt;</v>
      </c>
      <c r="BA747" s="148" t="str">
        <f t="shared" si="525"/>
        <v>11/16/2017 20:30-&gt;</v>
      </c>
      <c r="BB747" s="374">
        <f t="shared" si="526"/>
        <v>0</v>
      </c>
      <c r="BC747" s="374">
        <f t="shared" si="527"/>
        <v>0</v>
      </c>
      <c r="BD747" s="148" t="str">
        <f t="shared" si="528"/>
        <v>no conflict</v>
      </c>
      <c r="BF747" s="148" t="str">
        <f t="shared" si="529"/>
        <v>11/16/2017 20:30-&gt;</v>
      </c>
      <c r="BG747" s="148" t="str">
        <f t="shared" si="530"/>
        <v>11/16/2017 20:30-&gt;</v>
      </c>
      <c r="BH747" s="148" t="str">
        <f t="shared" si="531"/>
        <v>11/16/2017 20:30-&gt;JCC Back Field 3</v>
      </c>
      <c r="BI747" s="148" t="str">
        <f t="shared" si="532"/>
        <v>Dodgeball in JCC Back Field 3 ()</v>
      </c>
      <c r="BJ747" s="148" t="str">
        <f t="shared" si="533"/>
        <v xml:space="preserve">Ch E Female Dodgeball--  vs. </v>
      </c>
      <c r="BK747" s="148" t="str">
        <f t="shared" si="534"/>
        <v>Dodgeball</v>
      </c>
      <c r="BL747" s="148">
        <f t="shared" si="535"/>
        <v>0</v>
      </c>
      <c r="BM747" s="148">
        <f t="shared" si="536"/>
        <v>0</v>
      </c>
      <c r="BN747" s="148" t="str">
        <f t="shared" si="537"/>
        <v>Tournament</v>
      </c>
      <c r="BP747" s="148" t="str">
        <f t="shared" si="538"/>
        <v>11/16/2017 20:30-&gt;CHILDREN E FEMALE</v>
      </c>
      <c r="BQ747" s="148" t="str">
        <f t="shared" si="539"/>
        <v>Dodgeball Tournament in JCC Back Field 3</v>
      </c>
    </row>
    <row r="748" spans="1:69" ht="15" customHeight="1" x14ac:dyDescent="0.2">
      <c r="A748" s="376">
        <v>746</v>
      </c>
      <c r="B748" s="444" t="s">
        <v>60</v>
      </c>
      <c r="C748" s="444" t="s">
        <v>711</v>
      </c>
      <c r="D748" s="451">
        <v>1</v>
      </c>
      <c r="E748" s="451">
        <v>1</v>
      </c>
      <c r="F748" s="315" t="s">
        <v>770</v>
      </c>
      <c r="G748" s="445">
        <v>43055</v>
      </c>
      <c r="H748" s="318">
        <v>0.85416666666666663</v>
      </c>
      <c r="I748" s="325" t="s">
        <v>770</v>
      </c>
      <c r="J748" s="444" t="s">
        <v>688</v>
      </c>
      <c r="K748" s="444"/>
      <c r="L748" s="433"/>
      <c r="M748" s="433"/>
      <c r="N748" s="433"/>
      <c r="O748" s="153" t="str">
        <f>IF(L748&lt;&gt;"",IFERROR(VLOOKUP(B748&amp;L748,Pools!$A$2:$D$130,3,FALSE),""),"")</f>
        <v/>
      </c>
      <c r="P748" s="388"/>
      <c r="Q748" s="388"/>
      <c r="R748" s="306" t="str">
        <f t="shared" si="495"/>
        <v>-</v>
      </c>
      <c r="S748" s="153"/>
      <c r="T748" s="148" t="str">
        <f t="shared" si="496"/>
        <v>Pending</v>
      </c>
      <c r="U748" s="153"/>
      <c r="V748" s="153"/>
      <c r="W748" s="387">
        <f t="shared" si="497"/>
        <v>0</v>
      </c>
      <c r="X748" s="387">
        <f t="shared" si="498"/>
        <v>0</v>
      </c>
      <c r="Y748" s="301" t="str">
        <f t="shared" si="499"/>
        <v>X</v>
      </c>
      <c r="Z748" s="301" t="str">
        <f t="shared" si="500"/>
        <v>X</v>
      </c>
      <c r="AA748" s="323" t="str">
        <f>CONCATENATE("                x[team1,team2,sport,'",IF(OR(I748="x",I748=""),VLOOKUP('Schedule from TM'!J749,Tables!$P$3:$Q$33,2,FALSE),'Schedule from TM'!I749),",",J748,"','",IF(OR(F748="x",F748=""),VLOOKUP('Schedule from TM'!G749,Tables!$U$3:$V$14,2,FALSE),'Schedule from TM'!F749),",",TEXT(G748,"mm/dd/yyyy"),"','",TEXT(H748,"h:mm:ss AM/PM"),"'].ub=0.0      #",B748)</f>
        <v xml:space="preserve">                x[team1,team2,sport,'11,JCC Basketball Out 1','22,11/16/2017','8:30:00 PM'].ub=0.0      #Ch E Female Dodgeball</v>
      </c>
      <c r="AB748" s="301" t="str">
        <f t="shared" si="501"/>
        <v>,,Ch E Female Dodgeball,,1,</v>
      </c>
      <c r="AC748" s="153" t="str">
        <f t="shared" si="502"/>
        <v>Ch E Female Dodgeball</v>
      </c>
      <c r="AD748" s="301" t="str">
        <f t="shared" si="503"/>
        <v>,,Ch E Female Dodgeball,,1,</v>
      </c>
      <c r="AE748" s="153" t="str">
        <f t="shared" si="504"/>
        <v>Ch E Female Dodgeball</v>
      </c>
      <c r="AF748" s="383">
        <f t="shared" si="505"/>
        <v>0</v>
      </c>
      <c r="AG748" s="383">
        <f t="shared" si="506"/>
        <v>0</v>
      </c>
      <c r="AH748" s="383">
        <f t="shared" si="507"/>
        <v>0</v>
      </c>
      <c r="AI748" s="383">
        <f t="shared" si="508"/>
        <v>0</v>
      </c>
      <c r="AJ748" s="383">
        <f t="shared" si="509"/>
        <v>0</v>
      </c>
      <c r="AK748" s="383">
        <f t="shared" si="510"/>
        <v>0</v>
      </c>
      <c r="AM748" s="148" t="str">
        <f t="shared" si="511"/>
        <v>Schedulled</v>
      </c>
      <c r="AN748" s="148" t="str">
        <f t="shared" si="512"/>
        <v>Schedulled no team</v>
      </c>
      <c r="AO748" s="156">
        <f t="shared" si="513"/>
        <v>43055.854166666664</v>
      </c>
      <c r="AP748" s="148" t="str">
        <f t="shared" si="514"/>
        <v>11/16/2017 20:30-&gt;JCC Basketball Out 1</v>
      </c>
      <c r="AQ748" s="374">
        <f t="shared" si="515"/>
        <v>1</v>
      </c>
      <c r="AR748" s="148" t="str">
        <f t="shared" si="516"/>
        <v/>
      </c>
      <c r="AS748" s="148" t="str">
        <f t="shared" si="517"/>
        <v/>
      </c>
      <c r="AT748" s="157" t="str">
        <f t="shared" si="518"/>
        <v/>
      </c>
      <c r="AU748" s="157" t="str">
        <f t="shared" si="519"/>
        <v>Dodgeball Tournament</v>
      </c>
      <c r="AV748" s="157" t="str">
        <f t="shared" si="520"/>
        <v>CHILDREN E FEMALE</v>
      </c>
      <c r="AW748" s="157" t="str">
        <f t="shared" si="521"/>
        <v>Dodgeball</v>
      </c>
      <c r="AX748" s="376">
        <f t="shared" si="522"/>
        <v>746</v>
      </c>
      <c r="AY748" s="148" t="str">
        <f t="shared" si="523"/>
        <v>-&gt;</v>
      </c>
      <c r="AZ748" s="148" t="str">
        <f t="shared" si="524"/>
        <v>11/16/2017 20:30-&gt;</v>
      </c>
      <c r="BA748" s="148" t="str">
        <f t="shared" si="525"/>
        <v>11/16/2017 20:30-&gt;</v>
      </c>
      <c r="BB748" s="374">
        <f t="shared" si="526"/>
        <v>0</v>
      </c>
      <c r="BC748" s="374">
        <f t="shared" si="527"/>
        <v>0</v>
      </c>
      <c r="BD748" s="148" t="str">
        <f t="shared" si="528"/>
        <v>no conflict</v>
      </c>
      <c r="BF748" s="148" t="str">
        <f t="shared" si="529"/>
        <v>11/16/2017 20:30-&gt;</v>
      </c>
      <c r="BG748" s="148" t="str">
        <f t="shared" si="530"/>
        <v>11/16/2017 20:30-&gt;</v>
      </c>
      <c r="BH748" s="148" t="str">
        <f t="shared" si="531"/>
        <v>11/16/2017 20:30-&gt;JCC Basketball Out 1</v>
      </c>
      <c r="BI748" s="148" t="str">
        <f t="shared" si="532"/>
        <v>Dodgeball in JCC Basketball Out 1 ()</v>
      </c>
      <c r="BJ748" s="148" t="str">
        <f t="shared" si="533"/>
        <v xml:space="preserve">Ch E Female Dodgeball--  vs. </v>
      </c>
      <c r="BK748" s="148" t="str">
        <f t="shared" si="534"/>
        <v>Dodgeball</v>
      </c>
      <c r="BL748" s="148">
        <f t="shared" si="535"/>
        <v>0</v>
      </c>
      <c r="BM748" s="148">
        <f t="shared" si="536"/>
        <v>0</v>
      </c>
      <c r="BN748" s="148" t="str">
        <f t="shared" si="537"/>
        <v>Tournament</v>
      </c>
      <c r="BP748" s="148" t="str">
        <f t="shared" si="538"/>
        <v>11/16/2017 20:30-&gt;CHILDREN E FEMALE</v>
      </c>
      <c r="BQ748" s="148" t="str">
        <f t="shared" si="539"/>
        <v>Dodgeball Tournament in JCC Basketball Out 1</v>
      </c>
    </row>
    <row r="749" spans="1:69" ht="15" customHeight="1" x14ac:dyDescent="0.2">
      <c r="A749" s="376">
        <v>747</v>
      </c>
      <c r="B749" s="444" t="s">
        <v>60</v>
      </c>
      <c r="C749" s="444" t="s">
        <v>711</v>
      </c>
      <c r="D749" s="451">
        <v>1</v>
      </c>
      <c r="E749" s="451">
        <v>1</v>
      </c>
      <c r="F749" s="315" t="s">
        <v>770</v>
      </c>
      <c r="G749" s="445">
        <v>43055</v>
      </c>
      <c r="H749" s="317">
        <v>0.88888888888888884</v>
      </c>
      <c r="I749" s="325" t="s">
        <v>770</v>
      </c>
      <c r="J749" s="444" t="s">
        <v>693</v>
      </c>
      <c r="K749" s="444"/>
      <c r="L749"/>
      <c r="M749"/>
      <c r="N749"/>
      <c r="O749" s="153" t="str">
        <f>IF(L749&lt;&gt;"",IFERROR(VLOOKUP(B749&amp;L749,Pools!$A$2:$D$130,3,FALSE),""),"")</f>
        <v/>
      </c>
      <c r="P749" s="388"/>
      <c r="Q749" s="388"/>
      <c r="R749" s="306" t="str">
        <f t="shared" si="495"/>
        <v>-</v>
      </c>
      <c r="S749" s="153"/>
      <c r="T749" s="148" t="str">
        <f t="shared" si="496"/>
        <v>Pending</v>
      </c>
      <c r="U749" s="153"/>
      <c r="V749" s="153"/>
      <c r="W749" s="387">
        <f t="shared" si="497"/>
        <v>0</v>
      </c>
      <c r="X749" s="387">
        <f t="shared" si="498"/>
        <v>0</v>
      </c>
      <c r="Y749" s="301" t="str">
        <f t="shared" si="499"/>
        <v>X</v>
      </c>
      <c r="Z749" s="301" t="str">
        <f t="shared" si="500"/>
        <v>X</v>
      </c>
      <c r="AA749" s="323" t="str">
        <f>CONCATENATE("                x[team1,team2,sport,'",IF(OR(I749="x",I749=""),VLOOKUP('Schedule from TM'!J750,Tables!$P$3:$Q$33,2,FALSE),'Schedule from TM'!I750),",",J749,"','",IF(OR(F749="x",F749=""),VLOOKUP('Schedule from TM'!G750,Tables!$U$3:$V$14,2,FALSE),'Schedule from TM'!F750),",",TEXT(G749,"mm/dd/yyyy"),"','",TEXT(H749,"h:mm:ss AM/PM"),"'].ub=0.0      #",B749)</f>
        <v xml:space="preserve">                x[team1,team2,sport,'11,JCC Back Field 2','22,11/16/2017','9:20:00 PM'].ub=0.0      #Ch E Female Dodgeball</v>
      </c>
      <c r="AB749" s="301" t="str">
        <f t="shared" si="501"/>
        <v>,,Ch E Female Dodgeball,,1,</v>
      </c>
      <c r="AC749" s="153" t="str">
        <f t="shared" si="502"/>
        <v>Ch E Female Dodgeball</v>
      </c>
      <c r="AD749" s="301" t="str">
        <f t="shared" si="503"/>
        <v>,,Ch E Female Dodgeball,,1,</v>
      </c>
      <c r="AE749" s="153" t="str">
        <f t="shared" si="504"/>
        <v>Ch E Female Dodgeball</v>
      </c>
      <c r="AF749" s="383">
        <f t="shared" si="505"/>
        <v>0</v>
      </c>
      <c r="AG749" s="383">
        <f t="shared" si="506"/>
        <v>0</v>
      </c>
      <c r="AH749" s="383">
        <f t="shared" si="507"/>
        <v>0</v>
      </c>
      <c r="AI749" s="383">
        <f t="shared" si="508"/>
        <v>0</v>
      </c>
      <c r="AJ749" s="383">
        <f t="shared" si="509"/>
        <v>0</v>
      </c>
      <c r="AK749" s="383">
        <f t="shared" si="510"/>
        <v>0</v>
      </c>
      <c r="AM749" s="148" t="str">
        <f t="shared" si="511"/>
        <v>Schedulled</v>
      </c>
      <c r="AN749" s="148" t="str">
        <f t="shared" si="512"/>
        <v>Schedulled no team</v>
      </c>
      <c r="AO749" s="156">
        <f t="shared" si="513"/>
        <v>43055.888888888891</v>
      </c>
      <c r="AP749" s="148" t="str">
        <f t="shared" si="514"/>
        <v>11/16/2017 21:20-&gt;JCC Back Field 2</v>
      </c>
      <c r="AQ749" s="374">
        <f t="shared" si="515"/>
        <v>1</v>
      </c>
      <c r="AR749" s="148" t="str">
        <f t="shared" si="516"/>
        <v/>
      </c>
      <c r="AS749" s="148" t="str">
        <f t="shared" si="517"/>
        <v/>
      </c>
      <c r="AT749" s="157" t="str">
        <f t="shared" si="518"/>
        <v/>
      </c>
      <c r="AU749" s="157" t="str">
        <f t="shared" si="519"/>
        <v>Dodgeball Tournament</v>
      </c>
      <c r="AV749" s="157" t="str">
        <f t="shared" si="520"/>
        <v>CHILDREN E FEMALE</v>
      </c>
      <c r="AW749" s="157" t="str">
        <f t="shared" si="521"/>
        <v>Dodgeball</v>
      </c>
      <c r="AX749" s="376">
        <f t="shared" si="522"/>
        <v>747</v>
      </c>
      <c r="AY749" s="148" t="str">
        <f t="shared" si="523"/>
        <v>-&gt;</v>
      </c>
      <c r="AZ749" s="148" t="str">
        <f t="shared" si="524"/>
        <v>11/16/2017 21:20-&gt;</v>
      </c>
      <c r="BA749" s="148" t="str">
        <f t="shared" si="525"/>
        <v>11/16/2017 21:20-&gt;</v>
      </c>
      <c r="BB749" s="374">
        <f t="shared" si="526"/>
        <v>0</v>
      </c>
      <c r="BC749" s="374">
        <f t="shared" si="527"/>
        <v>0</v>
      </c>
      <c r="BD749" s="148" t="str">
        <f t="shared" si="528"/>
        <v>no conflict</v>
      </c>
      <c r="BF749" s="148" t="str">
        <f t="shared" si="529"/>
        <v>11/16/2017 21:20-&gt;</v>
      </c>
      <c r="BG749" s="148" t="str">
        <f t="shared" si="530"/>
        <v>11/16/2017 21:20-&gt;</v>
      </c>
      <c r="BH749" s="148" t="str">
        <f t="shared" si="531"/>
        <v>11/16/2017 21:20-&gt;JCC Back Field 2</v>
      </c>
      <c r="BI749" s="148" t="str">
        <f t="shared" si="532"/>
        <v>Dodgeball in JCC Back Field 2 ()</v>
      </c>
      <c r="BJ749" s="148" t="str">
        <f t="shared" si="533"/>
        <v xml:space="preserve">Ch E Female Dodgeball--  vs. </v>
      </c>
      <c r="BK749" s="148" t="str">
        <f t="shared" si="534"/>
        <v>Dodgeball</v>
      </c>
      <c r="BL749" s="148">
        <f t="shared" si="535"/>
        <v>0</v>
      </c>
      <c r="BM749" s="148">
        <f t="shared" si="536"/>
        <v>0</v>
      </c>
      <c r="BN749" s="148" t="str">
        <f t="shared" si="537"/>
        <v>Tournament</v>
      </c>
      <c r="BP749" s="148" t="str">
        <f t="shared" si="538"/>
        <v>11/16/2017 21:20-&gt;CHILDREN E FEMALE</v>
      </c>
      <c r="BQ749" s="148" t="str">
        <f t="shared" si="539"/>
        <v>Dodgeball Tournament in JCC Back Field 2</v>
      </c>
    </row>
    <row r="750" spans="1:69" ht="15" customHeight="1" x14ac:dyDescent="0.2">
      <c r="A750" s="376">
        <v>748</v>
      </c>
      <c r="B750" s="444" t="s">
        <v>60</v>
      </c>
      <c r="C750" s="315" t="s">
        <v>711</v>
      </c>
      <c r="D750" s="378">
        <v>1</v>
      </c>
      <c r="E750" s="378">
        <v>1</v>
      </c>
      <c r="F750" s="315" t="s">
        <v>770</v>
      </c>
      <c r="G750" s="316">
        <v>43055</v>
      </c>
      <c r="H750" s="317">
        <v>0.88888888888888884</v>
      </c>
      <c r="I750" s="325" t="s">
        <v>770</v>
      </c>
      <c r="J750" s="315" t="s">
        <v>694</v>
      </c>
      <c r="K750" s="315"/>
      <c r="L750"/>
      <c r="M750"/>
      <c r="N750"/>
      <c r="O750" s="153" t="str">
        <f>IF(L750&lt;&gt;"",IFERROR(VLOOKUP(B750&amp;L750,Pools!$A$2:$D$130,3,FALSE),""),"")</f>
        <v/>
      </c>
      <c r="P750" s="388"/>
      <c r="Q750" s="388"/>
      <c r="R750" s="306" t="str">
        <f t="shared" si="495"/>
        <v>-</v>
      </c>
      <c r="S750" s="153"/>
      <c r="T750" s="148" t="str">
        <f t="shared" si="496"/>
        <v>Pending</v>
      </c>
      <c r="U750" s="153"/>
      <c r="V750" s="153"/>
      <c r="W750" s="387">
        <f t="shared" si="497"/>
        <v>0</v>
      </c>
      <c r="X750" s="387">
        <f t="shared" si="498"/>
        <v>0</v>
      </c>
      <c r="Y750" s="301" t="str">
        <f t="shared" si="499"/>
        <v>X</v>
      </c>
      <c r="Z750" s="301" t="str">
        <f t="shared" si="500"/>
        <v>X</v>
      </c>
      <c r="AA750" s="323" t="str">
        <f>CONCATENATE("                x[team1,team2,sport,'",IF(OR(I750="x",I750=""),VLOOKUP('Schedule from TM'!J751,Tables!$P$3:$Q$33,2,FALSE),'Schedule from TM'!I751),",",J750,"','",IF(OR(F750="x",F750=""),VLOOKUP('Schedule from TM'!G751,Tables!$U$3:$V$14,2,FALSE),'Schedule from TM'!F751),",",TEXT(G750,"mm/dd/yyyy"),"','",TEXT(H750,"h:mm:ss AM/PM"),"'].ub=0.0      #",B750)</f>
        <v xml:space="preserve">                x[team1,team2,sport,'11,JCC Back Field 4','22,11/16/2017','9:20:00 PM'].ub=0.0      #Ch E Female Dodgeball</v>
      </c>
      <c r="AB750" s="301" t="str">
        <f t="shared" si="501"/>
        <v>,,Ch E Female Dodgeball,,1,</v>
      </c>
      <c r="AC750" s="153" t="str">
        <f t="shared" si="502"/>
        <v>Ch E Female Dodgeball</v>
      </c>
      <c r="AD750" s="301" t="str">
        <f t="shared" si="503"/>
        <v>,,Ch E Female Dodgeball,,1,</v>
      </c>
      <c r="AE750" s="153" t="str">
        <f t="shared" si="504"/>
        <v>Ch E Female Dodgeball</v>
      </c>
      <c r="AF750" s="383">
        <f t="shared" si="505"/>
        <v>0</v>
      </c>
      <c r="AG750" s="383">
        <f t="shared" si="506"/>
        <v>0</v>
      </c>
      <c r="AH750" s="383">
        <f t="shared" si="507"/>
        <v>0</v>
      </c>
      <c r="AI750" s="383">
        <f t="shared" si="508"/>
        <v>0</v>
      </c>
      <c r="AJ750" s="383">
        <f t="shared" si="509"/>
        <v>0</v>
      </c>
      <c r="AK750" s="383">
        <f t="shared" si="510"/>
        <v>0</v>
      </c>
      <c r="AM750" s="148" t="str">
        <f t="shared" si="511"/>
        <v>Schedulled</v>
      </c>
      <c r="AN750" s="148" t="str">
        <f t="shared" si="512"/>
        <v>Schedulled no team</v>
      </c>
      <c r="AO750" s="156">
        <f t="shared" si="513"/>
        <v>43055.888888888891</v>
      </c>
      <c r="AP750" s="148" t="str">
        <f t="shared" si="514"/>
        <v>11/16/2017 21:20-&gt;JCC Back Field 4</v>
      </c>
      <c r="AQ750" s="374">
        <f t="shared" si="515"/>
        <v>1</v>
      </c>
      <c r="AR750" s="148" t="str">
        <f t="shared" si="516"/>
        <v/>
      </c>
      <c r="AS750" s="148" t="str">
        <f t="shared" si="517"/>
        <v/>
      </c>
      <c r="AT750" s="157" t="str">
        <f t="shared" si="518"/>
        <v/>
      </c>
      <c r="AU750" s="157" t="str">
        <f t="shared" si="519"/>
        <v>Dodgeball Tournament</v>
      </c>
      <c r="AV750" s="157" t="str">
        <f t="shared" si="520"/>
        <v>CHILDREN E FEMALE</v>
      </c>
      <c r="AW750" s="157" t="str">
        <f t="shared" si="521"/>
        <v>Dodgeball</v>
      </c>
      <c r="AX750" s="376">
        <f t="shared" si="522"/>
        <v>748</v>
      </c>
      <c r="AY750" s="148" t="str">
        <f t="shared" si="523"/>
        <v>-&gt;</v>
      </c>
      <c r="AZ750" s="148" t="str">
        <f t="shared" si="524"/>
        <v>11/16/2017 21:20-&gt;</v>
      </c>
      <c r="BA750" s="148" t="str">
        <f t="shared" si="525"/>
        <v>11/16/2017 21:20-&gt;</v>
      </c>
      <c r="BB750" s="374">
        <f t="shared" si="526"/>
        <v>0</v>
      </c>
      <c r="BC750" s="374">
        <f t="shared" si="527"/>
        <v>0</v>
      </c>
      <c r="BD750" s="148" t="str">
        <f t="shared" si="528"/>
        <v>no conflict</v>
      </c>
      <c r="BF750" s="148" t="str">
        <f t="shared" si="529"/>
        <v>11/16/2017 21:20-&gt;</v>
      </c>
      <c r="BG750" s="148" t="str">
        <f t="shared" si="530"/>
        <v>11/16/2017 21:20-&gt;</v>
      </c>
      <c r="BH750" s="148" t="str">
        <f t="shared" si="531"/>
        <v>11/16/2017 21:20-&gt;JCC Back Field 4</v>
      </c>
      <c r="BI750" s="148" t="str">
        <f t="shared" si="532"/>
        <v>Dodgeball in JCC Back Field 4 ()</v>
      </c>
      <c r="BJ750" s="148" t="str">
        <f t="shared" si="533"/>
        <v xml:space="preserve">Ch E Female Dodgeball--  vs. </v>
      </c>
      <c r="BK750" s="148" t="str">
        <f t="shared" si="534"/>
        <v>Dodgeball</v>
      </c>
      <c r="BL750" s="148">
        <f t="shared" si="535"/>
        <v>0</v>
      </c>
      <c r="BM750" s="148">
        <f t="shared" si="536"/>
        <v>0</v>
      </c>
      <c r="BN750" s="148" t="str">
        <f t="shared" si="537"/>
        <v>Tournament</v>
      </c>
      <c r="BP750" s="148" t="str">
        <f t="shared" si="538"/>
        <v>11/16/2017 21:20-&gt;CHILDREN E FEMALE</v>
      </c>
      <c r="BQ750" s="148" t="str">
        <f t="shared" si="539"/>
        <v>Dodgeball Tournament in JCC Back Field 4</v>
      </c>
    </row>
    <row r="751" spans="1:69" ht="15" customHeight="1" x14ac:dyDescent="0.2">
      <c r="A751" s="376">
        <v>749</v>
      </c>
      <c r="B751" s="444" t="s">
        <v>60</v>
      </c>
      <c r="C751" s="444" t="s">
        <v>711</v>
      </c>
      <c r="D751" s="451">
        <v>1</v>
      </c>
      <c r="E751" s="451">
        <v>1</v>
      </c>
      <c r="F751" s="315" t="s">
        <v>770</v>
      </c>
      <c r="G751" s="445">
        <v>43055</v>
      </c>
      <c r="H751" s="317">
        <v>0.88888888888888884</v>
      </c>
      <c r="I751" s="325" t="s">
        <v>770</v>
      </c>
      <c r="J751" s="444" t="s">
        <v>709</v>
      </c>
      <c r="K751" s="444"/>
      <c r="L751"/>
      <c r="M751"/>
      <c r="N751"/>
      <c r="O751" s="153" t="str">
        <f>IF(L751&lt;&gt;"",IFERROR(VLOOKUP(B751&amp;L751,Pools!$A$2:$D$130,3,FALSE),""),"")</f>
        <v/>
      </c>
      <c r="P751" s="388"/>
      <c r="Q751" s="388"/>
      <c r="R751" s="306" t="str">
        <f t="shared" si="495"/>
        <v>-</v>
      </c>
      <c r="S751" s="153"/>
      <c r="T751" s="148" t="str">
        <f t="shared" si="496"/>
        <v>Pending</v>
      </c>
      <c r="U751" s="153"/>
      <c r="V751" s="153"/>
      <c r="W751" s="387">
        <f t="shared" si="497"/>
        <v>0</v>
      </c>
      <c r="X751" s="387">
        <f t="shared" si="498"/>
        <v>0</v>
      </c>
      <c r="Y751" s="301" t="str">
        <f t="shared" si="499"/>
        <v>X</v>
      </c>
      <c r="Z751" s="301" t="str">
        <f t="shared" si="500"/>
        <v>X</v>
      </c>
      <c r="AA751" s="323" t="str">
        <f>CONCATENATE("                x[team1,team2,sport,'",IF(OR(I751="x",I751=""),VLOOKUP('Schedule from TM'!J752,Tables!$P$3:$Q$33,2,FALSE),'Schedule from TM'!I752),",",J751,"','",IF(OR(F751="x",F751=""),VLOOKUP('Schedule from TM'!G752,Tables!$U$3:$V$14,2,FALSE),'Schedule from TM'!F752),",",TEXT(G751,"mm/dd/yyyy"),"','",TEXT(H751,"h:mm:ss AM/PM"),"'].ub=0.0      #",B751)</f>
        <v xml:space="preserve">                x[team1,team2,sport,'11,JCC Basketball Out 2','22,11/16/2017','9:20:00 PM'].ub=0.0      #Ch E Female Dodgeball</v>
      </c>
      <c r="AB751" s="301" t="str">
        <f t="shared" si="501"/>
        <v>,,Ch E Female Dodgeball,,1,</v>
      </c>
      <c r="AC751" s="153" t="str">
        <f t="shared" si="502"/>
        <v>Ch E Female Dodgeball</v>
      </c>
      <c r="AD751" s="301" t="str">
        <f t="shared" si="503"/>
        <v>,,Ch E Female Dodgeball,,1,</v>
      </c>
      <c r="AE751" s="153" t="str">
        <f t="shared" si="504"/>
        <v>Ch E Female Dodgeball</v>
      </c>
      <c r="AF751" s="383">
        <f t="shared" si="505"/>
        <v>0</v>
      </c>
      <c r="AG751" s="383">
        <f t="shared" si="506"/>
        <v>0</v>
      </c>
      <c r="AH751" s="383">
        <f t="shared" si="507"/>
        <v>0</v>
      </c>
      <c r="AI751" s="383">
        <f t="shared" si="508"/>
        <v>0</v>
      </c>
      <c r="AJ751" s="383">
        <f t="shared" si="509"/>
        <v>0</v>
      </c>
      <c r="AK751" s="383">
        <f t="shared" si="510"/>
        <v>0</v>
      </c>
      <c r="AM751" s="148" t="str">
        <f t="shared" si="511"/>
        <v>Schedulled</v>
      </c>
      <c r="AN751" s="148" t="str">
        <f t="shared" si="512"/>
        <v>Schedulled no team</v>
      </c>
      <c r="AO751" s="156">
        <f t="shared" si="513"/>
        <v>43055.888888888891</v>
      </c>
      <c r="AP751" s="148" t="str">
        <f t="shared" si="514"/>
        <v>11/16/2017 21:20-&gt;JCC Basketball Out 2</v>
      </c>
      <c r="AQ751" s="374">
        <f t="shared" si="515"/>
        <v>1</v>
      </c>
      <c r="AR751" s="148" t="str">
        <f t="shared" si="516"/>
        <v/>
      </c>
      <c r="AS751" s="148" t="str">
        <f t="shared" si="517"/>
        <v/>
      </c>
      <c r="AT751" s="157" t="str">
        <f t="shared" si="518"/>
        <v/>
      </c>
      <c r="AU751" s="157" t="str">
        <f t="shared" si="519"/>
        <v>Dodgeball Tournament</v>
      </c>
      <c r="AV751" s="157" t="str">
        <f t="shared" si="520"/>
        <v>CHILDREN E FEMALE</v>
      </c>
      <c r="AW751" s="157" t="str">
        <f t="shared" si="521"/>
        <v>Dodgeball</v>
      </c>
      <c r="AX751" s="376">
        <f t="shared" si="522"/>
        <v>749</v>
      </c>
      <c r="AY751" s="148" t="str">
        <f t="shared" si="523"/>
        <v>-&gt;</v>
      </c>
      <c r="AZ751" s="148" t="str">
        <f t="shared" si="524"/>
        <v>11/16/2017 21:20-&gt;</v>
      </c>
      <c r="BA751" s="148" t="str">
        <f t="shared" si="525"/>
        <v>11/16/2017 21:20-&gt;</v>
      </c>
      <c r="BB751" s="374">
        <f t="shared" si="526"/>
        <v>0</v>
      </c>
      <c r="BC751" s="374">
        <f t="shared" si="527"/>
        <v>0</v>
      </c>
      <c r="BD751" s="148" t="str">
        <f t="shared" si="528"/>
        <v>no conflict</v>
      </c>
      <c r="BF751" s="148" t="str">
        <f t="shared" si="529"/>
        <v>11/16/2017 21:20-&gt;</v>
      </c>
      <c r="BG751" s="148" t="str">
        <f t="shared" si="530"/>
        <v>11/16/2017 21:20-&gt;</v>
      </c>
      <c r="BH751" s="148" t="str">
        <f t="shared" si="531"/>
        <v>11/16/2017 21:20-&gt;JCC Basketball Out 2</v>
      </c>
      <c r="BI751" s="148" t="str">
        <f t="shared" si="532"/>
        <v>Dodgeball in JCC Basketball Out 2 ()</v>
      </c>
      <c r="BJ751" s="148" t="str">
        <f t="shared" si="533"/>
        <v xml:space="preserve">Ch E Female Dodgeball--  vs. </v>
      </c>
      <c r="BK751" s="148" t="str">
        <f t="shared" si="534"/>
        <v>Dodgeball</v>
      </c>
      <c r="BL751" s="148">
        <f t="shared" si="535"/>
        <v>0</v>
      </c>
      <c r="BM751" s="148">
        <f t="shared" si="536"/>
        <v>0</v>
      </c>
      <c r="BN751" s="148" t="str">
        <f t="shared" si="537"/>
        <v>Tournament</v>
      </c>
      <c r="BP751" s="148" t="str">
        <f t="shared" si="538"/>
        <v>11/16/2017 21:20-&gt;CHILDREN E FEMALE</v>
      </c>
      <c r="BQ751" s="148" t="str">
        <f t="shared" si="539"/>
        <v>Dodgeball Tournament in JCC Basketball Out 2</v>
      </c>
    </row>
    <row r="752" spans="1:69" ht="15" customHeight="1" x14ac:dyDescent="0.2">
      <c r="A752" s="376">
        <v>750</v>
      </c>
      <c r="B752" s="444" t="s">
        <v>64</v>
      </c>
      <c r="C752" s="444" t="s">
        <v>711</v>
      </c>
      <c r="D752" s="451">
        <v>1</v>
      </c>
      <c r="E752" s="451">
        <v>1</v>
      </c>
      <c r="F752" s="315" t="s">
        <v>770</v>
      </c>
      <c r="G752" s="445">
        <v>43055</v>
      </c>
      <c r="H752" s="318">
        <v>0.85416666666666663</v>
      </c>
      <c r="I752" s="325" t="s">
        <v>770</v>
      </c>
      <c r="J752" s="444" t="s">
        <v>693</v>
      </c>
      <c r="K752" s="444"/>
      <c r="L752"/>
      <c r="M752"/>
      <c r="N752"/>
      <c r="O752" s="153" t="str">
        <f>IF(L752&lt;&gt;"",IFERROR(VLOOKUP(B752&amp;L752,Pools!$A$2:$D$130,3,FALSE),""),"")</f>
        <v/>
      </c>
      <c r="P752" s="388"/>
      <c r="Q752" s="388"/>
      <c r="R752" s="306" t="str">
        <f t="shared" si="495"/>
        <v>-</v>
      </c>
      <c r="S752" s="153"/>
      <c r="T752" s="148" t="str">
        <f t="shared" si="496"/>
        <v>Pending</v>
      </c>
      <c r="U752" s="153"/>
      <c r="V752" s="153"/>
      <c r="W752" s="387">
        <f t="shared" si="497"/>
        <v>0</v>
      </c>
      <c r="X752" s="387">
        <f t="shared" si="498"/>
        <v>0</v>
      </c>
      <c r="Y752" s="301" t="str">
        <f t="shared" si="499"/>
        <v>X</v>
      </c>
      <c r="Z752" s="301" t="str">
        <f t="shared" si="500"/>
        <v>X</v>
      </c>
      <c r="AA752" s="323" t="str">
        <f>CONCATENATE("                x[team1,team2,sport,'",IF(OR(I752="x",I752=""),VLOOKUP('Schedule from TM'!J753,Tables!$P$3:$Q$33,2,FALSE),'Schedule from TM'!I753),",",J752,"','",IF(OR(F752="x",F752=""),VLOOKUP('Schedule from TM'!G753,Tables!$U$3:$V$14,2,FALSE),'Schedule from TM'!F753),",",TEXT(G752,"mm/dd/yyyy"),"','",TEXT(H752,"h:mm:ss AM/PM"),"'].ub=0.0      #",B752)</f>
        <v xml:space="preserve">                x[team1,team2,sport,'11,JCC Back Field 2','22,11/16/2017','8:30:00 PM'].ub=0.0      #Ch E Male Dodgeball</v>
      </c>
      <c r="AB752" s="301" t="str">
        <f t="shared" si="501"/>
        <v>,,Ch E Male Dodgeball,,1,</v>
      </c>
      <c r="AC752" s="153" t="str">
        <f t="shared" si="502"/>
        <v>Ch E Male Dodgeball</v>
      </c>
      <c r="AD752" s="301" t="str">
        <f t="shared" si="503"/>
        <v>,,Ch E Male Dodgeball,,1,</v>
      </c>
      <c r="AE752" s="153" t="str">
        <f t="shared" si="504"/>
        <v>Ch E Male Dodgeball</v>
      </c>
      <c r="AF752" s="383">
        <f t="shared" si="505"/>
        <v>0</v>
      </c>
      <c r="AG752" s="383">
        <f t="shared" si="506"/>
        <v>0</v>
      </c>
      <c r="AH752" s="383">
        <f t="shared" si="507"/>
        <v>0</v>
      </c>
      <c r="AI752" s="383">
        <f t="shared" si="508"/>
        <v>0</v>
      </c>
      <c r="AJ752" s="383">
        <f t="shared" si="509"/>
        <v>0</v>
      </c>
      <c r="AK752" s="383">
        <f t="shared" si="510"/>
        <v>0</v>
      </c>
      <c r="AM752" s="148" t="str">
        <f t="shared" si="511"/>
        <v>Schedulled</v>
      </c>
      <c r="AN752" s="148" t="str">
        <f t="shared" si="512"/>
        <v>Schedulled no team</v>
      </c>
      <c r="AO752" s="156">
        <f t="shared" si="513"/>
        <v>43055.854166666664</v>
      </c>
      <c r="AP752" s="148" t="str">
        <f t="shared" si="514"/>
        <v>11/16/2017 20:30-&gt;JCC Back Field 2</v>
      </c>
      <c r="AQ752" s="374">
        <f t="shared" si="515"/>
        <v>1</v>
      </c>
      <c r="AR752" s="148" t="str">
        <f t="shared" si="516"/>
        <v/>
      </c>
      <c r="AS752" s="148" t="str">
        <f t="shared" si="517"/>
        <v/>
      </c>
      <c r="AT752" s="157" t="str">
        <f t="shared" si="518"/>
        <v/>
      </c>
      <c r="AU752" s="157" t="str">
        <f t="shared" si="519"/>
        <v>Dodgeball Tournament</v>
      </c>
      <c r="AV752" s="157" t="str">
        <f t="shared" si="520"/>
        <v>CHILDREN E MALE</v>
      </c>
      <c r="AW752" s="157" t="str">
        <f t="shared" si="521"/>
        <v>Dodgeball</v>
      </c>
      <c r="AX752" s="376">
        <f t="shared" si="522"/>
        <v>750</v>
      </c>
      <c r="AY752" s="148" t="str">
        <f t="shared" si="523"/>
        <v>-&gt;</v>
      </c>
      <c r="AZ752" s="148" t="str">
        <f t="shared" si="524"/>
        <v>11/16/2017 20:30-&gt;</v>
      </c>
      <c r="BA752" s="148" t="str">
        <f t="shared" si="525"/>
        <v>11/16/2017 20:30-&gt;</v>
      </c>
      <c r="BB752" s="374">
        <f t="shared" si="526"/>
        <v>0</v>
      </c>
      <c r="BC752" s="374">
        <f t="shared" si="527"/>
        <v>0</v>
      </c>
      <c r="BD752" s="148" t="str">
        <f t="shared" si="528"/>
        <v>no conflict</v>
      </c>
      <c r="BF752" s="148" t="str">
        <f t="shared" si="529"/>
        <v>11/16/2017 20:30-&gt;</v>
      </c>
      <c r="BG752" s="148" t="str">
        <f t="shared" si="530"/>
        <v>11/16/2017 20:30-&gt;</v>
      </c>
      <c r="BH752" s="148" t="str">
        <f t="shared" si="531"/>
        <v>11/16/2017 20:30-&gt;JCC Back Field 2</v>
      </c>
      <c r="BI752" s="148" t="str">
        <f t="shared" si="532"/>
        <v>Dodgeball in JCC Back Field 2 ()</v>
      </c>
      <c r="BJ752" s="148" t="str">
        <f t="shared" si="533"/>
        <v xml:space="preserve">Ch E Male Dodgeball--  vs. </v>
      </c>
      <c r="BK752" s="148" t="str">
        <f t="shared" si="534"/>
        <v>Dodgeball</v>
      </c>
      <c r="BL752" s="148">
        <f t="shared" si="535"/>
        <v>0</v>
      </c>
      <c r="BM752" s="148">
        <f t="shared" si="536"/>
        <v>0</v>
      </c>
      <c r="BN752" s="148" t="str">
        <f t="shared" si="537"/>
        <v>Tournament</v>
      </c>
      <c r="BP752" s="148" t="str">
        <f t="shared" si="538"/>
        <v>11/16/2017 20:30-&gt;CHILDREN E MALE</v>
      </c>
      <c r="BQ752" s="148" t="str">
        <f t="shared" si="539"/>
        <v>Dodgeball Tournament in JCC Back Field 2</v>
      </c>
    </row>
    <row r="753" spans="1:69" ht="15" customHeight="1" x14ac:dyDescent="0.2">
      <c r="A753" s="376">
        <v>751</v>
      </c>
      <c r="B753" s="444" t="s">
        <v>64</v>
      </c>
      <c r="C753" s="444" t="s">
        <v>711</v>
      </c>
      <c r="D753" s="451">
        <v>1</v>
      </c>
      <c r="E753" s="451">
        <v>1</v>
      </c>
      <c r="F753" s="315" t="s">
        <v>770</v>
      </c>
      <c r="G753" s="445">
        <v>43055</v>
      </c>
      <c r="H753" s="318">
        <v>0.85416666666666663</v>
      </c>
      <c r="I753" s="325" t="s">
        <v>770</v>
      </c>
      <c r="J753" s="444" t="s">
        <v>694</v>
      </c>
      <c r="K753" s="441"/>
      <c r="L753"/>
      <c r="M753"/>
      <c r="N753"/>
      <c r="O753" s="153" t="str">
        <f>IF(L753&lt;&gt;"",IFERROR(VLOOKUP(B753&amp;L753,Pools!$A$2:$D$130,3,FALSE),""),"")</f>
        <v/>
      </c>
      <c r="P753" s="388"/>
      <c r="Q753" s="388"/>
      <c r="R753" s="306" t="str">
        <f t="shared" si="495"/>
        <v>-</v>
      </c>
      <c r="S753" s="153"/>
      <c r="T753" s="148" t="str">
        <f t="shared" si="496"/>
        <v>Pending</v>
      </c>
      <c r="U753" s="153"/>
      <c r="V753" s="153"/>
      <c r="W753" s="387">
        <f t="shared" si="497"/>
        <v>0</v>
      </c>
      <c r="X753" s="387">
        <f t="shared" si="498"/>
        <v>0</v>
      </c>
      <c r="Y753" s="301" t="str">
        <f t="shared" si="499"/>
        <v>X</v>
      </c>
      <c r="Z753" s="301" t="str">
        <f t="shared" si="500"/>
        <v>X</v>
      </c>
      <c r="AA753" s="323" t="str">
        <f>CONCATENATE("                x[team1,team2,sport,'",IF(OR(I753="x",I753=""),VLOOKUP('Schedule from TM'!J754,Tables!$P$3:$Q$33,2,FALSE),'Schedule from TM'!I754),",",J753,"','",IF(OR(F753="x",F753=""),VLOOKUP('Schedule from TM'!G754,Tables!$U$3:$V$14,2,FALSE),'Schedule from TM'!F754),",",TEXT(G753,"mm/dd/yyyy"),"','",TEXT(H753,"h:mm:ss AM/PM"),"'].ub=0.0      #",B753)</f>
        <v xml:space="preserve">                x[team1,team2,sport,'11,JCC Back Field 4','22,11/16/2017','8:30:00 PM'].ub=0.0      #Ch E Male Dodgeball</v>
      </c>
      <c r="AB753" s="301" t="str">
        <f t="shared" si="501"/>
        <v>,,Ch E Male Dodgeball,,1,</v>
      </c>
      <c r="AC753" s="153" t="str">
        <f t="shared" si="502"/>
        <v>Ch E Male Dodgeball</v>
      </c>
      <c r="AD753" s="301" t="str">
        <f t="shared" si="503"/>
        <v>,,Ch E Male Dodgeball,,1,</v>
      </c>
      <c r="AE753" s="153" t="str">
        <f t="shared" si="504"/>
        <v>Ch E Male Dodgeball</v>
      </c>
      <c r="AF753" s="383">
        <f t="shared" si="505"/>
        <v>0</v>
      </c>
      <c r="AG753" s="383">
        <f t="shared" si="506"/>
        <v>0</v>
      </c>
      <c r="AH753" s="383">
        <f t="shared" si="507"/>
        <v>0</v>
      </c>
      <c r="AI753" s="383">
        <f t="shared" si="508"/>
        <v>0</v>
      </c>
      <c r="AJ753" s="383">
        <f t="shared" si="509"/>
        <v>0</v>
      </c>
      <c r="AK753" s="383">
        <f t="shared" si="510"/>
        <v>0</v>
      </c>
      <c r="AM753" s="148" t="str">
        <f t="shared" si="511"/>
        <v>Schedulled</v>
      </c>
      <c r="AN753" s="148" t="str">
        <f t="shared" si="512"/>
        <v>Schedulled no team</v>
      </c>
      <c r="AO753" s="156">
        <f t="shared" si="513"/>
        <v>43055.854166666664</v>
      </c>
      <c r="AP753" s="148" t="str">
        <f t="shared" si="514"/>
        <v>11/16/2017 20:30-&gt;JCC Back Field 4</v>
      </c>
      <c r="AQ753" s="374">
        <f t="shared" si="515"/>
        <v>1</v>
      </c>
      <c r="AR753" s="148" t="str">
        <f t="shared" si="516"/>
        <v/>
      </c>
      <c r="AS753" s="148" t="str">
        <f t="shared" si="517"/>
        <v/>
      </c>
      <c r="AT753" s="157" t="str">
        <f t="shared" si="518"/>
        <v/>
      </c>
      <c r="AU753" s="157" t="str">
        <f t="shared" si="519"/>
        <v>Dodgeball Tournament</v>
      </c>
      <c r="AV753" s="157" t="str">
        <f t="shared" si="520"/>
        <v>CHILDREN E MALE</v>
      </c>
      <c r="AW753" s="157" t="str">
        <f t="shared" si="521"/>
        <v>Dodgeball</v>
      </c>
      <c r="AX753" s="376">
        <f t="shared" si="522"/>
        <v>751</v>
      </c>
      <c r="AY753" s="148" t="str">
        <f t="shared" si="523"/>
        <v>-&gt;</v>
      </c>
      <c r="AZ753" s="148" t="str">
        <f t="shared" si="524"/>
        <v>11/16/2017 20:30-&gt;</v>
      </c>
      <c r="BA753" s="148" t="str">
        <f t="shared" si="525"/>
        <v>11/16/2017 20:30-&gt;</v>
      </c>
      <c r="BB753" s="374">
        <f t="shared" si="526"/>
        <v>0</v>
      </c>
      <c r="BC753" s="374">
        <f t="shared" si="527"/>
        <v>0</v>
      </c>
      <c r="BD753" s="148" t="str">
        <f t="shared" si="528"/>
        <v>no conflict</v>
      </c>
      <c r="BF753" s="148" t="str">
        <f t="shared" si="529"/>
        <v>11/16/2017 20:30-&gt;</v>
      </c>
      <c r="BG753" s="148" t="str">
        <f t="shared" si="530"/>
        <v>11/16/2017 20:30-&gt;</v>
      </c>
      <c r="BH753" s="148" t="str">
        <f t="shared" si="531"/>
        <v>11/16/2017 20:30-&gt;JCC Back Field 4</v>
      </c>
      <c r="BI753" s="148" t="str">
        <f t="shared" si="532"/>
        <v>Dodgeball in JCC Back Field 4 ()</v>
      </c>
      <c r="BJ753" s="148" t="str">
        <f t="shared" si="533"/>
        <v xml:space="preserve">Ch E Male Dodgeball--  vs. </v>
      </c>
      <c r="BK753" s="148" t="str">
        <f t="shared" si="534"/>
        <v>Dodgeball</v>
      </c>
      <c r="BL753" s="148">
        <f t="shared" si="535"/>
        <v>0</v>
      </c>
      <c r="BM753" s="148">
        <f t="shared" si="536"/>
        <v>0</v>
      </c>
      <c r="BN753" s="148" t="str">
        <f t="shared" si="537"/>
        <v>Tournament</v>
      </c>
      <c r="BP753" s="148" t="str">
        <f t="shared" si="538"/>
        <v>11/16/2017 20:30-&gt;CHILDREN E MALE</v>
      </c>
      <c r="BQ753" s="148" t="str">
        <f t="shared" si="539"/>
        <v>Dodgeball Tournament in JCC Back Field 4</v>
      </c>
    </row>
    <row r="754" spans="1:69" ht="15" customHeight="1" x14ac:dyDescent="0.2">
      <c r="A754" s="376">
        <v>752</v>
      </c>
      <c r="B754" s="444" t="s">
        <v>64</v>
      </c>
      <c r="C754" s="315" t="s">
        <v>711</v>
      </c>
      <c r="D754" s="378">
        <v>1</v>
      </c>
      <c r="E754" s="378">
        <v>1</v>
      </c>
      <c r="F754" s="315" t="s">
        <v>770</v>
      </c>
      <c r="G754" s="316">
        <v>43055</v>
      </c>
      <c r="H754" s="318">
        <v>0.85416666666666663</v>
      </c>
      <c r="I754" s="325" t="s">
        <v>770</v>
      </c>
      <c r="J754" s="444" t="s">
        <v>709</v>
      </c>
      <c r="K754" s="315"/>
      <c r="L754"/>
      <c r="M754"/>
      <c r="N754"/>
      <c r="O754" s="153" t="str">
        <f>IF(L754&lt;&gt;"",IFERROR(VLOOKUP(B754&amp;L754,Pools!$A$2:$D$130,3,FALSE),""),"")</f>
        <v/>
      </c>
      <c r="P754" s="388"/>
      <c r="Q754" s="388"/>
      <c r="R754" s="306" t="str">
        <f t="shared" si="495"/>
        <v>-</v>
      </c>
      <c r="S754" s="153"/>
      <c r="T754" s="148" t="str">
        <f t="shared" si="496"/>
        <v>Pending</v>
      </c>
      <c r="U754" s="153"/>
      <c r="V754" s="153"/>
      <c r="W754" s="387">
        <f t="shared" si="497"/>
        <v>0</v>
      </c>
      <c r="X754" s="387">
        <f t="shared" si="498"/>
        <v>0</v>
      </c>
      <c r="Y754" s="301" t="str">
        <f t="shared" si="499"/>
        <v>X</v>
      </c>
      <c r="Z754" s="301" t="str">
        <f t="shared" si="500"/>
        <v>X</v>
      </c>
      <c r="AA754" s="323" t="str">
        <f>CONCATENATE("                x[team1,team2,sport,'",IF(OR(I754="x",I754=""),VLOOKUP('Schedule from TM'!J755,Tables!$P$3:$Q$33,2,FALSE),'Schedule from TM'!I755),",",J754,"','",IF(OR(F754="x",F754=""),VLOOKUP('Schedule from TM'!G755,Tables!$U$3:$V$14,2,FALSE),'Schedule from TM'!F755),",",TEXT(G754,"mm/dd/yyyy"),"','",TEXT(H754,"h:mm:ss AM/PM"),"'].ub=0.0      #",B754)</f>
        <v xml:space="preserve">                x[team1,team2,sport,'11,JCC Basketball Out 2','22,11/16/2017','8:30:00 PM'].ub=0.0      #Ch E Male Dodgeball</v>
      </c>
      <c r="AB754" s="301" t="str">
        <f t="shared" si="501"/>
        <v>,,Ch E Male Dodgeball,,1,</v>
      </c>
      <c r="AC754" s="153" t="str">
        <f t="shared" si="502"/>
        <v>Ch E Male Dodgeball</v>
      </c>
      <c r="AD754" s="301" t="str">
        <f t="shared" si="503"/>
        <v>,,Ch E Male Dodgeball,,1,</v>
      </c>
      <c r="AE754" s="153" t="str">
        <f t="shared" si="504"/>
        <v>Ch E Male Dodgeball</v>
      </c>
      <c r="AF754" s="383">
        <f t="shared" si="505"/>
        <v>0</v>
      </c>
      <c r="AG754" s="383">
        <f t="shared" si="506"/>
        <v>0</v>
      </c>
      <c r="AH754" s="383">
        <f t="shared" si="507"/>
        <v>0</v>
      </c>
      <c r="AI754" s="383">
        <f t="shared" si="508"/>
        <v>0</v>
      </c>
      <c r="AJ754" s="383">
        <f t="shared" si="509"/>
        <v>0</v>
      </c>
      <c r="AK754" s="383">
        <f t="shared" si="510"/>
        <v>0</v>
      </c>
      <c r="AM754" s="148" t="str">
        <f t="shared" si="511"/>
        <v>Schedulled</v>
      </c>
      <c r="AN754" s="148" t="str">
        <f t="shared" si="512"/>
        <v>Schedulled no team</v>
      </c>
      <c r="AO754" s="156">
        <f t="shared" si="513"/>
        <v>43055.854166666664</v>
      </c>
      <c r="AP754" s="148" t="str">
        <f t="shared" si="514"/>
        <v>11/16/2017 20:30-&gt;JCC Basketball Out 2</v>
      </c>
      <c r="AQ754" s="374">
        <f t="shared" si="515"/>
        <v>1</v>
      </c>
      <c r="AR754" s="148" t="str">
        <f t="shared" si="516"/>
        <v/>
      </c>
      <c r="AS754" s="148" t="str">
        <f t="shared" si="517"/>
        <v/>
      </c>
      <c r="AT754" s="157" t="str">
        <f t="shared" si="518"/>
        <v/>
      </c>
      <c r="AU754" s="157" t="str">
        <f t="shared" si="519"/>
        <v>Dodgeball Tournament</v>
      </c>
      <c r="AV754" s="157" t="str">
        <f t="shared" si="520"/>
        <v>CHILDREN E MALE</v>
      </c>
      <c r="AW754" s="157" t="str">
        <f t="shared" si="521"/>
        <v>Dodgeball</v>
      </c>
      <c r="AX754" s="376">
        <f t="shared" si="522"/>
        <v>752</v>
      </c>
      <c r="AY754" s="148" t="str">
        <f t="shared" si="523"/>
        <v>-&gt;</v>
      </c>
      <c r="AZ754" s="148" t="str">
        <f t="shared" si="524"/>
        <v>11/16/2017 20:30-&gt;</v>
      </c>
      <c r="BA754" s="148" t="str">
        <f t="shared" si="525"/>
        <v>11/16/2017 20:30-&gt;</v>
      </c>
      <c r="BB754" s="374">
        <f t="shared" si="526"/>
        <v>0</v>
      </c>
      <c r="BC754" s="374">
        <f t="shared" si="527"/>
        <v>0</v>
      </c>
      <c r="BD754" s="148" t="str">
        <f t="shared" si="528"/>
        <v>no conflict</v>
      </c>
      <c r="BF754" s="148" t="str">
        <f t="shared" si="529"/>
        <v>11/16/2017 20:30-&gt;</v>
      </c>
      <c r="BG754" s="148" t="str">
        <f t="shared" si="530"/>
        <v>11/16/2017 20:30-&gt;</v>
      </c>
      <c r="BH754" s="148" t="str">
        <f t="shared" si="531"/>
        <v>11/16/2017 20:30-&gt;JCC Basketball Out 2</v>
      </c>
      <c r="BI754" s="148" t="str">
        <f t="shared" si="532"/>
        <v>Dodgeball in JCC Basketball Out 2 ()</v>
      </c>
      <c r="BJ754" s="148" t="str">
        <f t="shared" si="533"/>
        <v xml:space="preserve">Ch E Male Dodgeball--  vs. </v>
      </c>
      <c r="BK754" s="148" t="str">
        <f t="shared" si="534"/>
        <v>Dodgeball</v>
      </c>
      <c r="BL754" s="148">
        <f t="shared" si="535"/>
        <v>0</v>
      </c>
      <c r="BM754" s="148">
        <f t="shared" si="536"/>
        <v>0</v>
      </c>
      <c r="BN754" s="148" t="str">
        <f t="shared" si="537"/>
        <v>Tournament</v>
      </c>
      <c r="BP754" s="148" t="str">
        <f t="shared" si="538"/>
        <v>11/16/2017 20:30-&gt;CHILDREN E MALE</v>
      </c>
      <c r="BQ754" s="148" t="str">
        <f t="shared" si="539"/>
        <v>Dodgeball Tournament in JCC Basketball Out 2</v>
      </c>
    </row>
    <row r="755" spans="1:69" ht="15" customHeight="1" x14ac:dyDescent="0.2">
      <c r="A755" s="376">
        <v>753</v>
      </c>
      <c r="B755" s="444" t="s">
        <v>64</v>
      </c>
      <c r="C755" s="444" t="s">
        <v>711</v>
      </c>
      <c r="D755" s="451">
        <v>1</v>
      </c>
      <c r="E755" s="451">
        <v>1</v>
      </c>
      <c r="F755" s="315" t="s">
        <v>770</v>
      </c>
      <c r="G755" s="445">
        <v>43055</v>
      </c>
      <c r="H755" s="317">
        <v>0.88888888888888884</v>
      </c>
      <c r="I755" s="325" t="s">
        <v>770</v>
      </c>
      <c r="J755" s="444" t="s">
        <v>695</v>
      </c>
      <c r="K755" s="444"/>
      <c r="L755"/>
      <c r="M755"/>
      <c r="N755"/>
      <c r="O755" s="153" t="str">
        <f>IF(L755&lt;&gt;"",IFERROR(VLOOKUP(B755&amp;L755,Pools!$A$2:$D$130,3,FALSE),""),"")</f>
        <v/>
      </c>
      <c r="P755" s="388"/>
      <c r="Q755" s="388"/>
      <c r="R755" s="306" t="str">
        <f t="shared" si="495"/>
        <v>-</v>
      </c>
      <c r="S755" s="153"/>
      <c r="T755" s="148" t="str">
        <f t="shared" si="496"/>
        <v>Pending</v>
      </c>
      <c r="U755" s="153"/>
      <c r="V755" s="153"/>
      <c r="W755" s="387">
        <f t="shared" si="497"/>
        <v>0</v>
      </c>
      <c r="X755" s="387">
        <f t="shared" si="498"/>
        <v>0</v>
      </c>
      <c r="Y755" s="301" t="str">
        <f t="shared" si="499"/>
        <v>X</v>
      </c>
      <c r="Z755" s="301" t="str">
        <f t="shared" si="500"/>
        <v>X</v>
      </c>
      <c r="AA755" s="323" t="str">
        <f>CONCATENATE("                x[team1,team2,sport,'",IF(OR(I755="x",I755=""),VLOOKUP('Schedule from TM'!J756,Tables!$P$3:$Q$33,2,FALSE),'Schedule from TM'!I756),",",J755,"','",IF(OR(F755="x",F755=""),VLOOKUP('Schedule from TM'!G756,Tables!$U$3:$V$14,2,FALSE),'Schedule from TM'!F756),",",TEXT(G755,"mm/dd/yyyy"),"','",TEXT(H755,"h:mm:ss AM/PM"),"'].ub=0.0      #",B755)</f>
        <v xml:space="preserve">                x[team1,team2,sport,'11,JCC Back Field 1','22,11/16/2017','9:20:00 PM'].ub=0.0      #Ch E Male Dodgeball</v>
      </c>
      <c r="AB755" s="301" t="str">
        <f t="shared" si="501"/>
        <v>,,Ch E Male Dodgeball,,1,</v>
      </c>
      <c r="AC755" s="153" t="str">
        <f t="shared" si="502"/>
        <v>Ch E Male Dodgeball</v>
      </c>
      <c r="AD755" s="301" t="str">
        <f t="shared" si="503"/>
        <v>,,Ch E Male Dodgeball,,1,</v>
      </c>
      <c r="AE755" s="153" t="str">
        <f t="shared" si="504"/>
        <v>Ch E Male Dodgeball</v>
      </c>
      <c r="AF755" s="383">
        <f t="shared" si="505"/>
        <v>0</v>
      </c>
      <c r="AG755" s="383">
        <f t="shared" si="506"/>
        <v>0</v>
      </c>
      <c r="AH755" s="383">
        <f t="shared" si="507"/>
        <v>0</v>
      </c>
      <c r="AI755" s="383">
        <f t="shared" si="508"/>
        <v>0</v>
      </c>
      <c r="AJ755" s="383">
        <f t="shared" si="509"/>
        <v>0</v>
      </c>
      <c r="AK755" s="383">
        <f t="shared" si="510"/>
        <v>0</v>
      </c>
      <c r="AM755" s="148" t="str">
        <f t="shared" si="511"/>
        <v>Schedulled</v>
      </c>
      <c r="AN755" s="148" t="str">
        <f t="shared" si="512"/>
        <v>Schedulled no team</v>
      </c>
      <c r="AO755" s="156">
        <f t="shared" si="513"/>
        <v>43055.888888888891</v>
      </c>
      <c r="AP755" s="148" t="str">
        <f t="shared" si="514"/>
        <v>11/16/2017 21:20-&gt;JCC Back Field 1</v>
      </c>
      <c r="AQ755" s="374">
        <f t="shared" si="515"/>
        <v>1</v>
      </c>
      <c r="AR755" s="148" t="str">
        <f t="shared" si="516"/>
        <v/>
      </c>
      <c r="AS755" s="148" t="str">
        <f t="shared" si="517"/>
        <v/>
      </c>
      <c r="AT755" s="157" t="str">
        <f t="shared" si="518"/>
        <v/>
      </c>
      <c r="AU755" s="157" t="str">
        <f t="shared" si="519"/>
        <v>Dodgeball Tournament</v>
      </c>
      <c r="AV755" s="157" t="str">
        <f t="shared" si="520"/>
        <v>CHILDREN E MALE</v>
      </c>
      <c r="AW755" s="157" t="str">
        <f t="shared" si="521"/>
        <v>Dodgeball</v>
      </c>
      <c r="AX755" s="376">
        <f t="shared" si="522"/>
        <v>753</v>
      </c>
      <c r="AY755" s="148" t="str">
        <f t="shared" si="523"/>
        <v>-&gt;</v>
      </c>
      <c r="AZ755" s="148" t="str">
        <f t="shared" si="524"/>
        <v>11/16/2017 21:20-&gt;</v>
      </c>
      <c r="BA755" s="148" t="str">
        <f t="shared" si="525"/>
        <v>11/16/2017 21:20-&gt;</v>
      </c>
      <c r="BB755" s="374">
        <f t="shared" si="526"/>
        <v>0</v>
      </c>
      <c r="BC755" s="374">
        <f t="shared" si="527"/>
        <v>0</v>
      </c>
      <c r="BD755" s="148" t="str">
        <f t="shared" si="528"/>
        <v>no conflict</v>
      </c>
      <c r="BF755" s="148" t="str">
        <f t="shared" si="529"/>
        <v>11/16/2017 21:20-&gt;</v>
      </c>
      <c r="BG755" s="148" t="str">
        <f t="shared" si="530"/>
        <v>11/16/2017 21:20-&gt;</v>
      </c>
      <c r="BH755" s="148" t="str">
        <f t="shared" si="531"/>
        <v>11/16/2017 21:20-&gt;JCC Back Field 1</v>
      </c>
      <c r="BI755" s="148" t="str">
        <f t="shared" si="532"/>
        <v>Dodgeball in JCC Back Field 1 ()</v>
      </c>
      <c r="BJ755" s="148" t="str">
        <f t="shared" si="533"/>
        <v xml:space="preserve">Ch E Male Dodgeball--  vs. </v>
      </c>
      <c r="BK755" s="148" t="str">
        <f t="shared" si="534"/>
        <v>Dodgeball</v>
      </c>
      <c r="BL755" s="148">
        <f t="shared" si="535"/>
        <v>0</v>
      </c>
      <c r="BM755" s="148">
        <f t="shared" si="536"/>
        <v>0</v>
      </c>
      <c r="BN755" s="148" t="str">
        <f t="shared" si="537"/>
        <v>Tournament</v>
      </c>
      <c r="BP755" s="148" t="str">
        <f t="shared" si="538"/>
        <v>11/16/2017 21:20-&gt;CHILDREN E MALE</v>
      </c>
      <c r="BQ755" s="148" t="str">
        <f t="shared" si="539"/>
        <v>Dodgeball Tournament in JCC Back Field 1</v>
      </c>
    </row>
    <row r="756" spans="1:69" ht="15" customHeight="1" x14ac:dyDescent="0.2">
      <c r="A756" s="376">
        <v>754</v>
      </c>
      <c r="B756" s="444" t="s">
        <v>64</v>
      </c>
      <c r="C756" s="315" t="s">
        <v>711</v>
      </c>
      <c r="D756" s="378">
        <v>1</v>
      </c>
      <c r="E756" s="378">
        <v>1</v>
      </c>
      <c r="F756" s="315" t="s">
        <v>770</v>
      </c>
      <c r="G756" s="316">
        <v>43055</v>
      </c>
      <c r="H756" s="317">
        <v>0.88888888888888884</v>
      </c>
      <c r="I756" s="325" t="s">
        <v>770</v>
      </c>
      <c r="J756" s="315" t="s">
        <v>692</v>
      </c>
      <c r="K756" s="315"/>
      <c r="L756"/>
      <c r="M756"/>
      <c r="N756"/>
      <c r="O756" s="153" t="str">
        <f>IF(L756&lt;&gt;"",IFERROR(VLOOKUP(B756&amp;L756,Pools!$A$2:$D$130,3,FALSE),""),"")</f>
        <v/>
      </c>
      <c r="P756" s="388"/>
      <c r="Q756" s="388"/>
      <c r="R756" s="306" t="str">
        <f t="shared" si="495"/>
        <v>-</v>
      </c>
      <c r="S756" s="153"/>
      <c r="T756" s="148" t="str">
        <f t="shared" si="496"/>
        <v>Pending</v>
      </c>
      <c r="U756" s="153"/>
      <c r="V756" s="153"/>
      <c r="W756" s="387">
        <f t="shared" si="497"/>
        <v>0</v>
      </c>
      <c r="X756" s="387">
        <f t="shared" si="498"/>
        <v>0</v>
      </c>
      <c r="Y756" s="301" t="str">
        <f t="shared" si="499"/>
        <v>X</v>
      </c>
      <c r="Z756" s="301" t="str">
        <f t="shared" si="500"/>
        <v>X</v>
      </c>
      <c r="AA756" s="323" t="str">
        <f>CONCATENATE("                x[team1,team2,sport,'",IF(OR(I756="x",I756=""),VLOOKUP('Schedule from TM'!J757,Tables!$P$3:$Q$33,2,FALSE),'Schedule from TM'!I757),",",J756,"','",IF(OR(F756="x",F756=""),VLOOKUP('Schedule from TM'!G757,Tables!$U$3:$V$14,2,FALSE),'Schedule from TM'!F757),",",TEXT(G756,"mm/dd/yyyy"),"','",TEXT(H756,"h:mm:ss AM/PM"),"'].ub=0.0      #",B756)</f>
        <v xml:space="preserve">                x[team1,team2,sport,'11,JCC Back Field 3','22,11/16/2017','9:20:00 PM'].ub=0.0      #Ch E Male Dodgeball</v>
      </c>
      <c r="AB756" s="301" t="str">
        <f t="shared" si="501"/>
        <v>,,Ch E Male Dodgeball,,1,</v>
      </c>
      <c r="AC756" s="153" t="str">
        <f t="shared" si="502"/>
        <v>Ch E Male Dodgeball</v>
      </c>
      <c r="AD756" s="301" t="str">
        <f t="shared" si="503"/>
        <v>,,Ch E Male Dodgeball,,1,</v>
      </c>
      <c r="AE756" s="153" t="str">
        <f t="shared" si="504"/>
        <v>Ch E Male Dodgeball</v>
      </c>
      <c r="AF756" s="383">
        <f t="shared" si="505"/>
        <v>0</v>
      </c>
      <c r="AG756" s="383">
        <f t="shared" si="506"/>
        <v>0</v>
      </c>
      <c r="AH756" s="383">
        <f t="shared" si="507"/>
        <v>0</v>
      </c>
      <c r="AI756" s="383">
        <f t="shared" si="508"/>
        <v>0</v>
      </c>
      <c r="AJ756" s="383">
        <f t="shared" si="509"/>
        <v>0</v>
      </c>
      <c r="AK756" s="383">
        <f t="shared" si="510"/>
        <v>0</v>
      </c>
      <c r="AM756" s="148" t="str">
        <f t="shared" si="511"/>
        <v>Schedulled</v>
      </c>
      <c r="AN756" s="148" t="str">
        <f t="shared" si="512"/>
        <v>Schedulled no team</v>
      </c>
      <c r="AO756" s="156">
        <f t="shared" si="513"/>
        <v>43055.888888888891</v>
      </c>
      <c r="AP756" s="148" t="str">
        <f t="shared" si="514"/>
        <v>11/16/2017 21:20-&gt;JCC Back Field 3</v>
      </c>
      <c r="AQ756" s="374">
        <f t="shared" si="515"/>
        <v>1</v>
      </c>
      <c r="AR756" s="148" t="str">
        <f t="shared" si="516"/>
        <v/>
      </c>
      <c r="AS756" s="148" t="str">
        <f t="shared" si="517"/>
        <v/>
      </c>
      <c r="AT756" s="157" t="str">
        <f t="shared" si="518"/>
        <v/>
      </c>
      <c r="AU756" s="157" t="str">
        <f t="shared" si="519"/>
        <v>Dodgeball Tournament</v>
      </c>
      <c r="AV756" s="157" t="str">
        <f t="shared" si="520"/>
        <v>CHILDREN E MALE</v>
      </c>
      <c r="AW756" s="157" t="str">
        <f t="shared" si="521"/>
        <v>Dodgeball</v>
      </c>
      <c r="AX756" s="376">
        <f t="shared" si="522"/>
        <v>754</v>
      </c>
      <c r="AY756" s="148" t="str">
        <f t="shared" si="523"/>
        <v>-&gt;</v>
      </c>
      <c r="AZ756" s="148" t="str">
        <f t="shared" si="524"/>
        <v>11/16/2017 21:20-&gt;</v>
      </c>
      <c r="BA756" s="148" t="str">
        <f t="shared" si="525"/>
        <v>11/16/2017 21:20-&gt;</v>
      </c>
      <c r="BB756" s="374">
        <f t="shared" si="526"/>
        <v>0</v>
      </c>
      <c r="BC756" s="374">
        <f t="shared" si="527"/>
        <v>0</v>
      </c>
      <c r="BD756" s="148" t="str">
        <f t="shared" si="528"/>
        <v>no conflict</v>
      </c>
      <c r="BF756" s="148" t="str">
        <f t="shared" si="529"/>
        <v>11/16/2017 21:20-&gt;</v>
      </c>
      <c r="BG756" s="148" t="str">
        <f t="shared" si="530"/>
        <v>11/16/2017 21:20-&gt;</v>
      </c>
      <c r="BH756" s="148" t="str">
        <f t="shared" si="531"/>
        <v>11/16/2017 21:20-&gt;JCC Back Field 3</v>
      </c>
      <c r="BI756" s="148" t="str">
        <f t="shared" si="532"/>
        <v>Dodgeball in JCC Back Field 3 ()</v>
      </c>
      <c r="BJ756" s="148" t="str">
        <f t="shared" si="533"/>
        <v xml:space="preserve">Ch E Male Dodgeball--  vs. </v>
      </c>
      <c r="BK756" s="148" t="str">
        <f t="shared" si="534"/>
        <v>Dodgeball</v>
      </c>
      <c r="BL756" s="148">
        <f t="shared" si="535"/>
        <v>0</v>
      </c>
      <c r="BM756" s="148">
        <f t="shared" si="536"/>
        <v>0</v>
      </c>
      <c r="BN756" s="148" t="str">
        <f t="shared" si="537"/>
        <v>Tournament</v>
      </c>
      <c r="BP756" s="148" t="str">
        <f t="shared" si="538"/>
        <v>11/16/2017 21:20-&gt;CHILDREN E MALE</v>
      </c>
      <c r="BQ756" s="148" t="str">
        <f t="shared" si="539"/>
        <v>Dodgeball Tournament in JCC Back Field 3</v>
      </c>
    </row>
    <row r="757" spans="1:69" ht="15" customHeight="1" x14ac:dyDescent="0.2">
      <c r="A757" s="376">
        <v>755</v>
      </c>
      <c r="B757" s="444" t="s">
        <v>64</v>
      </c>
      <c r="C757" s="444" t="s">
        <v>711</v>
      </c>
      <c r="D757" s="451">
        <v>1</v>
      </c>
      <c r="E757" s="451">
        <v>1</v>
      </c>
      <c r="F757" s="315" t="s">
        <v>770</v>
      </c>
      <c r="G757" s="445">
        <v>43055</v>
      </c>
      <c r="H757" s="317">
        <v>0.88888888888888884</v>
      </c>
      <c r="I757" s="325" t="s">
        <v>770</v>
      </c>
      <c r="J757" s="444" t="s">
        <v>688</v>
      </c>
      <c r="K757" s="441"/>
      <c r="L757"/>
      <c r="M757"/>
      <c r="N757"/>
      <c r="O757" s="153" t="str">
        <f>IF(L757&lt;&gt;"",IFERROR(VLOOKUP(B757&amp;L757,Pools!$A$2:$D$130,3,FALSE),""),"")</f>
        <v/>
      </c>
      <c r="P757" s="388"/>
      <c r="Q757" s="388"/>
      <c r="R757" s="306" t="str">
        <f t="shared" si="495"/>
        <v>-</v>
      </c>
      <c r="S757" s="153"/>
      <c r="T757" s="148" t="str">
        <f t="shared" si="496"/>
        <v>Pending</v>
      </c>
      <c r="U757" s="153"/>
      <c r="V757" s="153"/>
      <c r="W757" s="387">
        <f t="shared" si="497"/>
        <v>0</v>
      </c>
      <c r="X757" s="387">
        <f t="shared" si="498"/>
        <v>0</v>
      </c>
      <c r="Y757" s="301" t="str">
        <f t="shared" si="499"/>
        <v>X</v>
      </c>
      <c r="Z757" s="301" t="str">
        <f t="shared" si="500"/>
        <v>X</v>
      </c>
      <c r="AA757" s="323" t="str">
        <f>CONCATENATE("                x[team1,team2,sport,'",IF(OR(I757="x",I757=""),VLOOKUP('Schedule from TM'!J758,Tables!$P$3:$Q$33,2,FALSE),'Schedule from TM'!I758),",",J757,"','",IF(OR(F757="x",F757=""),VLOOKUP('Schedule from TM'!G758,Tables!$U$3:$V$14,2,FALSE),'Schedule from TM'!F758),",",TEXT(G757,"mm/dd/yyyy"),"','",TEXT(H757,"h:mm:ss AM/PM"),"'].ub=0.0      #",B757)</f>
        <v xml:space="preserve">                x[team1,team2,sport,'11,JCC Basketball Out 1','21,11/16/2017','9:20:00 PM'].ub=0.0      #Ch E Male Dodgeball</v>
      </c>
      <c r="AB757" s="301" t="str">
        <f t="shared" si="501"/>
        <v>,,Ch E Male Dodgeball,,1,</v>
      </c>
      <c r="AC757" s="153" t="str">
        <f t="shared" si="502"/>
        <v>Ch E Male Dodgeball</v>
      </c>
      <c r="AD757" s="301" t="str">
        <f t="shared" si="503"/>
        <v>,,Ch E Male Dodgeball,,1,</v>
      </c>
      <c r="AE757" s="153" t="str">
        <f t="shared" si="504"/>
        <v>Ch E Male Dodgeball</v>
      </c>
      <c r="AF757" s="383">
        <f t="shared" si="505"/>
        <v>0</v>
      </c>
      <c r="AG757" s="383">
        <f t="shared" si="506"/>
        <v>0</v>
      </c>
      <c r="AH757" s="383">
        <f t="shared" si="507"/>
        <v>0</v>
      </c>
      <c r="AI757" s="383">
        <f t="shared" si="508"/>
        <v>0</v>
      </c>
      <c r="AJ757" s="383">
        <f t="shared" si="509"/>
        <v>0</v>
      </c>
      <c r="AK757" s="383">
        <f t="shared" si="510"/>
        <v>0</v>
      </c>
      <c r="AM757" s="148" t="str">
        <f t="shared" si="511"/>
        <v>Schedulled</v>
      </c>
      <c r="AN757" s="148" t="str">
        <f t="shared" si="512"/>
        <v>Schedulled no team</v>
      </c>
      <c r="AO757" s="156">
        <f t="shared" si="513"/>
        <v>43055.888888888891</v>
      </c>
      <c r="AP757" s="148" t="str">
        <f t="shared" si="514"/>
        <v>11/16/2017 21:20-&gt;JCC Basketball Out 1</v>
      </c>
      <c r="AQ757" s="374">
        <f t="shared" si="515"/>
        <v>1</v>
      </c>
      <c r="AR757" s="148" t="str">
        <f t="shared" si="516"/>
        <v/>
      </c>
      <c r="AS757" s="148" t="str">
        <f t="shared" si="517"/>
        <v/>
      </c>
      <c r="AT757" s="157" t="str">
        <f t="shared" si="518"/>
        <v/>
      </c>
      <c r="AU757" s="157" t="str">
        <f t="shared" si="519"/>
        <v>Dodgeball Tournament</v>
      </c>
      <c r="AV757" s="157" t="str">
        <f t="shared" si="520"/>
        <v>CHILDREN E MALE</v>
      </c>
      <c r="AW757" s="157" t="str">
        <f t="shared" si="521"/>
        <v>Dodgeball</v>
      </c>
      <c r="AX757" s="376">
        <f t="shared" si="522"/>
        <v>755</v>
      </c>
      <c r="AY757" s="148" t="str">
        <f t="shared" si="523"/>
        <v>-&gt;</v>
      </c>
      <c r="AZ757" s="148" t="str">
        <f t="shared" si="524"/>
        <v>11/16/2017 21:20-&gt;</v>
      </c>
      <c r="BA757" s="148" t="str">
        <f t="shared" si="525"/>
        <v>11/16/2017 21:20-&gt;</v>
      </c>
      <c r="BB757" s="374">
        <f t="shared" si="526"/>
        <v>0</v>
      </c>
      <c r="BC757" s="374">
        <f t="shared" si="527"/>
        <v>0</v>
      </c>
      <c r="BD757" s="148" t="str">
        <f t="shared" si="528"/>
        <v>no conflict</v>
      </c>
      <c r="BF757" s="148" t="str">
        <f t="shared" si="529"/>
        <v>11/16/2017 21:20-&gt;</v>
      </c>
      <c r="BG757" s="148" t="str">
        <f t="shared" si="530"/>
        <v>11/16/2017 21:20-&gt;</v>
      </c>
      <c r="BH757" s="148" t="str">
        <f t="shared" si="531"/>
        <v>11/16/2017 21:20-&gt;JCC Basketball Out 1</v>
      </c>
      <c r="BI757" s="148" t="str">
        <f t="shared" si="532"/>
        <v>Dodgeball in JCC Basketball Out 1 ()</v>
      </c>
      <c r="BJ757" s="148" t="str">
        <f t="shared" si="533"/>
        <v xml:space="preserve">Ch E Male Dodgeball--  vs. </v>
      </c>
      <c r="BK757" s="148" t="str">
        <f t="shared" si="534"/>
        <v>Dodgeball</v>
      </c>
      <c r="BL757" s="148">
        <f t="shared" si="535"/>
        <v>0</v>
      </c>
      <c r="BM757" s="148">
        <f t="shared" si="536"/>
        <v>0</v>
      </c>
      <c r="BN757" s="148" t="str">
        <f t="shared" si="537"/>
        <v>Tournament</v>
      </c>
      <c r="BP757" s="148" t="str">
        <f t="shared" si="538"/>
        <v>11/16/2017 21:20-&gt;CHILDREN E MALE</v>
      </c>
      <c r="BQ757" s="148" t="str">
        <f t="shared" si="539"/>
        <v>Dodgeball Tournament in JCC Basketball Out 1</v>
      </c>
    </row>
    <row r="758" spans="1:69" ht="15" customHeight="1" x14ac:dyDescent="0.2">
      <c r="A758" s="376">
        <v>756</v>
      </c>
      <c r="B758" t="s">
        <v>503</v>
      </c>
      <c r="C758" s="433" t="s">
        <v>711</v>
      </c>
      <c r="D758" s="452">
        <v>1</v>
      </c>
      <c r="E758" s="452">
        <v>1</v>
      </c>
      <c r="F758" s="433" t="s">
        <v>770</v>
      </c>
      <c r="G758" s="335">
        <v>43064</v>
      </c>
      <c r="H758" s="336">
        <v>0.78472222222222221</v>
      </c>
      <c r="I758" s="433" t="s">
        <v>770</v>
      </c>
      <c r="J758" s="433" t="s">
        <v>692</v>
      </c>
      <c r="K758" s="315"/>
      <c r="L758" s="444"/>
      <c r="M758" s="444"/>
      <c r="N758" s="444"/>
      <c r="O758" s="153" t="str">
        <f>IF(L758&lt;&gt;"",IFERROR(VLOOKUP(B758&amp;L758,Pools!$A$2:$D$130,3,FALSE),""),"")</f>
        <v/>
      </c>
      <c r="P758" s="388"/>
      <c r="Q758" s="388"/>
      <c r="R758" s="306" t="str">
        <f t="shared" si="495"/>
        <v>-</v>
      </c>
      <c r="S758" s="153"/>
      <c r="T758" s="148" t="str">
        <f t="shared" si="496"/>
        <v>Pending</v>
      </c>
      <c r="U758" s="153"/>
      <c r="V758" s="153"/>
      <c r="W758" s="387">
        <f t="shared" si="497"/>
        <v>0</v>
      </c>
      <c r="X758" s="387">
        <f t="shared" si="498"/>
        <v>0</v>
      </c>
      <c r="Y758" s="301" t="str">
        <f t="shared" si="499"/>
        <v>X</v>
      </c>
      <c r="Z758" s="301" t="str">
        <f t="shared" si="500"/>
        <v>X</v>
      </c>
      <c r="AA758" s="323" t="str">
        <f>CONCATENATE("                x[team1,team2,sport,'",IF(OR(I758="x",I758=""),VLOOKUP('Schedule from TM'!J759,Tables!$P$3:$Q$33,2,FALSE),'Schedule from TM'!I759),",",J758,"','",IF(OR(F758="x",F758=""),VLOOKUP('Schedule from TM'!G759,Tables!$U$3:$V$14,2,FALSE),'Schedule from TM'!F759),",",TEXT(G758,"mm/dd/yyyy"),"','",TEXT(H758,"h:mm:ss AM/PM"),"'].ub=0.0      #",B758)</f>
        <v xml:space="preserve">                x[team1,team2,sport,'11,JCC Back Field 3','21,11/25/2017','6:50:00 PM'].ub=0.0      #Junior A Male Dodgeball</v>
      </c>
      <c r="AB758" s="301" t="str">
        <f t="shared" si="501"/>
        <v>,,Junior A Male Dodgeball,,1,</v>
      </c>
      <c r="AC758" s="153" t="str">
        <f t="shared" si="502"/>
        <v>Junior A Male Dodgeball</v>
      </c>
      <c r="AD758" s="301" t="str">
        <f t="shared" si="503"/>
        <v>,,Junior A Male Dodgeball,,1,</v>
      </c>
      <c r="AE758" s="153" t="str">
        <f t="shared" si="504"/>
        <v>Junior A Male Dodgeball</v>
      </c>
      <c r="AF758" s="383">
        <f t="shared" si="505"/>
        <v>0</v>
      </c>
      <c r="AG758" s="383">
        <f t="shared" si="506"/>
        <v>0</v>
      </c>
      <c r="AH758" s="383">
        <f t="shared" si="507"/>
        <v>0</v>
      </c>
      <c r="AI758" s="383">
        <f t="shared" si="508"/>
        <v>0</v>
      </c>
      <c r="AJ758" s="383">
        <f t="shared" si="509"/>
        <v>0</v>
      </c>
      <c r="AK758" s="383">
        <f t="shared" si="510"/>
        <v>0</v>
      </c>
      <c r="AM758" s="148" t="str">
        <f t="shared" si="511"/>
        <v>Schedulled</v>
      </c>
      <c r="AN758" s="148" t="str">
        <f t="shared" si="512"/>
        <v>Schedulled no team</v>
      </c>
      <c r="AO758" s="156">
        <f t="shared" si="513"/>
        <v>43064.784722222219</v>
      </c>
      <c r="AP758" s="148" t="str">
        <f t="shared" si="514"/>
        <v>11/25/2017 18:50-&gt;JCC Back Field 3</v>
      </c>
      <c r="AQ758" s="374">
        <f t="shared" si="515"/>
        <v>1</v>
      </c>
      <c r="AR758" s="148" t="str">
        <f t="shared" si="516"/>
        <v/>
      </c>
      <c r="AS758" s="148" t="str">
        <f t="shared" si="517"/>
        <v/>
      </c>
      <c r="AT758" s="157" t="str">
        <f t="shared" si="518"/>
        <v/>
      </c>
      <c r="AU758" s="157" t="str">
        <f t="shared" si="519"/>
        <v>Dodgeball Tournament</v>
      </c>
      <c r="AV758" s="157" t="str">
        <f t="shared" si="520"/>
        <v>JUNIORS A MALE</v>
      </c>
      <c r="AW758" s="157" t="str">
        <f t="shared" si="521"/>
        <v>Dodgeball</v>
      </c>
      <c r="AX758" s="376">
        <f t="shared" si="522"/>
        <v>756</v>
      </c>
      <c r="AY758" s="148" t="str">
        <f t="shared" si="523"/>
        <v>-&gt;</v>
      </c>
      <c r="AZ758" s="148" t="str">
        <f t="shared" si="524"/>
        <v>11/25/2017 18:50-&gt;</v>
      </c>
      <c r="BA758" s="148" t="str">
        <f t="shared" si="525"/>
        <v>11/25/2017 18:50-&gt;</v>
      </c>
      <c r="BB758" s="374">
        <f t="shared" si="526"/>
        <v>0</v>
      </c>
      <c r="BC758" s="374">
        <f t="shared" si="527"/>
        <v>0</v>
      </c>
      <c r="BD758" s="148" t="str">
        <f t="shared" si="528"/>
        <v>no conflict</v>
      </c>
      <c r="BF758" s="148" t="str">
        <f t="shared" si="529"/>
        <v>11/25/2017 18:50-&gt;</v>
      </c>
      <c r="BG758" s="148" t="str">
        <f t="shared" si="530"/>
        <v>11/25/2017 18:50-&gt;</v>
      </c>
      <c r="BH758" s="148" t="str">
        <f t="shared" si="531"/>
        <v>11/25/2017 18:50-&gt;JCC Back Field 3</v>
      </c>
      <c r="BI758" s="148" t="str">
        <f t="shared" si="532"/>
        <v>Dodgeball in JCC Back Field 3 ()</v>
      </c>
      <c r="BJ758" s="148" t="str">
        <f t="shared" si="533"/>
        <v xml:space="preserve">Junior A Male Dodgeball--  vs. </v>
      </c>
      <c r="BK758" s="148" t="str">
        <f t="shared" si="534"/>
        <v>Dodgeball</v>
      </c>
      <c r="BL758" s="148">
        <f t="shared" si="535"/>
        <v>0</v>
      </c>
      <c r="BM758" s="148">
        <f t="shared" si="536"/>
        <v>0</v>
      </c>
      <c r="BN758" s="148" t="str">
        <f t="shared" si="537"/>
        <v>Tournament</v>
      </c>
      <c r="BP758" s="148" t="str">
        <f t="shared" si="538"/>
        <v>11/25/2017 18:50-&gt;JUNIORS A MALE</v>
      </c>
      <c r="BQ758" s="148" t="str">
        <f t="shared" si="539"/>
        <v>Dodgeball Tournament in JCC Back Field 3</v>
      </c>
    </row>
    <row r="759" spans="1:69" ht="15" customHeight="1" x14ac:dyDescent="0.2">
      <c r="A759" s="376">
        <v>757</v>
      </c>
      <c r="B759" s="433" t="s">
        <v>503</v>
      </c>
      <c r="C759" s="433" t="s">
        <v>711</v>
      </c>
      <c r="D759" s="452">
        <v>1</v>
      </c>
      <c r="E759" s="452">
        <v>1</v>
      </c>
      <c r="F759" s="433" t="s">
        <v>770</v>
      </c>
      <c r="G759" s="335">
        <v>43064</v>
      </c>
      <c r="H759" s="336">
        <v>0.81944444444444453</v>
      </c>
      <c r="I759" s="433" t="s">
        <v>770</v>
      </c>
      <c r="J759" s="433" t="s">
        <v>692</v>
      </c>
      <c r="K759" s="444"/>
      <c r="L759" s="444"/>
      <c r="M759" s="444"/>
      <c r="N759" s="444"/>
      <c r="O759" s="153" t="str">
        <f>IF(L759&lt;&gt;"",IFERROR(VLOOKUP(B759&amp;L759,Pools!$A$2:$D$130,3,FALSE),""),"")</f>
        <v/>
      </c>
      <c r="P759" s="388"/>
      <c r="Q759" s="388"/>
      <c r="R759" s="306" t="str">
        <f t="shared" si="495"/>
        <v>-</v>
      </c>
      <c r="S759" s="153"/>
      <c r="T759" s="148" t="str">
        <f t="shared" si="496"/>
        <v>Pending</v>
      </c>
      <c r="U759" s="153"/>
      <c r="V759" s="153"/>
      <c r="W759" s="387">
        <f t="shared" si="497"/>
        <v>0</v>
      </c>
      <c r="X759" s="387">
        <f t="shared" si="498"/>
        <v>0</v>
      </c>
      <c r="Y759" s="301" t="str">
        <f t="shared" si="499"/>
        <v>X</v>
      </c>
      <c r="Z759" s="301" t="str">
        <f t="shared" si="500"/>
        <v>X</v>
      </c>
      <c r="AA759" s="323" t="str">
        <f>CONCATENATE("                x[team1,team2,sport,'",IF(OR(I759="x",I759=""),VLOOKUP('Schedule from TM'!J760,Tables!$P$3:$Q$33,2,FALSE),'Schedule from TM'!I760),",",J759,"','",IF(OR(F759="x",F759=""),VLOOKUP('Schedule from TM'!G760,Tables!$U$3:$V$14,2,FALSE),'Schedule from TM'!F760),",",TEXT(G759,"mm/dd/yyyy"),"','",TEXT(H759,"h:mm:ss AM/PM"),"'].ub=0.0      #",B759)</f>
        <v xml:space="preserve">                x[team1,team2,sport,'11,JCC Back Field 3','21,11/25/2017','7:40:00 PM'].ub=0.0      #Junior A Male Dodgeball</v>
      </c>
      <c r="AB759" s="301" t="str">
        <f t="shared" si="501"/>
        <v>,,Junior A Male Dodgeball,,1,</v>
      </c>
      <c r="AC759" s="153" t="str">
        <f t="shared" si="502"/>
        <v>Junior A Male Dodgeball</v>
      </c>
      <c r="AD759" s="301" t="str">
        <f t="shared" si="503"/>
        <v>,,Junior A Male Dodgeball,,1,</v>
      </c>
      <c r="AE759" s="153" t="str">
        <f t="shared" si="504"/>
        <v>Junior A Male Dodgeball</v>
      </c>
      <c r="AF759" s="383">
        <f t="shared" si="505"/>
        <v>0</v>
      </c>
      <c r="AG759" s="383">
        <f t="shared" si="506"/>
        <v>0</v>
      </c>
      <c r="AH759" s="383">
        <f t="shared" si="507"/>
        <v>0</v>
      </c>
      <c r="AI759" s="383">
        <f t="shared" si="508"/>
        <v>0</v>
      </c>
      <c r="AJ759" s="383">
        <f t="shared" si="509"/>
        <v>0</v>
      </c>
      <c r="AK759" s="383">
        <f t="shared" si="510"/>
        <v>0</v>
      </c>
      <c r="AM759" s="148" t="str">
        <f t="shared" si="511"/>
        <v>Schedulled</v>
      </c>
      <c r="AN759" s="148" t="str">
        <f t="shared" si="512"/>
        <v>Schedulled no team</v>
      </c>
      <c r="AO759" s="156">
        <f t="shared" si="513"/>
        <v>43064.819444444445</v>
      </c>
      <c r="AP759" s="148" t="str">
        <f t="shared" si="514"/>
        <v>11/25/2017 19:40-&gt;JCC Back Field 3</v>
      </c>
      <c r="AQ759" s="374">
        <f t="shared" si="515"/>
        <v>1</v>
      </c>
      <c r="AR759" s="148" t="str">
        <f t="shared" si="516"/>
        <v/>
      </c>
      <c r="AS759" s="148" t="str">
        <f t="shared" si="517"/>
        <v/>
      </c>
      <c r="AT759" s="157" t="str">
        <f t="shared" si="518"/>
        <v/>
      </c>
      <c r="AU759" s="157" t="str">
        <f t="shared" si="519"/>
        <v>Dodgeball Tournament</v>
      </c>
      <c r="AV759" s="157" t="str">
        <f t="shared" si="520"/>
        <v>JUNIORS A MALE</v>
      </c>
      <c r="AW759" s="157" t="str">
        <f t="shared" si="521"/>
        <v>Dodgeball</v>
      </c>
      <c r="AX759" s="376">
        <f t="shared" si="522"/>
        <v>757</v>
      </c>
      <c r="AY759" s="148" t="str">
        <f t="shared" si="523"/>
        <v>-&gt;</v>
      </c>
      <c r="AZ759" s="148" t="str">
        <f t="shared" si="524"/>
        <v>11/25/2017 19:40-&gt;</v>
      </c>
      <c r="BA759" s="148" t="str">
        <f t="shared" si="525"/>
        <v>11/25/2017 19:40-&gt;</v>
      </c>
      <c r="BB759" s="374">
        <f t="shared" si="526"/>
        <v>0</v>
      </c>
      <c r="BC759" s="374">
        <f t="shared" si="527"/>
        <v>0</v>
      </c>
      <c r="BD759" s="148" t="str">
        <f t="shared" si="528"/>
        <v>no conflict</v>
      </c>
      <c r="BF759" s="148" t="str">
        <f t="shared" si="529"/>
        <v>11/25/2017 19:40-&gt;</v>
      </c>
      <c r="BG759" s="148" t="str">
        <f t="shared" si="530"/>
        <v>11/25/2017 19:40-&gt;</v>
      </c>
      <c r="BH759" s="148" t="str">
        <f t="shared" si="531"/>
        <v>11/25/2017 19:40-&gt;JCC Back Field 3</v>
      </c>
      <c r="BI759" s="148" t="str">
        <f t="shared" si="532"/>
        <v>Dodgeball in JCC Back Field 3 ()</v>
      </c>
      <c r="BJ759" s="148" t="str">
        <f t="shared" si="533"/>
        <v xml:space="preserve">Junior A Male Dodgeball--  vs. </v>
      </c>
      <c r="BK759" s="148" t="str">
        <f t="shared" si="534"/>
        <v>Dodgeball</v>
      </c>
      <c r="BL759" s="148">
        <f t="shared" si="535"/>
        <v>0</v>
      </c>
      <c r="BM759" s="148">
        <f t="shared" si="536"/>
        <v>0</v>
      </c>
      <c r="BN759" s="148" t="str">
        <f t="shared" si="537"/>
        <v>Tournament</v>
      </c>
      <c r="BP759" s="148" t="str">
        <f t="shared" si="538"/>
        <v>11/25/2017 19:40-&gt;JUNIORS A MALE</v>
      </c>
      <c r="BQ759" s="148" t="str">
        <f t="shared" si="539"/>
        <v>Dodgeball Tournament in JCC Back Field 3</v>
      </c>
    </row>
    <row r="760" spans="1:69" ht="15" customHeight="1" x14ac:dyDescent="0.2">
      <c r="A760" s="376">
        <v>758</v>
      </c>
      <c r="B760" t="s">
        <v>503</v>
      </c>
      <c r="C760" s="433" t="s">
        <v>711</v>
      </c>
      <c r="D760" s="452">
        <v>1</v>
      </c>
      <c r="E760" s="452">
        <v>1</v>
      </c>
      <c r="F760" s="433" t="s">
        <v>770</v>
      </c>
      <c r="G760" s="335">
        <v>43064</v>
      </c>
      <c r="H760" s="336">
        <v>0.85416666666666663</v>
      </c>
      <c r="I760" s="433" t="s">
        <v>770</v>
      </c>
      <c r="J760" s="433" t="s">
        <v>692</v>
      </c>
      <c r="K760" s="315"/>
      <c r="L760" s="444"/>
      <c r="M760" s="444"/>
      <c r="N760" s="444"/>
      <c r="O760" s="153" t="str">
        <f>IF(L760&lt;&gt;"",IFERROR(VLOOKUP(B760&amp;L760,Pools!$A$2:$D$130,3,FALSE),""),"")</f>
        <v/>
      </c>
      <c r="P760" s="388"/>
      <c r="Q760" s="388"/>
      <c r="R760" s="306" t="str">
        <f t="shared" si="495"/>
        <v>-</v>
      </c>
      <c r="S760" s="153"/>
      <c r="T760" s="148" t="str">
        <f t="shared" si="496"/>
        <v>Pending</v>
      </c>
      <c r="U760" s="153"/>
      <c r="V760" s="153"/>
      <c r="W760" s="387">
        <f t="shared" si="497"/>
        <v>0</v>
      </c>
      <c r="X760" s="387">
        <f t="shared" si="498"/>
        <v>0</v>
      </c>
      <c r="Y760" s="301" t="str">
        <f t="shared" si="499"/>
        <v>X</v>
      </c>
      <c r="Z760" s="301" t="str">
        <f t="shared" si="500"/>
        <v>X</v>
      </c>
      <c r="AA760" s="323" t="str">
        <f>CONCATENATE("                x[team1,team2,sport,'",IF(OR(I760="x",I760=""),VLOOKUP('Schedule from TM'!J761,Tables!$P$3:$Q$33,2,FALSE),'Schedule from TM'!I761),",",J760,"','",IF(OR(F760="x",F760=""),VLOOKUP('Schedule from TM'!G761,Tables!$U$3:$V$14,2,FALSE),'Schedule from TM'!F761),",",TEXT(G760,"mm/dd/yyyy"),"','",TEXT(H760,"h:mm:ss AM/PM"),"'].ub=0.0      #",B760)</f>
        <v xml:space="preserve">                x[team1,team2,sport,'11,JCC Back Field 3','21,11/25/2017','8:30:00 PM'].ub=0.0      #Junior A Male Dodgeball</v>
      </c>
      <c r="AB760" s="301" t="str">
        <f t="shared" si="501"/>
        <v>,,Junior A Male Dodgeball,,1,</v>
      </c>
      <c r="AC760" s="153" t="str">
        <f t="shared" si="502"/>
        <v>Junior A Male Dodgeball</v>
      </c>
      <c r="AD760" s="301" t="str">
        <f t="shared" si="503"/>
        <v>,,Junior A Male Dodgeball,,1,</v>
      </c>
      <c r="AE760" s="153" t="str">
        <f t="shared" si="504"/>
        <v>Junior A Male Dodgeball</v>
      </c>
      <c r="AF760" s="383">
        <f t="shared" si="505"/>
        <v>0</v>
      </c>
      <c r="AG760" s="383">
        <f t="shared" si="506"/>
        <v>0</v>
      </c>
      <c r="AH760" s="383">
        <f t="shared" si="507"/>
        <v>0</v>
      </c>
      <c r="AI760" s="383">
        <f t="shared" si="508"/>
        <v>0</v>
      </c>
      <c r="AJ760" s="383">
        <f t="shared" si="509"/>
        <v>0</v>
      </c>
      <c r="AK760" s="383">
        <f t="shared" si="510"/>
        <v>0</v>
      </c>
      <c r="AM760" s="148" t="str">
        <f t="shared" si="511"/>
        <v>Schedulled</v>
      </c>
      <c r="AN760" s="148" t="str">
        <f t="shared" si="512"/>
        <v>Schedulled no team</v>
      </c>
      <c r="AO760" s="156">
        <f t="shared" si="513"/>
        <v>43064.854166666664</v>
      </c>
      <c r="AP760" s="148" t="str">
        <f t="shared" si="514"/>
        <v>11/25/2017 20:30-&gt;JCC Back Field 3</v>
      </c>
      <c r="AQ760" s="374">
        <f t="shared" si="515"/>
        <v>1</v>
      </c>
      <c r="AR760" s="148" t="str">
        <f t="shared" si="516"/>
        <v/>
      </c>
      <c r="AS760" s="148" t="str">
        <f t="shared" si="517"/>
        <v/>
      </c>
      <c r="AT760" s="157" t="str">
        <f t="shared" si="518"/>
        <v/>
      </c>
      <c r="AU760" s="157" t="str">
        <f t="shared" si="519"/>
        <v>Dodgeball Tournament</v>
      </c>
      <c r="AV760" s="157" t="str">
        <f t="shared" si="520"/>
        <v>JUNIORS A MALE</v>
      </c>
      <c r="AW760" s="157" t="str">
        <f t="shared" si="521"/>
        <v>Dodgeball</v>
      </c>
      <c r="AX760" s="376">
        <f t="shared" si="522"/>
        <v>758</v>
      </c>
      <c r="AY760" s="148" t="str">
        <f t="shared" si="523"/>
        <v>-&gt;</v>
      </c>
      <c r="AZ760" s="148" t="str">
        <f t="shared" si="524"/>
        <v>11/25/2017 20:30-&gt;</v>
      </c>
      <c r="BA760" s="148" t="str">
        <f t="shared" si="525"/>
        <v>11/25/2017 20:30-&gt;</v>
      </c>
      <c r="BB760" s="374">
        <f t="shared" si="526"/>
        <v>0</v>
      </c>
      <c r="BC760" s="374">
        <f t="shared" si="527"/>
        <v>0</v>
      </c>
      <c r="BD760" s="148" t="str">
        <f t="shared" si="528"/>
        <v>no conflict</v>
      </c>
      <c r="BF760" s="148" t="str">
        <f t="shared" si="529"/>
        <v>11/25/2017 20:30-&gt;</v>
      </c>
      <c r="BG760" s="148" t="str">
        <f t="shared" si="530"/>
        <v>11/25/2017 20:30-&gt;</v>
      </c>
      <c r="BH760" s="148" t="str">
        <f t="shared" si="531"/>
        <v>11/25/2017 20:30-&gt;JCC Back Field 3</v>
      </c>
      <c r="BI760" s="148" t="str">
        <f t="shared" si="532"/>
        <v>Dodgeball in JCC Back Field 3 ()</v>
      </c>
      <c r="BJ760" s="148" t="str">
        <f t="shared" si="533"/>
        <v xml:space="preserve">Junior A Male Dodgeball--  vs. </v>
      </c>
      <c r="BK760" s="148" t="str">
        <f t="shared" si="534"/>
        <v>Dodgeball</v>
      </c>
      <c r="BL760" s="148">
        <f t="shared" si="535"/>
        <v>0</v>
      </c>
      <c r="BM760" s="148">
        <f t="shared" si="536"/>
        <v>0</v>
      </c>
      <c r="BN760" s="148" t="str">
        <f t="shared" si="537"/>
        <v>Tournament</v>
      </c>
      <c r="BP760" s="148" t="str">
        <f t="shared" si="538"/>
        <v>11/25/2017 20:30-&gt;JUNIORS A MALE</v>
      </c>
      <c r="BQ760" s="148" t="str">
        <f t="shared" si="539"/>
        <v>Dodgeball Tournament in JCC Back Field 3</v>
      </c>
    </row>
    <row r="761" spans="1:69" ht="15" customHeight="1" x14ac:dyDescent="0.2">
      <c r="A761" s="376">
        <v>759</v>
      </c>
      <c r="B761" s="433" t="s">
        <v>503</v>
      </c>
      <c r="C761" s="433" t="s">
        <v>711</v>
      </c>
      <c r="D761" s="452">
        <v>1</v>
      </c>
      <c r="E761" s="452">
        <v>1</v>
      </c>
      <c r="F761" s="433" t="s">
        <v>770</v>
      </c>
      <c r="G761" s="335">
        <v>43064</v>
      </c>
      <c r="H761" s="336">
        <v>0.88888888888888884</v>
      </c>
      <c r="I761" s="433" t="s">
        <v>770</v>
      </c>
      <c r="J761" s="433" t="s">
        <v>692</v>
      </c>
      <c r="K761" s="315"/>
      <c r="L761" s="444"/>
      <c r="M761" s="444"/>
      <c r="N761" s="444"/>
      <c r="O761" s="153" t="str">
        <f>IF(L761&lt;&gt;"",IFERROR(VLOOKUP(B761&amp;L761,Pools!$A$2:$D$130,3,FALSE),""),"")</f>
        <v/>
      </c>
      <c r="P761" s="388"/>
      <c r="Q761" s="388"/>
      <c r="R761" s="306" t="str">
        <f t="shared" si="495"/>
        <v>-</v>
      </c>
      <c r="S761" s="153"/>
      <c r="T761" s="148" t="str">
        <f t="shared" si="496"/>
        <v>Pending</v>
      </c>
      <c r="U761" s="153"/>
      <c r="V761" s="153"/>
      <c r="W761" s="387">
        <f t="shared" si="497"/>
        <v>0</v>
      </c>
      <c r="X761" s="387">
        <f t="shared" si="498"/>
        <v>0</v>
      </c>
      <c r="Y761" s="301" t="str">
        <f t="shared" si="499"/>
        <v>X</v>
      </c>
      <c r="Z761" s="301" t="str">
        <f t="shared" si="500"/>
        <v>X</v>
      </c>
      <c r="AA761" s="323" t="str">
        <f>CONCATENATE("                x[team1,team2,sport,'",IF(OR(I761="x",I761=""),VLOOKUP('Schedule from TM'!J762,Tables!$P$3:$Q$33,2,FALSE),'Schedule from TM'!I762),",",J761,"','",IF(OR(F761="x",F761=""),VLOOKUP('Schedule from TM'!G762,Tables!$U$3:$V$14,2,FALSE),'Schedule from TM'!F762),",",TEXT(G761,"mm/dd/yyyy"),"','",TEXT(H761,"h:mm:ss AM/PM"),"'].ub=0.0      #",B761)</f>
        <v xml:space="preserve">                x[team1,team2,sport,'11,JCC Back Field 3','21,11/25/2017','9:20:00 PM'].ub=0.0      #Junior A Male Dodgeball</v>
      </c>
      <c r="AB761" s="301" t="str">
        <f t="shared" si="501"/>
        <v>,,Junior A Male Dodgeball,,1,</v>
      </c>
      <c r="AC761" s="153" t="str">
        <f t="shared" si="502"/>
        <v>Junior A Male Dodgeball</v>
      </c>
      <c r="AD761" s="301" t="str">
        <f t="shared" si="503"/>
        <v>,,Junior A Male Dodgeball,,1,</v>
      </c>
      <c r="AE761" s="153" t="str">
        <f t="shared" si="504"/>
        <v>Junior A Male Dodgeball</v>
      </c>
      <c r="AF761" s="383">
        <f t="shared" si="505"/>
        <v>0</v>
      </c>
      <c r="AG761" s="383">
        <f t="shared" si="506"/>
        <v>0</v>
      </c>
      <c r="AH761" s="383">
        <f t="shared" si="507"/>
        <v>0</v>
      </c>
      <c r="AI761" s="383">
        <f t="shared" si="508"/>
        <v>0</v>
      </c>
      <c r="AJ761" s="383">
        <f t="shared" si="509"/>
        <v>0</v>
      </c>
      <c r="AK761" s="383">
        <f t="shared" si="510"/>
        <v>0</v>
      </c>
      <c r="AM761" s="148" t="str">
        <f t="shared" si="511"/>
        <v>Schedulled</v>
      </c>
      <c r="AN761" s="148" t="str">
        <f t="shared" si="512"/>
        <v>Schedulled no team</v>
      </c>
      <c r="AO761" s="156">
        <f t="shared" si="513"/>
        <v>43064.888888888891</v>
      </c>
      <c r="AP761" s="148" t="str">
        <f t="shared" si="514"/>
        <v>11/25/2017 21:20-&gt;JCC Back Field 3</v>
      </c>
      <c r="AQ761" s="374">
        <f t="shared" si="515"/>
        <v>1</v>
      </c>
      <c r="AR761" s="148" t="str">
        <f t="shared" si="516"/>
        <v/>
      </c>
      <c r="AS761" s="148" t="str">
        <f t="shared" si="517"/>
        <v/>
      </c>
      <c r="AT761" s="157" t="str">
        <f t="shared" si="518"/>
        <v/>
      </c>
      <c r="AU761" s="157" t="str">
        <f t="shared" si="519"/>
        <v>Dodgeball Tournament</v>
      </c>
      <c r="AV761" s="157" t="str">
        <f t="shared" si="520"/>
        <v>JUNIORS A MALE</v>
      </c>
      <c r="AW761" s="157" t="str">
        <f t="shared" si="521"/>
        <v>Dodgeball</v>
      </c>
      <c r="AX761" s="376">
        <f t="shared" si="522"/>
        <v>759</v>
      </c>
      <c r="AY761" s="148" t="str">
        <f t="shared" si="523"/>
        <v>-&gt;</v>
      </c>
      <c r="AZ761" s="148" t="str">
        <f t="shared" si="524"/>
        <v>11/25/2017 21:20-&gt;</v>
      </c>
      <c r="BA761" s="148" t="str">
        <f t="shared" si="525"/>
        <v>11/25/2017 21:20-&gt;</v>
      </c>
      <c r="BB761" s="374">
        <f t="shared" si="526"/>
        <v>0</v>
      </c>
      <c r="BC761" s="374">
        <f t="shared" si="527"/>
        <v>0</v>
      </c>
      <c r="BD761" s="148" t="str">
        <f t="shared" si="528"/>
        <v>no conflict</v>
      </c>
      <c r="BF761" s="148" t="str">
        <f t="shared" si="529"/>
        <v>11/25/2017 21:20-&gt;</v>
      </c>
      <c r="BG761" s="148" t="str">
        <f t="shared" si="530"/>
        <v>11/25/2017 21:20-&gt;</v>
      </c>
      <c r="BH761" s="148" t="str">
        <f t="shared" si="531"/>
        <v>11/25/2017 21:20-&gt;JCC Back Field 3</v>
      </c>
      <c r="BI761" s="148" t="str">
        <f t="shared" si="532"/>
        <v>Dodgeball in JCC Back Field 3 ()</v>
      </c>
      <c r="BJ761" s="148" t="str">
        <f t="shared" si="533"/>
        <v xml:space="preserve">Junior A Male Dodgeball--  vs. </v>
      </c>
      <c r="BK761" s="148" t="str">
        <f t="shared" si="534"/>
        <v>Dodgeball</v>
      </c>
      <c r="BL761" s="148">
        <f t="shared" si="535"/>
        <v>0</v>
      </c>
      <c r="BM761" s="148">
        <f t="shared" si="536"/>
        <v>0</v>
      </c>
      <c r="BN761" s="148" t="str">
        <f t="shared" si="537"/>
        <v>Tournament</v>
      </c>
      <c r="BP761" s="148" t="str">
        <f t="shared" si="538"/>
        <v>11/25/2017 21:20-&gt;JUNIORS A MALE</v>
      </c>
      <c r="BQ761" s="148" t="str">
        <f t="shared" si="539"/>
        <v>Dodgeball Tournament in JCC Back Field 3</v>
      </c>
    </row>
    <row r="762" spans="1:69" ht="15" customHeight="1" x14ac:dyDescent="0.2">
      <c r="A762" s="376">
        <v>760</v>
      </c>
      <c r="B762" t="s">
        <v>504</v>
      </c>
      <c r="C762" s="433" t="s">
        <v>711</v>
      </c>
      <c r="D762" s="452">
        <v>1</v>
      </c>
      <c r="E762" s="452">
        <v>1</v>
      </c>
      <c r="F762" s="433" t="s">
        <v>770</v>
      </c>
      <c r="G762" s="335">
        <v>43064</v>
      </c>
      <c r="H762" s="336">
        <v>0.78472222222222221</v>
      </c>
      <c r="I762" s="433" t="s">
        <v>770</v>
      </c>
      <c r="J762" s="433" t="s">
        <v>694</v>
      </c>
      <c r="K762" s="315"/>
      <c r="L762" s="444"/>
      <c r="M762" s="444"/>
      <c r="N762" s="444"/>
      <c r="O762" s="153" t="str">
        <f>IF(L762&lt;&gt;"",IFERROR(VLOOKUP(B762&amp;L762,Pools!$A$2:$D$130,3,FALSE),""),"")</f>
        <v/>
      </c>
      <c r="P762" s="388"/>
      <c r="Q762" s="388"/>
      <c r="R762" s="306" t="str">
        <f t="shared" si="495"/>
        <v>-</v>
      </c>
      <c r="S762" s="153"/>
      <c r="T762" s="148" t="str">
        <f t="shared" si="496"/>
        <v>Pending</v>
      </c>
      <c r="U762" s="153"/>
      <c r="V762" s="153"/>
      <c r="W762" s="387">
        <f t="shared" si="497"/>
        <v>0</v>
      </c>
      <c r="X762" s="387">
        <f t="shared" si="498"/>
        <v>0</v>
      </c>
      <c r="Y762" s="301" t="str">
        <f t="shared" si="499"/>
        <v>X</v>
      </c>
      <c r="Z762" s="301" t="str">
        <f t="shared" si="500"/>
        <v>X</v>
      </c>
      <c r="AA762" s="323" t="str">
        <f>CONCATENATE("                x[team1,team2,sport,'",IF(OR(I762="x",I762=""),VLOOKUP('Schedule from TM'!J763,Tables!$P$3:$Q$33,2,FALSE),'Schedule from TM'!I763),",",J762,"','",IF(OR(F762="x",F762=""),VLOOKUP('Schedule from TM'!G763,Tables!$U$3:$V$14,2,FALSE),'Schedule from TM'!F763),",",TEXT(G762,"mm/dd/yyyy"),"','",TEXT(H762,"h:mm:ss AM/PM"),"'].ub=0.0      #",B762)</f>
        <v xml:space="preserve">                x[team1,team2,sport,'11,JCC Back Field 4','21,11/25/2017','6:50:00 PM'].ub=0.0      #Junior B Male Dodgeball</v>
      </c>
      <c r="AB762" s="301" t="str">
        <f t="shared" si="501"/>
        <v>,,Junior B Male Dodgeball,,1,</v>
      </c>
      <c r="AC762" s="153" t="str">
        <f t="shared" si="502"/>
        <v>Junior B Male Dodgeball</v>
      </c>
      <c r="AD762" s="301" t="str">
        <f t="shared" si="503"/>
        <v>,,Junior B Male Dodgeball,,1,</v>
      </c>
      <c r="AE762" s="153" t="str">
        <f t="shared" si="504"/>
        <v>Junior B Male Dodgeball</v>
      </c>
      <c r="AF762" s="383">
        <f t="shared" si="505"/>
        <v>0</v>
      </c>
      <c r="AG762" s="383">
        <f t="shared" si="506"/>
        <v>0</v>
      </c>
      <c r="AH762" s="383">
        <f t="shared" si="507"/>
        <v>0</v>
      </c>
      <c r="AI762" s="383">
        <f t="shared" si="508"/>
        <v>0</v>
      </c>
      <c r="AJ762" s="383">
        <f t="shared" si="509"/>
        <v>0</v>
      </c>
      <c r="AK762" s="383">
        <f t="shared" si="510"/>
        <v>0</v>
      </c>
      <c r="AM762" s="148" t="str">
        <f t="shared" si="511"/>
        <v>Schedulled</v>
      </c>
      <c r="AN762" s="148" t="str">
        <f t="shared" si="512"/>
        <v>Schedulled no team</v>
      </c>
      <c r="AO762" s="156">
        <f t="shared" si="513"/>
        <v>43064.784722222219</v>
      </c>
      <c r="AP762" s="148" t="str">
        <f t="shared" si="514"/>
        <v>11/25/2017 18:50-&gt;JCC Back Field 4</v>
      </c>
      <c r="AQ762" s="374">
        <f t="shared" si="515"/>
        <v>1</v>
      </c>
      <c r="AR762" s="148" t="str">
        <f t="shared" si="516"/>
        <v/>
      </c>
      <c r="AS762" s="148" t="str">
        <f t="shared" si="517"/>
        <v/>
      </c>
      <c r="AT762" s="157" t="str">
        <f t="shared" si="518"/>
        <v/>
      </c>
      <c r="AU762" s="157" t="str">
        <f t="shared" si="519"/>
        <v>Dodgeball Tournament</v>
      </c>
      <c r="AV762" s="157" t="str">
        <f t="shared" si="520"/>
        <v>JUNIORS B MALE</v>
      </c>
      <c r="AW762" s="157" t="str">
        <f t="shared" si="521"/>
        <v>Dodgeball</v>
      </c>
      <c r="AX762" s="376">
        <f t="shared" si="522"/>
        <v>760</v>
      </c>
      <c r="AY762" s="148" t="str">
        <f t="shared" si="523"/>
        <v>-&gt;</v>
      </c>
      <c r="AZ762" s="148" t="str">
        <f t="shared" si="524"/>
        <v>11/25/2017 18:50-&gt;</v>
      </c>
      <c r="BA762" s="148" t="str">
        <f t="shared" si="525"/>
        <v>11/25/2017 18:50-&gt;</v>
      </c>
      <c r="BB762" s="374">
        <f t="shared" si="526"/>
        <v>0</v>
      </c>
      <c r="BC762" s="374">
        <f t="shared" si="527"/>
        <v>0</v>
      </c>
      <c r="BD762" s="148" t="str">
        <f t="shared" si="528"/>
        <v>no conflict</v>
      </c>
      <c r="BF762" s="148" t="str">
        <f t="shared" si="529"/>
        <v>11/25/2017 18:50-&gt;</v>
      </c>
      <c r="BG762" s="148" t="str">
        <f t="shared" si="530"/>
        <v>11/25/2017 18:50-&gt;</v>
      </c>
      <c r="BH762" s="148" t="str">
        <f t="shared" si="531"/>
        <v>11/25/2017 18:50-&gt;JCC Back Field 4</v>
      </c>
      <c r="BI762" s="148" t="str">
        <f t="shared" si="532"/>
        <v>Dodgeball in JCC Back Field 4 ()</v>
      </c>
      <c r="BJ762" s="148" t="str">
        <f t="shared" si="533"/>
        <v xml:space="preserve">Junior B Male Dodgeball--  vs. </v>
      </c>
      <c r="BK762" s="148" t="str">
        <f t="shared" si="534"/>
        <v>Dodgeball</v>
      </c>
      <c r="BL762" s="148">
        <f t="shared" si="535"/>
        <v>0</v>
      </c>
      <c r="BM762" s="148">
        <f t="shared" si="536"/>
        <v>0</v>
      </c>
      <c r="BN762" s="148" t="str">
        <f t="shared" si="537"/>
        <v>Tournament</v>
      </c>
      <c r="BP762" s="148" t="str">
        <f t="shared" si="538"/>
        <v>11/25/2017 18:50-&gt;JUNIORS B MALE</v>
      </c>
      <c r="BQ762" s="148" t="str">
        <f t="shared" si="539"/>
        <v>Dodgeball Tournament in JCC Back Field 4</v>
      </c>
    </row>
    <row r="763" spans="1:69" ht="15" customHeight="1" x14ac:dyDescent="0.2">
      <c r="A763" s="376">
        <v>761</v>
      </c>
      <c r="B763" s="433" t="s">
        <v>504</v>
      </c>
      <c r="C763" s="433" t="s">
        <v>711</v>
      </c>
      <c r="D763" s="452">
        <v>1</v>
      </c>
      <c r="E763" s="452">
        <v>1</v>
      </c>
      <c r="F763" s="433" t="s">
        <v>770</v>
      </c>
      <c r="G763" s="335">
        <v>43064</v>
      </c>
      <c r="H763" s="336">
        <v>0.81944444444444453</v>
      </c>
      <c r="I763" s="433" t="s">
        <v>770</v>
      </c>
      <c r="J763" s="433" t="s">
        <v>694</v>
      </c>
      <c r="K763" s="444"/>
      <c r="L763" s="444"/>
      <c r="M763" s="444"/>
      <c r="N763" s="444"/>
      <c r="O763" s="153" t="str">
        <f>IF(L763&lt;&gt;"",IFERROR(VLOOKUP(B763&amp;L763,Pools!$A$2:$D$130,3,FALSE),""),"")</f>
        <v/>
      </c>
      <c r="P763" s="388"/>
      <c r="Q763" s="388"/>
      <c r="R763" s="306" t="str">
        <f t="shared" si="495"/>
        <v>-</v>
      </c>
      <c r="S763" s="153"/>
      <c r="T763" s="148" t="str">
        <f t="shared" si="496"/>
        <v>Pending</v>
      </c>
      <c r="U763" s="153"/>
      <c r="V763" s="153"/>
      <c r="W763" s="387">
        <f t="shared" si="497"/>
        <v>0</v>
      </c>
      <c r="X763" s="387">
        <f t="shared" si="498"/>
        <v>0</v>
      </c>
      <c r="Y763" s="301" t="str">
        <f t="shared" si="499"/>
        <v>X</v>
      </c>
      <c r="Z763" s="301" t="str">
        <f t="shared" si="500"/>
        <v>X</v>
      </c>
      <c r="AA763" s="323" t="str">
        <f>CONCATENATE("                x[team1,team2,sport,'",IF(OR(I763="x",I763=""),VLOOKUP('Schedule from TM'!J764,Tables!$P$3:$Q$33,2,FALSE),'Schedule from TM'!I764),",",J763,"','",IF(OR(F763="x",F763=""),VLOOKUP('Schedule from TM'!G764,Tables!$U$3:$V$14,2,FALSE),'Schedule from TM'!F764),",",TEXT(G763,"mm/dd/yyyy"),"','",TEXT(H763,"h:mm:ss AM/PM"),"'].ub=0.0      #",B763)</f>
        <v xml:space="preserve">                x[team1,team2,sport,'11,JCC Back Field 4','21,11/25/2017','7:40:00 PM'].ub=0.0      #Junior B Male Dodgeball</v>
      </c>
      <c r="AB763" s="301" t="str">
        <f t="shared" si="501"/>
        <v>,,Junior B Male Dodgeball,,1,</v>
      </c>
      <c r="AC763" s="153" t="str">
        <f t="shared" si="502"/>
        <v>Junior B Male Dodgeball</v>
      </c>
      <c r="AD763" s="301" t="str">
        <f t="shared" si="503"/>
        <v>,,Junior B Male Dodgeball,,1,</v>
      </c>
      <c r="AE763" s="153" t="str">
        <f t="shared" si="504"/>
        <v>Junior B Male Dodgeball</v>
      </c>
      <c r="AF763" s="383">
        <f t="shared" si="505"/>
        <v>0</v>
      </c>
      <c r="AG763" s="383">
        <f t="shared" si="506"/>
        <v>0</v>
      </c>
      <c r="AH763" s="383">
        <f t="shared" si="507"/>
        <v>0</v>
      </c>
      <c r="AI763" s="383">
        <f t="shared" si="508"/>
        <v>0</v>
      </c>
      <c r="AJ763" s="383">
        <f t="shared" si="509"/>
        <v>0</v>
      </c>
      <c r="AK763" s="383">
        <f t="shared" si="510"/>
        <v>0</v>
      </c>
      <c r="AM763" s="148" t="str">
        <f t="shared" si="511"/>
        <v>Schedulled</v>
      </c>
      <c r="AN763" s="148" t="str">
        <f t="shared" si="512"/>
        <v>Schedulled no team</v>
      </c>
      <c r="AO763" s="156">
        <f t="shared" si="513"/>
        <v>43064.819444444445</v>
      </c>
      <c r="AP763" s="148" t="str">
        <f t="shared" si="514"/>
        <v>11/25/2017 19:40-&gt;JCC Back Field 4</v>
      </c>
      <c r="AQ763" s="374">
        <f t="shared" si="515"/>
        <v>1</v>
      </c>
      <c r="AR763" s="148" t="str">
        <f t="shared" si="516"/>
        <v/>
      </c>
      <c r="AS763" s="148" t="str">
        <f t="shared" si="517"/>
        <v/>
      </c>
      <c r="AT763" s="157" t="str">
        <f t="shared" si="518"/>
        <v/>
      </c>
      <c r="AU763" s="157" t="str">
        <f t="shared" si="519"/>
        <v>Dodgeball Tournament</v>
      </c>
      <c r="AV763" s="157" t="str">
        <f t="shared" si="520"/>
        <v>JUNIORS B MALE</v>
      </c>
      <c r="AW763" s="157" t="str">
        <f t="shared" si="521"/>
        <v>Dodgeball</v>
      </c>
      <c r="AX763" s="376">
        <f t="shared" si="522"/>
        <v>761</v>
      </c>
      <c r="AY763" s="148" t="str">
        <f t="shared" si="523"/>
        <v>-&gt;</v>
      </c>
      <c r="AZ763" s="148" t="str">
        <f t="shared" si="524"/>
        <v>11/25/2017 19:40-&gt;</v>
      </c>
      <c r="BA763" s="148" t="str">
        <f t="shared" si="525"/>
        <v>11/25/2017 19:40-&gt;</v>
      </c>
      <c r="BB763" s="374">
        <f t="shared" si="526"/>
        <v>0</v>
      </c>
      <c r="BC763" s="374">
        <f t="shared" si="527"/>
        <v>0</v>
      </c>
      <c r="BD763" s="148" t="str">
        <f t="shared" si="528"/>
        <v>no conflict</v>
      </c>
      <c r="BF763" s="148" t="str">
        <f t="shared" si="529"/>
        <v>11/25/2017 19:40-&gt;</v>
      </c>
      <c r="BG763" s="148" t="str">
        <f t="shared" si="530"/>
        <v>11/25/2017 19:40-&gt;</v>
      </c>
      <c r="BH763" s="148" t="str">
        <f t="shared" si="531"/>
        <v>11/25/2017 19:40-&gt;JCC Back Field 4</v>
      </c>
      <c r="BI763" s="148" t="str">
        <f t="shared" si="532"/>
        <v>Dodgeball in JCC Back Field 4 ()</v>
      </c>
      <c r="BJ763" s="148" t="str">
        <f t="shared" si="533"/>
        <v xml:space="preserve">Junior B Male Dodgeball--  vs. </v>
      </c>
      <c r="BK763" s="148" t="str">
        <f t="shared" si="534"/>
        <v>Dodgeball</v>
      </c>
      <c r="BL763" s="148">
        <f t="shared" si="535"/>
        <v>0</v>
      </c>
      <c r="BM763" s="148">
        <f t="shared" si="536"/>
        <v>0</v>
      </c>
      <c r="BN763" s="148" t="str">
        <f t="shared" si="537"/>
        <v>Tournament</v>
      </c>
      <c r="BP763" s="148" t="str">
        <f t="shared" si="538"/>
        <v>11/25/2017 19:40-&gt;JUNIORS B MALE</v>
      </c>
      <c r="BQ763" s="148" t="str">
        <f t="shared" si="539"/>
        <v>Dodgeball Tournament in JCC Back Field 4</v>
      </c>
    </row>
    <row r="764" spans="1:69" ht="15" customHeight="1" x14ac:dyDescent="0.2">
      <c r="A764" s="376">
        <v>762</v>
      </c>
      <c r="B764" t="s">
        <v>504</v>
      </c>
      <c r="C764" s="433" t="s">
        <v>711</v>
      </c>
      <c r="D764" s="452">
        <v>1</v>
      </c>
      <c r="E764" s="452">
        <v>1</v>
      </c>
      <c r="F764" s="433" t="s">
        <v>770</v>
      </c>
      <c r="G764" s="335">
        <v>43064</v>
      </c>
      <c r="H764" s="336">
        <v>0.85416666666666663</v>
      </c>
      <c r="I764" s="433" t="s">
        <v>770</v>
      </c>
      <c r="J764" s="433" t="s">
        <v>694</v>
      </c>
      <c r="K764" s="315"/>
      <c r="L764" s="444"/>
      <c r="M764" s="444"/>
      <c r="N764" s="444"/>
      <c r="O764" s="153" t="str">
        <f>IF(L764&lt;&gt;"",IFERROR(VLOOKUP(B764&amp;L764,Pools!$A$2:$D$130,3,FALSE),""),"")</f>
        <v/>
      </c>
      <c r="P764" s="388"/>
      <c r="Q764" s="388"/>
      <c r="R764" s="306" t="str">
        <f t="shared" si="495"/>
        <v>-</v>
      </c>
      <c r="S764" s="153"/>
      <c r="T764" s="148" t="str">
        <f t="shared" si="496"/>
        <v>Pending</v>
      </c>
      <c r="U764" s="153"/>
      <c r="V764" s="153"/>
      <c r="W764" s="387">
        <f t="shared" si="497"/>
        <v>0</v>
      </c>
      <c r="X764" s="387">
        <f t="shared" si="498"/>
        <v>0</v>
      </c>
      <c r="Y764" s="301" t="str">
        <f t="shared" si="499"/>
        <v>X</v>
      </c>
      <c r="Z764" s="301" t="str">
        <f t="shared" si="500"/>
        <v>X</v>
      </c>
      <c r="AA764" s="323" t="str">
        <f>CONCATENATE("                x[team1,team2,sport,'",IF(OR(I764="x",I764=""),VLOOKUP('Schedule from TM'!J765,Tables!$P$3:$Q$33,2,FALSE),'Schedule from TM'!I765),",",J764,"','",IF(OR(F764="x",F764=""),VLOOKUP('Schedule from TM'!G765,Tables!$U$3:$V$14,2,FALSE),'Schedule from TM'!F765),",",TEXT(G764,"mm/dd/yyyy"),"','",TEXT(H764,"h:mm:ss AM/PM"),"'].ub=0.0      #",B764)</f>
        <v xml:space="preserve">                x[team1,team2,sport,'11,JCC Back Field 4','21,11/25/2017','8:30:00 PM'].ub=0.0      #Junior B Male Dodgeball</v>
      </c>
      <c r="AB764" s="301" t="str">
        <f t="shared" si="501"/>
        <v>,,Junior B Male Dodgeball,,1,</v>
      </c>
      <c r="AC764" s="153" t="str">
        <f t="shared" si="502"/>
        <v>Junior B Male Dodgeball</v>
      </c>
      <c r="AD764" s="301" t="str">
        <f t="shared" si="503"/>
        <v>,,Junior B Male Dodgeball,,1,</v>
      </c>
      <c r="AE764" s="153" t="str">
        <f t="shared" si="504"/>
        <v>Junior B Male Dodgeball</v>
      </c>
      <c r="AF764" s="383">
        <f t="shared" si="505"/>
        <v>0</v>
      </c>
      <c r="AG764" s="383">
        <f t="shared" si="506"/>
        <v>0</v>
      </c>
      <c r="AH764" s="383">
        <f t="shared" si="507"/>
        <v>0</v>
      </c>
      <c r="AI764" s="383">
        <f t="shared" si="508"/>
        <v>0</v>
      </c>
      <c r="AJ764" s="383">
        <f t="shared" si="509"/>
        <v>0</v>
      </c>
      <c r="AK764" s="383">
        <f t="shared" si="510"/>
        <v>0</v>
      </c>
      <c r="AM764" s="148" t="str">
        <f t="shared" si="511"/>
        <v>Schedulled</v>
      </c>
      <c r="AN764" s="148" t="str">
        <f t="shared" si="512"/>
        <v>Schedulled no team</v>
      </c>
      <c r="AO764" s="156">
        <f t="shared" si="513"/>
        <v>43064.854166666664</v>
      </c>
      <c r="AP764" s="148" t="str">
        <f t="shared" si="514"/>
        <v>11/25/2017 20:30-&gt;JCC Back Field 4</v>
      </c>
      <c r="AQ764" s="374">
        <f t="shared" si="515"/>
        <v>1</v>
      </c>
      <c r="AR764" s="148" t="str">
        <f t="shared" si="516"/>
        <v/>
      </c>
      <c r="AS764" s="148" t="str">
        <f t="shared" si="517"/>
        <v/>
      </c>
      <c r="AT764" s="157" t="str">
        <f t="shared" si="518"/>
        <v/>
      </c>
      <c r="AU764" s="157" t="str">
        <f t="shared" si="519"/>
        <v>Dodgeball Tournament</v>
      </c>
      <c r="AV764" s="157" t="str">
        <f t="shared" si="520"/>
        <v>JUNIORS B MALE</v>
      </c>
      <c r="AW764" s="157" t="str">
        <f t="shared" si="521"/>
        <v>Dodgeball</v>
      </c>
      <c r="AX764" s="376">
        <f t="shared" si="522"/>
        <v>762</v>
      </c>
      <c r="AY764" s="148" t="str">
        <f t="shared" si="523"/>
        <v>-&gt;</v>
      </c>
      <c r="AZ764" s="148" t="str">
        <f t="shared" si="524"/>
        <v>11/25/2017 20:30-&gt;</v>
      </c>
      <c r="BA764" s="148" t="str">
        <f t="shared" si="525"/>
        <v>11/25/2017 20:30-&gt;</v>
      </c>
      <c r="BB764" s="374">
        <f t="shared" si="526"/>
        <v>0</v>
      </c>
      <c r="BC764" s="374">
        <f t="shared" si="527"/>
        <v>0</v>
      </c>
      <c r="BD764" s="148" t="str">
        <f t="shared" si="528"/>
        <v>no conflict</v>
      </c>
      <c r="BF764" s="148" t="str">
        <f t="shared" si="529"/>
        <v>11/25/2017 20:30-&gt;</v>
      </c>
      <c r="BG764" s="148" t="str">
        <f t="shared" si="530"/>
        <v>11/25/2017 20:30-&gt;</v>
      </c>
      <c r="BH764" s="148" t="str">
        <f t="shared" si="531"/>
        <v>11/25/2017 20:30-&gt;JCC Back Field 4</v>
      </c>
      <c r="BI764" s="148" t="str">
        <f t="shared" si="532"/>
        <v>Dodgeball in JCC Back Field 4 ()</v>
      </c>
      <c r="BJ764" s="148" t="str">
        <f t="shared" si="533"/>
        <v xml:space="preserve">Junior B Male Dodgeball--  vs. </v>
      </c>
      <c r="BK764" s="148" t="str">
        <f t="shared" si="534"/>
        <v>Dodgeball</v>
      </c>
      <c r="BL764" s="148">
        <f t="shared" si="535"/>
        <v>0</v>
      </c>
      <c r="BM764" s="148">
        <f t="shared" si="536"/>
        <v>0</v>
      </c>
      <c r="BN764" s="148" t="str">
        <f t="shared" si="537"/>
        <v>Tournament</v>
      </c>
      <c r="BP764" s="148" t="str">
        <f t="shared" si="538"/>
        <v>11/25/2017 20:30-&gt;JUNIORS B MALE</v>
      </c>
      <c r="BQ764" s="148" t="str">
        <f t="shared" si="539"/>
        <v>Dodgeball Tournament in JCC Back Field 4</v>
      </c>
    </row>
    <row r="765" spans="1:69" ht="15" customHeight="1" x14ac:dyDescent="0.2">
      <c r="A765" s="376">
        <v>763</v>
      </c>
      <c r="B765" s="433" t="s">
        <v>504</v>
      </c>
      <c r="C765" s="433" t="s">
        <v>711</v>
      </c>
      <c r="D765" s="452">
        <v>1</v>
      </c>
      <c r="E765" s="452">
        <v>1</v>
      </c>
      <c r="F765" s="433" t="s">
        <v>770</v>
      </c>
      <c r="G765" s="335">
        <v>43064</v>
      </c>
      <c r="H765" s="336">
        <v>0.88888888888888884</v>
      </c>
      <c r="I765" s="433" t="s">
        <v>770</v>
      </c>
      <c r="J765" s="433" t="s">
        <v>694</v>
      </c>
      <c r="K765" s="315"/>
      <c r="L765" s="444"/>
      <c r="M765" s="444"/>
      <c r="N765" s="444"/>
      <c r="O765" s="153" t="str">
        <f>IF(L765&lt;&gt;"",IFERROR(VLOOKUP(B765&amp;L765,Pools!$A$2:$D$130,3,FALSE),""),"")</f>
        <v/>
      </c>
      <c r="P765" s="388"/>
      <c r="Q765" s="388"/>
      <c r="R765" s="306" t="str">
        <f t="shared" si="495"/>
        <v>-</v>
      </c>
      <c r="S765" s="153"/>
      <c r="T765" s="148" t="str">
        <f t="shared" si="496"/>
        <v>Pending</v>
      </c>
      <c r="U765" s="153"/>
      <c r="V765" s="153"/>
      <c r="W765" s="387">
        <f t="shared" si="497"/>
        <v>0</v>
      </c>
      <c r="X765" s="387">
        <f t="shared" si="498"/>
        <v>0</v>
      </c>
      <c r="Y765" s="301" t="str">
        <f t="shared" si="499"/>
        <v>X</v>
      </c>
      <c r="Z765" s="301" t="str">
        <f t="shared" si="500"/>
        <v>X</v>
      </c>
      <c r="AA765" s="323" t="str">
        <f>CONCATENATE("                x[team1,team2,sport,'",IF(OR(I765="x",I765=""),VLOOKUP('Schedule from TM'!J766,Tables!$P$3:$Q$33,2,FALSE),'Schedule from TM'!I766),",",J765,"','",IF(OR(F765="x",F765=""),VLOOKUP('Schedule from TM'!G766,Tables!$U$3:$V$14,2,FALSE),'Schedule from TM'!F766),",",TEXT(G765,"mm/dd/yyyy"),"','",TEXT(H765,"h:mm:ss AM/PM"),"'].ub=0.0      #",B765)</f>
        <v xml:space="preserve">                x[team1,team2,sport,'11,JCC Back Field 4','21,11/25/2017','9:20:00 PM'].ub=0.0      #Junior B Male Dodgeball</v>
      </c>
      <c r="AB765" s="301" t="str">
        <f t="shared" si="501"/>
        <v>,,Junior B Male Dodgeball,,1,</v>
      </c>
      <c r="AC765" s="153" t="str">
        <f t="shared" si="502"/>
        <v>Junior B Male Dodgeball</v>
      </c>
      <c r="AD765" s="301" t="str">
        <f t="shared" si="503"/>
        <v>,,Junior B Male Dodgeball,,1,</v>
      </c>
      <c r="AE765" s="153" t="str">
        <f t="shared" si="504"/>
        <v>Junior B Male Dodgeball</v>
      </c>
      <c r="AF765" s="383">
        <f t="shared" si="505"/>
        <v>0</v>
      </c>
      <c r="AG765" s="383">
        <f t="shared" si="506"/>
        <v>0</v>
      </c>
      <c r="AH765" s="383">
        <f t="shared" si="507"/>
        <v>0</v>
      </c>
      <c r="AI765" s="383">
        <f t="shared" si="508"/>
        <v>0</v>
      </c>
      <c r="AJ765" s="383">
        <f t="shared" si="509"/>
        <v>0</v>
      </c>
      <c r="AK765" s="383">
        <f t="shared" si="510"/>
        <v>0</v>
      </c>
      <c r="AM765" s="148" t="str">
        <f t="shared" si="511"/>
        <v>Schedulled</v>
      </c>
      <c r="AN765" s="148" t="str">
        <f t="shared" si="512"/>
        <v>Schedulled no team</v>
      </c>
      <c r="AO765" s="156">
        <f t="shared" si="513"/>
        <v>43064.888888888891</v>
      </c>
      <c r="AP765" s="148" t="str">
        <f t="shared" si="514"/>
        <v>11/25/2017 21:20-&gt;JCC Back Field 4</v>
      </c>
      <c r="AQ765" s="374">
        <f t="shared" si="515"/>
        <v>1</v>
      </c>
      <c r="AR765" s="148" t="str">
        <f t="shared" si="516"/>
        <v/>
      </c>
      <c r="AS765" s="148" t="str">
        <f t="shared" si="517"/>
        <v/>
      </c>
      <c r="AT765" s="157" t="str">
        <f t="shared" si="518"/>
        <v/>
      </c>
      <c r="AU765" s="157" t="str">
        <f t="shared" si="519"/>
        <v>Dodgeball Tournament</v>
      </c>
      <c r="AV765" s="157" t="str">
        <f t="shared" si="520"/>
        <v>JUNIORS B MALE</v>
      </c>
      <c r="AW765" s="157" t="str">
        <f t="shared" si="521"/>
        <v>Dodgeball</v>
      </c>
      <c r="AX765" s="376">
        <f t="shared" si="522"/>
        <v>763</v>
      </c>
      <c r="AY765" s="148" t="str">
        <f t="shared" si="523"/>
        <v>-&gt;</v>
      </c>
      <c r="AZ765" s="148" t="str">
        <f t="shared" si="524"/>
        <v>11/25/2017 21:20-&gt;</v>
      </c>
      <c r="BA765" s="148" t="str">
        <f t="shared" si="525"/>
        <v>11/25/2017 21:20-&gt;</v>
      </c>
      <c r="BB765" s="374">
        <f t="shared" si="526"/>
        <v>0</v>
      </c>
      <c r="BC765" s="374">
        <f t="shared" si="527"/>
        <v>0</v>
      </c>
      <c r="BD765" s="148" t="str">
        <f t="shared" si="528"/>
        <v>no conflict</v>
      </c>
      <c r="BF765" s="148" t="str">
        <f t="shared" si="529"/>
        <v>11/25/2017 21:20-&gt;</v>
      </c>
      <c r="BG765" s="148" t="str">
        <f t="shared" si="530"/>
        <v>11/25/2017 21:20-&gt;</v>
      </c>
      <c r="BH765" s="148" t="str">
        <f t="shared" si="531"/>
        <v>11/25/2017 21:20-&gt;JCC Back Field 4</v>
      </c>
      <c r="BI765" s="148" t="str">
        <f t="shared" si="532"/>
        <v>Dodgeball in JCC Back Field 4 ()</v>
      </c>
      <c r="BJ765" s="148" t="str">
        <f t="shared" si="533"/>
        <v xml:space="preserve">Junior B Male Dodgeball--  vs. </v>
      </c>
      <c r="BK765" s="148" t="str">
        <f t="shared" si="534"/>
        <v>Dodgeball</v>
      </c>
      <c r="BL765" s="148">
        <f t="shared" si="535"/>
        <v>0</v>
      </c>
      <c r="BM765" s="148">
        <f t="shared" si="536"/>
        <v>0</v>
      </c>
      <c r="BN765" s="148" t="str">
        <f t="shared" si="537"/>
        <v>Tournament</v>
      </c>
      <c r="BP765" s="148" t="str">
        <f t="shared" si="538"/>
        <v>11/25/2017 21:20-&gt;JUNIORS B MALE</v>
      </c>
      <c r="BQ765" s="148" t="str">
        <f t="shared" si="539"/>
        <v>Dodgeball Tournament in JCC Back Field 4</v>
      </c>
    </row>
    <row r="766" spans="1:69" ht="15" customHeight="1" x14ac:dyDescent="0.2">
      <c r="A766" s="376">
        <v>764</v>
      </c>
      <c r="B766" s="433" t="s">
        <v>502</v>
      </c>
      <c r="C766" s="433" t="s">
        <v>711</v>
      </c>
      <c r="D766" s="452">
        <v>1</v>
      </c>
      <c r="E766" s="452">
        <v>1</v>
      </c>
      <c r="F766" s="433" t="s">
        <v>770</v>
      </c>
      <c r="G766" s="335">
        <v>43064</v>
      </c>
      <c r="H766" s="336">
        <v>0.78472222222222221</v>
      </c>
      <c r="I766" s="433" t="s">
        <v>770</v>
      </c>
      <c r="J766" s="433" t="s">
        <v>695</v>
      </c>
      <c r="K766" s="444"/>
      <c r="L766" s="444"/>
      <c r="M766" s="444"/>
      <c r="N766" s="444"/>
      <c r="O766" s="153" t="str">
        <f>IF(L766&lt;&gt;"",IFERROR(VLOOKUP(B766&amp;L766,Pools!$A$2:$D$130,3,FALSE),""),"")</f>
        <v/>
      </c>
      <c r="P766" s="388"/>
      <c r="Q766" s="388"/>
      <c r="R766" s="306" t="str">
        <f t="shared" si="495"/>
        <v>-</v>
      </c>
      <c r="S766" s="153"/>
      <c r="T766" s="148" t="str">
        <f t="shared" si="496"/>
        <v>Pending</v>
      </c>
      <c r="U766" s="153"/>
      <c r="V766" s="153"/>
      <c r="W766" s="387">
        <f t="shared" si="497"/>
        <v>0</v>
      </c>
      <c r="X766" s="387">
        <f t="shared" si="498"/>
        <v>0</v>
      </c>
      <c r="Y766" s="301" t="str">
        <f t="shared" si="499"/>
        <v>X</v>
      </c>
      <c r="Z766" s="301" t="str">
        <f t="shared" si="500"/>
        <v>X</v>
      </c>
      <c r="AA766" s="323" t="str">
        <f>CONCATENATE("                x[team1,team2,sport,'",IF(OR(I766="x",I766=""),VLOOKUP('Schedule from TM'!J767,Tables!$P$3:$Q$33,2,FALSE),'Schedule from TM'!I767),",",J766,"','",IF(OR(F766="x",F766=""),VLOOKUP('Schedule from TM'!G767,Tables!$U$3:$V$14,2,FALSE),'Schedule from TM'!F767),",",TEXT(G766,"mm/dd/yyyy"),"','",TEXT(H766,"h:mm:ss AM/PM"),"'].ub=0.0      #",B766)</f>
        <v xml:space="preserve">                x[team1,team2,sport,'11,JCC Back Field 1','21,11/25/2017','6:50:00 PM'].ub=0.0      #Junior Female Dodgeball</v>
      </c>
      <c r="AB766" s="301" t="str">
        <f t="shared" si="501"/>
        <v>,,Junior Female Dodgeball,,1,</v>
      </c>
      <c r="AC766" s="153" t="str">
        <f t="shared" si="502"/>
        <v>Junior Female Dodgeball</v>
      </c>
      <c r="AD766" s="301" t="str">
        <f t="shared" si="503"/>
        <v>,,Junior Female Dodgeball,,1,</v>
      </c>
      <c r="AE766" s="153" t="str">
        <f t="shared" si="504"/>
        <v>Junior Female Dodgeball</v>
      </c>
      <c r="AF766" s="383">
        <f t="shared" si="505"/>
        <v>0</v>
      </c>
      <c r="AG766" s="383">
        <f t="shared" si="506"/>
        <v>0</v>
      </c>
      <c r="AH766" s="383">
        <f t="shared" si="507"/>
        <v>0</v>
      </c>
      <c r="AI766" s="383">
        <f t="shared" si="508"/>
        <v>0</v>
      </c>
      <c r="AJ766" s="383">
        <f t="shared" si="509"/>
        <v>0</v>
      </c>
      <c r="AK766" s="383">
        <f t="shared" si="510"/>
        <v>0</v>
      </c>
      <c r="AM766" s="148" t="str">
        <f t="shared" si="511"/>
        <v>Schedulled</v>
      </c>
      <c r="AN766" s="148" t="str">
        <f t="shared" si="512"/>
        <v>Schedulled no team</v>
      </c>
      <c r="AO766" s="156">
        <f t="shared" si="513"/>
        <v>43064.784722222219</v>
      </c>
      <c r="AP766" s="148" t="str">
        <f t="shared" si="514"/>
        <v>11/25/2017 18:50-&gt;JCC Back Field 1</v>
      </c>
      <c r="AQ766" s="374">
        <f t="shared" si="515"/>
        <v>1</v>
      </c>
      <c r="AR766" s="148" t="str">
        <f t="shared" si="516"/>
        <v/>
      </c>
      <c r="AS766" s="148" t="str">
        <f t="shared" si="517"/>
        <v/>
      </c>
      <c r="AT766" s="157" t="str">
        <f t="shared" si="518"/>
        <v/>
      </c>
      <c r="AU766" s="157" t="str">
        <f t="shared" si="519"/>
        <v>Dodgeball Tournament</v>
      </c>
      <c r="AV766" s="157" t="str">
        <f t="shared" si="520"/>
        <v>JUNIORS FEMALE</v>
      </c>
      <c r="AW766" s="157" t="str">
        <f t="shared" si="521"/>
        <v>Dodgeball</v>
      </c>
      <c r="AX766" s="376">
        <f t="shared" si="522"/>
        <v>764</v>
      </c>
      <c r="AY766" s="148" t="str">
        <f t="shared" si="523"/>
        <v>-&gt;</v>
      </c>
      <c r="AZ766" s="148" t="str">
        <f t="shared" si="524"/>
        <v>11/25/2017 18:50-&gt;</v>
      </c>
      <c r="BA766" s="148" t="str">
        <f t="shared" si="525"/>
        <v>11/25/2017 18:50-&gt;</v>
      </c>
      <c r="BB766" s="374">
        <f t="shared" si="526"/>
        <v>0</v>
      </c>
      <c r="BC766" s="374">
        <f t="shared" si="527"/>
        <v>0</v>
      </c>
      <c r="BD766" s="148" t="str">
        <f t="shared" si="528"/>
        <v>no conflict</v>
      </c>
      <c r="BF766" s="148" t="str">
        <f t="shared" si="529"/>
        <v>11/25/2017 18:50-&gt;</v>
      </c>
      <c r="BG766" s="148" t="str">
        <f t="shared" si="530"/>
        <v>11/25/2017 18:50-&gt;</v>
      </c>
      <c r="BH766" s="148" t="str">
        <f t="shared" si="531"/>
        <v>11/25/2017 18:50-&gt;JCC Back Field 1</v>
      </c>
      <c r="BI766" s="148" t="str">
        <f t="shared" si="532"/>
        <v>Dodgeball in JCC Back Field 1 ()</v>
      </c>
      <c r="BJ766" s="148" t="str">
        <f t="shared" si="533"/>
        <v xml:space="preserve">Junior Female Dodgeball--  vs. </v>
      </c>
      <c r="BK766" s="148" t="str">
        <f t="shared" si="534"/>
        <v>Dodgeball</v>
      </c>
      <c r="BL766" s="148">
        <f t="shared" si="535"/>
        <v>0</v>
      </c>
      <c r="BM766" s="148">
        <f t="shared" si="536"/>
        <v>0</v>
      </c>
      <c r="BN766" s="148" t="str">
        <f t="shared" si="537"/>
        <v>Tournament</v>
      </c>
      <c r="BP766" s="148" t="str">
        <f t="shared" si="538"/>
        <v>11/25/2017 18:50-&gt;JUNIORS FEMALE</v>
      </c>
      <c r="BQ766" s="148" t="str">
        <f t="shared" si="539"/>
        <v>Dodgeball Tournament in JCC Back Field 1</v>
      </c>
    </row>
    <row r="767" spans="1:69" ht="15" customHeight="1" x14ac:dyDescent="0.2">
      <c r="A767" s="376">
        <v>765</v>
      </c>
      <c r="B767" s="433" t="s">
        <v>502</v>
      </c>
      <c r="C767" s="433" t="s">
        <v>711</v>
      </c>
      <c r="D767" s="452">
        <v>1</v>
      </c>
      <c r="E767" s="452">
        <v>1</v>
      </c>
      <c r="F767" s="433" t="s">
        <v>770</v>
      </c>
      <c r="G767" s="335">
        <v>43064</v>
      </c>
      <c r="H767" s="336">
        <v>0.78472222222222221</v>
      </c>
      <c r="I767" s="433" t="s">
        <v>770</v>
      </c>
      <c r="J767" s="433" t="s">
        <v>693</v>
      </c>
      <c r="K767" s="315"/>
      <c r="L767" s="444"/>
      <c r="M767" s="444"/>
      <c r="N767" s="444"/>
      <c r="O767" s="153" t="str">
        <f>IF(L767&lt;&gt;"",IFERROR(VLOOKUP(B767&amp;L767,Pools!$A$2:$D$130,3,FALSE),""),"")</f>
        <v/>
      </c>
      <c r="P767" s="388"/>
      <c r="Q767" s="388"/>
      <c r="R767" s="306" t="str">
        <f t="shared" si="495"/>
        <v>-</v>
      </c>
      <c r="S767" s="153"/>
      <c r="T767" s="148" t="str">
        <f t="shared" si="496"/>
        <v>Pending</v>
      </c>
      <c r="U767" s="153"/>
      <c r="V767" s="153"/>
      <c r="W767" s="387">
        <f t="shared" si="497"/>
        <v>0</v>
      </c>
      <c r="X767" s="387">
        <f t="shared" si="498"/>
        <v>0</v>
      </c>
      <c r="Y767" s="301" t="str">
        <f t="shared" si="499"/>
        <v>X</v>
      </c>
      <c r="Z767" s="301" t="str">
        <f t="shared" si="500"/>
        <v>X</v>
      </c>
      <c r="AA767" s="323" t="str">
        <f>CONCATENATE("                x[team1,team2,sport,'",IF(OR(I767="x",I767=""),VLOOKUP('Schedule from TM'!J768,Tables!$P$3:$Q$33,2,FALSE),'Schedule from TM'!I768),",",J767,"','",IF(OR(F767="x",F767=""),VLOOKUP('Schedule from TM'!G768,Tables!$U$3:$V$14,2,FALSE),'Schedule from TM'!F768),",",TEXT(G767,"mm/dd/yyyy"),"','",TEXT(H767,"h:mm:ss AM/PM"),"'].ub=0.0      #",B767)</f>
        <v xml:space="preserve">                x[team1,team2,sport,'11,JCC Back Field 2','21,11/25/2017','6:50:00 PM'].ub=0.0      #Junior Female Dodgeball</v>
      </c>
      <c r="AB767" s="301" t="str">
        <f t="shared" si="501"/>
        <v>,,Junior Female Dodgeball,,1,</v>
      </c>
      <c r="AC767" s="153" t="str">
        <f t="shared" si="502"/>
        <v>Junior Female Dodgeball</v>
      </c>
      <c r="AD767" s="301" t="str">
        <f t="shared" si="503"/>
        <v>,,Junior Female Dodgeball,,1,</v>
      </c>
      <c r="AE767" s="153" t="str">
        <f t="shared" si="504"/>
        <v>Junior Female Dodgeball</v>
      </c>
      <c r="AF767" s="383">
        <f t="shared" si="505"/>
        <v>0</v>
      </c>
      <c r="AG767" s="383">
        <f t="shared" si="506"/>
        <v>0</v>
      </c>
      <c r="AH767" s="383">
        <f t="shared" si="507"/>
        <v>0</v>
      </c>
      <c r="AI767" s="383">
        <f t="shared" si="508"/>
        <v>0</v>
      </c>
      <c r="AJ767" s="383">
        <f t="shared" si="509"/>
        <v>0</v>
      </c>
      <c r="AK767" s="383">
        <f t="shared" si="510"/>
        <v>0</v>
      </c>
      <c r="AM767" s="148" t="str">
        <f t="shared" si="511"/>
        <v>Schedulled</v>
      </c>
      <c r="AN767" s="148" t="str">
        <f t="shared" si="512"/>
        <v>Schedulled no team</v>
      </c>
      <c r="AO767" s="156">
        <f t="shared" si="513"/>
        <v>43064.784722222219</v>
      </c>
      <c r="AP767" s="148" t="str">
        <f t="shared" si="514"/>
        <v>11/25/2017 18:50-&gt;JCC Back Field 2</v>
      </c>
      <c r="AQ767" s="374">
        <f t="shared" si="515"/>
        <v>1</v>
      </c>
      <c r="AR767" s="148" t="str">
        <f t="shared" si="516"/>
        <v/>
      </c>
      <c r="AS767" s="148" t="str">
        <f t="shared" si="517"/>
        <v/>
      </c>
      <c r="AT767" s="157" t="str">
        <f t="shared" si="518"/>
        <v/>
      </c>
      <c r="AU767" s="157" t="str">
        <f t="shared" si="519"/>
        <v>Dodgeball Tournament</v>
      </c>
      <c r="AV767" s="157" t="str">
        <f t="shared" si="520"/>
        <v>JUNIORS FEMALE</v>
      </c>
      <c r="AW767" s="157" t="str">
        <f t="shared" si="521"/>
        <v>Dodgeball</v>
      </c>
      <c r="AX767" s="376">
        <f t="shared" si="522"/>
        <v>765</v>
      </c>
      <c r="AY767" s="148" t="str">
        <f t="shared" si="523"/>
        <v>-&gt;</v>
      </c>
      <c r="AZ767" s="148" t="str">
        <f t="shared" si="524"/>
        <v>11/25/2017 18:50-&gt;</v>
      </c>
      <c r="BA767" s="148" t="str">
        <f t="shared" si="525"/>
        <v>11/25/2017 18:50-&gt;</v>
      </c>
      <c r="BB767" s="374">
        <f t="shared" si="526"/>
        <v>0</v>
      </c>
      <c r="BC767" s="374">
        <f t="shared" si="527"/>
        <v>0</v>
      </c>
      <c r="BD767" s="148" t="str">
        <f t="shared" si="528"/>
        <v>no conflict</v>
      </c>
      <c r="BF767" s="148" t="str">
        <f t="shared" si="529"/>
        <v>11/25/2017 18:50-&gt;</v>
      </c>
      <c r="BG767" s="148" t="str">
        <f t="shared" si="530"/>
        <v>11/25/2017 18:50-&gt;</v>
      </c>
      <c r="BH767" s="148" t="str">
        <f t="shared" si="531"/>
        <v>11/25/2017 18:50-&gt;JCC Back Field 2</v>
      </c>
      <c r="BI767" s="148" t="str">
        <f t="shared" si="532"/>
        <v>Dodgeball in JCC Back Field 2 ()</v>
      </c>
      <c r="BJ767" s="148" t="str">
        <f t="shared" si="533"/>
        <v xml:space="preserve">Junior Female Dodgeball--  vs. </v>
      </c>
      <c r="BK767" s="148" t="str">
        <f t="shared" si="534"/>
        <v>Dodgeball</v>
      </c>
      <c r="BL767" s="148">
        <f t="shared" si="535"/>
        <v>0</v>
      </c>
      <c r="BM767" s="148">
        <f t="shared" si="536"/>
        <v>0</v>
      </c>
      <c r="BN767" s="148" t="str">
        <f t="shared" si="537"/>
        <v>Tournament</v>
      </c>
      <c r="BP767" s="148" t="str">
        <f t="shared" si="538"/>
        <v>11/25/2017 18:50-&gt;JUNIORS FEMALE</v>
      </c>
      <c r="BQ767" s="148" t="str">
        <f t="shared" si="539"/>
        <v>Dodgeball Tournament in JCC Back Field 2</v>
      </c>
    </row>
    <row r="768" spans="1:69" ht="15" customHeight="1" x14ac:dyDescent="0.2">
      <c r="A768" s="376">
        <v>766</v>
      </c>
      <c r="B768" s="433" t="s">
        <v>502</v>
      </c>
      <c r="C768" s="433" t="s">
        <v>711</v>
      </c>
      <c r="D768" s="452">
        <v>1</v>
      </c>
      <c r="E768" s="452">
        <v>1</v>
      </c>
      <c r="F768" s="433" t="s">
        <v>770</v>
      </c>
      <c r="G768" s="335">
        <v>43064</v>
      </c>
      <c r="H768" s="336">
        <v>0.81944444444444453</v>
      </c>
      <c r="I768" s="433" t="s">
        <v>770</v>
      </c>
      <c r="J768" s="433" t="s">
        <v>695</v>
      </c>
      <c r="K768" s="444"/>
      <c r="L768" s="444"/>
      <c r="M768" s="444"/>
      <c r="N768" s="444"/>
      <c r="O768" s="153" t="str">
        <f>IF(L768&lt;&gt;"",IFERROR(VLOOKUP(B768&amp;L768,Pools!$A$2:$D$130,3,FALSE),""),"")</f>
        <v/>
      </c>
      <c r="P768" s="388"/>
      <c r="Q768" s="388"/>
      <c r="R768" s="306" t="str">
        <f t="shared" si="495"/>
        <v>-</v>
      </c>
      <c r="S768" s="153"/>
      <c r="T768" s="148" t="str">
        <f t="shared" si="496"/>
        <v>Pending</v>
      </c>
      <c r="U768" s="153"/>
      <c r="V768" s="153"/>
      <c r="W768" s="387">
        <f t="shared" si="497"/>
        <v>0</v>
      </c>
      <c r="X768" s="387">
        <f t="shared" si="498"/>
        <v>0</v>
      </c>
      <c r="Y768" s="301" t="str">
        <f t="shared" si="499"/>
        <v>X</v>
      </c>
      <c r="Z768" s="301" t="str">
        <f t="shared" si="500"/>
        <v>X</v>
      </c>
      <c r="AA768" s="323" t="str">
        <f>CONCATENATE("                x[team1,team2,sport,'",IF(OR(I768="x",I768=""),VLOOKUP('Schedule from TM'!J769,Tables!$P$3:$Q$33,2,FALSE),'Schedule from TM'!I769),",",J768,"','",IF(OR(F768="x",F768=""),VLOOKUP('Schedule from TM'!G769,Tables!$U$3:$V$14,2,FALSE),'Schedule from TM'!F769),",",TEXT(G768,"mm/dd/yyyy"),"','",TEXT(H768,"h:mm:ss AM/PM"),"'].ub=0.0      #",B768)</f>
        <v xml:space="preserve">                x[team1,team2,sport,'11,JCC Back Field 1','21,11/25/2017','7:40:00 PM'].ub=0.0      #Junior Female Dodgeball</v>
      </c>
      <c r="AB768" s="301" t="str">
        <f t="shared" si="501"/>
        <v>,,Junior Female Dodgeball,,1,</v>
      </c>
      <c r="AC768" s="153" t="str">
        <f t="shared" si="502"/>
        <v>Junior Female Dodgeball</v>
      </c>
      <c r="AD768" s="301" t="str">
        <f t="shared" si="503"/>
        <v>,,Junior Female Dodgeball,,1,</v>
      </c>
      <c r="AE768" s="153" t="str">
        <f t="shared" si="504"/>
        <v>Junior Female Dodgeball</v>
      </c>
      <c r="AF768" s="383">
        <f t="shared" si="505"/>
        <v>0</v>
      </c>
      <c r="AG768" s="383">
        <f t="shared" si="506"/>
        <v>0</v>
      </c>
      <c r="AH768" s="383">
        <f t="shared" si="507"/>
        <v>0</v>
      </c>
      <c r="AI768" s="383">
        <f t="shared" si="508"/>
        <v>0</v>
      </c>
      <c r="AJ768" s="383">
        <f t="shared" si="509"/>
        <v>0</v>
      </c>
      <c r="AK768" s="383">
        <f t="shared" si="510"/>
        <v>0</v>
      </c>
      <c r="AM768" s="148" t="str">
        <f t="shared" si="511"/>
        <v>Schedulled</v>
      </c>
      <c r="AN768" s="148" t="str">
        <f t="shared" si="512"/>
        <v>Schedulled no team</v>
      </c>
      <c r="AO768" s="156">
        <f t="shared" si="513"/>
        <v>43064.819444444445</v>
      </c>
      <c r="AP768" s="148" t="str">
        <f t="shared" si="514"/>
        <v>11/25/2017 19:40-&gt;JCC Back Field 1</v>
      </c>
      <c r="AQ768" s="374">
        <f t="shared" si="515"/>
        <v>1</v>
      </c>
      <c r="AR768" s="148" t="str">
        <f t="shared" si="516"/>
        <v/>
      </c>
      <c r="AS768" s="148" t="str">
        <f t="shared" si="517"/>
        <v/>
      </c>
      <c r="AT768" s="157" t="str">
        <f t="shared" si="518"/>
        <v/>
      </c>
      <c r="AU768" s="157" t="str">
        <f t="shared" si="519"/>
        <v>Dodgeball Tournament</v>
      </c>
      <c r="AV768" s="157" t="str">
        <f t="shared" si="520"/>
        <v>JUNIORS FEMALE</v>
      </c>
      <c r="AW768" s="157" t="str">
        <f t="shared" si="521"/>
        <v>Dodgeball</v>
      </c>
      <c r="AX768" s="376">
        <f t="shared" si="522"/>
        <v>766</v>
      </c>
      <c r="AY768" s="148" t="str">
        <f t="shared" si="523"/>
        <v>-&gt;</v>
      </c>
      <c r="AZ768" s="148" t="str">
        <f t="shared" si="524"/>
        <v>11/25/2017 19:40-&gt;</v>
      </c>
      <c r="BA768" s="148" t="str">
        <f t="shared" si="525"/>
        <v>11/25/2017 19:40-&gt;</v>
      </c>
      <c r="BB768" s="374">
        <f t="shared" si="526"/>
        <v>0</v>
      </c>
      <c r="BC768" s="374">
        <f t="shared" si="527"/>
        <v>0</v>
      </c>
      <c r="BD768" s="148" t="str">
        <f t="shared" si="528"/>
        <v>no conflict</v>
      </c>
      <c r="BF768" s="148" t="str">
        <f t="shared" si="529"/>
        <v>11/25/2017 19:40-&gt;</v>
      </c>
      <c r="BG768" s="148" t="str">
        <f t="shared" si="530"/>
        <v>11/25/2017 19:40-&gt;</v>
      </c>
      <c r="BH768" s="148" t="str">
        <f t="shared" si="531"/>
        <v>11/25/2017 19:40-&gt;JCC Back Field 1</v>
      </c>
      <c r="BI768" s="148" t="str">
        <f t="shared" si="532"/>
        <v>Dodgeball in JCC Back Field 1 ()</v>
      </c>
      <c r="BJ768" s="148" t="str">
        <f t="shared" si="533"/>
        <v xml:space="preserve">Junior Female Dodgeball--  vs. </v>
      </c>
      <c r="BK768" s="148" t="str">
        <f t="shared" si="534"/>
        <v>Dodgeball</v>
      </c>
      <c r="BL768" s="148">
        <f t="shared" si="535"/>
        <v>0</v>
      </c>
      <c r="BM768" s="148">
        <f t="shared" si="536"/>
        <v>0</v>
      </c>
      <c r="BN768" s="148" t="str">
        <f t="shared" si="537"/>
        <v>Tournament</v>
      </c>
      <c r="BP768" s="148" t="str">
        <f t="shared" si="538"/>
        <v>11/25/2017 19:40-&gt;JUNIORS FEMALE</v>
      </c>
      <c r="BQ768" s="148" t="str">
        <f t="shared" si="539"/>
        <v>Dodgeball Tournament in JCC Back Field 1</v>
      </c>
    </row>
    <row r="769" spans="1:83" ht="16" x14ac:dyDescent="0.2">
      <c r="A769" s="376">
        <v>767</v>
      </c>
      <c r="B769" s="433" t="s">
        <v>502</v>
      </c>
      <c r="C769" s="433" t="s">
        <v>711</v>
      </c>
      <c r="D769" s="452">
        <v>1</v>
      </c>
      <c r="E769" s="452">
        <v>1</v>
      </c>
      <c r="F769" s="433" t="s">
        <v>770</v>
      </c>
      <c r="G769" s="335">
        <v>43064</v>
      </c>
      <c r="H769" s="336">
        <v>0.81944444444444453</v>
      </c>
      <c r="I769" s="433" t="s">
        <v>770</v>
      </c>
      <c r="J769" s="433" t="s">
        <v>693</v>
      </c>
      <c r="K769" s="444"/>
      <c r="L769" s="444"/>
      <c r="M769" s="444"/>
      <c r="N769" s="444"/>
      <c r="O769" s="153" t="str">
        <f>IF(L769&lt;&gt;"",IFERROR(VLOOKUP(B769&amp;L769,Pools!$A$2:$D$130,3,FALSE),""),"")</f>
        <v/>
      </c>
      <c r="P769" s="388"/>
      <c r="Q769" s="388"/>
      <c r="R769" s="306" t="str">
        <f t="shared" si="495"/>
        <v>-</v>
      </c>
      <c r="S769" s="153"/>
      <c r="T769" s="148" t="str">
        <f t="shared" si="496"/>
        <v>Pending</v>
      </c>
      <c r="U769" s="153"/>
      <c r="V769" s="153"/>
      <c r="W769" s="387">
        <f t="shared" si="497"/>
        <v>0</v>
      </c>
      <c r="X769" s="387">
        <f t="shared" si="498"/>
        <v>0</v>
      </c>
      <c r="Y769" s="301" t="str">
        <f t="shared" si="499"/>
        <v>X</v>
      </c>
      <c r="Z769" s="301" t="str">
        <f t="shared" si="500"/>
        <v>X</v>
      </c>
      <c r="AA769" s="323" t="str">
        <f>CONCATENATE("                x[team1,team2,sport,'",IF(OR(I769="x",I769=""),VLOOKUP('Schedule from TM'!J770,Tables!$P$3:$Q$33,2,FALSE),'Schedule from TM'!I770),",",J769,"','",IF(OR(F769="x",F769=""),VLOOKUP('Schedule from TM'!G770,Tables!$U$3:$V$14,2,FALSE),'Schedule from TM'!F770),",",TEXT(G769,"mm/dd/yyyy"),"','",TEXT(H769,"h:mm:ss AM/PM"),"'].ub=0.0      #",B769)</f>
        <v xml:space="preserve">                x[team1,team2,sport,'11,JCC Back Field 2','21,11/25/2017','7:40:00 PM'].ub=0.0      #Junior Female Dodgeball</v>
      </c>
      <c r="AB769" s="301" t="str">
        <f t="shared" si="501"/>
        <v>,,Junior Female Dodgeball,,1,</v>
      </c>
      <c r="AC769" s="153" t="str">
        <f t="shared" si="502"/>
        <v>Junior Female Dodgeball</v>
      </c>
      <c r="AD769" s="301" t="str">
        <f t="shared" si="503"/>
        <v>,,Junior Female Dodgeball,,1,</v>
      </c>
      <c r="AE769" s="153" t="str">
        <f t="shared" si="504"/>
        <v>Junior Female Dodgeball</v>
      </c>
      <c r="AF769" s="383">
        <f t="shared" si="505"/>
        <v>0</v>
      </c>
      <c r="AG769" s="383">
        <f t="shared" si="506"/>
        <v>0</v>
      </c>
      <c r="AH769" s="383">
        <f t="shared" si="507"/>
        <v>0</v>
      </c>
      <c r="AI769" s="383">
        <f t="shared" si="508"/>
        <v>0</v>
      </c>
      <c r="AJ769" s="383">
        <f t="shared" si="509"/>
        <v>0</v>
      </c>
      <c r="AK769" s="383">
        <f t="shared" si="510"/>
        <v>0</v>
      </c>
      <c r="AM769" s="148" t="str">
        <f t="shared" si="511"/>
        <v>Schedulled</v>
      </c>
      <c r="AN769" s="148" t="str">
        <f t="shared" si="512"/>
        <v>Schedulled no team</v>
      </c>
      <c r="AO769" s="156">
        <f t="shared" si="513"/>
        <v>43064.819444444445</v>
      </c>
      <c r="AP769" s="148" t="str">
        <f t="shared" si="514"/>
        <v>11/25/2017 19:40-&gt;JCC Back Field 2</v>
      </c>
      <c r="AQ769" s="374">
        <f t="shared" si="515"/>
        <v>1</v>
      </c>
      <c r="AR769" s="148" t="str">
        <f t="shared" si="516"/>
        <v/>
      </c>
      <c r="AS769" s="148" t="str">
        <f t="shared" si="517"/>
        <v/>
      </c>
      <c r="AT769" s="157" t="str">
        <f t="shared" si="518"/>
        <v/>
      </c>
      <c r="AU769" s="157" t="str">
        <f t="shared" si="519"/>
        <v>Dodgeball Tournament</v>
      </c>
      <c r="AV769" s="157" t="str">
        <f t="shared" si="520"/>
        <v>JUNIORS FEMALE</v>
      </c>
      <c r="AW769" s="157" t="str">
        <f t="shared" si="521"/>
        <v>Dodgeball</v>
      </c>
      <c r="AX769" s="376">
        <f t="shared" si="522"/>
        <v>767</v>
      </c>
      <c r="AY769" s="148" t="str">
        <f t="shared" si="523"/>
        <v>-&gt;</v>
      </c>
      <c r="AZ769" s="148" t="str">
        <f t="shared" si="524"/>
        <v>11/25/2017 19:40-&gt;</v>
      </c>
      <c r="BA769" s="148" t="str">
        <f t="shared" si="525"/>
        <v>11/25/2017 19:40-&gt;</v>
      </c>
      <c r="BB769" s="374">
        <f t="shared" si="526"/>
        <v>0</v>
      </c>
      <c r="BC769" s="374">
        <f t="shared" si="527"/>
        <v>0</v>
      </c>
      <c r="BD769" s="148" t="str">
        <f t="shared" si="528"/>
        <v>no conflict</v>
      </c>
      <c r="BF769" s="148" t="str">
        <f t="shared" si="529"/>
        <v>11/25/2017 19:40-&gt;</v>
      </c>
      <c r="BG769" s="148" t="str">
        <f t="shared" si="530"/>
        <v>11/25/2017 19:40-&gt;</v>
      </c>
      <c r="BH769" s="148" t="str">
        <f t="shared" si="531"/>
        <v>11/25/2017 19:40-&gt;JCC Back Field 2</v>
      </c>
      <c r="BI769" s="148" t="str">
        <f t="shared" si="532"/>
        <v>Dodgeball in JCC Back Field 2 ()</v>
      </c>
      <c r="BJ769" s="148" t="str">
        <f t="shared" si="533"/>
        <v xml:space="preserve">Junior Female Dodgeball--  vs. </v>
      </c>
      <c r="BK769" s="148" t="str">
        <f t="shared" si="534"/>
        <v>Dodgeball</v>
      </c>
      <c r="BL769" s="148">
        <f t="shared" si="535"/>
        <v>0</v>
      </c>
      <c r="BM769" s="148">
        <f t="shared" si="536"/>
        <v>0</v>
      </c>
      <c r="BN769" s="148" t="str">
        <f t="shared" si="537"/>
        <v>Tournament</v>
      </c>
      <c r="BP769" s="148" t="str">
        <f t="shared" si="538"/>
        <v>11/25/2017 19:40-&gt;JUNIORS FEMALE</v>
      </c>
      <c r="BQ769" s="148" t="str">
        <f t="shared" si="539"/>
        <v>Dodgeball Tournament in JCC Back Field 2</v>
      </c>
    </row>
    <row r="770" spans="1:83" ht="16" x14ac:dyDescent="0.2">
      <c r="A770" s="376">
        <v>768</v>
      </c>
      <c r="B770" s="433" t="s">
        <v>502</v>
      </c>
      <c r="C770" s="433" t="s">
        <v>711</v>
      </c>
      <c r="D770" s="452">
        <v>1</v>
      </c>
      <c r="E770" s="452">
        <v>1</v>
      </c>
      <c r="F770" s="433" t="s">
        <v>770</v>
      </c>
      <c r="G770" s="335">
        <v>43064</v>
      </c>
      <c r="H770" s="336">
        <v>0.85416666666666663</v>
      </c>
      <c r="I770" s="433" t="s">
        <v>770</v>
      </c>
      <c r="J770" s="433" t="s">
        <v>695</v>
      </c>
      <c r="K770" s="444"/>
      <c r="L770" s="444"/>
      <c r="M770" s="444"/>
      <c r="N770" s="444"/>
      <c r="O770" s="153" t="str">
        <f>IF(L770&lt;&gt;"",IFERROR(VLOOKUP(B770&amp;L770,Pools!$A$2:$D$130,3,FALSE),""),"")</f>
        <v/>
      </c>
      <c r="P770" s="388"/>
      <c r="Q770" s="388"/>
      <c r="R770" s="306" t="str">
        <f t="shared" si="495"/>
        <v>-</v>
      </c>
      <c r="S770" s="153"/>
      <c r="T770" s="148" t="str">
        <f t="shared" si="496"/>
        <v>Pending</v>
      </c>
      <c r="U770" s="153"/>
      <c r="V770" s="153"/>
      <c r="W770" s="387">
        <f t="shared" si="497"/>
        <v>0</v>
      </c>
      <c r="X770" s="387">
        <f t="shared" si="498"/>
        <v>0</v>
      </c>
      <c r="Y770" s="301" t="str">
        <f t="shared" si="499"/>
        <v>X</v>
      </c>
      <c r="Z770" s="301" t="str">
        <f t="shared" si="500"/>
        <v>X</v>
      </c>
      <c r="AA770" s="323" t="str">
        <f>CONCATENATE("                x[team1,team2,sport,'",IF(OR(I770="x",I770=""),VLOOKUP('Schedule from TM'!J771,Tables!$P$3:$Q$33,2,FALSE),'Schedule from TM'!I771),",",J770,"','",IF(OR(F770="x",F770=""),VLOOKUP('Schedule from TM'!G771,Tables!$U$3:$V$14,2,FALSE),'Schedule from TM'!F771),",",TEXT(G770,"mm/dd/yyyy"),"','",TEXT(H770,"h:mm:ss AM/PM"),"'].ub=0.0      #",B770)</f>
        <v xml:space="preserve">                x[team1,team2,sport,'11,JCC Back Field 1','21,11/25/2017','8:30:00 PM'].ub=0.0      #Junior Female Dodgeball</v>
      </c>
      <c r="AB770" s="301" t="str">
        <f t="shared" si="501"/>
        <v>,,Junior Female Dodgeball,,1,</v>
      </c>
      <c r="AC770" s="153" t="str">
        <f t="shared" si="502"/>
        <v>Junior Female Dodgeball</v>
      </c>
      <c r="AD770" s="301" t="str">
        <f t="shared" si="503"/>
        <v>,,Junior Female Dodgeball,,1,</v>
      </c>
      <c r="AE770" s="153" t="str">
        <f t="shared" si="504"/>
        <v>Junior Female Dodgeball</v>
      </c>
      <c r="AF770" s="383">
        <f t="shared" si="505"/>
        <v>0</v>
      </c>
      <c r="AG770" s="383">
        <f t="shared" si="506"/>
        <v>0</v>
      </c>
      <c r="AH770" s="383">
        <f t="shared" si="507"/>
        <v>0</v>
      </c>
      <c r="AI770" s="383">
        <f t="shared" si="508"/>
        <v>0</v>
      </c>
      <c r="AJ770" s="383">
        <f t="shared" si="509"/>
        <v>0</v>
      </c>
      <c r="AK770" s="383">
        <f t="shared" si="510"/>
        <v>0</v>
      </c>
      <c r="AM770" s="148" t="str">
        <f t="shared" si="511"/>
        <v>Schedulled</v>
      </c>
      <c r="AN770" s="148" t="str">
        <f t="shared" si="512"/>
        <v>Schedulled no team</v>
      </c>
      <c r="AO770" s="156">
        <f t="shared" si="513"/>
        <v>43064.854166666664</v>
      </c>
      <c r="AP770" s="148" t="str">
        <f t="shared" si="514"/>
        <v>11/25/2017 20:30-&gt;JCC Back Field 1</v>
      </c>
      <c r="AQ770" s="374">
        <f t="shared" si="515"/>
        <v>1</v>
      </c>
      <c r="AR770" s="148" t="str">
        <f t="shared" si="516"/>
        <v/>
      </c>
      <c r="AS770" s="148" t="str">
        <f t="shared" si="517"/>
        <v/>
      </c>
      <c r="AT770" s="157" t="str">
        <f t="shared" si="518"/>
        <v/>
      </c>
      <c r="AU770" s="157" t="str">
        <f t="shared" si="519"/>
        <v>Dodgeball Tournament</v>
      </c>
      <c r="AV770" s="157" t="str">
        <f t="shared" si="520"/>
        <v>JUNIORS FEMALE</v>
      </c>
      <c r="AW770" s="157" t="str">
        <f t="shared" si="521"/>
        <v>Dodgeball</v>
      </c>
      <c r="AX770" s="376">
        <f t="shared" si="522"/>
        <v>768</v>
      </c>
      <c r="AY770" s="148" t="str">
        <f t="shared" si="523"/>
        <v>-&gt;</v>
      </c>
      <c r="AZ770" s="148" t="str">
        <f t="shared" si="524"/>
        <v>11/25/2017 20:30-&gt;</v>
      </c>
      <c r="BA770" s="148" t="str">
        <f t="shared" si="525"/>
        <v>11/25/2017 20:30-&gt;</v>
      </c>
      <c r="BB770" s="374">
        <f t="shared" si="526"/>
        <v>0</v>
      </c>
      <c r="BC770" s="374">
        <f t="shared" si="527"/>
        <v>0</v>
      </c>
      <c r="BD770" s="148" t="str">
        <f t="shared" si="528"/>
        <v>no conflict</v>
      </c>
      <c r="BF770" s="148" t="str">
        <f t="shared" si="529"/>
        <v>11/25/2017 20:30-&gt;</v>
      </c>
      <c r="BG770" s="148" t="str">
        <f t="shared" si="530"/>
        <v>11/25/2017 20:30-&gt;</v>
      </c>
      <c r="BH770" s="148" t="str">
        <f t="shared" si="531"/>
        <v>11/25/2017 20:30-&gt;JCC Back Field 1</v>
      </c>
      <c r="BI770" s="148" t="str">
        <f t="shared" si="532"/>
        <v>Dodgeball in JCC Back Field 1 ()</v>
      </c>
      <c r="BJ770" s="148" t="str">
        <f t="shared" si="533"/>
        <v xml:space="preserve">Junior Female Dodgeball--  vs. </v>
      </c>
      <c r="BK770" s="148" t="str">
        <f t="shared" si="534"/>
        <v>Dodgeball</v>
      </c>
      <c r="BL770" s="148">
        <f t="shared" si="535"/>
        <v>0</v>
      </c>
      <c r="BM770" s="148">
        <f t="shared" si="536"/>
        <v>0</v>
      </c>
      <c r="BN770" s="148" t="str">
        <f t="shared" si="537"/>
        <v>Tournament</v>
      </c>
      <c r="BP770" s="148" t="str">
        <f t="shared" si="538"/>
        <v>11/25/2017 20:30-&gt;JUNIORS FEMALE</v>
      </c>
      <c r="BQ770" s="148" t="str">
        <f t="shared" si="539"/>
        <v>Dodgeball Tournament in JCC Back Field 1</v>
      </c>
    </row>
    <row r="771" spans="1:83" ht="15" customHeight="1" x14ac:dyDescent="0.2">
      <c r="A771" s="376">
        <v>769</v>
      </c>
      <c r="B771" s="433" t="s">
        <v>502</v>
      </c>
      <c r="C771" s="433" t="s">
        <v>711</v>
      </c>
      <c r="D771" s="452">
        <v>1</v>
      </c>
      <c r="E771" s="452">
        <v>1</v>
      </c>
      <c r="F771" s="433" t="s">
        <v>770</v>
      </c>
      <c r="G771" s="335">
        <v>43064</v>
      </c>
      <c r="H771" s="336">
        <v>0.85416666666666663</v>
      </c>
      <c r="I771" s="433" t="s">
        <v>770</v>
      </c>
      <c r="J771" s="433" t="s">
        <v>693</v>
      </c>
      <c r="K771" s="444"/>
      <c r="L771" s="444"/>
      <c r="M771" s="444"/>
      <c r="N771" s="444"/>
      <c r="O771" s="153" t="str">
        <f>IF(L771&lt;&gt;"",IFERROR(VLOOKUP(B771&amp;L771,Pools!$A$2:$D$130,3,FALSE),""),"")</f>
        <v/>
      </c>
      <c r="P771" s="388"/>
      <c r="Q771" s="388"/>
      <c r="R771" s="306" t="str">
        <f t="shared" si="495"/>
        <v>-</v>
      </c>
      <c r="S771" s="153"/>
      <c r="T771" s="148" t="str">
        <f t="shared" si="496"/>
        <v>Pending</v>
      </c>
      <c r="U771" s="153"/>
      <c r="V771" s="153"/>
      <c r="W771" s="387">
        <f t="shared" si="497"/>
        <v>0</v>
      </c>
      <c r="X771" s="387">
        <f t="shared" si="498"/>
        <v>0</v>
      </c>
      <c r="Y771" s="301" t="str">
        <f t="shared" si="499"/>
        <v>X</v>
      </c>
      <c r="Z771" s="301" t="str">
        <f t="shared" si="500"/>
        <v>X</v>
      </c>
      <c r="AA771" s="323" t="str">
        <f>CONCATENATE("                x[team1,team2,sport,'",IF(OR(I771="x",I771=""),VLOOKUP('Schedule from TM'!J772,Tables!$P$3:$Q$33,2,FALSE),'Schedule from TM'!I772),",",J771,"','",IF(OR(F771="x",F771=""),VLOOKUP('Schedule from TM'!G772,Tables!$U$3:$V$14,2,FALSE),'Schedule from TM'!F772),",",TEXT(G771,"mm/dd/yyyy"),"','",TEXT(H771,"h:mm:ss AM/PM"),"'].ub=0.0      #",B771)</f>
        <v xml:space="preserve">                x[team1,team2,sport,'11,JCC Back Field 2','21,11/25/2017','8:30:00 PM'].ub=0.0      #Junior Female Dodgeball</v>
      </c>
      <c r="AB771" s="301" t="str">
        <f t="shared" si="501"/>
        <v>,,Junior Female Dodgeball,,1,</v>
      </c>
      <c r="AC771" s="153" t="str">
        <f t="shared" si="502"/>
        <v>Junior Female Dodgeball</v>
      </c>
      <c r="AD771" s="301" t="str">
        <f t="shared" si="503"/>
        <v>,,Junior Female Dodgeball,,1,</v>
      </c>
      <c r="AE771" s="153" t="str">
        <f t="shared" si="504"/>
        <v>Junior Female Dodgeball</v>
      </c>
      <c r="AF771" s="383">
        <f t="shared" si="505"/>
        <v>0</v>
      </c>
      <c r="AG771" s="383">
        <f t="shared" si="506"/>
        <v>0</v>
      </c>
      <c r="AH771" s="383">
        <f t="shared" si="507"/>
        <v>0</v>
      </c>
      <c r="AI771" s="383">
        <f t="shared" si="508"/>
        <v>0</v>
      </c>
      <c r="AJ771" s="383">
        <f t="shared" si="509"/>
        <v>0</v>
      </c>
      <c r="AK771" s="383">
        <f t="shared" si="510"/>
        <v>0</v>
      </c>
      <c r="AM771" s="148" t="str">
        <f t="shared" si="511"/>
        <v>Schedulled</v>
      </c>
      <c r="AN771" s="148" t="str">
        <f t="shared" si="512"/>
        <v>Schedulled no team</v>
      </c>
      <c r="AO771" s="156">
        <f t="shared" si="513"/>
        <v>43064.854166666664</v>
      </c>
      <c r="AP771" s="148" t="str">
        <f t="shared" si="514"/>
        <v>11/25/2017 20:30-&gt;JCC Back Field 2</v>
      </c>
      <c r="AQ771" s="374">
        <f t="shared" si="515"/>
        <v>1</v>
      </c>
      <c r="AR771" s="148" t="str">
        <f t="shared" si="516"/>
        <v/>
      </c>
      <c r="AS771" s="148" t="str">
        <f t="shared" si="517"/>
        <v/>
      </c>
      <c r="AT771" s="157" t="str">
        <f t="shared" si="518"/>
        <v/>
      </c>
      <c r="AU771" s="157" t="str">
        <f t="shared" si="519"/>
        <v>Dodgeball Tournament</v>
      </c>
      <c r="AV771" s="157" t="str">
        <f t="shared" si="520"/>
        <v>JUNIORS FEMALE</v>
      </c>
      <c r="AW771" s="157" t="str">
        <f t="shared" si="521"/>
        <v>Dodgeball</v>
      </c>
      <c r="AX771" s="376">
        <f t="shared" si="522"/>
        <v>769</v>
      </c>
      <c r="AY771" s="148" t="str">
        <f t="shared" si="523"/>
        <v>-&gt;</v>
      </c>
      <c r="AZ771" s="148" t="str">
        <f t="shared" si="524"/>
        <v>11/25/2017 20:30-&gt;</v>
      </c>
      <c r="BA771" s="148" t="str">
        <f t="shared" si="525"/>
        <v>11/25/2017 20:30-&gt;</v>
      </c>
      <c r="BB771" s="374">
        <f t="shared" si="526"/>
        <v>0</v>
      </c>
      <c r="BC771" s="374">
        <f t="shared" si="527"/>
        <v>0</v>
      </c>
      <c r="BD771" s="148" t="str">
        <f t="shared" si="528"/>
        <v>no conflict</v>
      </c>
      <c r="BF771" s="148" t="str">
        <f t="shared" si="529"/>
        <v>11/25/2017 20:30-&gt;</v>
      </c>
      <c r="BG771" s="148" t="str">
        <f t="shared" si="530"/>
        <v>11/25/2017 20:30-&gt;</v>
      </c>
      <c r="BH771" s="148" t="str">
        <f t="shared" si="531"/>
        <v>11/25/2017 20:30-&gt;JCC Back Field 2</v>
      </c>
      <c r="BI771" s="148" t="str">
        <f t="shared" si="532"/>
        <v>Dodgeball in JCC Back Field 2 ()</v>
      </c>
      <c r="BJ771" s="148" t="str">
        <f t="shared" si="533"/>
        <v xml:space="preserve">Junior Female Dodgeball--  vs. </v>
      </c>
      <c r="BK771" s="148" t="str">
        <f t="shared" si="534"/>
        <v>Dodgeball</v>
      </c>
      <c r="BL771" s="148">
        <f t="shared" si="535"/>
        <v>0</v>
      </c>
      <c r="BM771" s="148">
        <f t="shared" si="536"/>
        <v>0</v>
      </c>
      <c r="BN771" s="148" t="str">
        <f t="shared" si="537"/>
        <v>Tournament</v>
      </c>
      <c r="BP771" s="148" t="str">
        <f t="shared" si="538"/>
        <v>11/25/2017 20:30-&gt;JUNIORS FEMALE</v>
      </c>
      <c r="BQ771" s="148" t="str">
        <f t="shared" si="539"/>
        <v>Dodgeball Tournament in JCC Back Field 2</v>
      </c>
    </row>
    <row r="772" spans="1:83" ht="15" customHeight="1" x14ac:dyDescent="0.2">
      <c r="A772" s="376">
        <v>770</v>
      </c>
      <c r="B772" t="s">
        <v>502</v>
      </c>
      <c r="C772" t="s">
        <v>711</v>
      </c>
      <c r="D772" s="381">
        <v>1</v>
      </c>
      <c r="E772" s="381">
        <v>1</v>
      </c>
      <c r="F772" t="s">
        <v>770</v>
      </c>
      <c r="G772" s="335">
        <v>43064</v>
      </c>
      <c r="H772" s="336">
        <v>0.88888888888888884</v>
      </c>
      <c r="I772" t="s">
        <v>770</v>
      </c>
      <c r="J772" t="s">
        <v>695</v>
      </c>
      <c r="K772" s="315"/>
      <c r="L772" s="315"/>
      <c r="M772" s="315"/>
      <c r="N772" s="315"/>
      <c r="O772" s="153" t="str">
        <f>IF(L772&lt;&gt;"",IFERROR(VLOOKUP(B772&amp;L772,Pools!$A$2:$D$130,3,FALSE),""),"")</f>
        <v/>
      </c>
      <c r="P772" s="388"/>
      <c r="Q772" s="388"/>
      <c r="R772" s="306" t="str">
        <f t="shared" si="495"/>
        <v>-</v>
      </c>
      <c r="S772" s="153"/>
      <c r="T772" s="148" t="str">
        <f t="shared" si="496"/>
        <v>Pending</v>
      </c>
      <c r="U772" s="153"/>
      <c r="V772" s="153"/>
      <c r="W772" s="387">
        <f t="shared" si="497"/>
        <v>0</v>
      </c>
      <c r="X772" s="387">
        <f t="shared" si="498"/>
        <v>0</v>
      </c>
      <c r="Y772" s="301" t="str">
        <f t="shared" si="499"/>
        <v>X</v>
      </c>
      <c r="Z772" s="301" t="str">
        <f t="shared" si="500"/>
        <v>X</v>
      </c>
      <c r="AA772" s="323" t="str">
        <f>CONCATENATE("                x[team1,team2,sport,'",IF(OR(I772="x",I772=""),VLOOKUP('Schedule from TM'!J773,Tables!$P$3:$Q$33,2,FALSE),'Schedule from TM'!I773),",",J772,"','",IF(OR(F772="x",F772=""),VLOOKUP('Schedule from TM'!G773,Tables!$U$3:$V$14,2,FALSE),'Schedule from TM'!F773),",",TEXT(G772,"mm/dd/yyyy"),"','",TEXT(H772,"h:mm:ss AM/PM"),"'].ub=0.0      #",B772)</f>
        <v xml:space="preserve">                x[team1,team2,sport,'11,JCC Back Field 1','21,11/25/2017','9:20:00 PM'].ub=0.0      #Junior Female Dodgeball</v>
      </c>
      <c r="AB772" s="301" t="str">
        <f t="shared" si="501"/>
        <v>,,Junior Female Dodgeball,,1,</v>
      </c>
      <c r="AC772" s="153" t="str">
        <f t="shared" si="502"/>
        <v>Junior Female Dodgeball</v>
      </c>
      <c r="AD772" s="301" t="str">
        <f t="shared" si="503"/>
        <v>,,Junior Female Dodgeball,,1,</v>
      </c>
      <c r="AE772" s="153" t="str">
        <f t="shared" si="504"/>
        <v>Junior Female Dodgeball</v>
      </c>
      <c r="AF772" s="383">
        <f t="shared" si="505"/>
        <v>0</v>
      </c>
      <c r="AG772" s="383">
        <f t="shared" si="506"/>
        <v>0</v>
      </c>
      <c r="AH772" s="383">
        <f t="shared" si="507"/>
        <v>0</v>
      </c>
      <c r="AI772" s="383">
        <f t="shared" si="508"/>
        <v>0</v>
      </c>
      <c r="AJ772" s="383">
        <f t="shared" si="509"/>
        <v>0</v>
      </c>
      <c r="AK772" s="383">
        <f t="shared" si="510"/>
        <v>0</v>
      </c>
      <c r="AM772" s="148" t="str">
        <f t="shared" si="511"/>
        <v>Schedulled</v>
      </c>
      <c r="AN772" s="148" t="str">
        <f t="shared" si="512"/>
        <v>Schedulled no team</v>
      </c>
      <c r="AO772" s="156">
        <f t="shared" si="513"/>
        <v>43064.888888888891</v>
      </c>
      <c r="AP772" s="148" t="str">
        <f t="shared" si="514"/>
        <v>11/25/2017 21:20-&gt;JCC Back Field 1</v>
      </c>
      <c r="AQ772" s="374">
        <f t="shared" si="515"/>
        <v>1</v>
      </c>
      <c r="AR772" s="148" t="str">
        <f t="shared" si="516"/>
        <v/>
      </c>
      <c r="AS772" s="148" t="str">
        <f t="shared" si="517"/>
        <v/>
      </c>
      <c r="AT772" s="157" t="str">
        <f t="shared" si="518"/>
        <v/>
      </c>
      <c r="AU772" s="157" t="str">
        <f t="shared" si="519"/>
        <v>Dodgeball Tournament</v>
      </c>
      <c r="AV772" s="157" t="str">
        <f t="shared" si="520"/>
        <v>JUNIORS FEMALE</v>
      </c>
      <c r="AW772" s="157" t="str">
        <f t="shared" si="521"/>
        <v>Dodgeball</v>
      </c>
      <c r="AX772" s="376">
        <f t="shared" si="522"/>
        <v>770</v>
      </c>
      <c r="AY772" s="148" t="str">
        <f t="shared" si="523"/>
        <v>-&gt;</v>
      </c>
      <c r="AZ772" s="148" t="str">
        <f t="shared" si="524"/>
        <v>11/25/2017 21:20-&gt;</v>
      </c>
      <c r="BA772" s="148" t="str">
        <f t="shared" si="525"/>
        <v>11/25/2017 21:20-&gt;</v>
      </c>
      <c r="BB772" s="374">
        <f t="shared" si="526"/>
        <v>0</v>
      </c>
      <c r="BC772" s="374">
        <f t="shared" si="527"/>
        <v>0</v>
      </c>
      <c r="BD772" s="148" t="str">
        <f t="shared" si="528"/>
        <v>no conflict</v>
      </c>
      <c r="BF772" s="148" t="str">
        <f t="shared" si="529"/>
        <v>11/25/2017 21:20-&gt;</v>
      </c>
      <c r="BG772" s="148" t="str">
        <f t="shared" si="530"/>
        <v>11/25/2017 21:20-&gt;</v>
      </c>
      <c r="BH772" s="148" t="str">
        <f t="shared" si="531"/>
        <v>11/25/2017 21:20-&gt;JCC Back Field 1</v>
      </c>
      <c r="BI772" s="148" t="str">
        <f t="shared" si="532"/>
        <v>Dodgeball in JCC Back Field 1 ()</v>
      </c>
      <c r="BJ772" s="148" t="str">
        <f t="shared" si="533"/>
        <v xml:space="preserve">Junior Female Dodgeball--  vs. </v>
      </c>
      <c r="BK772" s="148" t="str">
        <f t="shared" si="534"/>
        <v>Dodgeball</v>
      </c>
      <c r="BL772" s="148">
        <f t="shared" si="535"/>
        <v>0</v>
      </c>
      <c r="BM772" s="148">
        <f t="shared" si="536"/>
        <v>0</v>
      </c>
      <c r="BN772" s="148" t="str">
        <f t="shared" si="537"/>
        <v>Tournament</v>
      </c>
      <c r="BP772" s="148" t="str">
        <f t="shared" si="538"/>
        <v>11/25/2017 21:20-&gt;JUNIORS FEMALE</v>
      </c>
      <c r="BQ772" s="148" t="str">
        <f t="shared" si="539"/>
        <v>Dodgeball Tournament in JCC Back Field 1</v>
      </c>
    </row>
    <row r="773" spans="1:83" ht="15" customHeight="1" x14ac:dyDescent="0.2">
      <c r="A773" s="376">
        <v>771</v>
      </c>
      <c r="B773" t="s">
        <v>502</v>
      </c>
      <c r="C773" t="s">
        <v>711</v>
      </c>
      <c r="D773" s="381">
        <v>1</v>
      </c>
      <c r="E773" s="381">
        <v>1</v>
      </c>
      <c r="F773" t="s">
        <v>770</v>
      </c>
      <c r="G773" s="335">
        <v>43064</v>
      </c>
      <c r="H773" s="336">
        <v>0.88888888888888884</v>
      </c>
      <c r="I773" t="s">
        <v>770</v>
      </c>
      <c r="J773" t="s">
        <v>693</v>
      </c>
      <c r="K773" s="315"/>
      <c r="L773" s="315"/>
      <c r="M773" s="315"/>
      <c r="N773" s="315"/>
      <c r="O773" s="153" t="str">
        <f>IF(L773&lt;&gt;"",IFERROR(VLOOKUP(B773&amp;L773,Pools!$A$2:$D$130,3,FALSE),""),"")</f>
        <v/>
      </c>
      <c r="P773" s="388"/>
      <c r="Q773" s="388"/>
      <c r="R773" s="306" t="str">
        <f t="shared" si="495"/>
        <v>-</v>
      </c>
      <c r="S773" s="153"/>
      <c r="T773" s="148" t="str">
        <f t="shared" si="496"/>
        <v>Pending</v>
      </c>
      <c r="U773" s="153"/>
      <c r="V773" s="153"/>
      <c r="W773" s="387">
        <f t="shared" si="497"/>
        <v>0</v>
      </c>
      <c r="X773" s="387">
        <f t="shared" si="498"/>
        <v>0</v>
      </c>
      <c r="Y773" s="301" t="str">
        <f t="shared" si="499"/>
        <v>X</v>
      </c>
      <c r="Z773" s="301" t="str">
        <f t="shared" si="500"/>
        <v>X</v>
      </c>
      <c r="AA773" s="323" t="str">
        <f>CONCATENATE("                x[team1,team2,sport,'",IF(OR(I773="x",I773=""),VLOOKUP('Schedule from TM'!J774,Tables!$P$3:$Q$33,2,FALSE),'Schedule from TM'!I774),",",J773,"','",IF(OR(F773="x",F773=""),VLOOKUP('Schedule from TM'!G774,Tables!$U$3:$V$14,2,FALSE),'Schedule from TM'!F774),",",TEXT(G773,"mm/dd/yyyy"),"','",TEXT(H773,"h:mm:ss AM/PM"),"'].ub=0.0      #",B773)</f>
        <v xml:space="preserve">                x[team1,team2,sport,'11,JCC Back Field 2','21,11/25/2017','9:20:00 PM'].ub=0.0      #Junior Female Dodgeball</v>
      </c>
      <c r="AB773" s="301" t="str">
        <f t="shared" si="501"/>
        <v>,,Junior Female Dodgeball,,1,</v>
      </c>
      <c r="AC773" s="153" t="str">
        <f t="shared" si="502"/>
        <v>Junior Female Dodgeball</v>
      </c>
      <c r="AD773" s="301" t="str">
        <f t="shared" si="503"/>
        <v>,,Junior Female Dodgeball,,1,</v>
      </c>
      <c r="AE773" s="153" t="str">
        <f t="shared" si="504"/>
        <v>Junior Female Dodgeball</v>
      </c>
      <c r="AF773" s="383">
        <f t="shared" si="505"/>
        <v>0</v>
      </c>
      <c r="AG773" s="383">
        <f t="shared" si="506"/>
        <v>0</v>
      </c>
      <c r="AH773" s="383">
        <f t="shared" si="507"/>
        <v>0</v>
      </c>
      <c r="AI773" s="383">
        <f t="shared" si="508"/>
        <v>0</v>
      </c>
      <c r="AJ773" s="383">
        <f t="shared" si="509"/>
        <v>0</v>
      </c>
      <c r="AK773" s="383">
        <f t="shared" si="510"/>
        <v>0</v>
      </c>
      <c r="AM773" s="148" t="str">
        <f t="shared" si="511"/>
        <v>Schedulled</v>
      </c>
      <c r="AN773" s="148" t="str">
        <f t="shared" si="512"/>
        <v>Schedulled no team</v>
      </c>
      <c r="AO773" s="156">
        <f t="shared" si="513"/>
        <v>43064.888888888891</v>
      </c>
      <c r="AP773" s="148" t="str">
        <f t="shared" si="514"/>
        <v>11/25/2017 21:20-&gt;JCC Back Field 2</v>
      </c>
      <c r="AQ773" s="374">
        <f t="shared" si="515"/>
        <v>1</v>
      </c>
      <c r="AR773" s="148" t="str">
        <f t="shared" si="516"/>
        <v/>
      </c>
      <c r="AS773" s="148" t="str">
        <f t="shared" si="517"/>
        <v/>
      </c>
      <c r="AT773" s="157" t="str">
        <f t="shared" si="518"/>
        <v/>
      </c>
      <c r="AU773" s="157" t="str">
        <f t="shared" si="519"/>
        <v>Dodgeball Tournament</v>
      </c>
      <c r="AV773" s="157" t="str">
        <f t="shared" si="520"/>
        <v>JUNIORS FEMALE</v>
      </c>
      <c r="AW773" s="157" t="str">
        <f t="shared" si="521"/>
        <v>Dodgeball</v>
      </c>
      <c r="AX773" s="376">
        <f t="shared" si="522"/>
        <v>771</v>
      </c>
      <c r="AY773" s="148" t="str">
        <f t="shared" si="523"/>
        <v>-&gt;</v>
      </c>
      <c r="AZ773" s="148" t="str">
        <f t="shared" si="524"/>
        <v>11/25/2017 21:20-&gt;</v>
      </c>
      <c r="BA773" s="148" t="str">
        <f t="shared" si="525"/>
        <v>11/25/2017 21:20-&gt;</v>
      </c>
      <c r="BB773" s="374">
        <f t="shared" si="526"/>
        <v>0</v>
      </c>
      <c r="BC773" s="374">
        <f t="shared" si="527"/>
        <v>0</v>
      </c>
      <c r="BD773" s="148" t="str">
        <f t="shared" si="528"/>
        <v>no conflict</v>
      </c>
      <c r="BF773" s="148" t="str">
        <f t="shared" si="529"/>
        <v>11/25/2017 21:20-&gt;</v>
      </c>
      <c r="BG773" s="148" t="str">
        <f t="shared" si="530"/>
        <v>11/25/2017 21:20-&gt;</v>
      </c>
      <c r="BH773" s="148" t="str">
        <f t="shared" si="531"/>
        <v>11/25/2017 21:20-&gt;JCC Back Field 2</v>
      </c>
      <c r="BI773" s="148" t="str">
        <f t="shared" si="532"/>
        <v>Dodgeball in JCC Back Field 2 ()</v>
      </c>
      <c r="BJ773" s="148" t="str">
        <f t="shared" si="533"/>
        <v xml:space="preserve">Junior Female Dodgeball--  vs. </v>
      </c>
      <c r="BK773" s="148" t="str">
        <f t="shared" si="534"/>
        <v>Dodgeball</v>
      </c>
      <c r="BL773" s="148">
        <f t="shared" si="535"/>
        <v>0</v>
      </c>
      <c r="BM773" s="148">
        <f t="shared" si="536"/>
        <v>0</v>
      </c>
      <c r="BN773" s="148" t="str">
        <f t="shared" si="537"/>
        <v>Tournament</v>
      </c>
      <c r="BP773" s="148" t="str">
        <f t="shared" si="538"/>
        <v>11/25/2017 21:20-&gt;JUNIORS FEMALE</v>
      </c>
      <c r="BQ773" s="148" t="str">
        <f t="shared" si="539"/>
        <v>Dodgeball Tournament in JCC Back Field 2</v>
      </c>
    </row>
    <row r="774" spans="1:83" ht="15" customHeight="1" x14ac:dyDescent="0.2">
      <c r="A774" s="376">
        <v>772</v>
      </c>
      <c r="B774" s="444" t="s">
        <v>461</v>
      </c>
      <c r="C774" s="443" t="s">
        <v>819</v>
      </c>
      <c r="D774" s="451">
        <v>1</v>
      </c>
      <c r="E774" s="451">
        <v>1</v>
      </c>
      <c r="F774" s="444" t="s">
        <v>770</v>
      </c>
      <c r="G774" s="445">
        <v>43065</v>
      </c>
      <c r="H774" s="454">
        <v>0.4375</v>
      </c>
      <c r="I774" s="446" t="s">
        <v>770</v>
      </c>
      <c r="J774" s="443" t="s">
        <v>694</v>
      </c>
      <c r="K774" s="441"/>
      <c r="L774" s="460" t="s">
        <v>526</v>
      </c>
      <c r="M774" s="441"/>
      <c r="N774" s="447" t="s">
        <v>528</v>
      </c>
      <c r="O774" s="153" t="str">
        <f>IF(L774&lt;&gt;"",IFERROR(VLOOKUP(B774&amp;L774,Pools!$A$2:$D$130,3,FALSE),""),"")</f>
        <v/>
      </c>
      <c r="P774" s="388">
        <v>3</v>
      </c>
      <c r="Q774" s="388">
        <v>0</v>
      </c>
      <c r="R774" s="306" t="str">
        <f t="shared" si="495"/>
        <v>3-0</v>
      </c>
      <c r="S774" s="153"/>
      <c r="T774" s="148" t="str">
        <f t="shared" si="496"/>
        <v>Completed</v>
      </c>
      <c r="U774" s="153"/>
      <c r="V774" s="153"/>
      <c r="W774" s="387">
        <f t="shared" si="497"/>
        <v>3</v>
      </c>
      <c r="X774" s="387">
        <f t="shared" si="498"/>
        <v>-3</v>
      </c>
      <c r="Y774" s="301">
        <f t="shared" si="499"/>
        <v>2</v>
      </c>
      <c r="Z774" s="301">
        <f t="shared" si="500"/>
        <v>0</v>
      </c>
      <c r="AA774" s="323" t="str">
        <f>CONCATENATE("                x[team1,team2,sport,'",IF(OR(I774="x",I774=""),VLOOKUP('Schedule from TM'!J775,Tables!$P$3:$Q$33,2,FALSE),'Schedule from TM'!I775),",",J774,"','",IF(OR(F774="x",F774=""),VLOOKUP('Schedule from TM'!G775,Tables!$U$3:$V$14,2,FALSE),'Schedule from TM'!F775),",",TEXT(G774,"mm/dd/yyyy"),"','",TEXT(H774,"h:mm:ss AM/PM"),"'].ub=0.0      #",B774)</f>
        <v xml:space="preserve">                x[team1,team2,sport,'11,JCC Back Field 4','21,11/26/2017','10:30:00 AM'].ub=0.0      #Adult Female Mini Soccer</v>
      </c>
      <c r="AB774" s="301" t="str">
        <f t="shared" si="501"/>
        <v>,,Adult Female Mini Soccer,,1,AD F - COL 1</v>
      </c>
      <c r="AC774" s="153" t="str">
        <f t="shared" si="502"/>
        <v>Adult Female Mini SoccerAD F - COL 1</v>
      </c>
      <c r="AD774" s="301" t="str">
        <f t="shared" si="503"/>
        <v>,,Adult Female Mini Soccer,,1,AD F - MEX</v>
      </c>
      <c r="AE774" s="153" t="str">
        <f t="shared" si="504"/>
        <v>Adult Female Mini SoccerAD F - MEX</v>
      </c>
      <c r="AF774" s="383">
        <f t="shared" si="505"/>
        <v>1</v>
      </c>
      <c r="AG774" s="383">
        <f t="shared" si="506"/>
        <v>0</v>
      </c>
      <c r="AH774" s="383">
        <f t="shared" si="507"/>
        <v>0</v>
      </c>
      <c r="AI774" s="383">
        <f t="shared" si="508"/>
        <v>0</v>
      </c>
      <c r="AJ774" s="383">
        <f t="shared" si="509"/>
        <v>1</v>
      </c>
      <c r="AK774" s="383">
        <f t="shared" si="510"/>
        <v>0</v>
      </c>
      <c r="AM774" s="148" t="str">
        <f t="shared" si="511"/>
        <v>Schedulled</v>
      </c>
      <c r="AN774" s="148" t="str">
        <f t="shared" si="512"/>
        <v/>
      </c>
      <c r="AO774" s="156">
        <f t="shared" si="513"/>
        <v>43065.4375</v>
      </c>
      <c r="AP774" s="148" t="str">
        <f t="shared" si="514"/>
        <v>11/26/2017 10:30-&gt;JCC Back Field 4</v>
      </c>
      <c r="AQ774" s="374">
        <f t="shared" si="515"/>
        <v>1</v>
      </c>
      <c r="AR774" s="148" t="str">
        <f t="shared" si="516"/>
        <v>COL1</v>
      </c>
      <c r="AS774" s="148" t="str">
        <f t="shared" si="517"/>
        <v>MEX</v>
      </c>
      <c r="AT774" s="157" t="str">
        <f t="shared" si="518"/>
        <v>COL1-MEX</v>
      </c>
      <c r="AU774" s="157" t="str">
        <f t="shared" si="519"/>
        <v xml:space="preserve">COL1-MEX </v>
      </c>
      <c r="AV774" s="157" t="str">
        <f t="shared" si="520"/>
        <v>Adults FEMALE</v>
      </c>
      <c r="AW774" s="157" t="str">
        <f t="shared" si="521"/>
        <v>Soccer</v>
      </c>
      <c r="AX774" s="376">
        <f t="shared" si="522"/>
        <v>772</v>
      </c>
      <c r="AY774" s="148" t="str">
        <f t="shared" si="523"/>
        <v>AD F - COL 1-&gt;AD F - MEX</v>
      </c>
      <c r="AZ774" s="148" t="str">
        <f t="shared" si="524"/>
        <v>11/26/2017 10:30-&gt;AD F - COL 1</v>
      </c>
      <c r="BA774" s="148" t="str">
        <f t="shared" si="525"/>
        <v>11/26/2017 10:30-&gt;AD F - MEX</v>
      </c>
      <c r="BB774" s="374">
        <f t="shared" si="526"/>
        <v>1</v>
      </c>
      <c r="BC774" s="374">
        <f t="shared" si="527"/>
        <v>1</v>
      </c>
      <c r="BD774" s="148" t="str">
        <f t="shared" si="528"/>
        <v>no conflict</v>
      </c>
      <c r="BF774" s="148" t="str">
        <f t="shared" si="529"/>
        <v>11/26/2017 10:30-&gt;AD F - COL 1</v>
      </c>
      <c r="BG774" s="148" t="str">
        <f t="shared" si="530"/>
        <v>11/26/2017 10:30-&gt;AD F - MEX</v>
      </c>
      <c r="BH774" s="148" t="str">
        <f t="shared" si="531"/>
        <v>11/26/2017 10:30-&gt;JCC Back Field 4</v>
      </c>
      <c r="BI774" s="148" t="str">
        <f t="shared" si="532"/>
        <v>Soccer in JCC Back Field 4 (COL1-MEX)</v>
      </c>
      <c r="BJ774" s="148" t="str">
        <f t="shared" si="533"/>
        <v>Adult Female Mini Soccer-- AD F - COL 1 vs. AD F - MEX</v>
      </c>
      <c r="BK774" s="148" t="str">
        <f t="shared" si="534"/>
        <v>Soccer</v>
      </c>
      <c r="BL774" s="148" t="str">
        <f t="shared" si="535"/>
        <v>AD F - COL 1</v>
      </c>
      <c r="BM774" s="148" t="str">
        <f t="shared" si="536"/>
        <v>AD F - MEX</v>
      </c>
      <c r="BN774" s="148" t="str">
        <f t="shared" si="537"/>
        <v>Final for Silver</v>
      </c>
      <c r="BP774" s="148" t="str">
        <f t="shared" si="538"/>
        <v>11/26/2017 10:30-&gt;Adults FEMALE</v>
      </c>
      <c r="BQ774" s="148" t="str">
        <f t="shared" si="539"/>
        <v>Soccer Final for Silver in JCC Back Field 4</v>
      </c>
    </row>
    <row r="775" spans="1:83" ht="15" customHeight="1" x14ac:dyDescent="0.2">
      <c r="A775" s="376">
        <v>773</v>
      </c>
      <c r="B775" s="444" t="s">
        <v>66</v>
      </c>
      <c r="C775" s="443" t="s">
        <v>769</v>
      </c>
      <c r="D775" s="451">
        <v>1</v>
      </c>
      <c r="E775" s="451">
        <v>1</v>
      </c>
      <c r="F775" s="444"/>
      <c r="G775" s="445">
        <v>43065</v>
      </c>
      <c r="H775" s="454">
        <v>0.50694444444444442</v>
      </c>
      <c r="I775" s="446"/>
      <c r="J775" s="444" t="s">
        <v>697</v>
      </c>
      <c r="K775" s="315"/>
      <c r="L775" s="447" t="s">
        <v>716</v>
      </c>
      <c r="M775" s="315"/>
      <c r="N775" s="463" t="s">
        <v>620</v>
      </c>
      <c r="O775" s="153" t="str">
        <f>IF(L775&lt;&gt;"",IFERROR(VLOOKUP(B775&amp;L775,Pools!$A$2:$D$130,3,FALSE),""),"")</f>
        <v/>
      </c>
      <c r="P775" s="388">
        <v>0</v>
      </c>
      <c r="Q775" s="388">
        <v>2</v>
      </c>
      <c r="R775" s="306" t="str">
        <f t="shared" si="495"/>
        <v>0-2</v>
      </c>
      <c r="S775" s="153"/>
      <c r="T775" s="148" t="str">
        <f t="shared" si="496"/>
        <v>Completed</v>
      </c>
      <c r="U775" s="153"/>
      <c r="V775" s="153"/>
      <c r="W775" s="387">
        <f t="shared" si="497"/>
        <v>-2</v>
      </c>
      <c r="X775" s="387">
        <f t="shared" si="498"/>
        <v>2</v>
      </c>
      <c r="Y775" s="301">
        <f t="shared" si="499"/>
        <v>0</v>
      </c>
      <c r="Z775" s="301">
        <f t="shared" si="500"/>
        <v>2</v>
      </c>
      <c r="AA775" s="323" t="e">
        <f>CONCATENATE("                x[team1,team2,sport,'",IF(OR(I775="x",I775=""),VLOOKUP('Schedule from TM'!J944,Tables!$P$3:$Q$33,2,FALSE),'Schedule from TM'!I944),",",J775,"','",IF(OR(F775="x",F775=""),VLOOKUP('Schedule from TM'!G944,Tables!$U$3:$V$14,2,FALSE),'Schedule from TM'!F944),",",TEXT(G775,"mm/dd/yyyy"),"','",TEXT(H775,"h:mm:ss AM/PM"),"'].ub=0.0      #",B775)</f>
        <v>#N/A</v>
      </c>
      <c r="AB775" s="301" t="str">
        <f t="shared" si="501"/>
        <v>,,Ch E Male Volleyball,,1,CHILD EM - VEN 3</v>
      </c>
      <c r="AC775" s="153" t="str">
        <f t="shared" si="502"/>
        <v>Ch E Male VolleyballCHILD EM - VEN 3</v>
      </c>
      <c r="AD775" s="301" t="str">
        <f t="shared" si="503"/>
        <v>,,Ch E Male Volleyball,,1,CHILD EM - PER</v>
      </c>
      <c r="AE775" s="153" t="str">
        <f t="shared" si="504"/>
        <v>Ch E Male VolleyballCHILD EM - PER</v>
      </c>
      <c r="AF775" s="383">
        <f t="shared" si="505"/>
        <v>0</v>
      </c>
      <c r="AG775" s="383">
        <f t="shared" si="506"/>
        <v>1</v>
      </c>
      <c r="AH775" s="383">
        <f t="shared" si="507"/>
        <v>0</v>
      </c>
      <c r="AI775" s="383">
        <f t="shared" si="508"/>
        <v>1</v>
      </c>
      <c r="AJ775" s="383">
        <f t="shared" si="509"/>
        <v>0</v>
      </c>
      <c r="AK775" s="383">
        <f t="shared" si="510"/>
        <v>0</v>
      </c>
      <c r="AM775" s="148" t="str">
        <f t="shared" si="511"/>
        <v>Schedulled</v>
      </c>
      <c r="AN775" s="148" t="str">
        <f t="shared" si="512"/>
        <v/>
      </c>
      <c r="AO775" s="156">
        <f t="shared" si="513"/>
        <v>43065.506944444445</v>
      </c>
      <c r="AP775" s="148" t="str">
        <f t="shared" si="514"/>
        <v>11/26/2017 12:10-&gt;JCC Gym South</v>
      </c>
      <c r="AQ775" s="374">
        <f t="shared" si="515"/>
        <v>1</v>
      </c>
      <c r="AR775" s="148" t="str">
        <f t="shared" si="516"/>
        <v>VEN3</v>
      </c>
      <c r="AS775" s="148" t="str">
        <f t="shared" si="517"/>
        <v>PER</v>
      </c>
      <c r="AT775" s="157" t="str">
        <f t="shared" si="518"/>
        <v>VEN3-PER</v>
      </c>
      <c r="AU775" s="157" t="str">
        <f t="shared" si="519"/>
        <v>VEN3-PER Volleyball Final</v>
      </c>
      <c r="AV775" s="157" t="str">
        <f t="shared" si="520"/>
        <v>CHILDREN E MALE</v>
      </c>
      <c r="AW775" s="157" t="str">
        <f t="shared" si="521"/>
        <v>Volleyball</v>
      </c>
      <c r="AX775" s="376">
        <f t="shared" si="522"/>
        <v>773</v>
      </c>
      <c r="AY775" s="148" t="str">
        <f t="shared" si="523"/>
        <v>CHILD EM - VEN 3-&gt;CHILD EM - PER</v>
      </c>
      <c r="AZ775" s="148" t="str">
        <f t="shared" si="524"/>
        <v>11/26/2017 12:10-&gt;CHILD EM - VEN 3</v>
      </c>
      <c r="BA775" s="148" t="str">
        <f t="shared" si="525"/>
        <v>11/26/2017 12:10-&gt;CHILD EM - PER</v>
      </c>
      <c r="BB775" s="374">
        <f t="shared" si="526"/>
        <v>1</v>
      </c>
      <c r="BC775" s="374">
        <f t="shared" si="527"/>
        <v>1</v>
      </c>
      <c r="BD775" s="148" t="str">
        <f t="shared" si="528"/>
        <v>no conflict</v>
      </c>
      <c r="BF775" s="148" t="str">
        <f t="shared" si="529"/>
        <v>11/26/2017 12:10-&gt;CHILD EM - VEN 3</v>
      </c>
      <c r="BG775" s="148" t="str">
        <f t="shared" si="530"/>
        <v>11/26/2017 12:10-&gt;CHILD EM - PER</v>
      </c>
      <c r="BH775" s="148" t="str">
        <f t="shared" si="531"/>
        <v>11/26/2017 12:10-&gt;JCC Gym South</v>
      </c>
      <c r="BI775" s="148" t="str">
        <f t="shared" si="532"/>
        <v>Volleyball in JCC Gym South (VEN3-PER)</v>
      </c>
      <c r="BJ775" s="148" t="str">
        <f t="shared" si="533"/>
        <v>Ch E Male Volleyball-- CHILD EM - VEN 3 vs. CHILD EM - PER</v>
      </c>
      <c r="BK775" s="148" t="str">
        <f t="shared" si="534"/>
        <v>Volleyball</v>
      </c>
      <c r="BL775" s="148" t="str">
        <f t="shared" si="535"/>
        <v>CHILD EM - VEN 3</v>
      </c>
      <c r="BM775" s="148" t="str">
        <f t="shared" si="536"/>
        <v>CHILD EM - PER</v>
      </c>
      <c r="BN775" s="148" t="str">
        <f t="shared" si="537"/>
        <v>Final</v>
      </c>
      <c r="BP775" s="148" t="str">
        <f t="shared" si="538"/>
        <v>11/26/2017 12:10-&gt;CHILDREN E MALE</v>
      </c>
      <c r="BQ775" s="148" t="str">
        <f t="shared" si="539"/>
        <v>Volleyball Final in JCC Gym South</v>
      </c>
    </row>
    <row r="776" spans="1:83" ht="15" customHeight="1" x14ac:dyDescent="0.2">
      <c r="A776" s="376">
        <v>774</v>
      </c>
      <c r="B776" s="444" t="s">
        <v>81</v>
      </c>
      <c r="C776" s="444" t="s">
        <v>771</v>
      </c>
      <c r="D776" s="451">
        <v>1</v>
      </c>
      <c r="E776" s="451">
        <v>1</v>
      </c>
      <c r="F776" s="444" t="s">
        <v>770</v>
      </c>
      <c r="G776" s="445">
        <v>43065</v>
      </c>
      <c r="H776" s="454">
        <v>0.47222222222222227</v>
      </c>
      <c r="I776" s="446" t="s">
        <v>770</v>
      </c>
      <c r="J776" s="444" t="s">
        <v>692</v>
      </c>
      <c r="K776" s="441"/>
      <c r="L776" s="460" t="s">
        <v>539</v>
      </c>
      <c r="M776" s="441"/>
      <c r="N776" s="460" t="s">
        <v>538</v>
      </c>
      <c r="O776" s="153" t="str">
        <f>IF(L776&lt;&gt;"",IFERROR(VLOOKUP(B776&amp;L776,Pools!$A$2:$D$130,3,FALSE),""),"")</f>
        <v/>
      </c>
      <c r="P776" s="388">
        <v>1</v>
      </c>
      <c r="Q776" s="388">
        <v>0</v>
      </c>
      <c r="R776" s="306" t="str">
        <f t="shared" si="495"/>
        <v>1-0</v>
      </c>
      <c r="S776" s="153"/>
      <c r="T776" s="148" t="str">
        <f t="shared" si="496"/>
        <v>Completed</v>
      </c>
      <c r="U776" s="153"/>
      <c r="V776" s="153"/>
      <c r="W776" s="387">
        <f t="shared" si="497"/>
        <v>1</v>
      </c>
      <c r="X776" s="387">
        <f t="shared" si="498"/>
        <v>-1</v>
      </c>
      <c r="Y776" s="301">
        <f t="shared" si="499"/>
        <v>2</v>
      </c>
      <c r="Z776" s="301">
        <f t="shared" si="500"/>
        <v>0</v>
      </c>
      <c r="AA776" s="323" t="str">
        <f>CONCATENATE("                x[team1,team2,sport,'",IF(OR(I776="x",I776=""),VLOOKUP('Schedule from TM'!J777,Tables!$P$3:$Q$33,2,FALSE),'Schedule from TM'!I777),",",J776,"','",IF(OR(F776="x",F776=""),VLOOKUP('Schedule from TM'!G777,Tables!$U$3:$V$14,2,FALSE),'Schedule from TM'!F777),",",TEXT(G776,"mm/dd/yyyy"),"','",TEXT(H776,"h:mm:ss AM/PM"),"'].ub=0.0      #",B776)</f>
        <v xml:space="preserve">                x[team1,team2,sport,'11,JCC Back Field 3','21,11/26/2017','11:20:00 AM'].ub=0.0      #Adult Male Mini Soccer</v>
      </c>
      <c r="AB776" s="301" t="str">
        <f t="shared" si="501"/>
        <v>,,Adult Male Mini Soccer,,1,AD M - USA 1</v>
      </c>
      <c r="AC776" s="153" t="str">
        <f t="shared" si="502"/>
        <v>Adult Male Mini SoccerAD M - USA 1</v>
      </c>
      <c r="AD776" s="301" t="str">
        <f t="shared" si="503"/>
        <v>,,Adult Male Mini Soccer,,1,AD M - PER</v>
      </c>
      <c r="AE776" s="153" t="str">
        <f t="shared" si="504"/>
        <v>Adult Male Mini SoccerAD M - PER</v>
      </c>
      <c r="AF776" s="383">
        <f t="shared" si="505"/>
        <v>1</v>
      </c>
      <c r="AG776" s="383">
        <f t="shared" si="506"/>
        <v>0</v>
      </c>
      <c r="AH776" s="383">
        <f t="shared" si="507"/>
        <v>0</v>
      </c>
      <c r="AI776" s="383">
        <f t="shared" si="508"/>
        <v>0</v>
      </c>
      <c r="AJ776" s="383">
        <f t="shared" si="509"/>
        <v>1</v>
      </c>
      <c r="AK776" s="383">
        <f t="shared" si="510"/>
        <v>0</v>
      </c>
      <c r="AM776" s="148" t="str">
        <f t="shared" si="511"/>
        <v>Schedulled</v>
      </c>
      <c r="AN776" s="148" t="str">
        <f t="shared" si="512"/>
        <v/>
      </c>
      <c r="AO776" s="156">
        <f t="shared" si="513"/>
        <v>43065.472222222219</v>
      </c>
      <c r="AP776" s="148" t="str">
        <f t="shared" si="514"/>
        <v>11/26/2017 11:20-&gt;JCC Back Field 3</v>
      </c>
      <c r="AQ776" s="374">
        <f t="shared" si="515"/>
        <v>1</v>
      </c>
      <c r="AR776" s="148" t="str">
        <f t="shared" si="516"/>
        <v>USA1</v>
      </c>
      <c r="AS776" s="148" t="str">
        <f t="shared" si="517"/>
        <v>PER</v>
      </c>
      <c r="AT776" s="157" t="str">
        <f t="shared" si="518"/>
        <v>USA1-PER</v>
      </c>
      <c r="AU776" s="157" t="str">
        <f t="shared" si="519"/>
        <v>USA1-PER Soccer Semi-Final</v>
      </c>
      <c r="AV776" s="157" t="str">
        <f t="shared" si="520"/>
        <v>Adults MALE</v>
      </c>
      <c r="AW776" s="157" t="str">
        <f t="shared" si="521"/>
        <v>Soccer</v>
      </c>
      <c r="AX776" s="376">
        <f t="shared" si="522"/>
        <v>774</v>
      </c>
      <c r="AY776" s="148" t="str">
        <f t="shared" si="523"/>
        <v>AD M - USA 1-&gt;AD M - PER</v>
      </c>
      <c r="AZ776" s="148" t="str">
        <f t="shared" si="524"/>
        <v>11/26/2017 11:20-&gt;AD M - USA 1</v>
      </c>
      <c r="BA776" s="148" t="str">
        <f t="shared" si="525"/>
        <v>11/26/2017 11:20-&gt;AD M - PER</v>
      </c>
      <c r="BB776" s="374">
        <f t="shared" si="526"/>
        <v>1</v>
      </c>
      <c r="BC776" s="374">
        <f t="shared" si="527"/>
        <v>1</v>
      </c>
      <c r="BD776" s="148" t="str">
        <f t="shared" si="528"/>
        <v>no conflict</v>
      </c>
      <c r="BF776" s="148" t="str">
        <f t="shared" si="529"/>
        <v>11/26/2017 11:20-&gt;AD M - USA 1</v>
      </c>
      <c r="BG776" s="148" t="str">
        <f t="shared" si="530"/>
        <v>11/26/2017 11:20-&gt;AD M - PER</v>
      </c>
      <c r="BH776" s="148" t="str">
        <f t="shared" si="531"/>
        <v>11/26/2017 11:20-&gt;JCC Back Field 3</v>
      </c>
      <c r="BI776" s="148" t="str">
        <f t="shared" si="532"/>
        <v>Soccer in JCC Back Field 3 (USA1-PER)</v>
      </c>
      <c r="BJ776" s="148" t="str">
        <f t="shared" si="533"/>
        <v>Adult Male Mini Soccer-- AD M - USA 1 vs. AD M - PER</v>
      </c>
      <c r="BK776" s="148" t="str">
        <f t="shared" si="534"/>
        <v>Soccer</v>
      </c>
      <c r="BL776" s="148" t="str">
        <f t="shared" si="535"/>
        <v>AD M - USA 1</v>
      </c>
      <c r="BM776" s="148" t="str">
        <f t="shared" si="536"/>
        <v>AD M - PER</v>
      </c>
      <c r="BN776" s="148" t="str">
        <f t="shared" si="537"/>
        <v>Semi-Final</v>
      </c>
      <c r="BP776" s="148" t="str">
        <f t="shared" si="538"/>
        <v>11/26/2017 11:20-&gt;Adults MALE</v>
      </c>
      <c r="BQ776" s="148" t="str">
        <f t="shared" si="539"/>
        <v>Soccer Semi-Final in JCC Back Field 3</v>
      </c>
    </row>
    <row r="777" spans="1:83" ht="15" customHeight="1" x14ac:dyDescent="0.2">
      <c r="A777" s="376">
        <v>775</v>
      </c>
      <c r="B777" s="444" t="s">
        <v>81</v>
      </c>
      <c r="C777" s="444" t="s">
        <v>771</v>
      </c>
      <c r="D777" s="451">
        <v>1</v>
      </c>
      <c r="E777" s="451">
        <v>1</v>
      </c>
      <c r="F777" s="444" t="s">
        <v>770</v>
      </c>
      <c r="G777" s="445">
        <v>43065</v>
      </c>
      <c r="H777" s="454">
        <v>0.47222222222222227</v>
      </c>
      <c r="I777" s="446" t="s">
        <v>770</v>
      </c>
      <c r="J777" s="444" t="s">
        <v>694</v>
      </c>
      <c r="K777" s="315"/>
      <c r="L777" s="463" t="s">
        <v>537</v>
      </c>
      <c r="M777" s="315"/>
      <c r="N777" s="463" t="s">
        <v>541</v>
      </c>
      <c r="O777" s="153" t="str">
        <f>IF(L777&lt;&gt;"",IFERROR(VLOOKUP(B777&amp;L777,Pools!$A$2:$D$130,3,FALSE),""),"")</f>
        <v/>
      </c>
      <c r="P777" s="388">
        <v>3</v>
      </c>
      <c r="Q777" s="388">
        <v>2</v>
      </c>
      <c r="R777" s="306" t="str">
        <f t="shared" si="495"/>
        <v>3-2</v>
      </c>
      <c r="S777" s="153"/>
      <c r="T777" s="148" t="str">
        <f t="shared" si="496"/>
        <v>Completed</v>
      </c>
      <c r="U777" s="153"/>
      <c r="V777" s="153"/>
      <c r="W777" s="387">
        <f t="shared" si="497"/>
        <v>1</v>
      </c>
      <c r="X777" s="387">
        <f t="shared" si="498"/>
        <v>-1</v>
      </c>
      <c r="Y777" s="301">
        <f t="shared" si="499"/>
        <v>2</v>
      </c>
      <c r="Z777" s="301">
        <f t="shared" si="500"/>
        <v>0</v>
      </c>
      <c r="AA777" s="323" t="str">
        <f>CONCATENATE("                x[team1,team2,sport,'",IF(OR(I777="x",I777=""),VLOOKUP('Schedule from TM'!J778,Tables!$P$3:$Q$33,2,FALSE),'Schedule from TM'!I778),",",J777,"','",IF(OR(F777="x",F777=""),VLOOKUP('Schedule from TM'!G778,Tables!$U$3:$V$14,2,FALSE),'Schedule from TM'!F778),",",TEXT(G777,"mm/dd/yyyy"),"','",TEXT(H777,"h:mm:ss AM/PM"),"'].ub=0.0      #",B777)</f>
        <v xml:space="preserve">                x[team1,team2,sport,'22,JCC Back Field 4','21,11/26/2017','11:20:00 AM'].ub=0.0      #Adult Male Mini Soccer</v>
      </c>
      <c r="AB777" s="301" t="str">
        <f t="shared" si="501"/>
        <v>,,Adult Male Mini Soccer,,1,AD M - MEX</v>
      </c>
      <c r="AC777" s="153" t="str">
        <f t="shared" si="502"/>
        <v>Adult Male Mini SoccerAD M - MEX</v>
      </c>
      <c r="AD777" s="301" t="str">
        <f t="shared" si="503"/>
        <v>,,Adult Male Mini Soccer,,1,AD M - ISR 1</v>
      </c>
      <c r="AE777" s="153" t="str">
        <f t="shared" si="504"/>
        <v>Adult Male Mini SoccerAD M - ISR 1</v>
      </c>
      <c r="AF777" s="383">
        <f t="shared" si="505"/>
        <v>1</v>
      </c>
      <c r="AG777" s="383">
        <f t="shared" si="506"/>
        <v>0</v>
      </c>
      <c r="AH777" s="383">
        <f t="shared" si="507"/>
        <v>0</v>
      </c>
      <c r="AI777" s="383">
        <f t="shared" si="508"/>
        <v>0</v>
      </c>
      <c r="AJ777" s="383">
        <f t="shared" si="509"/>
        <v>1</v>
      </c>
      <c r="AK777" s="383">
        <f t="shared" si="510"/>
        <v>0</v>
      </c>
      <c r="AM777" s="148" t="str">
        <f t="shared" si="511"/>
        <v>Schedulled</v>
      </c>
      <c r="AN777" s="148" t="str">
        <f t="shared" si="512"/>
        <v/>
      </c>
      <c r="AO777" s="156">
        <f t="shared" si="513"/>
        <v>43065.472222222219</v>
      </c>
      <c r="AP777" s="148" t="str">
        <f t="shared" si="514"/>
        <v>11/26/2017 11:20-&gt;JCC Back Field 4</v>
      </c>
      <c r="AQ777" s="374">
        <f t="shared" si="515"/>
        <v>1</v>
      </c>
      <c r="AR777" s="148" t="str">
        <f t="shared" si="516"/>
        <v>MEX</v>
      </c>
      <c r="AS777" s="148" t="str">
        <f t="shared" si="517"/>
        <v>ISR1</v>
      </c>
      <c r="AT777" s="157" t="str">
        <f t="shared" si="518"/>
        <v>MEX-ISR1</v>
      </c>
      <c r="AU777" s="157" t="str">
        <f t="shared" si="519"/>
        <v>MEX-ISR1 Soccer Semi-Final</v>
      </c>
      <c r="AV777" s="157" t="str">
        <f t="shared" si="520"/>
        <v>Adults MALE</v>
      </c>
      <c r="AW777" s="157" t="str">
        <f t="shared" si="521"/>
        <v>Soccer</v>
      </c>
      <c r="AX777" s="376">
        <f t="shared" si="522"/>
        <v>775</v>
      </c>
      <c r="AY777" s="148" t="str">
        <f t="shared" si="523"/>
        <v>AD M - MEX-&gt;AD M - ISR 1</v>
      </c>
      <c r="AZ777" s="148" t="str">
        <f t="shared" si="524"/>
        <v>11/26/2017 11:20-&gt;AD M - MEX</v>
      </c>
      <c r="BA777" s="148" t="str">
        <f t="shared" si="525"/>
        <v>11/26/2017 11:20-&gt;AD M - ISR 1</v>
      </c>
      <c r="BB777" s="374">
        <f t="shared" si="526"/>
        <v>1</v>
      </c>
      <c r="BC777" s="374">
        <f t="shared" si="527"/>
        <v>1</v>
      </c>
      <c r="BD777" s="148" t="str">
        <f t="shared" si="528"/>
        <v>no conflict</v>
      </c>
      <c r="BF777" s="148" t="str">
        <f t="shared" si="529"/>
        <v>11/26/2017 11:20-&gt;AD M - MEX</v>
      </c>
      <c r="BG777" s="148" t="str">
        <f t="shared" si="530"/>
        <v>11/26/2017 11:20-&gt;AD M - ISR 1</v>
      </c>
      <c r="BH777" s="148" t="str">
        <f t="shared" si="531"/>
        <v>11/26/2017 11:20-&gt;JCC Back Field 4</v>
      </c>
      <c r="BI777" s="148" t="str">
        <f t="shared" si="532"/>
        <v>Soccer in JCC Back Field 4 (MEX-ISR1)</v>
      </c>
      <c r="BJ777" s="148" t="str">
        <f t="shared" si="533"/>
        <v>Adult Male Mini Soccer-- AD M - MEX vs. AD M - ISR 1</v>
      </c>
      <c r="BK777" s="148" t="str">
        <f t="shared" si="534"/>
        <v>Soccer</v>
      </c>
      <c r="BL777" s="148" t="str">
        <f t="shared" si="535"/>
        <v>AD M - MEX</v>
      </c>
      <c r="BM777" s="148" t="str">
        <f t="shared" si="536"/>
        <v>AD M - ISR 1</v>
      </c>
      <c r="BN777" s="148" t="str">
        <f t="shared" si="537"/>
        <v>Semi-Final</v>
      </c>
      <c r="BP777" s="148" t="str">
        <f t="shared" si="538"/>
        <v>11/26/2017 11:20-&gt;Adults MALE</v>
      </c>
      <c r="BQ777" s="148" t="str">
        <f t="shared" si="539"/>
        <v>Soccer Semi-Final in JCC Back Field 4</v>
      </c>
    </row>
    <row r="778" spans="1:83" ht="15" customHeight="1" x14ac:dyDescent="0.2">
      <c r="A778" s="449">
        <v>776</v>
      </c>
      <c r="B778" s="456" t="s">
        <v>54</v>
      </c>
      <c r="C778" s="456" t="s">
        <v>771</v>
      </c>
      <c r="D778" s="457">
        <v>1</v>
      </c>
      <c r="E778" s="457">
        <v>1</v>
      </c>
      <c r="F778" s="456" t="s">
        <v>770</v>
      </c>
      <c r="G778" s="458">
        <v>43065</v>
      </c>
      <c r="H778" s="459">
        <v>0.36805555555555558</v>
      </c>
      <c r="I778" s="429" t="s">
        <v>770</v>
      </c>
      <c r="J778" s="456" t="s">
        <v>702</v>
      </c>
      <c r="K778" s="456"/>
      <c r="L778" s="464" t="s">
        <v>592</v>
      </c>
      <c r="M778" s="448"/>
      <c r="N778" s="465" t="s">
        <v>593</v>
      </c>
      <c r="O778" s="419" t="str">
        <f>IF(L778&lt;&gt;"",IFERROR(VLOOKUP(B778&amp;L778,Pools!$A$2:$D$130,3,FALSE),""),"")</f>
        <v/>
      </c>
      <c r="P778" s="477">
        <v>27</v>
      </c>
      <c r="Q778" s="477">
        <v>12</v>
      </c>
      <c r="R778" s="440" t="str">
        <f t="shared" si="495"/>
        <v>27-12</v>
      </c>
      <c r="S778" s="419"/>
      <c r="T778" s="442" t="str">
        <f t="shared" si="496"/>
        <v>Completed</v>
      </c>
      <c r="U778" s="419"/>
      <c r="V778" s="419"/>
      <c r="W778" s="398">
        <f t="shared" si="497"/>
        <v>15</v>
      </c>
      <c r="X778" s="398">
        <f t="shared" si="498"/>
        <v>-15</v>
      </c>
      <c r="Y778" s="421">
        <f t="shared" si="499"/>
        <v>2</v>
      </c>
      <c r="Z778" s="421">
        <f t="shared" si="500"/>
        <v>0</v>
      </c>
      <c r="AA778" s="422" t="str">
        <f>CONCATENATE("                x[team1,team2,sport,'",IF(OR(I778="x",I778=""),VLOOKUP('Schedule from TM'!J779,Tables!$P$3:$Q$33,2,FALSE),'Schedule from TM'!I779),",",J778,"','",IF(OR(F778="x",F778=""),VLOOKUP('Schedule from TM'!G779,Tables!$U$3:$V$14,2,FALSE),'Schedule from TM'!F779),",",TEXT(G778,"mm/dd/yyyy"),"','",TEXT(H778,"h:mm:ss AM/PM"),"'].ub=0.0      #",B778)</f>
        <v xml:space="preserve">                x[team1,team2,sport,'22,Hillel - Basketball Out','21,11/26/2017','8:50:00 AM'].ub=0.0      #Ch D Male Basketball</v>
      </c>
      <c r="AB778" s="421" t="str">
        <f t="shared" si="501"/>
        <v>,,Ch D Male Basketball,,1,CHILD DM - ARG 1</v>
      </c>
      <c r="AC778" s="419" t="str">
        <f t="shared" si="502"/>
        <v>Ch D Male BasketballCHILD DM - ARG 1</v>
      </c>
      <c r="AD778" s="421" t="str">
        <f t="shared" si="503"/>
        <v>,,Ch D Male Basketball,,1,CHILD DM - COL 1</v>
      </c>
      <c r="AE778" s="419" t="str">
        <f t="shared" si="504"/>
        <v>Ch D Male BasketballCHILD DM - COL 1</v>
      </c>
      <c r="AF778" s="425">
        <f t="shared" si="505"/>
        <v>1</v>
      </c>
      <c r="AG778" s="425">
        <f t="shared" si="506"/>
        <v>0</v>
      </c>
      <c r="AH778" s="425">
        <f t="shared" si="507"/>
        <v>0</v>
      </c>
      <c r="AI778" s="425">
        <f t="shared" si="508"/>
        <v>0</v>
      </c>
      <c r="AJ778" s="425">
        <f t="shared" si="509"/>
        <v>1</v>
      </c>
      <c r="AK778" s="425">
        <f t="shared" si="510"/>
        <v>0</v>
      </c>
      <c r="AL778" s="442"/>
      <c r="AM778" s="442" t="str">
        <f t="shared" si="511"/>
        <v>Schedulled</v>
      </c>
      <c r="AN778" s="442" t="str">
        <f t="shared" si="512"/>
        <v/>
      </c>
      <c r="AO778" s="430">
        <f t="shared" si="513"/>
        <v>43065.368055555555</v>
      </c>
      <c r="AP778" s="442" t="str">
        <f t="shared" si="514"/>
        <v>11/26/2017 08:50-&gt;Hillel - Basketball Out</v>
      </c>
      <c r="AQ778" s="372">
        <f t="shared" si="515"/>
        <v>1</v>
      </c>
      <c r="AR778" s="442" t="str">
        <f t="shared" si="516"/>
        <v>ARG1</v>
      </c>
      <c r="AS778" s="442" t="str">
        <f t="shared" si="517"/>
        <v>COL1</v>
      </c>
      <c r="AT778" s="435" t="str">
        <f t="shared" si="518"/>
        <v>ARG1-COL1</v>
      </c>
      <c r="AU778" s="435" t="str">
        <f t="shared" si="519"/>
        <v>ARG1-COL1 Basketball Semi-Final</v>
      </c>
      <c r="AV778" s="435" t="str">
        <f t="shared" si="520"/>
        <v>CHILDREN D MALE</v>
      </c>
      <c r="AW778" s="435" t="str">
        <f t="shared" si="521"/>
        <v>Basketball</v>
      </c>
      <c r="AX778" s="449">
        <f t="shared" si="522"/>
        <v>776</v>
      </c>
      <c r="AY778" s="442" t="str">
        <f t="shared" si="523"/>
        <v>CHILD DM - ARG 1-&gt;CHILD DM - COL 1</v>
      </c>
      <c r="AZ778" s="442" t="str">
        <f t="shared" si="524"/>
        <v>11/26/2017 08:50-&gt;CHILD DM - ARG 1</v>
      </c>
      <c r="BA778" s="442" t="str">
        <f t="shared" si="525"/>
        <v>11/26/2017 08:50-&gt;CHILD DM - COL 1</v>
      </c>
      <c r="BB778" s="372">
        <f t="shared" si="526"/>
        <v>1</v>
      </c>
      <c r="BC778" s="372">
        <f t="shared" si="527"/>
        <v>1</v>
      </c>
      <c r="BD778" s="442" t="str">
        <f t="shared" si="528"/>
        <v>no conflict</v>
      </c>
      <c r="BE778" s="442"/>
      <c r="BF778" s="442" t="str">
        <f t="shared" si="529"/>
        <v>11/26/2017 08:50-&gt;CHILD DM - ARG 1</v>
      </c>
      <c r="BG778" s="442" t="str">
        <f t="shared" si="530"/>
        <v>11/26/2017 08:50-&gt;CHILD DM - COL 1</v>
      </c>
      <c r="BH778" s="442" t="str">
        <f t="shared" si="531"/>
        <v>11/26/2017 08:50-&gt;Hillel - Basketball Out</v>
      </c>
      <c r="BI778" s="442" t="str">
        <f t="shared" si="532"/>
        <v>Basketball in Hillel - Basketball Out (ARG1-COL1)</v>
      </c>
      <c r="BJ778" s="442" t="str">
        <f t="shared" si="533"/>
        <v>Ch D Male Basketball-- CHILD DM - ARG 1 vs. CHILD DM - COL 1</v>
      </c>
      <c r="BK778" s="442" t="str">
        <f t="shared" si="534"/>
        <v>Basketball</v>
      </c>
      <c r="BL778" s="442" t="str">
        <f t="shared" si="535"/>
        <v>CHILD DM - ARG 1</v>
      </c>
      <c r="BM778" s="442" t="str">
        <f t="shared" si="536"/>
        <v>CHILD DM - COL 1</v>
      </c>
      <c r="BN778" s="442" t="str">
        <f t="shared" si="537"/>
        <v>Semi-Final</v>
      </c>
      <c r="BO778" s="442"/>
      <c r="BP778" s="442" t="str">
        <f t="shared" si="538"/>
        <v>11/26/2017 08:50-&gt;CHILDREN D MALE</v>
      </c>
      <c r="BQ778" s="442" t="str">
        <f t="shared" si="539"/>
        <v>Basketball Semi-Final in Hillel - Basketball Out</v>
      </c>
      <c r="BR778" s="442"/>
      <c r="BS778" s="442"/>
      <c r="BT778" s="442"/>
      <c r="BU778" s="442"/>
      <c r="BV778" s="442"/>
      <c r="BW778" s="442"/>
      <c r="BX778" s="442"/>
      <c r="BY778" s="442"/>
      <c r="BZ778" s="442"/>
      <c r="CA778" s="442"/>
      <c r="CB778" s="442"/>
      <c r="CC778" s="442"/>
      <c r="CD778" s="442"/>
      <c r="CE778" s="442"/>
    </row>
    <row r="779" spans="1:83" ht="15" customHeight="1" x14ac:dyDescent="0.2">
      <c r="A779" s="449">
        <v>777</v>
      </c>
      <c r="B779" s="456" t="s">
        <v>54</v>
      </c>
      <c r="C779" s="456" t="s">
        <v>771</v>
      </c>
      <c r="D779" s="457">
        <v>1</v>
      </c>
      <c r="E779" s="457">
        <v>1</v>
      </c>
      <c r="F779" s="456" t="s">
        <v>770</v>
      </c>
      <c r="G779" s="458">
        <v>43065</v>
      </c>
      <c r="H779" s="459">
        <v>0.40277777777777773</v>
      </c>
      <c r="I779" s="429" t="s">
        <v>770</v>
      </c>
      <c r="J779" s="456" t="s">
        <v>702</v>
      </c>
      <c r="K779" s="456"/>
      <c r="L779" s="464" t="s">
        <v>595</v>
      </c>
      <c r="M779" s="448"/>
      <c r="N779" s="465" t="s">
        <v>599</v>
      </c>
      <c r="O779" s="419" t="str">
        <f>IF(L779&lt;&gt;"",IFERROR(VLOOKUP(B779&amp;L779,Pools!$A$2:$D$130,3,FALSE),""),"")</f>
        <v/>
      </c>
      <c r="P779" s="477">
        <v>26</v>
      </c>
      <c r="Q779" s="477">
        <v>13</v>
      </c>
      <c r="R779" s="440" t="str">
        <f t="shared" ref="R779:R842" si="540">P779&amp;"-"&amp;Q779</f>
        <v>26-13</v>
      </c>
      <c r="S779" s="419"/>
      <c r="T779" s="442" t="str">
        <f t="shared" ref="T779:T842" si="541">IF(AND(P779&lt;&gt;"",Q779&lt;&gt;""),"Completed","Pending")</f>
        <v>Completed</v>
      </c>
      <c r="U779" s="419"/>
      <c r="V779" s="419"/>
      <c r="W779" s="398">
        <f t="shared" ref="W779:W842" si="542">IF(AW779="Basketball",(IF(P779-Q779&gt;15,15,IF(P779-Q779&lt;-15,-15,(P779-Q779)))),IF(AW779="Soccer",(IF(P779-Q779&gt;3,3,IF(P779-Q779&lt;-3,-3,(P779-Q779)))),IF(AW779="Kickball",(IF(P779-Q779&gt;5,5,IF(P779-Q779&lt;-5,-5,(P779-Q779)))),IF(AW779="Flag Football",(IF(P779-Q779&gt;21,21,IF(P779-Q779&lt;-21,-21,(P779-Q779)))),P779-Q779))))</f>
        <v>13</v>
      </c>
      <c r="X779" s="398">
        <f t="shared" ref="X779:X842" si="543">IF(AW779="Basketball",(IF(Q779-P779&gt;15,15,IF(Q779-P779&lt;-15,-15,(Q779-P779)))),IF(AW779="Soccer",(IF(Q779-P779&gt;3,3,IF(Q779-P779&lt;-3,-3,(Q779-P779)))),IF(AW779="Kickball",(IF(Q779-P779&gt;5,5,IF(Q779-P779&lt;-5,-5,(Q779-P779)))),IF(AW779="Flag Football",(IF(Q779-P779&gt;21,21,IF(Q779-P779&lt;-21,-21,(Q779-P779)))),Q779-P779))))</f>
        <v>-13</v>
      </c>
      <c r="Y779" s="421">
        <f t="shared" ref="Y779:Y842" si="544">IF(T779="Completed",(IF(P779&gt;Q779,2,IF(P779=Q779,1,IF(P779&lt;Q779,0)))),"X")</f>
        <v>2</v>
      </c>
      <c r="Z779" s="421">
        <f t="shared" ref="Z779:Z842" si="545">IF(T779="Completed",(IF(Q779&gt;P779,2,IF(Q779=P779,1,IF(Q779&lt;P779,0)))),"X")</f>
        <v>0</v>
      </c>
      <c r="AA779" s="422" t="str">
        <f>CONCATENATE("                x[team1,team2,sport,'",IF(OR(I779="x",I779=""),VLOOKUP('Schedule from TM'!J780,Tables!$P$3:$Q$33,2,FALSE),'Schedule from TM'!I780),",",J779,"','",IF(OR(F779="x",F779=""),VLOOKUP('Schedule from TM'!G780,Tables!$U$3:$V$14,2,FALSE),'Schedule from TM'!F780),",",TEXT(G779,"mm/dd/yyyy"),"','",TEXT(H779,"h:mm:ss AM/PM"),"'].ub=0.0      #",B779)</f>
        <v xml:space="preserve">                x[team1,team2,sport,'21,Hillel - Basketball Out','21,11/26/2017','9:40:00 AM'].ub=0.0      #Ch D Male Basketball</v>
      </c>
      <c r="AB779" s="421" t="str">
        <f t="shared" ref="AB779:AB842" si="546">",,"&amp;B779&amp;","&amp;O779&amp;",1,"&amp;L779</f>
        <v>,,Ch D Male Basketball,,1,CHILD DM - USA 1</v>
      </c>
      <c r="AC779" s="419" t="str">
        <f t="shared" ref="AC779:AC842" si="547">B779&amp;O779&amp;L779</f>
        <v>Ch D Male BasketballCHILD DM - USA 1</v>
      </c>
      <c r="AD779" s="421" t="str">
        <f t="shared" ref="AD779:AD842" si="548">",,"&amp;B779&amp;","&amp;O779&amp;",1,"&amp;N779</f>
        <v>,,Ch D Male Basketball,,1,CHILD DM - COL 2</v>
      </c>
      <c r="AE779" s="419" t="str">
        <f t="shared" ref="AE779:AE842" si="549">B779&amp;O779&amp;N779</f>
        <v>Ch D Male BasketballCHILD DM - COL 2</v>
      </c>
      <c r="AF779" s="425">
        <f t="shared" ref="AF779:AF842" si="550">IF(Y779=2,1,0)</f>
        <v>1</v>
      </c>
      <c r="AG779" s="425">
        <f t="shared" ref="AG779:AG842" si="551">IF(Y779=0,1,0)</f>
        <v>0</v>
      </c>
      <c r="AH779" s="425">
        <f t="shared" ref="AH779:AH842" si="552">IF(Y779=1,1,0)</f>
        <v>0</v>
      </c>
      <c r="AI779" s="425">
        <f t="shared" ref="AI779:AI842" si="553">IF(Z779=2,1,0)</f>
        <v>0</v>
      </c>
      <c r="AJ779" s="425">
        <f t="shared" ref="AJ779:AJ842" si="554">IF(Z779=0,1,0)</f>
        <v>1</v>
      </c>
      <c r="AK779" s="425">
        <f t="shared" ref="AK779:AK842" si="555">IF(Z779=1,1,0)</f>
        <v>0</v>
      </c>
      <c r="AL779" s="442"/>
      <c r="AM779" s="442" t="str">
        <f t="shared" ref="AM779:AM842" si="556">IF(G779&amp;H779&amp;J779&lt;&gt;"","Schedulled","Not Schedulled")</f>
        <v>Schedulled</v>
      </c>
      <c r="AN779" s="442" t="str">
        <f t="shared" ref="AN779:AN842" si="557">IF(AND(AM779="schedulled",L779&amp;N779=""),"Schedulled no team","")</f>
        <v/>
      </c>
      <c r="AO779" s="430">
        <f t="shared" ref="AO779:AO842" si="558">G779+H779</f>
        <v>43065.402777777781</v>
      </c>
      <c r="AP779" s="442" t="str">
        <f t="shared" ref="AP779:AP842" si="559">TEXT(AO779,"MM/DD/YYYY HH:MM")&amp;"-&gt;"&amp;J779</f>
        <v>11/26/2017 09:40-&gt;Hillel - Basketball Out</v>
      </c>
      <c r="AQ779" s="372">
        <f t="shared" ref="AQ779:AQ842" si="560">IF(AM779="not schedulled", 0,COUNTIF($AP$11:$AP$1051,AP779))</f>
        <v>1</v>
      </c>
      <c r="AR779" s="442" t="str">
        <f t="shared" ref="AR779:AR842" si="561">IFERROR(VLOOKUP(L779,teams_table,3,FALSE),"")</f>
        <v>USA1</v>
      </c>
      <c r="AS779" s="442" t="str">
        <f t="shared" ref="AS779:AS842" si="562">IFERROR(VLOOKUP(N779,teams_table,3,FALSE),"")</f>
        <v>COL2</v>
      </c>
      <c r="AT779" s="435" t="str">
        <f t="shared" ref="AT779:AT842" si="563">IF(AR779&amp;AS779&lt;&gt;"",AR779&amp;"-"&amp;AS779,"")</f>
        <v>USA1-COL2</v>
      </c>
      <c r="AU779" s="435" t="str">
        <f t="shared" ref="AU779:AU842" si="564">IF(AT779="","",AT779&amp;" ")&amp;IF(C779="final",AW779&amp;" Final","")&amp;IF(C779="semi-final",AW779&amp;" Semi-Final","")&amp;IF(C779="Tournament",AW779&amp;" Tournament","")</f>
        <v>USA1-COL2 Basketball Semi-Final</v>
      </c>
      <c r="AV779" s="435" t="str">
        <f t="shared" ref="AV779:AV842" si="565">IFERROR(VLOOKUP(B779,events_table,2,FALSE),"")</f>
        <v>CHILDREN D MALE</v>
      </c>
      <c r="AW779" s="435" t="str">
        <f t="shared" ref="AW779:AW842" si="566">IFERROR(VLOOKUP(B779,events_table,3,0),"")</f>
        <v>Basketball</v>
      </c>
      <c r="AX779" s="449">
        <f t="shared" ref="AX779:AX842" si="567">A779</f>
        <v>777</v>
      </c>
      <c r="AY779" s="442" t="str">
        <f t="shared" ref="AY779:AY842" si="568">L779&amp;"-&gt;"&amp;N779</f>
        <v>CHILD DM - USA 1-&gt;CHILD DM - COL 2</v>
      </c>
      <c r="AZ779" s="442" t="str">
        <f t="shared" ref="AZ779:AZ842" si="569">TEXT(AO779,"MM/DD/YYYY HH:MM")&amp;"-&gt;"&amp;L779</f>
        <v>11/26/2017 09:40-&gt;CHILD DM - USA 1</v>
      </c>
      <c r="BA779" s="442" t="str">
        <f t="shared" ref="BA779:BA842" si="570">TEXT(AO779,"MM/DD/YYYY HH:MM")&amp;"-&gt;"&amp;N779</f>
        <v>11/26/2017 09:40-&gt;CHILD DM - COL 2</v>
      </c>
      <c r="BB779" s="372">
        <f t="shared" ref="BB779:BB842" si="571">IF(OR(AM779="not schedulled",AN779="schedulled no team"),0,COUNTIF($AZ$11:$BA$1051,AZ779))</f>
        <v>1</v>
      </c>
      <c r="BC779" s="372">
        <f t="shared" ref="BC779:BC842" si="572">IF(OR(AM779="not schedulled",AN779="schedulled no team"),0,COUNTIF($AZ$11:$BA$1051,BA779))</f>
        <v>1</v>
      </c>
      <c r="BD779" s="442" t="str">
        <f t="shared" ref="BD779:BD842" si="573">IF(OR(BB779&gt;1,BC779&gt;1),"conflict","no conflict")</f>
        <v>no conflict</v>
      </c>
      <c r="BE779" s="442"/>
      <c r="BF779" s="442" t="str">
        <f t="shared" ref="BF779:BF842" si="574">TEXT(AO779,"MM/DD/YYYY HH:MM")&amp;"-&gt;"&amp;L779</f>
        <v>11/26/2017 09:40-&gt;CHILD DM - USA 1</v>
      </c>
      <c r="BG779" s="442" t="str">
        <f t="shared" ref="BG779:BG842" si="575">TEXT(AO779,"MM/DD/YYYY HH:MM")&amp;"-&gt;"&amp;N779</f>
        <v>11/26/2017 09:40-&gt;CHILD DM - COL 2</v>
      </c>
      <c r="BH779" s="442" t="str">
        <f t="shared" ref="BH779:BH842" si="576">TEXT(AO779,"MM/DD/YYYY HH:MM")&amp;"-&gt;"&amp;J779</f>
        <v>11/26/2017 09:40-&gt;Hillel - Basketball Out</v>
      </c>
      <c r="BI779" s="442" t="str">
        <f t="shared" ref="BI779:BI842" si="577">AW779&amp; " in "&amp;J779 &amp;" ("&amp;AT779&amp;")"</f>
        <v>Basketball in Hillel - Basketball Out (USA1-COL2)</v>
      </c>
      <c r="BJ779" s="442" t="str">
        <f t="shared" ref="BJ779:BJ842" si="578">B779 &amp;"-- " &amp;L779&amp;" vs. "&amp;N779</f>
        <v>Ch D Male Basketball-- CHILD DM - USA 1 vs. CHILD DM - COL 2</v>
      </c>
      <c r="BK779" s="442" t="str">
        <f t="shared" ref="BK779:BK842" si="579">AW779</f>
        <v>Basketball</v>
      </c>
      <c r="BL779" s="442" t="str">
        <f t="shared" ref="BL779:BL842" si="580">L779</f>
        <v>CHILD DM - USA 1</v>
      </c>
      <c r="BM779" s="442" t="str">
        <f t="shared" ref="BM779:BM842" si="581">N779</f>
        <v>CHILD DM - COL 2</v>
      </c>
      <c r="BN779" s="442" t="str">
        <f t="shared" ref="BN779:BN842" si="582">C779</f>
        <v>Semi-Final</v>
      </c>
      <c r="BO779" s="442"/>
      <c r="BP779" s="442" t="str">
        <f t="shared" ref="BP779:BP842" si="583">IF(OR(NOT(ISERR(SEARCH("final",C779))),NOT(ISERR(SEARCH("tournament",C779)))),TEXT(AO779,"MM/DD/YYYY HH:MM")&amp;"-&gt;"&amp;AV779,IF(B779="","no game","no t, f, or sf"))</f>
        <v>11/26/2017 09:40-&gt;CHILDREN D MALE</v>
      </c>
      <c r="BQ779" s="442" t="str">
        <f t="shared" ref="BQ779:BQ842" si="584">IF(BP779&lt;&gt;"no t, f, or sf",AW779&amp;" "&amp;C779&amp;" in "&amp;J779,"")</f>
        <v>Basketball Semi-Final in Hillel - Basketball Out</v>
      </c>
      <c r="BR779" s="442"/>
      <c r="BS779" s="442"/>
      <c r="BT779" s="442"/>
      <c r="BU779" s="442"/>
      <c r="BV779" s="442"/>
      <c r="BW779" s="442"/>
      <c r="BX779" s="442"/>
      <c r="BY779" s="442"/>
      <c r="BZ779" s="442"/>
      <c r="CA779" s="442"/>
      <c r="CB779" s="442"/>
      <c r="CC779" s="442"/>
      <c r="CD779" s="442"/>
      <c r="CE779" s="442"/>
    </row>
    <row r="780" spans="1:83" ht="15" customHeight="1" x14ac:dyDescent="0.2">
      <c r="A780" s="376">
        <v>778</v>
      </c>
      <c r="B780" s="444" t="s">
        <v>55</v>
      </c>
      <c r="C780" s="315" t="s">
        <v>771</v>
      </c>
      <c r="D780" s="378">
        <v>1</v>
      </c>
      <c r="E780" s="378">
        <v>1</v>
      </c>
      <c r="F780" s="315" t="s">
        <v>770</v>
      </c>
      <c r="G780" s="316">
        <v>43065</v>
      </c>
      <c r="H780" s="454">
        <v>0.64583333333333337</v>
      </c>
      <c r="I780" s="325" t="s">
        <v>770</v>
      </c>
      <c r="J780" s="315" t="s">
        <v>705</v>
      </c>
      <c r="K780" s="315"/>
      <c r="L780" s="462" t="s">
        <v>593</v>
      </c>
      <c r="M780"/>
      <c r="N780" s="462" t="s">
        <v>601</v>
      </c>
      <c r="O780" s="153" t="str">
        <f>IF(L780&lt;&gt;"",IFERROR(VLOOKUP(B780&amp;L780,Pools!$A$2:$D$130,3,FALSE),""),"")</f>
        <v/>
      </c>
      <c r="P780" s="388">
        <v>6</v>
      </c>
      <c r="Q780" s="388">
        <v>20</v>
      </c>
      <c r="R780" s="306" t="str">
        <f t="shared" si="540"/>
        <v>6-20</v>
      </c>
      <c r="S780" s="153"/>
      <c r="T780" s="148" t="str">
        <f t="shared" si="541"/>
        <v>Completed</v>
      </c>
      <c r="U780" s="153"/>
      <c r="V780" s="153"/>
      <c r="W780" s="387">
        <f t="shared" si="542"/>
        <v>-14</v>
      </c>
      <c r="X780" s="387">
        <f t="shared" si="543"/>
        <v>14</v>
      </c>
      <c r="Y780" s="301">
        <f t="shared" si="544"/>
        <v>0</v>
      </c>
      <c r="Z780" s="301">
        <f t="shared" si="545"/>
        <v>2</v>
      </c>
      <c r="AA780" s="323" t="str">
        <f>CONCATENATE("                x[team1,team2,sport,'",IF(OR(I780="x",I780=""),VLOOKUP('Schedule from TM'!J781,Tables!$P$3:$Q$33,2,FALSE),'Schedule from TM'!I781),",",J780,"','",IF(OR(F780="x",F780=""),VLOOKUP('Schedule from TM'!G781,Tables!$U$3:$V$14,2,FALSE),'Schedule from TM'!F781),",",TEXT(G780,"mm/dd/yyyy"),"','",TEXT(H780,"h:mm:ss AM/PM"),"'].ub=0.0      #",B780)</f>
        <v xml:space="preserve">                x[team1,team2,sport,'21,Hillel - Field 3','21,11/26/2017','3:30:00 PM'].ub=0.0      #Ch D Male Flag Football</v>
      </c>
      <c r="AB780" s="301" t="str">
        <f t="shared" si="546"/>
        <v>,,Ch D Male Flag Football,,1,CHILD DM - COL 1</v>
      </c>
      <c r="AC780" s="153" t="str">
        <f t="shared" si="547"/>
        <v>Ch D Male Flag FootballCHILD DM - COL 1</v>
      </c>
      <c r="AD780" s="301" t="str">
        <f t="shared" si="548"/>
        <v>,,Ch D Male Flag Football,,1,CHILD DM - MEX</v>
      </c>
      <c r="AE780" s="153" t="str">
        <f t="shared" si="549"/>
        <v>Ch D Male Flag FootballCHILD DM - MEX</v>
      </c>
      <c r="AF780" s="383">
        <f t="shared" si="550"/>
        <v>0</v>
      </c>
      <c r="AG780" s="383">
        <f t="shared" si="551"/>
        <v>1</v>
      </c>
      <c r="AH780" s="383">
        <f t="shared" si="552"/>
        <v>0</v>
      </c>
      <c r="AI780" s="383">
        <f t="shared" si="553"/>
        <v>1</v>
      </c>
      <c r="AJ780" s="383">
        <f t="shared" si="554"/>
        <v>0</v>
      </c>
      <c r="AK780" s="383">
        <f t="shared" si="555"/>
        <v>0</v>
      </c>
      <c r="AM780" s="148" t="str">
        <f t="shared" si="556"/>
        <v>Schedulled</v>
      </c>
      <c r="AN780" s="148" t="str">
        <f t="shared" si="557"/>
        <v/>
      </c>
      <c r="AO780" s="156">
        <f t="shared" si="558"/>
        <v>43065.645833333336</v>
      </c>
      <c r="AP780" s="148" t="str">
        <f t="shared" si="559"/>
        <v>11/26/2017 15:30-&gt;Hillel - Field 3</v>
      </c>
      <c r="AQ780" s="374">
        <f t="shared" si="560"/>
        <v>1</v>
      </c>
      <c r="AR780" s="148" t="str">
        <f t="shared" si="561"/>
        <v>COL1</v>
      </c>
      <c r="AS780" s="148" t="str">
        <f t="shared" si="562"/>
        <v>MEX</v>
      </c>
      <c r="AT780" s="157" t="str">
        <f t="shared" si="563"/>
        <v>COL1-MEX</v>
      </c>
      <c r="AU780" s="157" t="str">
        <f t="shared" si="564"/>
        <v>COL1-MEX Flag Football Semi-Final</v>
      </c>
      <c r="AV780" s="157" t="str">
        <f t="shared" si="565"/>
        <v>CHILDREN D MALE</v>
      </c>
      <c r="AW780" s="157" t="str">
        <f t="shared" si="566"/>
        <v>Flag Football</v>
      </c>
      <c r="AX780" s="376">
        <f t="shared" si="567"/>
        <v>778</v>
      </c>
      <c r="AY780" s="148" t="str">
        <f t="shared" si="568"/>
        <v>CHILD DM - COL 1-&gt;CHILD DM - MEX</v>
      </c>
      <c r="AZ780" s="148" t="str">
        <f t="shared" si="569"/>
        <v>11/26/2017 15:30-&gt;CHILD DM - COL 1</v>
      </c>
      <c r="BA780" s="148" t="str">
        <f t="shared" si="570"/>
        <v>11/26/2017 15:30-&gt;CHILD DM - MEX</v>
      </c>
      <c r="BB780" s="374">
        <f t="shared" si="571"/>
        <v>1</v>
      </c>
      <c r="BC780" s="374">
        <f t="shared" si="572"/>
        <v>1</v>
      </c>
      <c r="BD780" s="148" t="str">
        <f t="shared" si="573"/>
        <v>no conflict</v>
      </c>
      <c r="BF780" s="148" t="str">
        <f t="shared" si="574"/>
        <v>11/26/2017 15:30-&gt;CHILD DM - COL 1</v>
      </c>
      <c r="BG780" s="148" t="str">
        <f t="shared" si="575"/>
        <v>11/26/2017 15:30-&gt;CHILD DM - MEX</v>
      </c>
      <c r="BH780" s="148" t="str">
        <f t="shared" si="576"/>
        <v>11/26/2017 15:30-&gt;Hillel - Field 3</v>
      </c>
      <c r="BI780" s="148" t="str">
        <f t="shared" si="577"/>
        <v>Flag Football in Hillel - Field 3 (COL1-MEX)</v>
      </c>
      <c r="BJ780" s="148" t="str">
        <f t="shared" si="578"/>
        <v>Ch D Male Flag Football-- CHILD DM - COL 1 vs. CHILD DM - MEX</v>
      </c>
      <c r="BK780" s="148" t="str">
        <f t="shared" si="579"/>
        <v>Flag Football</v>
      </c>
      <c r="BL780" s="148" t="str">
        <f t="shared" si="580"/>
        <v>CHILD DM - COL 1</v>
      </c>
      <c r="BM780" s="148" t="str">
        <f t="shared" si="581"/>
        <v>CHILD DM - MEX</v>
      </c>
      <c r="BN780" s="148" t="str">
        <f t="shared" si="582"/>
        <v>Semi-Final</v>
      </c>
      <c r="BP780" s="148" t="str">
        <f t="shared" si="583"/>
        <v>11/26/2017 15:30-&gt;CHILDREN D MALE</v>
      </c>
      <c r="BQ780" s="148" t="str">
        <f t="shared" si="584"/>
        <v>Flag Football Semi-Final in Hillel - Field 3</v>
      </c>
    </row>
    <row r="781" spans="1:83" ht="15" customHeight="1" x14ac:dyDescent="0.2">
      <c r="A781" s="376">
        <v>779</v>
      </c>
      <c r="B781" s="444" t="s">
        <v>55</v>
      </c>
      <c r="C781" s="315" t="s">
        <v>771</v>
      </c>
      <c r="D781" s="378">
        <v>1</v>
      </c>
      <c r="E781" s="378">
        <v>1</v>
      </c>
      <c r="F781" s="315" t="s">
        <v>770</v>
      </c>
      <c r="G781" s="316">
        <v>43065</v>
      </c>
      <c r="H781" s="454">
        <v>0.64583333333333337</v>
      </c>
      <c r="I781" s="325" t="s">
        <v>770</v>
      </c>
      <c r="J781" s="315" t="s">
        <v>706</v>
      </c>
      <c r="K781" s="315"/>
      <c r="L781" s="462" t="s">
        <v>599</v>
      </c>
      <c r="M781"/>
      <c r="N781" s="462" t="s">
        <v>602</v>
      </c>
      <c r="O781" s="153" t="str">
        <f>IF(L781&lt;&gt;"",IFERROR(VLOOKUP(B781&amp;L781,Pools!$A$2:$D$130,3,FALSE),""),"")</f>
        <v/>
      </c>
      <c r="P781" s="388">
        <v>13</v>
      </c>
      <c r="Q781" s="388">
        <v>25</v>
      </c>
      <c r="R781" s="306" t="str">
        <f t="shared" si="540"/>
        <v>13-25</v>
      </c>
      <c r="S781" s="153"/>
      <c r="T781" s="148" t="str">
        <f t="shared" si="541"/>
        <v>Completed</v>
      </c>
      <c r="U781" s="153"/>
      <c r="V781" s="153"/>
      <c r="W781" s="387">
        <f t="shared" si="542"/>
        <v>-12</v>
      </c>
      <c r="X781" s="387">
        <f t="shared" si="543"/>
        <v>12</v>
      </c>
      <c r="Y781" s="301">
        <f t="shared" si="544"/>
        <v>0</v>
      </c>
      <c r="Z781" s="301">
        <f t="shared" si="545"/>
        <v>2</v>
      </c>
      <c r="AA781" s="323" t="str">
        <f>CONCATENATE("                x[team1,team2,sport,'",IF(OR(I781="x",I781=""),VLOOKUP('Schedule from TM'!J782,Tables!$P$3:$Q$33,2,FALSE),'Schedule from TM'!I782),",",J781,"','",IF(OR(F781="x",F781=""),VLOOKUP('Schedule from TM'!G782,Tables!$U$3:$V$14,2,FALSE),'Schedule from TM'!F782),",",TEXT(G781,"mm/dd/yyyy"),"','",TEXT(H781,"h:mm:ss AM/PM"),"'].ub=0.0      #",B781)</f>
        <v xml:space="preserve">                x[team1,team2,sport,'21,Hillel - Field 4','21,11/26/2017','3:30:00 PM'].ub=0.0      #Ch D Male Flag Football</v>
      </c>
      <c r="AB781" s="301" t="str">
        <f t="shared" si="546"/>
        <v>,,Ch D Male Flag Football,,1,CHILD DM - COL 2</v>
      </c>
      <c r="AC781" s="153" t="str">
        <f t="shared" si="547"/>
        <v>Ch D Male Flag FootballCHILD DM - COL 2</v>
      </c>
      <c r="AD781" s="301" t="str">
        <f t="shared" si="548"/>
        <v>,,Ch D Male Flag Football,,1,CHILD DM - VEN 2</v>
      </c>
      <c r="AE781" s="153" t="str">
        <f t="shared" si="549"/>
        <v>Ch D Male Flag FootballCHILD DM - VEN 2</v>
      </c>
      <c r="AF781" s="383">
        <f t="shared" si="550"/>
        <v>0</v>
      </c>
      <c r="AG781" s="383">
        <f t="shared" si="551"/>
        <v>1</v>
      </c>
      <c r="AH781" s="383">
        <f t="shared" si="552"/>
        <v>0</v>
      </c>
      <c r="AI781" s="383">
        <f t="shared" si="553"/>
        <v>1</v>
      </c>
      <c r="AJ781" s="383">
        <f t="shared" si="554"/>
        <v>0</v>
      </c>
      <c r="AK781" s="383">
        <f t="shared" si="555"/>
        <v>0</v>
      </c>
      <c r="AM781" s="148" t="str">
        <f t="shared" si="556"/>
        <v>Schedulled</v>
      </c>
      <c r="AN781" s="148" t="str">
        <f t="shared" si="557"/>
        <v/>
      </c>
      <c r="AO781" s="156">
        <f t="shared" si="558"/>
        <v>43065.645833333336</v>
      </c>
      <c r="AP781" s="148" t="str">
        <f t="shared" si="559"/>
        <v>11/26/2017 15:30-&gt;Hillel - Field 4</v>
      </c>
      <c r="AQ781" s="374">
        <f t="shared" si="560"/>
        <v>1</v>
      </c>
      <c r="AR781" s="148" t="str">
        <f t="shared" si="561"/>
        <v>COL2</v>
      </c>
      <c r="AS781" s="148" t="str">
        <f t="shared" si="562"/>
        <v>VEN2</v>
      </c>
      <c r="AT781" s="157" t="str">
        <f t="shared" si="563"/>
        <v>COL2-VEN2</v>
      </c>
      <c r="AU781" s="157" t="str">
        <f t="shared" si="564"/>
        <v>COL2-VEN2 Flag Football Semi-Final</v>
      </c>
      <c r="AV781" s="157" t="str">
        <f t="shared" si="565"/>
        <v>CHILDREN D MALE</v>
      </c>
      <c r="AW781" s="157" t="str">
        <f t="shared" si="566"/>
        <v>Flag Football</v>
      </c>
      <c r="AX781" s="376">
        <f t="shared" si="567"/>
        <v>779</v>
      </c>
      <c r="AY781" s="148" t="str">
        <f t="shared" si="568"/>
        <v>CHILD DM - COL 2-&gt;CHILD DM - VEN 2</v>
      </c>
      <c r="AZ781" s="148" t="str">
        <f t="shared" si="569"/>
        <v>11/26/2017 15:30-&gt;CHILD DM - COL 2</v>
      </c>
      <c r="BA781" s="148" t="str">
        <f t="shared" si="570"/>
        <v>11/26/2017 15:30-&gt;CHILD DM - VEN 2</v>
      </c>
      <c r="BB781" s="374">
        <f t="shared" si="571"/>
        <v>1</v>
      </c>
      <c r="BC781" s="374">
        <f t="shared" si="572"/>
        <v>1</v>
      </c>
      <c r="BD781" s="148" t="str">
        <f t="shared" si="573"/>
        <v>no conflict</v>
      </c>
      <c r="BF781" s="148" t="str">
        <f t="shared" si="574"/>
        <v>11/26/2017 15:30-&gt;CHILD DM - COL 2</v>
      </c>
      <c r="BG781" s="148" t="str">
        <f t="shared" si="575"/>
        <v>11/26/2017 15:30-&gt;CHILD DM - VEN 2</v>
      </c>
      <c r="BH781" s="148" t="str">
        <f t="shared" si="576"/>
        <v>11/26/2017 15:30-&gt;Hillel - Field 4</v>
      </c>
      <c r="BI781" s="148" t="str">
        <f t="shared" si="577"/>
        <v>Flag Football in Hillel - Field 4 (COL2-VEN2)</v>
      </c>
      <c r="BJ781" s="148" t="str">
        <f t="shared" si="578"/>
        <v>Ch D Male Flag Football-- CHILD DM - COL 2 vs. CHILD DM - VEN 2</v>
      </c>
      <c r="BK781" s="148" t="str">
        <f t="shared" si="579"/>
        <v>Flag Football</v>
      </c>
      <c r="BL781" s="148" t="str">
        <f t="shared" si="580"/>
        <v>CHILD DM - COL 2</v>
      </c>
      <c r="BM781" s="148" t="str">
        <f t="shared" si="581"/>
        <v>CHILD DM - VEN 2</v>
      </c>
      <c r="BN781" s="148" t="str">
        <f t="shared" si="582"/>
        <v>Semi-Final</v>
      </c>
      <c r="BP781" s="148" t="str">
        <f t="shared" si="583"/>
        <v>11/26/2017 15:30-&gt;CHILDREN D MALE</v>
      </c>
      <c r="BQ781" s="148" t="str">
        <f t="shared" si="584"/>
        <v>Flag Football Semi-Final in Hillel - Field 4</v>
      </c>
    </row>
    <row r="782" spans="1:83" ht="15" customHeight="1" x14ac:dyDescent="0.2">
      <c r="A782" s="376">
        <v>780</v>
      </c>
      <c r="B782" s="444" t="s">
        <v>57</v>
      </c>
      <c r="C782" s="444" t="s">
        <v>771</v>
      </c>
      <c r="D782" s="451">
        <v>1</v>
      </c>
      <c r="E782" s="451">
        <v>1</v>
      </c>
      <c r="F782" s="315" t="s">
        <v>770</v>
      </c>
      <c r="G782" s="445">
        <v>43065</v>
      </c>
      <c r="H782" s="454">
        <v>0.4375</v>
      </c>
      <c r="I782" s="325" t="s">
        <v>770</v>
      </c>
      <c r="J782" s="444" t="s">
        <v>703</v>
      </c>
      <c r="K782" s="444"/>
      <c r="L782" s="462" t="s">
        <v>594</v>
      </c>
      <c r="M782"/>
      <c r="N782" s="462" t="s">
        <v>601</v>
      </c>
      <c r="O782" s="153" t="str">
        <f>IF(L782&lt;&gt;"",IFERROR(VLOOKUP(B782&amp;L782,Pools!$A$2:$D$130,3,FALSE),""),"")</f>
        <v/>
      </c>
      <c r="P782" s="388">
        <v>10</v>
      </c>
      <c r="Q782" s="388">
        <v>9</v>
      </c>
      <c r="R782" s="306" t="str">
        <f t="shared" si="540"/>
        <v>10-9</v>
      </c>
      <c r="S782" s="153"/>
      <c r="T782" s="148" t="str">
        <f t="shared" si="541"/>
        <v>Completed</v>
      </c>
      <c r="U782" s="153"/>
      <c r="V782" s="153"/>
      <c r="W782" s="387">
        <f t="shared" si="542"/>
        <v>1</v>
      </c>
      <c r="X782" s="387">
        <f t="shared" si="543"/>
        <v>-1</v>
      </c>
      <c r="Y782" s="301">
        <f t="shared" si="544"/>
        <v>2</v>
      </c>
      <c r="Z782" s="301">
        <f t="shared" si="545"/>
        <v>0</v>
      </c>
      <c r="AA782" s="323" t="str">
        <f>CONCATENATE("                x[team1,team2,sport,'",IF(OR(I782="x",I782=""),VLOOKUP('Schedule from TM'!J783,Tables!$P$3:$Q$33,2,FALSE),'Schedule from TM'!I783),",",J782,"','",IF(OR(F782="x",F782=""),VLOOKUP('Schedule from TM'!G783,Tables!$U$3:$V$14,2,FALSE),'Schedule from TM'!F783),",",TEXT(G782,"mm/dd/yyyy"),"','",TEXT(H782,"h:mm:ss AM/PM"),"'].ub=0.0      #",B782)</f>
        <v xml:space="preserve">                x[team1,team2,sport,'21,Hillel - Field 1','21,11/26/2017','10:30:00 AM'].ub=0.0      #Ch D Male Kickball</v>
      </c>
      <c r="AB782" s="301" t="str">
        <f t="shared" si="546"/>
        <v>,,Ch D Male Kickball,,1,CHILD DM - PER</v>
      </c>
      <c r="AC782" s="153" t="str">
        <f t="shared" si="547"/>
        <v>Ch D Male KickballCHILD DM - PER</v>
      </c>
      <c r="AD782" s="301" t="str">
        <f t="shared" si="548"/>
        <v>,,Ch D Male Kickball,,1,CHILD DM - MEX</v>
      </c>
      <c r="AE782" s="153" t="str">
        <f t="shared" si="549"/>
        <v>Ch D Male KickballCHILD DM - MEX</v>
      </c>
      <c r="AF782" s="383">
        <f t="shared" si="550"/>
        <v>1</v>
      </c>
      <c r="AG782" s="383">
        <f t="shared" si="551"/>
        <v>0</v>
      </c>
      <c r="AH782" s="383">
        <f t="shared" si="552"/>
        <v>0</v>
      </c>
      <c r="AI782" s="383">
        <f t="shared" si="553"/>
        <v>0</v>
      </c>
      <c r="AJ782" s="383">
        <f t="shared" si="554"/>
        <v>1</v>
      </c>
      <c r="AK782" s="383">
        <f t="shared" si="555"/>
        <v>0</v>
      </c>
      <c r="AM782" s="148" t="str">
        <f t="shared" si="556"/>
        <v>Schedulled</v>
      </c>
      <c r="AN782" s="148" t="str">
        <f t="shared" si="557"/>
        <v/>
      </c>
      <c r="AO782" s="156">
        <f t="shared" si="558"/>
        <v>43065.4375</v>
      </c>
      <c r="AP782" s="148" t="str">
        <f t="shared" si="559"/>
        <v>11/26/2017 10:30-&gt;Hillel - Field 1</v>
      </c>
      <c r="AQ782" s="374">
        <f t="shared" si="560"/>
        <v>1</v>
      </c>
      <c r="AR782" s="148" t="str">
        <f t="shared" si="561"/>
        <v>PER</v>
      </c>
      <c r="AS782" s="148" t="str">
        <f t="shared" si="562"/>
        <v>MEX</v>
      </c>
      <c r="AT782" s="157" t="str">
        <f t="shared" si="563"/>
        <v>PER-MEX</v>
      </c>
      <c r="AU782" s="157" t="str">
        <f t="shared" si="564"/>
        <v>PER-MEX Kickball Semi-Final</v>
      </c>
      <c r="AV782" s="157" t="str">
        <f t="shared" si="565"/>
        <v>CHILDREN D MALE</v>
      </c>
      <c r="AW782" s="157" t="str">
        <f t="shared" si="566"/>
        <v>Kickball</v>
      </c>
      <c r="AX782" s="376">
        <f t="shared" si="567"/>
        <v>780</v>
      </c>
      <c r="AY782" s="148" t="str">
        <f t="shared" si="568"/>
        <v>CHILD DM - PER-&gt;CHILD DM - MEX</v>
      </c>
      <c r="AZ782" s="148" t="str">
        <f t="shared" si="569"/>
        <v>11/26/2017 10:30-&gt;CHILD DM - PER</v>
      </c>
      <c r="BA782" s="148" t="str">
        <f t="shared" si="570"/>
        <v>11/26/2017 10:30-&gt;CHILD DM - MEX</v>
      </c>
      <c r="BB782" s="374">
        <f t="shared" si="571"/>
        <v>1</v>
      </c>
      <c r="BC782" s="374">
        <f t="shared" si="572"/>
        <v>1</v>
      </c>
      <c r="BD782" s="148" t="str">
        <f t="shared" si="573"/>
        <v>no conflict</v>
      </c>
      <c r="BF782" s="148" t="str">
        <f t="shared" si="574"/>
        <v>11/26/2017 10:30-&gt;CHILD DM - PER</v>
      </c>
      <c r="BG782" s="148" t="str">
        <f t="shared" si="575"/>
        <v>11/26/2017 10:30-&gt;CHILD DM - MEX</v>
      </c>
      <c r="BH782" s="148" t="str">
        <f t="shared" si="576"/>
        <v>11/26/2017 10:30-&gt;Hillel - Field 1</v>
      </c>
      <c r="BI782" s="148" t="str">
        <f t="shared" si="577"/>
        <v>Kickball in Hillel - Field 1 (PER-MEX)</v>
      </c>
      <c r="BJ782" s="148" t="str">
        <f t="shared" si="578"/>
        <v>Ch D Male Kickball-- CHILD DM - PER vs. CHILD DM - MEX</v>
      </c>
      <c r="BK782" s="148" t="str">
        <f t="shared" si="579"/>
        <v>Kickball</v>
      </c>
      <c r="BL782" s="148" t="str">
        <f t="shared" si="580"/>
        <v>CHILD DM - PER</v>
      </c>
      <c r="BM782" s="148" t="str">
        <f t="shared" si="581"/>
        <v>CHILD DM - MEX</v>
      </c>
      <c r="BN782" s="148" t="str">
        <f t="shared" si="582"/>
        <v>Semi-Final</v>
      </c>
      <c r="BP782" s="148" t="str">
        <f t="shared" si="583"/>
        <v>11/26/2017 10:30-&gt;CHILDREN D MALE</v>
      </c>
      <c r="BQ782" s="148" t="str">
        <f t="shared" si="584"/>
        <v>Kickball Semi-Final in Hillel - Field 1</v>
      </c>
    </row>
    <row r="783" spans="1:83" ht="15" customHeight="1" x14ac:dyDescent="0.2">
      <c r="A783" s="376">
        <v>781</v>
      </c>
      <c r="B783" s="444" t="s">
        <v>57</v>
      </c>
      <c r="C783" s="315" t="s">
        <v>771</v>
      </c>
      <c r="D783" s="378">
        <v>1</v>
      </c>
      <c r="E783" s="378">
        <v>1</v>
      </c>
      <c r="F783" s="315" t="s">
        <v>770</v>
      </c>
      <c r="G783" s="316">
        <v>43065</v>
      </c>
      <c r="H783" s="454">
        <v>0.4375</v>
      </c>
      <c r="I783" s="325" t="s">
        <v>770</v>
      </c>
      <c r="J783" s="315" t="s">
        <v>704</v>
      </c>
      <c r="K783" s="315"/>
      <c r="L783" s="462" t="s">
        <v>592</v>
      </c>
      <c r="M783"/>
      <c r="N783" s="462" t="s">
        <v>602</v>
      </c>
      <c r="O783" s="153" t="str">
        <f>IF(L783&lt;&gt;"",IFERROR(VLOOKUP(B783&amp;L783,Pools!$A$2:$D$130,3,FALSE),""),"")</f>
        <v/>
      </c>
      <c r="P783" s="388">
        <v>14</v>
      </c>
      <c r="Q783" s="388">
        <v>6</v>
      </c>
      <c r="R783" s="306" t="str">
        <f t="shared" si="540"/>
        <v>14-6</v>
      </c>
      <c r="S783" s="153"/>
      <c r="T783" s="148" t="str">
        <f t="shared" si="541"/>
        <v>Completed</v>
      </c>
      <c r="U783" s="153"/>
      <c r="V783" s="153"/>
      <c r="W783" s="387">
        <f t="shared" si="542"/>
        <v>5</v>
      </c>
      <c r="X783" s="387">
        <f t="shared" si="543"/>
        <v>-5</v>
      </c>
      <c r="Y783" s="301">
        <f t="shared" si="544"/>
        <v>2</v>
      </c>
      <c r="Z783" s="301">
        <f t="shared" si="545"/>
        <v>0</v>
      </c>
      <c r="AA783" s="323" t="str">
        <f>CONCATENATE("                x[team1,team2,sport,'",IF(OR(I783="x",I783=""),VLOOKUP('Schedule from TM'!J784,Tables!$P$3:$Q$33,2,FALSE),'Schedule from TM'!I784),",",J783,"','",IF(OR(F783="x",F783=""),VLOOKUP('Schedule from TM'!G784,Tables!$U$3:$V$14,2,FALSE),'Schedule from TM'!F784),",",TEXT(G783,"mm/dd/yyyy"),"','",TEXT(H783,"h:mm:ss AM/PM"),"'].ub=0.0      #",B783)</f>
        <v xml:space="preserve">                x[team1,team2,sport,'11,Hillel - Field 2','21,11/26/2017','10:30:00 AM'].ub=0.0      #Ch D Male Kickball</v>
      </c>
      <c r="AB783" s="301" t="str">
        <f t="shared" si="546"/>
        <v>,,Ch D Male Kickball,,1,CHILD DM - ARG 1</v>
      </c>
      <c r="AC783" s="153" t="str">
        <f t="shared" si="547"/>
        <v>Ch D Male KickballCHILD DM - ARG 1</v>
      </c>
      <c r="AD783" s="301" t="str">
        <f t="shared" si="548"/>
        <v>,,Ch D Male Kickball,,1,CHILD DM - VEN 2</v>
      </c>
      <c r="AE783" s="153" t="str">
        <f t="shared" si="549"/>
        <v>Ch D Male KickballCHILD DM - VEN 2</v>
      </c>
      <c r="AF783" s="383">
        <f t="shared" si="550"/>
        <v>1</v>
      </c>
      <c r="AG783" s="383">
        <f t="shared" si="551"/>
        <v>0</v>
      </c>
      <c r="AH783" s="383">
        <f t="shared" si="552"/>
        <v>0</v>
      </c>
      <c r="AI783" s="383">
        <f t="shared" si="553"/>
        <v>0</v>
      </c>
      <c r="AJ783" s="383">
        <f t="shared" si="554"/>
        <v>1</v>
      </c>
      <c r="AK783" s="383">
        <f t="shared" si="555"/>
        <v>0</v>
      </c>
      <c r="AM783" s="148" t="str">
        <f t="shared" si="556"/>
        <v>Schedulled</v>
      </c>
      <c r="AN783" s="148" t="str">
        <f t="shared" si="557"/>
        <v/>
      </c>
      <c r="AO783" s="156">
        <f t="shared" si="558"/>
        <v>43065.4375</v>
      </c>
      <c r="AP783" s="148" t="str">
        <f t="shared" si="559"/>
        <v>11/26/2017 10:30-&gt;Hillel - Field 2</v>
      </c>
      <c r="AQ783" s="374">
        <f t="shared" si="560"/>
        <v>1</v>
      </c>
      <c r="AR783" s="148" t="str">
        <f t="shared" si="561"/>
        <v>ARG1</v>
      </c>
      <c r="AS783" s="148" t="str">
        <f t="shared" si="562"/>
        <v>VEN2</v>
      </c>
      <c r="AT783" s="157" t="str">
        <f t="shared" si="563"/>
        <v>ARG1-VEN2</v>
      </c>
      <c r="AU783" s="157" t="str">
        <f t="shared" si="564"/>
        <v>ARG1-VEN2 Kickball Semi-Final</v>
      </c>
      <c r="AV783" s="157" t="str">
        <f t="shared" si="565"/>
        <v>CHILDREN D MALE</v>
      </c>
      <c r="AW783" s="157" t="str">
        <f t="shared" si="566"/>
        <v>Kickball</v>
      </c>
      <c r="AX783" s="376">
        <f t="shared" si="567"/>
        <v>781</v>
      </c>
      <c r="AY783" s="148" t="str">
        <f t="shared" si="568"/>
        <v>CHILD DM - ARG 1-&gt;CHILD DM - VEN 2</v>
      </c>
      <c r="AZ783" s="148" t="str">
        <f t="shared" si="569"/>
        <v>11/26/2017 10:30-&gt;CHILD DM - ARG 1</v>
      </c>
      <c r="BA783" s="148" t="str">
        <f t="shared" si="570"/>
        <v>11/26/2017 10:30-&gt;CHILD DM - VEN 2</v>
      </c>
      <c r="BB783" s="374">
        <f t="shared" si="571"/>
        <v>1</v>
      </c>
      <c r="BC783" s="374">
        <f t="shared" si="572"/>
        <v>1</v>
      </c>
      <c r="BD783" s="148" t="str">
        <f t="shared" si="573"/>
        <v>no conflict</v>
      </c>
      <c r="BF783" s="148" t="str">
        <f t="shared" si="574"/>
        <v>11/26/2017 10:30-&gt;CHILD DM - ARG 1</v>
      </c>
      <c r="BG783" s="148" t="str">
        <f t="shared" si="575"/>
        <v>11/26/2017 10:30-&gt;CHILD DM - VEN 2</v>
      </c>
      <c r="BH783" s="148" t="str">
        <f t="shared" si="576"/>
        <v>11/26/2017 10:30-&gt;Hillel - Field 2</v>
      </c>
      <c r="BI783" s="148" t="str">
        <f t="shared" si="577"/>
        <v>Kickball in Hillel - Field 2 (ARG1-VEN2)</v>
      </c>
      <c r="BJ783" s="148" t="str">
        <f t="shared" si="578"/>
        <v>Ch D Male Kickball-- CHILD DM - ARG 1 vs. CHILD DM - VEN 2</v>
      </c>
      <c r="BK783" s="148" t="str">
        <f t="shared" si="579"/>
        <v>Kickball</v>
      </c>
      <c r="BL783" s="148" t="str">
        <f t="shared" si="580"/>
        <v>CHILD DM - ARG 1</v>
      </c>
      <c r="BM783" s="148" t="str">
        <f t="shared" si="581"/>
        <v>CHILD DM - VEN 2</v>
      </c>
      <c r="BN783" s="148" t="str">
        <f t="shared" si="582"/>
        <v>Semi-Final</v>
      </c>
      <c r="BP783" s="148" t="str">
        <f t="shared" si="583"/>
        <v>11/26/2017 10:30-&gt;CHILDREN D MALE</v>
      </c>
      <c r="BQ783" s="148" t="str">
        <f t="shared" si="584"/>
        <v>Kickball Semi-Final in Hillel - Field 2</v>
      </c>
    </row>
    <row r="784" spans="1:83" ht="15" customHeight="1" x14ac:dyDescent="0.2">
      <c r="A784" s="376">
        <v>782</v>
      </c>
      <c r="B784" s="444" t="s">
        <v>53</v>
      </c>
      <c r="C784" s="444" t="s">
        <v>771</v>
      </c>
      <c r="D784" s="451">
        <v>1</v>
      </c>
      <c r="E784" s="451">
        <v>1</v>
      </c>
      <c r="F784" s="315" t="s">
        <v>770</v>
      </c>
      <c r="G784" s="445">
        <v>43065</v>
      </c>
      <c r="H784" s="454">
        <v>0.33333333333333331</v>
      </c>
      <c r="I784" s="325" t="s">
        <v>770</v>
      </c>
      <c r="J784" s="444" t="s">
        <v>692</v>
      </c>
      <c r="K784" s="444"/>
      <c r="L784" s="462" t="s">
        <v>601</v>
      </c>
      <c r="M784"/>
      <c r="N784" s="462" t="s">
        <v>602</v>
      </c>
      <c r="O784" s="153" t="str">
        <f>IF(L784&lt;&gt;"",IFERROR(VLOOKUP(B784&amp;L784,Pools!$A$2:$D$130,3,FALSE),""),"")</f>
        <v/>
      </c>
      <c r="P784" s="388">
        <v>4</v>
      </c>
      <c r="Q784" s="388">
        <v>3</v>
      </c>
      <c r="R784" s="306" t="str">
        <f t="shared" si="540"/>
        <v>4-3</v>
      </c>
      <c r="S784" s="153"/>
      <c r="T784" s="148" t="str">
        <f t="shared" si="541"/>
        <v>Completed</v>
      </c>
      <c r="U784" s="153"/>
      <c r="V784" s="153"/>
      <c r="W784" s="387">
        <f t="shared" si="542"/>
        <v>1</v>
      </c>
      <c r="X784" s="387">
        <f t="shared" si="543"/>
        <v>-1</v>
      </c>
      <c r="Y784" s="301">
        <f t="shared" si="544"/>
        <v>2</v>
      </c>
      <c r="Z784" s="301">
        <f t="shared" si="545"/>
        <v>0</v>
      </c>
      <c r="AA784" s="323" t="str">
        <f>CONCATENATE("                x[team1,team2,sport,'",IF(OR(I784="x",I784=""),VLOOKUP('Schedule from TM'!J785,Tables!$P$3:$Q$33,2,FALSE),'Schedule from TM'!I785),",",J784,"','",IF(OR(F784="x",F784=""),VLOOKUP('Schedule from TM'!G785,Tables!$U$3:$V$14,2,FALSE),'Schedule from TM'!F785),",",TEXT(G784,"mm/dd/yyyy"),"','",TEXT(H784,"h:mm:ss AM/PM"),"'].ub=0.0      #",B784)</f>
        <v xml:space="preserve">                x[team1,team2,sport,'11,JCC Back Field 3','21,11/26/2017','8:00:00 AM'].ub=0.0      #Ch D Male Mini Soccer</v>
      </c>
      <c r="AB784" s="301" t="str">
        <f t="shared" si="546"/>
        <v>,,Ch D Male Mini Soccer,,1,CHILD DM - MEX</v>
      </c>
      <c r="AC784" s="153" t="str">
        <f t="shared" si="547"/>
        <v>Ch D Male Mini SoccerCHILD DM - MEX</v>
      </c>
      <c r="AD784" s="301" t="str">
        <f t="shared" si="548"/>
        <v>,,Ch D Male Mini Soccer,,1,CHILD DM - VEN 2</v>
      </c>
      <c r="AE784" s="153" t="str">
        <f t="shared" si="549"/>
        <v>Ch D Male Mini SoccerCHILD DM - VEN 2</v>
      </c>
      <c r="AF784" s="383">
        <f t="shared" si="550"/>
        <v>1</v>
      </c>
      <c r="AG784" s="383">
        <f t="shared" si="551"/>
        <v>0</v>
      </c>
      <c r="AH784" s="383">
        <f t="shared" si="552"/>
        <v>0</v>
      </c>
      <c r="AI784" s="383">
        <f t="shared" si="553"/>
        <v>0</v>
      </c>
      <c r="AJ784" s="383">
        <f t="shared" si="554"/>
        <v>1</v>
      </c>
      <c r="AK784" s="383">
        <f t="shared" si="555"/>
        <v>0</v>
      </c>
      <c r="AM784" s="148" t="str">
        <f t="shared" si="556"/>
        <v>Schedulled</v>
      </c>
      <c r="AN784" s="148" t="str">
        <f t="shared" si="557"/>
        <v/>
      </c>
      <c r="AO784" s="156">
        <f t="shared" si="558"/>
        <v>43065.333333333336</v>
      </c>
      <c r="AP784" s="148" t="str">
        <f t="shared" si="559"/>
        <v>11/26/2017 08:00-&gt;JCC Back Field 3</v>
      </c>
      <c r="AQ784" s="374">
        <f t="shared" si="560"/>
        <v>1</v>
      </c>
      <c r="AR784" s="148" t="str">
        <f t="shared" si="561"/>
        <v>MEX</v>
      </c>
      <c r="AS784" s="148" t="str">
        <f t="shared" si="562"/>
        <v>VEN2</v>
      </c>
      <c r="AT784" s="157" t="str">
        <f t="shared" si="563"/>
        <v>MEX-VEN2</v>
      </c>
      <c r="AU784" s="157" t="str">
        <f t="shared" si="564"/>
        <v>MEX-VEN2 Soccer Semi-Final</v>
      </c>
      <c r="AV784" s="157" t="str">
        <f t="shared" si="565"/>
        <v>CHILDREN D MALE</v>
      </c>
      <c r="AW784" s="157" t="str">
        <f t="shared" si="566"/>
        <v>Soccer</v>
      </c>
      <c r="AX784" s="376">
        <f t="shared" si="567"/>
        <v>782</v>
      </c>
      <c r="AY784" s="148" t="str">
        <f t="shared" si="568"/>
        <v>CHILD DM - MEX-&gt;CHILD DM - VEN 2</v>
      </c>
      <c r="AZ784" s="148" t="str">
        <f t="shared" si="569"/>
        <v>11/26/2017 08:00-&gt;CHILD DM - MEX</v>
      </c>
      <c r="BA784" s="148" t="str">
        <f t="shared" si="570"/>
        <v>11/26/2017 08:00-&gt;CHILD DM - VEN 2</v>
      </c>
      <c r="BB784" s="374">
        <f t="shared" si="571"/>
        <v>1</v>
      </c>
      <c r="BC784" s="374">
        <f t="shared" si="572"/>
        <v>1</v>
      </c>
      <c r="BD784" s="148" t="str">
        <f t="shared" si="573"/>
        <v>no conflict</v>
      </c>
      <c r="BF784" s="148" t="str">
        <f t="shared" si="574"/>
        <v>11/26/2017 08:00-&gt;CHILD DM - MEX</v>
      </c>
      <c r="BG784" s="148" t="str">
        <f t="shared" si="575"/>
        <v>11/26/2017 08:00-&gt;CHILD DM - VEN 2</v>
      </c>
      <c r="BH784" s="148" t="str">
        <f t="shared" si="576"/>
        <v>11/26/2017 08:00-&gt;JCC Back Field 3</v>
      </c>
      <c r="BI784" s="148" t="str">
        <f t="shared" si="577"/>
        <v>Soccer in JCC Back Field 3 (MEX-VEN2)</v>
      </c>
      <c r="BJ784" s="148" t="str">
        <f t="shared" si="578"/>
        <v>Ch D Male Mini Soccer-- CHILD DM - MEX vs. CHILD DM - VEN 2</v>
      </c>
      <c r="BK784" s="148" t="str">
        <f t="shared" si="579"/>
        <v>Soccer</v>
      </c>
      <c r="BL784" s="148" t="str">
        <f t="shared" si="580"/>
        <v>CHILD DM - MEX</v>
      </c>
      <c r="BM784" s="148" t="str">
        <f t="shared" si="581"/>
        <v>CHILD DM - VEN 2</v>
      </c>
      <c r="BN784" s="148" t="str">
        <f t="shared" si="582"/>
        <v>Semi-Final</v>
      </c>
      <c r="BP784" s="148" t="str">
        <f t="shared" si="583"/>
        <v>11/26/2017 08:00-&gt;CHILDREN D MALE</v>
      </c>
      <c r="BQ784" s="148" t="str">
        <f t="shared" si="584"/>
        <v>Soccer Semi-Final in JCC Back Field 3</v>
      </c>
    </row>
    <row r="785" spans="1:69" ht="15" customHeight="1" x14ac:dyDescent="0.2">
      <c r="A785" s="376">
        <v>783</v>
      </c>
      <c r="B785" s="444" t="s">
        <v>53</v>
      </c>
      <c r="C785" s="444" t="s">
        <v>771</v>
      </c>
      <c r="D785" s="451">
        <v>1</v>
      </c>
      <c r="E785" s="451">
        <v>1</v>
      </c>
      <c r="F785" s="315" t="s">
        <v>770</v>
      </c>
      <c r="G785" s="445">
        <v>43065</v>
      </c>
      <c r="H785" s="454">
        <v>0.33333333333333331</v>
      </c>
      <c r="I785" s="325" t="s">
        <v>770</v>
      </c>
      <c r="J785" s="444" t="s">
        <v>694</v>
      </c>
      <c r="K785" s="441"/>
      <c r="L785" s="462" t="s">
        <v>594</v>
      </c>
      <c r="M785"/>
      <c r="N785" s="462" t="s">
        <v>592</v>
      </c>
      <c r="O785" s="153" t="str">
        <f>IF(L785&lt;&gt;"",IFERROR(VLOOKUP(B785&amp;L785,Pools!$A$2:$D$130,3,FALSE),""),"")</f>
        <v/>
      </c>
      <c r="P785" s="388">
        <v>1</v>
      </c>
      <c r="Q785" s="388">
        <v>2</v>
      </c>
      <c r="R785" s="306" t="str">
        <f t="shared" si="540"/>
        <v>1-2</v>
      </c>
      <c r="S785" s="153"/>
      <c r="T785" s="148" t="str">
        <f t="shared" si="541"/>
        <v>Completed</v>
      </c>
      <c r="U785" s="153"/>
      <c r="V785" s="153"/>
      <c r="W785" s="387">
        <f t="shared" si="542"/>
        <v>-1</v>
      </c>
      <c r="X785" s="387">
        <f t="shared" si="543"/>
        <v>1</v>
      </c>
      <c r="Y785" s="301">
        <f t="shared" si="544"/>
        <v>0</v>
      </c>
      <c r="Z785" s="301">
        <f t="shared" si="545"/>
        <v>2</v>
      </c>
      <c r="AA785" s="323" t="str">
        <f>CONCATENATE("                x[team1,team2,sport,'",IF(OR(I785="x",I785=""),VLOOKUP('Schedule from TM'!J786,Tables!$P$3:$Q$33,2,FALSE),'Schedule from TM'!I786),",",J785,"','",IF(OR(F785="x",F785=""),VLOOKUP('Schedule from TM'!G786,Tables!$U$3:$V$14,2,FALSE),'Schedule from TM'!F786),",",TEXT(G785,"mm/dd/yyyy"),"','",TEXT(H785,"h:mm:ss AM/PM"),"'].ub=0.0      #",B785)</f>
        <v xml:space="preserve">                x[team1,team2,sport,'11,JCC Back Field 4','21,11/26/2017','8:00:00 AM'].ub=0.0      #Ch D Male Mini Soccer</v>
      </c>
      <c r="AB785" s="301" t="str">
        <f t="shared" si="546"/>
        <v>,,Ch D Male Mini Soccer,,1,CHILD DM - PER</v>
      </c>
      <c r="AC785" s="153" t="str">
        <f t="shared" si="547"/>
        <v>Ch D Male Mini SoccerCHILD DM - PER</v>
      </c>
      <c r="AD785" s="301" t="str">
        <f t="shared" si="548"/>
        <v>,,Ch D Male Mini Soccer,,1,CHILD DM - ARG 1</v>
      </c>
      <c r="AE785" s="153" t="str">
        <f t="shared" si="549"/>
        <v>Ch D Male Mini SoccerCHILD DM - ARG 1</v>
      </c>
      <c r="AF785" s="383">
        <f t="shared" si="550"/>
        <v>0</v>
      </c>
      <c r="AG785" s="383">
        <f t="shared" si="551"/>
        <v>1</v>
      </c>
      <c r="AH785" s="383">
        <f t="shared" si="552"/>
        <v>0</v>
      </c>
      <c r="AI785" s="383">
        <f t="shared" si="553"/>
        <v>1</v>
      </c>
      <c r="AJ785" s="383">
        <f t="shared" si="554"/>
        <v>0</v>
      </c>
      <c r="AK785" s="383">
        <f t="shared" si="555"/>
        <v>0</v>
      </c>
      <c r="AM785" s="148" t="str">
        <f t="shared" si="556"/>
        <v>Schedulled</v>
      </c>
      <c r="AN785" s="148" t="str">
        <f t="shared" si="557"/>
        <v/>
      </c>
      <c r="AO785" s="156">
        <f t="shared" si="558"/>
        <v>43065.333333333336</v>
      </c>
      <c r="AP785" s="148" t="str">
        <f t="shared" si="559"/>
        <v>11/26/2017 08:00-&gt;JCC Back Field 4</v>
      </c>
      <c r="AQ785" s="374">
        <f t="shared" si="560"/>
        <v>1</v>
      </c>
      <c r="AR785" s="148" t="str">
        <f t="shared" si="561"/>
        <v>PER</v>
      </c>
      <c r="AS785" s="148" t="str">
        <f t="shared" si="562"/>
        <v>ARG1</v>
      </c>
      <c r="AT785" s="157" t="str">
        <f t="shared" si="563"/>
        <v>PER-ARG1</v>
      </c>
      <c r="AU785" s="157" t="str">
        <f t="shared" si="564"/>
        <v>PER-ARG1 Soccer Semi-Final</v>
      </c>
      <c r="AV785" s="157" t="str">
        <f t="shared" si="565"/>
        <v>CHILDREN D MALE</v>
      </c>
      <c r="AW785" s="157" t="str">
        <f t="shared" si="566"/>
        <v>Soccer</v>
      </c>
      <c r="AX785" s="376">
        <f t="shared" si="567"/>
        <v>783</v>
      </c>
      <c r="AY785" s="148" t="str">
        <f t="shared" si="568"/>
        <v>CHILD DM - PER-&gt;CHILD DM - ARG 1</v>
      </c>
      <c r="AZ785" s="148" t="str">
        <f t="shared" si="569"/>
        <v>11/26/2017 08:00-&gt;CHILD DM - PER</v>
      </c>
      <c r="BA785" s="148" t="str">
        <f t="shared" si="570"/>
        <v>11/26/2017 08:00-&gt;CHILD DM - ARG 1</v>
      </c>
      <c r="BB785" s="374">
        <f t="shared" si="571"/>
        <v>1</v>
      </c>
      <c r="BC785" s="374">
        <f t="shared" si="572"/>
        <v>1</v>
      </c>
      <c r="BD785" s="148" t="str">
        <f t="shared" si="573"/>
        <v>no conflict</v>
      </c>
      <c r="BF785" s="148" t="str">
        <f t="shared" si="574"/>
        <v>11/26/2017 08:00-&gt;CHILD DM - PER</v>
      </c>
      <c r="BG785" s="148" t="str">
        <f t="shared" si="575"/>
        <v>11/26/2017 08:00-&gt;CHILD DM - ARG 1</v>
      </c>
      <c r="BH785" s="148" t="str">
        <f t="shared" si="576"/>
        <v>11/26/2017 08:00-&gt;JCC Back Field 4</v>
      </c>
      <c r="BI785" s="148" t="str">
        <f t="shared" si="577"/>
        <v>Soccer in JCC Back Field 4 (PER-ARG1)</v>
      </c>
      <c r="BJ785" s="148" t="str">
        <f t="shared" si="578"/>
        <v>Ch D Male Mini Soccer-- CHILD DM - PER vs. CHILD DM - ARG 1</v>
      </c>
      <c r="BK785" s="148" t="str">
        <f t="shared" si="579"/>
        <v>Soccer</v>
      </c>
      <c r="BL785" s="148" t="str">
        <f t="shared" si="580"/>
        <v>CHILD DM - PER</v>
      </c>
      <c r="BM785" s="148" t="str">
        <f t="shared" si="581"/>
        <v>CHILD DM - ARG 1</v>
      </c>
      <c r="BN785" s="148" t="str">
        <f t="shared" si="582"/>
        <v>Semi-Final</v>
      </c>
      <c r="BP785" s="148" t="str">
        <f t="shared" si="583"/>
        <v>11/26/2017 08:00-&gt;CHILDREN D MALE</v>
      </c>
      <c r="BQ785" s="148" t="str">
        <f t="shared" si="584"/>
        <v>Soccer Semi-Final in JCC Back Field 4</v>
      </c>
    </row>
    <row r="786" spans="1:69" ht="15" customHeight="1" x14ac:dyDescent="0.2">
      <c r="A786" s="376">
        <v>784</v>
      </c>
      <c r="B786" s="315" t="s">
        <v>63</v>
      </c>
      <c r="C786" s="315" t="s">
        <v>771</v>
      </c>
      <c r="D786" s="378">
        <v>1</v>
      </c>
      <c r="E786" s="378">
        <v>1</v>
      </c>
      <c r="F786" s="315" t="s">
        <v>770</v>
      </c>
      <c r="G786" s="316">
        <v>43065</v>
      </c>
      <c r="H786" s="454">
        <v>0.36805555555555558</v>
      </c>
      <c r="I786" s="325" t="s">
        <v>770</v>
      </c>
      <c r="J786" s="315" t="s">
        <v>696</v>
      </c>
      <c r="K786" s="315"/>
      <c r="L786" s="462" t="s">
        <v>717</v>
      </c>
      <c r="M786"/>
      <c r="N786" s="462" t="s">
        <v>620</v>
      </c>
      <c r="O786" s="153" t="str">
        <f>IF(L786&lt;&gt;"",IFERROR(VLOOKUP(B786&amp;L786,Pools!$A$2:$D$130,3,FALSE),""),"")</f>
        <v/>
      </c>
      <c r="P786" s="388">
        <v>41</v>
      </c>
      <c r="Q786" s="388">
        <v>20</v>
      </c>
      <c r="R786" s="306" t="str">
        <f t="shared" si="540"/>
        <v>41-20</v>
      </c>
      <c r="S786" s="153"/>
      <c r="T786" s="148" t="str">
        <f t="shared" si="541"/>
        <v>Completed</v>
      </c>
      <c r="U786" s="153"/>
      <c r="V786" s="153"/>
      <c r="W786" s="387">
        <f t="shared" si="542"/>
        <v>15</v>
      </c>
      <c r="X786" s="387">
        <f t="shared" si="543"/>
        <v>-15</v>
      </c>
      <c r="Y786" s="301">
        <f t="shared" si="544"/>
        <v>2</v>
      </c>
      <c r="Z786" s="301">
        <f t="shared" si="545"/>
        <v>0</v>
      </c>
      <c r="AA786" s="323" t="str">
        <f>CONCATENATE("                x[team1,team2,sport,'",IF(OR(I786="x",I786=""),VLOOKUP('Schedule from TM'!J787,Tables!$P$3:$Q$33,2,FALSE),'Schedule from TM'!I787),",",J786,"','",IF(OR(F786="x",F786=""),VLOOKUP('Schedule from TM'!G787,Tables!$U$3:$V$14,2,FALSE),'Schedule from TM'!F787),",",TEXT(G786,"mm/dd/yyyy"),"','",TEXT(H786,"h:mm:ss AM/PM"),"'].ub=0.0      #",B786)</f>
        <v xml:space="preserve">                x[team1,team2,sport,'21,JCC Gym North','21,11/26/2017','8:50:00 AM'].ub=0.0      #Ch E Male Basketball</v>
      </c>
      <c r="AB786" s="301" t="str">
        <f t="shared" si="546"/>
        <v>,,Ch E Male Basketball,,1,CHILD EM - MEX 1</v>
      </c>
      <c r="AC786" s="153" t="str">
        <f t="shared" si="547"/>
        <v>Ch E Male BasketballCHILD EM - MEX 1</v>
      </c>
      <c r="AD786" s="301" t="str">
        <f t="shared" si="548"/>
        <v>,,Ch E Male Basketball,,1,CHILD EM - PER</v>
      </c>
      <c r="AE786" s="153" t="str">
        <f t="shared" si="549"/>
        <v>Ch E Male BasketballCHILD EM - PER</v>
      </c>
      <c r="AF786" s="383">
        <f t="shared" si="550"/>
        <v>1</v>
      </c>
      <c r="AG786" s="383">
        <f t="shared" si="551"/>
        <v>0</v>
      </c>
      <c r="AH786" s="383">
        <f t="shared" si="552"/>
        <v>0</v>
      </c>
      <c r="AI786" s="383">
        <f t="shared" si="553"/>
        <v>0</v>
      </c>
      <c r="AJ786" s="383">
        <f t="shared" si="554"/>
        <v>1</v>
      </c>
      <c r="AK786" s="383">
        <f t="shared" si="555"/>
        <v>0</v>
      </c>
      <c r="AM786" s="148" t="str">
        <f t="shared" si="556"/>
        <v>Schedulled</v>
      </c>
      <c r="AN786" s="148" t="str">
        <f t="shared" si="557"/>
        <v/>
      </c>
      <c r="AO786" s="156">
        <f t="shared" si="558"/>
        <v>43065.368055555555</v>
      </c>
      <c r="AP786" s="148" t="str">
        <f t="shared" si="559"/>
        <v>11/26/2017 08:50-&gt;JCC Gym North</v>
      </c>
      <c r="AQ786" s="374">
        <f t="shared" si="560"/>
        <v>1</v>
      </c>
      <c r="AR786" s="148" t="str">
        <f t="shared" si="561"/>
        <v>MEX1</v>
      </c>
      <c r="AS786" s="148" t="str">
        <f t="shared" si="562"/>
        <v>PER</v>
      </c>
      <c r="AT786" s="157" t="str">
        <f t="shared" si="563"/>
        <v>MEX1-PER</v>
      </c>
      <c r="AU786" s="157" t="str">
        <f t="shared" si="564"/>
        <v>MEX1-PER Basketball Semi-Final</v>
      </c>
      <c r="AV786" s="157" t="str">
        <f t="shared" si="565"/>
        <v>CHILDREN E MALE</v>
      </c>
      <c r="AW786" s="157" t="str">
        <f t="shared" si="566"/>
        <v>Basketball</v>
      </c>
      <c r="AX786" s="376">
        <f t="shared" si="567"/>
        <v>784</v>
      </c>
      <c r="AY786" s="148" t="str">
        <f t="shared" si="568"/>
        <v>CHILD EM - MEX 1-&gt;CHILD EM - PER</v>
      </c>
      <c r="AZ786" s="148" t="str">
        <f t="shared" si="569"/>
        <v>11/26/2017 08:50-&gt;CHILD EM - MEX 1</v>
      </c>
      <c r="BA786" s="148" t="str">
        <f t="shared" si="570"/>
        <v>11/26/2017 08:50-&gt;CHILD EM - PER</v>
      </c>
      <c r="BB786" s="374">
        <f t="shared" si="571"/>
        <v>1</v>
      </c>
      <c r="BC786" s="374">
        <f t="shared" si="572"/>
        <v>1</v>
      </c>
      <c r="BD786" s="148" t="str">
        <f t="shared" si="573"/>
        <v>no conflict</v>
      </c>
      <c r="BF786" s="148" t="str">
        <f t="shared" si="574"/>
        <v>11/26/2017 08:50-&gt;CHILD EM - MEX 1</v>
      </c>
      <c r="BG786" s="148" t="str">
        <f t="shared" si="575"/>
        <v>11/26/2017 08:50-&gt;CHILD EM - PER</v>
      </c>
      <c r="BH786" s="148" t="str">
        <f t="shared" si="576"/>
        <v>11/26/2017 08:50-&gt;JCC Gym North</v>
      </c>
      <c r="BI786" s="148" t="str">
        <f t="shared" si="577"/>
        <v>Basketball in JCC Gym North (MEX1-PER)</v>
      </c>
      <c r="BJ786" s="148" t="str">
        <f t="shared" si="578"/>
        <v>Ch E Male Basketball-- CHILD EM - MEX 1 vs. CHILD EM - PER</v>
      </c>
      <c r="BK786" s="148" t="str">
        <f t="shared" si="579"/>
        <v>Basketball</v>
      </c>
      <c r="BL786" s="148" t="str">
        <f t="shared" si="580"/>
        <v>CHILD EM - MEX 1</v>
      </c>
      <c r="BM786" s="148" t="str">
        <f t="shared" si="581"/>
        <v>CHILD EM - PER</v>
      </c>
      <c r="BN786" s="148" t="str">
        <f t="shared" si="582"/>
        <v>Semi-Final</v>
      </c>
      <c r="BP786" s="148" t="str">
        <f t="shared" si="583"/>
        <v>11/26/2017 08:50-&gt;CHILDREN E MALE</v>
      </c>
      <c r="BQ786" s="148" t="str">
        <f t="shared" si="584"/>
        <v>Basketball Semi-Final in JCC Gym North</v>
      </c>
    </row>
    <row r="787" spans="1:69" ht="15" customHeight="1" x14ac:dyDescent="0.2">
      <c r="A787" s="376">
        <v>785</v>
      </c>
      <c r="B787" s="444" t="s">
        <v>63</v>
      </c>
      <c r="C787" s="315" t="s">
        <v>771</v>
      </c>
      <c r="D787" s="378">
        <v>1</v>
      </c>
      <c r="E787" s="378">
        <v>1</v>
      </c>
      <c r="F787" s="315" t="s">
        <v>770</v>
      </c>
      <c r="G787" s="316">
        <v>43065</v>
      </c>
      <c r="H787" s="454">
        <v>0.36805555555555558</v>
      </c>
      <c r="I787" s="325" t="s">
        <v>770</v>
      </c>
      <c r="J787" s="315" t="s">
        <v>707</v>
      </c>
      <c r="K787" s="315"/>
      <c r="L787" s="462" t="s">
        <v>618</v>
      </c>
      <c r="M787"/>
      <c r="N787" s="461" t="s">
        <v>718</v>
      </c>
      <c r="O787" s="153" t="str">
        <f>IF(L787&lt;&gt;"",IFERROR(VLOOKUP(B787&amp;L787,Pools!$A$2:$D$130,3,FALSE),""),"")</f>
        <v/>
      </c>
      <c r="P787" s="388">
        <v>48</v>
      </c>
      <c r="Q787" s="388">
        <v>39</v>
      </c>
      <c r="R787" s="306" t="str">
        <f t="shared" si="540"/>
        <v>48-39</v>
      </c>
      <c r="S787" s="153"/>
      <c r="T787" s="148" t="str">
        <f t="shared" si="541"/>
        <v>Completed</v>
      </c>
      <c r="U787" s="153"/>
      <c r="V787" s="153"/>
      <c r="W787" s="387">
        <f t="shared" si="542"/>
        <v>9</v>
      </c>
      <c r="X787" s="387">
        <f t="shared" si="543"/>
        <v>-9</v>
      </c>
      <c r="Y787" s="301">
        <f t="shared" si="544"/>
        <v>2</v>
      </c>
      <c r="Z787" s="301">
        <f t="shared" si="545"/>
        <v>0</v>
      </c>
      <c r="AA787" s="323" t="str">
        <f>CONCATENATE("                x[team1,team2,sport,'",IF(OR(I787="x",I787=""),VLOOKUP('Schedule from TM'!J788,Tables!$P$3:$Q$33,2,FALSE),'Schedule from TM'!I788),",",J787,"','",IF(OR(F787="x",F787=""),VLOOKUP('Schedule from TM'!G788,Tables!$U$3:$V$14,2,FALSE),'Schedule from TM'!F788),",",TEXT(G787,"mm/dd/yyyy"),"','",TEXT(H787,"h:mm:ss AM/PM"),"'].ub=0.0      #",B787)</f>
        <v xml:space="preserve">                x[team1,team2,sport,'21,Hillel - Gym Basketball','21,11/26/2017','8:50:00 AM'].ub=0.0      #Ch E Male Basketball</v>
      </c>
      <c r="AB787" s="301" t="str">
        <f t="shared" si="546"/>
        <v>,,Ch E Male Basketball,,1,CHILD EM - COL 1</v>
      </c>
      <c r="AC787" s="153" t="str">
        <f t="shared" si="547"/>
        <v>Ch E Male BasketballCHILD EM - COL 1</v>
      </c>
      <c r="AD787" s="301" t="str">
        <f t="shared" si="548"/>
        <v>,,Ch E Male Basketball,,1,CHILD EM - MEX 2</v>
      </c>
      <c r="AE787" s="153" t="str">
        <f t="shared" si="549"/>
        <v>Ch E Male BasketballCHILD EM - MEX 2</v>
      </c>
      <c r="AF787" s="383">
        <f t="shared" si="550"/>
        <v>1</v>
      </c>
      <c r="AG787" s="383">
        <f t="shared" si="551"/>
        <v>0</v>
      </c>
      <c r="AH787" s="383">
        <f t="shared" si="552"/>
        <v>0</v>
      </c>
      <c r="AI787" s="383">
        <f t="shared" si="553"/>
        <v>0</v>
      </c>
      <c r="AJ787" s="383">
        <f t="shared" si="554"/>
        <v>1</v>
      </c>
      <c r="AK787" s="383">
        <f t="shared" si="555"/>
        <v>0</v>
      </c>
      <c r="AM787" s="148" t="str">
        <f t="shared" si="556"/>
        <v>Schedulled</v>
      </c>
      <c r="AN787" s="148" t="str">
        <f t="shared" si="557"/>
        <v/>
      </c>
      <c r="AO787" s="156">
        <f t="shared" si="558"/>
        <v>43065.368055555555</v>
      </c>
      <c r="AP787" s="148" t="str">
        <f t="shared" si="559"/>
        <v>11/26/2017 08:50-&gt;Hillel - Gym Basketball</v>
      </c>
      <c r="AQ787" s="374">
        <f t="shared" si="560"/>
        <v>1</v>
      </c>
      <c r="AR787" s="148" t="str">
        <f t="shared" si="561"/>
        <v>COL1</v>
      </c>
      <c r="AS787" s="148" t="str">
        <f t="shared" si="562"/>
        <v>MEX2</v>
      </c>
      <c r="AT787" s="157" t="str">
        <f t="shared" si="563"/>
        <v>COL1-MEX2</v>
      </c>
      <c r="AU787" s="157" t="str">
        <f t="shared" si="564"/>
        <v>COL1-MEX2 Basketball Semi-Final</v>
      </c>
      <c r="AV787" s="157" t="str">
        <f t="shared" si="565"/>
        <v>CHILDREN E MALE</v>
      </c>
      <c r="AW787" s="157" t="str">
        <f t="shared" si="566"/>
        <v>Basketball</v>
      </c>
      <c r="AX787" s="376">
        <f t="shared" si="567"/>
        <v>785</v>
      </c>
      <c r="AY787" s="148" t="str">
        <f t="shared" si="568"/>
        <v>CHILD EM - COL 1-&gt;CHILD EM - MEX 2</v>
      </c>
      <c r="AZ787" s="148" t="str">
        <f t="shared" si="569"/>
        <v>11/26/2017 08:50-&gt;CHILD EM - COL 1</v>
      </c>
      <c r="BA787" s="148" t="str">
        <f t="shared" si="570"/>
        <v>11/26/2017 08:50-&gt;CHILD EM - MEX 2</v>
      </c>
      <c r="BB787" s="374">
        <f t="shared" si="571"/>
        <v>1</v>
      </c>
      <c r="BC787" s="374">
        <f t="shared" si="572"/>
        <v>1</v>
      </c>
      <c r="BD787" s="148" t="str">
        <f t="shared" si="573"/>
        <v>no conflict</v>
      </c>
      <c r="BF787" s="148" t="str">
        <f t="shared" si="574"/>
        <v>11/26/2017 08:50-&gt;CHILD EM - COL 1</v>
      </c>
      <c r="BG787" s="148" t="str">
        <f t="shared" si="575"/>
        <v>11/26/2017 08:50-&gt;CHILD EM - MEX 2</v>
      </c>
      <c r="BH787" s="148" t="str">
        <f t="shared" si="576"/>
        <v>11/26/2017 08:50-&gt;Hillel - Gym Basketball</v>
      </c>
      <c r="BI787" s="148" t="str">
        <f t="shared" si="577"/>
        <v>Basketball in Hillel - Gym Basketball (COL1-MEX2)</v>
      </c>
      <c r="BJ787" s="148" t="str">
        <f t="shared" si="578"/>
        <v>Ch E Male Basketball-- CHILD EM - COL 1 vs. CHILD EM - MEX 2</v>
      </c>
      <c r="BK787" s="148" t="str">
        <f t="shared" si="579"/>
        <v>Basketball</v>
      </c>
      <c r="BL787" s="148" t="str">
        <f t="shared" si="580"/>
        <v>CHILD EM - COL 1</v>
      </c>
      <c r="BM787" s="148" t="str">
        <f t="shared" si="581"/>
        <v>CHILD EM - MEX 2</v>
      </c>
      <c r="BN787" s="148" t="str">
        <f t="shared" si="582"/>
        <v>Semi-Final</v>
      </c>
      <c r="BP787" s="148" t="str">
        <f t="shared" si="583"/>
        <v>11/26/2017 08:50-&gt;CHILDREN E MALE</v>
      </c>
      <c r="BQ787" s="148" t="str">
        <f t="shared" si="584"/>
        <v>Basketball Semi-Final in Hillel - Gym Basketball</v>
      </c>
    </row>
    <row r="788" spans="1:69" ht="15" customHeight="1" x14ac:dyDescent="0.2">
      <c r="A788" s="376">
        <v>786</v>
      </c>
      <c r="B788" s="444" t="s">
        <v>65</v>
      </c>
      <c r="C788" s="444" t="s">
        <v>771</v>
      </c>
      <c r="D788" s="451">
        <v>1</v>
      </c>
      <c r="E788" s="451">
        <v>1</v>
      </c>
      <c r="F788" s="315" t="s">
        <v>770</v>
      </c>
      <c r="G788" s="445">
        <v>43065</v>
      </c>
      <c r="H788" s="454">
        <v>0.61111111111111105</v>
      </c>
      <c r="I788" s="325" t="s">
        <v>770</v>
      </c>
      <c r="J788" s="444" t="s">
        <v>703</v>
      </c>
      <c r="K788" s="444"/>
      <c r="L788" s="462" t="s">
        <v>718</v>
      </c>
      <c r="M788"/>
      <c r="N788" s="462" t="s">
        <v>620</v>
      </c>
      <c r="O788" s="153" t="str">
        <f>IF(L788&lt;&gt;"",IFERROR(VLOOKUP(B788&amp;L788,Pools!$A$2:$D$130,3,FALSE),""),"")</f>
        <v/>
      </c>
      <c r="P788" s="388">
        <v>21</v>
      </c>
      <c r="Q788" s="388">
        <v>46</v>
      </c>
      <c r="R788" s="306" t="str">
        <f t="shared" si="540"/>
        <v>21-46</v>
      </c>
      <c r="S788" s="153"/>
      <c r="T788" s="148" t="str">
        <f t="shared" si="541"/>
        <v>Completed</v>
      </c>
      <c r="U788" s="153"/>
      <c r="V788" s="153"/>
      <c r="W788" s="387">
        <f t="shared" si="542"/>
        <v>-21</v>
      </c>
      <c r="X788" s="387">
        <f t="shared" si="543"/>
        <v>21</v>
      </c>
      <c r="Y788" s="301">
        <f t="shared" si="544"/>
        <v>0</v>
      </c>
      <c r="Z788" s="301">
        <f t="shared" si="545"/>
        <v>2</v>
      </c>
      <c r="AA788" s="323" t="str">
        <f>CONCATENATE("                x[team1,team2,sport,'",IF(OR(I788="x",I788=""),VLOOKUP('Schedule from TM'!J789,Tables!$P$3:$Q$33,2,FALSE),'Schedule from TM'!I789),",",J788,"','",IF(OR(F788="x",F788=""),VLOOKUP('Schedule from TM'!G789,Tables!$U$3:$V$14,2,FALSE),'Schedule from TM'!F789),",",TEXT(G788,"mm/dd/yyyy"),"','",TEXT(H788,"h:mm:ss AM/PM"),"'].ub=0.0      #",B788)</f>
        <v xml:space="preserve">                x[team1,team2,sport,'21,Hillel - Field 1','21,11/26/2017','2:40:00 PM'].ub=0.0      #Ch E Male Flag Football</v>
      </c>
      <c r="AB788" s="301" t="str">
        <f t="shared" si="546"/>
        <v>,,Ch E Male Flag Football,,1,CHILD EM - MEX 2</v>
      </c>
      <c r="AC788" s="153" t="str">
        <f t="shared" si="547"/>
        <v>Ch E Male Flag FootballCHILD EM - MEX 2</v>
      </c>
      <c r="AD788" s="301" t="str">
        <f t="shared" si="548"/>
        <v>,,Ch E Male Flag Football,,1,CHILD EM - PER</v>
      </c>
      <c r="AE788" s="153" t="str">
        <f t="shared" si="549"/>
        <v>Ch E Male Flag FootballCHILD EM - PER</v>
      </c>
      <c r="AF788" s="383">
        <f t="shared" si="550"/>
        <v>0</v>
      </c>
      <c r="AG788" s="383">
        <f t="shared" si="551"/>
        <v>1</v>
      </c>
      <c r="AH788" s="383">
        <f t="shared" si="552"/>
        <v>0</v>
      </c>
      <c r="AI788" s="383">
        <f t="shared" si="553"/>
        <v>1</v>
      </c>
      <c r="AJ788" s="383">
        <f t="shared" si="554"/>
        <v>0</v>
      </c>
      <c r="AK788" s="383">
        <f t="shared" si="555"/>
        <v>0</v>
      </c>
      <c r="AM788" s="148" t="str">
        <f t="shared" si="556"/>
        <v>Schedulled</v>
      </c>
      <c r="AN788" s="148" t="str">
        <f t="shared" si="557"/>
        <v/>
      </c>
      <c r="AO788" s="156">
        <f t="shared" si="558"/>
        <v>43065.611111111109</v>
      </c>
      <c r="AP788" s="148" t="str">
        <f t="shared" si="559"/>
        <v>11/26/2017 14:40-&gt;Hillel - Field 1</v>
      </c>
      <c r="AQ788" s="374">
        <f t="shared" si="560"/>
        <v>1</v>
      </c>
      <c r="AR788" s="148" t="str">
        <f t="shared" si="561"/>
        <v>MEX2</v>
      </c>
      <c r="AS788" s="148" t="str">
        <f t="shared" si="562"/>
        <v>PER</v>
      </c>
      <c r="AT788" s="157" t="str">
        <f t="shared" si="563"/>
        <v>MEX2-PER</v>
      </c>
      <c r="AU788" s="157" t="str">
        <f t="shared" si="564"/>
        <v>MEX2-PER Flag Football Semi-Final</v>
      </c>
      <c r="AV788" s="157" t="str">
        <f t="shared" si="565"/>
        <v>CHILDREN E MALE</v>
      </c>
      <c r="AW788" s="157" t="str">
        <f t="shared" si="566"/>
        <v>Flag Football</v>
      </c>
      <c r="AX788" s="376">
        <f t="shared" si="567"/>
        <v>786</v>
      </c>
      <c r="AY788" s="148" t="str">
        <f t="shared" si="568"/>
        <v>CHILD EM - MEX 2-&gt;CHILD EM - PER</v>
      </c>
      <c r="AZ788" s="148" t="str">
        <f t="shared" si="569"/>
        <v>11/26/2017 14:40-&gt;CHILD EM - MEX 2</v>
      </c>
      <c r="BA788" s="148" t="str">
        <f t="shared" si="570"/>
        <v>11/26/2017 14:40-&gt;CHILD EM - PER</v>
      </c>
      <c r="BB788" s="374">
        <f t="shared" si="571"/>
        <v>1</v>
      </c>
      <c r="BC788" s="374">
        <f t="shared" si="572"/>
        <v>1</v>
      </c>
      <c r="BD788" s="148" t="str">
        <f t="shared" si="573"/>
        <v>no conflict</v>
      </c>
      <c r="BF788" s="148" t="str">
        <f t="shared" si="574"/>
        <v>11/26/2017 14:40-&gt;CHILD EM - MEX 2</v>
      </c>
      <c r="BG788" s="148" t="str">
        <f t="shared" si="575"/>
        <v>11/26/2017 14:40-&gt;CHILD EM - PER</v>
      </c>
      <c r="BH788" s="148" t="str">
        <f t="shared" si="576"/>
        <v>11/26/2017 14:40-&gt;Hillel - Field 1</v>
      </c>
      <c r="BI788" s="148" t="str">
        <f t="shared" si="577"/>
        <v>Flag Football in Hillel - Field 1 (MEX2-PER)</v>
      </c>
      <c r="BJ788" s="148" t="str">
        <f t="shared" si="578"/>
        <v>Ch E Male Flag Football-- CHILD EM - MEX 2 vs. CHILD EM - PER</v>
      </c>
      <c r="BK788" s="148" t="str">
        <f t="shared" si="579"/>
        <v>Flag Football</v>
      </c>
      <c r="BL788" s="148" t="str">
        <f t="shared" si="580"/>
        <v>CHILD EM - MEX 2</v>
      </c>
      <c r="BM788" s="148" t="str">
        <f t="shared" si="581"/>
        <v>CHILD EM - PER</v>
      </c>
      <c r="BN788" s="148" t="str">
        <f t="shared" si="582"/>
        <v>Semi-Final</v>
      </c>
      <c r="BP788" s="148" t="str">
        <f t="shared" si="583"/>
        <v>11/26/2017 14:40-&gt;CHILDREN E MALE</v>
      </c>
      <c r="BQ788" s="148" t="str">
        <f t="shared" si="584"/>
        <v>Flag Football Semi-Final in Hillel - Field 1</v>
      </c>
    </row>
    <row r="789" spans="1:69" ht="15" customHeight="1" x14ac:dyDescent="0.2">
      <c r="A789" s="376">
        <v>787</v>
      </c>
      <c r="B789" s="444" t="s">
        <v>65</v>
      </c>
      <c r="C789" s="444" t="s">
        <v>771</v>
      </c>
      <c r="D789" s="451">
        <v>1</v>
      </c>
      <c r="E789" s="451">
        <v>1</v>
      </c>
      <c r="F789" s="315" t="s">
        <v>770</v>
      </c>
      <c r="G789" s="445">
        <v>43065</v>
      </c>
      <c r="H789" s="454">
        <v>0.61111111111111105</v>
      </c>
      <c r="I789" s="325" t="s">
        <v>770</v>
      </c>
      <c r="J789" s="444" t="s">
        <v>704</v>
      </c>
      <c r="K789" s="444"/>
      <c r="L789" s="462" t="s">
        <v>717</v>
      </c>
      <c r="M789"/>
      <c r="N789" s="462" t="s">
        <v>618</v>
      </c>
      <c r="O789" s="153" t="str">
        <f>IF(L789&lt;&gt;"",IFERROR(VLOOKUP(B789&amp;L789,Pools!$A$2:$D$130,3,FALSE),""),"")</f>
        <v/>
      </c>
      <c r="P789" s="388">
        <v>38</v>
      </c>
      <c r="Q789" s="388">
        <v>31</v>
      </c>
      <c r="R789" s="306" t="str">
        <f t="shared" si="540"/>
        <v>38-31</v>
      </c>
      <c r="S789" s="153"/>
      <c r="T789" s="148" t="str">
        <f t="shared" si="541"/>
        <v>Completed</v>
      </c>
      <c r="U789" s="153"/>
      <c r="V789" s="153"/>
      <c r="W789" s="387">
        <f t="shared" si="542"/>
        <v>7</v>
      </c>
      <c r="X789" s="387">
        <f t="shared" si="543"/>
        <v>-7</v>
      </c>
      <c r="Y789" s="301">
        <f t="shared" si="544"/>
        <v>2</v>
      </c>
      <c r="Z789" s="301">
        <f t="shared" si="545"/>
        <v>0</v>
      </c>
      <c r="AA789" s="323" t="str">
        <f>CONCATENATE("                x[team1,team2,sport,'",IF(OR(I789="x",I789=""),VLOOKUP('Schedule from TM'!J790,Tables!$P$3:$Q$33,2,FALSE),'Schedule from TM'!I790),",",J789,"','",IF(OR(F789="x",F789=""),VLOOKUP('Schedule from TM'!G790,Tables!$U$3:$V$14,2,FALSE),'Schedule from TM'!F790),",",TEXT(G789,"mm/dd/yyyy"),"','",TEXT(H789,"h:mm:ss AM/PM"),"'].ub=0.0      #",B789)</f>
        <v xml:space="preserve">                x[team1,team2,sport,'21,Hillel - Field 2','21,11/26/2017','2:40:00 PM'].ub=0.0      #Ch E Male Flag Football</v>
      </c>
      <c r="AB789" s="301" t="str">
        <f t="shared" si="546"/>
        <v>,,Ch E Male Flag Football,,1,CHILD EM - MEX 1</v>
      </c>
      <c r="AC789" s="153" t="str">
        <f t="shared" si="547"/>
        <v>Ch E Male Flag FootballCHILD EM - MEX 1</v>
      </c>
      <c r="AD789" s="301" t="str">
        <f t="shared" si="548"/>
        <v>,,Ch E Male Flag Football,,1,CHILD EM - COL 1</v>
      </c>
      <c r="AE789" s="153" t="str">
        <f t="shared" si="549"/>
        <v>Ch E Male Flag FootballCHILD EM - COL 1</v>
      </c>
      <c r="AF789" s="383">
        <f t="shared" si="550"/>
        <v>1</v>
      </c>
      <c r="AG789" s="383">
        <f t="shared" si="551"/>
        <v>0</v>
      </c>
      <c r="AH789" s="383">
        <f t="shared" si="552"/>
        <v>0</v>
      </c>
      <c r="AI789" s="383">
        <f t="shared" si="553"/>
        <v>0</v>
      </c>
      <c r="AJ789" s="383">
        <f t="shared" si="554"/>
        <v>1</v>
      </c>
      <c r="AK789" s="383">
        <f t="shared" si="555"/>
        <v>0</v>
      </c>
      <c r="AM789" s="148" t="str">
        <f t="shared" si="556"/>
        <v>Schedulled</v>
      </c>
      <c r="AN789" s="148" t="str">
        <f t="shared" si="557"/>
        <v/>
      </c>
      <c r="AO789" s="156">
        <f t="shared" si="558"/>
        <v>43065.611111111109</v>
      </c>
      <c r="AP789" s="148" t="str">
        <f t="shared" si="559"/>
        <v>11/26/2017 14:40-&gt;Hillel - Field 2</v>
      </c>
      <c r="AQ789" s="374">
        <f t="shared" si="560"/>
        <v>1</v>
      </c>
      <c r="AR789" s="148" t="str">
        <f t="shared" si="561"/>
        <v>MEX1</v>
      </c>
      <c r="AS789" s="148" t="str">
        <f t="shared" si="562"/>
        <v>COL1</v>
      </c>
      <c r="AT789" s="157" t="str">
        <f t="shared" si="563"/>
        <v>MEX1-COL1</v>
      </c>
      <c r="AU789" s="157" t="str">
        <f t="shared" si="564"/>
        <v>MEX1-COL1 Flag Football Semi-Final</v>
      </c>
      <c r="AV789" s="157" t="str">
        <f t="shared" si="565"/>
        <v>CHILDREN E MALE</v>
      </c>
      <c r="AW789" s="157" t="str">
        <f t="shared" si="566"/>
        <v>Flag Football</v>
      </c>
      <c r="AX789" s="376">
        <f t="shared" si="567"/>
        <v>787</v>
      </c>
      <c r="AY789" s="148" t="str">
        <f t="shared" si="568"/>
        <v>CHILD EM - MEX 1-&gt;CHILD EM - COL 1</v>
      </c>
      <c r="AZ789" s="148" t="str">
        <f t="shared" si="569"/>
        <v>11/26/2017 14:40-&gt;CHILD EM - MEX 1</v>
      </c>
      <c r="BA789" s="148" t="str">
        <f t="shared" si="570"/>
        <v>11/26/2017 14:40-&gt;CHILD EM - COL 1</v>
      </c>
      <c r="BB789" s="374">
        <f t="shared" si="571"/>
        <v>1</v>
      </c>
      <c r="BC789" s="374">
        <f t="shared" si="572"/>
        <v>1</v>
      </c>
      <c r="BD789" s="148" t="str">
        <f t="shared" si="573"/>
        <v>no conflict</v>
      </c>
      <c r="BF789" s="148" t="str">
        <f t="shared" si="574"/>
        <v>11/26/2017 14:40-&gt;CHILD EM - MEX 1</v>
      </c>
      <c r="BG789" s="148" t="str">
        <f t="shared" si="575"/>
        <v>11/26/2017 14:40-&gt;CHILD EM - COL 1</v>
      </c>
      <c r="BH789" s="148" t="str">
        <f t="shared" si="576"/>
        <v>11/26/2017 14:40-&gt;Hillel - Field 2</v>
      </c>
      <c r="BI789" s="148" t="str">
        <f t="shared" si="577"/>
        <v>Flag Football in Hillel - Field 2 (MEX1-COL1)</v>
      </c>
      <c r="BJ789" s="148" t="str">
        <f t="shared" si="578"/>
        <v>Ch E Male Flag Football-- CHILD EM - MEX 1 vs. CHILD EM - COL 1</v>
      </c>
      <c r="BK789" s="148" t="str">
        <f t="shared" si="579"/>
        <v>Flag Football</v>
      </c>
      <c r="BL789" s="148" t="str">
        <f t="shared" si="580"/>
        <v>CHILD EM - MEX 1</v>
      </c>
      <c r="BM789" s="148" t="str">
        <f t="shared" si="581"/>
        <v>CHILD EM - COL 1</v>
      </c>
      <c r="BN789" s="148" t="str">
        <f t="shared" si="582"/>
        <v>Semi-Final</v>
      </c>
      <c r="BP789" s="148" t="str">
        <f t="shared" si="583"/>
        <v>11/26/2017 14:40-&gt;CHILDREN E MALE</v>
      </c>
      <c r="BQ789" s="148" t="str">
        <f t="shared" si="584"/>
        <v>Flag Football Semi-Final in Hillel - Field 2</v>
      </c>
    </row>
    <row r="790" spans="1:69" ht="15" customHeight="1" x14ac:dyDescent="0.2">
      <c r="A790" s="376">
        <v>788</v>
      </c>
      <c r="B790" s="443" t="s">
        <v>732</v>
      </c>
      <c r="C790" s="315" t="s">
        <v>771</v>
      </c>
      <c r="D790" s="378">
        <v>1</v>
      </c>
      <c r="E790" s="378">
        <v>1</v>
      </c>
      <c r="F790" s="315" t="s">
        <v>770</v>
      </c>
      <c r="G790" s="316">
        <v>43065</v>
      </c>
      <c r="H790" s="454">
        <v>0.4375</v>
      </c>
      <c r="I790" s="325" t="s">
        <v>770</v>
      </c>
      <c r="J790" s="147" t="s">
        <v>706</v>
      </c>
      <c r="K790" s="315"/>
      <c r="L790" s="462" t="s">
        <v>718</v>
      </c>
      <c r="M790"/>
      <c r="N790" s="462" t="s">
        <v>625</v>
      </c>
      <c r="O790" s="153" t="str">
        <f>IF(L790&lt;&gt;"",IFERROR(VLOOKUP(B790&amp;L790,Pools!$A$2:$D$130,3,FALSE),""),"")</f>
        <v/>
      </c>
      <c r="P790" s="388">
        <v>9</v>
      </c>
      <c r="Q790" s="388">
        <v>10</v>
      </c>
      <c r="R790" s="306" t="str">
        <f t="shared" si="540"/>
        <v>9-10</v>
      </c>
      <c r="S790" s="153"/>
      <c r="T790" s="148" t="str">
        <f t="shared" si="541"/>
        <v>Completed</v>
      </c>
      <c r="U790" s="153"/>
      <c r="V790" s="153"/>
      <c r="W790" s="387">
        <f t="shared" si="542"/>
        <v>-1</v>
      </c>
      <c r="X790" s="387">
        <f t="shared" si="543"/>
        <v>1</v>
      </c>
      <c r="Y790" s="301">
        <f t="shared" si="544"/>
        <v>0</v>
      </c>
      <c r="Z790" s="301">
        <f t="shared" si="545"/>
        <v>2</v>
      </c>
      <c r="AA790" s="323" t="str">
        <f>CONCATENATE("                x[team1,team2,sport,'",IF(OR(I790="x",I790=""),VLOOKUP('Schedule from TM'!J791,Tables!$P$3:$Q$33,2,FALSE),'Schedule from TM'!I791),",",J790,"','",IF(OR(F790="x",F790=""),VLOOKUP('Schedule from TM'!G791,Tables!$U$3:$V$14,2,FALSE),'Schedule from TM'!F791),",",TEXT(G790,"mm/dd/yyyy"),"','",TEXT(H790,"h:mm:ss AM/PM"),"'].ub=0.0      #",B790)</f>
        <v xml:space="preserve">                x[team1,team2,sport,'21,Hillel - Field 4','21,11/26/2017','10:30:00 AM'].ub=0.0      #Ch E Male Kickball</v>
      </c>
      <c r="AB790" s="301" t="str">
        <f t="shared" si="546"/>
        <v>,,Ch E Male Kickball,,1,CHILD EM - MEX 2</v>
      </c>
      <c r="AC790" s="153" t="str">
        <f t="shared" si="547"/>
        <v>Ch E Male KickballCHILD EM - MEX 2</v>
      </c>
      <c r="AD790" s="301" t="str">
        <f t="shared" si="548"/>
        <v>,,Ch E Male Kickball,,1,CHILD EM - VEN 2</v>
      </c>
      <c r="AE790" s="153" t="str">
        <f t="shared" si="549"/>
        <v>Ch E Male KickballCHILD EM - VEN 2</v>
      </c>
      <c r="AF790" s="383">
        <f t="shared" si="550"/>
        <v>0</v>
      </c>
      <c r="AG790" s="383">
        <f t="shared" si="551"/>
        <v>1</v>
      </c>
      <c r="AH790" s="383">
        <f t="shared" si="552"/>
        <v>0</v>
      </c>
      <c r="AI790" s="383">
        <f t="shared" si="553"/>
        <v>1</v>
      </c>
      <c r="AJ790" s="383">
        <f t="shared" si="554"/>
        <v>0</v>
      </c>
      <c r="AK790" s="383">
        <f t="shared" si="555"/>
        <v>0</v>
      </c>
      <c r="AM790" s="148" t="str">
        <f t="shared" si="556"/>
        <v>Schedulled</v>
      </c>
      <c r="AN790" s="148" t="str">
        <f t="shared" si="557"/>
        <v/>
      </c>
      <c r="AO790" s="156">
        <f t="shared" si="558"/>
        <v>43065.4375</v>
      </c>
      <c r="AP790" s="148" t="str">
        <f t="shared" si="559"/>
        <v>11/26/2017 10:30-&gt;Hillel - Field 4</v>
      </c>
      <c r="AQ790" s="374">
        <f t="shared" si="560"/>
        <v>1</v>
      </c>
      <c r="AR790" s="148" t="str">
        <f t="shared" si="561"/>
        <v>MEX2</v>
      </c>
      <c r="AS790" s="148" t="str">
        <f t="shared" si="562"/>
        <v>VEN2</v>
      </c>
      <c r="AT790" s="157" t="str">
        <f t="shared" si="563"/>
        <v>MEX2-VEN2</v>
      </c>
      <c r="AU790" s="157" t="str">
        <f t="shared" si="564"/>
        <v>MEX2-VEN2 Kickball Semi-Final</v>
      </c>
      <c r="AV790" s="157" t="str">
        <f t="shared" si="565"/>
        <v>CHILDREN E MALE</v>
      </c>
      <c r="AW790" s="157" t="str">
        <f t="shared" si="566"/>
        <v>Kickball</v>
      </c>
      <c r="AX790" s="376">
        <f t="shared" si="567"/>
        <v>788</v>
      </c>
      <c r="AY790" s="148" t="str">
        <f t="shared" si="568"/>
        <v>CHILD EM - MEX 2-&gt;CHILD EM - VEN 2</v>
      </c>
      <c r="AZ790" s="148" t="str">
        <f t="shared" si="569"/>
        <v>11/26/2017 10:30-&gt;CHILD EM - MEX 2</v>
      </c>
      <c r="BA790" s="148" t="str">
        <f t="shared" si="570"/>
        <v>11/26/2017 10:30-&gt;CHILD EM - VEN 2</v>
      </c>
      <c r="BB790" s="374">
        <f t="shared" si="571"/>
        <v>1</v>
      </c>
      <c r="BC790" s="374">
        <f t="shared" si="572"/>
        <v>1</v>
      </c>
      <c r="BD790" s="148" t="str">
        <f t="shared" si="573"/>
        <v>no conflict</v>
      </c>
      <c r="BF790" s="148" t="str">
        <f t="shared" si="574"/>
        <v>11/26/2017 10:30-&gt;CHILD EM - MEX 2</v>
      </c>
      <c r="BG790" s="148" t="str">
        <f t="shared" si="575"/>
        <v>11/26/2017 10:30-&gt;CHILD EM - VEN 2</v>
      </c>
      <c r="BH790" s="148" t="str">
        <f t="shared" si="576"/>
        <v>11/26/2017 10:30-&gt;Hillel - Field 4</v>
      </c>
      <c r="BI790" s="148" t="str">
        <f t="shared" si="577"/>
        <v>Kickball in Hillel - Field 4 (MEX2-VEN2)</v>
      </c>
      <c r="BJ790" s="148" t="str">
        <f t="shared" si="578"/>
        <v>Ch E Male Kickball-- CHILD EM - MEX 2 vs. CHILD EM - VEN 2</v>
      </c>
      <c r="BK790" s="148" t="str">
        <f t="shared" si="579"/>
        <v>Kickball</v>
      </c>
      <c r="BL790" s="148" t="str">
        <f t="shared" si="580"/>
        <v>CHILD EM - MEX 2</v>
      </c>
      <c r="BM790" s="148" t="str">
        <f t="shared" si="581"/>
        <v>CHILD EM - VEN 2</v>
      </c>
      <c r="BN790" s="148" t="str">
        <f t="shared" si="582"/>
        <v>Semi-Final</v>
      </c>
      <c r="BP790" s="148" t="str">
        <f t="shared" si="583"/>
        <v>11/26/2017 10:30-&gt;CHILDREN E MALE</v>
      </c>
      <c r="BQ790" s="148" t="str">
        <f t="shared" si="584"/>
        <v>Kickball Semi-Final in Hillel - Field 4</v>
      </c>
    </row>
    <row r="791" spans="1:69" ht="15" customHeight="1" x14ac:dyDescent="0.2">
      <c r="A791" s="376">
        <v>789</v>
      </c>
      <c r="B791" s="443" t="s">
        <v>732</v>
      </c>
      <c r="C791" s="444" t="s">
        <v>771</v>
      </c>
      <c r="D791" s="451">
        <v>1</v>
      </c>
      <c r="E791" s="451">
        <v>1</v>
      </c>
      <c r="F791" s="315" t="s">
        <v>770</v>
      </c>
      <c r="G791" s="445">
        <v>43065</v>
      </c>
      <c r="H791" s="454">
        <v>0.4375</v>
      </c>
      <c r="I791" s="325" t="s">
        <v>770</v>
      </c>
      <c r="J791" s="443" t="s">
        <v>705</v>
      </c>
      <c r="K791" s="441"/>
      <c r="L791" s="462" t="s">
        <v>624</v>
      </c>
      <c r="M791"/>
      <c r="N791" s="462" t="s">
        <v>616</v>
      </c>
      <c r="O791" s="153" t="str">
        <f>IF(L791&lt;&gt;"",IFERROR(VLOOKUP(B791&amp;L791,Pools!$A$2:$D$130,3,FALSE),""),"")</f>
        <v/>
      </c>
      <c r="P791" s="388">
        <v>7</v>
      </c>
      <c r="Q791" s="388">
        <v>8</v>
      </c>
      <c r="R791" s="306" t="str">
        <f t="shared" si="540"/>
        <v>7-8</v>
      </c>
      <c r="S791" s="153"/>
      <c r="T791" s="148" t="str">
        <f t="shared" si="541"/>
        <v>Completed</v>
      </c>
      <c r="U791" s="153"/>
      <c r="V791" s="153"/>
      <c r="W791" s="387">
        <f t="shared" si="542"/>
        <v>-1</v>
      </c>
      <c r="X791" s="387">
        <f t="shared" si="543"/>
        <v>1</v>
      </c>
      <c r="Y791" s="301">
        <f t="shared" si="544"/>
        <v>0</v>
      </c>
      <c r="Z791" s="301">
        <f t="shared" si="545"/>
        <v>2</v>
      </c>
      <c r="AA791" s="323" t="str">
        <f>CONCATENATE("                x[team1,team2,sport,'",IF(OR(I791="x",I791=""),VLOOKUP('Schedule from TM'!J792,Tables!$P$3:$Q$33,2,FALSE),'Schedule from TM'!I792),",",J791,"','",IF(OR(F791="x",F791=""),VLOOKUP('Schedule from TM'!G792,Tables!$U$3:$V$14,2,FALSE),'Schedule from TM'!F792),",",TEXT(G791,"mm/dd/yyyy"),"','",TEXT(H791,"h:mm:ss AM/PM"),"'].ub=0.0      #",B791)</f>
        <v xml:space="preserve">                x[team1,team2,sport,'11,Hillel - Field 3','21,11/26/2017','10:30:00 AM'].ub=0.0      #Ch E Male Kickball</v>
      </c>
      <c r="AB791" s="301" t="str">
        <f t="shared" si="546"/>
        <v>,,Ch E Male Kickball,,1,CHILD EM - VEN 1</v>
      </c>
      <c r="AC791" s="153" t="str">
        <f t="shared" si="547"/>
        <v>Ch E Male KickballCHILD EM - VEN 1</v>
      </c>
      <c r="AD791" s="301" t="str">
        <f t="shared" si="548"/>
        <v>,,Ch E Male Kickball,,1,CHILD EM - ARG 1</v>
      </c>
      <c r="AE791" s="153" t="str">
        <f t="shared" si="549"/>
        <v>Ch E Male KickballCHILD EM - ARG 1</v>
      </c>
      <c r="AF791" s="383">
        <f t="shared" si="550"/>
        <v>0</v>
      </c>
      <c r="AG791" s="383">
        <f t="shared" si="551"/>
        <v>1</v>
      </c>
      <c r="AH791" s="383">
        <f t="shared" si="552"/>
        <v>0</v>
      </c>
      <c r="AI791" s="383">
        <f t="shared" si="553"/>
        <v>1</v>
      </c>
      <c r="AJ791" s="383">
        <f t="shared" si="554"/>
        <v>0</v>
      </c>
      <c r="AK791" s="383">
        <f t="shared" si="555"/>
        <v>0</v>
      </c>
      <c r="AM791" s="148" t="str">
        <f t="shared" si="556"/>
        <v>Schedulled</v>
      </c>
      <c r="AN791" s="148" t="str">
        <f t="shared" si="557"/>
        <v/>
      </c>
      <c r="AO791" s="156">
        <f t="shared" si="558"/>
        <v>43065.4375</v>
      </c>
      <c r="AP791" s="148" t="str">
        <f t="shared" si="559"/>
        <v>11/26/2017 10:30-&gt;Hillel - Field 3</v>
      </c>
      <c r="AQ791" s="374">
        <f t="shared" si="560"/>
        <v>1</v>
      </c>
      <c r="AR791" s="148" t="str">
        <f t="shared" si="561"/>
        <v>VEN1</v>
      </c>
      <c r="AS791" s="148" t="str">
        <f t="shared" si="562"/>
        <v>ARG1</v>
      </c>
      <c r="AT791" s="157" t="str">
        <f t="shared" si="563"/>
        <v>VEN1-ARG1</v>
      </c>
      <c r="AU791" s="157" t="str">
        <f t="shared" si="564"/>
        <v>VEN1-ARG1 Kickball Semi-Final</v>
      </c>
      <c r="AV791" s="157" t="str">
        <f t="shared" si="565"/>
        <v>CHILDREN E MALE</v>
      </c>
      <c r="AW791" s="157" t="str">
        <f t="shared" si="566"/>
        <v>Kickball</v>
      </c>
      <c r="AX791" s="376">
        <f t="shared" si="567"/>
        <v>789</v>
      </c>
      <c r="AY791" s="148" t="str">
        <f t="shared" si="568"/>
        <v>CHILD EM - VEN 1-&gt;CHILD EM - ARG 1</v>
      </c>
      <c r="AZ791" s="148" t="str">
        <f t="shared" si="569"/>
        <v>11/26/2017 10:30-&gt;CHILD EM - VEN 1</v>
      </c>
      <c r="BA791" s="148" t="str">
        <f t="shared" si="570"/>
        <v>11/26/2017 10:30-&gt;CHILD EM - ARG 1</v>
      </c>
      <c r="BB791" s="374">
        <f t="shared" si="571"/>
        <v>1</v>
      </c>
      <c r="BC791" s="374">
        <f t="shared" si="572"/>
        <v>1</v>
      </c>
      <c r="BD791" s="148" t="str">
        <f t="shared" si="573"/>
        <v>no conflict</v>
      </c>
      <c r="BF791" s="148" t="str">
        <f t="shared" si="574"/>
        <v>11/26/2017 10:30-&gt;CHILD EM - VEN 1</v>
      </c>
      <c r="BG791" s="148" t="str">
        <f t="shared" si="575"/>
        <v>11/26/2017 10:30-&gt;CHILD EM - ARG 1</v>
      </c>
      <c r="BH791" s="148" t="str">
        <f t="shared" si="576"/>
        <v>11/26/2017 10:30-&gt;Hillel - Field 3</v>
      </c>
      <c r="BI791" s="148" t="str">
        <f t="shared" si="577"/>
        <v>Kickball in Hillel - Field 3 (VEN1-ARG1)</v>
      </c>
      <c r="BJ791" s="148" t="str">
        <f t="shared" si="578"/>
        <v>Ch E Male Kickball-- CHILD EM - VEN 1 vs. CHILD EM - ARG 1</v>
      </c>
      <c r="BK791" s="148" t="str">
        <f t="shared" si="579"/>
        <v>Kickball</v>
      </c>
      <c r="BL791" s="148" t="str">
        <f t="shared" si="580"/>
        <v>CHILD EM - VEN 1</v>
      </c>
      <c r="BM791" s="148" t="str">
        <f t="shared" si="581"/>
        <v>CHILD EM - ARG 1</v>
      </c>
      <c r="BN791" s="148" t="str">
        <f t="shared" si="582"/>
        <v>Semi-Final</v>
      </c>
      <c r="BP791" s="148" t="str">
        <f t="shared" si="583"/>
        <v>11/26/2017 10:30-&gt;CHILDREN E MALE</v>
      </c>
      <c r="BQ791" s="148" t="str">
        <f t="shared" si="584"/>
        <v>Kickball Semi-Final in Hillel - Field 3</v>
      </c>
    </row>
    <row r="792" spans="1:69" ht="15" customHeight="1" x14ac:dyDescent="0.2">
      <c r="A792" s="376">
        <v>790</v>
      </c>
      <c r="B792" s="444" t="s">
        <v>62</v>
      </c>
      <c r="C792" s="444" t="s">
        <v>771</v>
      </c>
      <c r="D792" s="451">
        <v>1</v>
      </c>
      <c r="E792" s="451">
        <v>1</v>
      </c>
      <c r="F792" s="315" t="s">
        <v>770</v>
      </c>
      <c r="G792" s="445">
        <v>43065</v>
      </c>
      <c r="H792" s="418">
        <v>0.40277777777777773</v>
      </c>
      <c r="I792" s="325" t="s">
        <v>770</v>
      </c>
      <c r="J792" s="443" t="s">
        <v>695</v>
      </c>
      <c r="K792" s="444"/>
      <c r="L792" s="462" t="s">
        <v>624</v>
      </c>
      <c r="M792"/>
      <c r="N792" s="462" t="s">
        <v>616</v>
      </c>
      <c r="O792" s="153" t="str">
        <f>IF(L792&lt;&gt;"",IFERROR(VLOOKUP(B792&amp;L792,Pools!$A$2:$D$130,3,FALSE),""),"")</f>
        <v/>
      </c>
      <c r="P792" s="388">
        <v>1</v>
      </c>
      <c r="Q792" s="388">
        <v>2</v>
      </c>
      <c r="R792" s="306" t="str">
        <f t="shared" si="540"/>
        <v>1-2</v>
      </c>
      <c r="S792" s="153"/>
      <c r="T792" s="148" t="str">
        <f t="shared" si="541"/>
        <v>Completed</v>
      </c>
      <c r="U792" s="153"/>
      <c r="V792" s="153"/>
      <c r="W792" s="387">
        <f t="shared" si="542"/>
        <v>-1</v>
      </c>
      <c r="X792" s="387">
        <f t="shared" si="543"/>
        <v>1</v>
      </c>
      <c r="Y792" s="301">
        <f t="shared" si="544"/>
        <v>0</v>
      </c>
      <c r="Z792" s="301">
        <f t="shared" si="545"/>
        <v>2</v>
      </c>
      <c r="AA792" s="323" t="str">
        <f>CONCATENATE("                x[team1,team2,sport,'",IF(OR(I792="x",I792=""),VLOOKUP('Schedule from TM'!J793,Tables!$P$3:$Q$33,2,FALSE),'Schedule from TM'!I793),",",J792,"','",IF(OR(F792="x",F792=""),VLOOKUP('Schedule from TM'!G793,Tables!$U$3:$V$14,2,FALSE),'Schedule from TM'!F793),",",TEXT(G792,"mm/dd/yyyy"),"','",TEXT(H792,"h:mm:ss AM/PM"),"'].ub=0.0      #",B792)</f>
        <v xml:space="preserve">                x[team1,team2,sport,'11,JCC Back Field 1','21,11/26/2017','9:40:00 AM'].ub=0.0      #Ch E Male Mini Soccer</v>
      </c>
      <c r="AB792" s="301" t="str">
        <f t="shared" si="546"/>
        <v>,,Ch E Male Mini Soccer,,1,CHILD EM - VEN 1</v>
      </c>
      <c r="AC792" s="153" t="str">
        <f t="shared" si="547"/>
        <v>Ch E Male Mini SoccerCHILD EM - VEN 1</v>
      </c>
      <c r="AD792" s="301" t="str">
        <f t="shared" si="548"/>
        <v>,,Ch E Male Mini Soccer,,1,CHILD EM - ARG 1</v>
      </c>
      <c r="AE792" s="153" t="str">
        <f t="shared" si="549"/>
        <v>Ch E Male Mini SoccerCHILD EM - ARG 1</v>
      </c>
      <c r="AF792" s="383">
        <f t="shared" si="550"/>
        <v>0</v>
      </c>
      <c r="AG792" s="383">
        <f t="shared" si="551"/>
        <v>1</v>
      </c>
      <c r="AH792" s="383">
        <f t="shared" si="552"/>
        <v>0</v>
      </c>
      <c r="AI792" s="383">
        <f t="shared" si="553"/>
        <v>1</v>
      </c>
      <c r="AJ792" s="383">
        <f t="shared" si="554"/>
        <v>0</v>
      </c>
      <c r="AK792" s="383">
        <f t="shared" si="555"/>
        <v>0</v>
      </c>
      <c r="AM792" s="148" t="str">
        <f t="shared" si="556"/>
        <v>Schedulled</v>
      </c>
      <c r="AN792" s="148" t="str">
        <f t="shared" si="557"/>
        <v/>
      </c>
      <c r="AO792" s="156">
        <f t="shared" si="558"/>
        <v>43065.402777777781</v>
      </c>
      <c r="AP792" s="148" t="str">
        <f t="shared" si="559"/>
        <v>11/26/2017 09:40-&gt;JCC Back Field 1</v>
      </c>
      <c r="AQ792" s="374">
        <f t="shared" si="560"/>
        <v>1</v>
      </c>
      <c r="AR792" s="148" t="str">
        <f t="shared" si="561"/>
        <v>VEN1</v>
      </c>
      <c r="AS792" s="148" t="str">
        <f t="shared" si="562"/>
        <v>ARG1</v>
      </c>
      <c r="AT792" s="157" t="str">
        <f t="shared" si="563"/>
        <v>VEN1-ARG1</v>
      </c>
      <c r="AU792" s="157" t="str">
        <f t="shared" si="564"/>
        <v>VEN1-ARG1 Soccer Semi-Final</v>
      </c>
      <c r="AV792" s="157" t="str">
        <f t="shared" si="565"/>
        <v>CHILDREN E MALE</v>
      </c>
      <c r="AW792" s="157" t="str">
        <f t="shared" si="566"/>
        <v>Soccer</v>
      </c>
      <c r="AX792" s="376">
        <f t="shared" si="567"/>
        <v>790</v>
      </c>
      <c r="AY792" s="148" t="str">
        <f t="shared" si="568"/>
        <v>CHILD EM - VEN 1-&gt;CHILD EM - ARG 1</v>
      </c>
      <c r="AZ792" s="148" t="str">
        <f t="shared" si="569"/>
        <v>11/26/2017 09:40-&gt;CHILD EM - VEN 1</v>
      </c>
      <c r="BA792" s="148" t="str">
        <f t="shared" si="570"/>
        <v>11/26/2017 09:40-&gt;CHILD EM - ARG 1</v>
      </c>
      <c r="BB792" s="374">
        <f t="shared" si="571"/>
        <v>1</v>
      </c>
      <c r="BC792" s="374">
        <f t="shared" si="572"/>
        <v>1</v>
      </c>
      <c r="BD792" s="148" t="str">
        <f t="shared" si="573"/>
        <v>no conflict</v>
      </c>
      <c r="BF792" s="148" t="str">
        <f t="shared" si="574"/>
        <v>11/26/2017 09:40-&gt;CHILD EM - VEN 1</v>
      </c>
      <c r="BG792" s="148" t="str">
        <f t="shared" si="575"/>
        <v>11/26/2017 09:40-&gt;CHILD EM - ARG 1</v>
      </c>
      <c r="BH792" s="148" t="str">
        <f t="shared" si="576"/>
        <v>11/26/2017 09:40-&gt;JCC Back Field 1</v>
      </c>
      <c r="BI792" s="148" t="str">
        <f t="shared" si="577"/>
        <v>Soccer in JCC Back Field 1 (VEN1-ARG1)</v>
      </c>
      <c r="BJ792" s="148" t="str">
        <f t="shared" si="578"/>
        <v>Ch E Male Mini Soccer-- CHILD EM - VEN 1 vs. CHILD EM - ARG 1</v>
      </c>
      <c r="BK792" s="148" t="str">
        <f t="shared" si="579"/>
        <v>Soccer</v>
      </c>
      <c r="BL792" s="148" t="str">
        <f t="shared" si="580"/>
        <v>CHILD EM - VEN 1</v>
      </c>
      <c r="BM792" s="148" t="str">
        <f t="shared" si="581"/>
        <v>CHILD EM - ARG 1</v>
      </c>
      <c r="BN792" s="148" t="str">
        <f t="shared" si="582"/>
        <v>Semi-Final</v>
      </c>
      <c r="BP792" s="148" t="str">
        <f t="shared" si="583"/>
        <v>11/26/2017 09:40-&gt;CHILDREN E MALE</v>
      </c>
      <c r="BQ792" s="148" t="str">
        <f t="shared" si="584"/>
        <v>Soccer Semi-Final in JCC Back Field 1</v>
      </c>
    </row>
    <row r="793" spans="1:69" ht="15" customHeight="1" x14ac:dyDescent="0.2">
      <c r="A793" s="376">
        <v>791</v>
      </c>
      <c r="B793" s="444" t="s">
        <v>62</v>
      </c>
      <c r="C793" s="444" t="s">
        <v>771</v>
      </c>
      <c r="D793" s="451">
        <v>1</v>
      </c>
      <c r="E793" s="451">
        <v>1</v>
      </c>
      <c r="F793" s="315" t="s">
        <v>770</v>
      </c>
      <c r="G793" s="445">
        <v>43065</v>
      </c>
      <c r="H793" s="418">
        <v>0.40277777777777773</v>
      </c>
      <c r="I793" s="325" t="s">
        <v>770</v>
      </c>
      <c r="J793" s="443" t="s">
        <v>693</v>
      </c>
      <c r="K793" s="444"/>
      <c r="L793" s="462" t="s">
        <v>620</v>
      </c>
      <c r="M793"/>
      <c r="N793" s="462" t="s">
        <v>718</v>
      </c>
      <c r="O793" s="153" t="str">
        <f>IF(L793&lt;&gt;"",IFERROR(VLOOKUP(B793&amp;L793,Pools!$A$2:$D$130,3,FALSE),""),"")</f>
        <v/>
      </c>
      <c r="P793" s="388">
        <v>5</v>
      </c>
      <c r="Q793" s="388">
        <v>1</v>
      </c>
      <c r="R793" s="306" t="str">
        <f t="shared" si="540"/>
        <v>5-1</v>
      </c>
      <c r="S793" s="153"/>
      <c r="T793" s="148" t="str">
        <f t="shared" si="541"/>
        <v>Completed</v>
      </c>
      <c r="U793" s="153"/>
      <c r="V793" s="153"/>
      <c r="W793" s="387">
        <f t="shared" si="542"/>
        <v>3</v>
      </c>
      <c r="X793" s="387">
        <f t="shared" si="543"/>
        <v>-3</v>
      </c>
      <c r="Y793" s="301">
        <f t="shared" si="544"/>
        <v>2</v>
      </c>
      <c r="Z793" s="301">
        <f t="shared" si="545"/>
        <v>0</v>
      </c>
      <c r="AA793" s="323" t="str">
        <f>CONCATENATE("                x[team1,team2,sport,'",IF(OR(I793="x",I793=""),VLOOKUP('Schedule from TM'!J794,Tables!$P$3:$Q$33,2,FALSE),'Schedule from TM'!I794),",",J793,"','",IF(OR(F793="x",F793=""),VLOOKUP('Schedule from TM'!G794,Tables!$U$3:$V$14,2,FALSE),'Schedule from TM'!F794),",",TEXT(G793,"mm/dd/yyyy"),"','",TEXT(H793,"h:mm:ss AM/PM"),"'].ub=0.0      #",B793)</f>
        <v xml:space="preserve">                x[team1,team2,sport,'21,JCC Back Field 2','21,11/26/2017','9:40:00 AM'].ub=0.0      #Ch E Male Mini Soccer</v>
      </c>
      <c r="AB793" s="301" t="str">
        <f t="shared" si="546"/>
        <v>,,Ch E Male Mini Soccer,,1,CHILD EM - PER</v>
      </c>
      <c r="AC793" s="153" t="str">
        <f t="shared" si="547"/>
        <v>Ch E Male Mini SoccerCHILD EM - PER</v>
      </c>
      <c r="AD793" s="301" t="str">
        <f t="shared" si="548"/>
        <v>,,Ch E Male Mini Soccer,,1,CHILD EM - MEX 2</v>
      </c>
      <c r="AE793" s="153" t="str">
        <f t="shared" si="549"/>
        <v>Ch E Male Mini SoccerCHILD EM - MEX 2</v>
      </c>
      <c r="AF793" s="383">
        <f t="shared" si="550"/>
        <v>1</v>
      </c>
      <c r="AG793" s="383">
        <f t="shared" si="551"/>
        <v>0</v>
      </c>
      <c r="AH793" s="383">
        <f t="shared" si="552"/>
        <v>0</v>
      </c>
      <c r="AI793" s="383">
        <f t="shared" si="553"/>
        <v>0</v>
      </c>
      <c r="AJ793" s="383">
        <f t="shared" si="554"/>
        <v>1</v>
      </c>
      <c r="AK793" s="383">
        <f t="shared" si="555"/>
        <v>0</v>
      </c>
      <c r="AM793" s="148" t="str">
        <f t="shared" si="556"/>
        <v>Schedulled</v>
      </c>
      <c r="AN793" s="148" t="str">
        <f t="shared" si="557"/>
        <v/>
      </c>
      <c r="AO793" s="156">
        <f t="shared" si="558"/>
        <v>43065.402777777781</v>
      </c>
      <c r="AP793" s="148" t="str">
        <f t="shared" si="559"/>
        <v>11/26/2017 09:40-&gt;JCC Back Field 2</v>
      </c>
      <c r="AQ793" s="374">
        <f t="shared" si="560"/>
        <v>1</v>
      </c>
      <c r="AR793" s="148" t="str">
        <f t="shared" si="561"/>
        <v>PER</v>
      </c>
      <c r="AS793" s="148" t="str">
        <f t="shared" si="562"/>
        <v>MEX2</v>
      </c>
      <c r="AT793" s="157" t="str">
        <f t="shared" si="563"/>
        <v>PER-MEX2</v>
      </c>
      <c r="AU793" s="157" t="str">
        <f t="shared" si="564"/>
        <v>PER-MEX2 Soccer Semi-Final</v>
      </c>
      <c r="AV793" s="157" t="str">
        <f t="shared" si="565"/>
        <v>CHILDREN E MALE</v>
      </c>
      <c r="AW793" s="157" t="str">
        <f t="shared" si="566"/>
        <v>Soccer</v>
      </c>
      <c r="AX793" s="376">
        <f t="shared" si="567"/>
        <v>791</v>
      </c>
      <c r="AY793" s="148" t="str">
        <f t="shared" si="568"/>
        <v>CHILD EM - PER-&gt;CHILD EM - MEX 2</v>
      </c>
      <c r="AZ793" s="148" t="str">
        <f t="shared" si="569"/>
        <v>11/26/2017 09:40-&gt;CHILD EM - PER</v>
      </c>
      <c r="BA793" s="148" t="str">
        <f t="shared" si="570"/>
        <v>11/26/2017 09:40-&gt;CHILD EM - MEX 2</v>
      </c>
      <c r="BB793" s="374">
        <f t="shared" si="571"/>
        <v>1</v>
      </c>
      <c r="BC793" s="374">
        <f t="shared" si="572"/>
        <v>1</v>
      </c>
      <c r="BD793" s="148" t="str">
        <f t="shared" si="573"/>
        <v>no conflict</v>
      </c>
      <c r="BF793" s="148" t="str">
        <f t="shared" si="574"/>
        <v>11/26/2017 09:40-&gt;CHILD EM - PER</v>
      </c>
      <c r="BG793" s="148" t="str">
        <f t="shared" si="575"/>
        <v>11/26/2017 09:40-&gt;CHILD EM - MEX 2</v>
      </c>
      <c r="BH793" s="148" t="str">
        <f t="shared" si="576"/>
        <v>11/26/2017 09:40-&gt;JCC Back Field 2</v>
      </c>
      <c r="BI793" s="148" t="str">
        <f t="shared" si="577"/>
        <v>Soccer in JCC Back Field 2 (PER-MEX2)</v>
      </c>
      <c r="BJ793" s="148" t="str">
        <f t="shared" si="578"/>
        <v>Ch E Male Mini Soccer-- CHILD EM - PER vs. CHILD EM - MEX 2</v>
      </c>
      <c r="BK793" s="148" t="str">
        <f t="shared" si="579"/>
        <v>Soccer</v>
      </c>
      <c r="BL793" s="148" t="str">
        <f t="shared" si="580"/>
        <v>CHILD EM - PER</v>
      </c>
      <c r="BM793" s="148" t="str">
        <f t="shared" si="581"/>
        <v>CHILD EM - MEX 2</v>
      </c>
      <c r="BN793" s="148" t="str">
        <f t="shared" si="582"/>
        <v>Semi-Final</v>
      </c>
      <c r="BP793" s="148" t="str">
        <f t="shared" si="583"/>
        <v>11/26/2017 09:40-&gt;CHILDREN E MALE</v>
      </c>
      <c r="BQ793" s="148" t="str">
        <f t="shared" si="584"/>
        <v>Soccer Semi-Final in JCC Back Field 2</v>
      </c>
    </row>
    <row r="794" spans="1:69" ht="15" customHeight="1" x14ac:dyDescent="0.2">
      <c r="A794" s="376">
        <v>792</v>
      </c>
      <c r="B794" s="444" t="s">
        <v>72</v>
      </c>
      <c r="C794" s="315" t="s">
        <v>771</v>
      </c>
      <c r="D794" s="378">
        <v>1</v>
      </c>
      <c r="E794" s="378">
        <v>1</v>
      </c>
      <c r="F794" s="315" t="s">
        <v>770</v>
      </c>
      <c r="G794" s="316">
        <v>43065</v>
      </c>
      <c r="H794" s="454">
        <v>0.40277777777777773</v>
      </c>
      <c r="I794" s="325" t="s">
        <v>770</v>
      </c>
      <c r="J794" s="315" t="s">
        <v>707</v>
      </c>
      <c r="K794" s="315"/>
      <c r="L794" s="462" t="s">
        <v>720</v>
      </c>
      <c r="M794"/>
      <c r="N794" s="462" t="s">
        <v>639</v>
      </c>
      <c r="O794" s="153" t="str">
        <f>IF(L794&lt;&gt;"",IFERROR(VLOOKUP(B794&amp;L794,Pools!$A$2:$D$130,3,FALSE),""),"")</f>
        <v/>
      </c>
      <c r="P794" s="388">
        <v>40</v>
      </c>
      <c r="Q794" s="388">
        <v>36</v>
      </c>
      <c r="R794" s="306" t="str">
        <f t="shared" si="540"/>
        <v>40-36</v>
      </c>
      <c r="S794" s="153"/>
      <c r="T794" s="148" t="str">
        <f t="shared" si="541"/>
        <v>Completed</v>
      </c>
      <c r="U794" s="153"/>
      <c r="V794" s="153"/>
      <c r="W794" s="387">
        <f t="shared" si="542"/>
        <v>4</v>
      </c>
      <c r="X794" s="387">
        <f t="shared" si="543"/>
        <v>-4</v>
      </c>
      <c r="Y794" s="301">
        <f t="shared" si="544"/>
        <v>2</v>
      </c>
      <c r="Z794" s="301">
        <f t="shared" si="545"/>
        <v>0</v>
      </c>
      <c r="AA794" s="323" t="str">
        <f>CONCATENATE("                x[team1,team2,sport,'",IF(OR(I794="x",I794=""),VLOOKUP('Schedule from TM'!J795,Tables!$P$3:$Q$33,2,FALSE),'Schedule from TM'!I795),",",J794,"','",IF(OR(F794="x",F794=""),VLOOKUP('Schedule from TM'!G795,Tables!$U$3:$V$14,2,FALSE),'Schedule from TM'!F795),",",TEXT(G794,"mm/dd/yyyy"),"','",TEXT(H794,"h:mm:ss AM/PM"),"'].ub=0.0      #",B794)</f>
        <v xml:space="preserve">                x[team1,team2,sport,'11,Hillel - Gym Basketball','21,11/26/2017','9:40:00 AM'].ub=0.0      #Junior A Male Basketball</v>
      </c>
      <c r="AB794" s="301" t="str">
        <f t="shared" si="546"/>
        <v>,,Junior A Male Basketball,,1,JR A M - MEX 2</v>
      </c>
      <c r="AC794" s="153" t="str">
        <f t="shared" si="547"/>
        <v>Junior A Male BasketballJR A M - MEX 2</v>
      </c>
      <c r="AD794" s="301" t="str">
        <f t="shared" si="548"/>
        <v>,,Junior A Male Basketball,,1,JR A M - COL 1</v>
      </c>
      <c r="AE794" s="153" t="str">
        <f t="shared" si="549"/>
        <v>Junior A Male BasketballJR A M - COL 1</v>
      </c>
      <c r="AF794" s="383">
        <f t="shared" si="550"/>
        <v>1</v>
      </c>
      <c r="AG794" s="383">
        <f t="shared" si="551"/>
        <v>0</v>
      </c>
      <c r="AH794" s="383">
        <f t="shared" si="552"/>
        <v>0</v>
      </c>
      <c r="AI794" s="383">
        <f t="shared" si="553"/>
        <v>0</v>
      </c>
      <c r="AJ794" s="383">
        <f t="shared" si="554"/>
        <v>1</v>
      </c>
      <c r="AK794" s="383">
        <f t="shared" si="555"/>
        <v>0</v>
      </c>
      <c r="AM794" s="148" t="str">
        <f t="shared" si="556"/>
        <v>Schedulled</v>
      </c>
      <c r="AN794" s="148" t="str">
        <f t="shared" si="557"/>
        <v/>
      </c>
      <c r="AO794" s="156">
        <f t="shared" si="558"/>
        <v>43065.402777777781</v>
      </c>
      <c r="AP794" s="148" t="str">
        <f t="shared" si="559"/>
        <v>11/26/2017 09:40-&gt;Hillel - Gym Basketball</v>
      </c>
      <c r="AQ794" s="374">
        <f t="shared" si="560"/>
        <v>1</v>
      </c>
      <c r="AR794" s="148" t="str">
        <f t="shared" si="561"/>
        <v>MEX2</v>
      </c>
      <c r="AS794" s="148" t="str">
        <f t="shared" si="562"/>
        <v>COL1</v>
      </c>
      <c r="AT794" s="157" t="str">
        <f t="shared" si="563"/>
        <v>MEX2-COL1</v>
      </c>
      <c r="AU794" s="157" t="str">
        <f t="shared" si="564"/>
        <v>MEX2-COL1 Basketball Semi-Final</v>
      </c>
      <c r="AV794" s="157" t="str">
        <f t="shared" si="565"/>
        <v>JUNIORS A MALE</v>
      </c>
      <c r="AW794" s="157" t="str">
        <f t="shared" si="566"/>
        <v>Basketball</v>
      </c>
      <c r="AX794" s="376">
        <f t="shared" si="567"/>
        <v>792</v>
      </c>
      <c r="AY794" s="148" t="str">
        <f t="shared" si="568"/>
        <v>JR A M - MEX 2-&gt;JR A M - COL 1</v>
      </c>
      <c r="AZ794" s="148" t="str">
        <f t="shared" si="569"/>
        <v>11/26/2017 09:40-&gt;JR A M - MEX 2</v>
      </c>
      <c r="BA794" s="148" t="str">
        <f t="shared" si="570"/>
        <v>11/26/2017 09:40-&gt;JR A M - COL 1</v>
      </c>
      <c r="BB794" s="374">
        <f t="shared" si="571"/>
        <v>1</v>
      </c>
      <c r="BC794" s="374">
        <f t="shared" si="572"/>
        <v>1</v>
      </c>
      <c r="BD794" s="148" t="str">
        <f t="shared" si="573"/>
        <v>no conflict</v>
      </c>
      <c r="BF794" s="148" t="str">
        <f t="shared" si="574"/>
        <v>11/26/2017 09:40-&gt;JR A M - MEX 2</v>
      </c>
      <c r="BG794" s="148" t="str">
        <f t="shared" si="575"/>
        <v>11/26/2017 09:40-&gt;JR A M - COL 1</v>
      </c>
      <c r="BH794" s="148" t="str">
        <f t="shared" si="576"/>
        <v>11/26/2017 09:40-&gt;Hillel - Gym Basketball</v>
      </c>
      <c r="BI794" s="148" t="str">
        <f t="shared" si="577"/>
        <v>Basketball in Hillel - Gym Basketball (MEX2-COL1)</v>
      </c>
      <c r="BJ794" s="148" t="str">
        <f t="shared" si="578"/>
        <v>Junior A Male Basketball-- JR A M - MEX 2 vs. JR A M - COL 1</v>
      </c>
      <c r="BK794" s="148" t="str">
        <f t="shared" si="579"/>
        <v>Basketball</v>
      </c>
      <c r="BL794" s="148" t="str">
        <f t="shared" si="580"/>
        <v>JR A M - MEX 2</v>
      </c>
      <c r="BM794" s="148" t="str">
        <f t="shared" si="581"/>
        <v>JR A M - COL 1</v>
      </c>
      <c r="BN794" s="148" t="str">
        <f t="shared" si="582"/>
        <v>Semi-Final</v>
      </c>
      <c r="BP794" s="148" t="str">
        <f t="shared" si="583"/>
        <v>11/26/2017 09:40-&gt;JUNIORS A MALE</v>
      </c>
      <c r="BQ794" s="148" t="str">
        <f t="shared" si="584"/>
        <v>Basketball Semi-Final in Hillel - Gym Basketball</v>
      </c>
    </row>
    <row r="795" spans="1:69" ht="15" customHeight="1" x14ac:dyDescent="0.2">
      <c r="A795" s="376">
        <v>793</v>
      </c>
      <c r="B795" s="315" t="s">
        <v>72</v>
      </c>
      <c r="C795" s="315" t="s">
        <v>771</v>
      </c>
      <c r="D795" s="378">
        <v>1</v>
      </c>
      <c r="E795" s="378">
        <v>1</v>
      </c>
      <c r="F795" s="315" t="s">
        <v>770</v>
      </c>
      <c r="G795" s="316">
        <v>43065</v>
      </c>
      <c r="H795" s="454">
        <v>0.40277777777777773</v>
      </c>
      <c r="I795" s="325" t="s">
        <v>770</v>
      </c>
      <c r="J795" s="315" t="s">
        <v>696</v>
      </c>
      <c r="K795" s="315"/>
      <c r="L795" s="462" t="s">
        <v>645</v>
      </c>
      <c r="M795"/>
      <c r="N795" s="462" t="s">
        <v>642</v>
      </c>
      <c r="O795" s="153" t="str">
        <f>IF(L795&lt;&gt;"",IFERROR(VLOOKUP(B795&amp;L795,Pools!$A$2:$D$130,3,FALSE),""),"")</f>
        <v/>
      </c>
      <c r="P795" s="388">
        <v>40</v>
      </c>
      <c r="Q795" s="388">
        <v>50</v>
      </c>
      <c r="R795" s="306" t="str">
        <f t="shared" si="540"/>
        <v>40-50</v>
      </c>
      <c r="S795" s="153"/>
      <c r="T795" s="148" t="str">
        <f t="shared" si="541"/>
        <v>Completed</v>
      </c>
      <c r="U795" s="153"/>
      <c r="V795" s="153"/>
      <c r="W795" s="387">
        <f t="shared" si="542"/>
        <v>-10</v>
      </c>
      <c r="X795" s="387">
        <f t="shared" si="543"/>
        <v>10</v>
      </c>
      <c r="Y795" s="301">
        <f t="shared" si="544"/>
        <v>0</v>
      </c>
      <c r="Z795" s="301">
        <f t="shared" si="545"/>
        <v>2</v>
      </c>
      <c r="AA795" s="323" t="str">
        <f>CONCATENATE("                x[team1,team2,sport,'",IF(OR(I795="x",I795=""),VLOOKUP('Schedule from TM'!J796,Tables!$P$3:$Q$33,2,FALSE),'Schedule from TM'!I796),",",J795,"','",IF(OR(F795="x",F795=""),VLOOKUP('Schedule from TM'!G796,Tables!$U$3:$V$14,2,FALSE),'Schedule from TM'!F796),",",TEXT(G795,"mm/dd/yyyy"),"','",TEXT(H795,"h:mm:ss AM/PM"),"'].ub=0.0      #",B795)</f>
        <v xml:space="preserve">                x[team1,team2,sport,'21,JCC Gym North','21,11/26/2017','9:40:00 AM'].ub=0.0      #Junior A Male Basketball</v>
      </c>
      <c r="AB795" s="301" t="str">
        <f t="shared" si="546"/>
        <v>,,Junior A Male Basketball,,1,JR A M - VEN 1</v>
      </c>
      <c r="AC795" s="153" t="str">
        <f t="shared" si="547"/>
        <v>Junior A Male BasketballJR A M - VEN 1</v>
      </c>
      <c r="AD795" s="301" t="str">
        <f t="shared" si="548"/>
        <v>,,Junior A Male Basketball,,1,JR A M - USA 1</v>
      </c>
      <c r="AE795" s="153" t="str">
        <f t="shared" si="549"/>
        <v>Junior A Male BasketballJR A M - USA 1</v>
      </c>
      <c r="AF795" s="383">
        <f t="shared" si="550"/>
        <v>0</v>
      </c>
      <c r="AG795" s="383">
        <f t="shared" si="551"/>
        <v>1</v>
      </c>
      <c r="AH795" s="383">
        <f t="shared" si="552"/>
        <v>0</v>
      </c>
      <c r="AI795" s="383">
        <f t="shared" si="553"/>
        <v>1</v>
      </c>
      <c r="AJ795" s="383">
        <f t="shared" si="554"/>
        <v>0</v>
      </c>
      <c r="AK795" s="383">
        <f t="shared" si="555"/>
        <v>0</v>
      </c>
      <c r="AM795" s="148" t="str">
        <f t="shared" si="556"/>
        <v>Schedulled</v>
      </c>
      <c r="AN795" s="148" t="str">
        <f t="shared" si="557"/>
        <v/>
      </c>
      <c r="AO795" s="156">
        <f t="shared" si="558"/>
        <v>43065.402777777781</v>
      </c>
      <c r="AP795" s="148" t="str">
        <f t="shared" si="559"/>
        <v>11/26/2017 09:40-&gt;JCC Gym North</v>
      </c>
      <c r="AQ795" s="374">
        <f t="shared" si="560"/>
        <v>1</v>
      </c>
      <c r="AR795" s="148" t="str">
        <f t="shared" si="561"/>
        <v>VEN1</v>
      </c>
      <c r="AS795" s="148" t="str">
        <f t="shared" si="562"/>
        <v>USA1</v>
      </c>
      <c r="AT795" s="157" t="str">
        <f t="shared" si="563"/>
        <v>VEN1-USA1</v>
      </c>
      <c r="AU795" s="157" t="str">
        <f t="shared" si="564"/>
        <v>VEN1-USA1 Basketball Semi-Final</v>
      </c>
      <c r="AV795" s="157" t="str">
        <f t="shared" si="565"/>
        <v>JUNIORS A MALE</v>
      </c>
      <c r="AW795" s="157" t="str">
        <f t="shared" si="566"/>
        <v>Basketball</v>
      </c>
      <c r="AX795" s="376">
        <f t="shared" si="567"/>
        <v>793</v>
      </c>
      <c r="AY795" s="148" t="str">
        <f t="shared" si="568"/>
        <v>JR A M - VEN 1-&gt;JR A M - USA 1</v>
      </c>
      <c r="AZ795" s="148" t="str">
        <f t="shared" si="569"/>
        <v>11/26/2017 09:40-&gt;JR A M - VEN 1</v>
      </c>
      <c r="BA795" s="148" t="str">
        <f t="shared" si="570"/>
        <v>11/26/2017 09:40-&gt;JR A M - USA 1</v>
      </c>
      <c r="BB795" s="374">
        <f t="shared" si="571"/>
        <v>1</v>
      </c>
      <c r="BC795" s="374">
        <f t="shared" si="572"/>
        <v>1</v>
      </c>
      <c r="BD795" s="148" t="str">
        <f t="shared" si="573"/>
        <v>no conflict</v>
      </c>
      <c r="BF795" s="148" t="str">
        <f t="shared" si="574"/>
        <v>11/26/2017 09:40-&gt;JR A M - VEN 1</v>
      </c>
      <c r="BG795" s="148" t="str">
        <f t="shared" si="575"/>
        <v>11/26/2017 09:40-&gt;JR A M - USA 1</v>
      </c>
      <c r="BH795" s="148" t="str">
        <f t="shared" si="576"/>
        <v>11/26/2017 09:40-&gt;JCC Gym North</v>
      </c>
      <c r="BI795" s="148" t="str">
        <f t="shared" si="577"/>
        <v>Basketball in JCC Gym North (VEN1-USA1)</v>
      </c>
      <c r="BJ795" s="148" t="str">
        <f t="shared" si="578"/>
        <v>Junior A Male Basketball-- JR A M - VEN 1 vs. JR A M - USA 1</v>
      </c>
      <c r="BK795" s="148" t="str">
        <f t="shared" si="579"/>
        <v>Basketball</v>
      </c>
      <c r="BL795" s="148" t="str">
        <f t="shared" si="580"/>
        <v>JR A M - VEN 1</v>
      </c>
      <c r="BM795" s="148" t="str">
        <f t="shared" si="581"/>
        <v>JR A M - USA 1</v>
      </c>
      <c r="BN795" s="148" t="str">
        <f t="shared" si="582"/>
        <v>Semi-Final</v>
      </c>
      <c r="BP795" s="148" t="str">
        <f t="shared" si="583"/>
        <v>11/26/2017 09:40-&gt;JUNIORS A MALE</v>
      </c>
      <c r="BQ795" s="148" t="str">
        <f t="shared" si="584"/>
        <v>Basketball Semi-Final in JCC Gym North</v>
      </c>
    </row>
    <row r="796" spans="1:69" ht="15" customHeight="1" x14ac:dyDescent="0.2">
      <c r="A796" s="376">
        <v>794</v>
      </c>
      <c r="B796" s="444" t="s">
        <v>73</v>
      </c>
      <c r="C796" s="444" t="s">
        <v>771</v>
      </c>
      <c r="D796" s="451">
        <v>1</v>
      </c>
      <c r="E796" s="451">
        <v>1</v>
      </c>
      <c r="F796" s="315" t="s">
        <v>770</v>
      </c>
      <c r="G796" s="445">
        <v>43065</v>
      </c>
      <c r="H796" s="454">
        <v>0.57638888888888895</v>
      </c>
      <c r="I796" s="325" t="s">
        <v>770</v>
      </c>
      <c r="J796" s="444" t="s">
        <v>705</v>
      </c>
      <c r="K796" s="441"/>
      <c r="L796" s="462" t="s">
        <v>720</v>
      </c>
      <c r="M796"/>
      <c r="N796" s="462" t="s">
        <v>719</v>
      </c>
      <c r="O796" s="153" t="str">
        <f>IF(L796&lt;&gt;"",IFERROR(VLOOKUP(B796&amp;L796,Pools!$A$2:$D$130,3,FALSE),""),"")</f>
        <v/>
      </c>
      <c r="P796" s="388">
        <v>37</v>
      </c>
      <c r="Q796" s="388">
        <v>40</v>
      </c>
      <c r="R796" s="306" t="str">
        <f t="shared" si="540"/>
        <v>37-40</v>
      </c>
      <c r="S796" s="153"/>
      <c r="T796" s="148" t="str">
        <f t="shared" si="541"/>
        <v>Completed</v>
      </c>
      <c r="U796" s="153"/>
      <c r="V796" s="153"/>
      <c r="W796" s="387">
        <f t="shared" si="542"/>
        <v>-3</v>
      </c>
      <c r="X796" s="387">
        <f t="shared" si="543"/>
        <v>3</v>
      </c>
      <c r="Y796" s="301">
        <f t="shared" si="544"/>
        <v>0</v>
      </c>
      <c r="Z796" s="301">
        <f t="shared" si="545"/>
        <v>2</v>
      </c>
      <c r="AA796" s="323" t="str">
        <f>CONCATENATE("                x[team1,team2,sport,'",IF(OR(I796="x",I796=""),VLOOKUP('Schedule from TM'!J797,Tables!$P$3:$Q$33,2,FALSE),'Schedule from TM'!I797),",",J796,"','",IF(OR(F796="x",F796=""),VLOOKUP('Schedule from TM'!G797,Tables!$U$3:$V$14,2,FALSE),'Schedule from TM'!F797),",",TEXT(G796,"mm/dd/yyyy"),"','",TEXT(H796,"h:mm:ss AM/PM"),"'].ub=0.0      #",B796)</f>
        <v xml:space="preserve">                x[team1,team2,sport,'21,Hillel - Field 3','21,11/26/2017','1:50:00 PM'].ub=0.0      #Junior A Male Flag Football</v>
      </c>
      <c r="AB796" s="301" t="str">
        <f t="shared" si="546"/>
        <v>,,Junior A Male Flag Football,,1,JR A M - MEX 2</v>
      </c>
      <c r="AC796" s="153" t="str">
        <f t="shared" si="547"/>
        <v>Junior A Male Flag FootballJR A M - MEX 2</v>
      </c>
      <c r="AD796" s="301" t="str">
        <f t="shared" si="548"/>
        <v>,,Junior A Male Flag Football,,1,JR A M - MEX 1</v>
      </c>
      <c r="AE796" s="153" t="str">
        <f t="shared" si="549"/>
        <v>Junior A Male Flag FootballJR A M - MEX 1</v>
      </c>
      <c r="AF796" s="383">
        <f t="shared" si="550"/>
        <v>0</v>
      </c>
      <c r="AG796" s="383">
        <f t="shared" si="551"/>
        <v>1</v>
      </c>
      <c r="AH796" s="383">
        <f t="shared" si="552"/>
        <v>0</v>
      </c>
      <c r="AI796" s="383">
        <f t="shared" si="553"/>
        <v>1</v>
      </c>
      <c r="AJ796" s="383">
        <f t="shared" si="554"/>
        <v>0</v>
      </c>
      <c r="AK796" s="383">
        <f t="shared" si="555"/>
        <v>0</v>
      </c>
      <c r="AM796" s="148" t="str">
        <f t="shared" si="556"/>
        <v>Schedulled</v>
      </c>
      <c r="AN796" s="148" t="str">
        <f t="shared" si="557"/>
        <v/>
      </c>
      <c r="AO796" s="156">
        <f t="shared" si="558"/>
        <v>43065.576388888891</v>
      </c>
      <c r="AP796" s="148" t="str">
        <f t="shared" si="559"/>
        <v>11/26/2017 13:50-&gt;Hillel - Field 3</v>
      </c>
      <c r="AQ796" s="374">
        <f t="shared" si="560"/>
        <v>1</v>
      </c>
      <c r="AR796" s="148" t="str">
        <f t="shared" si="561"/>
        <v>MEX2</v>
      </c>
      <c r="AS796" s="148" t="str">
        <f t="shared" si="562"/>
        <v>MEX1</v>
      </c>
      <c r="AT796" s="157" t="str">
        <f t="shared" si="563"/>
        <v>MEX2-MEX1</v>
      </c>
      <c r="AU796" s="157" t="str">
        <f t="shared" si="564"/>
        <v>MEX2-MEX1 Flag Football Semi-Final</v>
      </c>
      <c r="AV796" s="157" t="str">
        <f t="shared" si="565"/>
        <v>JUNIORS A MALE</v>
      </c>
      <c r="AW796" s="157" t="str">
        <f t="shared" si="566"/>
        <v>Flag Football</v>
      </c>
      <c r="AX796" s="376">
        <f t="shared" si="567"/>
        <v>794</v>
      </c>
      <c r="AY796" s="148" t="str">
        <f t="shared" si="568"/>
        <v>JR A M - MEX 2-&gt;JR A M - MEX 1</v>
      </c>
      <c r="AZ796" s="148" t="str">
        <f t="shared" si="569"/>
        <v>11/26/2017 13:50-&gt;JR A M - MEX 2</v>
      </c>
      <c r="BA796" s="148" t="str">
        <f t="shared" si="570"/>
        <v>11/26/2017 13:50-&gt;JR A M - MEX 1</v>
      </c>
      <c r="BB796" s="374">
        <f t="shared" si="571"/>
        <v>1</v>
      </c>
      <c r="BC796" s="374">
        <f t="shared" si="572"/>
        <v>1</v>
      </c>
      <c r="BD796" s="148" t="str">
        <f t="shared" si="573"/>
        <v>no conflict</v>
      </c>
      <c r="BF796" s="148" t="str">
        <f t="shared" si="574"/>
        <v>11/26/2017 13:50-&gt;JR A M - MEX 2</v>
      </c>
      <c r="BG796" s="148" t="str">
        <f t="shared" si="575"/>
        <v>11/26/2017 13:50-&gt;JR A M - MEX 1</v>
      </c>
      <c r="BH796" s="148" t="str">
        <f t="shared" si="576"/>
        <v>11/26/2017 13:50-&gt;Hillel - Field 3</v>
      </c>
      <c r="BI796" s="148" t="str">
        <f t="shared" si="577"/>
        <v>Flag Football in Hillel - Field 3 (MEX2-MEX1)</v>
      </c>
      <c r="BJ796" s="148" t="str">
        <f t="shared" si="578"/>
        <v>Junior A Male Flag Football-- JR A M - MEX 2 vs. JR A M - MEX 1</v>
      </c>
      <c r="BK796" s="148" t="str">
        <f t="shared" si="579"/>
        <v>Flag Football</v>
      </c>
      <c r="BL796" s="148" t="str">
        <f t="shared" si="580"/>
        <v>JR A M - MEX 2</v>
      </c>
      <c r="BM796" s="148" t="str">
        <f t="shared" si="581"/>
        <v>JR A M - MEX 1</v>
      </c>
      <c r="BN796" s="148" t="str">
        <f t="shared" si="582"/>
        <v>Semi-Final</v>
      </c>
      <c r="BP796" s="148" t="str">
        <f t="shared" si="583"/>
        <v>11/26/2017 13:50-&gt;JUNIORS A MALE</v>
      </c>
      <c r="BQ796" s="148" t="str">
        <f t="shared" si="584"/>
        <v>Flag Football Semi-Final in Hillel - Field 3</v>
      </c>
    </row>
    <row r="797" spans="1:69" ht="15" customHeight="1" x14ac:dyDescent="0.2">
      <c r="A797" s="376">
        <v>795</v>
      </c>
      <c r="B797" s="315" t="s">
        <v>73</v>
      </c>
      <c r="C797" s="315" t="s">
        <v>771</v>
      </c>
      <c r="D797" s="378">
        <v>1</v>
      </c>
      <c r="E797" s="378">
        <v>1</v>
      </c>
      <c r="F797" s="315" t="s">
        <v>770</v>
      </c>
      <c r="G797" s="316">
        <v>43065</v>
      </c>
      <c r="H797" s="454">
        <v>0.57638888888888895</v>
      </c>
      <c r="I797" s="325" t="s">
        <v>770</v>
      </c>
      <c r="J797" s="315" t="s">
        <v>706</v>
      </c>
      <c r="K797" s="315"/>
      <c r="L797" s="462" t="s">
        <v>642</v>
      </c>
      <c r="M797"/>
      <c r="N797" s="462" t="s">
        <v>646</v>
      </c>
      <c r="O797" s="153" t="str">
        <f>IF(L797&lt;&gt;"",IFERROR(VLOOKUP(B797&amp;L797,Pools!$A$2:$D$130,3,FALSE),""),"")</f>
        <v/>
      </c>
      <c r="P797" s="388">
        <v>46</v>
      </c>
      <c r="Q797" s="388">
        <v>38</v>
      </c>
      <c r="R797" s="306" t="str">
        <f t="shared" si="540"/>
        <v>46-38</v>
      </c>
      <c r="S797" s="153"/>
      <c r="T797" s="148" t="str">
        <f t="shared" si="541"/>
        <v>Completed</v>
      </c>
      <c r="U797" s="153"/>
      <c r="V797" s="153"/>
      <c r="W797" s="387">
        <f t="shared" si="542"/>
        <v>8</v>
      </c>
      <c r="X797" s="387">
        <f t="shared" si="543"/>
        <v>-8</v>
      </c>
      <c r="Y797" s="301">
        <f t="shared" si="544"/>
        <v>2</v>
      </c>
      <c r="Z797" s="301">
        <f t="shared" si="545"/>
        <v>0</v>
      </c>
      <c r="AA797" s="323" t="str">
        <f>CONCATENATE("                x[team1,team2,sport,'",IF(OR(I797="x",I797=""),VLOOKUP('Schedule from TM'!J798,Tables!$P$3:$Q$33,2,FALSE),'Schedule from TM'!I798),",",J797,"','",IF(OR(F797="x",F797=""),VLOOKUP('Schedule from TM'!G798,Tables!$U$3:$V$14,2,FALSE),'Schedule from TM'!F798),",",TEXT(G797,"mm/dd/yyyy"),"','",TEXT(H797,"h:mm:ss AM/PM"),"'].ub=0.0      #",B797)</f>
        <v xml:space="preserve">                x[team1,team2,sport,'11,Hillel - Field 4','21,11/26/2017','1:50:00 PM'].ub=0.0      #Junior A Male Flag Football</v>
      </c>
      <c r="AB797" s="301" t="str">
        <f t="shared" si="546"/>
        <v>,,Junior A Male Flag Football,,1,JR A M - USA 1</v>
      </c>
      <c r="AC797" s="153" t="str">
        <f t="shared" si="547"/>
        <v>Junior A Male Flag FootballJR A M - USA 1</v>
      </c>
      <c r="AD797" s="301" t="str">
        <f t="shared" si="548"/>
        <v>,,Junior A Male Flag Football,,1,JR A M - VEN 2</v>
      </c>
      <c r="AE797" s="153" t="str">
        <f t="shared" si="549"/>
        <v>Junior A Male Flag FootballJR A M - VEN 2</v>
      </c>
      <c r="AF797" s="383">
        <f t="shared" si="550"/>
        <v>1</v>
      </c>
      <c r="AG797" s="383">
        <f t="shared" si="551"/>
        <v>0</v>
      </c>
      <c r="AH797" s="383">
        <f t="shared" si="552"/>
        <v>0</v>
      </c>
      <c r="AI797" s="383">
        <f t="shared" si="553"/>
        <v>0</v>
      </c>
      <c r="AJ797" s="383">
        <f t="shared" si="554"/>
        <v>1</v>
      </c>
      <c r="AK797" s="383">
        <f t="shared" si="555"/>
        <v>0</v>
      </c>
      <c r="AM797" s="148" t="str">
        <f t="shared" si="556"/>
        <v>Schedulled</v>
      </c>
      <c r="AN797" s="148" t="str">
        <f t="shared" si="557"/>
        <v/>
      </c>
      <c r="AO797" s="156">
        <f t="shared" si="558"/>
        <v>43065.576388888891</v>
      </c>
      <c r="AP797" s="148" t="str">
        <f t="shared" si="559"/>
        <v>11/26/2017 13:50-&gt;Hillel - Field 4</v>
      </c>
      <c r="AQ797" s="374">
        <f t="shared" si="560"/>
        <v>1</v>
      </c>
      <c r="AR797" s="148" t="str">
        <f t="shared" si="561"/>
        <v>USA1</v>
      </c>
      <c r="AS797" s="148" t="str">
        <f t="shared" si="562"/>
        <v>VEN2</v>
      </c>
      <c r="AT797" s="157" t="str">
        <f t="shared" si="563"/>
        <v>USA1-VEN2</v>
      </c>
      <c r="AU797" s="157" t="str">
        <f t="shared" si="564"/>
        <v>USA1-VEN2 Flag Football Semi-Final</v>
      </c>
      <c r="AV797" s="157" t="str">
        <f t="shared" si="565"/>
        <v>JUNIORS A MALE</v>
      </c>
      <c r="AW797" s="157" t="str">
        <f t="shared" si="566"/>
        <v>Flag Football</v>
      </c>
      <c r="AX797" s="376">
        <f t="shared" si="567"/>
        <v>795</v>
      </c>
      <c r="AY797" s="148" t="str">
        <f t="shared" si="568"/>
        <v>JR A M - USA 1-&gt;JR A M - VEN 2</v>
      </c>
      <c r="AZ797" s="148" t="str">
        <f t="shared" si="569"/>
        <v>11/26/2017 13:50-&gt;JR A M - USA 1</v>
      </c>
      <c r="BA797" s="148" t="str">
        <f t="shared" si="570"/>
        <v>11/26/2017 13:50-&gt;JR A M - VEN 2</v>
      </c>
      <c r="BB797" s="374">
        <f t="shared" si="571"/>
        <v>1</v>
      </c>
      <c r="BC797" s="374">
        <f t="shared" si="572"/>
        <v>1</v>
      </c>
      <c r="BD797" s="148" t="str">
        <f t="shared" si="573"/>
        <v>no conflict</v>
      </c>
      <c r="BF797" s="148" t="str">
        <f t="shared" si="574"/>
        <v>11/26/2017 13:50-&gt;JR A M - USA 1</v>
      </c>
      <c r="BG797" s="148" t="str">
        <f t="shared" si="575"/>
        <v>11/26/2017 13:50-&gt;JR A M - VEN 2</v>
      </c>
      <c r="BH797" s="148" t="str">
        <f t="shared" si="576"/>
        <v>11/26/2017 13:50-&gt;Hillel - Field 4</v>
      </c>
      <c r="BI797" s="148" t="str">
        <f t="shared" si="577"/>
        <v>Flag Football in Hillel - Field 4 (USA1-VEN2)</v>
      </c>
      <c r="BJ797" s="148" t="str">
        <f t="shared" si="578"/>
        <v>Junior A Male Flag Football-- JR A M - USA 1 vs. JR A M - VEN 2</v>
      </c>
      <c r="BK797" s="148" t="str">
        <f t="shared" si="579"/>
        <v>Flag Football</v>
      </c>
      <c r="BL797" s="148" t="str">
        <f t="shared" si="580"/>
        <v>JR A M - USA 1</v>
      </c>
      <c r="BM797" s="148" t="str">
        <f t="shared" si="581"/>
        <v>JR A M - VEN 2</v>
      </c>
      <c r="BN797" s="148" t="str">
        <f t="shared" si="582"/>
        <v>Semi-Final</v>
      </c>
      <c r="BP797" s="148" t="str">
        <f t="shared" si="583"/>
        <v>11/26/2017 13:50-&gt;JUNIORS A MALE</v>
      </c>
      <c r="BQ797" s="148" t="str">
        <f t="shared" si="584"/>
        <v>Flag Football Semi-Final in Hillel - Field 4</v>
      </c>
    </row>
    <row r="798" spans="1:69" ht="15" customHeight="1" x14ac:dyDescent="0.2">
      <c r="A798" s="376">
        <v>796</v>
      </c>
      <c r="B798" s="444" t="s">
        <v>71</v>
      </c>
      <c r="C798" s="315" t="s">
        <v>771</v>
      </c>
      <c r="D798" s="378">
        <v>1</v>
      </c>
      <c r="E798" s="378">
        <v>1</v>
      </c>
      <c r="F798" s="315" t="s">
        <v>770</v>
      </c>
      <c r="G798" s="316">
        <v>43065</v>
      </c>
      <c r="H798" s="417">
        <v>0.4375</v>
      </c>
      <c r="I798" s="325" t="s">
        <v>770</v>
      </c>
      <c r="J798" s="444" t="s">
        <v>695</v>
      </c>
      <c r="K798" s="315"/>
      <c r="L798" s="462" t="s">
        <v>637</v>
      </c>
      <c r="M798"/>
      <c r="N798" s="462" t="s">
        <v>639</v>
      </c>
      <c r="O798" s="153" t="str">
        <f>IF(L798&lt;&gt;"",IFERROR(VLOOKUP(B798&amp;L798,Pools!$A$2:$D$130,3,FALSE),""),"")</f>
        <v/>
      </c>
      <c r="P798" s="388">
        <v>2</v>
      </c>
      <c r="Q798" s="388">
        <v>0</v>
      </c>
      <c r="R798" s="306" t="str">
        <f t="shared" si="540"/>
        <v>2-0</v>
      </c>
      <c r="S798" s="153"/>
      <c r="T798" s="148" t="str">
        <f t="shared" si="541"/>
        <v>Completed</v>
      </c>
      <c r="U798" s="153"/>
      <c r="V798" s="153"/>
      <c r="W798" s="387">
        <f t="shared" si="542"/>
        <v>2</v>
      </c>
      <c r="X798" s="387">
        <f t="shared" si="543"/>
        <v>-2</v>
      </c>
      <c r="Y798" s="301">
        <f t="shared" si="544"/>
        <v>2</v>
      </c>
      <c r="Z798" s="301">
        <f t="shared" si="545"/>
        <v>0</v>
      </c>
      <c r="AA798" s="323" t="str">
        <f>CONCATENATE("                x[team1,team2,sport,'",IF(OR(I798="x",I798=""),VLOOKUP('Schedule from TM'!J799,Tables!$P$3:$Q$33,2,FALSE),'Schedule from TM'!I799),",",J798,"','",IF(OR(F798="x",F798=""),VLOOKUP('Schedule from TM'!G799,Tables!$U$3:$V$14,2,FALSE),'Schedule from TM'!F799),",",TEXT(G798,"mm/dd/yyyy"),"','",TEXT(H798,"h:mm:ss AM/PM"),"'].ub=0.0      #",B798)</f>
        <v xml:space="preserve">                x[team1,team2,sport,'11,JCC Back Field 1','21,11/26/2017','10:30:00 AM'].ub=0.0      #Junior A Male Mini Soccer</v>
      </c>
      <c r="AB798" s="301" t="str">
        <f t="shared" si="546"/>
        <v>,,Junior A Male Mini Soccer,,1,JR A M - ARG 1</v>
      </c>
      <c r="AC798" s="153" t="str">
        <f t="shared" si="547"/>
        <v>Junior A Male Mini SoccerJR A M - ARG 1</v>
      </c>
      <c r="AD798" s="301" t="str">
        <f t="shared" si="548"/>
        <v>,,Junior A Male Mini Soccer,,1,JR A M - COL 1</v>
      </c>
      <c r="AE798" s="153" t="str">
        <f t="shared" si="549"/>
        <v>Junior A Male Mini SoccerJR A M - COL 1</v>
      </c>
      <c r="AF798" s="383">
        <f t="shared" si="550"/>
        <v>1</v>
      </c>
      <c r="AG798" s="383">
        <f t="shared" si="551"/>
        <v>0</v>
      </c>
      <c r="AH798" s="383">
        <f t="shared" si="552"/>
        <v>0</v>
      </c>
      <c r="AI798" s="383">
        <f t="shared" si="553"/>
        <v>0</v>
      </c>
      <c r="AJ798" s="383">
        <f t="shared" si="554"/>
        <v>1</v>
      </c>
      <c r="AK798" s="383">
        <f t="shared" si="555"/>
        <v>0</v>
      </c>
      <c r="AM798" s="148" t="str">
        <f t="shared" si="556"/>
        <v>Schedulled</v>
      </c>
      <c r="AN798" s="148" t="str">
        <f t="shared" si="557"/>
        <v/>
      </c>
      <c r="AO798" s="156">
        <f t="shared" si="558"/>
        <v>43065.4375</v>
      </c>
      <c r="AP798" s="148" t="str">
        <f t="shared" si="559"/>
        <v>11/26/2017 10:30-&gt;JCC Back Field 1</v>
      </c>
      <c r="AQ798" s="374">
        <f t="shared" si="560"/>
        <v>1</v>
      </c>
      <c r="AR798" s="148" t="str">
        <f t="shared" si="561"/>
        <v>ARG1</v>
      </c>
      <c r="AS798" s="148" t="str">
        <f t="shared" si="562"/>
        <v>COL1</v>
      </c>
      <c r="AT798" s="157" t="str">
        <f t="shared" si="563"/>
        <v>ARG1-COL1</v>
      </c>
      <c r="AU798" s="157" t="str">
        <f t="shared" si="564"/>
        <v>ARG1-COL1 Soccer Semi-Final</v>
      </c>
      <c r="AV798" s="157" t="str">
        <f t="shared" si="565"/>
        <v>JUNIORS A MALE</v>
      </c>
      <c r="AW798" s="157" t="str">
        <f t="shared" si="566"/>
        <v>Soccer</v>
      </c>
      <c r="AX798" s="376">
        <f t="shared" si="567"/>
        <v>796</v>
      </c>
      <c r="AY798" s="148" t="str">
        <f t="shared" si="568"/>
        <v>JR A M - ARG 1-&gt;JR A M - COL 1</v>
      </c>
      <c r="AZ798" s="148" t="str">
        <f t="shared" si="569"/>
        <v>11/26/2017 10:30-&gt;JR A M - ARG 1</v>
      </c>
      <c r="BA798" s="148" t="str">
        <f t="shared" si="570"/>
        <v>11/26/2017 10:30-&gt;JR A M - COL 1</v>
      </c>
      <c r="BB798" s="374">
        <f t="shared" si="571"/>
        <v>1</v>
      </c>
      <c r="BC798" s="374">
        <f t="shared" si="572"/>
        <v>1</v>
      </c>
      <c r="BD798" s="148" t="str">
        <f t="shared" si="573"/>
        <v>no conflict</v>
      </c>
      <c r="BF798" s="148" t="str">
        <f t="shared" si="574"/>
        <v>11/26/2017 10:30-&gt;JR A M - ARG 1</v>
      </c>
      <c r="BG798" s="148" t="str">
        <f t="shared" si="575"/>
        <v>11/26/2017 10:30-&gt;JR A M - COL 1</v>
      </c>
      <c r="BH798" s="148" t="str">
        <f t="shared" si="576"/>
        <v>11/26/2017 10:30-&gt;JCC Back Field 1</v>
      </c>
      <c r="BI798" s="148" t="str">
        <f t="shared" si="577"/>
        <v>Soccer in JCC Back Field 1 (ARG1-COL1)</v>
      </c>
      <c r="BJ798" s="148" t="str">
        <f t="shared" si="578"/>
        <v>Junior A Male Mini Soccer-- JR A M - ARG 1 vs. JR A M - COL 1</v>
      </c>
      <c r="BK798" s="148" t="str">
        <f t="shared" si="579"/>
        <v>Soccer</v>
      </c>
      <c r="BL798" s="148" t="str">
        <f t="shared" si="580"/>
        <v>JR A M - ARG 1</v>
      </c>
      <c r="BM798" s="148" t="str">
        <f t="shared" si="581"/>
        <v>JR A M - COL 1</v>
      </c>
      <c r="BN798" s="148" t="str">
        <f t="shared" si="582"/>
        <v>Semi-Final</v>
      </c>
      <c r="BP798" s="148" t="str">
        <f t="shared" si="583"/>
        <v>11/26/2017 10:30-&gt;JUNIORS A MALE</v>
      </c>
      <c r="BQ798" s="148" t="str">
        <f t="shared" si="584"/>
        <v>Soccer Semi-Final in JCC Back Field 1</v>
      </c>
    </row>
    <row r="799" spans="1:69" ht="15" customHeight="1" x14ac:dyDescent="0.2">
      <c r="A799" s="376">
        <v>797</v>
      </c>
      <c r="B799" s="444" t="s">
        <v>71</v>
      </c>
      <c r="C799" s="315" t="s">
        <v>771</v>
      </c>
      <c r="D799" s="378">
        <v>1</v>
      </c>
      <c r="E799" s="378">
        <v>1</v>
      </c>
      <c r="F799" s="315" t="s">
        <v>770</v>
      </c>
      <c r="G799" s="316">
        <v>43065</v>
      </c>
      <c r="H799" s="417">
        <v>0.4375</v>
      </c>
      <c r="I799" s="325" t="s">
        <v>770</v>
      </c>
      <c r="J799" s="315" t="s">
        <v>693</v>
      </c>
      <c r="K799" s="315"/>
      <c r="L799" s="462" t="s">
        <v>645</v>
      </c>
      <c r="M799"/>
      <c r="N799" s="462" t="s">
        <v>646</v>
      </c>
      <c r="O799" s="153" t="str">
        <f>IF(L799&lt;&gt;"",IFERROR(VLOOKUP(B799&amp;L799,Pools!$A$2:$D$130,3,FALSE),""),"")</f>
        <v/>
      </c>
      <c r="P799" s="388">
        <v>0</v>
      </c>
      <c r="Q799" s="388">
        <v>2</v>
      </c>
      <c r="R799" s="306" t="str">
        <f t="shared" si="540"/>
        <v>0-2</v>
      </c>
      <c r="S799" s="153"/>
      <c r="T799" s="148" t="str">
        <f t="shared" si="541"/>
        <v>Completed</v>
      </c>
      <c r="U799" s="153"/>
      <c r="V799" s="153"/>
      <c r="W799" s="387">
        <f t="shared" si="542"/>
        <v>-2</v>
      </c>
      <c r="X799" s="387">
        <f t="shared" si="543"/>
        <v>2</v>
      </c>
      <c r="Y799" s="301">
        <f t="shared" si="544"/>
        <v>0</v>
      </c>
      <c r="Z799" s="301">
        <f t="shared" si="545"/>
        <v>2</v>
      </c>
      <c r="AA799" s="323" t="str">
        <f>CONCATENATE("                x[team1,team2,sport,'",IF(OR(I799="x",I799=""),VLOOKUP('Schedule from TM'!J800,Tables!$P$3:$Q$33,2,FALSE),'Schedule from TM'!I800),",",J799,"','",IF(OR(F799="x",F799=""),VLOOKUP('Schedule from TM'!G800,Tables!$U$3:$V$14,2,FALSE),'Schedule from TM'!F800),",",TEXT(G799,"mm/dd/yyyy"),"','",TEXT(H799,"h:mm:ss AM/PM"),"'].ub=0.0      #",B799)</f>
        <v xml:space="preserve">                x[team1,team2,sport,'11,JCC Back Field 2','21,11/26/2017','10:30:00 AM'].ub=0.0      #Junior A Male Mini Soccer</v>
      </c>
      <c r="AB799" s="301" t="str">
        <f t="shared" si="546"/>
        <v>,,Junior A Male Mini Soccer,,1,JR A M - VEN 1</v>
      </c>
      <c r="AC799" s="153" t="str">
        <f t="shared" si="547"/>
        <v>Junior A Male Mini SoccerJR A M - VEN 1</v>
      </c>
      <c r="AD799" s="301" t="str">
        <f t="shared" si="548"/>
        <v>,,Junior A Male Mini Soccer,,1,JR A M - VEN 2</v>
      </c>
      <c r="AE799" s="153" t="str">
        <f t="shared" si="549"/>
        <v>Junior A Male Mini SoccerJR A M - VEN 2</v>
      </c>
      <c r="AF799" s="383">
        <f t="shared" si="550"/>
        <v>0</v>
      </c>
      <c r="AG799" s="383">
        <f t="shared" si="551"/>
        <v>1</v>
      </c>
      <c r="AH799" s="383">
        <f t="shared" si="552"/>
        <v>0</v>
      </c>
      <c r="AI799" s="383">
        <f t="shared" si="553"/>
        <v>1</v>
      </c>
      <c r="AJ799" s="383">
        <f t="shared" si="554"/>
        <v>0</v>
      </c>
      <c r="AK799" s="383">
        <f t="shared" si="555"/>
        <v>0</v>
      </c>
      <c r="AM799" s="148" t="str">
        <f t="shared" si="556"/>
        <v>Schedulled</v>
      </c>
      <c r="AN799" s="148" t="str">
        <f t="shared" si="557"/>
        <v/>
      </c>
      <c r="AO799" s="156">
        <f t="shared" si="558"/>
        <v>43065.4375</v>
      </c>
      <c r="AP799" s="148" t="str">
        <f t="shared" si="559"/>
        <v>11/26/2017 10:30-&gt;JCC Back Field 2</v>
      </c>
      <c r="AQ799" s="374">
        <f t="shared" si="560"/>
        <v>1</v>
      </c>
      <c r="AR799" s="148" t="str">
        <f t="shared" si="561"/>
        <v>VEN1</v>
      </c>
      <c r="AS799" s="148" t="str">
        <f t="shared" si="562"/>
        <v>VEN2</v>
      </c>
      <c r="AT799" s="157" t="str">
        <f t="shared" si="563"/>
        <v>VEN1-VEN2</v>
      </c>
      <c r="AU799" s="157" t="str">
        <f t="shared" si="564"/>
        <v>VEN1-VEN2 Soccer Semi-Final</v>
      </c>
      <c r="AV799" s="157" t="str">
        <f t="shared" si="565"/>
        <v>JUNIORS A MALE</v>
      </c>
      <c r="AW799" s="157" t="str">
        <f t="shared" si="566"/>
        <v>Soccer</v>
      </c>
      <c r="AX799" s="376">
        <f t="shared" si="567"/>
        <v>797</v>
      </c>
      <c r="AY799" s="148" t="str">
        <f t="shared" si="568"/>
        <v>JR A M - VEN 1-&gt;JR A M - VEN 2</v>
      </c>
      <c r="AZ799" s="148" t="str">
        <f t="shared" si="569"/>
        <v>11/26/2017 10:30-&gt;JR A M - VEN 1</v>
      </c>
      <c r="BA799" s="148" t="str">
        <f t="shared" si="570"/>
        <v>11/26/2017 10:30-&gt;JR A M - VEN 2</v>
      </c>
      <c r="BB799" s="374">
        <f t="shared" si="571"/>
        <v>1</v>
      </c>
      <c r="BC799" s="374">
        <f t="shared" si="572"/>
        <v>1</v>
      </c>
      <c r="BD799" s="148" t="str">
        <f t="shared" si="573"/>
        <v>no conflict</v>
      </c>
      <c r="BF799" s="148" t="str">
        <f t="shared" si="574"/>
        <v>11/26/2017 10:30-&gt;JR A M - VEN 1</v>
      </c>
      <c r="BG799" s="148" t="str">
        <f t="shared" si="575"/>
        <v>11/26/2017 10:30-&gt;JR A M - VEN 2</v>
      </c>
      <c r="BH799" s="148" t="str">
        <f t="shared" si="576"/>
        <v>11/26/2017 10:30-&gt;JCC Back Field 2</v>
      </c>
      <c r="BI799" s="148" t="str">
        <f t="shared" si="577"/>
        <v>Soccer in JCC Back Field 2 (VEN1-VEN2)</v>
      </c>
      <c r="BJ799" s="148" t="str">
        <f t="shared" si="578"/>
        <v>Junior A Male Mini Soccer-- JR A M - VEN 1 vs. JR A M - VEN 2</v>
      </c>
      <c r="BK799" s="148" t="str">
        <f t="shared" si="579"/>
        <v>Soccer</v>
      </c>
      <c r="BL799" s="148" t="str">
        <f t="shared" si="580"/>
        <v>JR A M - VEN 1</v>
      </c>
      <c r="BM799" s="148" t="str">
        <f t="shared" si="581"/>
        <v>JR A M - VEN 2</v>
      </c>
      <c r="BN799" s="148" t="str">
        <f t="shared" si="582"/>
        <v>Semi-Final</v>
      </c>
      <c r="BP799" s="148" t="str">
        <f t="shared" si="583"/>
        <v>11/26/2017 10:30-&gt;JUNIORS A MALE</v>
      </c>
      <c r="BQ799" s="148" t="str">
        <f t="shared" si="584"/>
        <v>Soccer Semi-Final in JCC Back Field 2</v>
      </c>
    </row>
    <row r="800" spans="1:69" ht="15" customHeight="1" x14ac:dyDescent="0.2">
      <c r="A800" s="376">
        <v>798</v>
      </c>
      <c r="B800" s="444" t="s">
        <v>76</v>
      </c>
      <c r="C800" s="444" t="s">
        <v>771</v>
      </c>
      <c r="D800" s="451">
        <v>1</v>
      </c>
      <c r="E800" s="451">
        <v>1</v>
      </c>
      <c r="F800" s="315" t="s">
        <v>770</v>
      </c>
      <c r="G800" s="445">
        <v>43065</v>
      </c>
      <c r="H800" s="454">
        <v>0.47222222222222227</v>
      </c>
      <c r="I800" s="325" t="s">
        <v>770</v>
      </c>
      <c r="J800" s="444" t="s">
        <v>696</v>
      </c>
      <c r="K800" s="444"/>
      <c r="L800" s="462" t="s">
        <v>653</v>
      </c>
      <c r="M800" s="433"/>
      <c r="N800" s="462" t="s">
        <v>652</v>
      </c>
      <c r="O800" s="153" t="str">
        <f>IF(L800&lt;&gt;"",IFERROR(VLOOKUP(B800&amp;L800,Pools!$A$2:$D$130,3,FALSE),""),"")</f>
        <v>Pool A</v>
      </c>
      <c r="P800" s="388">
        <v>52</v>
      </c>
      <c r="Q800" s="388">
        <v>33</v>
      </c>
      <c r="R800" s="306" t="str">
        <f t="shared" si="540"/>
        <v>52-33</v>
      </c>
      <c r="S800" s="153"/>
      <c r="T800" s="148" t="str">
        <f t="shared" si="541"/>
        <v>Completed</v>
      </c>
      <c r="U800" s="153"/>
      <c r="V800" s="153"/>
      <c r="W800" s="387">
        <f t="shared" si="542"/>
        <v>15</v>
      </c>
      <c r="X800" s="387">
        <f t="shared" si="543"/>
        <v>-15</v>
      </c>
      <c r="Y800" s="301">
        <f t="shared" si="544"/>
        <v>2</v>
      </c>
      <c r="Z800" s="301">
        <f t="shared" si="545"/>
        <v>0</v>
      </c>
      <c r="AA800" s="323" t="str">
        <f>CONCATENATE("                x[team1,team2,sport,'",IF(OR(I800="x",I800=""),VLOOKUP('Schedule from TM'!J801,Tables!$P$3:$Q$33,2,FALSE),'Schedule from TM'!I801),",",J800,"','",IF(OR(F800="x",F800=""),VLOOKUP('Schedule from TM'!G801,Tables!$U$3:$V$14,2,FALSE),'Schedule from TM'!F801),",",TEXT(G800,"mm/dd/yyyy"),"','",TEXT(H800,"h:mm:ss AM/PM"),"'].ub=0.0      #",B800)</f>
        <v xml:space="preserve">                x[team1,team2,sport,'21,JCC Gym North','21,11/26/2017','11:20:00 AM'].ub=0.0      #Junior B Male Basketball</v>
      </c>
      <c r="AB800" s="301" t="str">
        <f t="shared" si="546"/>
        <v>,,Junior B Male Basketball,Pool A,1,JR B M - PER</v>
      </c>
      <c r="AC800" s="153" t="str">
        <f t="shared" si="547"/>
        <v>Junior B Male BasketballPool AJR B M - PER</v>
      </c>
      <c r="AD800" s="301" t="str">
        <f t="shared" si="548"/>
        <v>,,Junior B Male Basketball,Pool A,1,JR B M - MEX</v>
      </c>
      <c r="AE800" s="153" t="str">
        <f t="shared" si="549"/>
        <v>Junior B Male BasketballPool AJR B M - MEX</v>
      </c>
      <c r="AF800" s="383">
        <f t="shared" si="550"/>
        <v>1</v>
      </c>
      <c r="AG800" s="383">
        <f t="shared" si="551"/>
        <v>0</v>
      </c>
      <c r="AH800" s="383">
        <f t="shared" si="552"/>
        <v>0</v>
      </c>
      <c r="AI800" s="383">
        <f t="shared" si="553"/>
        <v>0</v>
      </c>
      <c r="AJ800" s="383">
        <f t="shared" si="554"/>
        <v>1</v>
      </c>
      <c r="AK800" s="383">
        <f t="shared" si="555"/>
        <v>0</v>
      </c>
      <c r="AM800" s="148" t="str">
        <f t="shared" si="556"/>
        <v>Schedulled</v>
      </c>
      <c r="AN800" s="148" t="str">
        <f t="shared" si="557"/>
        <v/>
      </c>
      <c r="AO800" s="156">
        <f t="shared" si="558"/>
        <v>43065.472222222219</v>
      </c>
      <c r="AP800" s="148" t="str">
        <f t="shared" si="559"/>
        <v>11/26/2017 11:20-&gt;JCC Gym North</v>
      </c>
      <c r="AQ800" s="374">
        <f t="shared" si="560"/>
        <v>1</v>
      </c>
      <c r="AR800" s="148" t="str">
        <f t="shared" si="561"/>
        <v>PER</v>
      </c>
      <c r="AS800" s="148" t="str">
        <f t="shared" si="562"/>
        <v>MEX</v>
      </c>
      <c r="AT800" s="157" t="str">
        <f t="shared" si="563"/>
        <v>PER-MEX</v>
      </c>
      <c r="AU800" s="157" t="str">
        <f t="shared" si="564"/>
        <v>PER-MEX Basketball Semi-Final</v>
      </c>
      <c r="AV800" s="157" t="str">
        <f t="shared" si="565"/>
        <v>JUNIORS B MALE</v>
      </c>
      <c r="AW800" s="157" t="str">
        <f t="shared" si="566"/>
        <v>Basketball</v>
      </c>
      <c r="AX800" s="376">
        <f t="shared" si="567"/>
        <v>798</v>
      </c>
      <c r="AY800" s="148" t="str">
        <f t="shared" si="568"/>
        <v>JR B M - PER-&gt;JR B M - MEX</v>
      </c>
      <c r="AZ800" s="148" t="str">
        <f t="shared" si="569"/>
        <v>11/26/2017 11:20-&gt;JR B M - PER</v>
      </c>
      <c r="BA800" s="148" t="str">
        <f t="shared" si="570"/>
        <v>11/26/2017 11:20-&gt;JR B M - MEX</v>
      </c>
      <c r="BB800" s="374">
        <f t="shared" si="571"/>
        <v>1</v>
      </c>
      <c r="BC800" s="374">
        <f t="shared" si="572"/>
        <v>1</v>
      </c>
      <c r="BD800" s="148" t="str">
        <f t="shared" si="573"/>
        <v>no conflict</v>
      </c>
      <c r="BF800" s="148" t="str">
        <f t="shared" si="574"/>
        <v>11/26/2017 11:20-&gt;JR B M - PER</v>
      </c>
      <c r="BG800" s="148" t="str">
        <f t="shared" si="575"/>
        <v>11/26/2017 11:20-&gt;JR B M - MEX</v>
      </c>
      <c r="BH800" s="148" t="str">
        <f t="shared" si="576"/>
        <v>11/26/2017 11:20-&gt;JCC Gym North</v>
      </c>
      <c r="BI800" s="148" t="str">
        <f t="shared" si="577"/>
        <v>Basketball in JCC Gym North (PER-MEX)</v>
      </c>
      <c r="BJ800" s="148" t="str">
        <f t="shared" si="578"/>
        <v>Junior B Male Basketball-- JR B M - PER vs. JR B M - MEX</v>
      </c>
      <c r="BK800" s="148" t="str">
        <f t="shared" si="579"/>
        <v>Basketball</v>
      </c>
      <c r="BL800" s="148" t="str">
        <f t="shared" si="580"/>
        <v>JR B M - PER</v>
      </c>
      <c r="BM800" s="148" t="str">
        <f t="shared" si="581"/>
        <v>JR B M - MEX</v>
      </c>
      <c r="BN800" s="148" t="str">
        <f t="shared" si="582"/>
        <v>Semi-Final</v>
      </c>
      <c r="BP800" s="148" t="str">
        <f t="shared" si="583"/>
        <v>11/26/2017 11:20-&gt;JUNIORS B MALE</v>
      </c>
      <c r="BQ800" s="148" t="str">
        <f t="shared" si="584"/>
        <v>Basketball Semi-Final in JCC Gym North</v>
      </c>
    </row>
    <row r="801" spans="1:69" ht="15" customHeight="1" x14ac:dyDescent="0.2">
      <c r="A801" s="376">
        <v>799</v>
      </c>
      <c r="B801" s="315" t="s">
        <v>76</v>
      </c>
      <c r="C801" s="315" t="s">
        <v>771</v>
      </c>
      <c r="D801" s="378">
        <v>1</v>
      </c>
      <c r="E801" s="378">
        <v>1</v>
      </c>
      <c r="F801" s="315" t="s">
        <v>770</v>
      </c>
      <c r="G801" s="316">
        <v>43065</v>
      </c>
      <c r="H801" s="417">
        <v>0.47222222222222227</v>
      </c>
      <c r="I801" s="325" t="s">
        <v>770</v>
      </c>
      <c r="J801" s="315" t="s">
        <v>707</v>
      </c>
      <c r="K801" s="441"/>
      <c r="L801" s="462" t="s">
        <v>656</v>
      </c>
      <c r="M801" s="433"/>
      <c r="N801" s="462" t="s">
        <v>651</v>
      </c>
      <c r="O801" s="153" t="str">
        <f>IF(L801&lt;&gt;"",IFERROR(VLOOKUP(B801&amp;L801,Pools!$A$2:$D$130,3,FALSE),""),"")</f>
        <v>Pool A</v>
      </c>
      <c r="P801" s="388">
        <v>40</v>
      </c>
      <c r="Q801" s="388">
        <v>43</v>
      </c>
      <c r="R801" s="306" t="str">
        <f t="shared" si="540"/>
        <v>40-43</v>
      </c>
      <c r="S801" s="153"/>
      <c r="T801" s="148" t="str">
        <f t="shared" si="541"/>
        <v>Completed</v>
      </c>
      <c r="U801" s="153"/>
      <c r="V801" s="153"/>
      <c r="W801" s="387">
        <f t="shared" si="542"/>
        <v>-3</v>
      </c>
      <c r="X801" s="387">
        <f t="shared" si="543"/>
        <v>3</v>
      </c>
      <c r="Y801" s="301">
        <f t="shared" si="544"/>
        <v>0</v>
      </c>
      <c r="Z801" s="301">
        <f t="shared" si="545"/>
        <v>2</v>
      </c>
      <c r="AA801" s="323" t="str">
        <f>CONCATENATE("                x[team1,team2,sport,'",IF(OR(I801="x",I801=""),VLOOKUP('Schedule from TM'!J802,Tables!$P$3:$Q$33,2,FALSE),'Schedule from TM'!I802),",",J801,"','",IF(OR(F801="x",F801=""),VLOOKUP('Schedule from TM'!G802,Tables!$U$3:$V$14,2,FALSE),'Schedule from TM'!F802),",",TEXT(G801,"mm/dd/yyyy"),"','",TEXT(H801,"h:mm:ss AM/PM"),"'].ub=0.0      #",B801)</f>
        <v xml:space="preserve">                x[team1,team2,sport,'21,Hillel - Gym Basketball','21,11/26/2017','11:20:00 AM'].ub=0.0      #Junior B Male Basketball</v>
      </c>
      <c r="AB801" s="301" t="str">
        <f t="shared" si="546"/>
        <v>,,Junior B Male Basketball,Pool A,1,JR B M - VEN 1</v>
      </c>
      <c r="AC801" s="153" t="str">
        <f t="shared" si="547"/>
        <v>Junior B Male BasketballPool AJR B M - VEN 1</v>
      </c>
      <c r="AD801" s="301" t="str">
        <f t="shared" si="548"/>
        <v>,,Junior B Male Basketball,Pool A,1,JR B M - ISR 1</v>
      </c>
      <c r="AE801" s="153" t="str">
        <f t="shared" si="549"/>
        <v>Junior B Male BasketballPool AJR B M - ISR 1</v>
      </c>
      <c r="AF801" s="383">
        <f t="shared" si="550"/>
        <v>0</v>
      </c>
      <c r="AG801" s="383">
        <f t="shared" si="551"/>
        <v>1</v>
      </c>
      <c r="AH801" s="383">
        <f t="shared" si="552"/>
        <v>0</v>
      </c>
      <c r="AI801" s="383">
        <f t="shared" si="553"/>
        <v>1</v>
      </c>
      <c r="AJ801" s="383">
        <f t="shared" si="554"/>
        <v>0</v>
      </c>
      <c r="AK801" s="383">
        <f t="shared" si="555"/>
        <v>0</v>
      </c>
      <c r="AM801" s="148" t="str">
        <f t="shared" si="556"/>
        <v>Schedulled</v>
      </c>
      <c r="AN801" s="148" t="str">
        <f t="shared" si="557"/>
        <v/>
      </c>
      <c r="AO801" s="156">
        <f t="shared" si="558"/>
        <v>43065.472222222219</v>
      </c>
      <c r="AP801" s="148" t="str">
        <f t="shared" si="559"/>
        <v>11/26/2017 11:20-&gt;Hillel - Gym Basketball</v>
      </c>
      <c r="AQ801" s="374">
        <f t="shared" si="560"/>
        <v>1</v>
      </c>
      <c r="AR801" s="148" t="str">
        <f t="shared" si="561"/>
        <v>VEN1</v>
      </c>
      <c r="AS801" s="148" t="str">
        <f t="shared" si="562"/>
        <v>ISR1</v>
      </c>
      <c r="AT801" s="157" t="str">
        <f t="shared" si="563"/>
        <v>VEN1-ISR1</v>
      </c>
      <c r="AU801" s="157" t="str">
        <f t="shared" si="564"/>
        <v>VEN1-ISR1 Basketball Semi-Final</v>
      </c>
      <c r="AV801" s="157" t="str">
        <f t="shared" si="565"/>
        <v>JUNIORS B MALE</v>
      </c>
      <c r="AW801" s="157" t="str">
        <f t="shared" si="566"/>
        <v>Basketball</v>
      </c>
      <c r="AX801" s="376">
        <f t="shared" si="567"/>
        <v>799</v>
      </c>
      <c r="AY801" s="148" t="str">
        <f t="shared" si="568"/>
        <v>JR B M - VEN 1-&gt;JR B M - ISR 1</v>
      </c>
      <c r="AZ801" s="148" t="str">
        <f t="shared" si="569"/>
        <v>11/26/2017 11:20-&gt;JR B M - VEN 1</v>
      </c>
      <c r="BA801" s="148" t="str">
        <f t="shared" si="570"/>
        <v>11/26/2017 11:20-&gt;JR B M - ISR 1</v>
      </c>
      <c r="BB801" s="374">
        <f t="shared" si="571"/>
        <v>1</v>
      </c>
      <c r="BC801" s="374">
        <f t="shared" si="572"/>
        <v>1</v>
      </c>
      <c r="BD801" s="148" t="str">
        <f t="shared" si="573"/>
        <v>no conflict</v>
      </c>
      <c r="BF801" s="148" t="str">
        <f t="shared" si="574"/>
        <v>11/26/2017 11:20-&gt;JR B M - VEN 1</v>
      </c>
      <c r="BG801" s="148" t="str">
        <f t="shared" si="575"/>
        <v>11/26/2017 11:20-&gt;JR B M - ISR 1</v>
      </c>
      <c r="BH801" s="148" t="str">
        <f t="shared" si="576"/>
        <v>11/26/2017 11:20-&gt;Hillel - Gym Basketball</v>
      </c>
      <c r="BI801" s="148" t="str">
        <f t="shared" si="577"/>
        <v>Basketball in Hillel - Gym Basketball (VEN1-ISR1)</v>
      </c>
      <c r="BJ801" s="148" t="str">
        <f t="shared" si="578"/>
        <v>Junior B Male Basketball-- JR B M - VEN 1 vs. JR B M - ISR 1</v>
      </c>
      <c r="BK801" s="148" t="str">
        <f t="shared" si="579"/>
        <v>Basketball</v>
      </c>
      <c r="BL801" s="148" t="str">
        <f t="shared" si="580"/>
        <v>JR B M - VEN 1</v>
      </c>
      <c r="BM801" s="148" t="str">
        <f t="shared" si="581"/>
        <v>JR B M - ISR 1</v>
      </c>
      <c r="BN801" s="148" t="str">
        <f t="shared" si="582"/>
        <v>Semi-Final</v>
      </c>
      <c r="BP801" s="148" t="str">
        <f t="shared" si="583"/>
        <v>11/26/2017 11:20-&gt;JUNIORS B MALE</v>
      </c>
      <c r="BQ801" s="148" t="str">
        <f t="shared" si="584"/>
        <v>Basketball Semi-Final in Hillel - Gym Basketball</v>
      </c>
    </row>
    <row r="802" spans="1:69" ht="15" customHeight="1" x14ac:dyDescent="0.2">
      <c r="A802" s="376">
        <v>800</v>
      </c>
      <c r="B802" s="444" t="s">
        <v>77</v>
      </c>
      <c r="C802" s="315" t="s">
        <v>771</v>
      </c>
      <c r="D802" s="378">
        <v>1</v>
      </c>
      <c r="E802" s="378">
        <v>1</v>
      </c>
      <c r="F802" s="315" t="s">
        <v>770</v>
      </c>
      <c r="G802" s="316">
        <v>43065</v>
      </c>
      <c r="H802" s="417">
        <v>0.61111111111111105</v>
      </c>
      <c r="I802" s="325" t="s">
        <v>770</v>
      </c>
      <c r="J802" s="315" t="s">
        <v>705</v>
      </c>
      <c r="K802" s="441"/>
      <c r="L802" s="462" t="s">
        <v>653</v>
      </c>
      <c r="M802" s="433"/>
      <c r="N802" s="462" t="s">
        <v>652</v>
      </c>
      <c r="O802" s="153" t="str">
        <f>IF(L802&lt;&gt;"",IFERROR(VLOOKUP(B802&amp;L802,Pools!$A$2:$D$130,3,FALSE),""),"")</f>
        <v>Pool A</v>
      </c>
      <c r="P802" s="388">
        <v>35</v>
      </c>
      <c r="Q802" s="388">
        <v>34</v>
      </c>
      <c r="R802" s="306" t="str">
        <f t="shared" si="540"/>
        <v>35-34</v>
      </c>
      <c r="S802" s="153"/>
      <c r="T802" s="148" t="str">
        <f t="shared" si="541"/>
        <v>Completed</v>
      </c>
      <c r="U802" s="153"/>
      <c r="V802" s="153"/>
      <c r="W802" s="387">
        <f t="shared" si="542"/>
        <v>1</v>
      </c>
      <c r="X802" s="387">
        <f t="shared" si="543"/>
        <v>-1</v>
      </c>
      <c r="Y802" s="301">
        <f t="shared" si="544"/>
        <v>2</v>
      </c>
      <c r="Z802" s="301">
        <f t="shared" si="545"/>
        <v>0</v>
      </c>
      <c r="AA802" s="323" t="str">
        <f>CONCATENATE("                x[team1,team2,sport,'",IF(OR(I802="x",I802=""),VLOOKUP('Schedule from TM'!J803,Tables!$P$3:$Q$33,2,FALSE),'Schedule from TM'!I803),",",J802,"','",IF(OR(F802="x",F802=""),VLOOKUP('Schedule from TM'!G803,Tables!$U$3:$V$14,2,FALSE),'Schedule from TM'!F803),",",TEXT(G802,"mm/dd/yyyy"),"','",TEXT(H802,"h:mm:ss AM/PM"),"'].ub=0.0      #",B802)</f>
        <v xml:space="preserve">                x[team1,team2,sport,'21,Hillel - Field 3','21,11/26/2017','2:40:00 PM'].ub=0.0      #Junior B Male Flag Football</v>
      </c>
      <c r="AB802" s="301" t="str">
        <f t="shared" si="546"/>
        <v>,,Junior B Male Flag Football,Pool A,1,JR B M - PER</v>
      </c>
      <c r="AC802" s="153" t="str">
        <f t="shared" si="547"/>
        <v>Junior B Male Flag FootballPool AJR B M - PER</v>
      </c>
      <c r="AD802" s="301" t="str">
        <f t="shared" si="548"/>
        <v>,,Junior B Male Flag Football,Pool A,1,JR B M - MEX</v>
      </c>
      <c r="AE802" s="153" t="str">
        <f t="shared" si="549"/>
        <v>Junior B Male Flag FootballPool AJR B M - MEX</v>
      </c>
      <c r="AF802" s="383">
        <f t="shared" si="550"/>
        <v>1</v>
      </c>
      <c r="AG802" s="383">
        <f t="shared" si="551"/>
        <v>0</v>
      </c>
      <c r="AH802" s="383">
        <f t="shared" si="552"/>
        <v>0</v>
      </c>
      <c r="AI802" s="383">
        <f t="shared" si="553"/>
        <v>0</v>
      </c>
      <c r="AJ802" s="383">
        <f t="shared" si="554"/>
        <v>1</v>
      </c>
      <c r="AK802" s="383">
        <f t="shared" si="555"/>
        <v>0</v>
      </c>
      <c r="AM802" s="148" t="str">
        <f t="shared" si="556"/>
        <v>Schedulled</v>
      </c>
      <c r="AN802" s="148" t="str">
        <f t="shared" si="557"/>
        <v/>
      </c>
      <c r="AO802" s="156">
        <f t="shared" si="558"/>
        <v>43065.611111111109</v>
      </c>
      <c r="AP802" s="148" t="str">
        <f t="shared" si="559"/>
        <v>11/26/2017 14:40-&gt;Hillel - Field 3</v>
      </c>
      <c r="AQ802" s="374">
        <f t="shared" si="560"/>
        <v>1</v>
      </c>
      <c r="AR802" s="148" t="str">
        <f t="shared" si="561"/>
        <v>PER</v>
      </c>
      <c r="AS802" s="148" t="str">
        <f t="shared" si="562"/>
        <v>MEX</v>
      </c>
      <c r="AT802" s="157" t="str">
        <f t="shared" si="563"/>
        <v>PER-MEX</v>
      </c>
      <c r="AU802" s="157" t="str">
        <f t="shared" si="564"/>
        <v>PER-MEX Flag Football Semi-Final</v>
      </c>
      <c r="AV802" s="157" t="str">
        <f t="shared" si="565"/>
        <v>JUNIORS B MALE</v>
      </c>
      <c r="AW802" s="157" t="str">
        <f t="shared" si="566"/>
        <v>Flag Football</v>
      </c>
      <c r="AX802" s="376">
        <f t="shared" si="567"/>
        <v>800</v>
      </c>
      <c r="AY802" s="148" t="str">
        <f t="shared" si="568"/>
        <v>JR B M - PER-&gt;JR B M - MEX</v>
      </c>
      <c r="AZ802" s="148" t="str">
        <f t="shared" si="569"/>
        <v>11/26/2017 14:40-&gt;JR B M - PER</v>
      </c>
      <c r="BA802" s="148" t="str">
        <f t="shared" si="570"/>
        <v>11/26/2017 14:40-&gt;JR B M - MEX</v>
      </c>
      <c r="BB802" s="374">
        <f t="shared" si="571"/>
        <v>1</v>
      </c>
      <c r="BC802" s="374">
        <f t="shared" si="572"/>
        <v>1</v>
      </c>
      <c r="BD802" s="148" t="str">
        <f t="shared" si="573"/>
        <v>no conflict</v>
      </c>
      <c r="BF802" s="148" t="str">
        <f t="shared" si="574"/>
        <v>11/26/2017 14:40-&gt;JR B M - PER</v>
      </c>
      <c r="BG802" s="148" t="str">
        <f t="shared" si="575"/>
        <v>11/26/2017 14:40-&gt;JR B M - MEX</v>
      </c>
      <c r="BH802" s="148" t="str">
        <f t="shared" si="576"/>
        <v>11/26/2017 14:40-&gt;Hillel - Field 3</v>
      </c>
      <c r="BI802" s="148" t="str">
        <f t="shared" si="577"/>
        <v>Flag Football in Hillel - Field 3 (PER-MEX)</v>
      </c>
      <c r="BJ802" s="148" t="str">
        <f t="shared" si="578"/>
        <v>Junior B Male Flag Football-- JR B M - PER vs. JR B M - MEX</v>
      </c>
      <c r="BK802" s="148" t="str">
        <f t="shared" si="579"/>
        <v>Flag Football</v>
      </c>
      <c r="BL802" s="148" t="str">
        <f t="shared" si="580"/>
        <v>JR B M - PER</v>
      </c>
      <c r="BM802" s="148" t="str">
        <f t="shared" si="581"/>
        <v>JR B M - MEX</v>
      </c>
      <c r="BN802" s="148" t="str">
        <f t="shared" si="582"/>
        <v>Semi-Final</v>
      </c>
      <c r="BP802" s="148" t="str">
        <f t="shared" si="583"/>
        <v>11/26/2017 14:40-&gt;JUNIORS B MALE</v>
      </c>
      <c r="BQ802" s="148" t="str">
        <f t="shared" si="584"/>
        <v>Flag Football Semi-Final in Hillel - Field 3</v>
      </c>
    </row>
    <row r="803" spans="1:69" ht="15" customHeight="1" x14ac:dyDescent="0.2">
      <c r="A803" s="376">
        <v>801</v>
      </c>
      <c r="B803" s="444" t="s">
        <v>77</v>
      </c>
      <c r="C803" s="315" t="s">
        <v>771</v>
      </c>
      <c r="D803" s="378">
        <v>1</v>
      </c>
      <c r="E803" s="378">
        <v>1</v>
      </c>
      <c r="F803" s="315" t="s">
        <v>770</v>
      </c>
      <c r="G803" s="316">
        <v>43065</v>
      </c>
      <c r="H803" s="454">
        <v>0.61111111111111105</v>
      </c>
      <c r="I803" s="325" t="s">
        <v>770</v>
      </c>
      <c r="J803" s="444" t="s">
        <v>706</v>
      </c>
      <c r="K803" s="441"/>
      <c r="L803" s="462" t="s">
        <v>654</v>
      </c>
      <c r="M803"/>
      <c r="N803" s="462" t="s">
        <v>655</v>
      </c>
      <c r="O803" s="153" t="str">
        <f>IF(L803&lt;&gt;"",IFERROR(VLOOKUP(B803&amp;L803,Pools!$A$2:$D$130,3,FALSE),""),"")</f>
        <v>Pool B</v>
      </c>
      <c r="P803" s="388">
        <v>33</v>
      </c>
      <c r="Q803" s="388">
        <v>13</v>
      </c>
      <c r="R803" s="306" t="str">
        <f t="shared" si="540"/>
        <v>33-13</v>
      </c>
      <c r="S803" s="153"/>
      <c r="T803" s="148" t="str">
        <f t="shared" si="541"/>
        <v>Completed</v>
      </c>
      <c r="U803" s="153"/>
      <c r="V803" s="153"/>
      <c r="W803" s="387">
        <f t="shared" si="542"/>
        <v>20</v>
      </c>
      <c r="X803" s="387">
        <f t="shared" si="543"/>
        <v>-20</v>
      </c>
      <c r="Y803" s="301">
        <f t="shared" si="544"/>
        <v>2</v>
      </c>
      <c r="Z803" s="301">
        <f t="shared" si="545"/>
        <v>0</v>
      </c>
      <c r="AA803" s="323" t="str">
        <f>CONCATENATE("                x[team1,team2,sport,'",IF(OR(I803="x",I803=""),VLOOKUP('Schedule from TM'!J804,Tables!$P$3:$Q$33,2,FALSE),'Schedule from TM'!I804),",",J803,"','",IF(OR(F803="x",F803=""),VLOOKUP('Schedule from TM'!G804,Tables!$U$3:$V$14,2,FALSE),'Schedule from TM'!F804),",",TEXT(G803,"mm/dd/yyyy"),"','",TEXT(H803,"h:mm:ss AM/PM"),"'].ub=0.0      #",B803)</f>
        <v xml:space="preserve">                x[team1,team2,sport,'11,Hillel - Field 4','21,11/26/2017','2:40:00 PM'].ub=0.0      #Junior B Male Flag Football</v>
      </c>
      <c r="AB803" s="301" t="str">
        <f t="shared" si="546"/>
        <v>,,Junior B Male Flag Football,Pool B,1,JR B M - USA 1</v>
      </c>
      <c r="AC803" s="153" t="str">
        <f t="shared" si="547"/>
        <v>Junior B Male Flag FootballPool BJR B M - USA 1</v>
      </c>
      <c r="AD803" s="301" t="str">
        <f t="shared" si="548"/>
        <v>,,Junior B Male Flag Football,Pool B,1,JR B M - USA 2</v>
      </c>
      <c r="AE803" s="153" t="str">
        <f t="shared" si="549"/>
        <v>Junior B Male Flag FootballPool BJR B M - USA 2</v>
      </c>
      <c r="AF803" s="383">
        <f t="shared" si="550"/>
        <v>1</v>
      </c>
      <c r="AG803" s="383">
        <f t="shared" si="551"/>
        <v>0</v>
      </c>
      <c r="AH803" s="383">
        <f t="shared" si="552"/>
        <v>0</v>
      </c>
      <c r="AI803" s="383">
        <f t="shared" si="553"/>
        <v>0</v>
      </c>
      <c r="AJ803" s="383">
        <f t="shared" si="554"/>
        <v>1</v>
      </c>
      <c r="AK803" s="383">
        <f t="shared" si="555"/>
        <v>0</v>
      </c>
      <c r="AM803" s="148" t="str">
        <f t="shared" si="556"/>
        <v>Schedulled</v>
      </c>
      <c r="AN803" s="148" t="str">
        <f t="shared" si="557"/>
        <v/>
      </c>
      <c r="AO803" s="156">
        <f t="shared" si="558"/>
        <v>43065.611111111109</v>
      </c>
      <c r="AP803" s="148" t="str">
        <f t="shared" si="559"/>
        <v>11/26/2017 14:40-&gt;Hillel - Field 4</v>
      </c>
      <c r="AQ803" s="374">
        <f t="shared" si="560"/>
        <v>1</v>
      </c>
      <c r="AR803" s="148" t="str">
        <f t="shared" si="561"/>
        <v>USA1</v>
      </c>
      <c r="AS803" s="148" t="str">
        <f t="shared" si="562"/>
        <v>USA2</v>
      </c>
      <c r="AT803" s="157" t="str">
        <f t="shared" si="563"/>
        <v>USA1-USA2</v>
      </c>
      <c r="AU803" s="157" t="str">
        <f t="shared" si="564"/>
        <v>USA1-USA2 Flag Football Semi-Final</v>
      </c>
      <c r="AV803" s="157" t="str">
        <f t="shared" si="565"/>
        <v>JUNIORS B MALE</v>
      </c>
      <c r="AW803" s="157" t="str">
        <f t="shared" si="566"/>
        <v>Flag Football</v>
      </c>
      <c r="AX803" s="376">
        <f t="shared" si="567"/>
        <v>801</v>
      </c>
      <c r="AY803" s="148" t="str">
        <f t="shared" si="568"/>
        <v>JR B M - USA 1-&gt;JR B M - USA 2</v>
      </c>
      <c r="AZ803" s="148" t="str">
        <f t="shared" si="569"/>
        <v>11/26/2017 14:40-&gt;JR B M - USA 1</v>
      </c>
      <c r="BA803" s="148" t="str">
        <f t="shared" si="570"/>
        <v>11/26/2017 14:40-&gt;JR B M - USA 2</v>
      </c>
      <c r="BB803" s="374">
        <f t="shared" si="571"/>
        <v>1</v>
      </c>
      <c r="BC803" s="374">
        <f t="shared" si="572"/>
        <v>1</v>
      </c>
      <c r="BD803" s="148" t="str">
        <f t="shared" si="573"/>
        <v>no conflict</v>
      </c>
      <c r="BF803" s="148" t="str">
        <f t="shared" si="574"/>
        <v>11/26/2017 14:40-&gt;JR B M - USA 1</v>
      </c>
      <c r="BG803" s="148" t="str">
        <f t="shared" si="575"/>
        <v>11/26/2017 14:40-&gt;JR B M - USA 2</v>
      </c>
      <c r="BH803" s="148" t="str">
        <f t="shared" si="576"/>
        <v>11/26/2017 14:40-&gt;Hillel - Field 4</v>
      </c>
      <c r="BI803" s="148" t="str">
        <f t="shared" si="577"/>
        <v>Flag Football in Hillel - Field 4 (USA1-USA2)</v>
      </c>
      <c r="BJ803" s="148" t="str">
        <f t="shared" si="578"/>
        <v>Junior B Male Flag Football-- JR B M - USA 1 vs. JR B M - USA 2</v>
      </c>
      <c r="BK803" s="148" t="str">
        <f t="shared" si="579"/>
        <v>Flag Football</v>
      </c>
      <c r="BL803" s="148" t="str">
        <f t="shared" si="580"/>
        <v>JR B M - USA 1</v>
      </c>
      <c r="BM803" s="148" t="str">
        <f t="shared" si="581"/>
        <v>JR B M - USA 2</v>
      </c>
      <c r="BN803" s="148" t="str">
        <f t="shared" si="582"/>
        <v>Semi-Final</v>
      </c>
      <c r="BP803" s="148" t="str">
        <f t="shared" si="583"/>
        <v>11/26/2017 14:40-&gt;JUNIORS B MALE</v>
      </c>
      <c r="BQ803" s="148" t="str">
        <f t="shared" si="584"/>
        <v>Flag Football Semi-Final in Hillel - Field 4</v>
      </c>
    </row>
    <row r="804" spans="1:69" ht="15" customHeight="1" x14ac:dyDescent="0.2">
      <c r="A804" s="376">
        <v>802</v>
      </c>
      <c r="B804" s="444" t="s">
        <v>75</v>
      </c>
      <c r="C804" s="315" t="s">
        <v>771</v>
      </c>
      <c r="D804" s="378">
        <v>1</v>
      </c>
      <c r="E804" s="378">
        <v>1</v>
      </c>
      <c r="F804" s="315" t="s">
        <v>770</v>
      </c>
      <c r="G804" s="316">
        <v>43065</v>
      </c>
      <c r="H804" s="454">
        <v>0.40277777777777773</v>
      </c>
      <c r="I804" s="325" t="s">
        <v>770</v>
      </c>
      <c r="J804" s="315" t="s">
        <v>692</v>
      </c>
      <c r="K804" s="441"/>
      <c r="L804" s="462" t="s">
        <v>652</v>
      </c>
      <c r="M804"/>
      <c r="N804" s="462" t="s">
        <v>651</v>
      </c>
      <c r="O804" s="153" t="str">
        <f>IF(L804&lt;&gt;"",IFERROR(VLOOKUP(B804&amp;L804,Pools!$A$2:$D$130,3,FALSE),""),"")</f>
        <v>Pool A</v>
      </c>
      <c r="P804" s="388">
        <v>6</v>
      </c>
      <c r="Q804" s="388">
        <v>7</v>
      </c>
      <c r="R804" s="306" t="str">
        <f t="shared" si="540"/>
        <v>6-7</v>
      </c>
      <c r="S804" s="153"/>
      <c r="T804" s="148" t="str">
        <f t="shared" si="541"/>
        <v>Completed</v>
      </c>
      <c r="U804" s="153"/>
      <c r="V804" s="153"/>
      <c r="W804" s="387">
        <f t="shared" si="542"/>
        <v>-1</v>
      </c>
      <c r="X804" s="387">
        <f t="shared" si="543"/>
        <v>1</v>
      </c>
      <c r="Y804" s="301">
        <f t="shared" si="544"/>
        <v>0</v>
      </c>
      <c r="Z804" s="301">
        <f t="shared" si="545"/>
        <v>2</v>
      </c>
      <c r="AA804" s="323" t="str">
        <f>CONCATENATE("                x[team1,team2,sport,'",IF(OR(I804="x",I804=""),VLOOKUP('Schedule from TM'!J805,Tables!$P$3:$Q$33,2,FALSE),'Schedule from TM'!I805),",",J804,"','",IF(OR(F804="x",F804=""),VLOOKUP('Schedule from TM'!G805,Tables!$U$3:$V$14,2,FALSE),'Schedule from TM'!F805),",",TEXT(G804,"mm/dd/yyyy"),"','",TEXT(H804,"h:mm:ss AM/PM"),"'].ub=0.0      #",B804)</f>
        <v xml:space="preserve">                x[team1,team2,sport,'11,JCC Back Field 3','21,11/26/2017','9:40:00 AM'].ub=0.0      #Junior B Male Mini Soccer</v>
      </c>
      <c r="AB804" s="301" t="str">
        <f t="shared" si="546"/>
        <v>,,Junior B Male Mini Soccer,Pool A,1,JR B M - MEX</v>
      </c>
      <c r="AC804" s="153" t="str">
        <f t="shared" si="547"/>
        <v>Junior B Male Mini SoccerPool AJR B M - MEX</v>
      </c>
      <c r="AD804" s="301" t="str">
        <f t="shared" si="548"/>
        <v>,,Junior B Male Mini Soccer,Pool A,1,JR B M - ISR 1</v>
      </c>
      <c r="AE804" s="153" t="str">
        <f t="shared" si="549"/>
        <v>Junior B Male Mini SoccerPool AJR B M - ISR 1</v>
      </c>
      <c r="AF804" s="383">
        <f t="shared" si="550"/>
        <v>0</v>
      </c>
      <c r="AG804" s="383">
        <f t="shared" si="551"/>
        <v>1</v>
      </c>
      <c r="AH804" s="383">
        <f t="shared" si="552"/>
        <v>0</v>
      </c>
      <c r="AI804" s="383">
        <f t="shared" si="553"/>
        <v>1</v>
      </c>
      <c r="AJ804" s="383">
        <f t="shared" si="554"/>
        <v>0</v>
      </c>
      <c r="AK804" s="383">
        <f t="shared" si="555"/>
        <v>0</v>
      </c>
      <c r="AM804" s="148" t="str">
        <f t="shared" si="556"/>
        <v>Schedulled</v>
      </c>
      <c r="AN804" s="148" t="str">
        <f t="shared" si="557"/>
        <v/>
      </c>
      <c r="AO804" s="156">
        <f t="shared" si="558"/>
        <v>43065.402777777781</v>
      </c>
      <c r="AP804" s="148" t="str">
        <f t="shared" si="559"/>
        <v>11/26/2017 09:40-&gt;JCC Back Field 3</v>
      </c>
      <c r="AQ804" s="374">
        <f t="shared" si="560"/>
        <v>1</v>
      </c>
      <c r="AR804" s="148" t="str">
        <f t="shared" si="561"/>
        <v>MEX</v>
      </c>
      <c r="AS804" s="148" t="str">
        <f t="shared" si="562"/>
        <v>ISR1</v>
      </c>
      <c r="AT804" s="157" t="str">
        <f t="shared" si="563"/>
        <v>MEX-ISR1</v>
      </c>
      <c r="AU804" s="157" t="str">
        <f t="shared" si="564"/>
        <v>MEX-ISR1 Soccer Semi-Final</v>
      </c>
      <c r="AV804" s="157" t="str">
        <f t="shared" si="565"/>
        <v>JUNIORS B MALE</v>
      </c>
      <c r="AW804" s="157" t="str">
        <f t="shared" si="566"/>
        <v>Soccer</v>
      </c>
      <c r="AX804" s="376">
        <f t="shared" si="567"/>
        <v>802</v>
      </c>
      <c r="AY804" s="148" t="str">
        <f t="shared" si="568"/>
        <v>JR B M - MEX-&gt;JR B M - ISR 1</v>
      </c>
      <c r="AZ804" s="148" t="str">
        <f t="shared" si="569"/>
        <v>11/26/2017 09:40-&gt;JR B M - MEX</v>
      </c>
      <c r="BA804" s="148" t="str">
        <f t="shared" si="570"/>
        <v>11/26/2017 09:40-&gt;JR B M - ISR 1</v>
      </c>
      <c r="BB804" s="374">
        <f t="shared" si="571"/>
        <v>1</v>
      </c>
      <c r="BC804" s="374">
        <f t="shared" si="572"/>
        <v>1</v>
      </c>
      <c r="BD804" s="148" t="str">
        <f t="shared" si="573"/>
        <v>no conflict</v>
      </c>
      <c r="BF804" s="148" t="str">
        <f t="shared" si="574"/>
        <v>11/26/2017 09:40-&gt;JR B M - MEX</v>
      </c>
      <c r="BG804" s="148" t="str">
        <f t="shared" si="575"/>
        <v>11/26/2017 09:40-&gt;JR B M - ISR 1</v>
      </c>
      <c r="BH804" s="148" t="str">
        <f t="shared" si="576"/>
        <v>11/26/2017 09:40-&gt;JCC Back Field 3</v>
      </c>
      <c r="BI804" s="148" t="str">
        <f t="shared" si="577"/>
        <v>Soccer in JCC Back Field 3 (MEX-ISR1)</v>
      </c>
      <c r="BJ804" s="148" t="str">
        <f t="shared" si="578"/>
        <v>Junior B Male Mini Soccer-- JR B M - MEX vs. JR B M - ISR 1</v>
      </c>
      <c r="BK804" s="148" t="str">
        <f t="shared" si="579"/>
        <v>Soccer</v>
      </c>
      <c r="BL804" s="148" t="str">
        <f t="shared" si="580"/>
        <v>JR B M - MEX</v>
      </c>
      <c r="BM804" s="148" t="str">
        <f t="shared" si="581"/>
        <v>JR B M - ISR 1</v>
      </c>
      <c r="BN804" s="148" t="str">
        <f t="shared" si="582"/>
        <v>Semi-Final</v>
      </c>
      <c r="BP804" s="148" t="str">
        <f t="shared" si="583"/>
        <v>11/26/2017 09:40-&gt;JUNIORS B MALE</v>
      </c>
      <c r="BQ804" s="148" t="str">
        <f t="shared" si="584"/>
        <v>Soccer Semi-Final in JCC Back Field 3</v>
      </c>
    </row>
    <row r="805" spans="1:69" ht="15" customHeight="1" x14ac:dyDescent="0.2">
      <c r="A805" s="376">
        <v>803</v>
      </c>
      <c r="B805" s="444" t="s">
        <v>75</v>
      </c>
      <c r="C805" s="444" t="s">
        <v>771</v>
      </c>
      <c r="D805" s="451">
        <v>1</v>
      </c>
      <c r="E805" s="451">
        <v>1</v>
      </c>
      <c r="F805" s="315" t="s">
        <v>770</v>
      </c>
      <c r="G805" s="445">
        <v>43065</v>
      </c>
      <c r="H805" s="454">
        <v>0.40277777777777773</v>
      </c>
      <c r="I805" s="325" t="s">
        <v>770</v>
      </c>
      <c r="J805" s="444" t="s">
        <v>694</v>
      </c>
      <c r="K805" s="441"/>
      <c r="L805" s="462" t="s">
        <v>656</v>
      </c>
      <c r="M805"/>
      <c r="N805" s="462" t="s">
        <v>653</v>
      </c>
      <c r="O805" s="153" t="str">
        <f>IF(L805&lt;&gt;"",IFERROR(VLOOKUP(B805&amp;L805,Pools!$A$2:$D$130,3,FALSE),""),"")</f>
        <v>Pool A</v>
      </c>
      <c r="P805" s="388">
        <v>2</v>
      </c>
      <c r="Q805" s="388">
        <v>1</v>
      </c>
      <c r="R805" s="306" t="str">
        <f t="shared" si="540"/>
        <v>2-1</v>
      </c>
      <c r="S805" s="153"/>
      <c r="T805" s="148" t="str">
        <f t="shared" si="541"/>
        <v>Completed</v>
      </c>
      <c r="U805" s="153"/>
      <c r="V805" s="153"/>
      <c r="W805" s="387">
        <f t="shared" si="542"/>
        <v>1</v>
      </c>
      <c r="X805" s="387">
        <f t="shared" si="543"/>
        <v>-1</v>
      </c>
      <c r="Y805" s="301">
        <f t="shared" si="544"/>
        <v>2</v>
      </c>
      <c r="Z805" s="301">
        <f t="shared" si="545"/>
        <v>0</v>
      </c>
      <c r="AA805" s="323" t="str">
        <f>CONCATENATE("                x[team1,team2,sport,'",IF(OR(I805="x",I805=""),VLOOKUP('Schedule from TM'!J806,Tables!$P$3:$Q$33,2,FALSE),'Schedule from TM'!I806),",",J805,"','",IF(OR(F805="x",F805=""),VLOOKUP('Schedule from TM'!G806,Tables!$U$3:$V$14,2,FALSE),'Schedule from TM'!F806),",",TEXT(G805,"mm/dd/yyyy"),"','",TEXT(H805,"h:mm:ss AM/PM"),"'].ub=0.0      #",B805)</f>
        <v xml:space="preserve">                x[team1,team2,sport,'11,JCC Back Field 4','21,11/26/2017','9:40:00 AM'].ub=0.0      #Junior B Male Mini Soccer</v>
      </c>
      <c r="AB805" s="301" t="str">
        <f t="shared" si="546"/>
        <v>,,Junior B Male Mini Soccer,Pool A,1,JR B M - VEN 1</v>
      </c>
      <c r="AC805" s="153" t="str">
        <f t="shared" si="547"/>
        <v>Junior B Male Mini SoccerPool AJR B M - VEN 1</v>
      </c>
      <c r="AD805" s="301" t="str">
        <f t="shared" si="548"/>
        <v>,,Junior B Male Mini Soccer,Pool A,1,JR B M - PER</v>
      </c>
      <c r="AE805" s="153" t="str">
        <f t="shared" si="549"/>
        <v>Junior B Male Mini SoccerPool AJR B M - PER</v>
      </c>
      <c r="AF805" s="383">
        <f t="shared" si="550"/>
        <v>1</v>
      </c>
      <c r="AG805" s="383">
        <f t="shared" si="551"/>
        <v>0</v>
      </c>
      <c r="AH805" s="383">
        <f t="shared" si="552"/>
        <v>0</v>
      </c>
      <c r="AI805" s="383">
        <f t="shared" si="553"/>
        <v>0</v>
      </c>
      <c r="AJ805" s="383">
        <f t="shared" si="554"/>
        <v>1</v>
      </c>
      <c r="AK805" s="383">
        <f t="shared" si="555"/>
        <v>0</v>
      </c>
      <c r="AM805" s="148" t="str">
        <f t="shared" si="556"/>
        <v>Schedulled</v>
      </c>
      <c r="AN805" s="148" t="str">
        <f t="shared" si="557"/>
        <v/>
      </c>
      <c r="AO805" s="156">
        <f t="shared" si="558"/>
        <v>43065.402777777781</v>
      </c>
      <c r="AP805" s="148" t="str">
        <f t="shared" si="559"/>
        <v>11/26/2017 09:40-&gt;JCC Back Field 4</v>
      </c>
      <c r="AQ805" s="374">
        <f t="shared" si="560"/>
        <v>1</v>
      </c>
      <c r="AR805" s="148" t="str">
        <f t="shared" si="561"/>
        <v>VEN1</v>
      </c>
      <c r="AS805" s="148" t="str">
        <f t="shared" si="562"/>
        <v>PER</v>
      </c>
      <c r="AT805" s="157" t="str">
        <f t="shared" si="563"/>
        <v>VEN1-PER</v>
      </c>
      <c r="AU805" s="157" t="str">
        <f t="shared" si="564"/>
        <v>VEN1-PER Soccer Semi-Final</v>
      </c>
      <c r="AV805" s="157" t="str">
        <f t="shared" si="565"/>
        <v>JUNIORS B MALE</v>
      </c>
      <c r="AW805" s="157" t="str">
        <f t="shared" si="566"/>
        <v>Soccer</v>
      </c>
      <c r="AX805" s="376">
        <f t="shared" si="567"/>
        <v>803</v>
      </c>
      <c r="AY805" s="148" t="str">
        <f t="shared" si="568"/>
        <v>JR B M - VEN 1-&gt;JR B M - PER</v>
      </c>
      <c r="AZ805" s="148" t="str">
        <f t="shared" si="569"/>
        <v>11/26/2017 09:40-&gt;JR B M - VEN 1</v>
      </c>
      <c r="BA805" s="148" t="str">
        <f t="shared" si="570"/>
        <v>11/26/2017 09:40-&gt;JR B M - PER</v>
      </c>
      <c r="BB805" s="374">
        <f t="shared" si="571"/>
        <v>1</v>
      </c>
      <c r="BC805" s="374">
        <f t="shared" si="572"/>
        <v>1</v>
      </c>
      <c r="BD805" s="148" t="str">
        <f t="shared" si="573"/>
        <v>no conflict</v>
      </c>
      <c r="BF805" s="148" t="str">
        <f t="shared" si="574"/>
        <v>11/26/2017 09:40-&gt;JR B M - VEN 1</v>
      </c>
      <c r="BG805" s="148" t="str">
        <f t="shared" si="575"/>
        <v>11/26/2017 09:40-&gt;JR B M - PER</v>
      </c>
      <c r="BH805" s="148" t="str">
        <f t="shared" si="576"/>
        <v>11/26/2017 09:40-&gt;JCC Back Field 4</v>
      </c>
      <c r="BI805" s="148" t="str">
        <f t="shared" si="577"/>
        <v>Soccer in JCC Back Field 4 (VEN1-PER)</v>
      </c>
      <c r="BJ805" s="148" t="str">
        <f t="shared" si="578"/>
        <v>Junior B Male Mini Soccer-- JR B M - VEN 1 vs. JR B M - PER</v>
      </c>
      <c r="BK805" s="148" t="str">
        <f t="shared" si="579"/>
        <v>Soccer</v>
      </c>
      <c r="BL805" s="148" t="str">
        <f t="shared" si="580"/>
        <v>JR B M - VEN 1</v>
      </c>
      <c r="BM805" s="148" t="str">
        <f t="shared" si="581"/>
        <v>JR B M - PER</v>
      </c>
      <c r="BN805" s="148" t="str">
        <f t="shared" si="582"/>
        <v>Semi-Final</v>
      </c>
      <c r="BP805" s="148" t="str">
        <f t="shared" si="583"/>
        <v>11/26/2017 09:40-&gt;JUNIORS B MALE</v>
      </c>
      <c r="BQ805" s="148" t="str">
        <f t="shared" si="584"/>
        <v>Soccer Semi-Final in JCC Back Field 4</v>
      </c>
    </row>
    <row r="806" spans="1:69" ht="15" customHeight="1" x14ac:dyDescent="0.2">
      <c r="A806" s="376">
        <v>804</v>
      </c>
      <c r="B806" s="444" t="s">
        <v>68</v>
      </c>
      <c r="C806" s="444" t="s">
        <v>771</v>
      </c>
      <c r="D806" s="451">
        <v>1</v>
      </c>
      <c r="E806" s="451">
        <v>1</v>
      </c>
      <c r="F806" s="315" t="s">
        <v>770</v>
      </c>
      <c r="G806" s="445">
        <v>43065</v>
      </c>
      <c r="H806" s="454">
        <v>0.4375</v>
      </c>
      <c r="I806" s="325" t="s">
        <v>770</v>
      </c>
      <c r="J806" s="444" t="s">
        <v>696</v>
      </c>
      <c r="K806" s="444"/>
      <c r="L806" s="462" t="s">
        <v>660</v>
      </c>
      <c r="M806"/>
      <c r="N806" s="462" t="s">
        <v>661</v>
      </c>
      <c r="O806" s="153" t="str">
        <f>IF(L806&lt;&gt;"",IFERROR(VLOOKUP(B806&amp;L806,Pools!$A$2:$D$130,3,FALSE),""),"")</f>
        <v/>
      </c>
      <c r="P806" s="388">
        <v>21</v>
      </c>
      <c r="Q806" s="388">
        <v>14</v>
      </c>
      <c r="R806" s="306" t="str">
        <f t="shared" si="540"/>
        <v>21-14</v>
      </c>
      <c r="S806" s="153"/>
      <c r="T806" s="148" t="str">
        <f t="shared" si="541"/>
        <v>Completed</v>
      </c>
      <c r="U806" s="153"/>
      <c r="V806" s="153"/>
      <c r="W806" s="387">
        <f t="shared" si="542"/>
        <v>7</v>
      </c>
      <c r="X806" s="387">
        <f t="shared" si="543"/>
        <v>-7</v>
      </c>
      <c r="Y806" s="301">
        <f t="shared" si="544"/>
        <v>2</v>
      </c>
      <c r="Z806" s="301">
        <f t="shared" si="545"/>
        <v>0</v>
      </c>
      <c r="AA806" s="323" t="str">
        <f>CONCATENATE("                x[team1,team2,sport,'",IF(OR(I806="x",I806=""),VLOOKUP('Schedule from TM'!J807,Tables!$P$3:$Q$33,2,FALSE),'Schedule from TM'!I807),",",J806,"','",IF(OR(F806="x",F806=""),VLOOKUP('Schedule from TM'!G807,Tables!$U$3:$V$14,2,FALSE),'Schedule from TM'!F807),",",TEXT(G806,"mm/dd/yyyy"),"','",TEXT(H806,"h:mm:ss AM/PM"),"'].ub=0.0      #",B806)</f>
        <v xml:space="preserve">                x[team1,team2,sport,'21,JCC Gym North','21,11/26/2017','10:30:00 AM'].ub=0.0      #Junior Female Basketball</v>
      </c>
      <c r="AB806" s="301" t="str">
        <f t="shared" si="546"/>
        <v>,,Junior Female Basketball,,1,JR F - COL 2</v>
      </c>
      <c r="AC806" s="153" t="str">
        <f t="shared" si="547"/>
        <v>Junior Female BasketballJR F - COL 2</v>
      </c>
      <c r="AD806" s="301" t="str">
        <f t="shared" si="548"/>
        <v>,,Junior Female Basketball,,1,JR F - ISR 1</v>
      </c>
      <c r="AE806" s="153" t="str">
        <f t="shared" si="549"/>
        <v>Junior Female BasketballJR F - ISR 1</v>
      </c>
      <c r="AF806" s="383">
        <f t="shared" si="550"/>
        <v>1</v>
      </c>
      <c r="AG806" s="383">
        <f t="shared" si="551"/>
        <v>0</v>
      </c>
      <c r="AH806" s="383">
        <f t="shared" si="552"/>
        <v>0</v>
      </c>
      <c r="AI806" s="383">
        <f t="shared" si="553"/>
        <v>0</v>
      </c>
      <c r="AJ806" s="383">
        <f t="shared" si="554"/>
        <v>1</v>
      </c>
      <c r="AK806" s="383">
        <f t="shared" si="555"/>
        <v>0</v>
      </c>
      <c r="AM806" s="148" t="str">
        <f t="shared" si="556"/>
        <v>Schedulled</v>
      </c>
      <c r="AN806" s="148" t="str">
        <f t="shared" si="557"/>
        <v/>
      </c>
      <c r="AO806" s="156">
        <f t="shared" si="558"/>
        <v>43065.4375</v>
      </c>
      <c r="AP806" s="148" t="str">
        <f t="shared" si="559"/>
        <v>11/26/2017 10:30-&gt;JCC Gym North</v>
      </c>
      <c r="AQ806" s="374">
        <f t="shared" si="560"/>
        <v>1</v>
      </c>
      <c r="AR806" s="148" t="str">
        <f t="shared" si="561"/>
        <v>COL2</v>
      </c>
      <c r="AS806" s="148" t="str">
        <f t="shared" si="562"/>
        <v>ISR1</v>
      </c>
      <c r="AT806" s="157" t="str">
        <f t="shared" si="563"/>
        <v>COL2-ISR1</v>
      </c>
      <c r="AU806" s="157" t="str">
        <f t="shared" si="564"/>
        <v>COL2-ISR1 Basketball Semi-Final</v>
      </c>
      <c r="AV806" s="157" t="str">
        <f t="shared" si="565"/>
        <v>JUNIORS FEMALE</v>
      </c>
      <c r="AW806" s="157" t="str">
        <f t="shared" si="566"/>
        <v>Basketball</v>
      </c>
      <c r="AX806" s="376">
        <f t="shared" si="567"/>
        <v>804</v>
      </c>
      <c r="AY806" s="148" t="str">
        <f t="shared" si="568"/>
        <v>JR F - COL 2-&gt;JR F - ISR 1</v>
      </c>
      <c r="AZ806" s="148" t="str">
        <f t="shared" si="569"/>
        <v>11/26/2017 10:30-&gt;JR F - COL 2</v>
      </c>
      <c r="BA806" s="148" t="str">
        <f t="shared" si="570"/>
        <v>11/26/2017 10:30-&gt;JR F - ISR 1</v>
      </c>
      <c r="BB806" s="374">
        <f t="shared" si="571"/>
        <v>1</v>
      </c>
      <c r="BC806" s="374">
        <f t="shared" si="572"/>
        <v>1</v>
      </c>
      <c r="BD806" s="148" t="str">
        <f t="shared" si="573"/>
        <v>no conflict</v>
      </c>
      <c r="BF806" s="148" t="str">
        <f t="shared" si="574"/>
        <v>11/26/2017 10:30-&gt;JR F - COL 2</v>
      </c>
      <c r="BG806" s="148" t="str">
        <f t="shared" si="575"/>
        <v>11/26/2017 10:30-&gt;JR F - ISR 1</v>
      </c>
      <c r="BH806" s="148" t="str">
        <f t="shared" si="576"/>
        <v>11/26/2017 10:30-&gt;JCC Gym North</v>
      </c>
      <c r="BI806" s="148" t="str">
        <f t="shared" si="577"/>
        <v>Basketball in JCC Gym North (COL2-ISR1)</v>
      </c>
      <c r="BJ806" s="148" t="str">
        <f t="shared" si="578"/>
        <v>Junior Female Basketball-- JR F - COL 2 vs. JR F - ISR 1</v>
      </c>
      <c r="BK806" s="148" t="str">
        <f t="shared" si="579"/>
        <v>Basketball</v>
      </c>
      <c r="BL806" s="148" t="str">
        <f t="shared" si="580"/>
        <v>JR F - COL 2</v>
      </c>
      <c r="BM806" s="148" t="str">
        <f t="shared" si="581"/>
        <v>JR F - ISR 1</v>
      </c>
      <c r="BN806" s="148" t="str">
        <f t="shared" si="582"/>
        <v>Semi-Final</v>
      </c>
      <c r="BP806" s="148" t="str">
        <f t="shared" si="583"/>
        <v>11/26/2017 10:30-&gt;JUNIORS FEMALE</v>
      </c>
      <c r="BQ806" s="148" t="str">
        <f t="shared" si="584"/>
        <v>Basketball Semi-Final in JCC Gym North</v>
      </c>
    </row>
    <row r="807" spans="1:69" ht="15" customHeight="1" x14ac:dyDescent="0.2">
      <c r="A807" s="376">
        <v>805</v>
      </c>
      <c r="B807" s="444" t="s">
        <v>68</v>
      </c>
      <c r="C807" s="315" t="s">
        <v>771</v>
      </c>
      <c r="D807" s="378">
        <v>1</v>
      </c>
      <c r="E807" s="378">
        <v>1</v>
      </c>
      <c r="F807" s="315" t="s">
        <v>770</v>
      </c>
      <c r="G807" s="316">
        <v>43065</v>
      </c>
      <c r="H807" s="454">
        <v>0.4375</v>
      </c>
      <c r="I807" s="325" t="s">
        <v>770</v>
      </c>
      <c r="J807" s="315" t="s">
        <v>707</v>
      </c>
      <c r="K807" s="315"/>
      <c r="L807" s="462" t="s">
        <v>667</v>
      </c>
      <c r="M807"/>
      <c r="N807" s="462" t="s">
        <v>659</v>
      </c>
      <c r="O807" s="153" t="str">
        <f>IF(L807&lt;&gt;"",IFERROR(VLOOKUP(B807&amp;L807,Pools!$A$2:$D$130,3,FALSE),""),"")</f>
        <v/>
      </c>
      <c r="P807" s="388">
        <v>37</v>
      </c>
      <c r="Q807" s="388">
        <v>24</v>
      </c>
      <c r="R807" s="306" t="str">
        <f t="shared" si="540"/>
        <v>37-24</v>
      </c>
      <c r="S807" s="153"/>
      <c r="T807" s="148" t="str">
        <f t="shared" si="541"/>
        <v>Completed</v>
      </c>
      <c r="U807" s="153"/>
      <c r="V807" s="153"/>
      <c r="W807" s="387">
        <f t="shared" si="542"/>
        <v>13</v>
      </c>
      <c r="X807" s="387">
        <f t="shared" si="543"/>
        <v>-13</v>
      </c>
      <c r="Y807" s="301">
        <f t="shared" si="544"/>
        <v>2</v>
      </c>
      <c r="Z807" s="301">
        <f t="shared" si="545"/>
        <v>0</v>
      </c>
      <c r="AA807" s="323" t="str">
        <f>CONCATENATE("                x[team1,team2,sport,'",IF(OR(I807="x",I807=""),VLOOKUP('Schedule from TM'!J808,Tables!$P$3:$Q$33,2,FALSE),'Schedule from TM'!I808),",",J807,"','",IF(OR(F807="x",F807=""),VLOOKUP('Schedule from TM'!G808,Tables!$U$3:$V$14,2,FALSE),'Schedule from TM'!F808),",",TEXT(G807,"mm/dd/yyyy"),"','",TEXT(H807,"h:mm:ss AM/PM"),"'].ub=0.0      #",B807)</f>
        <v xml:space="preserve">                x[team1,team2,sport,'21,Hillel - Gym Basketball','21,11/26/2017','10:30:00 AM'].ub=0.0      #Junior Female Basketball</v>
      </c>
      <c r="AB807" s="301" t="str">
        <f t="shared" si="546"/>
        <v>,,Junior Female Basketball,,1,JR F - USA 2</v>
      </c>
      <c r="AC807" s="153" t="str">
        <f t="shared" si="547"/>
        <v>Junior Female BasketballJR F - USA 2</v>
      </c>
      <c r="AD807" s="301" t="str">
        <f t="shared" si="548"/>
        <v>,,Junior Female Basketball,,1,JR F - ARG 1</v>
      </c>
      <c r="AE807" s="153" t="str">
        <f t="shared" si="549"/>
        <v>Junior Female BasketballJR F - ARG 1</v>
      </c>
      <c r="AF807" s="383">
        <f t="shared" si="550"/>
        <v>1</v>
      </c>
      <c r="AG807" s="383">
        <f t="shared" si="551"/>
        <v>0</v>
      </c>
      <c r="AH807" s="383">
        <f t="shared" si="552"/>
        <v>0</v>
      </c>
      <c r="AI807" s="383">
        <f t="shared" si="553"/>
        <v>0</v>
      </c>
      <c r="AJ807" s="383">
        <f t="shared" si="554"/>
        <v>1</v>
      </c>
      <c r="AK807" s="383">
        <f t="shared" si="555"/>
        <v>0</v>
      </c>
      <c r="AM807" s="148" t="str">
        <f t="shared" si="556"/>
        <v>Schedulled</v>
      </c>
      <c r="AN807" s="148" t="str">
        <f t="shared" si="557"/>
        <v/>
      </c>
      <c r="AO807" s="156">
        <f t="shared" si="558"/>
        <v>43065.4375</v>
      </c>
      <c r="AP807" s="148" t="str">
        <f t="shared" si="559"/>
        <v>11/26/2017 10:30-&gt;Hillel - Gym Basketball</v>
      </c>
      <c r="AQ807" s="374">
        <f t="shared" si="560"/>
        <v>1</v>
      </c>
      <c r="AR807" s="148" t="str">
        <f t="shared" si="561"/>
        <v>USA2</v>
      </c>
      <c r="AS807" s="148" t="str">
        <f t="shared" si="562"/>
        <v>ARG1</v>
      </c>
      <c r="AT807" s="157" t="str">
        <f t="shared" si="563"/>
        <v>USA2-ARG1</v>
      </c>
      <c r="AU807" s="157" t="str">
        <f t="shared" si="564"/>
        <v>USA2-ARG1 Basketball Semi-Final</v>
      </c>
      <c r="AV807" s="157" t="str">
        <f t="shared" si="565"/>
        <v>JUNIORS FEMALE</v>
      </c>
      <c r="AW807" s="157" t="str">
        <f t="shared" si="566"/>
        <v>Basketball</v>
      </c>
      <c r="AX807" s="376">
        <f t="shared" si="567"/>
        <v>805</v>
      </c>
      <c r="AY807" s="148" t="str">
        <f t="shared" si="568"/>
        <v>JR F - USA 2-&gt;JR F - ARG 1</v>
      </c>
      <c r="AZ807" s="148" t="str">
        <f t="shared" si="569"/>
        <v>11/26/2017 10:30-&gt;JR F - USA 2</v>
      </c>
      <c r="BA807" s="148" t="str">
        <f t="shared" si="570"/>
        <v>11/26/2017 10:30-&gt;JR F - ARG 1</v>
      </c>
      <c r="BB807" s="374">
        <f t="shared" si="571"/>
        <v>1</v>
      </c>
      <c r="BC807" s="374">
        <f t="shared" si="572"/>
        <v>1</v>
      </c>
      <c r="BD807" s="148" t="str">
        <f t="shared" si="573"/>
        <v>no conflict</v>
      </c>
      <c r="BF807" s="148" t="str">
        <f t="shared" si="574"/>
        <v>11/26/2017 10:30-&gt;JR F - USA 2</v>
      </c>
      <c r="BG807" s="148" t="str">
        <f t="shared" si="575"/>
        <v>11/26/2017 10:30-&gt;JR F - ARG 1</v>
      </c>
      <c r="BH807" s="148" t="str">
        <f t="shared" si="576"/>
        <v>11/26/2017 10:30-&gt;Hillel - Gym Basketball</v>
      </c>
      <c r="BI807" s="148" t="str">
        <f t="shared" si="577"/>
        <v>Basketball in Hillel - Gym Basketball (USA2-ARG1)</v>
      </c>
      <c r="BJ807" s="148" t="str">
        <f t="shared" si="578"/>
        <v>Junior Female Basketball-- JR F - USA 2 vs. JR F - ARG 1</v>
      </c>
      <c r="BK807" s="148" t="str">
        <f t="shared" si="579"/>
        <v>Basketball</v>
      </c>
      <c r="BL807" s="148" t="str">
        <f t="shared" si="580"/>
        <v>JR F - USA 2</v>
      </c>
      <c r="BM807" s="148" t="str">
        <f t="shared" si="581"/>
        <v>JR F - ARG 1</v>
      </c>
      <c r="BN807" s="148" t="str">
        <f t="shared" si="582"/>
        <v>Semi-Final</v>
      </c>
      <c r="BP807" s="148" t="str">
        <f t="shared" si="583"/>
        <v>11/26/2017 10:30-&gt;JUNIORS FEMALE</v>
      </c>
      <c r="BQ807" s="148" t="str">
        <f t="shared" si="584"/>
        <v>Basketball Semi-Final in Hillel - Gym Basketball</v>
      </c>
    </row>
    <row r="808" spans="1:69" ht="15" customHeight="1" x14ac:dyDescent="0.2">
      <c r="A808" s="376">
        <v>806</v>
      </c>
      <c r="B808" s="444" t="s">
        <v>69</v>
      </c>
      <c r="C808" s="444" t="s">
        <v>771</v>
      </c>
      <c r="D808" s="451">
        <v>1</v>
      </c>
      <c r="E808" s="451">
        <v>1</v>
      </c>
      <c r="F808" s="315" t="s">
        <v>770</v>
      </c>
      <c r="G808" s="445">
        <v>43065</v>
      </c>
      <c r="H808" s="454">
        <v>0.57638888888888895</v>
      </c>
      <c r="I808" s="325" t="s">
        <v>770</v>
      </c>
      <c r="J808" s="444" t="s">
        <v>703</v>
      </c>
      <c r="K808" s="444"/>
      <c r="L808" s="462" t="s">
        <v>664</v>
      </c>
      <c r="M808"/>
      <c r="N808" s="462" t="s">
        <v>661</v>
      </c>
      <c r="O808" s="153" t="str">
        <f>IF(L808&lt;&gt;"",IFERROR(VLOOKUP(B808&amp;L808,Pools!$A$2:$D$130,3,FALSE),""),"")</f>
        <v/>
      </c>
      <c r="P808" s="388">
        <v>24</v>
      </c>
      <c r="Q808" s="388">
        <v>14</v>
      </c>
      <c r="R808" s="306" t="str">
        <f t="shared" si="540"/>
        <v>24-14</v>
      </c>
      <c r="S808" s="153"/>
      <c r="T808" s="148" t="str">
        <f t="shared" si="541"/>
        <v>Completed</v>
      </c>
      <c r="U808" s="153"/>
      <c r="V808" s="153"/>
      <c r="W808" s="387">
        <f t="shared" si="542"/>
        <v>10</v>
      </c>
      <c r="X808" s="387">
        <f t="shared" si="543"/>
        <v>-10</v>
      </c>
      <c r="Y808" s="301">
        <f t="shared" si="544"/>
        <v>2</v>
      </c>
      <c r="Z808" s="301">
        <f t="shared" si="545"/>
        <v>0</v>
      </c>
      <c r="AA808" s="323" t="str">
        <f>CONCATENATE("                x[team1,team2,sport,'",IF(OR(I808="x",I808=""),VLOOKUP('Schedule from TM'!J809,Tables!$P$3:$Q$33,2,FALSE),'Schedule from TM'!I809),",",J808,"','",IF(OR(F808="x",F808=""),VLOOKUP('Schedule from TM'!G809,Tables!$U$3:$V$14,2,FALSE),'Schedule from TM'!F809),",",TEXT(G808,"mm/dd/yyyy"),"','",TEXT(H808,"h:mm:ss AM/PM"),"'].ub=0.0      #",B808)</f>
        <v xml:space="preserve">                x[team1,team2,sport,'21,Hillel - Field 1','21,11/26/2017','1:50:00 PM'].ub=0.0      #Junior Female Flag Football</v>
      </c>
      <c r="AB808" s="301" t="str">
        <f t="shared" si="546"/>
        <v>,,Junior Female Flag Football,,1,JR F - PER</v>
      </c>
      <c r="AC808" s="153" t="str">
        <f t="shared" si="547"/>
        <v>Junior Female Flag FootballJR F - PER</v>
      </c>
      <c r="AD808" s="301" t="str">
        <f t="shared" si="548"/>
        <v>,,Junior Female Flag Football,,1,JR F - ISR 1</v>
      </c>
      <c r="AE808" s="153" t="str">
        <f t="shared" si="549"/>
        <v>Junior Female Flag FootballJR F - ISR 1</v>
      </c>
      <c r="AF808" s="383">
        <f t="shared" si="550"/>
        <v>1</v>
      </c>
      <c r="AG808" s="383">
        <f t="shared" si="551"/>
        <v>0</v>
      </c>
      <c r="AH808" s="383">
        <f t="shared" si="552"/>
        <v>0</v>
      </c>
      <c r="AI808" s="383">
        <f t="shared" si="553"/>
        <v>0</v>
      </c>
      <c r="AJ808" s="383">
        <f t="shared" si="554"/>
        <v>1</v>
      </c>
      <c r="AK808" s="383">
        <f t="shared" si="555"/>
        <v>0</v>
      </c>
      <c r="AM808" s="148" t="str">
        <f t="shared" si="556"/>
        <v>Schedulled</v>
      </c>
      <c r="AN808" s="148" t="str">
        <f t="shared" si="557"/>
        <v/>
      </c>
      <c r="AO808" s="156">
        <f t="shared" si="558"/>
        <v>43065.576388888891</v>
      </c>
      <c r="AP808" s="148" t="str">
        <f t="shared" si="559"/>
        <v>11/26/2017 13:50-&gt;Hillel - Field 1</v>
      </c>
      <c r="AQ808" s="374">
        <f t="shared" si="560"/>
        <v>1</v>
      </c>
      <c r="AR808" s="148" t="str">
        <f t="shared" si="561"/>
        <v>PER</v>
      </c>
      <c r="AS808" s="148" t="str">
        <f t="shared" si="562"/>
        <v>ISR1</v>
      </c>
      <c r="AT808" s="157" t="str">
        <f t="shared" si="563"/>
        <v>PER-ISR1</v>
      </c>
      <c r="AU808" s="157" t="str">
        <f t="shared" si="564"/>
        <v>PER-ISR1 Flag Football Semi-Final</v>
      </c>
      <c r="AV808" s="157" t="str">
        <f t="shared" si="565"/>
        <v>JUNIORS FEMALE</v>
      </c>
      <c r="AW808" s="157" t="str">
        <f t="shared" si="566"/>
        <v>Flag Football</v>
      </c>
      <c r="AX808" s="376">
        <f t="shared" si="567"/>
        <v>806</v>
      </c>
      <c r="AY808" s="148" t="str">
        <f t="shared" si="568"/>
        <v>JR F - PER-&gt;JR F - ISR 1</v>
      </c>
      <c r="AZ808" s="148" t="str">
        <f t="shared" si="569"/>
        <v>11/26/2017 13:50-&gt;JR F - PER</v>
      </c>
      <c r="BA808" s="148" t="str">
        <f t="shared" si="570"/>
        <v>11/26/2017 13:50-&gt;JR F - ISR 1</v>
      </c>
      <c r="BB808" s="374">
        <f t="shared" si="571"/>
        <v>1</v>
      </c>
      <c r="BC808" s="374">
        <f t="shared" si="572"/>
        <v>1</v>
      </c>
      <c r="BD808" s="148" t="str">
        <f t="shared" si="573"/>
        <v>no conflict</v>
      </c>
      <c r="BF808" s="148" t="str">
        <f t="shared" si="574"/>
        <v>11/26/2017 13:50-&gt;JR F - PER</v>
      </c>
      <c r="BG808" s="148" t="str">
        <f t="shared" si="575"/>
        <v>11/26/2017 13:50-&gt;JR F - ISR 1</v>
      </c>
      <c r="BH808" s="148" t="str">
        <f t="shared" si="576"/>
        <v>11/26/2017 13:50-&gt;Hillel - Field 1</v>
      </c>
      <c r="BI808" s="148" t="str">
        <f t="shared" si="577"/>
        <v>Flag Football in Hillel - Field 1 (PER-ISR1)</v>
      </c>
      <c r="BJ808" s="148" t="str">
        <f t="shared" si="578"/>
        <v>Junior Female Flag Football-- JR F - PER vs. JR F - ISR 1</v>
      </c>
      <c r="BK808" s="148" t="str">
        <f t="shared" si="579"/>
        <v>Flag Football</v>
      </c>
      <c r="BL808" s="148" t="str">
        <f t="shared" si="580"/>
        <v>JR F - PER</v>
      </c>
      <c r="BM808" s="148" t="str">
        <f t="shared" si="581"/>
        <v>JR F - ISR 1</v>
      </c>
      <c r="BN808" s="148" t="str">
        <f t="shared" si="582"/>
        <v>Semi-Final</v>
      </c>
      <c r="BP808" s="148" t="str">
        <f t="shared" si="583"/>
        <v>11/26/2017 13:50-&gt;JUNIORS FEMALE</v>
      </c>
      <c r="BQ808" s="148" t="str">
        <f t="shared" si="584"/>
        <v>Flag Football Semi-Final in Hillel - Field 1</v>
      </c>
    </row>
    <row r="809" spans="1:69" ht="15" customHeight="1" x14ac:dyDescent="0.2">
      <c r="A809" s="376">
        <v>807</v>
      </c>
      <c r="B809" s="444" t="s">
        <v>69</v>
      </c>
      <c r="C809" s="444" t="s">
        <v>771</v>
      </c>
      <c r="D809" s="451">
        <v>1</v>
      </c>
      <c r="E809" s="451">
        <v>1</v>
      </c>
      <c r="F809" s="315" t="s">
        <v>770</v>
      </c>
      <c r="G809" s="445">
        <v>43065</v>
      </c>
      <c r="H809" s="454">
        <v>0.57638888888888895</v>
      </c>
      <c r="I809" s="325" t="s">
        <v>770</v>
      </c>
      <c r="J809" s="444" t="s">
        <v>704</v>
      </c>
      <c r="K809" s="444"/>
      <c r="L809" s="462" t="s">
        <v>667</v>
      </c>
      <c r="M809"/>
      <c r="N809" s="462" t="s">
        <v>659</v>
      </c>
      <c r="O809" s="153" t="str">
        <f>IF(L809&lt;&gt;"",IFERROR(VLOOKUP(B809&amp;L809,Pools!$A$2:$D$130,3,FALSE),""),"")</f>
        <v/>
      </c>
      <c r="P809" s="388">
        <v>33</v>
      </c>
      <c r="Q809" s="388">
        <v>0</v>
      </c>
      <c r="R809" s="306" t="str">
        <f t="shared" si="540"/>
        <v>33-0</v>
      </c>
      <c r="S809" s="153"/>
      <c r="T809" s="148" t="str">
        <f t="shared" si="541"/>
        <v>Completed</v>
      </c>
      <c r="U809" s="153"/>
      <c r="V809" s="153"/>
      <c r="W809" s="387">
        <f t="shared" si="542"/>
        <v>21</v>
      </c>
      <c r="X809" s="387">
        <f t="shared" si="543"/>
        <v>-21</v>
      </c>
      <c r="Y809" s="301">
        <f t="shared" si="544"/>
        <v>2</v>
      </c>
      <c r="Z809" s="301">
        <f t="shared" si="545"/>
        <v>0</v>
      </c>
      <c r="AA809" s="323" t="str">
        <f>CONCATENATE("                x[team1,team2,sport,'",IF(OR(I809="x",I809=""),VLOOKUP('Schedule from TM'!J810,Tables!$P$3:$Q$33,2,FALSE),'Schedule from TM'!I810),",",J809,"','",IF(OR(F809="x",F809=""),VLOOKUP('Schedule from TM'!G810,Tables!$U$3:$V$14,2,FALSE),'Schedule from TM'!F810),",",TEXT(G809,"mm/dd/yyyy"),"','",TEXT(H809,"h:mm:ss AM/PM"),"'].ub=0.0      #",B809)</f>
        <v xml:space="preserve">                x[team1,team2,sport,'11,Hillel - Field 2','21,11/26/2017','1:50:00 PM'].ub=0.0      #Junior Female Flag Football</v>
      </c>
      <c r="AB809" s="301" t="str">
        <f t="shared" si="546"/>
        <v>,,Junior Female Flag Football,,1,JR F - USA 2</v>
      </c>
      <c r="AC809" s="153" t="str">
        <f t="shared" si="547"/>
        <v>Junior Female Flag FootballJR F - USA 2</v>
      </c>
      <c r="AD809" s="301" t="str">
        <f t="shared" si="548"/>
        <v>,,Junior Female Flag Football,,1,JR F - ARG 1</v>
      </c>
      <c r="AE809" s="153" t="str">
        <f t="shared" si="549"/>
        <v>Junior Female Flag FootballJR F - ARG 1</v>
      </c>
      <c r="AF809" s="383">
        <f t="shared" si="550"/>
        <v>1</v>
      </c>
      <c r="AG809" s="383">
        <f t="shared" si="551"/>
        <v>0</v>
      </c>
      <c r="AH809" s="383">
        <f t="shared" si="552"/>
        <v>0</v>
      </c>
      <c r="AI809" s="383">
        <f t="shared" si="553"/>
        <v>0</v>
      </c>
      <c r="AJ809" s="383">
        <f t="shared" si="554"/>
        <v>1</v>
      </c>
      <c r="AK809" s="383">
        <f t="shared" si="555"/>
        <v>0</v>
      </c>
      <c r="AM809" s="148" t="str">
        <f t="shared" si="556"/>
        <v>Schedulled</v>
      </c>
      <c r="AN809" s="148" t="str">
        <f t="shared" si="557"/>
        <v/>
      </c>
      <c r="AO809" s="156">
        <f t="shared" si="558"/>
        <v>43065.576388888891</v>
      </c>
      <c r="AP809" s="148" t="str">
        <f t="shared" si="559"/>
        <v>11/26/2017 13:50-&gt;Hillel - Field 2</v>
      </c>
      <c r="AQ809" s="374">
        <f t="shared" si="560"/>
        <v>1</v>
      </c>
      <c r="AR809" s="148" t="str">
        <f t="shared" si="561"/>
        <v>USA2</v>
      </c>
      <c r="AS809" s="148" t="str">
        <f t="shared" si="562"/>
        <v>ARG1</v>
      </c>
      <c r="AT809" s="157" t="str">
        <f t="shared" si="563"/>
        <v>USA2-ARG1</v>
      </c>
      <c r="AU809" s="157" t="str">
        <f t="shared" si="564"/>
        <v>USA2-ARG1 Flag Football Semi-Final</v>
      </c>
      <c r="AV809" s="157" t="str">
        <f t="shared" si="565"/>
        <v>JUNIORS FEMALE</v>
      </c>
      <c r="AW809" s="157" t="str">
        <f t="shared" si="566"/>
        <v>Flag Football</v>
      </c>
      <c r="AX809" s="376">
        <f t="shared" si="567"/>
        <v>807</v>
      </c>
      <c r="AY809" s="148" t="str">
        <f t="shared" si="568"/>
        <v>JR F - USA 2-&gt;JR F - ARG 1</v>
      </c>
      <c r="AZ809" s="148" t="str">
        <f t="shared" si="569"/>
        <v>11/26/2017 13:50-&gt;JR F - USA 2</v>
      </c>
      <c r="BA809" s="148" t="str">
        <f t="shared" si="570"/>
        <v>11/26/2017 13:50-&gt;JR F - ARG 1</v>
      </c>
      <c r="BB809" s="374">
        <f t="shared" si="571"/>
        <v>1</v>
      </c>
      <c r="BC809" s="374">
        <f t="shared" si="572"/>
        <v>1</v>
      </c>
      <c r="BD809" s="148" t="str">
        <f t="shared" si="573"/>
        <v>no conflict</v>
      </c>
      <c r="BF809" s="148" t="str">
        <f t="shared" si="574"/>
        <v>11/26/2017 13:50-&gt;JR F - USA 2</v>
      </c>
      <c r="BG809" s="148" t="str">
        <f t="shared" si="575"/>
        <v>11/26/2017 13:50-&gt;JR F - ARG 1</v>
      </c>
      <c r="BH809" s="148" t="str">
        <f t="shared" si="576"/>
        <v>11/26/2017 13:50-&gt;Hillel - Field 2</v>
      </c>
      <c r="BI809" s="148" t="str">
        <f t="shared" si="577"/>
        <v>Flag Football in Hillel - Field 2 (USA2-ARG1)</v>
      </c>
      <c r="BJ809" s="148" t="str">
        <f t="shared" si="578"/>
        <v>Junior Female Flag Football-- JR F - USA 2 vs. JR F - ARG 1</v>
      </c>
      <c r="BK809" s="148" t="str">
        <f t="shared" si="579"/>
        <v>Flag Football</v>
      </c>
      <c r="BL809" s="148" t="str">
        <f t="shared" si="580"/>
        <v>JR F - USA 2</v>
      </c>
      <c r="BM809" s="148" t="str">
        <f t="shared" si="581"/>
        <v>JR F - ARG 1</v>
      </c>
      <c r="BN809" s="148" t="str">
        <f t="shared" si="582"/>
        <v>Semi-Final</v>
      </c>
      <c r="BP809" s="148" t="str">
        <f t="shared" si="583"/>
        <v>11/26/2017 13:50-&gt;JUNIORS FEMALE</v>
      </c>
      <c r="BQ809" s="148" t="str">
        <f t="shared" si="584"/>
        <v>Flag Football Semi-Final in Hillel - Field 2</v>
      </c>
    </row>
    <row r="810" spans="1:69" ht="15" customHeight="1" x14ac:dyDescent="0.2">
      <c r="A810" s="376">
        <v>808</v>
      </c>
      <c r="B810" s="444" t="s">
        <v>67</v>
      </c>
      <c r="C810" s="444" t="s">
        <v>771</v>
      </c>
      <c r="D810" s="451">
        <v>1</v>
      </c>
      <c r="E810" s="451">
        <v>1</v>
      </c>
      <c r="F810" s="315" t="s">
        <v>770</v>
      </c>
      <c r="G810" s="445">
        <v>43065</v>
      </c>
      <c r="H810" s="454">
        <v>0.50694444444444442</v>
      </c>
      <c r="I810" s="325" t="s">
        <v>770</v>
      </c>
      <c r="J810" s="443" t="s">
        <v>694</v>
      </c>
      <c r="K810" s="444"/>
      <c r="L810" s="462" t="s">
        <v>664</v>
      </c>
      <c r="M810"/>
      <c r="N810" s="462" t="s">
        <v>776</v>
      </c>
      <c r="O810" s="153" t="str">
        <f>IF(L810&lt;&gt;"",IFERROR(VLOOKUP(B810&amp;L810,Pools!$A$2:$D$130,3,FALSE),""),"")</f>
        <v/>
      </c>
      <c r="P810" s="388">
        <v>8</v>
      </c>
      <c r="Q810" s="388">
        <v>0</v>
      </c>
      <c r="R810" s="306" t="str">
        <f t="shared" si="540"/>
        <v>8-0</v>
      </c>
      <c r="S810" s="153"/>
      <c r="T810" s="148" t="str">
        <f t="shared" si="541"/>
        <v>Completed</v>
      </c>
      <c r="U810" s="153"/>
      <c r="V810" s="153"/>
      <c r="W810" s="387">
        <f t="shared" si="542"/>
        <v>3</v>
      </c>
      <c r="X810" s="387">
        <f t="shared" si="543"/>
        <v>-3</v>
      </c>
      <c r="Y810" s="301">
        <f t="shared" si="544"/>
        <v>2</v>
      </c>
      <c r="Z810" s="301">
        <f t="shared" si="545"/>
        <v>0</v>
      </c>
      <c r="AA810" s="323" t="str">
        <f>CONCATENATE("                x[team1,team2,sport,'",IF(OR(I810="x",I810=""),VLOOKUP('Schedule from TM'!J811,Tables!$P$3:$Q$33,2,FALSE),'Schedule from TM'!I811),",",J810,"','",IF(OR(F810="x",F810=""),VLOOKUP('Schedule from TM'!G811,Tables!$U$3:$V$14,2,FALSE),'Schedule from TM'!F811),",",TEXT(G810,"mm/dd/yyyy"),"','",TEXT(H810,"h:mm:ss AM/PM"),"'].ub=0.0      #",B810)</f>
        <v xml:space="preserve">                x[team1,team2,sport,'11,JCC Back Field 4','21,11/26/2017','12:10:00 PM'].ub=0.0      #Junior Female Mini Soccer</v>
      </c>
      <c r="AB810" s="301" t="str">
        <f t="shared" si="546"/>
        <v>,,Junior Female Mini Soccer,,1,JR F - PER</v>
      </c>
      <c r="AC810" s="153" t="str">
        <f t="shared" si="547"/>
        <v>Junior Female Mini SoccerJR F - PER</v>
      </c>
      <c r="AD810" s="301" t="str">
        <f t="shared" si="548"/>
        <v>,,Junior Female Mini Soccer,,1,JR F - USA 3</v>
      </c>
      <c r="AE810" s="153" t="str">
        <f t="shared" si="549"/>
        <v>Junior Female Mini SoccerJR F - USA 3</v>
      </c>
      <c r="AF810" s="383">
        <f t="shared" si="550"/>
        <v>1</v>
      </c>
      <c r="AG810" s="383">
        <f t="shared" si="551"/>
        <v>0</v>
      </c>
      <c r="AH810" s="383">
        <f t="shared" si="552"/>
        <v>0</v>
      </c>
      <c r="AI810" s="383">
        <f t="shared" si="553"/>
        <v>0</v>
      </c>
      <c r="AJ810" s="383">
        <f t="shared" si="554"/>
        <v>1</v>
      </c>
      <c r="AK810" s="383">
        <f t="shared" si="555"/>
        <v>0</v>
      </c>
      <c r="AM810" s="148" t="str">
        <f t="shared" si="556"/>
        <v>Schedulled</v>
      </c>
      <c r="AN810" s="148" t="str">
        <f t="shared" si="557"/>
        <v/>
      </c>
      <c r="AO810" s="156">
        <f t="shared" si="558"/>
        <v>43065.506944444445</v>
      </c>
      <c r="AP810" s="148" t="str">
        <f t="shared" si="559"/>
        <v>11/26/2017 12:10-&gt;JCC Back Field 4</v>
      </c>
      <c r="AQ810" s="374">
        <f t="shared" si="560"/>
        <v>1</v>
      </c>
      <c r="AR810" s="148" t="str">
        <f t="shared" si="561"/>
        <v>PER</v>
      </c>
      <c r="AS810" s="148" t="str">
        <f t="shared" si="562"/>
        <v>USA3</v>
      </c>
      <c r="AT810" s="157" t="str">
        <f t="shared" si="563"/>
        <v>PER-USA3</v>
      </c>
      <c r="AU810" s="157" t="str">
        <f t="shared" si="564"/>
        <v>PER-USA3 Soccer Semi-Final</v>
      </c>
      <c r="AV810" s="157" t="str">
        <f t="shared" si="565"/>
        <v>JUNIORS FEMALE</v>
      </c>
      <c r="AW810" s="157" t="str">
        <f t="shared" si="566"/>
        <v>Soccer</v>
      </c>
      <c r="AX810" s="376">
        <f t="shared" si="567"/>
        <v>808</v>
      </c>
      <c r="AY810" s="148" t="str">
        <f t="shared" si="568"/>
        <v>JR F - PER-&gt;JR F - USA 3</v>
      </c>
      <c r="AZ810" s="148" t="str">
        <f t="shared" si="569"/>
        <v>11/26/2017 12:10-&gt;JR F - PER</v>
      </c>
      <c r="BA810" s="148" t="str">
        <f t="shared" si="570"/>
        <v>11/26/2017 12:10-&gt;JR F - USA 3</v>
      </c>
      <c r="BB810" s="374">
        <f t="shared" si="571"/>
        <v>1</v>
      </c>
      <c r="BC810" s="374">
        <f t="shared" si="572"/>
        <v>1</v>
      </c>
      <c r="BD810" s="148" t="str">
        <f t="shared" si="573"/>
        <v>no conflict</v>
      </c>
      <c r="BF810" s="148" t="str">
        <f t="shared" si="574"/>
        <v>11/26/2017 12:10-&gt;JR F - PER</v>
      </c>
      <c r="BG810" s="148" t="str">
        <f t="shared" si="575"/>
        <v>11/26/2017 12:10-&gt;JR F - USA 3</v>
      </c>
      <c r="BH810" s="148" t="str">
        <f t="shared" si="576"/>
        <v>11/26/2017 12:10-&gt;JCC Back Field 4</v>
      </c>
      <c r="BI810" s="148" t="str">
        <f t="shared" si="577"/>
        <v>Soccer in JCC Back Field 4 (PER-USA3)</v>
      </c>
      <c r="BJ810" s="148" t="str">
        <f t="shared" si="578"/>
        <v>Junior Female Mini Soccer-- JR F - PER vs. JR F - USA 3</v>
      </c>
      <c r="BK810" s="148" t="str">
        <f t="shared" si="579"/>
        <v>Soccer</v>
      </c>
      <c r="BL810" s="148" t="str">
        <f t="shared" si="580"/>
        <v>JR F - PER</v>
      </c>
      <c r="BM810" s="148" t="str">
        <f t="shared" si="581"/>
        <v>JR F - USA 3</v>
      </c>
      <c r="BN810" s="148" t="str">
        <f t="shared" si="582"/>
        <v>Semi-Final</v>
      </c>
      <c r="BP810" s="148" t="str">
        <f t="shared" si="583"/>
        <v>11/26/2017 12:10-&gt;JUNIORS FEMALE</v>
      </c>
      <c r="BQ810" s="148" t="str">
        <f t="shared" si="584"/>
        <v>Soccer Semi-Final in JCC Back Field 4</v>
      </c>
    </row>
    <row r="811" spans="1:69" ht="15" customHeight="1" x14ac:dyDescent="0.2">
      <c r="A811" s="376">
        <v>809</v>
      </c>
      <c r="B811" s="444" t="s">
        <v>67</v>
      </c>
      <c r="C811" s="315" t="s">
        <v>771</v>
      </c>
      <c r="D811" s="378">
        <v>1</v>
      </c>
      <c r="E811" s="378">
        <v>1</v>
      </c>
      <c r="F811" s="315" t="s">
        <v>770</v>
      </c>
      <c r="G811" s="316">
        <v>43065</v>
      </c>
      <c r="H811" s="454">
        <v>0.50694444444444442</v>
      </c>
      <c r="I811" s="325" t="s">
        <v>770</v>
      </c>
      <c r="J811" s="147" t="s">
        <v>692</v>
      </c>
      <c r="K811" s="315"/>
      <c r="L811" s="462" t="s">
        <v>659</v>
      </c>
      <c r="M811"/>
      <c r="N811" s="462" t="s">
        <v>661</v>
      </c>
      <c r="O811" s="153" t="str">
        <f>IF(L811&lt;&gt;"",IFERROR(VLOOKUP(B811&amp;L811,Pools!$A$2:$D$130,3,FALSE),""),"")</f>
        <v/>
      </c>
      <c r="P811" s="388">
        <v>3</v>
      </c>
      <c r="Q811" s="388">
        <v>0</v>
      </c>
      <c r="R811" s="306" t="str">
        <f t="shared" si="540"/>
        <v>3-0</v>
      </c>
      <c r="S811" s="153"/>
      <c r="T811" s="148" t="str">
        <f t="shared" si="541"/>
        <v>Completed</v>
      </c>
      <c r="U811" s="153"/>
      <c r="V811" s="153"/>
      <c r="W811" s="387">
        <f t="shared" si="542"/>
        <v>3</v>
      </c>
      <c r="X811" s="387">
        <f t="shared" si="543"/>
        <v>-3</v>
      </c>
      <c r="Y811" s="301">
        <f t="shared" si="544"/>
        <v>2</v>
      </c>
      <c r="Z811" s="301">
        <f t="shared" si="545"/>
        <v>0</v>
      </c>
      <c r="AA811" s="323" t="str">
        <f>CONCATENATE("                x[team1,team2,sport,'",IF(OR(I811="x",I811=""),VLOOKUP('Schedule from TM'!J812,Tables!$P$3:$Q$33,2,FALSE),'Schedule from TM'!I812),",",J811,"','",IF(OR(F811="x",F811=""),VLOOKUP('Schedule from TM'!G812,Tables!$U$3:$V$14,2,FALSE),'Schedule from TM'!F812),",",TEXT(G811,"mm/dd/yyyy"),"','",TEXT(H811,"h:mm:ss AM/PM"),"'].ub=0.0      #",B811)</f>
        <v xml:space="preserve">                x[team1,team2,sport,'21,JCC Back Field 3','21,11/26/2017','12:10:00 PM'].ub=0.0      #Junior Female Mini Soccer</v>
      </c>
      <c r="AB811" s="301" t="str">
        <f t="shared" si="546"/>
        <v>,,Junior Female Mini Soccer,,1,JR F - ARG 1</v>
      </c>
      <c r="AC811" s="153" t="str">
        <f t="shared" si="547"/>
        <v>Junior Female Mini SoccerJR F - ARG 1</v>
      </c>
      <c r="AD811" s="301" t="str">
        <f t="shared" si="548"/>
        <v>,,Junior Female Mini Soccer,,1,JR F - ISR 1</v>
      </c>
      <c r="AE811" s="153" t="str">
        <f t="shared" si="549"/>
        <v>Junior Female Mini SoccerJR F - ISR 1</v>
      </c>
      <c r="AF811" s="383">
        <f t="shared" si="550"/>
        <v>1</v>
      </c>
      <c r="AG811" s="383">
        <f t="shared" si="551"/>
        <v>0</v>
      </c>
      <c r="AH811" s="383">
        <f t="shared" si="552"/>
        <v>0</v>
      </c>
      <c r="AI811" s="383">
        <f t="shared" si="553"/>
        <v>0</v>
      </c>
      <c r="AJ811" s="383">
        <f t="shared" si="554"/>
        <v>1</v>
      </c>
      <c r="AK811" s="383">
        <f t="shared" si="555"/>
        <v>0</v>
      </c>
      <c r="AM811" s="148" t="str">
        <f t="shared" si="556"/>
        <v>Schedulled</v>
      </c>
      <c r="AN811" s="148" t="str">
        <f t="shared" si="557"/>
        <v/>
      </c>
      <c r="AO811" s="156">
        <f t="shared" si="558"/>
        <v>43065.506944444445</v>
      </c>
      <c r="AP811" s="148" t="str">
        <f t="shared" si="559"/>
        <v>11/26/2017 12:10-&gt;JCC Back Field 3</v>
      </c>
      <c r="AQ811" s="374">
        <f t="shared" si="560"/>
        <v>1</v>
      </c>
      <c r="AR811" s="148" t="str">
        <f t="shared" si="561"/>
        <v>ARG1</v>
      </c>
      <c r="AS811" s="148" t="str">
        <f t="shared" si="562"/>
        <v>ISR1</v>
      </c>
      <c r="AT811" s="157" t="str">
        <f t="shared" si="563"/>
        <v>ARG1-ISR1</v>
      </c>
      <c r="AU811" s="157" t="str">
        <f t="shared" si="564"/>
        <v>ARG1-ISR1 Soccer Semi-Final</v>
      </c>
      <c r="AV811" s="157" t="str">
        <f t="shared" si="565"/>
        <v>JUNIORS FEMALE</v>
      </c>
      <c r="AW811" s="157" t="str">
        <f t="shared" si="566"/>
        <v>Soccer</v>
      </c>
      <c r="AX811" s="376">
        <f t="shared" si="567"/>
        <v>809</v>
      </c>
      <c r="AY811" s="148" t="str">
        <f t="shared" si="568"/>
        <v>JR F - ARG 1-&gt;JR F - ISR 1</v>
      </c>
      <c r="AZ811" s="148" t="str">
        <f t="shared" si="569"/>
        <v>11/26/2017 12:10-&gt;JR F - ARG 1</v>
      </c>
      <c r="BA811" s="148" t="str">
        <f t="shared" si="570"/>
        <v>11/26/2017 12:10-&gt;JR F - ISR 1</v>
      </c>
      <c r="BB811" s="374">
        <f t="shared" si="571"/>
        <v>1</v>
      </c>
      <c r="BC811" s="374">
        <f t="shared" si="572"/>
        <v>1</v>
      </c>
      <c r="BD811" s="148" t="str">
        <f t="shared" si="573"/>
        <v>no conflict</v>
      </c>
      <c r="BF811" s="148" t="str">
        <f t="shared" si="574"/>
        <v>11/26/2017 12:10-&gt;JR F - ARG 1</v>
      </c>
      <c r="BG811" s="148" t="str">
        <f t="shared" si="575"/>
        <v>11/26/2017 12:10-&gt;JR F - ISR 1</v>
      </c>
      <c r="BH811" s="148" t="str">
        <f t="shared" si="576"/>
        <v>11/26/2017 12:10-&gt;JCC Back Field 3</v>
      </c>
      <c r="BI811" s="148" t="str">
        <f t="shared" si="577"/>
        <v>Soccer in JCC Back Field 3 (ARG1-ISR1)</v>
      </c>
      <c r="BJ811" s="148" t="str">
        <f t="shared" si="578"/>
        <v>Junior Female Mini Soccer-- JR F - ARG 1 vs. JR F - ISR 1</v>
      </c>
      <c r="BK811" s="148" t="str">
        <f t="shared" si="579"/>
        <v>Soccer</v>
      </c>
      <c r="BL811" s="148" t="str">
        <f t="shared" si="580"/>
        <v>JR F - ARG 1</v>
      </c>
      <c r="BM811" s="148" t="str">
        <f t="shared" si="581"/>
        <v>JR F - ISR 1</v>
      </c>
      <c r="BN811" s="148" t="str">
        <f t="shared" si="582"/>
        <v>Semi-Final</v>
      </c>
      <c r="BP811" s="148" t="str">
        <f t="shared" si="583"/>
        <v>11/26/2017 12:10-&gt;JUNIORS FEMALE</v>
      </c>
      <c r="BQ811" s="148" t="str">
        <f t="shared" si="584"/>
        <v>Soccer Semi-Final in JCC Back Field 3</v>
      </c>
    </row>
    <row r="812" spans="1:69" ht="15" customHeight="1" x14ac:dyDescent="0.2">
      <c r="A812" s="376">
        <v>810</v>
      </c>
      <c r="B812" s="443" t="s">
        <v>70</v>
      </c>
      <c r="C812" s="315" t="s">
        <v>771</v>
      </c>
      <c r="D812" s="378">
        <v>1</v>
      </c>
      <c r="E812" s="378">
        <v>1</v>
      </c>
      <c r="F812" s="315" t="s">
        <v>770</v>
      </c>
      <c r="G812" s="316">
        <v>43065</v>
      </c>
      <c r="H812" s="454">
        <v>0.40277777777777773</v>
      </c>
      <c r="I812" s="325" t="s">
        <v>770</v>
      </c>
      <c r="J812" s="315" t="s">
        <v>708</v>
      </c>
      <c r="K812" s="315"/>
      <c r="L812" s="462" t="s">
        <v>667</v>
      </c>
      <c r="M812"/>
      <c r="N812" s="462" t="s">
        <v>664</v>
      </c>
      <c r="O812" s="153" t="str">
        <f>IF(L812&lt;&gt;"",IFERROR(VLOOKUP(B812&amp;L812,Pools!$A$2:$D$130,3,FALSE),""),"")</f>
        <v/>
      </c>
      <c r="P812" s="388">
        <v>2</v>
      </c>
      <c r="Q812" s="388">
        <v>0</v>
      </c>
      <c r="R812" s="306" t="str">
        <f t="shared" si="540"/>
        <v>2-0</v>
      </c>
      <c r="S812" s="153"/>
      <c r="T812" s="148" t="str">
        <f t="shared" si="541"/>
        <v>Completed</v>
      </c>
      <c r="U812" s="153"/>
      <c r="V812" s="153"/>
      <c r="W812" s="387">
        <f t="shared" si="542"/>
        <v>2</v>
      </c>
      <c r="X812" s="387">
        <f t="shared" si="543"/>
        <v>-2</v>
      </c>
      <c r="Y812" s="301">
        <f t="shared" si="544"/>
        <v>2</v>
      </c>
      <c r="Z812" s="301">
        <f t="shared" si="545"/>
        <v>0</v>
      </c>
      <c r="AA812" s="323" t="str">
        <f>CONCATENATE("                x[team1,team2,sport,'",IF(OR(I812="x",I812=""),VLOOKUP('Schedule from TM'!J813,Tables!$P$3:$Q$33,2,FALSE),'Schedule from TM'!I813),",",J812,"','",IF(OR(F812="x",F812=""),VLOOKUP('Schedule from TM'!G813,Tables!$U$3:$V$14,2,FALSE),'Schedule from TM'!F813),",",TEXT(G812,"mm/dd/yyyy"),"','",TEXT(H812,"h:mm:ss AM/PM"),"'].ub=0.0      #",B812)</f>
        <v xml:space="preserve">                x[team1,team2,sport,'11,Hillel - Gym Volleyball','21,11/26/2017','9:40:00 AM'].ub=0.0      #Junior Female Volleyball</v>
      </c>
      <c r="AB812" s="301" t="str">
        <f t="shared" si="546"/>
        <v>,,Junior Female Volleyball,,1,JR F - USA 2</v>
      </c>
      <c r="AC812" s="153" t="str">
        <f t="shared" si="547"/>
        <v>Junior Female VolleyballJR F - USA 2</v>
      </c>
      <c r="AD812" s="301" t="str">
        <f t="shared" si="548"/>
        <v>,,Junior Female Volleyball,,1,JR F - PER</v>
      </c>
      <c r="AE812" s="153" t="str">
        <f t="shared" si="549"/>
        <v>Junior Female VolleyballJR F - PER</v>
      </c>
      <c r="AF812" s="383">
        <f t="shared" si="550"/>
        <v>1</v>
      </c>
      <c r="AG812" s="383">
        <f t="shared" si="551"/>
        <v>0</v>
      </c>
      <c r="AH812" s="383">
        <f t="shared" si="552"/>
        <v>0</v>
      </c>
      <c r="AI812" s="383">
        <f t="shared" si="553"/>
        <v>0</v>
      </c>
      <c r="AJ812" s="383">
        <f t="shared" si="554"/>
        <v>1</v>
      </c>
      <c r="AK812" s="383">
        <f t="shared" si="555"/>
        <v>0</v>
      </c>
      <c r="AM812" s="148" t="str">
        <f t="shared" si="556"/>
        <v>Schedulled</v>
      </c>
      <c r="AN812" s="148" t="str">
        <f t="shared" si="557"/>
        <v/>
      </c>
      <c r="AO812" s="156">
        <f t="shared" si="558"/>
        <v>43065.402777777781</v>
      </c>
      <c r="AP812" s="148" t="str">
        <f t="shared" si="559"/>
        <v>11/26/2017 09:40-&gt;Hillel - Gym Volleyball</v>
      </c>
      <c r="AQ812" s="374">
        <f t="shared" si="560"/>
        <v>1</v>
      </c>
      <c r="AR812" s="148" t="str">
        <f t="shared" si="561"/>
        <v>USA2</v>
      </c>
      <c r="AS812" s="148" t="str">
        <f t="shared" si="562"/>
        <v>PER</v>
      </c>
      <c r="AT812" s="157" t="str">
        <f t="shared" si="563"/>
        <v>USA2-PER</v>
      </c>
      <c r="AU812" s="157" t="str">
        <f t="shared" si="564"/>
        <v>USA2-PER Volleyball Semi-Final</v>
      </c>
      <c r="AV812" s="157" t="str">
        <f t="shared" si="565"/>
        <v>JUNIORS FEMALE</v>
      </c>
      <c r="AW812" s="157" t="str">
        <f t="shared" si="566"/>
        <v>Volleyball</v>
      </c>
      <c r="AX812" s="376">
        <f t="shared" si="567"/>
        <v>810</v>
      </c>
      <c r="AY812" s="148" t="str">
        <f t="shared" si="568"/>
        <v>JR F - USA 2-&gt;JR F - PER</v>
      </c>
      <c r="AZ812" s="148" t="str">
        <f t="shared" si="569"/>
        <v>11/26/2017 09:40-&gt;JR F - USA 2</v>
      </c>
      <c r="BA812" s="148" t="str">
        <f t="shared" si="570"/>
        <v>11/26/2017 09:40-&gt;JR F - PER</v>
      </c>
      <c r="BB812" s="374">
        <f t="shared" si="571"/>
        <v>1</v>
      </c>
      <c r="BC812" s="374">
        <f t="shared" si="572"/>
        <v>1</v>
      </c>
      <c r="BD812" s="148" t="str">
        <f t="shared" si="573"/>
        <v>no conflict</v>
      </c>
      <c r="BF812" s="148" t="str">
        <f t="shared" si="574"/>
        <v>11/26/2017 09:40-&gt;JR F - USA 2</v>
      </c>
      <c r="BG812" s="148" t="str">
        <f t="shared" si="575"/>
        <v>11/26/2017 09:40-&gt;JR F - PER</v>
      </c>
      <c r="BH812" s="148" t="str">
        <f t="shared" si="576"/>
        <v>11/26/2017 09:40-&gt;Hillel - Gym Volleyball</v>
      </c>
      <c r="BI812" s="148" t="str">
        <f t="shared" si="577"/>
        <v>Volleyball in Hillel - Gym Volleyball (USA2-PER)</v>
      </c>
      <c r="BJ812" s="148" t="str">
        <f t="shared" si="578"/>
        <v>Junior Female Volleyball-- JR F - USA 2 vs. JR F - PER</v>
      </c>
      <c r="BK812" s="148" t="str">
        <f t="shared" si="579"/>
        <v>Volleyball</v>
      </c>
      <c r="BL812" s="148" t="str">
        <f t="shared" si="580"/>
        <v>JR F - USA 2</v>
      </c>
      <c r="BM812" s="148" t="str">
        <f t="shared" si="581"/>
        <v>JR F - PER</v>
      </c>
      <c r="BN812" s="148" t="str">
        <f t="shared" si="582"/>
        <v>Semi-Final</v>
      </c>
      <c r="BP812" s="148" t="str">
        <f t="shared" si="583"/>
        <v>11/26/2017 09:40-&gt;JUNIORS FEMALE</v>
      </c>
      <c r="BQ812" s="148" t="str">
        <f t="shared" si="584"/>
        <v>Volleyball Semi-Final in Hillel - Gym Volleyball</v>
      </c>
    </row>
    <row r="813" spans="1:69" ht="15" customHeight="1" x14ac:dyDescent="0.2">
      <c r="A813" s="376">
        <v>811</v>
      </c>
      <c r="B813" s="443" t="s">
        <v>70</v>
      </c>
      <c r="C813" s="444" t="s">
        <v>771</v>
      </c>
      <c r="D813" s="451">
        <v>1</v>
      </c>
      <c r="E813" s="451">
        <v>1</v>
      </c>
      <c r="F813" s="315" t="s">
        <v>770</v>
      </c>
      <c r="G813" s="445">
        <v>43065</v>
      </c>
      <c r="H813" s="454">
        <v>0.47222222222222227</v>
      </c>
      <c r="I813" s="325" t="s">
        <v>770</v>
      </c>
      <c r="J813" s="444" t="s">
        <v>697</v>
      </c>
      <c r="K813" s="444"/>
      <c r="L813" s="462" t="s">
        <v>659</v>
      </c>
      <c r="M813"/>
      <c r="N813" s="462" t="s">
        <v>666</v>
      </c>
      <c r="O813" s="153" t="str">
        <f>IF(L813&lt;&gt;"",IFERROR(VLOOKUP(B813&amp;L813,Pools!$A$2:$D$130,3,FALSE),""),"")</f>
        <v/>
      </c>
      <c r="P813" s="388">
        <v>2</v>
      </c>
      <c r="Q813" s="388">
        <v>0</v>
      </c>
      <c r="R813" s="306" t="str">
        <f t="shared" si="540"/>
        <v>2-0</v>
      </c>
      <c r="S813" s="153"/>
      <c r="T813" s="148" t="str">
        <f t="shared" si="541"/>
        <v>Completed</v>
      </c>
      <c r="U813" s="153"/>
      <c r="V813" s="153"/>
      <c r="W813" s="387">
        <f t="shared" si="542"/>
        <v>2</v>
      </c>
      <c r="X813" s="387">
        <f t="shared" si="543"/>
        <v>-2</v>
      </c>
      <c r="Y813" s="301">
        <f t="shared" si="544"/>
        <v>2</v>
      </c>
      <c r="Z813" s="301">
        <f t="shared" si="545"/>
        <v>0</v>
      </c>
      <c r="AA813" s="323" t="str">
        <f>CONCATENATE("                x[team1,team2,sport,'",IF(OR(I813="x",I813=""),VLOOKUP('Schedule from TM'!J814,Tables!$P$3:$Q$33,2,FALSE),'Schedule from TM'!I814),",",J813,"','",IF(OR(F813="x",F813=""),VLOOKUP('Schedule from TM'!G814,Tables!$U$3:$V$14,2,FALSE),'Schedule from TM'!F814),",",TEXT(G813,"mm/dd/yyyy"),"','",TEXT(H813,"h:mm:ss AM/PM"),"'].ub=0.0      #",B813)</f>
        <v xml:space="preserve">                x[team1,team2,sport,'11,JCC Gym South','21,11/26/2017','11:20:00 AM'].ub=0.0      #Junior Female Volleyball</v>
      </c>
      <c r="AB813" s="301" t="str">
        <f t="shared" si="546"/>
        <v>,,Junior Female Volleyball,,1,JR F - ARG 1</v>
      </c>
      <c r="AC813" s="153" t="str">
        <f t="shared" si="547"/>
        <v>Junior Female VolleyballJR F - ARG 1</v>
      </c>
      <c r="AD813" s="301" t="str">
        <f t="shared" si="548"/>
        <v>,,Junior Female Volleyball,,1,JR F - COL 1</v>
      </c>
      <c r="AE813" s="153" t="str">
        <f t="shared" si="549"/>
        <v>Junior Female VolleyballJR F - COL 1</v>
      </c>
      <c r="AF813" s="383">
        <f t="shared" si="550"/>
        <v>1</v>
      </c>
      <c r="AG813" s="383">
        <f t="shared" si="551"/>
        <v>0</v>
      </c>
      <c r="AH813" s="383">
        <f t="shared" si="552"/>
        <v>0</v>
      </c>
      <c r="AI813" s="383">
        <f t="shared" si="553"/>
        <v>0</v>
      </c>
      <c r="AJ813" s="383">
        <f t="shared" si="554"/>
        <v>1</v>
      </c>
      <c r="AK813" s="383">
        <f t="shared" si="555"/>
        <v>0</v>
      </c>
      <c r="AM813" s="148" t="str">
        <f t="shared" si="556"/>
        <v>Schedulled</v>
      </c>
      <c r="AN813" s="148" t="str">
        <f t="shared" si="557"/>
        <v/>
      </c>
      <c r="AO813" s="156">
        <f t="shared" si="558"/>
        <v>43065.472222222219</v>
      </c>
      <c r="AP813" s="148" t="str">
        <f t="shared" si="559"/>
        <v>11/26/2017 11:20-&gt;JCC Gym South</v>
      </c>
      <c r="AQ813" s="374">
        <f t="shared" si="560"/>
        <v>1</v>
      </c>
      <c r="AR813" s="148" t="str">
        <f t="shared" si="561"/>
        <v>ARG1</v>
      </c>
      <c r="AS813" s="148" t="str">
        <f t="shared" si="562"/>
        <v>COL1</v>
      </c>
      <c r="AT813" s="157" t="str">
        <f t="shared" si="563"/>
        <v>ARG1-COL1</v>
      </c>
      <c r="AU813" s="157" t="str">
        <f t="shared" si="564"/>
        <v>ARG1-COL1 Volleyball Semi-Final</v>
      </c>
      <c r="AV813" s="157" t="str">
        <f t="shared" si="565"/>
        <v>JUNIORS FEMALE</v>
      </c>
      <c r="AW813" s="157" t="str">
        <f t="shared" si="566"/>
        <v>Volleyball</v>
      </c>
      <c r="AX813" s="376">
        <f t="shared" si="567"/>
        <v>811</v>
      </c>
      <c r="AY813" s="148" t="str">
        <f t="shared" si="568"/>
        <v>JR F - ARG 1-&gt;JR F - COL 1</v>
      </c>
      <c r="AZ813" s="148" t="str">
        <f t="shared" si="569"/>
        <v>11/26/2017 11:20-&gt;JR F - ARG 1</v>
      </c>
      <c r="BA813" s="148" t="str">
        <f t="shared" si="570"/>
        <v>11/26/2017 11:20-&gt;JR F - COL 1</v>
      </c>
      <c r="BB813" s="374">
        <f t="shared" si="571"/>
        <v>1</v>
      </c>
      <c r="BC813" s="374">
        <f t="shared" si="572"/>
        <v>1</v>
      </c>
      <c r="BD813" s="148" t="str">
        <f t="shared" si="573"/>
        <v>no conflict</v>
      </c>
      <c r="BF813" s="148" t="str">
        <f t="shared" si="574"/>
        <v>11/26/2017 11:20-&gt;JR F - ARG 1</v>
      </c>
      <c r="BG813" s="148" t="str">
        <f t="shared" si="575"/>
        <v>11/26/2017 11:20-&gt;JR F - COL 1</v>
      </c>
      <c r="BH813" s="148" t="str">
        <f t="shared" si="576"/>
        <v>11/26/2017 11:20-&gt;JCC Gym South</v>
      </c>
      <c r="BI813" s="148" t="str">
        <f t="shared" si="577"/>
        <v>Volleyball in JCC Gym South (ARG1-COL1)</v>
      </c>
      <c r="BJ813" s="148" t="str">
        <f t="shared" si="578"/>
        <v>Junior Female Volleyball-- JR F - ARG 1 vs. JR F - COL 1</v>
      </c>
      <c r="BK813" s="148" t="str">
        <f t="shared" si="579"/>
        <v>Volleyball</v>
      </c>
      <c r="BL813" s="148" t="str">
        <f t="shared" si="580"/>
        <v>JR F - ARG 1</v>
      </c>
      <c r="BM813" s="148" t="str">
        <f t="shared" si="581"/>
        <v>JR F - COL 1</v>
      </c>
      <c r="BN813" s="148" t="str">
        <f t="shared" si="582"/>
        <v>Semi-Final</v>
      </c>
      <c r="BP813" s="148" t="str">
        <f t="shared" si="583"/>
        <v>11/26/2017 11:20-&gt;JUNIORS FEMALE</v>
      </c>
      <c r="BQ813" s="148" t="str">
        <f t="shared" si="584"/>
        <v>Volleyball Semi-Final in JCC Gym South</v>
      </c>
    </row>
    <row r="814" spans="1:69" ht="15" customHeight="1" x14ac:dyDescent="0.2">
      <c r="A814" s="376">
        <v>812</v>
      </c>
      <c r="B814" s="315" t="s">
        <v>517</v>
      </c>
      <c r="C814" s="315" t="s">
        <v>771</v>
      </c>
      <c r="D814" s="378">
        <v>1</v>
      </c>
      <c r="E814" s="378">
        <v>1</v>
      </c>
      <c r="F814" s="315" t="s">
        <v>770</v>
      </c>
      <c r="G814" s="316">
        <v>43065</v>
      </c>
      <c r="H814" s="454">
        <v>0.36805555555555558</v>
      </c>
      <c r="I814" s="325" t="s">
        <v>770</v>
      </c>
      <c r="J814" s="315" t="s">
        <v>692</v>
      </c>
      <c r="K814" s="315"/>
      <c r="L814" s="462" t="s">
        <v>678</v>
      </c>
      <c r="M814"/>
      <c r="N814" s="460" t="s">
        <v>721</v>
      </c>
      <c r="O814" s="153" t="str">
        <f>IF(L814&lt;&gt;"",IFERROR(VLOOKUP(B814&amp;L814,Pools!$A$2:$D$130,3,FALSE),""),"")</f>
        <v/>
      </c>
      <c r="P814" s="388">
        <v>3</v>
      </c>
      <c r="Q814" s="388">
        <v>1</v>
      </c>
      <c r="R814" s="306" t="str">
        <f t="shared" si="540"/>
        <v>3-1</v>
      </c>
      <c r="S814" s="153"/>
      <c r="T814" s="148" t="str">
        <f t="shared" si="541"/>
        <v>Completed</v>
      </c>
      <c r="U814" s="153"/>
      <c r="V814" s="153"/>
      <c r="W814" s="387">
        <f t="shared" si="542"/>
        <v>2</v>
      </c>
      <c r="X814" s="387">
        <f t="shared" si="543"/>
        <v>-2</v>
      </c>
      <c r="Y814" s="301">
        <f t="shared" si="544"/>
        <v>2</v>
      </c>
      <c r="Z814" s="301">
        <f t="shared" si="545"/>
        <v>0</v>
      </c>
      <c r="AA814" s="323" t="str">
        <f>CONCATENATE("                x[team1,team2,sport,'",IF(OR(I814="x",I814=""),VLOOKUP('Schedule from TM'!J815,Tables!$P$3:$Q$33,2,FALSE),'Schedule from TM'!I815),",",J814,"','",IF(OR(F814="x",F814=""),VLOOKUP('Schedule from TM'!G815,Tables!$U$3:$V$14,2,FALSE),'Schedule from TM'!F815),",",TEXT(G814,"mm/dd/yyyy"),"','",TEXT(H814,"h:mm:ss AM/PM"),"'].ub=0.0      #",B814)</f>
        <v xml:space="preserve">                x[team1,team2,sport,'11,JCC Back Field 3','21,11/26/2017','8:50:00 AM'].ub=0.0      #Veterans Mini Soccer</v>
      </c>
      <c r="AB814" s="301" t="str">
        <f t="shared" si="546"/>
        <v>,,Veterans Mini Soccer,,1,VET - VEN 1</v>
      </c>
      <c r="AC814" s="153" t="str">
        <f t="shared" si="547"/>
        <v>Veterans Mini SoccerVET - VEN 1</v>
      </c>
      <c r="AD814" s="301" t="str">
        <f t="shared" si="548"/>
        <v>,,Veterans Mini Soccer,,1,VET - ISR 1</v>
      </c>
      <c r="AE814" s="153" t="str">
        <f t="shared" si="549"/>
        <v>Veterans Mini SoccerVET - ISR 1</v>
      </c>
      <c r="AF814" s="383">
        <f t="shared" si="550"/>
        <v>1</v>
      </c>
      <c r="AG814" s="383">
        <f t="shared" si="551"/>
        <v>0</v>
      </c>
      <c r="AH814" s="383">
        <f t="shared" si="552"/>
        <v>0</v>
      </c>
      <c r="AI814" s="383">
        <f t="shared" si="553"/>
        <v>0</v>
      </c>
      <c r="AJ814" s="383">
        <f t="shared" si="554"/>
        <v>1</v>
      </c>
      <c r="AK814" s="383">
        <f t="shared" si="555"/>
        <v>0</v>
      </c>
      <c r="AM814" s="148" t="str">
        <f t="shared" si="556"/>
        <v>Schedulled</v>
      </c>
      <c r="AN814" s="148" t="str">
        <f t="shared" si="557"/>
        <v/>
      </c>
      <c r="AO814" s="156">
        <f t="shared" si="558"/>
        <v>43065.368055555555</v>
      </c>
      <c r="AP814" s="148" t="str">
        <f t="shared" si="559"/>
        <v>11/26/2017 08:50-&gt;JCC Back Field 3</v>
      </c>
      <c r="AQ814" s="374">
        <f t="shared" si="560"/>
        <v>1</v>
      </c>
      <c r="AR814" s="148" t="str">
        <f t="shared" si="561"/>
        <v>VEN1</v>
      </c>
      <c r="AS814" s="148" t="str">
        <f t="shared" si="562"/>
        <v>ISR1</v>
      </c>
      <c r="AT814" s="157" t="str">
        <f t="shared" si="563"/>
        <v>VEN1-ISR1</v>
      </c>
      <c r="AU814" s="157" t="str">
        <f t="shared" si="564"/>
        <v>VEN1-ISR1 Soccer Semi-Final</v>
      </c>
      <c r="AV814" s="157" t="str">
        <f t="shared" si="565"/>
        <v>VETERANs MAlE</v>
      </c>
      <c r="AW814" s="157" t="str">
        <f t="shared" si="566"/>
        <v>Soccer</v>
      </c>
      <c r="AX814" s="376">
        <f t="shared" si="567"/>
        <v>812</v>
      </c>
      <c r="AY814" s="148" t="str">
        <f t="shared" si="568"/>
        <v>VET - VEN 1-&gt;VET - ISR 1</v>
      </c>
      <c r="AZ814" s="148" t="str">
        <f t="shared" si="569"/>
        <v>11/26/2017 08:50-&gt;VET - VEN 1</v>
      </c>
      <c r="BA814" s="148" t="str">
        <f t="shared" si="570"/>
        <v>11/26/2017 08:50-&gt;VET - ISR 1</v>
      </c>
      <c r="BB814" s="374">
        <f t="shared" si="571"/>
        <v>1</v>
      </c>
      <c r="BC814" s="374">
        <f t="shared" si="572"/>
        <v>1</v>
      </c>
      <c r="BD814" s="148" t="str">
        <f t="shared" si="573"/>
        <v>no conflict</v>
      </c>
      <c r="BF814" s="148" t="str">
        <f t="shared" si="574"/>
        <v>11/26/2017 08:50-&gt;VET - VEN 1</v>
      </c>
      <c r="BG814" s="148" t="str">
        <f t="shared" si="575"/>
        <v>11/26/2017 08:50-&gt;VET - ISR 1</v>
      </c>
      <c r="BH814" s="148" t="str">
        <f t="shared" si="576"/>
        <v>11/26/2017 08:50-&gt;JCC Back Field 3</v>
      </c>
      <c r="BI814" s="148" t="str">
        <f t="shared" si="577"/>
        <v>Soccer in JCC Back Field 3 (VEN1-ISR1)</v>
      </c>
      <c r="BJ814" s="148" t="str">
        <f t="shared" si="578"/>
        <v>Veterans Mini Soccer-- VET - VEN 1 vs. VET - ISR 1</v>
      </c>
      <c r="BK814" s="148" t="str">
        <f t="shared" si="579"/>
        <v>Soccer</v>
      </c>
      <c r="BL814" s="148" t="str">
        <f t="shared" si="580"/>
        <v>VET - VEN 1</v>
      </c>
      <c r="BM814" s="148" t="str">
        <f t="shared" si="581"/>
        <v>VET - ISR 1</v>
      </c>
      <c r="BN814" s="148" t="str">
        <f t="shared" si="582"/>
        <v>Semi-Final</v>
      </c>
      <c r="BP814" s="148" t="str">
        <f t="shared" si="583"/>
        <v>11/26/2017 08:50-&gt;VETERANs MAlE</v>
      </c>
      <c r="BQ814" s="148" t="str">
        <f t="shared" si="584"/>
        <v>Soccer Semi-Final in JCC Back Field 3</v>
      </c>
    </row>
    <row r="815" spans="1:69" ht="15" customHeight="1" x14ac:dyDescent="0.2">
      <c r="A815" s="376">
        <v>813</v>
      </c>
      <c r="B815" s="444" t="s">
        <v>517</v>
      </c>
      <c r="C815" s="315" t="s">
        <v>771</v>
      </c>
      <c r="D815" s="378">
        <v>1</v>
      </c>
      <c r="E815" s="378">
        <v>1</v>
      </c>
      <c r="F815" s="315" t="s">
        <v>770</v>
      </c>
      <c r="G815" s="316">
        <v>43065</v>
      </c>
      <c r="H815" s="454">
        <v>0.36805555555555558</v>
      </c>
      <c r="I815" s="325" t="s">
        <v>770</v>
      </c>
      <c r="J815" s="444" t="s">
        <v>694</v>
      </c>
      <c r="K815" s="315"/>
      <c r="L815" s="462" t="s">
        <v>672</v>
      </c>
      <c r="M815"/>
      <c r="N815" s="462" t="s">
        <v>675</v>
      </c>
      <c r="O815" s="153" t="str">
        <f>IF(L815&lt;&gt;"",IFERROR(VLOOKUP(B815&amp;L815,Pools!$A$2:$D$130,3,FALSE),""),"")</f>
        <v/>
      </c>
      <c r="P815" s="388">
        <v>1</v>
      </c>
      <c r="Q815" s="388">
        <v>0</v>
      </c>
      <c r="R815" s="306" t="str">
        <f t="shared" si="540"/>
        <v>1-0</v>
      </c>
      <c r="S815" s="153"/>
      <c r="T815" s="148" t="str">
        <f t="shared" si="541"/>
        <v>Completed</v>
      </c>
      <c r="U815" s="153"/>
      <c r="V815" s="153"/>
      <c r="W815" s="387">
        <f t="shared" si="542"/>
        <v>1</v>
      </c>
      <c r="X815" s="387">
        <f t="shared" si="543"/>
        <v>-1</v>
      </c>
      <c r="Y815" s="301">
        <f t="shared" si="544"/>
        <v>2</v>
      </c>
      <c r="Z815" s="301">
        <f t="shared" si="545"/>
        <v>0</v>
      </c>
      <c r="AA815" s="323" t="str">
        <f>CONCATENATE("                x[team1,team2,sport,'",IF(OR(I815="x",I815=""),VLOOKUP('Schedule from TM'!J816,Tables!$P$3:$Q$33,2,FALSE),'Schedule from TM'!I816),",",J815,"','",IF(OR(F815="x",F815=""),VLOOKUP('Schedule from TM'!G816,Tables!$U$3:$V$14,2,FALSE),'Schedule from TM'!F816),",",TEXT(G815,"mm/dd/yyyy"),"','",TEXT(H815,"h:mm:ss AM/PM"),"'].ub=0.0      #",B815)</f>
        <v xml:space="preserve">                x[team1,team2,sport,'11,JCC Back Field 4','21,11/26/2017','8:50:00 AM'].ub=0.0      #Veterans Mini Soccer</v>
      </c>
      <c r="AB815" s="301" t="str">
        <f t="shared" si="546"/>
        <v>,,Veterans Mini Soccer,,1,VET - ARG 1</v>
      </c>
      <c r="AC815" s="153" t="str">
        <f t="shared" si="547"/>
        <v>Veterans Mini SoccerVET - ARG 1</v>
      </c>
      <c r="AD815" s="301" t="str">
        <f t="shared" si="548"/>
        <v>,,Veterans Mini Soccer,,1,VET - MEX</v>
      </c>
      <c r="AE815" s="153" t="str">
        <f t="shared" si="549"/>
        <v>Veterans Mini SoccerVET - MEX</v>
      </c>
      <c r="AF815" s="383">
        <f t="shared" si="550"/>
        <v>1</v>
      </c>
      <c r="AG815" s="383">
        <f t="shared" si="551"/>
        <v>0</v>
      </c>
      <c r="AH815" s="383">
        <f t="shared" si="552"/>
        <v>0</v>
      </c>
      <c r="AI815" s="383">
        <f t="shared" si="553"/>
        <v>0</v>
      </c>
      <c r="AJ815" s="383">
        <f t="shared" si="554"/>
        <v>1</v>
      </c>
      <c r="AK815" s="383">
        <f t="shared" si="555"/>
        <v>0</v>
      </c>
      <c r="AM815" s="148" t="str">
        <f t="shared" si="556"/>
        <v>Schedulled</v>
      </c>
      <c r="AN815" s="148" t="str">
        <f t="shared" si="557"/>
        <v/>
      </c>
      <c r="AO815" s="156">
        <f t="shared" si="558"/>
        <v>43065.368055555555</v>
      </c>
      <c r="AP815" s="148" t="str">
        <f t="shared" si="559"/>
        <v>11/26/2017 08:50-&gt;JCC Back Field 4</v>
      </c>
      <c r="AQ815" s="374">
        <f t="shared" si="560"/>
        <v>1</v>
      </c>
      <c r="AR815" s="148" t="str">
        <f t="shared" si="561"/>
        <v>ARG1</v>
      </c>
      <c r="AS815" s="148" t="str">
        <f t="shared" si="562"/>
        <v>MEX</v>
      </c>
      <c r="AT815" s="157" t="str">
        <f t="shared" si="563"/>
        <v>ARG1-MEX</v>
      </c>
      <c r="AU815" s="157" t="str">
        <f t="shared" si="564"/>
        <v>ARG1-MEX Soccer Semi-Final</v>
      </c>
      <c r="AV815" s="157" t="str">
        <f t="shared" si="565"/>
        <v>VETERANs MAlE</v>
      </c>
      <c r="AW815" s="157" t="str">
        <f t="shared" si="566"/>
        <v>Soccer</v>
      </c>
      <c r="AX815" s="376">
        <f t="shared" si="567"/>
        <v>813</v>
      </c>
      <c r="AY815" s="148" t="str">
        <f t="shared" si="568"/>
        <v>VET - ARG 1-&gt;VET - MEX</v>
      </c>
      <c r="AZ815" s="148" t="str">
        <f t="shared" si="569"/>
        <v>11/26/2017 08:50-&gt;VET - ARG 1</v>
      </c>
      <c r="BA815" s="148" t="str">
        <f t="shared" si="570"/>
        <v>11/26/2017 08:50-&gt;VET - MEX</v>
      </c>
      <c r="BB815" s="374">
        <f t="shared" si="571"/>
        <v>1</v>
      </c>
      <c r="BC815" s="374">
        <f t="shared" si="572"/>
        <v>1</v>
      </c>
      <c r="BD815" s="148" t="str">
        <f t="shared" si="573"/>
        <v>no conflict</v>
      </c>
      <c r="BF815" s="148" t="str">
        <f t="shared" si="574"/>
        <v>11/26/2017 08:50-&gt;VET - ARG 1</v>
      </c>
      <c r="BG815" s="148" t="str">
        <f t="shared" si="575"/>
        <v>11/26/2017 08:50-&gt;VET - MEX</v>
      </c>
      <c r="BH815" s="148" t="str">
        <f t="shared" si="576"/>
        <v>11/26/2017 08:50-&gt;JCC Back Field 4</v>
      </c>
      <c r="BI815" s="148" t="str">
        <f t="shared" si="577"/>
        <v>Soccer in JCC Back Field 4 (ARG1-MEX)</v>
      </c>
      <c r="BJ815" s="148" t="str">
        <f t="shared" si="578"/>
        <v>Veterans Mini Soccer-- VET - ARG 1 vs. VET - MEX</v>
      </c>
      <c r="BK815" s="148" t="str">
        <f t="shared" si="579"/>
        <v>Soccer</v>
      </c>
      <c r="BL815" s="148" t="str">
        <f t="shared" si="580"/>
        <v>VET - ARG 1</v>
      </c>
      <c r="BM815" s="148" t="str">
        <f t="shared" si="581"/>
        <v>VET - MEX</v>
      </c>
      <c r="BN815" s="148" t="str">
        <f t="shared" si="582"/>
        <v>Semi-Final</v>
      </c>
      <c r="BP815" s="148" t="str">
        <f t="shared" si="583"/>
        <v>11/26/2017 08:50-&gt;VETERANs MAlE</v>
      </c>
      <c r="BQ815" s="148" t="str">
        <f t="shared" si="584"/>
        <v>Soccer Semi-Final in JCC Back Field 4</v>
      </c>
    </row>
    <row r="816" spans="1:69" ht="15" customHeight="1" x14ac:dyDescent="0.2">
      <c r="A816" s="376">
        <v>814</v>
      </c>
      <c r="B816" s="444" t="s">
        <v>516</v>
      </c>
      <c r="C816" s="444" t="s">
        <v>771</v>
      </c>
      <c r="D816" s="451">
        <v>1</v>
      </c>
      <c r="E816" s="451">
        <v>1</v>
      </c>
      <c r="F816" s="315" t="s">
        <v>770</v>
      </c>
      <c r="G816" s="445">
        <v>43065</v>
      </c>
      <c r="H816" s="454">
        <v>0.40277777777777773</v>
      </c>
      <c r="I816" s="325" t="s">
        <v>770</v>
      </c>
      <c r="J816" s="444" t="s">
        <v>697</v>
      </c>
      <c r="K816" s="444"/>
      <c r="L816" s="462" t="s">
        <v>721</v>
      </c>
      <c r="M816"/>
      <c r="N816" s="462" t="s">
        <v>675</v>
      </c>
      <c r="O816" s="153" t="str">
        <f>IF(L816&lt;&gt;"",IFERROR(VLOOKUP(B816&amp;L816,Pools!$A$2:$D$130,3,FALSE),""),"")</f>
        <v/>
      </c>
      <c r="P816" s="388">
        <v>2</v>
      </c>
      <c r="Q816" s="388">
        <v>0</v>
      </c>
      <c r="R816" s="306" t="str">
        <f t="shared" si="540"/>
        <v>2-0</v>
      </c>
      <c r="S816" s="153"/>
      <c r="T816" s="148" t="str">
        <f t="shared" si="541"/>
        <v>Completed</v>
      </c>
      <c r="U816" s="153"/>
      <c r="V816" s="153"/>
      <c r="W816" s="387">
        <f t="shared" si="542"/>
        <v>2</v>
      </c>
      <c r="X816" s="387">
        <f t="shared" si="543"/>
        <v>-2</v>
      </c>
      <c r="Y816" s="301">
        <f t="shared" si="544"/>
        <v>2</v>
      </c>
      <c r="Z816" s="301">
        <f t="shared" si="545"/>
        <v>0</v>
      </c>
      <c r="AA816" s="323" t="str">
        <f>CONCATENATE("                x[team1,team2,sport,'",IF(OR(I816="x",I816=""),VLOOKUP('Schedule from TM'!J817,Tables!$P$3:$Q$33,2,FALSE),'Schedule from TM'!I817),",",J816,"','",IF(OR(F816="x",F816=""),VLOOKUP('Schedule from TM'!G817,Tables!$U$3:$V$14,2,FALSE),'Schedule from TM'!F817),",",TEXT(G816,"mm/dd/yyyy"),"','",TEXT(H816,"h:mm:ss AM/PM"),"'].ub=0.0      #",B816)</f>
        <v xml:space="preserve">                x[team1,team2,sport,'11,JCC Gym South','21,11/26/2017','9:40:00 AM'].ub=0.0      #Veterans Volleyball</v>
      </c>
      <c r="AB816" s="301" t="str">
        <f t="shared" si="546"/>
        <v>,,Veterans Volleyball,,1,VET - ISR 1</v>
      </c>
      <c r="AC816" s="153" t="str">
        <f t="shared" si="547"/>
        <v>Veterans VolleyballVET - ISR 1</v>
      </c>
      <c r="AD816" s="301" t="str">
        <f t="shared" si="548"/>
        <v>,,Veterans Volleyball,,1,VET - MEX</v>
      </c>
      <c r="AE816" s="153" t="str">
        <f t="shared" si="549"/>
        <v>Veterans VolleyballVET - MEX</v>
      </c>
      <c r="AF816" s="383">
        <f t="shared" si="550"/>
        <v>1</v>
      </c>
      <c r="AG816" s="383">
        <f t="shared" si="551"/>
        <v>0</v>
      </c>
      <c r="AH816" s="383">
        <f t="shared" si="552"/>
        <v>0</v>
      </c>
      <c r="AI816" s="383">
        <f t="shared" si="553"/>
        <v>0</v>
      </c>
      <c r="AJ816" s="383">
        <f t="shared" si="554"/>
        <v>1</v>
      </c>
      <c r="AK816" s="383">
        <f t="shared" si="555"/>
        <v>0</v>
      </c>
      <c r="AM816" s="148" t="str">
        <f t="shared" si="556"/>
        <v>Schedulled</v>
      </c>
      <c r="AN816" s="148" t="str">
        <f t="shared" si="557"/>
        <v/>
      </c>
      <c r="AO816" s="156">
        <f t="shared" si="558"/>
        <v>43065.402777777781</v>
      </c>
      <c r="AP816" s="148" t="str">
        <f t="shared" si="559"/>
        <v>11/26/2017 09:40-&gt;JCC Gym South</v>
      </c>
      <c r="AQ816" s="374">
        <f t="shared" si="560"/>
        <v>1</v>
      </c>
      <c r="AR816" s="148" t="str">
        <f t="shared" si="561"/>
        <v>ISR1</v>
      </c>
      <c r="AS816" s="148" t="str">
        <f t="shared" si="562"/>
        <v>MEX</v>
      </c>
      <c r="AT816" s="157" t="str">
        <f t="shared" si="563"/>
        <v>ISR1-MEX</v>
      </c>
      <c r="AU816" s="157" t="str">
        <f t="shared" si="564"/>
        <v>ISR1-MEX Volleyball Semi-Final</v>
      </c>
      <c r="AV816" s="157" t="str">
        <f t="shared" si="565"/>
        <v>VETERANs MAlE</v>
      </c>
      <c r="AW816" s="157" t="str">
        <f t="shared" si="566"/>
        <v>Volleyball</v>
      </c>
      <c r="AX816" s="376">
        <f t="shared" si="567"/>
        <v>814</v>
      </c>
      <c r="AY816" s="148" t="str">
        <f t="shared" si="568"/>
        <v>VET - ISR 1-&gt;VET - MEX</v>
      </c>
      <c r="AZ816" s="148" t="str">
        <f t="shared" si="569"/>
        <v>11/26/2017 09:40-&gt;VET - ISR 1</v>
      </c>
      <c r="BA816" s="148" t="str">
        <f t="shared" si="570"/>
        <v>11/26/2017 09:40-&gt;VET - MEX</v>
      </c>
      <c r="BB816" s="374">
        <f t="shared" si="571"/>
        <v>1</v>
      </c>
      <c r="BC816" s="374">
        <f t="shared" si="572"/>
        <v>1</v>
      </c>
      <c r="BD816" s="148" t="str">
        <f t="shared" si="573"/>
        <v>no conflict</v>
      </c>
      <c r="BF816" s="148" t="str">
        <f t="shared" si="574"/>
        <v>11/26/2017 09:40-&gt;VET - ISR 1</v>
      </c>
      <c r="BG816" s="148" t="str">
        <f t="shared" si="575"/>
        <v>11/26/2017 09:40-&gt;VET - MEX</v>
      </c>
      <c r="BH816" s="148" t="str">
        <f t="shared" si="576"/>
        <v>11/26/2017 09:40-&gt;JCC Gym South</v>
      </c>
      <c r="BI816" s="148" t="str">
        <f t="shared" si="577"/>
        <v>Volleyball in JCC Gym South (ISR1-MEX)</v>
      </c>
      <c r="BJ816" s="148" t="str">
        <f t="shared" si="578"/>
        <v>Veterans Volleyball-- VET - ISR 1 vs. VET - MEX</v>
      </c>
      <c r="BK816" s="148" t="str">
        <f t="shared" si="579"/>
        <v>Volleyball</v>
      </c>
      <c r="BL816" s="148" t="str">
        <f t="shared" si="580"/>
        <v>VET - ISR 1</v>
      </c>
      <c r="BM816" s="148" t="str">
        <f t="shared" si="581"/>
        <v>VET - MEX</v>
      </c>
      <c r="BN816" s="148" t="str">
        <f t="shared" si="582"/>
        <v>Semi-Final</v>
      </c>
      <c r="BP816" s="148" t="str">
        <f t="shared" si="583"/>
        <v>11/26/2017 09:40-&gt;VETERANs MAlE</v>
      </c>
      <c r="BQ816" s="148" t="str">
        <f t="shared" si="584"/>
        <v>Volleyball Semi-Final in JCC Gym South</v>
      </c>
    </row>
    <row r="817" spans="1:69" ht="15" customHeight="1" x14ac:dyDescent="0.2">
      <c r="A817" s="376">
        <v>815</v>
      </c>
      <c r="B817" s="443" t="s">
        <v>516</v>
      </c>
      <c r="C817" s="444" t="s">
        <v>771</v>
      </c>
      <c r="D817" s="451">
        <v>1</v>
      </c>
      <c r="E817" s="451">
        <v>1</v>
      </c>
      <c r="F817" s="315" t="s">
        <v>770</v>
      </c>
      <c r="G817" s="445">
        <v>43065</v>
      </c>
      <c r="H817" s="454">
        <v>0.4375</v>
      </c>
      <c r="I817" s="325" t="s">
        <v>770</v>
      </c>
      <c r="J817" s="444" t="s">
        <v>697</v>
      </c>
      <c r="K817" s="444"/>
      <c r="L817" s="462" t="s">
        <v>678</v>
      </c>
      <c r="M817"/>
      <c r="N817" s="462" t="s">
        <v>674</v>
      </c>
      <c r="O817" s="153" t="str">
        <f>IF(L817&lt;&gt;"",IFERROR(VLOOKUP(B817&amp;L817,Pools!$A$2:$D$130,3,FALSE),""),"")</f>
        <v/>
      </c>
      <c r="P817" s="388">
        <v>2</v>
      </c>
      <c r="Q817" s="388">
        <v>0</v>
      </c>
      <c r="R817" s="306" t="str">
        <f t="shared" si="540"/>
        <v>2-0</v>
      </c>
      <c r="S817" s="153"/>
      <c r="T817" s="148" t="str">
        <f t="shared" si="541"/>
        <v>Completed</v>
      </c>
      <c r="U817" s="153"/>
      <c r="V817" s="153"/>
      <c r="W817" s="387">
        <f t="shared" si="542"/>
        <v>2</v>
      </c>
      <c r="X817" s="387">
        <f t="shared" si="543"/>
        <v>-2</v>
      </c>
      <c r="Y817" s="301">
        <f t="shared" si="544"/>
        <v>2</v>
      </c>
      <c r="Z817" s="301">
        <f t="shared" si="545"/>
        <v>0</v>
      </c>
      <c r="AA817" s="323" t="str">
        <f>CONCATENATE("                x[team1,team2,sport,'",IF(OR(I817="x",I817=""),VLOOKUP('Schedule from TM'!J818,Tables!$P$3:$Q$33,2,FALSE),'Schedule from TM'!I818),",",J817,"','",IF(OR(F817="x",F817=""),VLOOKUP('Schedule from TM'!G818,Tables!$U$3:$V$14,2,FALSE),'Schedule from TM'!F818),",",TEXT(G817,"mm/dd/yyyy"),"','",TEXT(H817,"h:mm:ss AM/PM"),"'].ub=0.0      #",B817)</f>
        <v xml:space="preserve">                x[team1,team2,sport,'11,JCC Gym South','21,11/26/2017','10:30:00 AM'].ub=0.0      #Veterans Volleyball</v>
      </c>
      <c r="AB817" s="301" t="str">
        <f t="shared" si="546"/>
        <v>,,Veterans Volleyball,,1,VET - VEN 1</v>
      </c>
      <c r="AC817" s="153" t="str">
        <f t="shared" si="547"/>
        <v>Veterans VolleyballVET - VEN 1</v>
      </c>
      <c r="AD817" s="301" t="str">
        <f t="shared" si="548"/>
        <v>,,Veterans Volleyball,,1,VET - COL 1</v>
      </c>
      <c r="AE817" s="153" t="str">
        <f t="shared" si="549"/>
        <v>Veterans VolleyballVET - COL 1</v>
      </c>
      <c r="AF817" s="383">
        <f t="shared" si="550"/>
        <v>1</v>
      </c>
      <c r="AG817" s="383">
        <f t="shared" si="551"/>
        <v>0</v>
      </c>
      <c r="AH817" s="383">
        <f t="shared" si="552"/>
        <v>0</v>
      </c>
      <c r="AI817" s="383">
        <f t="shared" si="553"/>
        <v>0</v>
      </c>
      <c r="AJ817" s="383">
        <f t="shared" si="554"/>
        <v>1</v>
      </c>
      <c r="AK817" s="383">
        <f t="shared" si="555"/>
        <v>0</v>
      </c>
      <c r="AM817" s="148" t="str">
        <f t="shared" si="556"/>
        <v>Schedulled</v>
      </c>
      <c r="AN817" s="148" t="str">
        <f t="shared" si="557"/>
        <v/>
      </c>
      <c r="AO817" s="156">
        <f t="shared" si="558"/>
        <v>43065.4375</v>
      </c>
      <c r="AP817" s="148" t="str">
        <f t="shared" si="559"/>
        <v>11/26/2017 10:30-&gt;JCC Gym South</v>
      </c>
      <c r="AQ817" s="374">
        <f t="shared" si="560"/>
        <v>1</v>
      </c>
      <c r="AR817" s="148" t="str">
        <f t="shared" si="561"/>
        <v>VEN1</v>
      </c>
      <c r="AS817" s="148" t="str">
        <f t="shared" si="562"/>
        <v>COL1</v>
      </c>
      <c r="AT817" s="157" t="str">
        <f t="shared" si="563"/>
        <v>VEN1-COL1</v>
      </c>
      <c r="AU817" s="157" t="str">
        <f t="shared" si="564"/>
        <v>VEN1-COL1 Volleyball Semi-Final</v>
      </c>
      <c r="AV817" s="157" t="str">
        <f t="shared" si="565"/>
        <v>VETERANs MAlE</v>
      </c>
      <c r="AW817" s="157" t="str">
        <f t="shared" si="566"/>
        <v>Volleyball</v>
      </c>
      <c r="AX817" s="376">
        <f t="shared" si="567"/>
        <v>815</v>
      </c>
      <c r="AY817" s="148" t="str">
        <f t="shared" si="568"/>
        <v>VET - VEN 1-&gt;VET - COL 1</v>
      </c>
      <c r="AZ817" s="148" t="str">
        <f t="shared" si="569"/>
        <v>11/26/2017 10:30-&gt;VET - VEN 1</v>
      </c>
      <c r="BA817" s="148" t="str">
        <f t="shared" si="570"/>
        <v>11/26/2017 10:30-&gt;VET - COL 1</v>
      </c>
      <c r="BB817" s="374">
        <f t="shared" si="571"/>
        <v>1</v>
      </c>
      <c r="BC817" s="374">
        <f t="shared" si="572"/>
        <v>1</v>
      </c>
      <c r="BD817" s="148" t="str">
        <f t="shared" si="573"/>
        <v>no conflict</v>
      </c>
      <c r="BF817" s="148" t="str">
        <f t="shared" si="574"/>
        <v>11/26/2017 10:30-&gt;VET - VEN 1</v>
      </c>
      <c r="BG817" s="148" t="str">
        <f t="shared" si="575"/>
        <v>11/26/2017 10:30-&gt;VET - COL 1</v>
      </c>
      <c r="BH817" s="148" t="str">
        <f t="shared" si="576"/>
        <v>11/26/2017 10:30-&gt;JCC Gym South</v>
      </c>
      <c r="BI817" s="148" t="str">
        <f t="shared" si="577"/>
        <v>Volleyball in JCC Gym South (VEN1-COL1)</v>
      </c>
      <c r="BJ817" s="148" t="str">
        <f t="shared" si="578"/>
        <v>Veterans Volleyball-- VET - VEN 1 vs. VET - COL 1</v>
      </c>
      <c r="BK817" s="148" t="str">
        <f t="shared" si="579"/>
        <v>Volleyball</v>
      </c>
      <c r="BL817" s="148" t="str">
        <f t="shared" si="580"/>
        <v>VET - VEN 1</v>
      </c>
      <c r="BM817" s="148" t="str">
        <f t="shared" si="581"/>
        <v>VET - COL 1</v>
      </c>
      <c r="BN817" s="148" t="str">
        <f t="shared" si="582"/>
        <v>Semi-Final</v>
      </c>
      <c r="BP817" s="148" t="str">
        <f t="shared" si="583"/>
        <v>11/26/2017 10:30-&gt;VETERANs MAlE</v>
      </c>
      <c r="BQ817" s="148" t="str">
        <f t="shared" si="584"/>
        <v>Volleyball Semi-Final in JCC Gym South</v>
      </c>
    </row>
    <row r="818" spans="1:69" ht="15" customHeight="1" x14ac:dyDescent="0.2">
      <c r="A818" s="376">
        <v>816</v>
      </c>
      <c r="B818" t="s">
        <v>462</v>
      </c>
      <c r="C818" s="121" t="s">
        <v>769</v>
      </c>
      <c r="D818" s="378">
        <v>1</v>
      </c>
      <c r="E818" s="378">
        <v>1</v>
      </c>
      <c r="F818" s="315" t="s">
        <v>770</v>
      </c>
      <c r="G818" s="327">
        <v>43065</v>
      </c>
      <c r="H818" s="454">
        <v>0.64583333333333337</v>
      </c>
      <c r="I818" s="325" t="s">
        <v>770</v>
      </c>
      <c r="J818" s="443" t="s">
        <v>696</v>
      </c>
      <c r="K818" s="315"/>
      <c r="L818" s="463" t="s">
        <v>526</v>
      </c>
      <c r="M818"/>
      <c r="N818" s="463" t="s">
        <v>530</v>
      </c>
      <c r="O818" s="153" t="str">
        <f>IF(L818&lt;&gt;"",IFERROR(VLOOKUP(B818&amp;L818,Pools!$A$2:$D$130,3,FALSE),""),"")</f>
        <v/>
      </c>
      <c r="P818" s="388">
        <v>19</v>
      </c>
      <c r="Q818" s="388">
        <v>40</v>
      </c>
      <c r="R818" s="306" t="str">
        <f t="shared" si="540"/>
        <v>19-40</v>
      </c>
      <c r="S818" s="153"/>
      <c r="T818" s="148" t="str">
        <f t="shared" si="541"/>
        <v>Completed</v>
      </c>
      <c r="U818" s="153"/>
      <c r="V818" s="153"/>
      <c r="W818" s="387">
        <f t="shared" si="542"/>
        <v>-15</v>
      </c>
      <c r="X818" s="387">
        <f t="shared" si="543"/>
        <v>15</v>
      </c>
      <c r="Y818" s="301">
        <f t="shared" si="544"/>
        <v>0</v>
      </c>
      <c r="Z818" s="301">
        <f t="shared" si="545"/>
        <v>2</v>
      </c>
      <c r="AA818" s="323" t="str">
        <f>CONCATENATE("                x[team1,team2,sport,'",IF(OR(I818="x",I818=""),VLOOKUP('Schedule from TM'!J819,Tables!$P$3:$Q$33,2,FALSE),'Schedule from TM'!I819),",",J818,"','",IF(OR(F818="x",F818=""),VLOOKUP('Schedule from TM'!G819,Tables!$U$3:$V$14,2,FALSE),'Schedule from TM'!F819),",",TEXT(G818,"mm/dd/yyyy"),"','",TEXT(H818,"h:mm:ss AM/PM"),"'].ub=0.0      #",B818)</f>
        <v xml:space="preserve">                x[team1,team2,sport,'21,JCC Gym North','21,11/26/2017','3:30:00 PM'].ub=0.0      #Adult Female Basketball</v>
      </c>
      <c r="AB818" s="301" t="str">
        <f t="shared" si="546"/>
        <v>,,Adult Female Basketball,,1,AD F - COL 1</v>
      </c>
      <c r="AC818" s="153" t="str">
        <f t="shared" si="547"/>
        <v>Adult Female BasketballAD F - COL 1</v>
      </c>
      <c r="AD818" s="301" t="str">
        <f t="shared" si="548"/>
        <v>,,Adult Female Basketball,,1,AD F - USA 1</v>
      </c>
      <c r="AE818" s="153" t="str">
        <f t="shared" si="549"/>
        <v>Adult Female BasketballAD F - USA 1</v>
      </c>
      <c r="AF818" s="383">
        <f t="shared" si="550"/>
        <v>0</v>
      </c>
      <c r="AG818" s="383">
        <f t="shared" si="551"/>
        <v>1</v>
      </c>
      <c r="AH818" s="383">
        <f t="shared" si="552"/>
        <v>0</v>
      </c>
      <c r="AI818" s="383">
        <f t="shared" si="553"/>
        <v>1</v>
      </c>
      <c r="AJ818" s="383">
        <f t="shared" si="554"/>
        <v>0</v>
      </c>
      <c r="AK818" s="383">
        <f t="shared" si="555"/>
        <v>0</v>
      </c>
      <c r="AM818" s="148" t="str">
        <f t="shared" si="556"/>
        <v>Schedulled</v>
      </c>
      <c r="AN818" s="148" t="str">
        <f t="shared" si="557"/>
        <v/>
      </c>
      <c r="AO818" s="156">
        <f t="shared" si="558"/>
        <v>43065.645833333336</v>
      </c>
      <c r="AP818" s="148" t="str">
        <f t="shared" si="559"/>
        <v>11/26/2017 15:30-&gt;JCC Gym North</v>
      </c>
      <c r="AQ818" s="374">
        <f t="shared" si="560"/>
        <v>1</v>
      </c>
      <c r="AR818" s="148" t="str">
        <f t="shared" si="561"/>
        <v>COL1</v>
      </c>
      <c r="AS818" s="148" t="str">
        <f t="shared" si="562"/>
        <v>USA1</v>
      </c>
      <c r="AT818" s="157" t="str">
        <f t="shared" si="563"/>
        <v>COL1-USA1</v>
      </c>
      <c r="AU818" s="157" t="str">
        <f t="shared" si="564"/>
        <v>COL1-USA1 Basketball Final</v>
      </c>
      <c r="AV818" s="157" t="str">
        <f t="shared" si="565"/>
        <v>Adults FEMALE</v>
      </c>
      <c r="AW818" s="157" t="str">
        <f t="shared" si="566"/>
        <v>Basketball</v>
      </c>
      <c r="AX818" s="376">
        <f t="shared" si="567"/>
        <v>816</v>
      </c>
      <c r="AY818" s="148" t="str">
        <f t="shared" si="568"/>
        <v>AD F - COL 1-&gt;AD F - USA 1</v>
      </c>
      <c r="AZ818" s="148" t="str">
        <f t="shared" si="569"/>
        <v>11/26/2017 15:30-&gt;AD F - COL 1</v>
      </c>
      <c r="BA818" s="148" t="str">
        <f t="shared" si="570"/>
        <v>11/26/2017 15:30-&gt;AD F - USA 1</v>
      </c>
      <c r="BB818" s="374">
        <f t="shared" si="571"/>
        <v>1</v>
      </c>
      <c r="BC818" s="374">
        <f t="shared" si="572"/>
        <v>1</v>
      </c>
      <c r="BD818" s="148" t="str">
        <f t="shared" si="573"/>
        <v>no conflict</v>
      </c>
      <c r="BF818" s="148" t="str">
        <f t="shared" si="574"/>
        <v>11/26/2017 15:30-&gt;AD F - COL 1</v>
      </c>
      <c r="BG818" s="148" t="str">
        <f t="shared" si="575"/>
        <v>11/26/2017 15:30-&gt;AD F - USA 1</v>
      </c>
      <c r="BH818" s="148" t="str">
        <f t="shared" si="576"/>
        <v>11/26/2017 15:30-&gt;JCC Gym North</v>
      </c>
      <c r="BI818" s="148" t="str">
        <f t="shared" si="577"/>
        <v>Basketball in JCC Gym North (COL1-USA1)</v>
      </c>
      <c r="BJ818" s="148" t="str">
        <f t="shared" si="578"/>
        <v>Adult Female Basketball-- AD F - COL 1 vs. AD F - USA 1</v>
      </c>
      <c r="BK818" s="148" t="str">
        <f t="shared" si="579"/>
        <v>Basketball</v>
      </c>
      <c r="BL818" s="148" t="str">
        <f t="shared" si="580"/>
        <v>AD F - COL 1</v>
      </c>
      <c r="BM818" s="148" t="str">
        <f t="shared" si="581"/>
        <v>AD F - USA 1</v>
      </c>
      <c r="BN818" s="148" t="str">
        <f t="shared" si="582"/>
        <v>Final</v>
      </c>
      <c r="BP818" s="148" t="str">
        <f t="shared" si="583"/>
        <v>11/26/2017 15:30-&gt;Adults FEMALE</v>
      </c>
      <c r="BQ818" s="148" t="str">
        <f t="shared" si="584"/>
        <v>Basketball Final in JCC Gym North</v>
      </c>
    </row>
    <row r="819" spans="1:69" ht="15" customHeight="1" x14ac:dyDescent="0.2">
      <c r="A819" s="376">
        <v>817</v>
      </c>
      <c r="B819" s="443" t="s">
        <v>79</v>
      </c>
      <c r="C819" s="444" t="s">
        <v>769</v>
      </c>
      <c r="D819" s="451">
        <v>1</v>
      </c>
      <c r="E819" s="451">
        <v>1</v>
      </c>
      <c r="F819" s="315" t="s">
        <v>770</v>
      </c>
      <c r="G819" s="445">
        <v>43065</v>
      </c>
      <c r="H819" s="454">
        <v>0.40277777777777773</v>
      </c>
      <c r="I819" s="325" t="s">
        <v>770</v>
      </c>
      <c r="J819" s="443" t="s">
        <v>705</v>
      </c>
      <c r="K819" s="441"/>
      <c r="L819" s="460" t="s">
        <v>530</v>
      </c>
      <c r="M819" s="441"/>
      <c r="N819" s="460" t="s">
        <v>529</v>
      </c>
      <c r="O819" s="153" t="str">
        <f>IF(L819&lt;&gt;"",IFERROR(VLOOKUP(B819&amp;L819,Pools!$A$2:$D$130,3,FALSE),""),"")</f>
        <v/>
      </c>
      <c r="P819" s="388">
        <v>8</v>
      </c>
      <c r="Q819" s="388">
        <v>10</v>
      </c>
      <c r="R819" s="306" t="str">
        <f t="shared" si="540"/>
        <v>8-10</v>
      </c>
      <c r="S819" s="153"/>
      <c r="T819" s="148" t="str">
        <f t="shared" si="541"/>
        <v>Completed</v>
      </c>
      <c r="U819" s="153"/>
      <c r="V819" s="153"/>
      <c r="W819" s="387">
        <f t="shared" si="542"/>
        <v>-2</v>
      </c>
      <c r="X819" s="387">
        <f t="shared" si="543"/>
        <v>2</v>
      </c>
      <c r="Y819" s="301">
        <f t="shared" si="544"/>
        <v>0</v>
      </c>
      <c r="Z819" s="301">
        <f t="shared" si="545"/>
        <v>2</v>
      </c>
      <c r="AA819" s="323" t="str">
        <f>CONCATENATE("                x[team1,team2,sport,'",IF(OR(I819="x",I819=""),VLOOKUP('Schedule from TM'!J820,Tables!$P$3:$Q$33,2,FALSE),'Schedule from TM'!I820),",",J819,"','",IF(OR(F819="x",F819=""),VLOOKUP('Schedule from TM'!G820,Tables!$U$3:$V$14,2,FALSE),'Schedule from TM'!F820),",",TEXT(G819,"mm/dd/yyyy"),"','",TEXT(H819,"h:mm:ss AM/PM"),"'].ub=0.0      #",B819)</f>
        <v xml:space="preserve">                x[team1,team2,sport,'11,Hillel - Field 3','21,11/26/2017','9:40:00 AM'].ub=0.0      #Adult Female Kickball</v>
      </c>
      <c r="AB819" s="301" t="str">
        <f t="shared" si="546"/>
        <v>,,Adult Female Kickball,,1,AD F - USA 1</v>
      </c>
      <c r="AC819" s="153" t="str">
        <f t="shared" si="547"/>
        <v>Adult Female KickballAD F - USA 1</v>
      </c>
      <c r="AD819" s="301" t="str">
        <f t="shared" si="548"/>
        <v>,,Adult Female Kickball,,1,AD F - PER</v>
      </c>
      <c r="AE819" s="153" t="str">
        <f t="shared" si="549"/>
        <v>Adult Female KickballAD F - PER</v>
      </c>
      <c r="AF819" s="383">
        <f t="shared" si="550"/>
        <v>0</v>
      </c>
      <c r="AG819" s="383">
        <f t="shared" si="551"/>
        <v>1</v>
      </c>
      <c r="AH819" s="383">
        <f t="shared" si="552"/>
        <v>0</v>
      </c>
      <c r="AI819" s="383">
        <f t="shared" si="553"/>
        <v>1</v>
      </c>
      <c r="AJ819" s="383">
        <f t="shared" si="554"/>
        <v>0</v>
      </c>
      <c r="AK819" s="383">
        <f t="shared" si="555"/>
        <v>0</v>
      </c>
      <c r="AM819" s="148" t="str">
        <f t="shared" si="556"/>
        <v>Schedulled</v>
      </c>
      <c r="AN819" s="148" t="str">
        <f t="shared" si="557"/>
        <v/>
      </c>
      <c r="AO819" s="156">
        <f t="shared" si="558"/>
        <v>43065.402777777781</v>
      </c>
      <c r="AP819" s="148" t="str">
        <f t="shared" si="559"/>
        <v>11/26/2017 09:40-&gt;Hillel - Field 3</v>
      </c>
      <c r="AQ819" s="374">
        <f t="shared" si="560"/>
        <v>1</v>
      </c>
      <c r="AR819" s="148" t="str">
        <f t="shared" si="561"/>
        <v>USA1</v>
      </c>
      <c r="AS819" s="148" t="str">
        <f t="shared" si="562"/>
        <v>PER</v>
      </c>
      <c r="AT819" s="157" t="str">
        <f t="shared" si="563"/>
        <v>USA1-PER</v>
      </c>
      <c r="AU819" s="157" t="str">
        <f t="shared" si="564"/>
        <v>USA1-PER Kickball Final</v>
      </c>
      <c r="AV819" s="157" t="str">
        <f t="shared" si="565"/>
        <v>Adults FEMALE</v>
      </c>
      <c r="AW819" s="157" t="str">
        <f t="shared" si="566"/>
        <v>Kickball</v>
      </c>
      <c r="AX819" s="376">
        <f t="shared" si="567"/>
        <v>817</v>
      </c>
      <c r="AY819" s="148" t="str">
        <f t="shared" si="568"/>
        <v>AD F - USA 1-&gt;AD F - PER</v>
      </c>
      <c r="AZ819" s="148" t="str">
        <f t="shared" si="569"/>
        <v>11/26/2017 09:40-&gt;AD F - USA 1</v>
      </c>
      <c r="BA819" s="148" t="str">
        <f t="shared" si="570"/>
        <v>11/26/2017 09:40-&gt;AD F - PER</v>
      </c>
      <c r="BB819" s="374">
        <f t="shared" si="571"/>
        <v>1</v>
      </c>
      <c r="BC819" s="374">
        <f t="shared" si="572"/>
        <v>1</v>
      </c>
      <c r="BD819" s="148" t="str">
        <f t="shared" si="573"/>
        <v>no conflict</v>
      </c>
      <c r="BF819" s="148" t="str">
        <f t="shared" si="574"/>
        <v>11/26/2017 09:40-&gt;AD F - USA 1</v>
      </c>
      <c r="BG819" s="148" t="str">
        <f t="shared" si="575"/>
        <v>11/26/2017 09:40-&gt;AD F - PER</v>
      </c>
      <c r="BH819" s="148" t="str">
        <f t="shared" si="576"/>
        <v>11/26/2017 09:40-&gt;Hillel - Field 3</v>
      </c>
      <c r="BI819" s="148" t="str">
        <f t="shared" si="577"/>
        <v>Kickball in Hillel - Field 3 (USA1-PER)</v>
      </c>
      <c r="BJ819" s="148" t="str">
        <f t="shared" si="578"/>
        <v>Adult Female Kickball-- AD F - USA 1 vs. AD F - PER</v>
      </c>
      <c r="BK819" s="148" t="str">
        <f t="shared" si="579"/>
        <v>Kickball</v>
      </c>
      <c r="BL819" s="148" t="str">
        <f t="shared" si="580"/>
        <v>AD F - USA 1</v>
      </c>
      <c r="BM819" s="148" t="str">
        <f t="shared" si="581"/>
        <v>AD F - PER</v>
      </c>
      <c r="BN819" s="148" t="str">
        <f t="shared" si="582"/>
        <v>Final</v>
      </c>
      <c r="BP819" s="148" t="str">
        <f t="shared" si="583"/>
        <v>11/26/2017 09:40-&gt;Adults FEMALE</v>
      </c>
      <c r="BQ819" s="148" t="str">
        <f t="shared" si="584"/>
        <v>Kickball Final in Hillel - Field 3</v>
      </c>
    </row>
    <row r="820" spans="1:69" ht="15" customHeight="1" x14ac:dyDescent="0.2">
      <c r="A820" s="376">
        <v>819</v>
      </c>
      <c r="B820" s="444" t="s">
        <v>80</v>
      </c>
      <c r="C820" s="444" t="s">
        <v>769</v>
      </c>
      <c r="D820" s="451">
        <v>1</v>
      </c>
      <c r="E820" s="451">
        <v>1</v>
      </c>
      <c r="F820" s="315" t="s">
        <v>770</v>
      </c>
      <c r="G820" s="445">
        <v>43065</v>
      </c>
      <c r="H820" s="417">
        <v>0.68055555555555547</v>
      </c>
      <c r="I820" s="325" t="s">
        <v>770</v>
      </c>
      <c r="J820" s="444" t="s">
        <v>697</v>
      </c>
      <c r="K820" s="441"/>
      <c r="L820" s="447" t="s">
        <v>526</v>
      </c>
      <c r="M820" s="441"/>
      <c r="N820" s="460" t="s">
        <v>530</v>
      </c>
      <c r="O820" s="153" t="str">
        <f>IF(L820&lt;&gt;"",IFERROR(VLOOKUP(B820&amp;L820,Pools!$A$2:$D$130,3,FALSE),""),"")</f>
        <v/>
      </c>
      <c r="P820" s="388">
        <v>2</v>
      </c>
      <c r="Q820" s="388">
        <v>0</v>
      </c>
      <c r="R820" s="306" t="str">
        <f t="shared" si="540"/>
        <v>2-0</v>
      </c>
      <c r="S820" s="153"/>
      <c r="T820" s="148" t="str">
        <f t="shared" si="541"/>
        <v>Completed</v>
      </c>
      <c r="U820" s="153"/>
      <c r="V820" s="153"/>
      <c r="W820" s="387">
        <f t="shared" si="542"/>
        <v>2</v>
      </c>
      <c r="X820" s="387">
        <f t="shared" si="543"/>
        <v>-2</v>
      </c>
      <c r="Y820" s="301">
        <f t="shared" si="544"/>
        <v>2</v>
      </c>
      <c r="Z820" s="301">
        <f t="shared" si="545"/>
        <v>0</v>
      </c>
      <c r="AA820" s="323" t="str">
        <f>CONCATENATE("                x[team1,team2,sport,'",IF(OR(I820="x",I820=""),VLOOKUP('Schedule from TM'!J822,Tables!$P$3:$Q$33,2,FALSE),'Schedule from TM'!I822),",",J820,"','",IF(OR(F820="x",F820=""),VLOOKUP('Schedule from TM'!G822,Tables!$U$3:$V$14,2,FALSE),'Schedule from TM'!F822),",",TEXT(G820,"mm/dd/yyyy"),"','",TEXT(H820,"h:mm:ss AM/PM"),"'].ub=0.0      #",B820)</f>
        <v xml:space="preserve">                x[team1,team2,sport,'21,JCC Gym South','11,11/26/2017','4:20:00 PM'].ub=0.0      #Adult Female Volleyball</v>
      </c>
      <c r="AB820" s="301" t="str">
        <f t="shared" si="546"/>
        <v>,,Adult Female Volleyball,,1,AD F - COL 1</v>
      </c>
      <c r="AC820" s="153" t="str">
        <f t="shared" si="547"/>
        <v>Adult Female VolleyballAD F - COL 1</v>
      </c>
      <c r="AD820" s="301" t="str">
        <f t="shared" si="548"/>
        <v>,,Adult Female Volleyball,,1,AD F - USA 1</v>
      </c>
      <c r="AE820" s="153" t="str">
        <f t="shared" si="549"/>
        <v>Adult Female VolleyballAD F - USA 1</v>
      </c>
      <c r="AF820" s="383">
        <f t="shared" si="550"/>
        <v>1</v>
      </c>
      <c r="AG820" s="383">
        <f t="shared" si="551"/>
        <v>0</v>
      </c>
      <c r="AH820" s="383">
        <f t="shared" si="552"/>
        <v>0</v>
      </c>
      <c r="AI820" s="383">
        <f t="shared" si="553"/>
        <v>0</v>
      </c>
      <c r="AJ820" s="383">
        <f t="shared" si="554"/>
        <v>1</v>
      </c>
      <c r="AK820" s="383">
        <f t="shared" si="555"/>
        <v>0</v>
      </c>
      <c r="AM820" s="148" t="str">
        <f t="shared" si="556"/>
        <v>Schedulled</v>
      </c>
      <c r="AN820" s="148" t="str">
        <f t="shared" si="557"/>
        <v/>
      </c>
      <c r="AO820" s="156">
        <f t="shared" si="558"/>
        <v>43065.680555555555</v>
      </c>
      <c r="AP820" s="148" t="str">
        <f t="shared" si="559"/>
        <v>11/26/2017 16:20-&gt;JCC Gym South</v>
      </c>
      <c r="AQ820" s="374">
        <f t="shared" si="560"/>
        <v>1</v>
      </c>
      <c r="AR820" s="148" t="str">
        <f t="shared" si="561"/>
        <v>COL1</v>
      </c>
      <c r="AS820" s="148" t="str">
        <f t="shared" si="562"/>
        <v>USA1</v>
      </c>
      <c r="AT820" s="157" t="str">
        <f t="shared" si="563"/>
        <v>COL1-USA1</v>
      </c>
      <c r="AU820" s="157" t="str">
        <f t="shared" si="564"/>
        <v>COL1-USA1 Volleyball Final</v>
      </c>
      <c r="AV820" s="157" t="str">
        <f t="shared" si="565"/>
        <v>Adults FEMALE</v>
      </c>
      <c r="AW820" s="157" t="str">
        <f t="shared" si="566"/>
        <v>Volleyball</v>
      </c>
      <c r="AX820" s="376">
        <f t="shared" si="567"/>
        <v>819</v>
      </c>
      <c r="AY820" s="148" t="str">
        <f t="shared" si="568"/>
        <v>AD F - COL 1-&gt;AD F - USA 1</v>
      </c>
      <c r="AZ820" s="148" t="str">
        <f t="shared" si="569"/>
        <v>11/26/2017 16:20-&gt;AD F - COL 1</v>
      </c>
      <c r="BA820" s="148" t="str">
        <f t="shared" si="570"/>
        <v>11/26/2017 16:20-&gt;AD F - USA 1</v>
      </c>
      <c r="BB820" s="374">
        <f t="shared" si="571"/>
        <v>1</v>
      </c>
      <c r="BC820" s="374">
        <f t="shared" si="572"/>
        <v>1</v>
      </c>
      <c r="BD820" s="148" t="str">
        <f t="shared" si="573"/>
        <v>no conflict</v>
      </c>
      <c r="BF820" s="148" t="str">
        <f t="shared" si="574"/>
        <v>11/26/2017 16:20-&gt;AD F - COL 1</v>
      </c>
      <c r="BG820" s="148" t="str">
        <f t="shared" si="575"/>
        <v>11/26/2017 16:20-&gt;AD F - USA 1</v>
      </c>
      <c r="BH820" s="148" t="str">
        <f t="shared" si="576"/>
        <v>11/26/2017 16:20-&gt;JCC Gym South</v>
      </c>
      <c r="BI820" s="148" t="str">
        <f t="shared" si="577"/>
        <v>Volleyball in JCC Gym South (COL1-USA1)</v>
      </c>
      <c r="BJ820" s="148" t="str">
        <f t="shared" si="578"/>
        <v>Adult Female Volleyball-- AD F - COL 1 vs. AD F - USA 1</v>
      </c>
      <c r="BK820" s="148" t="str">
        <f t="shared" si="579"/>
        <v>Volleyball</v>
      </c>
      <c r="BL820" s="148" t="str">
        <f t="shared" si="580"/>
        <v>AD F - COL 1</v>
      </c>
      <c r="BM820" s="148" t="str">
        <f t="shared" si="581"/>
        <v>AD F - USA 1</v>
      </c>
      <c r="BN820" s="148" t="str">
        <f t="shared" si="582"/>
        <v>Final</v>
      </c>
      <c r="BP820" s="148" t="str">
        <f t="shared" si="583"/>
        <v>11/26/2017 16:20-&gt;Adults FEMALE</v>
      </c>
      <c r="BQ820" s="148" t="str">
        <f t="shared" si="584"/>
        <v>Volleyball Final in JCC Gym South</v>
      </c>
    </row>
    <row r="821" spans="1:69" ht="15" customHeight="1" x14ac:dyDescent="0.2">
      <c r="A821" s="376">
        <v>820</v>
      </c>
      <c r="B821" t="s">
        <v>85</v>
      </c>
      <c r="C821" s="315" t="s">
        <v>769</v>
      </c>
      <c r="D821" s="378">
        <v>1</v>
      </c>
      <c r="E821" s="378">
        <v>1</v>
      </c>
      <c r="F821" s="315" t="s">
        <v>770</v>
      </c>
      <c r="G821" s="316">
        <v>43065</v>
      </c>
      <c r="H821" s="417">
        <v>0.50694444444444442</v>
      </c>
      <c r="I821" s="325" t="s">
        <v>770</v>
      </c>
      <c r="J821" s="315" t="s">
        <v>696</v>
      </c>
      <c r="K821" s="441"/>
      <c r="L821" s="460" t="s">
        <v>539</v>
      </c>
      <c r="M821" s="441"/>
      <c r="N821" s="460" t="s">
        <v>542</v>
      </c>
      <c r="O821" s="153" t="str">
        <f>IF(L821&lt;&gt;"",IFERROR(VLOOKUP(B821&amp;L821,Pools!$A$2:$D$130,3,FALSE),""),"")</f>
        <v/>
      </c>
      <c r="P821" s="388"/>
      <c r="Q821" s="388"/>
      <c r="R821" s="306" t="str">
        <f t="shared" si="540"/>
        <v>-</v>
      </c>
      <c r="S821" s="153"/>
      <c r="T821" s="148" t="str">
        <f t="shared" si="541"/>
        <v>Pending</v>
      </c>
      <c r="U821" s="153"/>
      <c r="V821" s="153"/>
      <c r="W821" s="387">
        <f t="shared" si="542"/>
        <v>0</v>
      </c>
      <c r="X821" s="387">
        <f t="shared" si="543"/>
        <v>0</v>
      </c>
      <c r="Y821" s="301" t="str">
        <f t="shared" si="544"/>
        <v>X</v>
      </c>
      <c r="Z821" s="301" t="str">
        <f t="shared" si="545"/>
        <v>X</v>
      </c>
      <c r="AA821" s="323" t="str">
        <f>CONCATENATE("                x[team1,team2,sport,'",IF(OR(I821="x",I821=""),VLOOKUP('Schedule from TM'!J823,Tables!$P$3:$Q$33,2,FALSE),'Schedule from TM'!I823),",",J821,"','",IF(OR(F821="x",F821=""),VLOOKUP('Schedule from TM'!G823,Tables!$U$3:$V$14,2,FALSE),'Schedule from TM'!F823),",",TEXT(G821,"mm/dd/yyyy"),"','",TEXT(H821,"h:mm:ss AM/PM"),"'].ub=0.0      #",B821)</f>
        <v xml:space="preserve">                x[team1,team2,sport,'11,JCC Gym North','21,11/26/2017','12:10:00 PM'].ub=0.0      #Adult Male Basketball</v>
      </c>
      <c r="AB821" s="301" t="str">
        <f t="shared" si="546"/>
        <v>,,Adult Male Basketball,,1,AD M - USA 1</v>
      </c>
      <c r="AC821" s="153" t="str">
        <f t="shared" si="547"/>
        <v>Adult Male BasketballAD M - USA 1</v>
      </c>
      <c r="AD821" s="301" t="str">
        <f t="shared" si="548"/>
        <v>,,Adult Male Basketball,,1,AD M - VEN 1</v>
      </c>
      <c r="AE821" s="153" t="str">
        <f t="shared" si="549"/>
        <v>Adult Male BasketballAD M - VEN 1</v>
      </c>
      <c r="AF821" s="383">
        <f t="shared" si="550"/>
        <v>0</v>
      </c>
      <c r="AG821" s="383">
        <f t="shared" si="551"/>
        <v>0</v>
      </c>
      <c r="AH821" s="383">
        <f t="shared" si="552"/>
        <v>0</v>
      </c>
      <c r="AI821" s="383">
        <f t="shared" si="553"/>
        <v>0</v>
      </c>
      <c r="AJ821" s="383">
        <f t="shared" si="554"/>
        <v>0</v>
      </c>
      <c r="AK821" s="383">
        <f t="shared" si="555"/>
        <v>0</v>
      </c>
      <c r="AM821" s="148" t="str">
        <f t="shared" si="556"/>
        <v>Schedulled</v>
      </c>
      <c r="AN821" s="148" t="str">
        <f t="shared" si="557"/>
        <v/>
      </c>
      <c r="AO821" s="156">
        <f t="shared" si="558"/>
        <v>43065.506944444445</v>
      </c>
      <c r="AP821" s="148" t="str">
        <f t="shared" si="559"/>
        <v>11/26/2017 12:10-&gt;JCC Gym North</v>
      </c>
      <c r="AQ821" s="374">
        <f t="shared" si="560"/>
        <v>1</v>
      </c>
      <c r="AR821" s="148" t="str">
        <f t="shared" si="561"/>
        <v>USA1</v>
      </c>
      <c r="AS821" s="148" t="str">
        <f t="shared" si="562"/>
        <v>VEN1</v>
      </c>
      <c r="AT821" s="157" t="str">
        <f t="shared" si="563"/>
        <v>USA1-VEN1</v>
      </c>
      <c r="AU821" s="157" t="str">
        <f t="shared" si="564"/>
        <v>USA1-VEN1 Basketball Final</v>
      </c>
      <c r="AV821" s="157" t="str">
        <f t="shared" si="565"/>
        <v>Adults MALE</v>
      </c>
      <c r="AW821" s="157" t="str">
        <f t="shared" si="566"/>
        <v>Basketball</v>
      </c>
      <c r="AX821" s="376">
        <f t="shared" si="567"/>
        <v>820</v>
      </c>
      <c r="AY821" s="148" t="str">
        <f t="shared" si="568"/>
        <v>AD M - USA 1-&gt;AD M - VEN 1</v>
      </c>
      <c r="AZ821" s="148" t="str">
        <f t="shared" si="569"/>
        <v>11/26/2017 12:10-&gt;AD M - USA 1</v>
      </c>
      <c r="BA821" s="148" t="str">
        <f t="shared" si="570"/>
        <v>11/26/2017 12:10-&gt;AD M - VEN 1</v>
      </c>
      <c r="BB821" s="374">
        <f t="shared" si="571"/>
        <v>1</v>
      </c>
      <c r="BC821" s="374">
        <f t="shared" si="572"/>
        <v>1</v>
      </c>
      <c r="BD821" s="148" t="str">
        <f t="shared" si="573"/>
        <v>no conflict</v>
      </c>
      <c r="BF821" s="148" t="str">
        <f t="shared" si="574"/>
        <v>11/26/2017 12:10-&gt;AD M - USA 1</v>
      </c>
      <c r="BG821" s="148" t="str">
        <f t="shared" si="575"/>
        <v>11/26/2017 12:10-&gt;AD M - VEN 1</v>
      </c>
      <c r="BH821" s="148" t="str">
        <f t="shared" si="576"/>
        <v>11/26/2017 12:10-&gt;JCC Gym North</v>
      </c>
      <c r="BI821" s="148" t="str">
        <f t="shared" si="577"/>
        <v>Basketball in JCC Gym North (USA1-VEN1)</v>
      </c>
      <c r="BJ821" s="148" t="str">
        <f t="shared" si="578"/>
        <v>Adult Male Basketball-- AD M - USA 1 vs. AD M - VEN 1</v>
      </c>
      <c r="BK821" s="148" t="str">
        <f t="shared" si="579"/>
        <v>Basketball</v>
      </c>
      <c r="BL821" s="148" t="str">
        <f t="shared" si="580"/>
        <v>AD M - USA 1</v>
      </c>
      <c r="BM821" s="148" t="str">
        <f t="shared" si="581"/>
        <v>AD M - VEN 1</v>
      </c>
      <c r="BN821" s="148" t="str">
        <f t="shared" si="582"/>
        <v>Final</v>
      </c>
      <c r="BP821" s="148" t="str">
        <f t="shared" si="583"/>
        <v>11/26/2017 12:10-&gt;Adults MALE</v>
      </c>
      <c r="BQ821" s="148" t="str">
        <f t="shared" si="584"/>
        <v>Basketball Final in JCC Gym North</v>
      </c>
    </row>
    <row r="822" spans="1:69" ht="15" customHeight="1" x14ac:dyDescent="0.2">
      <c r="A822" s="376">
        <v>821</v>
      </c>
      <c r="B822" s="433" t="s">
        <v>465</v>
      </c>
      <c r="C822" s="444" t="s">
        <v>769</v>
      </c>
      <c r="D822" s="451">
        <v>1</v>
      </c>
      <c r="E822" s="451">
        <v>1</v>
      </c>
      <c r="F822" s="315" t="s">
        <v>770</v>
      </c>
      <c r="G822" s="320">
        <v>43063</v>
      </c>
      <c r="H822" s="417">
        <v>0.61111111111111105</v>
      </c>
      <c r="I822" s="325" t="s">
        <v>770</v>
      </c>
      <c r="J822" s="443" t="s">
        <v>704</v>
      </c>
      <c r="K822" s="444"/>
      <c r="L822" s="460" t="s">
        <v>820</v>
      </c>
      <c r="M822"/>
      <c r="N822" s="460" t="s">
        <v>538</v>
      </c>
      <c r="O822" s="153" t="str">
        <f>IF(L822&lt;&gt;"",IFERROR(VLOOKUP(B822&amp;L822,Pools!$A$2:$D$130,3,FALSE),""),"")</f>
        <v/>
      </c>
      <c r="P822" s="388">
        <v>35</v>
      </c>
      <c r="Q822" s="388">
        <v>21</v>
      </c>
      <c r="R822" s="306" t="str">
        <f t="shared" si="540"/>
        <v>35-21</v>
      </c>
      <c r="S822" s="153"/>
      <c r="T822" s="148" t="str">
        <f t="shared" si="541"/>
        <v>Completed</v>
      </c>
      <c r="U822" s="153"/>
      <c r="V822" s="153"/>
      <c r="W822" s="387">
        <f t="shared" si="542"/>
        <v>14</v>
      </c>
      <c r="X822" s="387">
        <f t="shared" si="543"/>
        <v>-14</v>
      </c>
      <c r="Y822" s="301">
        <f t="shared" si="544"/>
        <v>2</v>
      </c>
      <c r="Z822" s="301">
        <f t="shared" si="545"/>
        <v>0</v>
      </c>
      <c r="AA822" s="323" t="str">
        <f>CONCATENATE("                x[team1,team2,sport,'",IF(OR(I822="x",I822=""),VLOOKUP('Schedule from TM'!J824,Tables!$P$3:$Q$33,2,FALSE),'Schedule from TM'!I824),",",J822,"','",IF(OR(F822="x",F822=""),VLOOKUP('Schedule from TM'!G824,Tables!$U$3:$V$14,2,FALSE),'Schedule from TM'!F824),",",TEXT(G822,"mm/dd/yyyy"),"','",TEXT(H822,"h:mm:ss AM/PM"),"'].ub=0.0      #",B822)</f>
        <v xml:space="preserve">                x[team1,team2,sport,'11,Hillel - Field 2','21,11/24/2017','2:40:00 PM'].ub=0.0      #Adult Male Flag Football</v>
      </c>
      <c r="AB822" s="301" t="str">
        <f t="shared" si="546"/>
        <v>,,Adult Male Flag Football,,1,AD M  - ISR</v>
      </c>
      <c r="AC822" s="153" t="str">
        <f t="shared" si="547"/>
        <v>Adult Male Flag FootballAD M  - ISR</v>
      </c>
      <c r="AD822" s="301" t="str">
        <f t="shared" si="548"/>
        <v>,,Adult Male Flag Football,,1,AD M - PER</v>
      </c>
      <c r="AE822" s="153" t="str">
        <f t="shared" si="549"/>
        <v>Adult Male Flag FootballAD M - PER</v>
      </c>
      <c r="AF822" s="383">
        <f t="shared" si="550"/>
        <v>1</v>
      </c>
      <c r="AG822" s="383">
        <f t="shared" si="551"/>
        <v>0</v>
      </c>
      <c r="AH822" s="383">
        <f t="shared" si="552"/>
        <v>0</v>
      </c>
      <c r="AI822" s="383">
        <f t="shared" si="553"/>
        <v>0</v>
      </c>
      <c r="AJ822" s="383">
        <f t="shared" si="554"/>
        <v>1</v>
      </c>
      <c r="AK822" s="383">
        <f t="shared" si="555"/>
        <v>0</v>
      </c>
      <c r="AM822" s="148" t="str">
        <f t="shared" si="556"/>
        <v>Schedulled</v>
      </c>
      <c r="AN822" s="148" t="str">
        <f t="shared" si="557"/>
        <v/>
      </c>
      <c r="AO822" s="156">
        <f t="shared" si="558"/>
        <v>43063.611111111109</v>
      </c>
      <c r="AP822" s="148" t="str">
        <f t="shared" si="559"/>
        <v>11/24/2017 14:40-&gt;Hillel - Field 2</v>
      </c>
      <c r="AQ822" s="374">
        <f t="shared" si="560"/>
        <v>1</v>
      </c>
      <c r="AR822" s="148" t="str">
        <f t="shared" si="561"/>
        <v/>
      </c>
      <c r="AS822" s="148" t="str">
        <f t="shared" si="562"/>
        <v>PER</v>
      </c>
      <c r="AT822" s="157" t="str">
        <f t="shared" si="563"/>
        <v>-PER</v>
      </c>
      <c r="AU822" s="157" t="str">
        <f t="shared" si="564"/>
        <v>-PER Flag Football Final</v>
      </c>
      <c r="AV822" s="157" t="str">
        <f t="shared" si="565"/>
        <v>Adults MALE</v>
      </c>
      <c r="AW822" s="157" t="str">
        <f t="shared" si="566"/>
        <v>Flag Football</v>
      </c>
      <c r="AX822" s="376">
        <f t="shared" si="567"/>
        <v>821</v>
      </c>
      <c r="AY822" s="148" t="str">
        <f t="shared" si="568"/>
        <v>AD M  - ISR-&gt;AD M - PER</v>
      </c>
      <c r="AZ822" s="148" t="str">
        <f t="shared" si="569"/>
        <v>11/24/2017 14:40-&gt;AD M  - ISR</v>
      </c>
      <c r="BA822" s="148" t="str">
        <f t="shared" si="570"/>
        <v>11/24/2017 14:40-&gt;AD M - PER</v>
      </c>
      <c r="BB822" s="374">
        <f t="shared" si="571"/>
        <v>1</v>
      </c>
      <c r="BC822" s="374">
        <f t="shared" si="572"/>
        <v>1</v>
      </c>
      <c r="BD822" s="148" t="str">
        <f t="shared" si="573"/>
        <v>no conflict</v>
      </c>
      <c r="BF822" s="148" t="str">
        <f t="shared" si="574"/>
        <v>11/24/2017 14:40-&gt;AD M  - ISR</v>
      </c>
      <c r="BG822" s="148" t="str">
        <f t="shared" si="575"/>
        <v>11/24/2017 14:40-&gt;AD M - PER</v>
      </c>
      <c r="BH822" s="148" t="str">
        <f t="shared" si="576"/>
        <v>11/24/2017 14:40-&gt;Hillel - Field 2</v>
      </c>
      <c r="BI822" s="148" t="str">
        <f t="shared" si="577"/>
        <v>Flag Football in Hillel - Field 2 (-PER)</v>
      </c>
      <c r="BJ822" s="148" t="str">
        <f t="shared" si="578"/>
        <v>Adult Male Flag Football-- AD M  - ISR vs. AD M - PER</v>
      </c>
      <c r="BK822" s="148" t="str">
        <f t="shared" si="579"/>
        <v>Flag Football</v>
      </c>
      <c r="BL822" s="148" t="str">
        <f t="shared" si="580"/>
        <v>AD M  - ISR</v>
      </c>
      <c r="BM822" s="148" t="str">
        <f t="shared" si="581"/>
        <v>AD M - PER</v>
      </c>
      <c r="BN822" s="148" t="str">
        <f t="shared" si="582"/>
        <v>Final</v>
      </c>
      <c r="BP822" s="148" t="str">
        <f t="shared" si="583"/>
        <v>11/24/2017 14:40-&gt;Adults MALE</v>
      </c>
      <c r="BQ822" s="148" t="str">
        <f t="shared" si="584"/>
        <v>Flag Football Final in Hillel - Field 2</v>
      </c>
    </row>
    <row r="823" spans="1:69" ht="15" customHeight="1" x14ac:dyDescent="0.2">
      <c r="A823" s="376">
        <v>822</v>
      </c>
      <c r="B823" s="444" t="s">
        <v>81</v>
      </c>
      <c r="C823" s="315" t="s">
        <v>769</v>
      </c>
      <c r="D823" s="378">
        <v>1</v>
      </c>
      <c r="E823" s="378">
        <v>1</v>
      </c>
      <c r="F823" s="315" t="s">
        <v>770</v>
      </c>
      <c r="G823" s="316">
        <v>43065</v>
      </c>
      <c r="H823" s="417">
        <v>0.68055555555555547</v>
      </c>
      <c r="I823" s="325" t="s">
        <v>770</v>
      </c>
      <c r="J823" s="444" t="s">
        <v>694</v>
      </c>
      <c r="K823" s="441"/>
      <c r="L823" s="460" t="s">
        <v>539</v>
      </c>
      <c r="M823" s="441"/>
      <c r="N823" s="460" t="s">
        <v>537</v>
      </c>
      <c r="O823" s="153" t="str">
        <f>IF(L823&lt;&gt;"",IFERROR(VLOOKUP(B823&amp;L823,Pools!$A$2:$D$130,3,FALSE),""),"")</f>
        <v/>
      </c>
      <c r="P823" s="388">
        <v>1</v>
      </c>
      <c r="Q823" s="388">
        <v>5</v>
      </c>
      <c r="R823" s="306" t="str">
        <f t="shared" si="540"/>
        <v>1-5</v>
      </c>
      <c r="S823" s="153"/>
      <c r="T823" s="148" t="str">
        <f t="shared" si="541"/>
        <v>Completed</v>
      </c>
      <c r="U823" s="153"/>
      <c r="V823" s="153"/>
      <c r="W823" s="387">
        <f t="shared" si="542"/>
        <v>-3</v>
      </c>
      <c r="X823" s="387">
        <f t="shared" si="543"/>
        <v>3</v>
      </c>
      <c r="Y823" s="301">
        <f t="shared" si="544"/>
        <v>0</v>
      </c>
      <c r="Z823" s="301">
        <f t="shared" si="545"/>
        <v>2</v>
      </c>
      <c r="AA823" s="323" t="str">
        <f>CONCATENATE("                x[team1,team2,sport,'",IF(OR(I823="x",I823=""),VLOOKUP('Schedule from TM'!J825,Tables!$P$3:$Q$33,2,FALSE),'Schedule from TM'!I825),",",J823,"','",IF(OR(F823="x",F823=""),VLOOKUP('Schedule from TM'!G825,Tables!$U$3:$V$14,2,FALSE),'Schedule from TM'!F825),",",TEXT(G823,"mm/dd/yyyy"),"','",TEXT(H823,"h:mm:ss AM/PM"),"'].ub=0.0      #",B823)</f>
        <v xml:space="preserve">                x[team1,team2,sport,'11,JCC Back Field 4','21,11/26/2017','4:20:00 PM'].ub=0.0      #Adult Male Mini Soccer</v>
      </c>
      <c r="AB823" s="301" t="str">
        <f t="shared" si="546"/>
        <v>,,Adult Male Mini Soccer,,1,AD M - USA 1</v>
      </c>
      <c r="AC823" s="153" t="str">
        <f t="shared" si="547"/>
        <v>Adult Male Mini SoccerAD M - USA 1</v>
      </c>
      <c r="AD823" s="301" t="str">
        <f t="shared" si="548"/>
        <v>,,Adult Male Mini Soccer,,1,AD M - MEX</v>
      </c>
      <c r="AE823" s="153" t="str">
        <f t="shared" si="549"/>
        <v>Adult Male Mini SoccerAD M - MEX</v>
      </c>
      <c r="AF823" s="383">
        <f t="shared" si="550"/>
        <v>0</v>
      </c>
      <c r="AG823" s="383">
        <f t="shared" si="551"/>
        <v>1</v>
      </c>
      <c r="AH823" s="383">
        <f t="shared" si="552"/>
        <v>0</v>
      </c>
      <c r="AI823" s="383">
        <f t="shared" si="553"/>
        <v>1</v>
      </c>
      <c r="AJ823" s="383">
        <f t="shared" si="554"/>
        <v>0</v>
      </c>
      <c r="AK823" s="383">
        <f t="shared" si="555"/>
        <v>0</v>
      </c>
      <c r="AM823" s="148" t="str">
        <f t="shared" si="556"/>
        <v>Schedulled</v>
      </c>
      <c r="AN823" s="148" t="str">
        <f t="shared" si="557"/>
        <v/>
      </c>
      <c r="AO823" s="156">
        <f t="shared" si="558"/>
        <v>43065.680555555555</v>
      </c>
      <c r="AP823" s="148" t="str">
        <f t="shared" si="559"/>
        <v>11/26/2017 16:20-&gt;JCC Back Field 4</v>
      </c>
      <c r="AQ823" s="374">
        <f t="shared" si="560"/>
        <v>1</v>
      </c>
      <c r="AR823" s="148" t="str">
        <f t="shared" si="561"/>
        <v>USA1</v>
      </c>
      <c r="AS823" s="148" t="str">
        <f t="shared" si="562"/>
        <v>MEX</v>
      </c>
      <c r="AT823" s="157" t="str">
        <f t="shared" si="563"/>
        <v>USA1-MEX</v>
      </c>
      <c r="AU823" s="157" t="str">
        <f t="shared" si="564"/>
        <v>USA1-MEX Soccer Final</v>
      </c>
      <c r="AV823" s="157" t="str">
        <f t="shared" si="565"/>
        <v>Adults MALE</v>
      </c>
      <c r="AW823" s="157" t="str">
        <f t="shared" si="566"/>
        <v>Soccer</v>
      </c>
      <c r="AX823" s="376">
        <f t="shared" si="567"/>
        <v>822</v>
      </c>
      <c r="AY823" s="148" t="str">
        <f t="shared" si="568"/>
        <v>AD M - USA 1-&gt;AD M - MEX</v>
      </c>
      <c r="AZ823" s="148" t="str">
        <f t="shared" si="569"/>
        <v>11/26/2017 16:20-&gt;AD M - USA 1</v>
      </c>
      <c r="BA823" s="148" t="str">
        <f t="shared" si="570"/>
        <v>11/26/2017 16:20-&gt;AD M - MEX</v>
      </c>
      <c r="BB823" s="374">
        <f t="shared" si="571"/>
        <v>1</v>
      </c>
      <c r="BC823" s="374">
        <f t="shared" si="572"/>
        <v>1</v>
      </c>
      <c r="BD823" s="148" t="str">
        <f t="shared" si="573"/>
        <v>no conflict</v>
      </c>
      <c r="BF823" s="148" t="str">
        <f t="shared" si="574"/>
        <v>11/26/2017 16:20-&gt;AD M - USA 1</v>
      </c>
      <c r="BG823" s="148" t="str">
        <f t="shared" si="575"/>
        <v>11/26/2017 16:20-&gt;AD M - MEX</v>
      </c>
      <c r="BH823" s="148" t="str">
        <f t="shared" si="576"/>
        <v>11/26/2017 16:20-&gt;JCC Back Field 4</v>
      </c>
      <c r="BI823" s="148" t="str">
        <f t="shared" si="577"/>
        <v>Soccer in JCC Back Field 4 (USA1-MEX)</v>
      </c>
      <c r="BJ823" s="148" t="str">
        <f t="shared" si="578"/>
        <v>Adult Male Mini Soccer-- AD M - USA 1 vs. AD M - MEX</v>
      </c>
      <c r="BK823" s="148" t="str">
        <f t="shared" si="579"/>
        <v>Soccer</v>
      </c>
      <c r="BL823" s="148" t="str">
        <f t="shared" si="580"/>
        <v>AD M - USA 1</v>
      </c>
      <c r="BM823" s="148" t="str">
        <f t="shared" si="581"/>
        <v>AD M - MEX</v>
      </c>
      <c r="BN823" s="148" t="str">
        <f t="shared" si="582"/>
        <v>Final</v>
      </c>
      <c r="BP823" s="148" t="str">
        <f t="shared" si="583"/>
        <v>11/26/2017 16:20-&gt;Adults MALE</v>
      </c>
      <c r="BQ823" s="148" t="str">
        <f t="shared" si="584"/>
        <v>Soccer Final in JCC Back Field 4</v>
      </c>
    </row>
    <row r="824" spans="1:69" ht="15" customHeight="1" x14ac:dyDescent="0.2">
      <c r="A824" s="376">
        <v>823</v>
      </c>
      <c r="B824" s="444" t="s">
        <v>86</v>
      </c>
      <c r="C824" s="315" t="s">
        <v>769</v>
      </c>
      <c r="D824" s="378">
        <v>1</v>
      </c>
      <c r="E824" s="378">
        <v>1</v>
      </c>
      <c r="F824" s="315" t="s">
        <v>770</v>
      </c>
      <c r="G824" s="316">
        <v>43065</v>
      </c>
      <c r="H824" s="417">
        <v>0.64583333333333337</v>
      </c>
      <c r="I824" s="325" t="s">
        <v>770</v>
      </c>
      <c r="J824" s="444" t="s">
        <v>697</v>
      </c>
      <c r="K824" s="444"/>
      <c r="L824" s="463" t="s">
        <v>539</v>
      </c>
      <c r="M824" s="444"/>
      <c r="N824" s="463" t="s">
        <v>542</v>
      </c>
      <c r="O824" s="153" t="str">
        <f>IF(L824&lt;&gt;"",IFERROR(VLOOKUP(B824&amp;L824,Pools!$A$2:$D$130,3,FALSE),""),"")</f>
        <v/>
      </c>
      <c r="P824" s="388">
        <v>2</v>
      </c>
      <c r="Q824" s="388">
        <v>1</v>
      </c>
      <c r="R824" s="306" t="str">
        <f t="shared" si="540"/>
        <v>2-1</v>
      </c>
      <c r="S824" s="153"/>
      <c r="T824" s="148" t="str">
        <f t="shared" si="541"/>
        <v>Completed</v>
      </c>
      <c r="U824" s="153"/>
      <c r="V824" s="153"/>
      <c r="W824" s="387">
        <f t="shared" si="542"/>
        <v>1</v>
      </c>
      <c r="X824" s="387">
        <f t="shared" si="543"/>
        <v>-1</v>
      </c>
      <c r="Y824" s="301">
        <f t="shared" si="544"/>
        <v>2</v>
      </c>
      <c r="Z824" s="301">
        <f t="shared" si="545"/>
        <v>0</v>
      </c>
      <c r="AA824" s="323" t="str">
        <f>CONCATENATE("                x[team1,team2,sport,'",IF(OR(I824="x",I824=""),VLOOKUP('Schedule from TM'!J826,Tables!$P$3:$Q$33,2,FALSE),'Schedule from TM'!I826),",",J824,"','",IF(OR(F824="x",F824=""),VLOOKUP('Schedule from TM'!G826,Tables!$U$3:$V$14,2,FALSE),'Schedule from TM'!F826),",",TEXT(G824,"mm/dd/yyyy"),"','",TEXT(H824,"h:mm:ss AM/PM"),"'].ub=0.0      #",B824)</f>
        <v xml:space="preserve">                x[team1,team2,sport,'21,JCC Gym South','21,11/26/2017','3:30:00 PM'].ub=0.0      #Adult Male Volleyball</v>
      </c>
      <c r="AB824" s="301" t="str">
        <f t="shared" si="546"/>
        <v>,,Adult Male Volleyball,,1,AD M - USA 1</v>
      </c>
      <c r="AC824" s="153" t="str">
        <f t="shared" si="547"/>
        <v>Adult Male VolleyballAD M - USA 1</v>
      </c>
      <c r="AD824" s="301" t="str">
        <f t="shared" si="548"/>
        <v>,,Adult Male Volleyball,,1,AD M - VEN 1</v>
      </c>
      <c r="AE824" s="153" t="str">
        <f t="shared" si="549"/>
        <v>Adult Male VolleyballAD M - VEN 1</v>
      </c>
      <c r="AF824" s="383">
        <f t="shared" si="550"/>
        <v>1</v>
      </c>
      <c r="AG824" s="383">
        <f t="shared" si="551"/>
        <v>0</v>
      </c>
      <c r="AH824" s="383">
        <f t="shared" si="552"/>
        <v>0</v>
      </c>
      <c r="AI824" s="383">
        <f t="shared" si="553"/>
        <v>0</v>
      </c>
      <c r="AJ824" s="383">
        <f t="shared" si="554"/>
        <v>1</v>
      </c>
      <c r="AK824" s="383">
        <f t="shared" si="555"/>
        <v>0</v>
      </c>
      <c r="AM824" s="148" t="str">
        <f t="shared" si="556"/>
        <v>Schedulled</v>
      </c>
      <c r="AN824" s="148" t="str">
        <f t="shared" si="557"/>
        <v/>
      </c>
      <c r="AO824" s="156">
        <f t="shared" si="558"/>
        <v>43065.645833333336</v>
      </c>
      <c r="AP824" s="148" t="str">
        <f t="shared" si="559"/>
        <v>11/26/2017 15:30-&gt;JCC Gym South</v>
      </c>
      <c r="AQ824" s="374">
        <f t="shared" si="560"/>
        <v>1</v>
      </c>
      <c r="AR824" s="148" t="str">
        <f t="shared" si="561"/>
        <v>USA1</v>
      </c>
      <c r="AS824" s="148" t="str">
        <f t="shared" si="562"/>
        <v>VEN1</v>
      </c>
      <c r="AT824" s="157" t="str">
        <f t="shared" si="563"/>
        <v>USA1-VEN1</v>
      </c>
      <c r="AU824" s="157" t="str">
        <f t="shared" si="564"/>
        <v>USA1-VEN1 Volleyball Final</v>
      </c>
      <c r="AV824" s="157" t="str">
        <f t="shared" si="565"/>
        <v>Adults MALE</v>
      </c>
      <c r="AW824" s="157" t="str">
        <f t="shared" si="566"/>
        <v>Volleyball</v>
      </c>
      <c r="AX824" s="376">
        <f t="shared" si="567"/>
        <v>823</v>
      </c>
      <c r="AY824" s="148" t="str">
        <f t="shared" si="568"/>
        <v>AD M - USA 1-&gt;AD M - VEN 1</v>
      </c>
      <c r="AZ824" s="148" t="str">
        <f t="shared" si="569"/>
        <v>11/26/2017 15:30-&gt;AD M - USA 1</v>
      </c>
      <c r="BA824" s="148" t="str">
        <f t="shared" si="570"/>
        <v>11/26/2017 15:30-&gt;AD M - VEN 1</v>
      </c>
      <c r="BB824" s="374">
        <f t="shared" si="571"/>
        <v>1</v>
      </c>
      <c r="BC824" s="374">
        <f t="shared" si="572"/>
        <v>1</v>
      </c>
      <c r="BD824" s="148" t="str">
        <f t="shared" si="573"/>
        <v>no conflict</v>
      </c>
      <c r="BF824" s="148" t="str">
        <f t="shared" si="574"/>
        <v>11/26/2017 15:30-&gt;AD M - USA 1</v>
      </c>
      <c r="BG824" s="148" t="str">
        <f t="shared" si="575"/>
        <v>11/26/2017 15:30-&gt;AD M - VEN 1</v>
      </c>
      <c r="BH824" s="148" t="str">
        <f t="shared" si="576"/>
        <v>11/26/2017 15:30-&gt;JCC Gym South</v>
      </c>
      <c r="BI824" s="148" t="str">
        <f t="shared" si="577"/>
        <v>Volleyball in JCC Gym South (USA1-VEN1)</v>
      </c>
      <c r="BJ824" s="148" t="str">
        <f t="shared" si="578"/>
        <v>Adult Male Volleyball-- AD M - USA 1 vs. AD M - VEN 1</v>
      </c>
      <c r="BK824" s="148" t="str">
        <f t="shared" si="579"/>
        <v>Volleyball</v>
      </c>
      <c r="BL824" s="148" t="str">
        <f t="shared" si="580"/>
        <v>AD M - USA 1</v>
      </c>
      <c r="BM824" s="148" t="str">
        <f t="shared" si="581"/>
        <v>AD M - VEN 1</v>
      </c>
      <c r="BN824" s="148" t="str">
        <f t="shared" si="582"/>
        <v>Final</v>
      </c>
      <c r="BP824" s="148" t="str">
        <f t="shared" si="583"/>
        <v>11/26/2017 15:30-&gt;Adults MALE</v>
      </c>
      <c r="BQ824" s="148" t="str">
        <f t="shared" si="584"/>
        <v>Volleyball Final in JCC Gym South</v>
      </c>
    </row>
    <row r="825" spans="1:69" ht="15" customHeight="1" x14ac:dyDescent="0.2">
      <c r="A825" s="376">
        <v>824</v>
      </c>
      <c r="B825" s="315" t="s">
        <v>35</v>
      </c>
      <c r="C825" s="315" t="s">
        <v>769</v>
      </c>
      <c r="D825" s="378">
        <v>1</v>
      </c>
      <c r="E825" s="378">
        <v>1</v>
      </c>
      <c r="F825" s="315" t="s">
        <v>770</v>
      </c>
      <c r="G825" s="316">
        <v>43065</v>
      </c>
      <c r="H825" s="417">
        <v>0.64583333333333337</v>
      </c>
      <c r="I825" s="325" t="s">
        <v>770</v>
      </c>
      <c r="J825" s="315" t="s">
        <v>688</v>
      </c>
      <c r="K825" s="441"/>
      <c r="L825" s="460" t="s">
        <v>559</v>
      </c>
      <c r="M825" s="441"/>
      <c r="N825" s="460" t="s">
        <v>555</v>
      </c>
      <c r="O825" s="153" t="str">
        <f>IF(L825&lt;&gt;"",IFERROR(VLOOKUP(B825&amp;L825,Pools!$A$2:$D$130,3,FALSE),""),"")</f>
        <v>Pool A</v>
      </c>
      <c r="P825" s="388">
        <v>13</v>
      </c>
      <c r="Q825" s="388">
        <v>15</v>
      </c>
      <c r="R825" s="306" t="str">
        <f t="shared" si="540"/>
        <v>13-15</v>
      </c>
      <c r="S825" s="153"/>
      <c r="T825" s="148" t="str">
        <f t="shared" si="541"/>
        <v>Completed</v>
      </c>
      <c r="U825" s="153"/>
      <c r="V825" s="153"/>
      <c r="W825" s="387">
        <f t="shared" si="542"/>
        <v>-2</v>
      </c>
      <c r="X825" s="387">
        <f t="shared" si="543"/>
        <v>2</v>
      </c>
      <c r="Y825" s="301">
        <f t="shared" si="544"/>
        <v>0</v>
      </c>
      <c r="Z825" s="301">
        <f t="shared" si="545"/>
        <v>2</v>
      </c>
      <c r="AA825" s="323" t="str">
        <f>CONCATENATE("                x[team1,team2,sport,'",IF(OR(I825="x",I825=""),VLOOKUP('Schedule from TM'!J827,Tables!$P$3:$Q$33,2,FALSE),'Schedule from TM'!I827),",",J825,"','",IF(OR(F825="x",F825=""),VLOOKUP('Schedule from TM'!G827,Tables!$U$3:$V$14,2,FALSE),'Schedule from TM'!F827),",",TEXT(G825,"mm/dd/yyyy"),"','",TEXT(H825,"h:mm:ss AM/PM"),"'].ub=0.0      #",B825)</f>
        <v xml:space="preserve">                x[team1,team2,sport,'11,JCC Basketball Out 1','21,11/26/2017','3:30:00 PM'].ub=0.0      #Ch B Coed Basketball</v>
      </c>
      <c r="AB825" s="301" t="str">
        <f t="shared" si="546"/>
        <v>,,Ch B Coed Basketball,Pool A,1,CHILD B - USA 2</v>
      </c>
      <c r="AC825" s="153" t="str">
        <f t="shared" si="547"/>
        <v>Ch B Coed BasketballPool ACHILD B - USA 2</v>
      </c>
      <c r="AD825" s="301" t="str">
        <f t="shared" si="548"/>
        <v>,,Ch B Coed Basketball,Pool A,1,CHILD B - COL 2</v>
      </c>
      <c r="AE825" s="153" t="str">
        <f t="shared" si="549"/>
        <v>Ch B Coed BasketballPool ACHILD B - COL 2</v>
      </c>
      <c r="AF825" s="383">
        <f t="shared" si="550"/>
        <v>0</v>
      </c>
      <c r="AG825" s="383">
        <f t="shared" si="551"/>
        <v>1</v>
      </c>
      <c r="AH825" s="383">
        <f t="shared" si="552"/>
        <v>0</v>
      </c>
      <c r="AI825" s="383">
        <f t="shared" si="553"/>
        <v>1</v>
      </c>
      <c r="AJ825" s="383">
        <f t="shared" si="554"/>
        <v>0</v>
      </c>
      <c r="AK825" s="383">
        <f t="shared" si="555"/>
        <v>0</v>
      </c>
      <c r="AM825" s="148" t="str">
        <f t="shared" si="556"/>
        <v>Schedulled</v>
      </c>
      <c r="AN825" s="148" t="str">
        <f t="shared" si="557"/>
        <v/>
      </c>
      <c r="AO825" s="156">
        <f t="shared" si="558"/>
        <v>43065.645833333336</v>
      </c>
      <c r="AP825" s="148" t="str">
        <f t="shared" si="559"/>
        <v>11/26/2017 15:30-&gt;JCC Basketball Out 1</v>
      </c>
      <c r="AQ825" s="374">
        <f t="shared" si="560"/>
        <v>1</v>
      </c>
      <c r="AR825" s="148" t="str">
        <f t="shared" si="561"/>
        <v>USA2</v>
      </c>
      <c r="AS825" s="148" t="str">
        <f t="shared" si="562"/>
        <v>COL2</v>
      </c>
      <c r="AT825" s="157" t="str">
        <f t="shared" si="563"/>
        <v>USA2-COL2</v>
      </c>
      <c r="AU825" s="157" t="str">
        <f t="shared" si="564"/>
        <v>USA2-COL2 Basketball Final</v>
      </c>
      <c r="AV825" s="157" t="str">
        <f t="shared" si="565"/>
        <v>CHILDREN B COED</v>
      </c>
      <c r="AW825" s="157" t="str">
        <f t="shared" si="566"/>
        <v>Basketball</v>
      </c>
      <c r="AX825" s="376">
        <f t="shared" si="567"/>
        <v>824</v>
      </c>
      <c r="AY825" s="148" t="str">
        <f t="shared" si="568"/>
        <v>CHILD B - USA 2-&gt;CHILD B - COL 2</v>
      </c>
      <c r="AZ825" s="148" t="str">
        <f t="shared" si="569"/>
        <v>11/26/2017 15:30-&gt;CHILD B - USA 2</v>
      </c>
      <c r="BA825" s="148" t="str">
        <f t="shared" si="570"/>
        <v>11/26/2017 15:30-&gt;CHILD B - COL 2</v>
      </c>
      <c r="BB825" s="374">
        <f t="shared" si="571"/>
        <v>1</v>
      </c>
      <c r="BC825" s="374">
        <f t="shared" si="572"/>
        <v>1</v>
      </c>
      <c r="BD825" s="148" t="str">
        <f t="shared" si="573"/>
        <v>no conflict</v>
      </c>
      <c r="BF825" s="148" t="str">
        <f t="shared" si="574"/>
        <v>11/26/2017 15:30-&gt;CHILD B - USA 2</v>
      </c>
      <c r="BG825" s="148" t="str">
        <f t="shared" si="575"/>
        <v>11/26/2017 15:30-&gt;CHILD B - COL 2</v>
      </c>
      <c r="BH825" s="148" t="str">
        <f t="shared" si="576"/>
        <v>11/26/2017 15:30-&gt;JCC Basketball Out 1</v>
      </c>
      <c r="BI825" s="148" t="str">
        <f t="shared" si="577"/>
        <v>Basketball in JCC Basketball Out 1 (USA2-COL2)</v>
      </c>
      <c r="BJ825" s="148" t="str">
        <f t="shared" si="578"/>
        <v>Ch B Coed Basketball-- CHILD B - USA 2 vs. CHILD B - COL 2</v>
      </c>
      <c r="BK825" s="148" t="str">
        <f t="shared" si="579"/>
        <v>Basketball</v>
      </c>
      <c r="BL825" s="148" t="str">
        <f t="shared" si="580"/>
        <v>CHILD B - USA 2</v>
      </c>
      <c r="BM825" s="148" t="str">
        <f t="shared" si="581"/>
        <v>CHILD B - COL 2</v>
      </c>
      <c r="BN825" s="148" t="str">
        <f t="shared" si="582"/>
        <v>Final</v>
      </c>
      <c r="BP825" s="148" t="str">
        <f t="shared" si="583"/>
        <v>11/26/2017 15:30-&gt;CHILDREN B COED</v>
      </c>
      <c r="BQ825" s="148" t="str">
        <f t="shared" si="584"/>
        <v>Basketball Final in JCC Basketball Out 1</v>
      </c>
    </row>
    <row r="826" spans="1:69" ht="15" customHeight="1" x14ac:dyDescent="0.2">
      <c r="A826" s="376">
        <v>825</v>
      </c>
      <c r="B826" s="444" t="s">
        <v>37</v>
      </c>
      <c r="C826" s="444" t="s">
        <v>769</v>
      </c>
      <c r="D826" s="451">
        <v>1</v>
      </c>
      <c r="E826" s="451">
        <v>1</v>
      </c>
      <c r="F826" s="315" t="s">
        <v>770</v>
      </c>
      <c r="G826" s="445">
        <v>43065</v>
      </c>
      <c r="H826" s="454">
        <v>0.50694444444444442</v>
      </c>
      <c r="I826" s="325" t="s">
        <v>770</v>
      </c>
      <c r="J826" s="443" t="s">
        <v>705</v>
      </c>
      <c r="K826" s="441"/>
      <c r="L826" s="463" t="s">
        <v>557</v>
      </c>
      <c r="M826" s="441"/>
      <c r="N826" s="463" t="s">
        <v>821</v>
      </c>
      <c r="O826" s="153" t="str">
        <f>IF(L826&lt;&gt;"",IFERROR(VLOOKUP(B826&amp;L826,Pools!$A$2:$D$130,3,FALSE),""),"")</f>
        <v>Pool A</v>
      </c>
      <c r="P826" s="388">
        <v>6</v>
      </c>
      <c r="Q826" s="388">
        <v>2</v>
      </c>
      <c r="R826" s="306" t="str">
        <f t="shared" si="540"/>
        <v>6-2</v>
      </c>
      <c r="S826" s="153"/>
      <c r="T826" s="148" t="str">
        <f t="shared" si="541"/>
        <v>Completed</v>
      </c>
      <c r="U826" s="153"/>
      <c r="V826" s="153"/>
      <c r="W826" s="387">
        <f t="shared" si="542"/>
        <v>4</v>
      </c>
      <c r="X826" s="387">
        <f t="shared" si="543"/>
        <v>-4</v>
      </c>
      <c r="Y826" s="301">
        <f t="shared" si="544"/>
        <v>2</v>
      </c>
      <c r="Z826" s="301">
        <f t="shared" si="545"/>
        <v>0</v>
      </c>
      <c r="AA826" s="323" t="str">
        <f>CONCATENATE("                x[team1,team2,sport,'",IF(OR(I826="x",I826=""),VLOOKUP('Schedule from TM'!J828,Tables!$P$3:$Q$33,2,FALSE),'Schedule from TM'!I828),",",J826,"','",IF(OR(F826="x",F826=""),VLOOKUP('Schedule from TM'!G828,Tables!$U$3:$V$14,2,FALSE),'Schedule from TM'!F828),",",TEXT(G826,"mm/dd/yyyy"),"','",TEXT(H826,"h:mm:ss AM/PM"),"'].ub=0.0      #",B826)</f>
        <v xml:space="preserve">                x[team1,team2,sport,'32,Hillel - Field 3','21,11/26/2017','12:10:00 PM'].ub=0.0      #Ch B Coed Kickball</v>
      </c>
      <c r="AB826" s="301" t="str">
        <f t="shared" si="546"/>
        <v>,,Ch B Coed Kickball,Pool A,1,CHILD B - MEX</v>
      </c>
      <c r="AC826" s="153" t="str">
        <f t="shared" si="547"/>
        <v>Ch B Coed KickballPool ACHILD B - MEX</v>
      </c>
      <c r="AD826" s="301" t="str">
        <f t="shared" si="548"/>
        <v>,,Ch B Coed Kickball,Pool A,1,CHILD B  - COL 2</v>
      </c>
      <c r="AE826" s="153" t="str">
        <f t="shared" si="549"/>
        <v>Ch B Coed KickballPool ACHILD B  - COL 2</v>
      </c>
      <c r="AF826" s="383">
        <f t="shared" si="550"/>
        <v>1</v>
      </c>
      <c r="AG826" s="383">
        <f t="shared" si="551"/>
        <v>0</v>
      </c>
      <c r="AH826" s="383">
        <f t="shared" si="552"/>
        <v>0</v>
      </c>
      <c r="AI826" s="383">
        <f t="shared" si="553"/>
        <v>0</v>
      </c>
      <c r="AJ826" s="383">
        <f t="shared" si="554"/>
        <v>1</v>
      </c>
      <c r="AK826" s="383">
        <f t="shared" si="555"/>
        <v>0</v>
      </c>
      <c r="AM826" s="148" t="str">
        <f t="shared" si="556"/>
        <v>Schedulled</v>
      </c>
      <c r="AN826" s="148" t="str">
        <f t="shared" si="557"/>
        <v/>
      </c>
      <c r="AO826" s="156">
        <f t="shared" si="558"/>
        <v>43065.506944444445</v>
      </c>
      <c r="AP826" s="148" t="str">
        <f t="shared" si="559"/>
        <v>11/26/2017 12:10-&gt;Hillel - Field 3</v>
      </c>
      <c r="AQ826" s="374">
        <f t="shared" si="560"/>
        <v>1</v>
      </c>
      <c r="AR826" s="148" t="str">
        <f t="shared" si="561"/>
        <v>MEX</v>
      </c>
      <c r="AS826" s="148" t="str">
        <f t="shared" si="562"/>
        <v/>
      </c>
      <c r="AT826" s="157" t="str">
        <f t="shared" si="563"/>
        <v>MEX-</v>
      </c>
      <c r="AU826" s="157" t="str">
        <f t="shared" si="564"/>
        <v>MEX- Kickball Final</v>
      </c>
      <c r="AV826" s="157" t="str">
        <f t="shared" si="565"/>
        <v>CHILDREN B COED</v>
      </c>
      <c r="AW826" s="157" t="str">
        <f t="shared" si="566"/>
        <v>Kickball</v>
      </c>
      <c r="AX826" s="376">
        <f t="shared" si="567"/>
        <v>825</v>
      </c>
      <c r="AY826" s="148" t="str">
        <f t="shared" si="568"/>
        <v>CHILD B - MEX-&gt;CHILD B  - COL 2</v>
      </c>
      <c r="AZ826" s="148" t="str">
        <f t="shared" si="569"/>
        <v>11/26/2017 12:10-&gt;CHILD B - MEX</v>
      </c>
      <c r="BA826" s="148" t="str">
        <f t="shared" si="570"/>
        <v>11/26/2017 12:10-&gt;CHILD B  - COL 2</v>
      </c>
      <c r="BB826" s="374">
        <f t="shared" si="571"/>
        <v>1</v>
      </c>
      <c r="BC826" s="374">
        <f t="shared" si="572"/>
        <v>1</v>
      </c>
      <c r="BD826" s="148" t="str">
        <f t="shared" si="573"/>
        <v>no conflict</v>
      </c>
      <c r="BF826" s="148" t="str">
        <f t="shared" si="574"/>
        <v>11/26/2017 12:10-&gt;CHILD B - MEX</v>
      </c>
      <c r="BG826" s="148" t="str">
        <f t="shared" si="575"/>
        <v>11/26/2017 12:10-&gt;CHILD B  - COL 2</v>
      </c>
      <c r="BH826" s="148" t="str">
        <f t="shared" si="576"/>
        <v>11/26/2017 12:10-&gt;Hillel - Field 3</v>
      </c>
      <c r="BI826" s="148" t="str">
        <f t="shared" si="577"/>
        <v>Kickball in Hillel - Field 3 (MEX-)</v>
      </c>
      <c r="BJ826" s="148" t="str">
        <f t="shared" si="578"/>
        <v>Ch B Coed Kickball-- CHILD B - MEX vs. CHILD B  - COL 2</v>
      </c>
      <c r="BK826" s="148" t="str">
        <f t="shared" si="579"/>
        <v>Kickball</v>
      </c>
      <c r="BL826" s="148" t="str">
        <f t="shared" si="580"/>
        <v>CHILD B - MEX</v>
      </c>
      <c r="BM826" s="148" t="str">
        <f t="shared" si="581"/>
        <v>CHILD B  - COL 2</v>
      </c>
      <c r="BN826" s="148" t="str">
        <f t="shared" si="582"/>
        <v>Final</v>
      </c>
      <c r="BP826" s="148" t="str">
        <f t="shared" si="583"/>
        <v>11/26/2017 12:10-&gt;CHILDREN B COED</v>
      </c>
      <c r="BQ826" s="148" t="str">
        <f t="shared" si="584"/>
        <v>Kickball Final in Hillel - Field 3</v>
      </c>
    </row>
    <row r="827" spans="1:69" ht="15" customHeight="1" x14ac:dyDescent="0.2">
      <c r="A827" s="376">
        <v>826</v>
      </c>
      <c r="B827" s="444" t="s">
        <v>34</v>
      </c>
      <c r="C827" s="315" t="s">
        <v>769</v>
      </c>
      <c r="D827" s="378">
        <v>1</v>
      </c>
      <c r="E827" s="378">
        <v>1</v>
      </c>
      <c r="F827" s="315" t="s">
        <v>770</v>
      </c>
      <c r="G827" s="316">
        <v>43065</v>
      </c>
      <c r="H827" s="454">
        <v>0.68055555555555547</v>
      </c>
      <c r="I827" s="325" t="s">
        <v>770</v>
      </c>
      <c r="J827" s="444" t="s">
        <v>695</v>
      </c>
      <c r="K827" s="315"/>
      <c r="L827" s="463" t="s">
        <v>555</v>
      </c>
      <c r="M827" s="444"/>
      <c r="N827" s="460" t="s">
        <v>560</v>
      </c>
      <c r="O827" s="153" t="str">
        <f>IF(L827&lt;&gt;"",IFERROR(VLOOKUP(B827&amp;L827,Pools!$A$2:$D$130,3,FALSE),""),"")</f>
        <v>Pool A</v>
      </c>
      <c r="P827" s="388"/>
      <c r="Q827" s="388"/>
      <c r="R827" s="306" t="str">
        <f t="shared" si="540"/>
        <v>-</v>
      </c>
      <c r="S827" s="153"/>
      <c r="T827" s="148" t="str">
        <f t="shared" si="541"/>
        <v>Pending</v>
      </c>
      <c r="U827" s="153"/>
      <c r="V827" s="153"/>
      <c r="W827" s="387">
        <f t="shared" si="542"/>
        <v>0</v>
      </c>
      <c r="X827" s="387">
        <f t="shared" si="543"/>
        <v>0</v>
      </c>
      <c r="Y827" s="301" t="str">
        <f t="shared" si="544"/>
        <v>X</v>
      </c>
      <c r="Z827" s="301" t="str">
        <f t="shared" si="545"/>
        <v>X</v>
      </c>
      <c r="AA827" s="323" t="str">
        <f>CONCATENATE("                x[team1,team2,sport,'",IF(OR(I827="x",I827=""),VLOOKUP('Schedule from TM'!J829,Tables!$P$3:$Q$33,2,FALSE),'Schedule from TM'!I829),",",J827,"','",IF(OR(F827="x",F827=""),VLOOKUP('Schedule from TM'!G829,Tables!$U$3:$V$14,2,FALSE),'Schedule from TM'!F829),",",TEXT(G827,"mm/dd/yyyy"),"','",TEXT(H827,"h:mm:ss AM/PM"),"'].ub=0.0      #",B827)</f>
        <v xml:space="preserve">                x[team1,team2,sport,'11,JCC Back Field 1','21,11/26/2017','4:20:00 PM'].ub=0.0      #Ch B Coed Mini Soccer</v>
      </c>
      <c r="AB827" s="301" t="str">
        <f t="shared" si="546"/>
        <v>,,Ch B Coed Mini Soccer,Pool A,1,CHILD B - COL 2</v>
      </c>
      <c r="AC827" s="153" t="str">
        <f t="shared" si="547"/>
        <v>Ch B Coed Mini SoccerPool ACHILD B - COL 2</v>
      </c>
      <c r="AD827" s="301" t="str">
        <f t="shared" si="548"/>
        <v>,,Ch B Coed Mini Soccer,Pool A,1,CHILD B - VEN 1</v>
      </c>
      <c r="AE827" s="153" t="str">
        <f t="shared" si="549"/>
        <v>Ch B Coed Mini SoccerPool ACHILD B - VEN 1</v>
      </c>
      <c r="AF827" s="383">
        <f t="shared" si="550"/>
        <v>0</v>
      </c>
      <c r="AG827" s="383">
        <f t="shared" si="551"/>
        <v>0</v>
      </c>
      <c r="AH827" s="383">
        <f t="shared" si="552"/>
        <v>0</v>
      </c>
      <c r="AI827" s="383">
        <f t="shared" si="553"/>
        <v>0</v>
      </c>
      <c r="AJ827" s="383">
        <f t="shared" si="554"/>
        <v>0</v>
      </c>
      <c r="AK827" s="383">
        <f t="shared" si="555"/>
        <v>0</v>
      </c>
      <c r="AM827" s="148" t="str">
        <f t="shared" si="556"/>
        <v>Schedulled</v>
      </c>
      <c r="AN827" s="148" t="str">
        <f t="shared" si="557"/>
        <v/>
      </c>
      <c r="AO827" s="156">
        <f t="shared" si="558"/>
        <v>43065.680555555555</v>
      </c>
      <c r="AP827" s="148" t="str">
        <f t="shared" si="559"/>
        <v>11/26/2017 16:20-&gt;JCC Back Field 1</v>
      </c>
      <c r="AQ827" s="374">
        <f t="shared" si="560"/>
        <v>1</v>
      </c>
      <c r="AR827" s="148" t="str">
        <f t="shared" si="561"/>
        <v>COL2</v>
      </c>
      <c r="AS827" s="148" t="str">
        <f t="shared" si="562"/>
        <v>VEN1</v>
      </c>
      <c r="AT827" s="157" t="str">
        <f t="shared" si="563"/>
        <v>COL2-VEN1</v>
      </c>
      <c r="AU827" s="157" t="str">
        <f t="shared" si="564"/>
        <v>COL2-VEN1 Soccer Final</v>
      </c>
      <c r="AV827" s="157" t="str">
        <f t="shared" si="565"/>
        <v>CHILDREN B COED</v>
      </c>
      <c r="AW827" s="157" t="str">
        <f t="shared" si="566"/>
        <v>Soccer</v>
      </c>
      <c r="AX827" s="376">
        <f t="shared" si="567"/>
        <v>826</v>
      </c>
      <c r="AY827" s="148" t="str">
        <f t="shared" si="568"/>
        <v>CHILD B - COL 2-&gt;CHILD B - VEN 1</v>
      </c>
      <c r="AZ827" s="148" t="str">
        <f t="shared" si="569"/>
        <v>11/26/2017 16:20-&gt;CHILD B - COL 2</v>
      </c>
      <c r="BA827" s="148" t="str">
        <f t="shared" si="570"/>
        <v>11/26/2017 16:20-&gt;CHILD B - VEN 1</v>
      </c>
      <c r="BB827" s="374">
        <f t="shared" si="571"/>
        <v>1</v>
      </c>
      <c r="BC827" s="374">
        <f t="shared" si="572"/>
        <v>1</v>
      </c>
      <c r="BD827" s="148" t="str">
        <f t="shared" si="573"/>
        <v>no conflict</v>
      </c>
      <c r="BF827" s="148" t="str">
        <f t="shared" si="574"/>
        <v>11/26/2017 16:20-&gt;CHILD B - COL 2</v>
      </c>
      <c r="BG827" s="148" t="str">
        <f t="shared" si="575"/>
        <v>11/26/2017 16:20-&gt;CHILD B - VEN 1</v>
      </c>
      <c r="BH827" s="148" t="str">
        <f t="shared" si="576"/>
        <v>11/26/2017 16:20-&gt;JCC Back Field 1</v>
      </c>
      <c r="BI827" s="148" t="str">
        <f t="shared" si="577"/>
        <v>Soccer in JCC Back Field 1 (COL2-VEN1)</v>
      </c>
      <c r="BJ827" s="148" t="str">
        <f t="shared" si="578"/>
        <v>Ch B Coed Mini Soccer-- CHILD B - COL 2 vs. CHILD B - VEN 1</v>
      </c>
      <c r="BK827" s="148" t="str">
        <f t="shared" si="579"/>
        <v>Soccer</v>
      </c>
      <c r="BL827" s="148" t="str">
        <f t="shared" si="580"/>
        <v>CHILD B - COL 2</v>
      </c>
      <c r="BM827" s="148" t="str">
        <f t="shared" si="581"/>
        <v>CHILD B - VEN 1</v>
      </c>
      <c r="BN827" s="148" t="str">
        <f t="shared" si="582"/>
        <v>Final</v>
      </c>
      <c r="BP827" s="148" t="str">
        <f t="shared" si="583"/>
        <v>11/26/2017 16:20-&gt;CHILDREN B COED</v>
      </c>
      <c r="BQ827" s="148" t="str">
        <f t="shared" si="584"/>
        <v>Soccer Final in JCC Back Field 1</v>
      </c>
    </row>
    <row r="828" spans="1:69" ht="15" customHeight="1" x14ac:dyDescent="0.2">
      <c r="A828" s="376">
        <v>827</v>
      </c>
      <c r="B828" s="315" t="s">
        <v>36</v>
      </c>
      <c r="C828" s="315" t="s">
        <v>769</v>
      </c>
      <c r="D828" s="378">
        <v>1</v>
      </c>
      <c r="E828" s="378">
        <v>1</v>
      </c>
      <c r="F828" s="315" t="s">
        <v>770</v>
      </c>
      <c r="G828" s="316">
        <v>43065</v>
      </c>
      <c r="H828" s="454">
        <v>0.61111111111111105</v>
      </c>
      <c r="I828" s="325" t="s">
        <v>770</v>
      </c>
      <c r="J828" s="315" t="s">
        <v>686</v>
      </c>
      <c r="K828" s="441"/>
      <c r="L828" s="463" t="s">
        <v>559</v>
      </c>
      <c r="M828" s="441"/>
      <c r="N828" s="460" t="s">
        <v>561</v>
      </c>
      <c r="O828" s="153" t="str">
        <f>IF(L828&lt;&gt;"",IFERROR(VLOOKUP(B828&amp;L828,Pools!$A$2:$D$130,3,FALSE),""),"")</f>
        <v>Pool A</v>
      </c>
      <c r="P828" s="388">
        <v>0</v>
      </c>
      <c r="Q828" s="388">
        <v>2</v>
      </c>
      <c r="R828" s="306" t="str">
        <f t="shared" si="540"/>
        <v>0-2</v>
      </c>
      <c r="S828" s="153"/>
      <c r="T828" s="148" t="str">
        <f t="shared" si="541"/>
        <v>Completed</v>
      </c>
      <c r="U828" s="153"/>
      <c r="V828" s="153"/>
      <c r="W828" s="387">
        <f t="shared" si="542"/>
        <v>-2</v>
      </c>
      <c r="X828" s="387">
        <f t="shared" si="543"/>
        <v>2</v>
      </c>
      <c r="Y828" s="301">
        <f t="shared" si="544"/>
        <v>0</v>
      </c>
      <c r="Z828" s="301">
        <f t="shared" si="545"/>
        <v>2</v>
      </c>
      <c r="AA828" s="323" t="str">
        <f>CONCATENATE("                x[team1,team2,sport,'",IF(OR(I828="x",I828=""),VLOOKUP('Schedule from TM'!J830,Tables!$P$3:$Q$33,2,FALSE),'Schedule from TM'!I830),",",J828,"','",IF(OR(F828="x",F828=""),VLOOKUP('Schedule from TM'!G830,Tables!$U$3:$V$14,2,FALSE),'Schedule from TM'!F830),",",TEXT(G828,"mm/dd/yyyy"),"','",TEXT(H828,"h:mm:ss AM/PM"),"'].ub=0.0      #",B828)</f>
        <v xml:space="preserve">                x[team1,team2,sport,'21,Sinai - Newcomb','21,11/26/2017','2:40:00 PM'].ub=0.0      #Ch B Coed Newcomb</v>
      </c>
      <c r="AB828" s="301" t="str">
        <f t="shared" si="546"/>
        <v>,,Ch B Coed Newcomb,Pool A,1,CHILD B - USA 2</v>
      </c>
      <c r="AC828" s="153" t="str">
        <f t="shared" si="547"/>
        <v>Ch B Coed NewcombPool ACHILD B - USA 2</v>
      </c>
      <c r="AD828" s="301" t="str">
        <f t="shared" si="548"/>
        <v>,,Ch B Coed Newcomb,Pool A,1,CHILD B - VEN 2</v>
      </c>
      <c r="AE828" s="153" t="str">
        <f t="shared" si="549"/>
        <v>Ch B Coed NewcombPool ACHILD B - VEN 2</v>
      </c>
      <c r="AF828" s="383">
        <f t="shared" si="550"/>
        <v>0</v>
      </c>
      <c r="AG828" s="383">
        <f t="shared" si="551"/>
        <v>1</v>
      </c>
      <c r="AH828" s="383">
        <f t="shared" si="552"/>
        <v>0</v>
      </c>
      <c r="AI828" s="383">
        <f t="shared" si="553"/>
        <v>1</v>
      </c>
      <c r="AJ828" s="383">
        <f t="shared" si="554"/>
        <v>0</v>
      </c>
      <c r="AK828" s="383">
        <f t="shared" si="555"/>
        <v>0</v>
      </c>
      <c r="AM828" s="148" t="str">
        <f t="shared" si="556"/>
        <v>Schedulled</v>
      </c>
      <c r="AN828" s="148" t="str">
        <f t="shared" si="557"/>
        <v/>
      </c>
      <c r="AO828" s="156">
        <f t="shared" si="558"/>
        <v>43065.611111111109</v>
      </c>
      <c r="AP828" s="148" t="str">
        <f t="shared" si="559"/>
        <v>11/26/2017 14:40-&gt;Sinai - Newcomb</v>
      </c>
      <c r="AQ828" s="374">
        <f t="shared" si="560"/>
        <v>1</v>
      </c>
      <c r="AR828" s="148" t="str">
        <f t="shared" si="561"/>
        <v>USA2</v>
      </c>
      <c r="AS828" s="148" t="str">
        <f t="shared" si="562"/>
        <v>VEN2</v>
      </c>
      <c r="AT828" s="157" t="str">
        <f t="shared" si="563"/>
        <v>USA2-VEN2</v>
      </c>
      <c r="AU828" s="157" t="str">
        <f t="shared" si="564"/>
        <v>USA2-VEN2 Newcomb Final</v>
      </c>
      <c r="AV828" s="157" t="str">
        <f t="shared" si="565"/>
        <v>CHILDREN B COED</v>
      </c>
      <c r="AW828" s="157" t="str">
        <f t="shared" si="566"/>
        <v>Newcomb</v>
      </c>
      <c r="AX828" s="376">
        <f t="shared" si="567"/>
        <v>827</v>
      </c>
      <c r="AY828" s="148" t="str">
        <f t="shared" si="568"/>
        <v>CHILD B - USA 2-&gt;CHILD B - VEN 2</v>
      </c>
      <c r="AZ828" s="148" t="str">
        <f t="shared" si="569"/>
        <v>11/26/2017 14:40-&gt;CHILD B - USA 2</v>
      </c>
      <c r="BA828" s="148" t="str">
        <f t="shared" si="570"/>
        <v>11/26/2017 14:40-&gt;CHILD B - VEN 2</v>
      </c>
      <c r="BB828" s="374">
        <f t="shared" si="571"/>
        <v>1</v>
      </c>
      <c r="BC828" s="374">
        <f t="shared" si="572"/>
        <v>1</v>
      </c>
      <c r="BD828" s="148" t="str">
        <f t="shared" si="573"/>
        <v>no conflict</v>
      </c>
      <c r="BF828" s="148" t="str">
        <f t="shared" si="574"/>
        <v>11/26/2017 14:40-&gt;CHILD B - USA 2</v>
      </c>
      <c r="BG828" s="148" t="str">
        <f t="shared" si="575"/>
        <v>11/26/2017 14:40-&gt;CHILD B - VEN 2</v>
      </c>
      <c r="BH828" s="148" t="str">
        <f t="shared" si="576"/>
        <v>11/26/2017 14:40-&gt;Sinai - Newcomb</v>
      </c>
      <c r="BI828" s="148" t="str">
        <f t="shared" si="577"/>
        <v>Newcomb in Sinai - Newcomb (USA2-VEN2)</v>
      </c>
      <c r="BJ828" s="148" t="str">
        <f t="shared" si="578"/>
        <v>Ch B Coed Newcomb-- CHILD B - USA 2 vs. CHILD B - VEN 2</v>
      </c>
      <c r="BK828" s="148" t="str">
        <f t="shared" si="579"/>
        <v>Newcomb</v>
      </c>
      <c r="BL828" s="148" t="str">
        <f t="shared" si="580"/>
        <v>CHILD B - USA 2</v>
      </c>
      <c r="BM828" s="148" t="str">
        <f t="shared" si="581"/>
        <v>CHILD B - VEN 2</v>
      </c>
      <c r="BN828" s="148" t="str">
        <f t="shared" si="582"/>
        <v>Final</v>
      </c>
      <c r="BP828" s="148" t="str">
        <f t="shared" si="583"/>
        <v>11/26/2017 14:40-&gt;CHILDREN B COED</v>
      </c>
      <c r="BQ828" s="148" t="str">
        <f t="shared" si="584"/>
        <v>Newcomb Final in Sinai - Newcomb</v>
      </c>
    </row>
    <row r="829" spans="1:69" ht="15" customHeight="1" x14ac:dyDescent="0.2">
      <c r="A829" s="376">
        <v>828</v>
      </c>
      <c r="B829" s="315" t="s">
        <v>39</v>
      </c>
      <c r="C829" s="315" t="s">
        <v>769</v>
      </c>
      <c r="D829" s="378">
        <v>1</v>
      </c>
      <c r="E829" s="378">
        <v>1</v>
      </c>
      <c r="F829" s="315" t="s">
        <v>770</v>
      </c>
      <c r="G829" s="316">
        <v>43065</v>
      </c>
      <c r="H829" s="454">
        <v>0.57638888888888895</v>
      </c>
      <c r="I829" s="325" t="s">
        <v>770</v>
      </c>
      <c r="J829" s="444" t="s">
        <v>688</v>
      </c>
      <c r="K829" s="441"/>
      <c r="L829" s="463" t="s">
        <v>564</v>
      </c>
      <c r="M829" s="441"/>
      <c r="N829" s="460" t="s">
        <v>565</v>
      </c>
      <c r="O829" s="153" t="str">
        <f>IF(L829&lt;&gt;"",IFERROR(VLOOKUP(B829&amp;L829,Pools!$A$2:$D$130,3,FALSE),""),"")</f>
        <v/>
      </c>
      <c r="P829" s="388">
        <v>16</v>
      </c>
      <c r="Q829" s="388">
        <v>6</v>
      </c>
      <c r="R829" s="306" t="str">
        <f t="shared" si="540"/>
        <v>16-6</v>
      </c>
      <c r="S829" s="153"/>
      <c r="T829" s="148" t="str">
        <f t="shared" si="541"/>
        <v>Completed</v>
      </c>
      <c r="U829" s="153"/>
      <c r="V829" s="153"/>
      <c r="W829" s="387">
        <f t="shared" si="542"/>
        <v>10</v>
      </c>
      <c r="X829" s="387">
        <f t="shared" si="543"/>
        <v>-10</v>
      </c>
      <c r="Y829" s="301">
        <f t="shared" si="544"/>
        <v>2</v>
      </c>
      <c r="Z829" s="301">
        <f t="shared" si="545"/>
        <v>0</v>
      </c>
      <c r="AA829" s="323" t="str">
        <f>CONCATENATE("                x[team1,team2,sport,'",IF(OR(I829="x",I829=""),VLOOKUP('Schedule from TM'!J831,Tables!$P$3:$Q$33,2,FALSE),'Schedule from TM'!I831),",",J829,"','",IF(OR(F829="x",F829=""),VLOOKUP('Schedule from TM'!G831,Tables!$U$3:$V$14,2,FALSE),'Schedule from TM'!F831),",",TEXT(G829,"mm/dd/yyyy"),"','",TEXT(H829,"h:mm:ss AM/PM"),"'].ub=0.0      #",B829)</f>
        <v xml:space="preserve">                x[team1,team2,sport,'11,JCC Basketball Out 1','21,11/26/2017','1:50:00 PM'].ub=0.0      #Ch C Female Basketball</v>
      </c>
      <c r="AB829" s="301" t="str">
        <f t="shared" si="546"/>
        <v>,,Ch C Female Basketball,,1,CHILD CF - ARG 1</v>
      </c>
      <c r="AC829" s="153" t="str">
        <f t="shared" si="547"/>
        <v>Ch C Female BasketballCHILD CF - ARG 1</v>
      </c>
      <c r="AD829" s="301" t="str">
        <f t="shared" si="548"/>
        <v>,,Ch C Female Basketball,,1,CHILD CF - COL 1</v>
      </c>
      <c r="AE829" s="153" t="str">
        <f t="shared" si="549"/>
        <v>Ch C Female BasketballCHILD CF - COL 1</v>
      </c>
      <c r="AF829" s="383">
        <f t="shared" si="550"/>
        <v>1</v>
      </c>
      <c r="AG829" s="383">
        <f t="shared" si="551"/>
        <v>0</v>
      </c>
      <c r="AH829" s="383">
        <f t="shared" si="552"/>
        <v>0</v>
      </c>
      <c r="AI829" s="383">
        <f t="shared" si="553"/>
        <v>0</v>
      </c>
      <c r="AJ829" s="383">
        <f t="shared" si="554"/>
        <v>1</v>
      </c>
      <c r="AK829" s="383">
        <f t="shared" si="555"/>
        <v>0</v>
      </c>
      <c r="AM829" s="148" t="str">
        <f t="shared" si="556"/>
        <v>Schedulled</v>
      </c>
      <c r="AN829" s="148" t="str">
        <f t="shared" si="557"/>
        <v/>
      </c>
      <c r="AO829" s="156">
        <f t="shared" si="558"/>
        <v>43065.576388888891</v>
      </c>
      <c r="AP829" s="148" t="str">
        <f t="shared" si="559"/>
        <v>11/26/2017 13:50-&gt;JCC Basketball Out 1</v>
      </c>
      <c r="AQ829" s="374">
        <f t="shared" si="560"/>
        <v>1</v>
      </c>
      <c r="AR829" s="148" t="str">
        <f t="shared" si="561"/>
        <v>ARG1</v>
      </c>
      <c r="AS829" s="148" t="str">
        <f t="shared" si="562"/>
        <v>COL1</v>
      </c>
      <c r="AT829" s="157" t="str">
        <f t="shared" si="563"/>
        <v>ARG1-COL1</v>
      </c>
      <c r="AU829" s="157" t="str">
        <f t="shared" si="564"/>
        <v>ARG1-COL1 Basketball Final</v>
      </c>
      <c r="AV829" s="157" t="str">
        <f t="shared" si="565"/>
        <v>CHILDREN C FEMALE</v>
      </c>
      <c r="AW829" s="157" t="str">
        <f t="shared" si="566"/>
        <v>Basketball</v>
      </c>
      <c r="AX829" s="376">
        <f t="shared" si="567"/>
        <v>828</v>
      </c>
      <c r="AY829" s="148" t="str">
        <f t="shared" si="568"/>
        <v>CHILD CF - ARG 1-&gt;CHILD CF - COL 1</v>
      </c>
      <c r="AZ829" s="148" t="str">
        <f t="shared" si="569"/>
        <v>11/26/2017 13:50-&gt;CHILD CF - ARG 1</v>
      </c>
      <c r="BA829" s="148" t="str">
        <f t="shared" si="570"/>
        <v>11/26/2017 13:50-&gt;CHILD CF - COL 1</v>
      </c>
      <c r="BB829" s="374">
        <f t="shared" si="571"/>
        <v>1</v>
      </c>
      <c r="BC829" s="374">
        <f t="shared" si="572"/>
        <v>1</v>
      </c>
      <c r="BD829" s="148" t="str">
        <f t="shared" si="573"/>
        <v>no conflict</v>
      </c>
      <c r="BF829" s="148" t="str">
        <f t="shared" si="574"/>
        <v>11/26/2017 13:50-&gt;CHILD CF - ARG 1</v>
      </c>
      <c r="BG829" s="148" t="str">
        <f t="shared" si="575"/>
        <v>11/26/2017 13:50-&gt;CHILD CF - COL 1</v>
      </c>
      <c r="BH829" s="148" t="str">
        <f t="shared" si="576"/>
        <v>11/26/2017 13:50-&gt;JCC Basketball Out 1</v>
      </c>
      <c r="BI829" s="148" t="str">
        <f t="shared" si="577"/>
        <v>Basketball in JCC Basketball Out 1 (ARG1-COL1)</v>
      </c>
      <c r="BJ829" s="148" t="str">
        <f t="shared" si="578"/>
        <v>Ch C Female Basketball-- CHILD CF - ARG 1 vs. CHILD CF - COL 1</v>
      </c>
      <c r="BK829" s="148" t="str">
        <f t="shared" si="579"/>
        <v>Basketball</v>
      </c>
      <c r="BL829" s="148" t="str">
        <f t="shared" si="580"/>
        <v>CHILD CF - ARG 1</v>
      </c>
      <c r="BM829" s="148" t="str">
        <f t="shared" si="581"/>
        <v>CHILD CF - COL 1</v>
      </c>
      <c r="BN829" s="148" t="str">
        <f t="shared" si="582"/>
        <v>Final</v>
      </c>
      <c r="BP829" s="148" t="str">
        <f t="shared" si="583"/>
        <v>11/26/2017 13:50-&gt;CHILDREN C FEMALE</v>
      </c>
      <c r="BQ829" s="148" t="str">
        <f t="shared" si="584"/>
        <v>Basketball Final in JCC Basketball Out 1</v>
      </c>
    </row>
    <row r="830" spans="1:69" ht="15" customHeight="1" x14ac:dyDescent="0.2">
      <c r="A830" s="376">
        <v>829</v>
      </c>
      <c r="B830" s="444" t="s">
        <v>42</v>
      </c>
      <c r="C830" s="315" t="s">
        <v>769</v>
      </c>
      <c r="D830" s="378">
        <v>1</v>
      </c>
      <c r="E830" s="378">
        <v>1</v>
      </c>
      <c r="F830" s="315" t="s">
        <v>770</v>
      </c>
      <c r="G830" s="316">
        <v>43065</v>
      </c>
      <c r="H830" s="454">
        <v>0.50694444444444442</v>
      </c>
      <c r="I830" s="325" t="s">
        <v>770</v>
      </c>
      <c r="J830" s="443" t="s">
        <v>704</v>
      </c>
      <c r="K830" s="315"/>
      <c r="L830" s="463" t="s">
        <v>570</v>
      </c>
      <c r="M830" s="444"/>
      <c r="N830" s="463" t="s">
        <v>565</v>
      </c>
      <c r="O830" s="153" t="str">
        <f>IF(L830&lt;&gt;"",IFERROR(VLOOKUP(B830&amp;L830,Pools!$A$2:$D$130,3,FALSE),""),"")</f>
        <v/>
      </c>
      <c r="P830" s="388">
        <v>13</v>
      </c>
      <c r="Q830" s="388">
        <v>7</v>
      </c>
      <c r="R830" s="306" t="str">
        <f t="shared" si="540"/>
        <v>13-7</v>
      </c>
      <c r="S830" s="153"/>
      <c r="T830" s="148" t="str">
        <f t="shared" si="541"/>
        <v>Completed</v>
      </c>
      <c r="U830" s="153"/>
      <c r="V830" s="153"/>
      <c r="W830" s="387">
        <f t="shared" si="542"/>
        <v>5</v>
      </c>
      <c r="X830" s="387">
        <f t="shared" si="543"/>
        <v>-5</v>
      </c>
      <c r="Y830" s="301">
        <f t="shared" si="544"/>
        <v>2</v>
      </c>
      <c r="Z830" s="301">
        <f t="shared" si="545"/>
        <v>0</v>
      </c>
      <c r="AA830" s="323" t="str">
        <f>CONCATENATE("                x[team1,team2,sport,'",IF(OR(I830="x",I830=""),VLOOKUP('Schedule from TM'!J832,Tables!$P$3:$Q$33,2,FALSE),'Schedule from TM'!I832),",",J830,"','",IF(OR(F830="x",F830=""),VLOOKUP('Schedule from TM'!G832,Tables!$U$3:$V$14,2,FALSE),'Schedule from TM'!F832),",",TEXT(G830,"mm/dd/yyyy"),"','",TEXT(H830,"h:mm:ss AM/PM"),"'].ub=0.0      #",B830)</f>
        <v xml:space="preserve">                x[team1,team2,sport,'22,Hillel - Field 2','21,11/26/2017','12:10:00 PM'].ub=0.0      #Ch C Female Kickball</v>
      </c>
      <c r="AB830" s="301" t="str">
        <f t="shared" si="546"/>
        <v>,,Ch C Female Kickball,,1,CHILD CF - VEN 2</v>
      </c>
      <c r="AC830" s="153" t="str">
        <f t="shared" si="547"/>
        <v>Ch C Female KickballCHILD CF - VEN 2</v>
      </c>
      <c r="AD830" s="301" t="str">
        <f t="shared" si="548"/>
        <v>,,Ch C Female Kickball,,1,CHILD CF - COL 1</v>
      </c>
      <c r="AE830" s="153" t="str">
        <f t="shared" si="549"/>
        <v>Ch C Female KickballCHILD CF - COL 1</v>
      </c>
      <c r="AF830" s="383">
        <f t="shared" si="550"/>
        <v>1</v>
      </c>
      <c r="AG830" s="383">
        <f t="shared" si="551"/>
        <v>0</v>
      </c>
      <c r="AH830" s="383">
        <f t="shared" si="552"/>
        <v>0</v>
      </c>
      <c r="AI830" s="383">
        <f t="shared" si="553"/>
        <v>0</v>
      </c>
      <c r="AJ830" s="383">
        <f t="shared" si="554"/>
        <v>1</v>
      </c>
      <c r="AK830" s="383">
        <f t="shared" si="555"/>
        <v>0</v>
      </c>
      <c r="AM830" s="148" t="str">
        <f t="shared" si="556"/>
        <v>Schedulled</v>
      </c>
      <c r="AN830" s="148" t="str">
        <f t="shared" si="557"/>
        <v/>
      </c>
      <c r="AO830" s="156">
        <f t="shared" si="558"/>
        <v>43065.506944444445</v>
      </c>
      <c r="AP830" s="148" t="str">
        <f t="shared" si="559"/>
        <v>11/26/2017 12:10-&gt;Hillel - Field 2</v>
      </c>
      <c r="AQ830" s="374">
        <f t="shared" si="560"/>
        <v>1</v>
      </c>
      <c r="AR830" s="148" t="str">
        <f t="shared" si="561"/>
        <v>VEN2</v>
      </c>
      <c r="AS830" s="148" t="str">
        <f t="shared" si="562"/>
        <v>COL1</v>
      </c>
      <c r="AT830" s="157" t="str">
        <f t="shared" si="563"/>
        <v>VEN2-COL1</v>
      </c>
      <c r="AU830" s="157" t="str">
        <f t="shared" si="564"/>
        <v>VEN2-COL1 Kickball Final</v>
      </c>
      <c r="AV830" s="157" t="str">
        <f t="shared" si="565"/>
        <v>CHILDREN C FEMALE</v>
      </c>
      <c r="AW830" s="157" t="str">
        <f t="shared" si="566"/>
        <v>Kickball</v>
      </c>
      <c r="AX830" s="376">
        <f t="shared" si="567"/>
        <v>829</v>
      </c>
      <c r="AY830" s="148" t="str">
        <f t="shared" si="568"/>
        <v>CHILD CF - VEN 2-&gt;CHILD CF - COL 1</v>
      </c>
      <c r="AZ830" s="148" t="str">
        <f t="shared" si="569"/>
        <v>11/26/2017 12:10-&gt;CHILD CF - VEN 2</v>
      </c>
      <c r="BA830" s="148" t="str">
        <f t="shared" si="570"/>
        <v>11/26/2017 12:10-&gt;CHILD CF - COL 1</v>
      </c>
      <c r="BB830" s="374">
        <f t="shared" si="571"/>
        <v>1</v>
      </c>
      <c r="BC830" s="374">
        <f t="shared" si="572"/>
        <v>1</v>
      </c>
      <c r="BD830" s="148" t="str">
        <f t="shared" si="573"/>
        <v>no conflict</v>
      </c>
      <c r="BF830" s="148" t="str">
        <f t="shared" si="574"/>
        <v>11/26/2017 12:10-&gt;CHILD CF - VEN 2</v>
      </c>
      <c r="BG830" s="148" t="str">
        <f t="shared" si="575"/>
        <v>11/26/2017 12:10-&gt;CHILD CF - COL 1</v>
      </c>
      <c r="BH830" s="148" t="str">
        <f t="shared" si="576"/>
        <v>11/26/2017 12:10-&gt;Hillel - Field 2</v>
      </c>
      <c r="BI830" s="148" t="str">
        <f t="shared" si="577"/>
        <v>Kickball in Hillel - Field 2 (VEN2-COL1)</v>
      </c>
      <c r="BJ830" s="148" t="str">
        <f t="shared" si="578"/>
        <v>Ch C Female Kickball-- CHILD CF - VEN 2 vs. CHILD CF - COL 1</v>
      </c>
      <c r="BK830" s="148" t="str">
        <f t="shared" si="579"/>
        <v>Kickball</v>
      </c>
      <c r="BL830" s="148" t="str">
        <f t="shared" si="580"/>
        <v>CHILD CF - VEN 2</v>
      </c>
      <c r="BM830" s="148" t="str">
        <f t="shared" si="581"/>
        <v>CHILD CF - COL 1</v>
      </c>
      <c r="BN830" s="148" t="str">
        <f t="shared" si="582"/>
        <v>Final</v>
      </c>
      <c r="BP830" s="148" t="str">
        <f t="shared" si="583"/>
        <v>11/26/2017 12:10-&gt;CHILDREN C FEMALE</v>
      </c>
      <c r="BQ830" s="148" t="str">
        <f t="shared" si="584"/>
        <v>Kickball Final in Hillel - Field 2</v>
      </c>
    </row>
    <row r="831" spans="1:69" ht="15" customHeight="1" x14ac:dyDescent="0.2">
      <c r="A831" s="376">
        <v>830</v>
      </c>
      <c r="B831" s="444" t="s">
        <v>38</v>
      </c>
      <c r="C831" s="444" t="s">
        <v>769</v>
      </c>
      <c r="D831" s="451">
        <v>1</v>
      </c>
      <c r="E831" s="451">
        <v>1</v>
      </c>
      <c r="F831" s="315" t="s">
        <v>770</v>
      </c>
      <c r="G831" s="445">
        <v>43065</v>
      </c>
      <c r="H831" s="454">
        <v>0.61111111111111105</v>
      </c>
      <c r="I831" s="325" t="s">
        <v>770</v>
      </c>
      <c r="J831" s="443" t="s">
        <v>693</v>
      </c>
      <c r="K831" s="441"/>
      <c r="L831" s="463" t="s">
        <v>569</v>
      </c>
      <c r="M831" s="443" t="s">
        <v>818</v>
      </c>
      <c r="N831" s="463" t="s">
        <v>570</v>
      </c>
      <c r="O831" s="443"/>
      <c r="P831" s="388"/>
      <c r="Q831" s="388"/>
      <c r="R831" s="306" t="str">
        <f t="shared" si="540"/>
        <v>-</v>
      </c>
      <c r="S831" s="153"/>
      <c r="T831" s="148" t="str">
        <f t="shared" si="541"/>
        <v>Pending</v>
      </c>
      <c r="U831" s="153"/>
      <c r="V831" s="153"/>
      <c r="W831" s="387">
        <f t="shared" si="542"/>
        <v>0</v>
      </c>
      <c r="X831" s="387">
        <f t="shared" si="543"/>
        <v>0</v>
      </c>
      <c r="Y831" s="301" t="str">
        <f t="shared" si="544"/>
        <v>X</v>
      </c>
      <c r="Z831" s="301" t="str">
        <f t="shared" si="545"/>
        <v>X</v>
      </c>
      <c r="AA831" s="323" t="str">
        <f>CONCATENATE("                x[team1,team2,sport,'",IF(OR(I831="x",I831=""),VLOOKUP('Schedule from TM'!J833,Tables!$P$3:$Q$33,2,FALSE),'Schedule from TM'!I833),",",J831,"','",IF(OR(F831="x",F831=""),VLOOKUP('Schedule from TM'!G833,Tables!$U$3:$V$14,2,FALSE),'Schedule from TM'!F833),",",TEXT(G831,"mm/dd/yyyy"),"','",TEXT(H831,"h:mm:ss AM/PM"),"'].ub=0.0      #",B831)</f>
        <v xml:space="preserve">                x[team1,team2,sport,'11,JCC Back Field 2','21,11/26/2017','2:40:00 PM'].ub=0.0      #Ch C Female Mini Soccer</v>
      </c>
      <c r="AB831" s="301" t="str">
        <f t="shared" si="546"/>
        <v>,,Ch C Female Mini Soccer,,1,CHILD CF - VEN 1</v>
      </c>
      <c r="AC831" s="153" t="str">
        <f t="shared" si="547"/>
        <v>Ch C Female Mini SoccerCHILD CF - VEN 1</v>
      </c>
      <c r="AD831" s="301" t="str">
        <f t="shared" si="548"/>
        <v>,,Ch C Female Mini Soccer,,1,CHILD CF - VEN 2</v>
      </c>
      <c r="AE831" s="153" t="str">
        <f t="shared" si="549"/>
        <v>Ch C Female Mini SoccerCHILD CF - VEN 2</v>
      </c>
      <c r="AF831" s="383">
        <f t="shared" si="550"/>
        <v>0</v>
      </c>
      <c r="AG831" s="383">
        <f t="shared" si="551"/>
        <v>0</v>
      </c>
      <c r="AH831" s="383">
        <f t="shared" si="552"/>
        <v>0</v>
      </c>
      <c r="AI831" s="383">
        <f t="shared" si="553"/>
        <v>0</v>
      </c>
      <c r="AJ831" s="383">
        <f t="shared" si="554"/>
        <v>0</v>
      </c>
      <c r="AK831" s="383">
        <f t="shared" si="555"/>
        <v>0</v>
      </c>
      <c r="AM831" s="148" t="str">
        <f t="shared" si="556"/>
        <v>Schedulled</v>
      </c>
      <c r="AN831" s="148" t="str">
        <f t="shared" si="557"/>
        <v/>
      </c>
      <c r="AO831" s="156">
        <f t="shared" si="558"/>
        <v>43065.611111111109</v>
      </c>
      <c r="AP831" s="148" t="str">
        <f t="shared" si="559"/>
        <v>11/26/2017 14:40-&gt;JCC Back Field 2</v>
      </c>
      <c r="AQ831" s="374">
        <f t="shared" si="560"/>
        <v>1</v>
      </c>
      <c r="AR831" s="148" t="str">
        <f t="shared" si="561"/>
        <v>VEN1</v>
      </c>
      <c r="AS831" s="148" t="str">
        <f t="shared" si="562"/>
        <v>VEN2</v>
      </c>
      <c r="AT831" s="157" t="str">
        <f t="shared" si="563"/>
        <v>VEN1-VEN2</v>
      </c>
      <c r="AU831" s="157" t="str">
        <f t="shared" si="564"/>
        <v>VEN1-VEN2 Soccer Final</v>
      </c>
      <c r="AV831" s="157" t="str">
        <f t="shared" si="565"/>
        <v>CHILDREN C FEMALE</v>
      </c>
      <c r="AW831" s="157" t="str">
        <f t="shared" si="566"/>
        <v>Soccer</v>
      </c>
      <c r="AX831" s="376">
        <f t="shared" si="567"/>
        <v>830</v>
      </c>
      <c r="AY831" s="148" t="str">
        <f t="shared" si="568"/>
        <v>CHILD CF - VEN 1-&gt;CHILD CF - VEN 2</v>
      </c>
      <c r="AZ831" s="148" t="str">
        <f t="shared" si="569"/>
        <v>11/26/2017 14:40-&gt;CHILD CF - VEN 1</v>
      </c>
      <c r="BA831" s="148" t="str">
        <f t="shared" si="570"/>
        <v>11/26/2017 14:40-&gt;CHILD CF - VEN 2</v>
      </c>
      <c r="BB831" s="374">
        <f t="shared" si="571"/>
        <v>1</v>
      </c>
      <c r="BC831" s="374">
        <f t="shared" si="572"/>
        <v>1</v>
      </c>
      <c r="BD831" s="148" t="str">
        <f t="shared" si="573"/>
        <v>no conflict</v>
      </c>
      <c r="BF831" s="148" t="str">
        <f t="shared" si="574"/>
        <v>11/26/2017 14:40-&gt;CHILD CF - VEN 1</v>
      </c>
      <c r="BG831" s="148" t="str">
        <f t="shared" si="575"/>
        <v>11/26/2017 14:40-&gt;CHILD CF - VEN 2</v>
      </c>
      <c r="BH831" s="148" t="str">
        <f t="shared" si="576"/>
        <v>11/26/2017 14:40-&gt;JCC Back Field 2</v>
      </c>
      <c r="BI831" s="148" t="str">
        <f t="shared" si="577"/>
        <v>Soccer in JCC Back Field 2 (VEN1-VEN2)</v>
      </c>
      <c r="BJ831" s="148" t="str">
        <f t="shared" si="578"/>
        <v>Ch C Female Mini Soccer-- CHILD CF - VEN 1 vs. CHILD CF - VEN 2</v>
      </c>
      <c r="BK831" s="148" t="str">
        <f t="shared" si="579"/>
        <v>Soccer</v>
      </c>
      <c r="BL831" s="148" t="str">
        <f t="shared" si="580"/>
        <v>CHILD CF - VEN 1</v>
      </c>
      <c r="BM831" s="148" t="str">
        <f t="shared" si="581"/>
        <v>CHILD CF - VEN 2</v>
      </c>
      <c r="BN831" s="148" t="str">
        <f t="shared" si="582"/>
        <v>Final</v>
      </c>
      <c r="BP831" s="148" t="str">
        <f t="shared" si="583"/>
        <v>11/26/2017 14:40-&gt;CHILDREN C FEMALE</v>
      </c>
      <c r="BQ831" s="148" t="str">
        <f t="shared" si="584"/>
        <v>Soccer Final in JCC Back Field 2</v>
      </c>
    </row>
    <row r="832" spans="1:69" ht="15" customHeight="1" x14ac:dyDescent="0.2">
      <c r="A832" s="376">
        <v>831</v>
      </c>
      <c r="B832" s="444" t="s">
        <v>523</v>
      </c>
      <c r="C832" s="444" t="s">
        <v>769</v>
      </c>
      <c r="D832" s="451">
        <v>1</v>
      </c>
      <c r="E832" s="451">
        <v>1</v>
      </c>
      <c r="F832" s="315" t="s">
        <v>770</v>
      </c>
      <c r="G832" s="445">
        <v>43065</v>
      </c>
      <c r="H832" s="454">
        <v>0.64583333333333337</v>
      </c>
      <c r="I832" s="325" t="s">
        <v>770</v>
      </c>
      <c r="J832" s="315" t="s">
        <v>701</v>
      </c>
      <c r="K832" s="441"/>
      <c r="L832" s="463" t="s">
        <v>567</v>
      </c>
      <c r="M832" s="441"/>
      <c r="N832" s="460" t="s">
        <v>564</v>
      </c>
      <c r="O832" s="153" t="str">
        <f>IF(L832&lt;&gt;"",IFERROR(VLOOKUP(B832&amp;L832,Pools!$A$2:$D$130,3,FALSE),""),"")</f>
        <v/>
      </c>
      <c r="P832" s="388">
        <v>2</v>
      </c>
      <c r="Q832" s="388">
        <v>0</v>
      </c>
      <c r="R832" s="306" t="str">
        <f t="shared" si="540"/>
        <v>2-0</v>
      </c>
      <c r="S832" s="153"/>
      <c r="T832" s="148" t="str">
        <f t="shared" si="541"/>
        <v>Completed</v>
      </c>
      <c r="U832" s="153"/>
      <c r="V832" s="153"/>
      <c r="W832" s="387">
        <f t="shared" si="542"/>
        <v>2</v>
      </c>
      <c r="X832" s="387">
        <f t="shared" si="543"/>
        <v>-2</v>
      </c>
      <c r="Y832" s="301">
        <f t="shared" si="544"/>
        <v>2</v>
      </c>
      <c r="Z832" s="301">
        <f t="shared" si="545"/>
        <v>0</v>
      </c>
      <c r="AA832" s="323" t="str">
        <f>CONCATENATE("                x[team1,team2,sport,'",IF(OR(I832="x",I832=""),VLOOKUP('Schedule from TM'!J834,Tables!$P$3:$Q$33,2,FALSE),'Schedule from TM'!I834),",",J832,"','",IF(OR(F832="x",F832=""),VLOOKUP('Schedule from TM'!G834,Tables!$U$3:$V$14,2,FALSE),'Schedule from TM'!F834),",",TEXT(G832,"mm/dd/yyyy"),"','",TEXT(H832,"h:mm:ss AM/PM"),"'].ub=0.0      #",B832)</f>
        <v xml:space="preserve">                x[team1,team2,sport,'21,Hillel - Volleyball Out','21,11/26/2017','3:30:00 PM'].ub=0.0      #Ch C Female Newcomb</v>
      </c>
      <c r="AB832" s="301" t="str">
        <f t="shared" si="546"/>
        <v>,,Ch C Female Newcomb,,1,CHILD CF - USA 1</v>
      </c>
      <c r="AC832" s="153" t="str">
        <f t="shared" si="547"/>
        <v>Ch C Female NewcombCHILD CF - USA 1</v>
      </c>
      <c r="AD832" s="301" t="str">
        <f t="shared" si="548"/>
        <v>,,Ch C Female Newcomb,,1,CHILD CF - ARG 1</v>
      </c>
      <c r="AE832" s="153" t="str">
        <f t="shared" si="549"/>
        <v>Ch C Female NewcombCHILD CF - ARG 1</v>
      </c>
      <c r="AF832" s="383">
        <f t="shared" si="550"/>
        <v>1</v>
      </c>
      <c r="AG832" s="383">
        <f t="shared" si="551"/>
        <v>0</v>
      </c>
      <c r="AH832" s="383">
        <f t="shared" si="552"/>
        <v>0</v>
      </c>
      <c r="AI832" s="383">
        <f t="shared" si="553"/>
        <v>0</v>
      </c>
      <c r="AJ832" s="383">
        <f t="shared" si="554"/>
        <v>1</v>
      </c>
      <c r="AK832" s="383">
        <f t="shared" si="555"/>
        <v>0</v>
      </c>
      <c r="AM832" s="148" t="str">
        <f t="shared" si="556"/>
        <v>Schedulled</v>
      </c>
      <c r="AN832" s="148" t="str">
        <f t="shared" si="557"/>
        <v/>
      </c>
      <c r="AO832" s="156">
        <f t="shared" si="558"/>
        <v>43065.645833333336</v>
      </c>
      <c r="AP832" s="148" t="str">
        <f t="shared" si="559"/>
        <v>11/26/2017 15:30-&gt;Hillel - Volleyball Out</v>
      </c>
      <c r="AQ832" s="374">
        <f t="shared" si="560"/>
        <v>1</v>
      </c>
      <c r="AR832" s="148" t="str">
        <f t="shared" si="561"/>
        <v>USA1</v>
      </c>
      <c r="AS832" s="148" t="str">
        <f t="shared" si="562"/>
        <v>ARG1</v>
      </c>
      <c r="AT832" s="157" t="str">
        <f t="shared" si="563"/>
        <v>USA1-ARG1</v>
      </c>
      <c r="AU832" s="157" t="str">
        <f t="shared" si="564"/>
        <v>USA1-ARG1 Newcomb Final</v>
      </c>
      <c r="AV832" s="157" t="str">
        <f t="shared" si="565"/>
        <v>CHILDREN C FEMALE</v>
      </c>
      <c r="AW832" s="157" t="str">
        <f t="shared" si="566"/>
        <v>Newcomb</v>
      </c>
      <c r="AX832" s="376">
        <f t="shared" si="567"/>
        <v>831</v>
      </c>
      <c r="AY832" s="148" t="str">
        <f t="shared" si="568"/>
        <v>CHILD CF - USA 1-&gt;CHILD CF - ARG 1</v>
      </c>
      <c r="AZ832" s="148" t="str">
        <f t="shared" si="569"/>
        <v>11/26/2017 15:30-&gt;CHILD CF - USA 1</v>
      </c>
      <c r="BA832" s="148" t="str">
        <f t="shared" si="570"/>
        <v>11/26/2017 15:30-&gt;CHILD CF - ARG 1</v>
      </c>
      <c r="BB832" s="374">
        <f t="shared" si="571"/>
        <v>1</v>
      </c>
      <c r="BC832" s="374">
        <f t="shared" si="572"/>
        <v>1</v>
      </c>
      <c r="BD832" s="148" t="str">
        <f t="shared" si="573"/>
        <v>no conflict</v>
      </c>
      <c r="BF832" s="148" t="str">
        <f t="shared" si="574"/>
        <v>11/26/2017 15:30-&gt;CHILD CF - USA 1</v>
      </c>
      <c r="BG832" s="148" t="str">
        <f t="shared" si="575"/>
        <v>11/26/2017 15:30-&gt;CHILD CF - ARG 1</v>
      </c>
      <c r="BH832" s="148" t="str">
        <f t="shared" si="576"/>
        <v>11/26/2017 15:30-&gt;Hillel - Volleyball Out</v>
      </c>
      <c r="BI832" s="148" t="str">
        <f t="shared" si="577"/>
        <v>Newcomb in Hillel - Volleyball Out (USA1-ARG1)</v>
      </c>
      <c r="BJ832" s="148" t="str">
        <f t="shared" si="578"/>
        <v>Ch C Female Newcomb-- CHILD CF - USA 1 vs. CHILD CF - ARG 1</v>
      </c>
      <c r="BK832" s="148" t="str">
        <f t="shared" si="579"/>
        <v>Newcomb</v>
      </c>
      <c r="BL832" s="148" t="str">
        <f t="shared" si="580"/>
        <v>CHILD CF - USA 1</v>
      </c>
      <c r="BM832" s="148" t="str">
        <f t="shared" si="581"/>
        <v>CHILD CF - ARG 1</v>
      </c>
      <c r="BN832" s="148" t="str">
        <f t="shared" si="582"/>
        <v>Final</v>
      </c>
      <c r="BP832" s="148" t="str">
        <f t="shared" si="583"/>
        <v>11/26/2017 15:30-&gt;CHILDREN C FEMALE</v>
      </c>
      <c r="BQ832" s="148" t="str">
        <f t="shared" si="584"/>
        <v>Newcomb Final in Hillel - Volleyball Out</v>
      </c>
    </row>
    <row r="833" spans="1:69" ht="15" customHeight="1" x14ac:dyDescent="0.2">
      <c r="A833" s="376">
        <v>832</v>
      </c>
      <c r="B833" s="444" t="s">
        <v>44</v>
      </c>
      <c r="C833" s="444" t="s">
        <v>769</v>
      </c>
      <c r="D833" s="451">
        <v>1</v>
      </c>
      <c r="E833" s="451">
        <v>1</v>
      </c>
      <c r="F833" s="315" t="s">
        <v>770</v>
      </c>
      <c r="G833" s="445">
        <v>43065</v>
      </c>
      <c r="H833" s="454">
        <v>0.61111111111111105</v>
      </c>
      <c r="I833" s="325" t="s">
        <v>770</v>
      </c>
      <c r="J833" s="315" t="s">
        <v>709</v>
      </c>
      <c r="K833" s="441"/>
      <c r="L833" s="463" t="s">
        <v>580</v>
      </c>
      <c r="M833" s="441"/>
      <c r="N833" s="460" t="s">
        <v>581</v>
      </c>
      <c r="O833" s="153" t="str">
        <f>IF(L833&lt;&gt;"",IFERROR(VLOOKUP(B833&amp;L833,Pools!$A$2:$D$130,3,FALSE),""),"")</f>
        <v/>
      </c>
      <c r="P833" s="388">
        <v>26</v>
      </c>
      <c r="Q833" s="388">
        <v>5</v>
      </c>
      <c r="R833" s="306" t="str">
        <f t="shared" si="540"/>
        <v>26-5</v>
      </c>
      <c r="S833" s="153"/>
      <c r="T833" s="148" t="str">
        <f t="shared" si="541"/>
        <v>Completed</v>
      </c>
      <c r="U833" s="153"/>
      <c r="V833" s="153"/>
      <c r="W833" s="387">
        <f t="shared" si="542"/>
        <v>15</v>
      </c>
      <c r="X833" s="387">
        <f t="shared" si="543"/>
        <v>-15</v>
      </c>
      <c r="Y833" s="301">
        <f t="shared" si="544"/>
        <v>2</v>
      </c>
      <c r="Z833" s="301">
        <f t="shared" si="545"/>
        <v>0</v>
      </c>
      <c r="AA833" s="323" t="str">
        <f>CONCATENATE("                x[team1,team2,sport,'",IF(OR(I833="x",I833=""),VLOOKUP('Schedule from TM'!J835,Tables!$P$3:$Q$33,2,FALSE),'Schedule from TM'!I835),",",J833,"','",IF(OR(F833="x",F833=""),VLOOKUP('Schedule from TM'!G835,Tables!$U$3:$V$14,2,FALSE),'Schedule from TM'!F835),",",TEXT(G833,"mm/dd/yyyy"),"','",TEXT(H833,"h:mm:ss AM/PM"),"'].ub=0.0      #",B833)</f>
        <v xml:space="preserve">                x[team1,team2,sport,'21,JCC Basketball Out 2','21,11/26/2017','2:40:00 PM'].ub=0.0      #Ch C Male Basketball</v>
      </c>
      <c r="AB833" s="301" t="str">
        <f t="shared" si="546"/>
        <v>,,Ch C Male Basketball,,1,CHILD CM - VEN 1</v>
      </c>
      <c r="AC833" s="153" t="str">
        <f t="shared" si="547"/>
        <v>Ch C Male BasketballCHILD CM - VEN 1</v>
      </c>
      <c r="AD833" s="301" t="str">
        <f t="shared" si="548"/>
        <v>,,Ch C Male Basketball,,1,CHILD CM - VEN 2</v>
      </c>
      <c r="AE833" s="153" t="str">
        <f t="shared" si="549"/>
        <v>Ch C Male BasketballCHILD CM - VEN 2</v>
      </c>
      <c r="AF833" s="383">
        <f t="shared" si="550"/>
        <v>1</v>
      </c>
      <c r="AG833" s="383">
        <f t="shared" si="551"/>
        <v>0</v>
      </c>
      <c r="AH833" s="383">
        <f t="shared" si="552"/>
        <v>0</v>
      </c>
      <c r="AI833" s="383">
        <f t="shared" si="553"/>
        <v>0</v>
      </c>
      <c r="AJ833" s="383">
        <f t="shared" si="554"/>
        <v>1</v>
      </c>
      <c r="AK833" s="383">
        <f t="shared" si="555"/>
        <v>0</v>
      </c>
      <c r="AM833" s="148" t="str">
        <f t="shared" si="556"/>
        <v>Schedulled</v>
      </c>
      <c r="AN833" s="148" t="str">
        <f t="shared" si="557"/>
        <v/>
      </c>
      <c r="AO833" s="156">
        <f t="shared" si="558"/>
        <v>43065.611111111109</v>
      </c>
      <c r="AP833" s="148" t="str">
        <f t="shared" si="559"/>
        <v>11/26/2017 14:40-&gt;JCC Basketball Out 2</v>
      </c>
      <c r="AQ833" s="374">
        <f t="shared" si="560"/>
        <v>1</v>
      </c>
      <c r="AR833" s="148" t="str">
        <f t="shared" si="561"/>
        <v>VEN1</v>
      </c>
      <c r="AS833" s="148" t="str">
        <f t="shared" si="562"/>
        <v>VEN2</v>
      </c>
      <c r="AT833" s="157" t="str">
        <f t="shared" si="563"/>
        <v>VEN1-VEN2</v>
      </c>
      <c r="AU833" s="157" t="str">
        <f t="shared" si="564"/>
        <v>VEN1-VEN2 Basketball Final</v>
      </c>
      <c r="AV833" s="157" t="str">
        <f t="shared" si="565"/>
        <v>CHILDREN C MALE</v>
      </c>
      <c r="AW833" s="157" t="str">
        <f t="shared" si="566"/>
        <v>Basketball</v>
      </c>
      <c r="AX833" s="376">
        <f t="shared" si="567"/>
        <v>832</v>
      </c>
      <c r="AY833" s="148" t="str">
        <f t="shared" si="568"/>
        <v>CHILD CM - VEN 1-&gt;CHILD CM - VEN 2</v>
      </c>
      <c r="AZ833" s="148" t="str">
        <f t="shared" si="569"/>
        <v>11/26/2017 14:40-&gt;CHILD CM - VEN 1</v>
      </c>
      <c r="BA833" s="148" t="str">
        <f t="shared" si="570"/>
        <v>11/26/2017 14:40-&gt;CHILD CM - VEN 2</v>
      </c>
      <c r="BB833" s="374">
        <f t="shared" si="571"/>
        <v>1</v>
      </c>
      <c r="BC833" s="374">
        <f t="shared" si="572"/>
        <v>1</v>
      </c>
      <c r="BD833" s="148" t="str">
        <f t="shared" si="573"/>
        <v>no conflict</v>
      </c>
      <c r="BF833" s="148" t="str">
        <f t="shared" si="574"/>
        <v>11/26/2017 14:40-&gt;CHILD CM - VEN 1</v>
      </c>
      <c r="BG833" s="148" t="str">
        <f t="shared" si="575"/>
        <v>11/26/2017 14:40-&gt;CHILD CM - VEN 2</v>
      </c>
      <c r="BH833" s="148" t="str">
        <f t="shared" si="576"/>
        <v>11/26/2017 14:40-&gt;JCC Basketball Out 2</v>
      </c>
      <c r="BI833" s="148" t="str">
        <f t="shared" si="577"/>
        <v>Basketball in JCC Basketball Out 2 (VEN1-VEN2)</v>
      </c>
      <c r="BJ833" s="148" t="str">
        <f t="shared" si="578"/>
        <v>Ch C Male Basketball-- CHILD CM - VEN 1 vs. CHILD CM - VEN 2</v>
      </c>
      <c r="BK833" s="148" t="str">
        <f t="shared" si="579"/>
        <v>Basketball</v>
      </c>
      <c r="BL833" s="148" t="str">
        <f t="shared" si="580"/>
        <v>CHILD CM - VEN 1</v>
      </c>
      <c r="BM833" s="148" t="str">
        <f t="shared" si="581"/>
        <v>CHILD CM - VEN 2</v>
      </c>
      <c r="BN833" s="148" t="str">
        <f t="shared" si="582"/>
        <v>Final</v>
      </c>
      <c r="BP833" s="148" t="str">
        <f t="shared" si="583"/>
        <v>11/26/2017 14:40-&gt;CHILDREN C MALE</v>
      </c>
      <c r="BQ833" s="148" t="str">
        <f t="shared" si="584"/>
        <v>Basketball Final in JCC Basketball Out 2</v>
      </c>
    </row>
    <row r="834" spans="1:69" ht="15" customHeight="1" x14ac:dyDescent="0.2">
      <c r="A834" s="376">
        <v>833</v>
      </c>
      <c r="B834" s="315" t="s">
        <v>46</v>
      </c>
      <c r="C834" s="315" t="s">
        <v>769</v>
      </c>
      <c r="D834" s="378">
        <v>1</v>
      </c>
      <c r="E834" s="378">
        <v>1</v>
      </c>
      <c r="F834" s="315" t="s">
        <v>770</v>
      </c>
      <c r="G834" s="316">
        <v>43065</v>
      </c>
      <c r="H834" s="454">
        <v>0.64583333333333337</v>
      </c>
      <c r="I834" s="325" t="s">
        <v>770</v>
      </c>
      <c r="J834" s="444" t="s">
        <v>703</v>
      </c>
      <c r="K834" s="315"/>
      <c r="L834" s="463" t="s">
        <v>580</v>
      </c>
      <c r="M834"/>
      <c r="N834" s="463" t="s">
        <v>581</v>
      </c>
      <c r="O834" s="153" t="str">
        <f>IF(L834&lt;&gt;"",IFERROR(VLOOKUP(B834&amp;L834,Pools!$A$2:$D$130,3,FALSE),""),"")</f>
        <v/>
      </c>
      <c r="P834" s="388"/>
      <c r="Q834" s="388"/>
      <c r="R834" s="306" t="str">
        <f t="shared" si="540"/>
        <v>-</v>
      </c>
      <c r="S834" s="153"/>
      <c r="T834" s="148" t="str">
        <f t="shared" si="541"/>
        <v>Pending</v>
      </c>
      <c r="U834" s="153"/>
      <c r="V834" s="153"/>
      <c r="W834" s="387">
        <f t="shared" si="542"/>
        <v>0</v>
      </c>
      <c r="X834" s="387">
        <f t="shared" si="543"/>
        <v>0</v>
      </c>
      <c r="Y834" s="301" t="str">
        <f t="shared" si="544"/>
        <v>X</v>
      </c>
      <c r="Z834" s="301" t="str">
        <f t="shared" si="545"/>
        <v>X</v>
      </c>
      <c r="AA834" s="323" t="str">
        <f>CONCATENATE("                x[team1,team2,sport,'",IF(OR(I834="x",I834=""),VLOOKUP('Schedule from TM'!J836,Tables!$P$3:$Q$33,2,FALSE),'Schedule from TM'!I836),",",J834,"','",IF(OR(F834="x",F834=""),VLOOKUP('Schedule from TM'!G836,Tables!$U$3:$V$14,2,FALSE),'Schedule from TM'!F836),",",TEXT(G834,"mm/dd/yyyy"),"','",TEXT(H834,"h:mm:ss AM/PM"),"'].ub=0.0      #",B834)</f>
        <v xml:space="preserve">                x[team1,team2,sport,'11,Hillel - Field 1','21,11/26/2017','3:30:00 PM'].ub=0.0      #Ch C Male Flag Football</v>
      </c>
      <c r="AB834" s="301" t="str">
        <f t="shared" si="546"/>
        <v>,,Ch C Male Flag Football,,1,CHILD CM - VEN 1</v>
      </c>
      <c r="AC834" s="153" t="str">
        <f t="shared" si="547"/>
        <v>Ch C Male Flag FootballCHILD CM - VEN 1</v>
      </c>
      <c r="AD834" s="301" t="str">
        <f t="shared" si="548"/>
        <v>,,Ch C Male Flag Football,,1,CHILD CM - VEN 2</v>
      </c>
      <c r="AE834" s="153" t="str">
        <f t="shared" si="549"/>
        <v>Ch C Male Flag FootballCHILD CM - VEN 2</v>
      </c>
      <c r="AF834" s="383">
        <f t="shared" si="550"/>
        <v>0</v>
      </c>
      <c r="AG834" s="383">
        <f t="shared" si="551"/>
        <v>0</v>
      </c>
      <c r="AH834" s="383">
        <f t="shared" si="552"/>
        <v>0</v>
      </c>
      <c r="AI834" s="383">
        <f t="shared" si="553"/>
        <v>0</v>
      </c>
      <c r="AJ834" s="383">
        <f t="shared" si="554"/>
        <v>0</v>
      </c>
      <c r="AK834" s="383">
        <f t="shared" si="555"/>
        <v>0</v>
      </c>
      <c r="AM834" s="148" t="str">
        <f t="shared" si="556"/>
        <v>Schedulled</v>
      </c>
      <c r="AN834" s="148" t="str">
        <f t="shared" si="557"/>
        <v/>
      </c>
      <c r="AO834" s="156">
        <f t="shared" si="558"/>
        <v>43065.645833333336</v>
      </c>
      <c r="AP834" s="148" t="str">
        <f t="shared" si="559"/>
        <v>11/26/2017 15:30-&gt;Hillel - Field 1</v>
      </c>
      <c r="AQ834" s="374">
        <f t="shared" si="560"/>
        <v>1</v>
      </c>
      <c r="AR834" s="148" t="str">
        <f t="shared" si="561"/>
        <v>VEN1</v>
      </c>
      <c r="AS834" s="148" t="str">
        <f t="shared" si="562"/>
        <v>VEN2</v>
      </c>
      <c r="AT834" s="157" t="str">
        <f t="shared" si="563"/>
        <v>VEN1-VEN2</v>
      </c>
      <c r="AU834" s="157" t="str">
        <f t="shared" si="564"/>
        <v>VEN1-VEN2 Flag Football Final</v>
      </c>
      <c r="AV834" s="157" t="str">
        <f t="shared" si="565"/>
        <v>CHILDREN C MALE</v>
      </c>
      <c r="AW834" s="157" t="str">
        <f t="shared" si="566"/>
        <v>Flag Football</v>
      </c>
      <c r="AX834" s="376">
        <f t="shared" si="567"/>
        <v>833</v>
      </c>
      <c r="AY834" s="148" t="str">
        <f t="shared" si="568"/>
        <v>CHILD CM - VEN 1-&gt;CHILD CM - VEN 2</v>
      </c>
      <c r="AZ834" s="148" t="str">
        <f t="shared" si="569"/>
        <v>11/26/2017 15:30-&gt;CHILD CM - VEN 1</v>
      </c>
      <c r="BA834" s="148" t="str">
        <f t="shared" si="570"/>
        <v>11/26/2017 15:30-&gt;CHILD CM - VEN 2</v>
      </c>
      <c r="BB834" s="374">
        <f t="shared" si="571"/>
        <v>1</v>
      </c>
      <c r="BC834" s="374">
        <f t="shared" si="572"/>
        <v>1</v>
      </c>
      <c r="BD834" s="148" t="str">
        <f t="shared" si="573"/>
        <v>no conflict</v>
      </c>
      <c r="BF834" s="148" t="str">
        <f t="shared" si="574"/>
        <v>11/26/2017 15:30-&gt;CHILD CM - VEN 1</v>
      </c>
      <c r="BG834" s="148" t="str">
        <f t="shared" si="575"/>
        <v>11/26/2017 15:30-&gt;CHILD CM - VEN 2</v>
      </c>
      <c r="BH834" s="148" t="str">
        <f t="shared" si="576"/>
        <v>11/26/2017 15:30-&gt;Hillel - Field 1</v>
      </c>
      <c r="BI834" s="148" t="str">
        <f t="shared" si="577"/>
        <v>Flag Football in Hillel - Field 1 (VEN1-VEN2)</v>
      </c>
      <c r="BJ834" s="148" t="str">
        <f t="shared" si="578"/>
        <v>Ch C Male Flag Football-- CHILD CM - VEN 1 vs. CHILD CM - VEN 2</v>
      </c>
      <c r="BK834" s="148" t="str">
        <f t="shared" si="579"/>
        <v>Flag Football</v>
      </c>
      <c r="BL834" s="148" t="str">
        <f t="shared" si="580"/>
        <v>CHILD CM - VEN 1</v>
      </c>
      <c r="BM834" s="148" t="str">
        <f t="shared" si="581"/>
        <v>CHILD CM - VEN 2</v>
      </c>
      <c r="BN834" s="148" t="str">
        <f t="shared" si="582"/>
        <v>Final</v>
      </c>
      <c r="BP834" s="148" t="str">
        <f t="shared" si="583"/>
        <v>11/26/2017 15:30-&gt;CHILDREN C MALE</v>
      </c>
      <c r="BQ834" s="148" t="str">
        <f t="shared" si="584"/>
        <v>Flag Football Final in Hillel - Field 1</v>
      </c>
    </row>
    <row r="835" spans="1:69" ht="15" customHeight="1" x14ac:dyDescent="0.2">
      <c r="A835" s="376">
        <v>834</v>
      </c>
      <c r="B835" s="315" t="s">
        <v>47</v>
      </c>
      <c r="C835" s="315" t="s">
        <v>769</v>
      </c>
      <c r="D835" s="378">
        <v>1</v>
      </c>
      <c r="E835" s="378">
        <v>1</v>
      </c>
      <c r="F835" s="315" t="s">
        <v>770</v>
      </c>
      <c r="G835" s="316">
        <v>43065</v>
      </c>
      <c r="H835" s="454">
        <v>0.50694444444444442</v>
      </c>
      <c r="I835" s="325" t="s">
        <v>770</v>
      </c>
      <c r="J835" s="315" t="s">
        <v>703</v>
      </c>
      <c r="K835" s="315"/>
      <c r="L835" s="463" t="s">
        <v>580</v>
      </c>
      <c r="M835"/>
      <c r="N835" s="460" t="s">
        <v>572</v>
      </c>
      <c r="O835" s="153" t="str">
        <f>IF(L835&lt;&gt;"",IFERROR(VLOOKUP(B835&amp;L835,Pools!$A$2:$D$130,3,FALSE),""),"")</f>
        <v/>
      </c>
      <c r="P835" s="388">
        <v>11</v>
      </c>
      <c r="Q835" s="388">
        <v>5</v>
      </c>
      <c r="R835" s="306" t="str">
        <f t="shared" si="540"/>
        <v>11-5</v>
      </c>
      <c r="S835" s="153"/>
      <c r="T835" s="148" t="str">
        <f t="shared" si="541"/>
        <v>Completed</v>
      </c>
      <c r="U835" s="153"/>
      <c r="V835" s="153"/>
      <c r="W835" s="387">
        <f t="shared" si="542"/>
        <v>5</v>
      </c>
      <c r="X835" s="387">
        <f t="shared" si="543"/>
        <v>-5</v>
      </c>
      <c r="Y835" s="301">
        <f t="shared" si="544"/>
        <v>2</v>
      </c>
      <c r="Z835" s="301">
        <f t="shared" si="545"/>
        <v>0</v>
      </c>
      <c r="AA835" s="323" t="str">
        <f>CONCATENATE("                x[team1,team2,sport,'",IF(OR(I835="x",I835=""),VLOOKUP('Schedule from TM'!J837,Tables!$P$3:$Q$33,2,FALSE),'Schedule from TM'!I837),",",J835,"','",IF(OR(F835="x",F835=""),VLOOKUP('Schedule from TM'!G837,Tables!$U$3:$V$14,2,FALSE),'Schedule from TM'!F837),",",TEXT(G835,"mm/dd/yyyy"),"','",TEXT(H835,"h:mm:ss AM/PM"),"'].ub=0.0      #",B835)</f>
        <v xml:space="preserve">                x[team1,team2,sport,'21,Hillel - Field 1','21,11/26/2017','12:10:00 PM'].ub=0.0      #Ch C Male Kickball</v>
      </c>
      <c r="AB835" s="301" t="str">
        <f t="shared" si="546"/>
        <v>,,Ch C Male Kickball,,1,CHILD CM - VEN 1</v>
      </c>
      <c r="AC835" s="153" t="str">
        <f t="shared" si="547"/>
        <v>Ch C Male KickballCHILD CM - VEN 1</v>
      </c>
      <c r="AD835" s="301" t="str">
        <f t="shared" si="548"/>
        <v>,,Ch C Male Kickball,,1,CHILD CM - ARG 1</v>
      </c>
      <c r="AE835" s="153" t="str">
        <f t="shared" si="549"/>
        <v>Ch C Male KickballCHILD CM - ARG 1</v>
      </c>
      <c r="AF835" s="383">
        <f t="shared" si="550"/>
        <v>1</v>
      </c>
      <c r="AG835" s="383">
        <f t="shared" si="551"/>
        <v>0</v>
      </c>
      <c r="AH835" s="383">
        <f t="shared" si="552"/>
        <v>0</v>
      </c>
      <c r="AI835" s="383">
        <f t="shared" si="553"/>
        <v>0</v>
      </c>
      <c r="AJ835" s="383">
        <f t="shared" si="554"/>
        <v>1</v>
      </c>
      <c r="AK835" s="383">
        <f t="shared" si="555"/>
        <v>0</v>
      </c>
      <c r="AM835" s="148" t="str">
        <f t="shared" si="556"/>
        <v>Schedulled</v>
      </c>
      <c r="AN835" s="148" t="str">
        <f t="shared" si="557"/>
        <v/>
      </c>
      <c r="AO835" s="156">
        <f t="shared" si="558"/>
        <v>43065.506944444445</v>
      </c>
      <c r="AP835" s="148" t="str">
        <f t="shared" si="559"/>
        <v>11/26/2017 12:10-&gt;Hillel - Field 1</v>
      </c>
      <c r="AQ835" s="374">
        <f t="shared" si="560"/>
        <v>1</v>
      </c>
      <c r="AR835" s="148" t="str">
        <f t="shared" si="561"/>
        <v>VEN1</v>
      </c>
      <c r="AS835" s="148" t="str">
        <f t="shared" si="562"/>
        <v>ARG1</v>
      </c>
      <c r="AT835" s="157" t="str">
        <f t="shared" si="563"/>
        <v>VEN1-ARG1</v>
      </c>
      <c r="AU835" s="157" t="str">
        <f t="shared" si="564"/>
        <v>VEN1-ARG1 Kickball Final</v>
      </c>
      <c r="AV835" s="157" t="str">
        <f t="shared" si="565"/>
        <v>CHILDREN C MALE</v>
      </c>
      <c r="AW835" s="157" t="str">
        <f t="shared" si="566"/>
        <v>Kickball</v>
      </c>
      <c r="AX835" s="376">
        <f t="shared" si="567"/>
        <v>834</v>
      </c>
      <c r="AY835" s="148" t="str">
        <f t="shared" si="568"/>
        <v>CHILD CM - VEN 1-&gt;CHILD CM - ARG 1</v>
      </c>
      <c r="AZ835" s="148" t="str">
        <f t="shared" si="569"/>
        <v>11/26/2017 12:10-&gt;CHILD CM - VEN 1</v>
      </c>
      <c r="BA835" s="148" t="str">
        <f t="shared" si="570"/>
        <v>11/26/2017 12:10-&gt;CHILD CM - ARG 1</v>
      </c>
      <c r="BB835" s="374">
        <f t="shared" si="571"/>
        <v>1</v>
      </c>
      <c r="BC835" s="374">
        <f t="shared" si="572"/>
        <v>1</v>
      </c>
      <c r="BD835" s="148" t="str">
        <f t="shared" si="573"/>
        <v>no conflict</v>
      </c>
      <c r="BF835" s="148" t="str">
        <f t="shared" si="574"/>
        <v>11/26/2017 12:10-&gt;CHILD CM - VEN 1</v>
      </c>
      <c r="BG835" s="148" t="str">
        <f t="shared" si="575"/>
        <v>11/26/2017 12:10-&gt;CHILD CM - ARG 1</v>
      </c>
      <c r="BH835" s="148" t="str">
        <f t="shared" si="576"/>
        <v>11/26/2017 12:10-&gt;Hillel - Field 1</v>
      </c>
      <c r="BI835" s="148" t="str">
        <f t="shared" si="577"/>
        <v>Kickball in Hillel - Field 1 (VEN1-ARG1)</v>
      </c>
      <c r="BJ835" s="148" t="str">
        <f t="shared" si="578"/>
        <v>Ch C Male Kickball-- CHILD CM - VEN 1 vs. CHILD CM - ARG 1</v>
      </c>
      <c r="BK835" s="148" t="str">
        <f t="shared" si="579"/>
        <v>Kickball</v>
      </c>
      <c r="BL835" s="148" t="str">
        <f t="shared" si="580"/>
        <v>CHILD CM - VEN 1</v>
      </c>
      <c r="BM835" s="148" t="str">
        <f t="shared" si="581"/>
        <v>CHILD CM - ARG 1</v>
      </c>
      <c r="BN835" s="148" t="str">
        <f t="shared" si="582"/>
        <v>Final</v>
      </c>
      <c r="BP835" s="148" t="str">
        <f t="shared" si="583"/>
        <v>11/26/2017 12:10-&gt;CHILDREN C MALE</v>
      </c>
      <c r="BQ835" s="148" t="str">
        <f t="shared" si="584"/>
        <v>Kickball Final in Hillel - Field 1</v>
      </c>
    </row>
    <row r="836" spans="1:69" ht="15" customHeight="1" x14ac:dyDescent="0.2">
      <c r="A836" s="376">
        <v>835</v>
      </c>
      <c r="B836" s="444" t="s">
        <v>43</v>
      </c>
      <c r="C836" s="444" t="s">
        <v>769</v>
      </c>
      <c r="D836" s="451">
        <v>1</v>
      </c>
      <c r="E836" s="451">
        <v>1</v>
      </c>
      <c r="F836" s="315" t="s">
        <v>770</v>
      </c>
      <c r="G836" s="445">
        <v>43065</v>
      </c>
      <c r="H836" s="454">
        <v>0.57638888888888895</v>
      </c>
      <c r="I836" s="325" t="s">
        <v>770</v>
      </c>
      <c r="J836" s="315" t="s">
        <v>695</v>
      </c>
      <c r="K836" s="444"/>
      <c r="L836" s="463" t="s">
        <v>581</v>
      </c>
      <c r="M836"/>
      <c r="N836" s="463" t="s">
        <v>580</v>
      </c>
      <c r="O836" s="153" t="str">
        <f>IF(L836&lt;&gt;"",IFERROR(VLOOKUP(B836&amp;L836,Pools!$A$2:$D$130,3,FALSE),""),"")</f>
        <v/>
      </c>
      <c r="P836" s="388">
        <v>0</v>
      </c>
      <c r="Q836" s="388">
        <v>1</v>
      </c>
      <c r="R836" s="306" t="str">
        <f t="shared" si="540"/>
        <v>0-1</v>
      </c>
      <c r="S836" s="153"/>
      <c r="T836" s="148" t="str">
        <f t="shared" si="541"/>
        <v>Completed</v>
      </c>
      <c r="U836" s="153"/>
      <c r="V836" s="153"/>
      <c r="W836" s="387">
        <f t="shared" si="542"/>
        <v>-1</v>
      </c>
      <c r="X836" s="387">
        <f t="shared" si="543"/>
        <v>1</v>
      </c>
      <c r="Y836" s="301">
        <f t="shared" si="544"/>
        <v>0</v>
      </c>
      <c r="Z836" s="301">
        <f t="shared" si="545"/>
        <v>2</v>
      </c>
      <c r="AA836" s="323" t="str">
        <f>CONCATENATE("                x[team1,team2,sport,'",IF(OR(I836="x",I836=""),VLOOKUP('Schedule from TM'!J838,Tables!$P$3:$Q$33,2,FALSE),'Schedule from TM'!I838),",",J836,"','",IF(OR(F836="x",F836=""),VLOOKUP('Schedule from TM'!G838,Tables!$U$3:$V$14,2,FALSE),'Schedule from TM'!F838),",",TEXT(G836,"mm/dd/yyyy"),"','",TEXT(H836,"h:mm:ss AM/PM"),"'].ub=0.0      #",B836)</f>
        <v xml:space="preserve">                x[team1,team2,sport,'21,JCC Back Field 1','21,11/26/2017','1:50:00 PM'].ub=0.0      #Ch C Male Mini Soccer</v>
      </c>
      <c r="AB836" s="301" t="str">
        <f t="shared" si="546"/>
        <v>,,Ch C Male Mini Soccer,,1,CHILD CM - VEN 2</v>
      </c>
      <c r="AC836" s="153" t="str">
        <f t="shared" si="547"/>
        <v>Ch C Male Mini SoccerCHILD CM - VEN 2</v>
      </c>
      <c r="AD836" s="301" t="str">
        <f t="shared" si="548"/>
        <v>,,Ch C Male Mini Soccer,,1,CHILD CM - VEN 1</v>
      </c>
      <c r="AE836" s="153" t="str">
        <f t="shared" si="549"/>
        <v>Ch C Male Mini SoccerCHILD CM - VEN 1</v>
      </c>
      <c r="AF836" s="383">
        <f t="shared" si="550"/>
        <v>0</v>
      </c>
      <c r="AG836" s="383">
        <f t="shared" si="551"/>
        <v>1</v>
      </c>
      <c r="AH836" s="383">
        <f t="shared" si="552"/>
        <v>0</v>
      </c>
      <c r="AI836" s="383">
        <f t="shared" si="553"/>
        <v>1</v>
      </c>
      <c r="AJ836" s="383">
        <f t="shared" si="554"/>
        <v>0</v>
      </c>
      <c r="AK836" s="383">
        <f t="shared" si="555"/>
        <v>0</v>
      </c>
      <c r="AM836" s="148" t="str">
        <f t="shared" si="556"/>
        <v>Schedulled</v>
      </c>
      <c r="AN836" s="148" t="str">
        <f t="shared" si="557"/>
        <v/>
      </c>
      <c r="AO836" s="156">
        <f t="shared" si="558"/>
        <v>43065.576388888891</v>
      </c>
      <c r="AP836" s="148" t="str">
        <f t="shared" si="559"/>
        <v>11/26/2017 13:50-&gt;JCC Back Field 1</v>
      </c>
      <c r="AQ836" s="374">
        <f t="shared" si="560"/>
        <v>1</v>
      </c>
      <c r="AR836" s="148" t="str">
        <f t="shared" si="561"/>
        <v>VEN2</v>
      </c>
      <c r="AS836" s="148" t="str">
        <f t="shared" si="562"/>
        <v>VEN1</v>
      </c>
      <c r="AT836" s="157" t="str">
        <f t="shared" si="563"/>
        <v>VEN2-VEN1</v>
      </c>
      <c r="AU836" s="157" t="str">
        <f t="shared" si="564"/>
        <v>VEN2-VEN1 Soccer Final</v>
      </c>
      <c r="AV836" s="157" t="str">
        <f t="shared" si="565"/>
        <v>CHILDREN C MALE</v>
      </c>
      <c r="AW836" s="157" t="str">
        <f t="shared" si="566"/>
        <v>Soccer</v>
      </c>
      <c r="AX836" s="376">
        <f t="shared" si="567"/>
        <v>835</v>
      </c>
      <c r="AY836" s="148" t="str">
        <f t="shared" si="568"/>
        <v>CHILD CM - VEN 2-&gt;CHILD CM - VEN 1</v>
      </c>
      <c r="AZ836" s="148" t="str">
        <f t="shared" si="569"/>
        <v>11/26/2017 13:50-&gt;CHILD CM - VEN 2</v>
      </c>
      <c r="BA836" s="148" t="str">
        <f t="shared" si="570"/>
        <v>11/26/2017 13:50-&gt;CHILD CM - VEN 1</v>
      </c>
      <c r="BB836" s="374">
        <f t="shared" si="571"/>
        <v>1</v>
      </c>
      <c r="BC836" s="374">
        <f t="shared" si="572"/>
        <v>1</v>
      </c>
      <c r="BD836" s="148" t="str">
        <f t="shared" si="573"/>
        <v>no conflict</v>
      </c>
      <c r="BF836" s="148" t="str">
        <f t="shared" si="574"/>
        <v>11/26/2017 13:50-&gt;CHILD CM - VEN 2</v>
      </c>
      <c r="BG836" s="148" t="str">
        <f t="shared" si="575"/>
        <v>11/26/2017 13:50-&gt;CHILD CM - VEN 1</v>
      </c>
      <c r="BH836" s="148" t="str">
        <f t="shared" si="576"/>
        <v>11/26/2017 13:50-&gt;JCC Back Field 1</v>
      </c>
      <c r="BI836" s="148" t="str">
        <f t="shared" si="577"/>
        <v>Soccer in JCC Back Field 1 (VEN2-VEN1)</v>
      </c>
      <c r="BJ836" s="148" t="str">
        <f t="shared" si="578"/>
        <v>Ch C Male Mini Soccer-- CHILD CM - VEN 2 vs. CHILD CM - VEN 1</v>
      </c>
      <c r="BK836" s="148" t="str">
        <f t="shared" si="579"/>
        <v>Soccer</v>
      </c>
      <c r="BL836" s="148" t="str">
        <f t="shared" si="580"/>
        <v>CHILD CM - VEN 2</v>
      </c>
      <c r="BM836" s="148" t="str">
        <f t="shared" si="581"/>
        <v>CHILD CM - VEN 1</v>
      </c>
      <c r="BN836" s="148" t="str">
        <f t="shared" si="582"/>
        <v>Final</v>
      </c>
      <c r="BP836" s="148" t="str">
        <f t="shared" si="583"/>
        <v>11/26/2017 13:50-&gt;CHILDREN C MALE</v>
      </c>
      <c r="BQ836" s="148" t="str">
        <f t="shared" si="584"/>
        <v>Soccer Final in JCC Back Field 1</v>
      </c>
    </row>
    <row r="837" spans="1:69" ht="15" customHeight="1" x14ac:dyDescent="0.2">
      <c r="A837" s="376">
        <v>836</v>
      </c>
      <c r="B837" s="444" t="s">
        <v>49</v>
      </c>
      <c r="C837" s="315" t="s">
        <v>769</v>
      </c>
      <c r="D837" s="378">
        <v>1</v>
      </c>
      <c r="E837" s="378">
        <v>1</v>
      </c>
      <c r="F837" s="315" t="s">
        <v>770</v>
      </c>
      <c r="G837" s="316">
        <v>43065</v>
      </c>
      <c r="H837" s="454">
        <v>0.64583333333333337</v>
      </c>
      <c r="I837" s="325" t="s">
        <v>770</v>
      </c>
      <c r="J837" s="444" t="s">
        <v>707</v>
      </c>
      <c r="K837" s="315"/>
      <c r="L837" s="464" t="s">
        <v>583</v>
      </c>
      <c r="M837"/>
      <c r="N837" s="460" t="s">
        <v>586</v>
      </c>
      <c r="O837" s="153" t="str">
        <f>IF(L837&lt;&gt;"",IFERROR(VLOOKUP(B837&amp;L837,Pools!$A$2:$D$130,3,FALSE),""),"")</f>
        <v>Pool A</v>
      </c>
      <c r="P837" s="388"/>
      <c r="Q837" s="388"/>
      <c r="R837" s="306" t="str">
        <f t="shared" si="540"/>
        <v>-</v>
      </c>
      <c r="S837" s="153"/>
      <c r="T837" s="148" t="str">
        <f t="shared" si="541"/>
        <v>Pending</v>
      </c>
      <c r="U837" s="153"/>
      <c r="V837" s="153"/>
      <c r="W837" s="387">
        <f t="shared" si="542"/>
        <v>0</v>
      </c>
      <c r="X837" s="387">
        <f t="shared" si="543"/>
        <v>0</v>
      </c>
      <c r="Y837" s="301" t="str">
        <f t="shared" si="544"/>
        <v>X</v>
      </c>
      <c r="Z837" s="301" t="str">
        <f t="shared" si="545"/>
        <v>X</v>
      </c>
      <c r="AA837" s="323" t="str">
        <f>CONCATENATE("                x[team1,team2,sport,'",IF(OR(I837="x",I837=""),VLOOKUP('Schedule from TM'!J839,Tables!$P$3:$Q$33,2,FALSE),'Schedule from TM'!I839),",",J837,"','",IF(OR(F837="x",F837=""),VLOOKUP('Schedule from TM'!G839,Tables!$U$3:$V$14,2,FALSE),'Schedule from TM'!F839),",",TEXT(G837,"mm/dd/yyyy"),"','",TEXT(H837,"h:mm:ss AM/PM"),"'].ub=0.0      #",B837)</f>
        <v xml:space="preserve">                x[team1,team2,sport,'11,Hillel - Gym Basketball','21,11/26/2017','3:30:00 PM'].ub=0.0      #Ch D Female Basketball</v>
      </c>
      <c r="AB837" s="301" t="str">
        <f t="shared" si="546"/>
        <v>,,Ch D Female Basketball,Pool A,1,CHILD DF - ARG 1</v>
      </c>
      <c r="AC837" s="153" t="str">
        <f t="shared" si="547"/>
        <v>Ch D Female BasketballPool ACHILD DF - ARG 1</v>
      </c>
      <c r="AD837" s="301" t="str">
        <f t="shared" si="548"/>
        <v>,,Ch D Female Basketball,Pool A,1,CHILD DF - COL 1</v>
      </c>
      <c r="AE837" s="153" t="str">
        <f t="shared" si="549"/>
        <v>Ch D Female BasketballPool ACHILD DF - COL 1</v>
      </c>
      <c r="AF837" s="383">
        <f t="shared" si="550"/>
        <v>0</v>
      </c>
      <c r="AG837" s="383">
        <f t="shared" si="551"/>
        <v>0</v>
      </c>
      <c r="AH837" s="383">
        <f t="shared" si="552"/>
        <v>0</v>
      </c>
      <c r="AI837" s="383">
        <f t="shared" si="553"/>
        <v>0</v>
      </c>
      <c r="AJ837" s="383">
        <f t="shared" si="554"/>
        <v>0</v>
      </c>
      <c r="AK837" s="383">
        <f t="shared" si="555"/>
        <v>0</v>
      </c>
      <c r="AM837" s="148" t="str">
        <f t="shared" si="556"/>
        <v>Schedulled</v>
      </c>
      <c r="AN837" s="148" t="str">
        <f t="shared" si="557"/>
        <v/>
      </c>
      <c r="AO837" s="156">
        <f t="shared" si="558"/>
        <v>43065.645833333336</v>
      </c>
      <c r="AP837" s="148" t="str">
        <f t="shared" si="559"/>
        <v>11/26/2017 15:30-&gt;Hillel - Gym Basketball</v>
      </c>
      <c r="AQ837" s="374">
        <f t="shared" si="560"/>
        <v>1</v>
      </c>
      <c r="AR837" s="148" t="str">
        <f t="shared" si="561"/>
        <v>ARG1</v>
      </c>
      <c r="AS837" s="148" t="str">
        <f t="shared" si="562"/>
        <v>COL1</v>
      </c>
      <c r="AT837" s="157" t="str">
        <f t="shared" si="563"/>
        <v>ARG1-COL1</v>
      </c>
      <c r="AU837" s="157" t="str">
        <f t="shared" si="564"/>
        <v>ARG1-COL1 Basketball Final</v>
      </c>
      <c r="AV837" s="157" t="str">
        <f t="shared" si="565"/>
        <v>CHILDREN D FEMALE</v>
      </c>
      <c r="AW837" s="157" t="str">
        <f t="shared" si="566"/>
        <v>Basketball</v>
      </c>
      <c r="AX837" s="376">
        <f t="shared" si="567"/>
        <v>836</v>
      </c>
      <c r="AY837" s="148" t="str">
        <f t="shared" si="568"/>
        <v>CHILD DF - ARG 1-&gt;CHILD DF - COL 1</v>
      </c>
      <c r="AZ837" s="148" t="str">
        <f t="shared" si="569"/>
        <v>11/26/2017 15:30-&gt;CHILD DF - ARG 1</v>
      </c>
      <c r="BA837" s="148" t="str">
        <f t="shared" si="570"/>
        <v>11/26/2017 15:30-&gt;CHILD DF - COL 1</v>
      </c>
      <c r="BB837" s="374">
        <f t="shared" si="571"/>
        <v>1</v>
      </c>
      <c r="BC837" s="374">
        <f t="shared" si="572"/>
        <v>1</v>
      </c>
      <c r="BD837" s="148" t="str">
        <f t="shared" si="573"/>
        <v>no conflict</v>
      </c>
      <c r="BF837" s="148" t="str">
        <f t="shared" si="574"/>
        <v>11/26/2017 15:30-&gt;CHILD DF - ARG 1</v>
      </c>
      <c r="BG837" s="148" t="str">
        <f t="shared" si="575"/>
        <v>11/26/2017 15:30-&gt;CHILD DF - COL 1</v>
      </c>
      <c r="BH837" s="148" t="str">
        <f t="shared" si="576"/>
        <v>11/26/2017 15:30-&gt;Hillel - Gym Basketball</v>
      </c>
      <c r="BI837" s="148" t="str">
        <f t="shared" si="577"/>
        <v>Basketball in Hillel - Gym Basketball (ARG1-COL1)</v>
      </c>
      <c r="BJ837" s="148" t="str">
        <f t="shared" si="578"/>
        <v>Ch D Female Basketball-- CHILD DF - ARG 1 vs. CHILD DF - COL 1</v>
      </c>
      <c r="BK837" s="148" t="str">
        <f t="shared" si="579"/>
        <v>Basketball</v>
      </c>
      <c r="BL837" s="148" t="str">
        <f t="shared" si="580"/>
        <v>CHILD DF - ARG 1</v>
      </c>
      <c r="BM837" s="148" t="str">
        <f t="shared" si="581"/>
        <v>CHILD DF - COL 1</v>
      </c>
      <c r="BN837" s="148" t="str">
        <f t="shared" si="582"/>
        <v>Final</v>
      </c>
      <c r="BP837" s="148" t="str">
        <f t="shared" si="583"/>
        <v>11/26/2017 15:30-&gt;CHILDREN D FEMALE</v>
      </c>
      <c r="BQ837" s="148" t="str">
        <f t="shared" si="584"/>
        <v>Basketball Final in Hillel - Gym Basketball</v>
      </c>
    </row>
    <row r="838" spans="1:69" ht="15" customHeight="1" x14ac:dyDescent="0.2">
      <c r="A838" s="376">
        <v>837</v>
      </c>
      <c r="B838" s="443" t="s">
        <v>52</v>
      </c>
      <c r="C838" s="315" t="s">
        <v>769</v>
      </c>
      <c r="D838" s="378">
        <v>1</v>
      </c>
      <c r="E838" s="378">
        <v>1</v>
      </c>
      <c r="F838" s="315" t="s">
        <v>770</v>
      </c>
      <c r="G838" s="316">
        <v>43065</v>
      </c>
      <c r="H838" s="454">
        <v>0.40277777777777773</v>
      </c>
      <c r="I838" s="325" t="s">
        <v>770</v>
      </c>
      <c r="J838" s="443" t="s">
        <v>706</v>
      </c>
      <c r="K838" s="315"/>
      <c r="L838" s="463" t="s">
        <v>587</v>
      </c>
      <c r="M838"/>
      <c r="N838" s="463" t="s">
        <v>583</v>
      </c>
      <c r="O838" s="153" t="str">
        <f>IF(L838&lt;&gt;"",IFERROR(VLOOKUP(B838&amp;L838,Pools!$A$2:$D$130,3,FALSE),""),"")</f>
        <v>Pool A</v>
      </c>
      <c r="P838" s="388">
        <v>9</v>
      </c>
      <c r="Q838" s="388">
        <v>8</v>
      </c>
      <c r="R838" s="306" t="str">
        <f t="shared" si="540"/>
        <v>9-8</v>
      </c>
      <c r="S838" s="153"/>
      <c r="T838" s="148" t="str">
        <f t="shared" si="541"/>
        <v>Completed</v>
      </c>
      <c r="U838" s="153"/>
      <c r="V838" s="153"/>
      <c r="W838" s="387">
        <f t="shared" si="542"/>
        <v>1</v>
      </c>
      <c r="X838" s="387">
        <f t="shared" si="543"/>
        <v>-1</v>
      </c>
      <c r="Y838" s="301">
        <f t="shared" si="544"/>
        <v>2</v>
      </c>
      <c r="Z838" s="301">
        <f t="shared" si="545"/>
        <v>0</v>
      </c>
      <c r="AA838" s="323" t="str">
        <f>CONCATENATE("                x[team1,team2,sport,'",IF(OR(I838="x",I838=""),VLOOKUP('Schedule from TM'!J840,Tables!$P$3:$Q$33,2,FALSE),'Schedule from TM'!I840),",",J838,"','",IF(OR(F838="x",F838=""),VLOOKUP('Schedule from TM'!G840,Tables!$U$3:$V$14,2,FALSE),'Schedule from TM'!F840),",",TEXT(G838,"mm/dd/yyyy"),"','",TEXT(H838,"h:mm:ss AM/PM"),"'].ub=0.0      #",B838)</f>
        <v xml:space="preserve">                x[team1,team2,sport,'21,Hillel - Field 4','21,11/26/2017','9:40:00 AM'].ub=0.0      #Ch D Female Kickball</v>
      </c>
      <c r="AB838" s="301" t="str">
        <f t="shared" si="546"/>
        <v>,,Ch D Female Kickball,Pool A,1,CHILD DF - USA 1</v>
      </c>
      <c r="AC838" s="153" t="str">
        <f t="shared" si="547"/>
        <v>Ch D Female KickballPool ACHILD DF - USA 1</v>
      </c>
      <c r="AD838" s="301" t="str">
        <f t="shared" si="548"/>
        <v>,,Ch D Female Kickball,Pool A,1,CHILD DF - ARG 1</v>
      </c>
      <c r="AE838" s="153" t="str">
        <f t="shared" si="549"/>
        <v>Ch D Female KickballPool ACHILD DF - ARG 1</v>
      </c>
      <c r="AF838" s="383">
        <f t="shared" si="550"/>
        <v>1</v>
      </c>
      <c r="AG838" s="383">
        <f t="shared" si="551"/>
        <v>0</v>
      </c>
      <c r="AH838" s="383">
        <f t="shared" si="552"/>
        <v>0</v>
      </c>
      <c r="AI838" s="383">
        <f t="shared" si="553"/>
        <v>0</v>
      </c>
      <c r="AJ838" s="383">
        <f t="shared" si="554"/>
        <v>1</v>
      </c>
      <c r="AK838" s="383">
        <f t="shared" si="555"/>
        <v>0</v>
      </c>
      <c r="AM838" s="148" t="str">
        <f t="shared" si="556"/>
        <v>Schedulled</v>
      </c>
      <c r="AN838" s="148" t="str">
        <f t="shared" si="557"/>
        <v/>
      </c>
      <c r="AO838" s="156">
        <f t="shared" si="558"/>
        <v>43065.402777777781</v>
      </c>
      <c r="AP838" s="148" t="str">
        <f t="shared" si="559"/>
        <v>11/26/2017 09:40-&gt;Hillel - Field 4</v>
      </c>
      <c r="AQ838" s="374">
        <f t="shared" si="560"/>
        <v>1</v>
      </c>
      <c r="AR838" s="148" t="str">
        <f t="shared" si="561"/>
        <v>USA1</v>
      </c>
      <c r="AS838" s="148" t="str">
        <f t="shared" si="562"/>
        <v>ARG1</v>
      </c>
      <c r="AT838" s="157" t="str">
        <f t="shared" si="563"/>
        <v>USA1-ARG1</v>
      </c>
      <c r="AU838" s="157" t="str">
        <f t="shared" si="564"/>
        <v>USA1-ARG1 Kickball Final</v>
      </c>
      <c r="AV838" s="157" t="str">
        <f t="shared" si="565"/>
        <v>CHILDREN D FEMALE</v>
      </c>
      <c r="AW838" s="157" t="str">
        <f t="shared" si="566"/>
        <v>Kickball</v>
      </c>
      <c r="AX838" s="376">
        <f t="shared" si="567"/>
        <v>837</v>
      </c>
      <c r="AY838" s="148" t="str">
        <f t="shared" si="568"/>
        <v>CHILD DF - USA 1-&gt;CHILD DF - ARG 1</v>
      </c>
      <c r="AZ838" s="148" t="str">
        <f t="shared" si="569"/>
        <v>11/26/2017 09:40-&gt;CHILD DF - USA 1</v>
      </c>
      <c r="BA838" s="148" t="str">
        <f t="shared" si="570"/>
        <v>11/26/2017 09:40-&gt;CHILD DF - ARG 1</v>
      </c>
      <c r="BB838" s="374">
        <f t="shared" si="571"/>
        <v>1</v>
      </c>
      <c r="BC838" s="374">
        <f t="shared" si="572"/>
        <v>1</v>
      </c>
      <c r="BD838" s="148" t="str">
        <f t="shared" si="573"/>
        <v>no conflict</v>
      </c>
      <c r="BF838" s="148" t="str">
        <f t="shared" si="574"/>
        <v>11/26/2017 09:40-&gt;CHILD DF - USA 1</v>
      </c>
      <c r="BG838" s="148" t="str">
        <f t="shared" si="575"/>
        <v>11/26/2017 09:40-&gt;CHILD DF - ARG 1</v>
      </c>
      <c r="BH838" s="148" t="str">
        <f t="shared" si="576"/>
        <v>11/26/2017 09:40-&gt;Hillel - Field 4</v>
      </c>
      <c r="BI838" s="148" t="str">
        <f t="shared" si="577"/>
        <v>Kickball in Hillel - Field 4 (USA1-ARG1)</v>
      </c>
      <c r="BJ838" s="148" t="str">
        <f t="shared" si="578"/>
        <v>Ch D Female Kickball-- CHILD DF - USA 1 vs. CHILD DF - ARG 1</v>
      </c>
      <c r="BK838" s="148" t="str">
        <f t="shared" si="579"/>
        <v>Kickball</v>
      </c>
      <c r="BL838" s="148" t="str">
        <f t="shared" si="580"/>
        <v>CHILD DF - USA 1</v>
      </c>
      <c r="BM838" s="148" t="str">
        <f t="shared" si="581"/>
        <v>CHILD DF - ARG 1</v>
      </c>
      <c r="BN838" s="148" t="str">
        <f t="shared" si="582"/>
        <v>Final</v>
      </c>
      <c r="BP838" s="148" t="str">
        <f t="shared" si="583"/>
        <v>11/26/2017 09:40-&gt;CHILDREN D FEMALE</v>
      </c>
      <c r="BQ838" s="148" t="str">
        <f t="shared" si="584"/>
        <v>Kickball Final in Hillel - Field 4</v>
      </c>
    </row>
    <row r="839" spans="1:69" ht="15" customHeight="1" x14ac:dyDescent="0.2">
      <c r="A839" s="376">
        <v>838</v>
      </c>
      <c r="B839" s="444" t="s">
        <v>48</v>
      </c>
      <c r="C839" s="315" t="s">
        <v>769</v>
      </c>
      <c r="D839" s="378">
        <v>1</v>
      </c>
      <c r="E839" s="378">
        <v>1</v>
      </c>
      <c r="F839" s="315" t="s">
        <v>770</v>
      </c>
      <c r="G839" s="316">
        <v>43065</v>
      </c>
      <c r="H839" s="454">
        <v>0.61111111111111105</v>
      </c>
      <c r="I839" s="325" t="s">
        <v>770</v>
      </c>
      <c r="J839" s="315" t="s">
        <v>695</v>
      </c>
      <c r="K839" s="315"/>
      <c r="L839" s="463" t="s">
        <v>583</v>
      </c>
      <c r="M839"/>
      <c r="N839" s="463" t="s">
        <v>586</v>
      </c>
      <c r="O839" s="153" t="str">
        <f>IF(L839&lt;&gt;"",IFERROR(VLOOKUP(B839&amp;L839,Pools!$A$2:$D$130,3,FALSE),""),"")</f>
        <v>Pool A</v>
      </c>
      <c r="P839" s="388">
        <v>0</v>
      </c>
      <c r="Q839" s="388">
        <v>2</v>
      </c>
      <c r="R839" s="306" t="str">
        <f t="shared" si="540"/>
        <v>0-2</v>
      </c>
      <c r="S839" s="153"/>
      <c r="T839" s="148" t="str">
        <f t="shared" si="541"/>
        <v>Completed</v>
      </c>
      <c r="U839" s="153"/>
      <c r="V839" s="153"/>
      <c r="W839" s="387">
        <f t="shared" si="542"/>
        <v>-2</v>
      </c>
      <c r="X839" s="387">
        <f t="shared" si="543"/>
        <v>2</v>
      </c>
      <c r="Y839" s="301">
        <f t="shared" si="544"/>
        <v>0</v>
      </c>
      <c r="Z839" s="301">
        <f t="shared" si="545"/>
        <v>2</v>
      </c>
      <c r="AA839" s="323" t="str">
        <f>CONCATENATE("                x[team1,team2,sport,'",IF(OR(I839="x",I839=""),VLOOKUP('Schedule from TM'!J841,Tables!$P$3:$Q$33,2,FALSE),'Schedule from TM'!I841),",",J839,"','",IF(OR(F839="x",F839=""),VLOOKUP('Schedule from TM'!G841,Tables!$U$3:$V$14,2,FALSE),'Schedule from TM'!F841),",",TEXT(G839,"mm/dd/yyyy"),"','",TEXT(H839,"h:mm:ss AM/PM"),"'].ub=0.0      #",B839)</f>
        <v xml:space="preserve">                x[team1,team2,sport,'11,JCC Back Field 1','21,11/26/2017','2:40:00 PM'].ub=0.0      #Ch D Female Mini Soccer</v>
      </c>
      <c r="AB839" s="301" t="str">
        <f t="shared" si="546"/>
        <v>,,Ch D Female Mini Soccer,Pool A,1,CHILD DF - ARG 1</v>
      </c>
      <c r="AC839" s="153" t="str">
        <f t="shared" si="547"/>
        <v>Ch D Female Mini SoccerPool ACHILD DF - ARG 1</v>
      </c>
      <c r="AD839" s="301" t="str">
        <f t="shared" si="548"/>
        <v>,,Ch D Female Mini Soccer,Pool A,1,CHILD DF - COL 1</v>
      </c>
      <c r="AE839" s="153" t="str">
        <f t="shared" si="549"/>
        <v>Ch D Female Mini SoccerPool ACHILD DF - COL 1</v>
      </c>
      <c r="AF839" s="383">
        <f t="shared" si="550"/>
        <v>0</v>
      </c>
      <c r="AG839" s="383">
        <f t="shared" si="551"/>
        <v>1</v>
      </c>
      <c r="AH839" s="383">
        <f t="shared" si="552"/>
        <v>0</v>
      </c>
      <c r="AI839" s="383">
        <f t="shared" si="553"/>
        <v>1</v>
      </c>
      <c r="AJ839" s="383">
        <f t="shared" si="554"/>
        <v>0</v>
      </c>
      <c r="AK839" s="383">
        <f t="shared" si="555"/>
        <v>0</v>
      </c>
      <c r="AM839" s="148" t="str">
        <f t="shared" si="556"/>
        <v>Schedulled</v>
      </c>
      <c r="AN839" s="148" t="str">
        <f t="shared" si="557"/>
        <v/>
      </c>
      <c r="AO839" s="156">
        <f t="shared" si="558"/>
        <v>43065.611111111109</v>
      </c>
      <c r="AP839" s="148" t="str">
        <f t="shared" si="559"/>
        <v>11/26/2017 14:40-&gt;JCC Back Field 1</v>
      </c>
      <c r="AQ839" s="374">
        <f t="shared" si="560"/>
        <v>1</v>
      </c>
      <c r="AR839" s="148" t="str">
        <f t="shared" si="561"/>
        <v>ARG1</v>
      </c>
      <c r="AS839" s="148" t="str">
        <f t="shared" si="562"/>
        <v>COL1</v>
      </c>
      <c r="AT839" s="157" t="str">
        <f t="shared" si="563"/>
        <v>ARG1-COL1</v>
      </c>
      <c r="AU839" s="157" t="str">
        <f t="shared" si="564"/>
        <v>ARG1-COL1 Soccer Final</v>
      </c>
      <c r="AV839" s="157" t="str">
        <f t="shared" si="565"/>
        <v>CHILDREN D FEMALE</v>
      </c>
      <c r="AW839" s="157" t="str">
        <f t="shared" si="566"/>
        <v>Soccer</v>
      </c>
      <c r="AX839" s="376">
        <f t="shared" si="567"/>
        <v>838</v>
      </c>
      <c r="AY839" s="148" t="str">
        <f t="shared" si="568"/>
        <v>CHILD DF - ARG 1-&gt;CHILD DF - COL 1</v>
      </c>
      <c r="AZ839" s="148" t="str">
        <f t="shared" si="569"/>
        <v>11/26/2017 14:40-&gt;CHILD DF - ARG 1</v>
      </c>
      <c r="BA839" s="148" t="str">
        <f t="shared" si="570"/>
        <v>11/26/2017 14:40-&gt;CHILD DF - COL 1</v>
      </c>
      <c r="BB839" s="374">
        <f t="shared" si="571"/>
        <v>1</v>
      </c>
      <c r="BC839" s="374">
        <f t="shared" si="572"/>
        <v>1</v>
      </c>
      <c r="BD839" s="148" t="str">
        <f t="shared" si="573"/>
        <v>no conflict</v>
      </c>
      <c r="BF839" s="148" t="str">
        <f t="shared" si="574"/>
        <v>11/26/2017 14:40-&gt;CHILD DF - ARG 1</v>
      </c>
      <c r="BG839" s="148" t="str">
        <f t="shared" si="575"/>
        <v>11/26/2017 14:40-&gt;CHILD DF - COL 1</v>
      </c>
      <c r="BH839" s="148" t="str">
        <f t="shared" si="576"/>
        <v>11/26/2017 14:40-&gt;JCC Back Field 1</v>
      </c>
      <c r="BI839" s="148" t="str">
        <f t="shared" si="577"/>
        <v>Soccer in JCC Back Field 1 (ARG1-COL1)</v>
      </c>
      <c r="BJ839" s="148" t="str">
        <f t="shared" si="578"/>
        <v>Ch D Female Mini Soccer-- CHILD DF - ARG 1 vs. CHILD DF - COL 1</v>
      </c>
      <c r="BK839" s="148" t="str">
        <f t="shared" si="579"/>
        <v>Soccer</v>
      </c>
      <c r="BL839" s="148" t="str">
        <f t="shared" si="580"/>
        <v>CHILD DF - ARG 1</v>
      </c>
      <c r="BM839" s="148" t="str">
        <f t="shared" si="581"/>
        <v>CHILD DF - COL 1</v>
      </c>
      <c r="BN839" s="148" t="str">
        <f t="shared" si="582"/>
        <v>Final</v>
      </c>
      <c r="BP839" s="148" t="str">
        <f t="shared" si="583"/>
        <v>11/26/2017 14:40-&gt;CHILDREN D FEMALE</v>
      </c>
      <c r="BQ839" s="148" t="str">
        <f t="shared" si="584"/>
        <v>Soccer Final in JCC Back Field 1</v>
      </c>
    </row>
    <row r="840" spans="1:69" ht="15" customHeight="1" x14ac:dyDescent="0.2">
      <c r="A840" s="376">
        <v>839</v>
      </c>
      <c r="B840" s="444" t="s">
        <v>520</v>
      </c>
      <c r="C840" s="444" t="s">
        <v>769</v>
      </c>
      <c r="D840" s="451">
        <v>1</v>
      </c>
      <c r="E840" s="451">
        <v>1</v>
      </c>
      <c r="F840" s="315" t="s">
        <v>770</v>
      </c>
      <c r="G840" s="445">
        <v>43065</v>
      </c>
      <c r="H840" s="454">
        <v>0.57638888888888895</v>
      </c>
      <c r="I840" s="325" t="s">
        <v>770</v>
      </c>
      <c r="J840" s="444" t="s">
        <v>708</v>
      </c>
      <c r="K840" s="444"/>
      <c r="L840" s="463" t="s">
        <v>590</v>
      </c>
      <c r="M840"/>
      <c r="N840" s="463" t="s">
        <v>583</v>
      </c>
      <c r="O840" s="153" t="str">
        <f>IF(L840&lt;&gt;"",IFERROR(VLOOKUP(B840&amp;L840,Pools!$A$2:$D$130,3,FALSE),""),"")</f>
        <v>Pool A</v>
      </c>
      <c r="P840" s="388"/>
      <c r="Q840" s="388"/>
      <c r="R840" s="306" t="str">
        <f t="shared" si="540"/>
        <v>-</v>
      </c>
      <c r="S840" s="153"/>
      <c r="T840" s="148" t="str">
        <f t="shared" si="541"/>
        <v>Pending</v>
      </c>
      <c r="U840" s="153"/>
      <c r="V840" s="153"/>
      <c r="W840" s="387">
        <f t="shared" si="542"/>
        <v>0</v>
      </c>
      <c r="X840" s="387">
        <f t="shared" si="543"/>
        <v>0</v>
      </c>
      <c r="Y840" s="301" t="str">
        <f t="shared" si="544"/>
        <v>X</v>
      </c>
      <c r="Z840" s="301" t="str">
        <f t="shared" si="545"/>
        <v>X</v>
      </c>
      <c r="AA840" s="323" t="str">
        <f>CONCATENATE("                x[team1,team2,sport,'",IF(OR(I840="x",I840=""),VLOOKUP('Schedule from TM'!J842,Tables!$P$3:$Q$33,2,FALSE),'Schedule from TM'!I842),",",J840,"','",IF(OR(F840="x",F840=""),VLOOKUP('Schedule from TM'!G842,Tables!$U$3:$V$14,2,FALSE),'Schedule from TM'!F842),",",TEXT(G840,"mm/dd/yyyy"),"','",TEXT(H840,"h:mm:ss AM/PM"),"'].ub=0.0      #",B840)</f>
        <v xml:space="preserve">                x[team1,team2,sport,'21,Hillel - Gym Volleyball','21,11/26/2017','1:50:00 PM'].ub=0.0      #Ch D Female Volleyball</v>
      </c>
      <c r="AB840" s="301" t="str">
        <f t="shared" si="546"/>
        <v>,,Ch D Female Volleyball,Pool A,1,CHILD DF - VEN 2</v>
      </c>
      <c r="AC840" s="153" t="str">
        <f t="shared" si="547"/>
        <v>Ch D Female VolleyballPool ACHILD DF - VEN 2</v>
      </c>
      <c r="AD840" s="301" t="str">
        <f t="shared" si="548"/>
        <v>,,Ch D Female Volleyball,Pool A,1,CHILD DF - ARG 1</v>
      </c>
      <c r="AE840" s="153" t="str">
        <f t="shared" si="549"/>
        <v>Ch D Female VolleyballPool ACHILD DF - ARG 1</v>
      </c>
      <c r="AF840" s="383">
        <f t="shared" si="550"/>
        <v>0</v>
      </c>
      <c r="AG840" s="383">
        <f t="shared" si="551"/>
        <v>0</v>
      </c>
      <c r="AH840" s="383">
        <f t="shared" si="552"/>
        <v>0</v>
      </c>
      <c r="AI840" s="383">
        <f t="shared" si="553"/>
        <v>0</v>
      </c>
      <c r="AJ840" s="383">
        <f t="shared" si="554"/>
        <v>0</v>
      </c>
      <c r="AK840" s="383">
        <f t="shared" si="555"/>
        <v>0</v>
      </c>
      <c r="AM840" s="148" t="str">
        <f t="shared" si="556"/>
        <v>Schedulled</v>
      </c>
      <c r="AN840" s="148" t="str">
        <f t="shared" si="557"/>
        <v/>
      </c>
      <c r="AO840" s="156">
        <f t="shared" si="558"/>
        <v>43065.576388888891</v>
      </c>
      <c r="AP840" s="148" t="str">
        <f t="shared" si="559"/>
        <v>11/26/2017 13:50-&gt;Hillel - Gym Volleyball</v>
      </c>
      <c r="AQ840" s="374">
        <f t="shared" si="560"/>
        <v>1</v>
      </c>
      <c r="AR840" s="148" t="str">
        <f t="shared" si="561"/>
        <v>VEN2</v>
      </c>
      <c r="AS840" s="148" t="str">
        <f t="shared" si="562"/>
        <v>ARG1</v>
      </c>
      <c r="AT840" s="157" t="str">
        <f t="shared" si="563"/>
        <v>VEN2-ARG1</v>
      </c>
      <c r="AU840" s="157" t="str">
        <f t="shared" si="564"/>
        <v>VEN2-ARG1 Volleyball Final</v>
      </c>
      <c r="AV840" s="157" t="str">
        <f t="shared" si="565"/>
        <v>CHILDREN D FEMALE</v>
      </c>
      <c r="AW840" s="157" t="str">
        <f t="shared" si="566"/>
        <v>Volleyball</v>
      </c>
      <c r="AX840" s="376">
        <f t="shared" si="567"/>
        <v>839</v>
      </c>
      <c r="AY840" s="148" t="str">
        <f t="shared" si="568"/>
        <v>CHILD DF - VEN 2-&gt;CHILD DF - ARG 1</v>
      </c>
      <c r="AZ840" s="148" t="str">
        <f t="shared" si="569"/>
        <v>11/26/2017 13:50-&gt;CHILD DF - VEN 2</v>
      </c>
      <c r="BA840" s="148" t="str">
        <f t="shared" si="570"/>
        <v>11/26/2017 13:50-&gt;CHILD DF - ARG 1</v>
      </c>
      <c r="BB840" s="374">
        <f t="shared" si="571"/>
        <v>1</v>
      </c>
      <c r="BC840" s="374">
        <f t="shared" si="572"/>
        <v>1</v>
      </c>
      <c r="BD840" s="148" t="str">
        <f t="shared" si="573"/>
        <v>no conflict</v>
      </c>
      <c r="BF840" s="148" t="str">
        <f t="shared" si="574"/>
        <v>11/26/2017 13:50-&gt;CHILD DF - VEN 2</v>
      </c>
      <c r="BG840" s="148" t="str">
        <f t="shared" si="575"/>
        <v>11/26/2017 13:50-&gt;CHILD DF - ARG 1</v>
      </c>
      <c r="BH840" s="148" t="str">
        <f t="shared" si="576"/>
        <v>11/26/2017 13:50-&gt;Hillel - Gym Volleyball</v>
      </c>
      <c r="BI840" s="148" t="str">
        <f t="shared" si="577"/>
        <v>Volleyball in Hillel - Gym Volleyball (VEN2-ARG1)</v>
      </c>
      <c r="BJ840" s="148" t="str">
        <f t="shared" si="578"/>
        <v>Ch D Female Volleyball-- CHILD DF - VEN 2 vs. CHILD DF - ARG 1</v>
      </c>
      <c r="BK840" s="148" t="str">
        <f t="shared" si="579"/>
        <v>Volleyball</v>
      </c>
      <c r="BL840" s="148" t="str">
        <f t="shared" si="580"/>
        <v>CHILD DF - VEN 2</v>
      </c>
      <c r="BM840" s="148" t="str">
        <f t="shared" si="581"/>
        <v>CHILD DF - ARG 1</v>
      </c>
      <c r="BN840" s="148" t="str">
        <f t="shared" si="582"/>
        <v>Final</v>
      </c>
      <c r="BP840" s="148" t="str">
        <f t="shared" si="583"/>
        <v>11/26/2017 13:50-&gt;CHILDREN D FEMALE</v>
      </c>
      <c r="BQ840" s="148" t="str">
        <f t="shared" si="584"/>
        <v>Volleyball Final in Hillel - Gym Volleyball</v>
      </c>
    </row>
    <row r="841" spans="1:69" ht="15" customHeight="1" x14ac:dyDescent="0.2">
      <c r="A841" s="376">
        <v>840</v>
      </c>
      <c r="B841" s="444" t="s">
        <v>54</v>
      </c>
      <c r="C841" s="315" t="s">
        <v>769</v>
      </c>
      <c r="D841" s="378">
        <v>1</v>
      </c>
      <c r="E841" s="378">
        <v>1</v>
      </c>
      <c r="F841" s="315" t="s">
        <v>770</v>
      </c>
      <c r="G841" s="316">
        <v>43065</v>
      </c>
      <c r="H841" s="454">
        <v>0.61111111111111105</v>
      </c>
      <c r="I841" s="325" t="s">
        <v>770</v>
      </c>
      <c r="J841" s="315" t="s">
        <v>696</v>
      </c>
      <c r="K841" s="315"/>
      <c r="L841" s="475" t="s">
        <v>592</v>
      </c>
      <c r="M841"/>
      <c r="N841" s="474" t="s">
        <v>595</v>
      </c>
      <c r="O841" s="153" t="str">
        <f>IF(L841&lt;&gt;"",IFERROR(VLOOKUP(B841&amp;L841,Pools!$A$2:$D$130,3,FALSE),""),"")</f>
        <v/>
      </c>
      <c r="P841" s="388">
        <v>42</v>
      </c>
      <c r="Q841" s="388">
        <v>23</v>
      </c>
      <c r="R841" s="306" t="str">
        <f t="shared" si="540"/>
        <v>42-23</v>
      </c>
      <c r="S841" s="153"/>
      <c r="T841" s="148" t="str">
        <f t="shared" si="541"/>
        <v>Completed</v>
      </c>
      <c r="U841" s="153"/>
      <c r="V841" s="153"/>
      <c r="W841" s="387">
        <f t="shared" si="542"/>
        <v>15</v>
      </c>
      <c r="X841" s="387">
        <f t="shared" si="543"/>
        <v>-15</v>
      </c>
      <c r="Y841" s="301">
        <f t="shared" si="544"/>
        <v>2</v>
      </c>
      <c r="Z841" s="301">
        <f t="shared" si="545"/>
        <v>0</v>
      </c>
      <c r="AA841" s="323" t="str">
        <f>CONCATENATE("                x[team1,team2,sport,'",IF(OR(I841="x",I841=""),VLOOKUP('Schedule from TM'!J843,Tables!$P$3:$Q$33,2,FALSE),'Schedule from TM'!I843),",",J841,"','",IF(OR(F841="x",F841=""),VLOOKUP('Schedule from TM'!G843,Tables!$U$3:$V$14,2,FALSE),'Schedule from TM'!F843),",",TEXT(G841,"mm/dd/yyyy"),"','",TEXT(H841,"h:mm:ss AM/PM"),"'].ub=0.0      #",B841)</f>
        <v xml:space="preserve">                x[team1,team2,sport,'21,JCC Gym North','21,11/26/2017','2:40:00 PM'].ub=0.0      #Ch D Male Basketball</v>
      </c>
      <c r="AB841" s="301" t="str">
        <f t="shared" si="546"/>
        <v>,,Ch D Male Basketball,,1,CHILD DM - ARG 1</v>
      </c>
      <c r="AC841" s="153" t="str">
        <f t="shared" si="547"/>
        <v>Ch D Male BasketballCHILD DM - ARG 1</v>
      </c>
      <c r="AD841" s="301" t="str">
        <f t="shared" si="548"/>
        <v>,,Ch D Male Basketball,,1,CHILD DM - USA 1</v>
      </c>
      <c r="AE841" s="153" t="str">
        <f t="shared" si="549"/>
        <v>Ch D Male BasketballCHILD DM - USA 1</v>
      </c>
      <c r="AF841" s="383">
        <f t="shared" si="550"/>
        <v>1</v>
      </c>
      <c r="AG841" s="383">
        <f t="shared" si="551"/>
        <v>0</v>
      </c>
      <c r="AH841" s="383">
        <f t="shared" si="552"/>
        <v>0</v>
      </c>
      <c r="AI841" s="383">
        <f t="shared" si="553"/>
        <v>0</v>
      </c>
      <c r="AJ841" s="383">
        <f t="shared" si="554"/>
        <v>1</v>
      </c>
      <c r="AK841" s="383">
        <f t="shared" si="555"/>
        <v>0</v>
      </c>
      <c r="AM841" s="148" t="str">
        <f t="shared" si="556"/>
        <v>Schedulled</v>
      </c>
      <c r="AN841" s="148" t="str">
        <f t="shared" si="557"/>
        <v/>
      </c>
      <c r="AO841" s="156">
        <f t="shared" si="558"/>
        <v>43065.611111111109</v>
      </c>
      <c r="AP841" s="148" t="str">
        <f t="shared" si="559"/>
        <v>11/26/2017 14:40-&gt;JCC Gym North</v>
      </c>
      <c r="AQ841" s="374">
        <f t="shared" si="560"/>
        <v>1</v>
      </c>
      <c r="AR841" s="148" t="str">
        <f t="shared" si="561"/>
        <v>ARG1</v>
      </c>
      <c r="AS841" s="148" t="str">
        <f t="shared" si="562"/>
        <v>USA1</v>
      </c>
      <c r="AT841" s="157" t="str">
        <f t="shared" si="563"/>
        <v>ARG1-USA1</v>
      </c>
      <c r="AU841" s="157" t="str">
        <f t="shared" si="564"/>
        <v>ARG1-USA1 Basketball Final</v>
      </c>
      <c r="AV841" s="157" t="str">
        <f t="shared" si="565"/>
        <v>CHILDREN D MALE</v>
      </c>
      <c r="AW841" s="157" t="str">
        <f t="shared" si="566"/>
        <v>Basketball</v>
      </c>
      <c r="AX841" s="376">
        <f t="shared" si="567"/>
        <v>840</v>
      </c>
      <c r="AY841" s="148" t="str">
        <f t="shared" si="568"/>
        <v>CHILD DM - ARG 1-&gt;CHILD DM - USA 1</v>
      </c>
      <c r="AZ841" s="148" t="str">
        <f t="shared" si="569"/>
        <v>11/26/2017 14:40-&gt;CHILD DM - ARG 1</v>
      </c>
      <c r="BA841" s="148" t="str">
        <f t="shared" si="570"/>
        <v>11/26/2017 14:40-&gt;CHILD DM - USA 1</v>
      </c>
      <c r="BB841" s="374">
        <f t="shared" si="571"/>
        <v>1</v>
      </c>
      <c r="BC841" s="374">
        <f t="shared" si="572"/>
        <v>1</v>
      </c>
      <c r="BD841" s="148" t="str">
        <f t="shared" si="573"/>
        <v>no conflict</v>
      </c>
      <c r="BF841" s="148" t="str">
        <f t="shared" si="574"/>
        <v>11/26/2017 14:40-&gt;CHILD DM - ARG 1</v>
      </c>
      <c r="BG841" s="148" t="str">
        <f t="shared" si="575"/>
        <v>11/26/2017 14:40-&gt;CHILD DM - USA 1</v>
      </c>
      <c r="BH841" s="148" t="str">
        <f t="shared" si="576"/>
        <v>11/26/2017 14:40-&gt;JCC Gym North</v>
      </c>
      <c r="BI841" s="148" t="str">
        <f t="shared" si="577"/>
        <v>Basketball in JCC Gym North (ARG1-USA1)</v>
      </c>
      <c r="BJ841" s="148" t="str">
        <f t="shared" si="578"/>
        <v>Ch D Male Basketball-- CHILD DM - ARG 1 vs. CHILD DM - USA 1</v>
      </c>
      <c r="BK841" s="148" t="str">
        <f t="shared" si="579"/>
        <v>Basketball</v>
      </c>
      <c r="BL841" s="148" t="str">
        <f t="shared" si="580"/>
        <v>CHILD DM - ARG 1</v>
      </c>
      <c r="BM841" s="148" t="str">
        <f t="shared" si="581"/>
        <v>CHILD DM - USA 1</v>
      </c>
      <c r="BN841" s="148" t="str">
        <f t="shared" si="582"/>
        <v>Final</v>
      </c>
      <c r="BP841" s="148" t="str">
        <f t="shared" si="583"/>
        <v>11/26/2017 14:40-&gt;CHILDREN D MALE</v>
      </c>
      <c r="BQ841" s="148" t="str">
        <f t="shared" si="584"/>
        <v>Basketball Final in JCC Gym North</v>
      </c>
    </row>
    <row r="842" spans="1:69" ht="15" customHeight="1" x14ac:dyDescent="0.2">
      <c r="A842" s="376">
        <v>841</v>
      </c>
      <c r="B842" s="443" t="s">
        <v>55</v>
      </c>
      <c r="C842" s="315" t="s">
        <v>769</v>
      </c>
      <c r="D842" s="378">
        <v>1</v>
      </c>
      <c r="E842" s="378">
        <v>1</v>
      </c>
      <c r="F842" s="315" t="s">
        <v>770</v>
      </c>
      <c r="G842" s="316">
        <v>43065</v>
      </c>
      <c r="H842" s="417">
        <v>0.68055555555555547</v>
      </c>
      <c r="I842" s="325" t="s">
        <v>770</v>
      </c>
      <c r="J842" s="315" t="s">
        <v>703</v>
      </c>
      <c r="K842" s="315"/>
      <c r="L842" s="462" t="s">
        <v>620</v>
      </c>
      <c r="M842"/>
      <c r="N842" s="462" t="s">
        <v>717</v>
      </c>
      <c r="O842" s="153" t="str">
        <f>IF(L842&lt;&gt;"",IFERROR(VLOOKUP(B842&amp;L842,Pools!$A$2:$D$130,3,FALSE),""),"")</f>
        <v/>
      </c>
      <c r="P842" s="388"/>
      <c r="Q842" s="388"/>
      <c r="R842" s="306" t="str">
        <f t="shared" si="540"/>
        <v>-</v>
      </c>
      <c r="S842" s="153"/>
      <c r="T842" s="148" t="str">
        <f t="shared" si="541"/>
        <v>Pending</v>
      </c>
      <c r="U842" s="153"/>
      <c r="V842" s="153"/>
      <c r="W842" s="387">
        <f t="shared" si="542"/>
        <v>0</v>
      </c>
      <c r="X842" s="387">
        <f t="shared" si="543"/>
        <v>0</v>
      </c>
      <c r="Y842" s="301" t="str">
        <f t="shared" si="544"/>
        <v>X</v>
      </c>
      <c r="Z842" s="301" t="str">
        <f t="shared" si="545"/>
        <v>X</v>
      </c>
      <c r="AA842" s="323" t="str">
        <f>CONCATENATE("                x[team1,team2,sport,'",IF(OR(I842="x",I842=""),VLOOKUP('Schedule from TM'!J844,Tables!$P$3:$Q$33,2,FALSE),'Schedule from TM'!I844),",",J842,"','",IF(OR(F842="x",F842=""),VLOOKUP('Schedule from TM'!G844,Tables!$U$3:$V$14,2,FALSE),'Schedule from TM'!F844),",",TEXT(G842,"mm/dd/yyyy"),"','",TEXT(H842,"h:mm:ss AM/PM"),"'].ub=0.0      #",B842)</f>
        <v xml:space="preserve">                x[team1,team2,sport,'11,Hillel - Field 1','21,11/26/2017','4:20:00 PM'].ub=0.0      #Ch D Male Flag Football</v>
      </c>
      <c r="AB842" s="301" t="str">
        <f t="shared" si="546"/>
        <v>,,Ch D Male Flag Football,,1,CHILD EM - PER</v>
      </c>
      <c r="AC842" s="153" t="str">
        <f t="shared" si="547"/>
        <v>Ch D Male Flag FootballCHILD EM - PER</v>
      </c>
      <c r="AD842" s="301" t="str">
        <f t="shared" si="548"/>
        <v>,,Ch D Male Flag Football,,1,CHILD EM - MEX 1</v>
      </c>
      <c r="AE842" s="153" t="str">
        <f t="shared" si="549"/>
        <v>Ch D Male Flag FootballCHILD EM - MEX 1</v>
      </c>
      <c r="AF842" s="383">
        <f t="shared" si="550"/>
        <v>0</v>
      </c>
      <c r="AG842" s="383">
        <f t="shared" si="551"/>
        <v>0</v>
      </c>
      <c r="AH842" s="383">
        <f t="shared" si="552"/>
        <v>0</v>
      </c>
      <c r="AI842" s="383">
        <f t="shared" si="553"/>
        <v>0</v>
      </c>
      <c r="AJ842" s="383">
        <f t="shared" si="554"/>
        <v>0</v>
      </c>
      <c r="AK842" s="383">
        <f t="shared" si="555"/>
        <v>0</v>
      </c>
      <c r="AM842" s="148" t="str">
        <f t="shared" si="556"/>
        <v>Schedulled</v>
      </c>
      <c r="AN842" s="148" t="str">
        <f t="shared" si="557"/>
        <v/>
      </c>
      <c r="AO842" s="156">
        <f t="shared" si="558"/>
        <v>43065.680555555555</v>
      </c>
      <c r="AP842" s="148" t="str">
        <f t="shared" si="559"/>
        <v>11/26/2017 16:20-&gt;Hillel - Field 1</v>
      </c>
      <c r="AQ842" s="374">
        <f t="shared" si="560"/>
        <v>1</v>
      </c>
      <c r="AR842" s="148" t="str">
        <f t="shared" si="561"/>
        <v>PER</v>
      </c>
      <c r="AS842" s="148" t="str">
        <f t="shared" si="562"/>
        <v>MEX1</v>
      </c>
      <c r="AT842" s="157" t="str">
        <f t="shared" si="563"/>
        <v>PER-MEX1</v>
      </c>
      <c r="AU842" s="157" t="str">
        <f t="shared" si="564"/>
        <v>PER-MEX1 Flag Football Final</v>
      </c>
      <c r="AV842" s="157" t="str">
        <f t="shared" si="565"/>
        <v>CHILDREN D MALE</v>
      </c>
      <c r="AW842" s="157" t="str">
        <f t="shared" si="566"/>
        <v>Flag Football</v>
      </c>
      <c r="AX842" s="376">
        <f t="shared" si="567"/>
        <v>841</v>
      </c>
      <c r="AY842" s="148" t="str">
        <f t="shared" si="568"/>
        <v>CHILD EM - PER-&gt;CHILD EM - MEX 1</v>
      </c>
      <c r="AZ842" s="148" t="str">
        <f t="shared" si="569"/>
        <v>11/26/2017 16:20-&gt;CHILD EM - PER</v>
      </c>
      <c r="BA842" s="148" t="str">
        <f t="shared" si="570"/>
        <v>11/26/2017 16:20-&gt;CHILD EM - MEX 1</v>
      </c>
      <c r="BB842" s="374">
        <f t="shared" si="571"/>
        <v>1</v>
      </c>
      <c r="BC842" s="374">
        <f t="shared" si="572"/>
        <v>2</v>
      </c>
      <c r="BD842" s="148" t="str">
        <f t="shared" si="573"/>
        <v>conflict</v>
      </c>
      <c r="BF842" s="148" t="str">
        <f t="shared" si="574"/>
        <v>11/26/2017 16:20-&gt;CHILD EM - PER</v>
      </c>
      <c r="BG842" s="148" t="str">
        <f t="shared" si="575"/>
        <v>11/26/2017 16:20-&gt;CHILD EM - MEX 1</v>
      </c>
      <c r="BH842" s="148" t="str">
        <f t="shared" si="576"/>
        <v>11/26/2017 16:20-&gt;Hillel - Field 1</v>
      </c>
      <c r="BI842" s="148" t="str">
        <f t="shared" si="577"/>
        <v>Flag Football in Hillel - Field 1 (PER-MEX1)</v>
      </c>
      <c r="BJ842" s="148" t="str">
        <f t="shared" si="578"/>
        <v>Ch D Male Flag Football-- CHILD EM - PER vs. CHILD EM - MEX 1</v>
      </c>
      <c r="BK842" s="148" t="str">
        <f t="shared" si="579"/>
        <v>Flag Football</v>
      </c>
      <c r="BL842" s="148" t="str">
        <f t="shared" si="580"/>
        <v>CHILD EM - PER</v>
      </c>
      <c r="BM842" s="148" t="str">
        <f t="shared" si="581"/>
        <v>CHILD EM - MEX 1</v>
      </c>
      <c r="BN842" s="148" t="str">
        <f t="shared" si="582"/>
        <v>Final</v>
      </c>
      <c r="BP842" s="148" t="str">
        <f t="shared" si="583"/>
        <v>11/26/2017 16:20-&gt;CHILDREN D MALE</v>
      </c>
      <c r="BQ842" s="148" t="str">
        <f t="shared" si="584"/>
        <v>Flag Football Final in Hillel - Field 1</v>
      </c>
    </row>
    <row r="843" spans="1:69" ht="15" customHeight="1" x14ac:dyDescent="0.2">
      <c r="A843" s="376">
        <v>842</v>
      </c>
      <c r="B843" s="444" t="s">
        <v>57</v>
      </c>
      <c r="C843" s="444" t="s">
        <v>769</v>
      </c>
      <c r="D843" s="451">
        <v>1</v>
      </c>
      <c r="E843" s="451">
        <v>1</v>
      </c>
      <c r="F843" s="315" t="s">
        <v>770</v>
      </c>
      <c r="G843" s="445">
        <v>43065</v>
      </c>
      <c r="H843" s="417">
        <v>0.50694444444444442</v>
      </c>
      <c r="I843" s="325" t="s">
        <v>770</v>
      </c>
      <c r="J843" s="443" t="s">
        <v>706</v>
      </c>
      <c r="K843" s="441"/>
      <c r="L843" s="462" t="s">
        <v>594</v>
      </c>
      <c r="M843"/>
      <c r="N843" s="462" t="s">
        <v>592</v>
      </c>
      <c r="O843" s="153" t="str">
        <f>IF(L843&lt;&gt;"",IFERROR(VLOOKUP(B843&amp;L843,Pools!$A$2:$D$130,3,FALSE),""),"")</f>
        <v/>
      </c>
      <c r="P843" s="388">
        <v>10</v>
      </c>
      <c r="Q843" s="388">
        <v>4</v>
      </c>
      <c r="R843" s="306" t="str">
        <f t="shared" ref="R843:R906" si="585">P843&amp;"-"&amp;Q843</f>
        <v>10-4</v>
      </c>
      <c r="S843" s="153"/>
      <c r="T843" s="148" t="str">
        <f t="shared" ref="T843:T906" si="586">IF(AND(P843&lt;&gt;"",Q843&lt;&gt;""),"Completed","Pending")</f>
        <v>Completed</v>
      </c>
      <c r="U843" s="153"/>
      <c r="V843" s="153"/>
      <c r="W843" s="387">
        <f t="shared" ref="W843:W906" si="587">IF(AW843="Basketball",(IF(P843-Q843&gt;15,15,IF(P843-Q843&lt;-15,-15,(P843-Q843)))),IF(AW843="Soccer",(IF(P843-Q843&gt;3,3,IF(P843-Q843&lt;-3,-3,(P843-Q843)))),IF(AW843="Kickball",(IF(P843-Q843&gt;5,5,IF(P843-Q843&lt;-5,-5,(P843-Q843)))),IF(AW843="Flag Football",(IF(P843-Q843&gt;21,21,IF(P843-Q843&lt;-21,-21,(P843-Q843)))),P843-Q843))))</f>
        <v>5</v>
      </c>
      <c r="X843" s="387">
        <f t="shared" ref="X843:X906" si="588">IF(AW843="Basketball",(IF(Q843-P843&gt;15,15,IF(Q843-P843&lt;-15,-15,(Q843-P843)))),IF(AW843="Soccer",(IF(Q843-P843&gt;3,3,IF(Q843-P843&lt;-3,-3,(Q843-P843)))),IF(AW843="Kickball",(IF(Q843-P843&gt;5,5,IF(Q843-P843&lt;-5,-5,(Q843-P843)))),IF(AW843="Flag Football",(IF(Q843-P843&gt;21,21,IF(Q843-P843&lt;-21,-21,(Q843-P843)))),Q843-P843))))</f>
        <v>-5</v>
      </c>
      <c r="Y843" s="301">
        <f t="shared" ref="Y843:Y906" si="589">IF(T843="Completed",(IF(P843&gt;Q843,2,IF(P843=Q843,1,IF(P843&lt;Q843,0)))),"X")</f>
        <v>2</v>
      </c>
      <c r="Z843" s="301">
        <f t="shared" ref="Z843:Z906" si="590">IF(T843="Completed",(IF(Q843&gt;P843,2,IF(Q843=P843,1,IF(Q843&lt;P843,0)))),"X")</f>
        <v>0</v>
      </c>
      <c r="AA843" s="323" t="str">
        <f>CONCATENATE("                x[team1,team2,sport,'",IF(OR(I843="x",I843=""),VLOOKUP('Schedule from TM'!J845,Tables!$P$3:$Q$33,2,FALSE),'Schedule from TM'!I845),",",J843,"','",IF(OR(F843="x",F843=""),VLOOKUP('Schedule from TM'!G845,Tables!$U$3:$V$14,2,FALSE),'Schedule from TM'!F845),",",TEXT(G843,"mm/dd/yyyy"),"','",TEXT(H843,"h:mm:ss AM/PM"),"'].ub=0.0      #",B843)</f>
        <v xml:space="preserve">                x[team1,team2,sport,'11,Hillel - Field 4','21,11/26/2017','12:10:00 PM'].ub=0.0      #Ch D Male Kickball</v>
      </c>
      <c r="AB843" s="301" t="str">
        <f t="shared" ref="AB843:AB906" si="591">",,"&amp;B843&amp;","&amp;O843&amp;",1,"&amp;L843</f>
        <v>,,Ch D Male Kickball,,1,CHILD DM - PER</v>
      </c>
      <c r="AC843" s="153" t="str">
        <f t="shared" ref="AC843:AC906" si="592">B843&amp;O843&amp;L843</f>
        <v>Ch D Male KickballCHILD DM - PER</v>
      </c>
      <c r="AD843" s="301" t="str">
        <f t="shared" ref="AD843:AD906" si="593">",,"&amp;B843&amp;","&amp;O843&amp;",1,"&amp;N843</f>
        <v>,,Ch D Male Kickball,,1,CHILD DM - ARG 1</v>
      </c>
      <c r="AE843" s="153" t="str">
        <f t="shared" ref="AE843:AE906" si="594">B843&amp;O843&amp;N843</f>
        <v>Ch D Male KickballCHILD DM - ARG 1</v>
      </c>
      <c r="AF843" s="383">
        <f t="shared" ref="AF843:AF906" si="595">IF(Y843=2,1,0)</f>
        <v>1</v>
      </c>
      <c r="AG843" s="383">
        <f t="shared" ref="AG843:AG906" si="596">IF(Y843=0,1,0)</f>
        <v>0</v>
      </c>
      <c r="AH843" s="383">
        <f t="shared" ref="AH843:AH906" si="597">IF(Y843=1,1,0)</f>
        <v>0</v>
      </c>
      <c r="AI843" s="383">
        <f t="shared" ref="AI843:AI906" si="598">IF(Z843=2,1,0)</f>
        <v>0</v>
      </c>
      <c r="AJ843" s="383">
        <f t="shared" ref="AJ843:AJ906" si="599">IF(Z843=0,1,0)</f>
        <v>1</v>
      </c>
      <c r="AK843" s="383">
        <f t="shared" ref="AK843:AK906" si="600">IF(Z843=1,1,0)</f>
        <v>0</v>
      </c>
      <c r="AM843" s="148" t="str">
        <f t="shared" ref="AM843:AM906" si="601">IF(G843&amp;H843&amp;J843&lt;&gt;"","Schedulled","Not Schedulled")</f>
        <v>Schedulled</v>
      </c>
      <c r="AN843" s="148" t="str">
        <f t="shared" ref="AN843:AN906" si="602">IF(AND(AM843="schedulled",L843&amp;N843=""),"Schedulled no team","")</f>
        <v/>
      </c>
      <c r="AO843" s="156">
        <f t="shared" ref="AO843:AO906" si="603">G843+H843</f>
        <v>43065.506944444445</v>
      </c>
      <c r="AP843" s="148" t="str">
        <f t="shared" ref="AP843:AP906" si="604">TEXT(AO843,"MM/DD/YYYY HH:MM")&amp;"-&gt;"&amp;J843</f>
        <v>11/26/2017 12:10-&gt;Hillel - Field 4</v>
      </c>
      <c r="AQ843" s="374">
        <f t="shared" ref="AQ843:AQ906" si="605">IF(AM843="not schedulled", 0,COUNTIF($AP$11:$AP$1051,AP843))</f>
        <v>1</v>
      </c>
      <c r="AR843" s="148" t="str">
        <f t="shared" ref="AR843:AR906" si="606">IFERROR(VLOOKUP(L843,teams_table,3,FALSE),"")</f>
        <v>PER</v>
      </c>
      <c r="AS843" s="148" t="str">
        <f t="shared" ref="AS843:AS906" si="607">IFERROR(VLOOKUP(N843,teams_table,3,FALSE),"")</f>
        <v>ARG1</v>
      </c>
      <c r="AT843" s="157" t="str">
        <f t="shared" ref="AT843:AT906" si="608">IF(AR843&amp;AS843&lt;&gt;"",AR843&amp;"-"&amp;AS843,"")</f>
        <v>PER-ARG1</v>
      </c>
      <c r="AU843" s="157" t="str">
        <f t="shared" ref="AU843:AU906" si="609">IF(AT843="","",AT843&amp;" ")&amp;IF(C843="final",AW843&amp;" Final","")&amp;IF(C843="semi-final",AW843&amp;" Semi-Final","")&amp;IF(C843="Tournament",AW843&amp;" Tournament","")</f>
        <v>PER-ARG1 Kickball Final</v>
      </c>
      <c r="AV843" s="157" t="str">
        <f t="shared" ref="AV843:AV906" si="610">IFERROR(VLOOKUP(B843,events_table,2,FALSE),"")</f>
        <v>CHILDREN D MALE</v>
      </c>
      <c r="AW843" s="157" t="str">
        <f t="shared" ref="AW843:AW906" si="611">IFERROR(VLOOKUP(B843,events_table,3,0),"")</f>
        <v>Kickball</v>
      </c>
      <c r="AX843" s="376">
        <f t="shared" ref="AX843:AX906" si="612">A843</f>
        <v>842</v>
      </c>
      <c r="AY843" s="148" t="str">
        <f t="shared" ref="AY843:AY906" si="613">L843&amp;"-&gt;"&amp;N843</f>
        <v>CHILD DM - PER-&gt;CHILD DM - ARG 1</v>
      </c>
      <c r="AZ843" s="148" t="str">
        <f t="shared" ref="AZ843:AZ906" si="614">TEXT(AO843,"MM/DD/YYYY HH:MM")&amp;"-&gt;"&amp;L843</f>
        <v>11/26/2017 12:10-&gt;CHILD DM - PER</v>
      </c>
      <c r="BA843" s="148" t="str">
        <f t="shared" ref="BA843:BA906" si="615">TEXT(AO843,"MM/DD/YYYY HH:MM")&amp;"-&gt;"&amp;N843</f>
        <v>11/26/2017 12:10-&gt;CHILD DM - ARG 1</v>
      </c>
      <c r="BB843" s="374">
        <f t="shared" ref="BB843:BB906" si="616">IF(OR(AM843="not schedulled",AN843="schedulled no team"),0,COUNTIF($AZ$11:$BA$1051,AZ843))</f>
        <v>1</v>
      </c>
      <c r="BC843" s="374">
        <f t="shared" ref="BC843:BC906" si="617">IF(OR(AM843="not schedulled",AN843="schedulled no team"),0,COUNTIF($AZ$11:$BA$1051,BA843))</f>
        <v>1</v>
      </c>
      <c r="BD843" s="148" t="str">
        <f t="shared" ref="BD843:BD906" si="618">IF(OR(BB843&gt;1,BC843&gt;1),"conflict","no conflict")</f>
        <v>no conflict</v>
      </c>
      <c r="BF843" s="148" t="str">
        <f t="shared" ref="BF843:BF906" si="619">TEXT(AO843,"MM/DD/YYYY HH:MM")&amp;"-&gt;"&amp;L843</f>
        <v>11/26/2017 12:10-&gt;CHILD DM - PER</v>
      </c>
      <c r="BG843" s="148" t="str">
        <f t="shared" ref="BG843:BG906" si="620">TEXT(AO843,"MM/DD/YYYY HH:MM")&amp;"-&gt;"&amp;N843</f>
        <v>11/26/2017 12:10-&gt;CHILD DM - ARG 1</v>
      </c>
      <c r="BH843" s="148" t="str">
        <f t="shared" ref="BH843:BH906" si="621">TEXT(AO843,"MM/DD/YYYY HH:MM")&amp;"-&gt;"&amp;J843</f>
        <v>11/26/2017 12:10-&gt;Hillel - Field 4</v>
      </c>
      <c r="BI843" s="148" t="str">
        <f t="shared" ref="BI843:BI906" si="622">AW843&amp; " in "&amp;J843 &amp;" ("&amp;AT843&amp;")"</f>
        <v>Kickball in Hillel - Field 4 (PER-ARG1)</v>
      </c>
      <c r="BJ843" s="148" t="str">
        <f t="shared" ref="BJ843:BJ906" si="623">B843 &amp;"-- " &amp;L843&amp;" vs. "&amp;N843</f>
        <v>Ch D Male Kickball-- CHILD DM - PER vs. CHILD DM - ARG 1</v>
      </c>
      <c r="BK843" s="148" t="str">
        <f t="shared" ref="BK843:BK906" si="624">AW843</f>
        <v>Kickball</v>
      </c>
      <c r="BL843" s="148" t="str">
        <f t="shared" ref="BL843:BL906" si="625">L843</f>
        <v>CHILD DM - PER</v>
      </c>
      <c r="BM843" s="148" t="str">
        <f t="shared" ref="BM843:BM906" si="626">N843</f>
        <v>CHILD DM - ARG 1</v>
      </c>
      <c r="BN843" s="148" t="str">
        <f t="shared" ref="BN843:BN906" si="627">C843</f>
        <v>Final</v>
      </c>
      <c r="BP843" s="148" t="str">
        <f t="shared" ref="BP843:BP906" si="628">IF(OR(NOT(ISERR(SEARCH("final",C843))),NOT(ISERR(SEARCH("tournament",C843)))),TEXT(AO843,"MM/DD/YYYY HH:MM")&amp;"-&gt;"&amp;AV843,IF(B843="","no game","no t, f, or sf"))</f>
        <v>11/26/2017 12:10-&gt;CHILDREN D MALE</v>
      </c>
      <c r="BQ843" s="148" t="str">
        <f t="shared" ref="BQ843:BQ906" si="629">IF(BP843&lt;&gt;"no t, f, or sf",AW843&amp;" "&amp;C843&amp;" in "&amp;J843,"")</f>
        <v>Kickball Final in Hillel - Field 4</v>
      </c>
    </row>
    <row r="844" spans="1:69" ht="15" customHeight="1" x14ac:dyDescent="0.2">
      <c r="A844" s="376">
        <v>843</v>
      </c>
      <c r="B844" s="444" t="s">
        <v>53</v>
      </c>
      <c r="C844" s="444" t="s">
        <v>769</v>
      </c>
      <c r="D844" s="451">
        <v>1</v>
      </c>
      <c r="E844" s="451">
        <v>1</v>
      </c>
      <c r="F844" s="315" t="s">
        <v>770</v>
      </c>
      <c r="G844" s="445">
        <v>43065</v>
      </c>
      <c r="H844" s="417">
        <v>0.57638888888888895</v>
      </c>
      <c r="I844" s="325" t="s">
        <v>770</v>
      </c>
      <c r="J844" s="444" t="s">
        <v>692</v>
      </c>
      <c r="K844" s="444"/>
      <c r="L844" s="462" t="s">
        <v>601</v>
      </c>
      <c r="M844"/>
      <c r="N844" s="462" t="s">
        <v>592</v>
      </c>
      <c r="O844" s="153" t="str">
        <f>IF(L844&lt;&gt;"",IFERROR(VLOOKUP(B844&amp;L844,Pools!$A$2:$D$130,3,FALSE),""),"")</f>
        <v/>
      </c>
      <c r="P844" s="388">
        <v>0</v>
      </c>
      <c r="Q844" s="388">
        <v>1</v>
      </c>
      <c r="R844" s="306" t="str">
        <f t="shared" si="585"/>
        <v>0-1</v>
      </c>
      <c r="S844" s="153"/>
      <c r="T844" s="148" t="str">
        <f t="shared" si="586"/>
        <v>Completed</v>
      </c>
      <c r="U844" s="153"/>
      <c r="V844" s="153"/>
      <c r="W844" s="387">
        <f t="shared" si="587"/>
        <v>-1</v>
      </c>
      <c r="X844" s="387">
        <f t="shared" si="588"/>
        <v>1</v>
      </c>
      <c r="Y844" s="301">
        <f t="shared" si="589"/>
        <v>0</v>
      </c>
      <c r="Z844" s="301">
        <f t="shared" si="590"/>
        <v>2</v>
      </c>
      <c r="AA844" s="323" t="str">
        <f>CONCATENATE("                x[team1,team2,sport,'",IF(OR(I844="x",I844=""),VLOOKUP('Schedule from TM'!J846,Tables!$P$3:$Q$33,2,FALSE),'Schedule from TM'!I846),",",J844,"','",IF(OR(F844="x",F844=""),VLOOKUP('Schedule from TM'!G846,Tables!$U$3:$V$14,2,FALSE),'Schedule from TM'!F846),",",TEXT(G844,"mm/dd/yyyy"),"','",TEXT(H844,"h:mm:ss AM/PM"),"'].ub=0.0      #",B844)</f>
        <v xml:space="preserve">                x[team1,team2,sport,'21,JCC Back Field 3','21,11/26/2017','1:50:00 PM'].ub=0.0      #Ch D Male Mini Soccer</v>
      </c>
      <c r="AB844" s="301" t="str">
        <f t="shared" si="591"/>
        <v>,,Ch D Male Mini Soccer,,1,CHILD DM - MEX</v>
      </c>
      <c r="AC844" s="153" t="str">
        <f t="shared" si="592"/>
        <v>Ch D Male Mini SoccerCHILD DM - MEX</v>
      </c>
      <c r="AD844" s="301" t="str">
        <f t="shared" si="593"/>
        <v>,,Ch D Male Mini Soccer,,1,CHILD DM - ARG 1</v>
      </c>
      <c r="AE844" s="153" t="str">
        <f t="shared" si="594"/>
        <v>Ch D Male Mini SoccerCHILD DM - ARG 1</v>
      </c>
      <c r="AF844" s="383">
        <f t="shared" si="595"/>
        <v>0</v>
      </c>
      <c r="AG844" s="383">
        <f t="shared" si="596"/>
        <v>1</v>
      </c>
      <c r="AH844" s="383">
        <f t="shared" si="597"/>
        <v>0</v>
      </c>
      <c r="AI844" s="383">
        <f t="shared" si="598"/>
        <v>1</v>
      </c>
      <c r="AJ844" s="383">
        <f t="shared" si="599"/>
        <v>0</v>
      </c>
      <c r="AK844" s="383">
        <f t="shared" si="600"/>
        <v>0</v>
      </c>
      <c r="AM844" s="148" t="str">
        <f t="shared" si="601"/>
        <v>Schedulled</v>
      </c>
      <c r="AN844" s="148" t="str">
        <f t="shared" si="602"/>
        <v/>
      </c>
      <c r="AO844" s="156">
        <f t="shared" si="603"/>
        <v>43065.576388888891</v>
      </c>
      <c r="AP844" s="148" t="str">
        <f t="shared" si="604"/>
        <v>11/26/2017 13:50-&gt;JCC Back Field 3</v>
      </c>
      <c r="AQ844" s="374">
        <f t="shared" si="605"/>
        <v>1</v>
      </c>
      <c r="AR844" s="148" t="str">
        <f t="shared" si="606"/>
        <v>MEX</v>
      </c>
      <c r="AS844" s="148" t="str">
        <f t="shared" si="607"/>
        <v>ARG1</v>
      </c>
      <c r="AT844" s="157" t="str">
        <f t="shared" si="608"/>
        <v>MEX-ARG1</v>
      </c>
      <c r="AU844" s="157" t="str">
        <f t="shared" si="609"/>
        <v>MEX-ARG1 Soccer Final</v>
      </c>
      <c r="AV844" s="157" t="str">
        <f t="shared" si="610"/>
        <v>CHILDREN D MALE</v>
      </c>
      <c r="AW844" s="157" t="str">
        <f t="shared" si="611"/>
        <v>Soccer</v>
      </c>
      <c r="AX844" s="376">
        <f t="shared" si="612"/>
        <v>843</v>
      </c>
      <c r="AY844" s="148" t="str">
        <f t="shared" si="613"/>
        <v>CHILD DM - MEX-&gt;CHILD DM - ARG 1</v>
      </c>
      <c r="AZ844" s="148" t="str">
        <f t="shared" si="614"/>
        <v>11/26/2017 13:50-&gt;CHILD DM - MEX</v>
      </c>
      <c r="BA844" s="148" t="str">
        <f t="shared" si="615"/>
        <v>11/26/2017 13:50-&gt;CHILD DM - ARG 1</v>
      </c>
      <c r="BB844" s="374">
        <f t="shared" si="616"/>
        <v>1</v>
      </c>
      <c r="BC844" s="374">
        <f t="shared" si="617"/>
        <v>1</v>
      </c>
      <c r="BD844" s="148" t="str">
        <f t="shared" si="618"/>
        <v>no conflict</v>
      </c>
      <c r="BF844" s="148" t="str">
        <f t="shared" si="619"/>
        <v>11/26/2017 13:50-&gt;CHILD DM - MEX</v>
      </c>
      <c r="BG844" s="148" t="str">
        <f t="shared" si="620"/>
        <v>11/26/2017 13:50-&gt;CHILD DM - ARG 1</v>
      </c>
      <c r="BH844" s="148" t="str">
        <f t="shared" si="621"/>
        <v>11/26/2017 13:50-&gt;JCC Back Field 3</v>
      </c>
      <c r="BI844" s="148" t="str">
        <f t="shared" si="622"/>
        <v>Soccer in JCC Back Field 3 (MEX-ARG1)</v>
      </c>
      <c r="BJ844" s="148" t="str">
        <f t="shared" si="623"/>
        <v>Ch D Male Mini Soccer-- CHILD DM - MEX vs. CHILD DM - ARG 1</v>
      </c>
      <c r="BK844" s="148" t="str">
        <f t="shared" si="624"/>
        <v>Soccer</v>
      </c>
      <c r="BL844" s="148" t="str">
        <f t="shared" si="625"/>
        <v>CHILD DM - MEX</v>
      </c>
      <c r="BM844" s="148" t="str">
        <f t="shared" si="626"/>
        <v>CHILD DM - ARG 1</v>
      </c>
      <c r="BN844" s="148" t="str">
        <f t="shared" si="627"/>
        <v>Final</v>
      </c>
      <c r="BP844" s="148" t="str">
        <f t="shared" si="628"/>
        <v>11/26/2017 13:50-&gt;CHILDREN D MALE</v>
      </c>
      <c r="BQ844" s="148" t="str">
        <f t="shared" si="629"/>
        <v>Soccer Final in JCC Back Field 3</v>
      </c>
    </row>
    <row r="845" spans="1:69" ht="15" customHeight="1" x14ac:dyDescent="0.2">
      <c r="A845" s="376">
        <v>844</v>
      </c>
      <c r="B845" s="444" t="s">
        <v>59</v>
      </c>
      <c r="C845" s="315" t="s">
        <v>769</v>
      </c>
      <c r="D845" s="378">
        <v>1</v>
      </c>
      <c r="E845" s="378">
        <v>1</v>
      </c>
      <c r="F845" s="315" t="s">
        <v>770</v>
      </c>
      <c r="G845" s="316">
        <v>43065</v>
      </c>
      <c r="H845" s="417">
        <v>0.57638888888888895</v>
      </c>
      <c r="I845" s="325" t="s">
        <v>770</v>
      </c>
      <c r="J845" s="315" t="s">
        <v>696</v>
      </c>
      <c r="K845" s="315"/>
      <c r="L845" s="462" t="s">
        <v>612</v>
      </c>
      <c r="M845"/>
      <c r="N845" s="462" t="s">
        <v>608</v>
      </c>
      <c r="O845" s="153" t="str">
        <f>IF(L845&lt;&gt;"",IFERROR(VLOOKUP(B845&amp;L845,Pools!$A$2:$D$130,3,FALSE),""),"")</f>
        <v/>
      </c>
      <c r="P845" s="388"/>
      <c r="Q845" s="388"/>
      <c r="R845" s="306" t="str">
        <f t="shared" si="585"/>
        <v>-</v>
      </c>
      <c r="S845" s="153"/>
      <c r="T845" s="148" t="str">
        <f t="shared" si="586"/>
        <v>Pending</v>
      </c>
      <c r="U845" s="153"/>
      <c r="V845" s="153"/>
      <c r="W845" s="387">
        <f t="shared" si="587"/>
        <v>0</v>
      </c>
      <c r="X845" s="387">
        <f t="shared" si="588"/>
        <v>0</v>
      </c>
      <c r="Y845" s="301" t="str">
        <f t="shared" si="589"/>
        <v>X</v>
      </c>
      <c r="Z845" s="301" t="str">
        <f t="shared" si="590"/>
        <v>X</v>
      </c>
      <c r="AA845" s="323" t="str">
        <f>CONCATENATE("                x[team1,team2,sport,'",IF(OR(I845="x",I845=""),VLOOKUP('Schedule from TM'!J847,Tables!$P$3:$Q$33,2,FALSE),'Schedule from TM'!I847),",",J845,"','",IF(OR(F845="x",F845=""),VLOOKUP('Schedule from TM'!G847,Tables!$U$3:$V$14,2,FALSE),'Schedule from TM'!F847),",",TEXT(G845,"mm/dd/yyyy"),"','",TEXT(H845,"h:mm:ss AM/PM"),"'].ub=0.0      #",B845)</f>
        <v xml:space="preserve">                x[team1,team2,sport,'11,JCC Gym North','21,11/26/2017','1:50:00 PM'].ub=0.0      #Ch E Female Basketball</v>
      </c>
      <c r="AB845" s="301" t="str">
        <f t="shared" si="591"/>
        <v>,,Ch E Female Basketball,,1,CHILD EF - PER</v>
      </c>
      <c r="AC845" s="153" t="str">
        <f t="shared" si="592"/>
        <v>Ch E Female BasketballCHILD EF - PER</v>
      </c>
      <c r="AD845" s="301" t="str">
        <f t="shared" si="593"/>
        <v>,,Ch E Female Basketball,,1,CHILD EF - MEX</v>
      </c>
      <c r="AE845" s="153" t="str">
        <f t="shared" si="594"/>
        <v>Ch E Female BasketballCHILD EF - MEX</v>
      </c>
      <c r="AF845" s="383">
        <f t="shared" si="595"/>
        <v>0</v>
      </c>
      <c r="AG845" s="383">
        <f t="shared" si="596"/>
        <v>0</v>
      </c>
      <c r="AH845" s="383">
        <f t="shared" si="597"/>
        <v>0</v>
      </c>
      <c r="AI845" s="383">
        <f t="shared" si="598"/>
        <v>0</v>
      </c>
      <c r="AJ845" s="383">
        <f t="shared" si="599"/>
        <v>0</v>
      </c>
      <c r="AK845" s="383">
        <f t="shared" si="600"/>
        <v>0</v>
      </c>
      <c r="AM845" s="148" t="str">
        <f t="shared" si="601"/>
        <v>Schedulled</v>
      </c>
      <c r="AN845" s="148" t="str">
        <f t="shared" si="602"/>
        <v/>
      </c>
      <c r="AO845" s="156">
        <f t="shared" si="603"/>
        <v>43065.576388888891</v>
      </c>
      <c r="AP845" s="148" t="str">
        <f t="shared" si="604"/>
        <v>11/26/2017 13:50-&gt;JCC Gym North</v>
      </c>
      <c r="AQ845" s="374">
        <f t="shared" si="605"/>
        <v>1</v>
      </c>
      <c r="AR845" s="148" t="str">
        <f t="shared" si="606"/>
        <v>PER</v>
      </c>
      <c r="AS845" s="148" t="str">
        <f t="shared" si="607"/>
        <v>MEX</v>
      </c>
      <c r="AT845" s="157" t="str">
        <f t="shared" si="608"/>
        <v>PER-MEX</v>
      </c>
      <c r="AU845" s="157" t="str">
        <f t="shared" si="609"/>
        <v>PER-MEX Basketball Final</v>
      </c>
      <c r="AV845" s="157" t="str">
        <f t="shared" si="610"/>
        <v>CHILDREN E FEMALE</v>
      </c>
      <c r="AW845" s="157" t="str">
        <f t="shared" si="611"/>
        <v>Basketball</v>
      </c>
      <c r="AX845" s="376">
        <f t="shared" si="612"/>
        <v>844</v>
      </c>
      <c r="AY845" s="148" t="str">
        <f t="shared" si="613"/>
        <v>CHILD EF - PER-&gt;CHILD EF - MEX</v>
      </c>
      <c r="AZ845" s="148" t="str">
        <f t="shared" si="614"/>
        <v>11/26/2017 13:50-&gt;CHILD EF - PER</v>
      </c>
      <c r="BA845" s="148" t="str">
        <f t="shared" si="615"/>
        <v>11/26/2017 13:50-&gt;CHILD EF - MEX</v>
      </c>
      <c r="BB845" s="374">
        <f t="shared" si="616"/>
        <v>1</v>
      </c>
      <c r="BC845" s="374">
        <f t="shared" si="617"/>
        <v>1</v>
      </c>
      <c r="BD845" s="148" t="str">
        <f t="shared" si="618"/>
        <v>no conflict</v>
      </c>
      <c r="BF845" s="148" t="str">
        <f t="shared" si="619"/>
        <v>11/26/2017 13:50-&gt;CHILD EF - PER</v>
      </c>
      <c r="BG845" s="148" t="str">
        <f t="shared" si="620"/>
        <v>11/26/2017 13:50-&gt;CHILD EF - MEX</v>
      </c>
      <c r="BH845" s="148" t="str">
        <f t="shared" si="621"/>
        <v>11/26/2017 13:50-&gt;JCC Gym North</v>
      </c>
      <c r="BI845" s="148" t="str">
        <f t="shared" si="622"/>
        <v>Basketball in JCC Gym North (PER-MEX)</v>
      </c>
      <c r="BJ845" s="148" t="str">
        <f t="shared" si="623"/>
        <v>Ch E Female Basketball-- CHILD EF - PER vs. CHILD EF - MEX</v>
      </c>
      <c r="BK845" s="148" t="str">
        <f t="shared" si="624"/>
        <v>Basketball</v>
      </c>
      <c r="BL845" s="148" t="str">
        <f t="shared" si="625"/>
        <v>CHILD EF - PER</v>
      </c>
      <c r="BM845" s="148" t="str">
        <f t="shared" si="626"/>
        <v>CHILD EF - MEX</v>
      </c>
      <c r="BN845" s="148" t="str">
        <f t="shared" si="627"/>
        <v>Final</v>
      </c>
      <c r="BP845" s="148" t="str">
        <f t="shared" si="628"/>
        <v>11/26/2017 13:50-&gt;CHILDREN E FEMALE</v>
      </c>
      <c r="BQ845" s="148" t="str">
        <f t="shared" si="629"/>
        <v>Basketball Final in JCC Gym North</v>
      </c>
    </row>
    <row r="846" spans="1:69" ht="15" customHeight="1" x14ac:dyDescent="0.2">
      <c r="A846" s="376">
        <v>845</v>
      </c>
      <c r="B846" s="444" t="s">
        <v>145</v>
      </c>
      <c r="C846" s="315" t="s">
        <v>769</v>
      </c>
      <c r="D846" s="378">
        <v>1</v>
      </c>
      <c r="E846" s="378">
        <v>1</v>
      </c>
      <c r="F846" s="315" t="s">
        <v>770</v>
      </c>
      <c r="G846" s="316">
        <v>43065</v>
      </c>
      <c r="H846" s="417">
        <v>0.47222222222222227</v>
      </c>
      <c r="I846" s="325" t="s">
        <v>770</v>
      </c>
      <c r="J846" s="444" t="s">
        <v>704</v>
      </c>
      <c r="K846" s="444"/>
      <c r="L846" s="462" t="s">
        <v>612</v>
      </c>
      <c r="M846" s="433"/>
      <c r="N846" s="462" t="s">
        <v>605</v>
      </c>
      <c r="O846" s="153" t="str">
        <f>IF(L846&lt;&gt;"",IFERROR(VLOOKUP(B846&amp;L846,Pools!$A$2:$D$130,3,FALSE),""),"")</f>
        <v/>
      </c>
      <c r="P846" s="388">
        <v>19</v>
      </c>
      <c r="Q846" s="388">
        <v>5</v>
      </c>
      <c r="R846" s="306" t="str">
        <f t="shared" si="585"/>
        <v>19-5</v>
      </c>
      <c r="S846" s="153"/>
      <c r="T846" s="148" t="str">
        <f t="shared" si="586"/>
        <v>Completed</v>
      </c>
      <c r="U846" s="153"/>
      <c r="V846" s="153"/>
      <c r="W846" s="387">
        <f t="shared" si="587"/>
        <v>5</v>
      </c>
      <c r="X846" s="387">
        <f t="shared" si="588"/>
        <v>-5</v>
      </c>
      <c r="Y846" s="301">
        <f t="shared" si="589"/>
        <v>2</v>
      </c>
      <c r="Z846" s="301">
        <f t="shared" si="590"/>
        <v>0</v>
      </c>
      <c r="AA846" s="323" t="str">
        <f>CONCATENATE("                x[team1,team2,sport,'",IF(OR(I846="x",I846=""),VLOOKUP('Schedule from TM'!J848,Tables!$P$3:$Q$33,2,FALSE),'Schedule from TM'!I848),",",J846,"','",IF(OR(F846="x",F846=""),VLOOKUP('Schedule from TM'!G848,Tables!$U$3:$V$14,2,FALSE),'Schedule from TM'!F848),",",TEXT(G846,"mm/dd/yyyy"),"','",TEXT(H846,"h:mm:ss AM/PM"),"'].ub=0.0      #",B846)</f>
        <v xml:space="preserve">                x[team1,team2,sport,'21,Hillel - Field 2','21,11/26/2017','11:20:00 AM'].ub=0.0      #Ch E Female Kickball</v>
      </c>
      <c r="AB846" s="301" t="str">
        <f t="shared" si="591"/>
        <v>,,Ch E Female Kickball,,1,CHILD EF - PER</v>
      </c>
      <c r="AC846" s="153" t="str">
        <f t="shared" si="592"/>
        <v>Ch E Female KickballCHILD EF - PER</v>
      </c>
      <c r="AD846" s="301" t="str">
        <f t="shared" si="593"/>
        <v>,,Ch E Female Kickball,,1,CHILD EF - ARG 1</v>
      </c>
      <c r="AE846" s="153" t="str">
        <f t="shared" si="594"/>
        <v>Ch E Female KickballCHILD EF - ARG 1</v>
      </c>
      <c r="AF846" s="383">
        <f t="shared" si="595"/>
        <v>1</v>
      </c>
      <c r="AG846" s="383">
        <f t="shared" si="596"/>
        <v>0</v>
      </c>
      <c r="AH846" s="383">
        <f t="shared" si="597"/>
        <v>0</v>
      </c>
      <c r="AI846" s="383">
        <f t="shared" si="598"/>
        <v>0</v>
      </c>
      <c r="AJ846" s="383">
        <f t="shared" si="599"/>
        <v>1</v>
      </c>
      <c r="AK846" s="383">
        <f t="shared" si="600"/>
        <v>0</v>
      </c>
      <c r="AM846" s="148" t="str">
        <f t="shared" si="601"/>
        <v>Schedulled</v>
      </c>
      <c r="AN846" s="148" t="str">
        <f t="shared" si="602"/>
        <v/>
      </c>
      <c r="AO846" s="156">
        <f t="shared" si="603"/>
        <v>43065.472222222219</v>
      </c>
      <c r="AP846" s="148" t="str">
        <f t="shared" si="604"/>
        <v>11/26/2017 11:20-&gt;Hillel - Field 2</v>
      </c>
      <c r="AQ846" s="374">
        <f t="shared" si="605"/>
        <v>1</v>
      </c>
      <c r="AR846" s="148" t="str">
        <f t="shared" si="606"/>
        <v>PER</v>
      </c>
      <c r="AS846" s="148" t="str">
        <f t="shared" si="607"/>
        <v>ARG1</v>
      </c>
      <c r="AT846" s="157" t="str">
        <f t="shared" si="608"/>
        <v>PER-ARG1</v>
      </c>
      <c r="AU846" s="157" t="str">
        <f t="shared" si="609"/>
        <v>PER-ARG1 Kickball Final</v>
      </c>
      <c r="AV846" s="157" t="str">
        <f t="shared" si="610"/>
        <v>CHILDREN E FEMALE</v>
      </c>
      <c r="AW846" s="157" t="str">
        <f t="shared" si="611"/>
        <v>Kickball</v>
      </c>
      <c r="AX846" s="376">
        <f t="shared" si="612"/>
        <v>845</v>
      </c>
      <c r="AY846" s="148" t="str">
        <f t="shared" si="613"/>
        <v>CHILD EF - PER-&gt;CHILD EF - ARG 1</v>
      </c>
      <c r="AZ846" s="148" t="str">
        <f t="shared" si="614"/>
        <v>11/26/2017 11:20-&gt;CHILD EF - PER</v>
      </c>
      <c r="BA846" s="148" t="str">
        <f t="shared" si="615"/>
        <v>11/26/2017 11:20-&gt;CHILD EF - ARG 1</v>
      </c>
      <c r="BB846" s="374">
        <f t="shared" si="616"/>
        <v>1</v>
      </c>
      <c r="BC846" s="374">
        <f t="shared" si="617"/>
        <v>1</v>
      </c>
      <c r="BD846" s="148" t="str">
        <f t="shared" si="618"/>
        <v>no conflict</v>
      </c>
      <c r="BF846" s="148" t="str">
        <f t="shared" si="619"/>
        <v>11/26/2017 11:20-&gt;CHILD EF - PER</v>
      </c>
      <c r="BG846" s="148" t="str">
        <f t="shared" si="620"/>
        <v>11/26/2017 11:20-&gt;CHILD EF - ARG 1</v>
      </c>
      <c r="BH846" s="148" t="str">
        <f t="shared" si="621"/>
        <v>11/26/2017 11:20-&gt;Hillel - Field 2</v>
      </c>
      <c r="BI846" s="148" t="str">
        <f t="shared" si="622"/>
        <v>Kickball in Hillel - Field 2 (PER-ARG1)</v>
      </c>
      <c r="BJ846" s="148" t="str">
        <f t="shared" si="623"/>
        <v>Ch E Female Kickball-- CHILD EF - PER vs. CHILD EF - ARG 1</v>
      </c>
      <c r="BK846" s="148" t="str">
        <f t="shared" si="624"/>
        <v>Kickball</v>
      </c>
      <c r="BL846" s="148" t="str">
        <f t="shared" si="625"/>
        <v>CHILD EF - PER</v>
      </c>
      <c r="BM846" s="148" t="str">
        <f t="shared" si="626"/>
        <v>CHILD EF - ARG 1</v>
      </c>
      <c r="BN846" s="148" t="str">
        <f t="shared" si="627"/>
        <v>Final</v>
      </c>
      <c r="BP846" s="148" t="str">
        <f t="shared" si="628"/>
        <v>11/26/2017 11:20-&gt;CHILDREN E FEMALE</v>
      </c>
      <c r="BQ846" s="148" t="str">
        <f t="shared" si="629"/>
        <v>Kickball Final in Hillel - Field 2</v>
      </c>
    </row>
    <row r="847" spans="1:69" ht="15" customHeight="1" x14ac:dyDescent="0.2">
      <c r="A847" s="376">
        <v>846</v>
      </c>
      <c r="B847" s="444" t="s">
        <v>58</v>
      </c>
      <c r="C847" s="315" t="s">
        <v>769</v>
      </c>
      <c r="D847" s="378">
        <v>1</v>
      </c>
      <c r="E847" s="378">
        <v>1</v>
      </c>
      <c r="F847" s="315" t="s">
        <v>770</v>
      </c>
      <c r="G847" s="316">
        <v>43065</v>
      </c>
      <c r="H847" s="417">
        <v>0.68055555555555547</v>
      </c>
      <c r="I847" s="325" t="s">
        <v>770</v>
      </c>
      <c r="J847" s="443" t="s">
        <v>693</v>
      </c>
      <c r="K847" s="444"/>
      <c r="L847" s="462" t="s">
        <v>605</v>
      </c>
      <c r="M847" s="433"/>
      <c r="N847" s="462" t="s">
        <v>608</v>
      </c>
      <c r="O847" s="153" t="str">
        <f>IF(L847&lt;&gt;"",IFERROR(VLOOKUP(B847&amp;L847,Pools!$A$2:$D$130,3,FALSE),""),"")</f>
        <v/>
      </c>
      <c r="P847" s="388">
        <v>0</v>
      </c>
      <c r="Q847" s="388">
        <v>3</v>
      </c>
      <c r="R847" s="306" t="str">
        <f t="shared" si="585"/>
        <v>0-3</v>
      </c>
      <c r="S847" s="153"/>
      <c r="T847" s="148" t="str">
        <f t="shared" si="586"/>
        <v>Completed</v>
      </c>
      <c r="U847" s="153"/>
      <c r="V847" s="153"/>
      <c r="W847" s="387">
        <f t="shared" si="587"/>
        <v>-3</v>
      </c>
      <c r="X847" s="387">
        <f t="shared" si="588"/>
        <v>3</v>
      </c>
      <c r="Y847" s="301">
        <f t="shared" si="589"/>
        <v>0</v>
      </c>
      <c r="Z847" s="301">
        <f t="shared" si="590"/>
        <v>2</v>
      </c>
      <c r="AA847" s="323" t="str">
        <f>CONCATENATE("                x[team1,team2,sport,'",IF(OR(I847="x",I847=""),VLOOKUP('Schedule from TM'!J849,Tables!$P$3:$Q$33,2,FALSE),'Schedule from TM'!I849),",",J847,"','",IF(OR(F847="x",F847=""),VLOOKUP('Schedule from TM'!G849,Tables!$U$3:$V$14,2,FALSE),'Schedule from TM'!F849),",",TEXT(G847,"mm/dd/yyyy"),"','",TEXT(H847,"h:mm:ss AM/PM"),"'].ub=0.0      #",B847)</f>
        <v xml:space="preserve">                x[team1,team2,sport,'21,JCC Back Field 2','21,11/26/2017','4:20:00 PM'].ub=0.0      #Ch E Female Mini Soccer</v>
      </c>
      <c r="AB847" s="301" t="str">
        <f t="shared" si="591"/>
        <v>,,Ch E Female Mini Soccer,,1,CHILD EF - ARG 1</v>
      </c>
      <c r="AC847" s="153" t="str">
        <f t="shared" si="592"/>
        <v>Ch E Female Mini SoccerCHILD EF - ARG 1</v>
      </c>
      <c r="AD847" s="301" t="str">
        <f t="shared" si="593"/>
        <v>,,Ch E Female Mini Soccer,,1,CHILD EF - MEX</v>
      </c>
      <c r="AE847" s="153" t="str">
        <f t="shared" si="594"/>
        <v>Ch E Female Mini SoccerCHILD EF - MEX</v>
      </c>
      <c r="AF847" s="383">
        <f t="shared" si="595"/>
        <v>0</v>
      </c>
      <c r="AG847" s="383">
        <f t="shared" si="596"/>
        <v>1</v>
      </c>
      <c r="AH847" s="383">
        <f t="shared" si="597"/>
        <v>0</v>
      </c>
      <c r="AI847" s="383">
        <f t="shared" si="598"/>
        <v>1</v>
      </c>
      <c r="AJ847" s="383">
        <f t="shared" si="599"/>
        <v>0</v>
      </c>
      <c r="AK847" s="383">
        <f t="shared" si="600"/>
        <v>0</v>
      </c>
      <c r="AM847" s="148" t="str">
        <f t="shared" si="601"/>
        <v>Schedulled</v>
      </c>
      <c r="AN847" s="148" t="str">
        <f t="shared" si="602"/>
        <v/>
      </c>
      <c r="AO847" s="156">
        <f t="shared" si="603"/>
        <v>43065.680555555555</v>
      </c>
      <c r="AP847" s="148" t="str">
        <f t="shared" si="604"/>
        <v>11/26/2017 16:20-&gt;JCC Back Field 2</v>
      </c>
      <c r="AQ847" s="374">
        <f t="shared" si="605"/>
        <v>1</v>
      </c>
      <c r="AR847" s="148" t="str">
        <f t="shared" si="606"/>
        <v>ARG1</v>
      </c>
      <c r="AS847" s="148" t="str">
        <f t="shared" si="607"/>
        <v>MEX</v>
      </c>
      <c r="AT847" s="157" t="str">
        <f t="shared" si="608"/>
        <v>ARG1-MEX</v>
      </c>
      <c r="AU847" s="157" t="str">
        <f t="shared" si="609"/>
        <v>ARG1-MEX Soccer Final</v>
      </c>
      <c r="AV847" s="157" t="str">
        <f t="shared" si="610"/>
        <v>CHILDREN E FEMALE</v>
      </c>
      <c r="AW847" s="157" t="str">
        <f t="shared" si="611"/>
        <v>Soccer</v>
      </c>
      <c r="AX847" s="376">
        <f t="shared" si="612"/>
        <v>846</v>
      </c>
      <c r="AY847" s="148" t="str">
        <f t="shared" si="613"/>
        <v>CHILD EF - ARG 1-&gt;CHILD EF - MEX</v>
      </c>
      <c r="AZ847" s="148" t="str">
        <f t="shared" si="614"/>
        <v>11/26/2017 16:20-&gt;CHILD EF - ARG 1</v>
      </c>
      <c r="BA847" s="148" t="str">
        <f t="shared" si="615"/>
        <v>11/26/2017 16:20-&gt;CHILD EF - MEX</v>
      </c>
      <c r="BB847" s="374">
        <f t="shared" si="616"/>
        <v>1</v>
      </c>
      <c r="BC847" s="374">
        <f t="shared" si="617"/>
        <v>1</v>
      </c>
      <c r="BD847" s="148" t="str">
        <f t="shared" si="618"/>
        <v>no conflict</v>
      </c>
      <c r="BF847" s="148" t="str">
        <f t="shared" si="619"/>
        <v>11/26/2017 16:20-&gt;CHILD EF - ARG 1</v>
      </c>
      <c r="BG847" s="148" t="str">
        <f t="shared" si="620"/>
        <v>11/26/2017 16:20-&gt;CHILD EF - MEX</v>
      </c>
      <c r="BH847" s="148" t="str">
        <f t="shared" si="621"/>
        <v>11/26/2017 16:20-&gt;JCC Back Field 2</v>
      </c>
      <c r="BI847" s="148" t="str">
        <f t="shared" si="622"/>
        <v>Soccer in JCC Back Field 2 (ARG1-MEX)</v>
      </c>
      <c r="BJ847" s="148" t="str">
        <f t="shared" si="623"/>
        <v>Ch E Female Mini Soccer-- CHILD EF - ARG 1 vs. CHILD EF - MEX</v>
      </c>
      <c r="BK847" s="148" t="str">
        <f t="shared" si="624"/>
        <v>Soccer</v>
      </c>
      <c r="BL847" s="148" t="str">
        <f t="shared" si="625"/>
        <v>CHILD EF - ARG 1</v>
      </c>
      <c r="BM847" s="148" t="str">
        <f t="shared" si="626"/>
        <v>CHILD EF - MEX</v>
      </c>
      <c r="BN847" s="148" t="str">
        <f t="shared" si="627"/>
        <v>Final</v>
      </c>
      <c r="BP847" s="148" t="str">
        <f t="shared" si="628"/>
        <v>11/26/2017 16:20-&gt;CHILDREN E FEMALE</v>
      </c>
      <c r="BQ847" s="148" t="str">
        <f t="shared" si="629"/>
        <v>Soccer Final in JCC Back Field 2</v>
      </c>
    </row>
    <row r="848" spans="1:69" ht="15" customHeight="1" x14ac:dyDescent="0.2">
      <c r="A848" s="376">
        <v>847</v>
      </c>
      <c r="B848" s="444" t="s">
        <v>61</v>
      </c>
      <c r="C848" s="315" t="s">
        <v>769</v>
      </c>
      <c r="D848" s="378">
        <v>1</v>
      </c>
      <c r="E848" s="378">
        <v>1</v>
      </c>
      <c r="F848" s="315" t="s">
        <v>770</v>
      </c>
      <c r="G848" s="316">
        <v>43065</v>
      </c>
      <c r="H848" s="417">
        <v>0.61111111111111105</v>
      </c>
      <c r="I848" s="325" t="s">
        <v>770</v>
      </c>
      <c r="J848" s="444" t="s">
        <v>708</v>
      </c>
      <c r="K848" s="444"/>
      <c r="L848" s="462" t="s">
        <v>612</v>
      </c>
      <c r="M848" s="433"/>
      <c r="N848" s="462" t="s">
        <v>607</v>
      </c>
      <c r="O848" s="153" t="str">
        <f>IF(L848&lt;&gt;"",IFERROR(VLOOKUP(B848&amp;L848,Pools!$A$2:$D$130,3,FALSE),""),"")</f>
        <v/>
      </c>
      <c r="P848" s="388"/>
      <c r="Q848" s="388"/>
      <c r="R848" s="306" t="str">
        <f t="shared" si="585"/>
        <v>-</v>
      </c>
      <c r="S848" s="153"/>
      <c r="T848" s="148" t="str">
        <f t="shared" si="586"/>
        <v>Pending</v>
      </c>
      <c r="U848" s="153"/>
      <c r="V848" s="153"/>
      <c r="W848" s="387">
        <f t="shared" si="587"/>
        <v>0</v>
      </c>
      <c r="X848" s="387">
        <f t="shared" si="588"/>
        <v>0</v>
      </c>
      <c r="Y848" s="301" t="str">
        <f t="shared" si="589"/>
        <v>X</v>
      </c>
      <c r="Z848" s="301" t="str">
        <f t="shared" si="590"/>
        <v>X</v>
      </c>
      <c r="AA848" s="323" t="str">
        <f>CONCATENATE("                x[team1,team2,sport,'",IF(OR(I848="x",I848=""),VLOOKUP('Schedule from TM'!J850,Tables!$P$3:$Q$33,2,FALSE),'Schedule from TM'!I850),",",J848,"','",IF(OR(F848="x",F848=""),VLOOKUP('Schedule from TM'!G850,Tables!$U$3:$V$14,2,FALSE),'Schedule from TM'!F850),",",TEXT(G848,"mm/dd/yyyy"),"','",TEXT(H848,"h:mm:ss AM/PM"),"'].ub=0.0      #",B848)</f>
        <v xml:space="preserve">                x[team1,team2,sport,'21,Hillel - Gym Volleyball','21,11/26/2017','2:40:00 PM'].ub=0.0      #Ch E Female Volleyball</v>
      </c>
      <c r="AB848" s="301" t="str">
        <f t="shared" si="591"/>
        <v>,,Ch E Female Volleyball,,1,CHILD EF - PER</v>
      </c>
      <c r="AC848" s="153" t="str">
        <f t="shared" si="592"/>
        <v>Ch E Female VolleyballCHILD EF - PER</v>
      </c>
      <c r="AD848" s="301" t="str">
        <f t="shared" si="593"/>
        <v>,,Ch E Female Volleyball,,1,CHILD EF - ISR 1</v>
      </c>
      <c r="AE848" s="153" t="str">
        <f t="shared" si="594"/>
        <v>Ch E Female VolleyballCHILD EF - ISR 1</v>
      </c>
      <c r="AF848" s="383">
        <f t="shared" si="595"/>
        <v>0</v>
      </c>
      <c r="AG848" s="383">
        <f t="shared" si="596"/>
        <v>0</v>
      </c>
      <c r="AH848" s="383">
        <f t="shared" si="597"/>
        <v>0</v>
      </c>
      <c r="AI848" s="383">
        <f t="shared" si="598"/>
        <v>0</v>
      </c>
      <c r="AJ848" s="383">
        <f t="shared" si="599"/>
        <v>0</v>
      </c>
      <c r="AK848" s="383">
        <f t="shared" si="600"/>
        <v>0</v>
      </c>
      <c r="AM848" s="148" t="str">
        <f t="shared" si="601"/>
        <v>Schedulled</v>
      </c>
      <c r="AN848" s="148" t="str">
        <f t="shared" si="602"/>
        <v/>
      </c>
      <c r="AO848" s="156">
        <f t="shared" si="603"/>
        <v>43065.611111111109</v>
      </c>
      <c r="AP848" s="148" t="str">
        <f t="shared" si="604"/>
        <v>11/26/2017 14:40-&gt;Hillel - Gym Volleyball</v>
      </c>
      <c r="AQ848" s="374">
        <f t="shared" si="605"/>
        <v>1</v>
      </c>
      <c r="AR848" s="148" t="str">
        <f t="shared" si="606"/>
        <v>PER</v>
      </c>
      <c r="AS848" s="148" t="str">
        <f t="shared" si="607"/>
        <v>ISR1</v>
      </c>
      <c r="AT848" s="157" t="str">
        <f t="shared" si="608"/>
        <v>PER-ISR1</v>
      </c>
      <c r="AU848" s="157" t="str">
        <f t="shared" si="609"/>
        <v>PER-ISR1 Volleyball Final</v>
      </c>
      <c r="AV848" s="157" t="str">
        <f t="shared" si="610"/>
        <v>CHILDREN E FEMALE</v>
      </c>
      <c r="AW848" s="157" t="str">
        <f t="shared" si="611"/>
        <v>Volleyball</v>
      </c>
      <c r="AX848" s="376">
        <f t="shared" si="612"/>
        <v>847</v>
      </c>
      <c r="AY848" s="148" t="str">
        <f t="shared" si="613"/>
        <v>CHILD EF - PER-&gt;CHILD EF - ISR 1</v>
      </c>
      <c r="AZ848" s="148" t="str">
        <f t="shared" si="614"/>
        <v>11/26/2017 14:40-&gt;CHILD EF - PER</v>
      </c>
      <c r="BA848" s="148" t="str">
        <f t="shared" si="615"/>
        <v>11/26/2017 14:40-&gt;CHILD EF - ISR 1</v>
      </c>
      <c r="BB848" s="374">
        <f t="shared" si="616"/>
        <v>1</v>
      </c>
      <c r="BC848" s="374">
        <f t="shared" si="617"/>
        <v>1</v>
      </c>
      <c r="BD848" s="148" t="str">
        <f t="shared" si="618"/>
        <v>no conflict</v>
      </c>
      <c r="BF848" s="148" t="str">
        <f t="shared" si="619"/>
        <v>11/26/2017 14:40-&gt;CHILD EF - PER</v>
      </c>
      <c r="BG848" s="148" t="str">
        <f t="shared" si="620"/>
        <v>11/26/2017 14:40-&gt;CHILD EF - ISR 1</v>
      </c>
      <c r="BH848" s="148" t="str">
        <f t="shared" si="621"/>
        <v>11/26/2017 14:40-&gt;Hillel - Gym Volleyball</v>
      </c>
      <c r="BI848" s="148" t="str">
        <f t="shared" si="622"/>
        <v>Volleyball in Hillel - Gym Volleyball (PER-ISR1)</v>
      </c>
      <c r="BJ848" s="148" t="str">
        <f t="shared" si="623"/>
        <v>Ch E Female Volleyball-- CHILD EF - PER vs. CHILD EF - ISR 1</v>
      </c>
      <c r="BK848" s="148" t="str">
        <f t="shared" si="624"/>
        <v>Volleyball</v>
      </c>
      <c r="BL848" s="148" t="str">
        <f t="shared" si="625"/>
        <v>CHILD EF - PER</v>
      </c>
      <c r="BM848" s="148" t="str">
        <f t="shared" si="626"/>
        <v>CHILD EF - ISR 1</v>
      </c>
      <c r="BN848" s="148" t="str">
        <f t="shared" si="627"/>
        <v>Final</v>
      </c>
      <c r="BP848" s="148" t="str">
        <f t="shared" si="628"/>
        <v>11/26/2017 14:40-&gt;CHILDREN E FEMALE</v>
      </c>
      <c r="BQ848" s="148" t="str">
        <f t="shared" si="629"/>
        <v>Volleyball Final in Hillel - Gym Volleyball</v>
      </c>
    </row>
    <row r="849" spans="1:69" ht="15" customHeight="1" x14ac:dyDescent="0.2">
      <c r="A849" s="376">
        <v>848</v>
      </c>
      <c r="B849" s="444" t="s">
        <v>63</v>
      </c>
      <c r="C849" s="315" t="s">
        <v>769</v>
      </c>
      <c r="D849" s="378">
        <v>1</v>
      </c>
      <c r="E849" s="378">
        <v>1</v>
      </c>
      <c r="F849" s="315" t="s">
        <v>770</v>
      </c>
      <c r="G849" s="316">
        <v>43065</v>
      </c>
      <c r="H849" s="454">
        <v>0.68055555555555547</v>
      </c>
      <c r="I849" s="325" t="s">
        <v>770</v>
      </c>
      <c r="J849" s="444" t="s">
        <v>707</v>
      </c>
      <c r="K849" s="315"/>
      <c r="L849" s="462" t="s">
        <v>717</v>
      </c>
      <c r="M849"/>
      <c r="N849" s="462" t="s">
        <v>618</v>
      </c>
      <c r="O849" s="153" t="str">
        <f>IF(L849&lt;&gt;"",IFERROR(VLOOKUP(B849&amp;L849,Pools!$A$2:$D$130,3,FALSE),""),"")</f>
        <v/>
      </c>
      <c r="P849" s="388"/>
      <c r="Q849" s="388"/>
      <c r="R849" s="306" t="str">
        <f t="shared" si="585"/>
        <v>-</v>
      </c>
      <c r="S849" s="153"/>
      <c r="T849" s="148" t="str">
        <f t="shared" si="586"/>
        <v>Pending</v>
      </c>
      <c r="U849" s="153"/>
      <c r="V849" s="153"/>
      <c r="W849" s="387">
        <f t="shared" si="587"/>
        <v>0</v>
      </c>
      <c r="X849" s="387">
        <f t="shared" si="588"/>
        <v>0</v>
      </c>
      <c r="Y849" s="301" t="str">
        <f t="shared" si="589"/>
        <v>X</v>
      </c>
      <c r="Z849" s="301" t="str">
        <f t="shared" si="590"/>
        <v>X</v>
      </c>
      <c r="AA849" s="323" t="str">
        <f>CONCATENATE("                x[team1,team2,sport,'",IF(OR(I849="x",I849=""),VLOOKUP('Schedule from TM'!J851,Tables!$P$3:$Q$33,2,FALSE),'Schedule from TM'!I851),",",J849,"','",IF(OR(F849="x",F849=""),VLOOKUP('Schedule from TM'!G851,Tables!$U$3:$V$14,2,FALSE),'Schedule from TM'!F851),",",TEXT(G849,"mm/dd/yyyy"),"','",TEXT(H849,"h:mm:ss AM/PM"),"'].ub=0.0      #",B849)</f>
        <v xml:space="preserve">                x[team1,team2,sport,'21,Hillel - Gym Basketball','21,11/26/2017','4:20:00 PM'].ub=0.0      #Ch E Male Basketball</v>
      </c>
      <c r="AB849" s="301" t="str">
        <f t="shared" si="591"/>
        <v>,,Ch E Male Basketball,,1,CHILD EM - MEX 1</v>
      </c>
      <c r="AC849" s="153" t="str">
        <f t="shared" si="592"/>
        <v>Ch E Male BasketballCHILD EM - MEX 1</v>
      </c>
      <c r="AD849" s="301" t="str">
        <f t="shared" si="593"/>
        <v>,,Ch E Male Basketball,,1,CHILD EM - COL 1</v>
      </c>
      <c r="AE849" s="153" t="str">
        <f t="shared" si="594"/>
        <v>Ch E Male BasketballCHILD EM - COL 1</v>
      </c>
      <c r="AF849" s="383">
        <f t="shared" si="595"/>
        <v>0</v>
      </c>
      <c r="AG849" s="383">
        <f t="shared" si="596"/>
        <v>0</v>
      </c>
      <c r="AH849" s="383">
        <f t="shared" si="597"/>
        <v>0</v>
      </c>
      <c r="AI849" s="383">
        <f t="shared" si="598"/>
        <v>0</v>
      </c>
      <c r="AJ849" s="383">
        <f t="shared" si="599"/>
        <v>0</v>
      </c>
      <c r="AK849" s="383">
        <f t="shared" si="600"/>
        <v>0</v>
      </c>
      <c r="AM849" s="148" t="str">
        <f t="shared" si="601"/>
        <v>Schedulled</v>
      </c>
      <c r="AN849" s="148" t="str">
        <f t="shared" si="602"/>
        <v/>
      </c>
      <c r="AO849" s="156">
        <f t="shared" si="603"/>
        <v>43065.680555555555</v>
      </c>
      <c r="AP849" s="148" t="str">
        <f t="shared" si="604"/>
        <v>11/26/2017 16:20-&gt;Hillel - Gym Basketball</v>
      </c>
      <c r="AQ849" s="374">
        <f t="shared" si="605"/>
        <v>1</v>
      </c>
      <c r="AR849" s="148" t="str">
        <f t="shared" si="606"/>
        <v>MEX1</v>
      </c>
      <c r="AS849" s="148" t="str">
        <f t="shared" si="607"/>
        <v>COL1</v>
      </c>
      <c r="AT849" s="157" t="str">
        <f t="shared" si="608"/>
        <v>MEX1-COL1</v>
      </c>
      <c r="AU849" s="157" t="str">
        <f t="shared" si="609"/>
        <v>MEX1-COL1 Basketball Final</v>
      </c>
      <c r="AV849" s="157" t="str">
        <f t="shared" si="610"/>
        <v>CHILDREN E MALE</v>
      </c>
      <c r="AW849" s="157" t="str">
        <f t="shared" si="611"/>
        <v>Basketball</v>
      </c>
      <c r="AX849" s="376">
        <f t="shared" si="612"/>
        <v>848</v>
      </c>
      <c r="AY849" s="148" t="str">
        <f t="shared" si="613"/>
        <v>CHILD EM - MEX 1-&gt;CHILD EM - COL 1</v>
      </c>
      <c r="AZ849" s="148" t="str">
        <f t="shared" si="614"/>
        <v>11/26/2017 16:20-&gt;CHILD EM - MEX 1</v>
      </c>
      <c r="BA849" s="148" t="str">
        <f t="shared" si="615"/>
        <v>11/26/2017 16:20-&gt;CHILD EM - COL 1</v>
      </c>
      <c r="BB849" s="374">
        <f t="shared" si="616"/>
        <v>2</v>
      </c>
      <c r="BC849" s="374">
        <f t="shared" si="617"/>
        <v>1</v>
      </c>
      <c r="BD849" s="148" t="str">
        <f t="shared" si="618"/>
        <v>conflict</v>
      </c>
      <c r="BF849" s="148" t="str">
        <f t="shared" si="619"/>
        <v>11/26/2017 16:20-&gt;CHILD EM - MEX 1</v>
      </c>
      <c r="BG849" s="148" t="str">
        <f t="shared" si="620"/>
        <v>11/26/2017 16:20-&gt;CHILD EM - COL 1</v>
      </c>
      <c r="BH849" s="148" t="str">
        <f t="shared" si="621"/>
        <v>11/26/2017 16:20-&gt;Hillel - Gym Basketball</v>
      </c>
      <c r="BI849" s="148" t="str">
        <f t="shared" si="622"/>
        <v>Basketball in Hillel - Gym Basketball (MEX1-COL1)</v>
      </c>
      <c r="BJ849" s="148" t="str">
        <f t="shared" si="623"/>
        <v>Ch E Male Basketball-- CHILD EM - MEX 1 vs. CHILD EM - COL 1</v>
      </c>
      <c r="BK849" s="148" t="str">
        <f t="shared" si="624"/>
        <v>Basketball</v>
      </c>
      <c r="BL849" s="148" t="str">
        <f t="shared" si="625"/>
        <v>CHILD EM - MEX 1</v>
      </c>
      <c r="BM849" s="148" t="str">
        <f t="shared" si="626"/>
        <v>CHILD EM - COL 1</v>
      </c>
      <c r="BN849" s="148" t="str">
        <f t="shared" si="627"/>
        <v>Final</v>
      </c>
      <c r="BP849" s="148" t="str">
        <f t="shared" si="628"/>
        <v>11/26/2017 16:20-&gt;CHILDREN E MALE</v>
      </c>
      <c r="BQ849" s="148" t="str">
        <f t="shared" si="629"/>
        <v>Basketball Final in Hillel - Gym Basketball</v>
      </c>
    </row>
    <row r="850" spans="1:69" ht="15" customHeight="1" x14ac:dyDescent="0.2">
      <c r="A850" s="376">
        <v>849</v>
      </c>
      <c r="B850" s="315" t="s">
        <v>65</v>
      </c>
      <c r="C850" s="315" t="s">
        <v>769</v>
      </c>
      <c r="D850" s="378">
        <v>1</v>
      </c>
      <c r="E850" s="378">
        <v>1</v>
      </c>
      <c r="F850" s="315" t="s">
        <v>770</v>
      </c>
      <c r="G850" s="316">
        <v>43065</v>
      </c>
      <c r="H850" s="454">
        <v>0.64583333333333337</v>
      </c>
      <c r="I850" s="325" t="s">
        <v>770</v>
      </c>
      <c r="J850" s="444" t="s">
        <v>704</v>
      </c>
      <c r="K850" s="315"/>
      <c r="L850" s="473" t="s">
        <v>822</v>
      </c>
      <c r="M850"/>
      <c r="N850" s="473" t="s">
        <v>822</v>
      </c>
      <c r="O850" s="153" t="str">
        <f>IF(L850&lt;&gt;"",IFERROR(VLOOKUP(B850&amp;L850,Pools!$A$2:$D$130,3,FALSE),""),"")</f>
        <v/>
      </c>
      <c r="P850" s="388"/>
      <c r="Q850" s="388"/>
      <c r="R850" s="306" t="str">
        <f t="shared" si="585"/>
        <v>-</v>
      </c>
      <c r="S850" s="153"/>
      <c r="T850" s="148" t="str">
        <f t="shared" si="586"/>
        <v>Pending</v>
      </c>
      <c r="U850" s="153"/>
      <c r="V850" s="153"/>
      <c r="W850" s="387">
        <f t="shared" si="587"/>
        <v>0</v>
      </c>
      <c r="X850" s="387">
        <f t="shared" si="588"/>
        <v>0</v>
      </c>
      <c r="Y850" s="301" t="str">
        <f t="shared" si="589"/>
        <v>X</v>
      </c>
      <c r="Z850" s="301" t="str">
        <f t="shared" si="590"/>
        <v>X</v>
      </c>
      <c r="AA850" s="323" t="str">
        <f>CONCATENATE("                x[team1,team2,sport,'",IF(OR(I850="x",I850=""),VLOOKUP('Schedule from TM'!J852,Tables!$P$3:$Q$33,2,FALSE),'Schedule from TM'!I852),",",J850,"','",IF(OR(F850="x",F850=""),VLOOKUP('Schedule from TM'!G852,Tables!$U$3:$V$14,2,FALSE),'Schedule from TM'!F852),",",TEXT(G850,"mm/dd/yyyy"),"','",TEXT(H850,"h:mm:ss AM/PM"),"'].ub=0.0      #",B850)</f>
        <v xml:space="preserve">                x[team1,team2,sport,'11,Hillel - Field 2','21,11/26/2017','3:30:00 PM'].ub=0.0      #Ch E Male Flag Football</v>
      </c>
      <c r="AB850" s="301" t="str">
        <f t="shared" si="591"/>
        <v>,,Ch E Male Flag Football,,1,CHILD EM - TBD</v>
      </c>
      <c r="AC850" s="153" t="str">
        <f t="shared" si="592"/>
        <v>Ch E Male Flag FootballCHILD EM - TBD</v>
      </c>
      <c r="AD850" s="301" t="str">
        <f t="shared" si="593"/>
        <v>,,Ch E Male Flag Football,,1,CHILD EM - TBD</v>
      </c>
      <c r="AE850" s="153" t="str">
        <f t="shared" si="594"/>
        <v>Ch E Male Flag FootballCHILD EM - TBD</v>
      </c>
      <c r="AF850" s="383">
        <f t="shared" si="595"/>
        <v>0</v>
      </c>
      <c r="AG850" s="383">
        <f t="shared" si="596"/>
        <v>0</v>
      </c>
      <c r="AH850" s="383">
        <f t="shared" si="597"/>
        <v>0</v>
      </c>
      <c r="AI850" s="383">
        <f t="shared" si="598"/>
        <v>0</v>
      </c>
      <c r="AJ850" s="383">
        <f t="shared" si="599"/>
        <v>0</v>
      </c>
      <c r="AK850" s="383">
        <f t="shared" si="600"/>
        <v>0</v>
      </c>
      <c r="AM850" s="148" t="str">
        <f t="shared" si="601"/>
        <v>Schedulled</v>
      </c>
      <c r="AN850" s="148" t="str">
        <f t="shared" si="602"/>
        <v/>
      </c>
      <c r="AO850" s="156">
        <f t="shared" si="603"/>
        <v>43065.645833333336</v>
      </c>
      <c r="AP850" s="148" t="str">
        <f t="shared" si="604"/>
        <v>11/26/2017 15:30-&gt;Hillel - Field 2</v>
      </c>
      <c r="AQ850" s="374">
        <f t="shared" si="605"/>
        <v>1</v>
      </c>
      <c r="AR850" s="148" t="str">
        <f t="shared" si="606"/>
        <v/>
      </c>
      <c r="AS850" s="148" t="str">
        <f t="shared" si="607"/>
        <v/>
      </c>
      <c r="AT850" s="157" t="str">
        <f t="shared" si="608"/>
        <v/>
      </c>
      <c r="AU850" s="157" t="str">
        <f t="shared" si="609"/>
        <v>Flag Football Final</v>
      </c>
      <c r="AV850" s="157" t="str">
        <f t="shared" si="610"/>
        <v>CHILDREN E MALE</v>
      </c>
      <c r="AW850" s="157" t="str">
        <f t="shared" si="611"/>
        <v>Flag Football</v>
      </c>
      <c r="AX850" s="376">
        <f t="shared" si="612"/>
        <v>849</v>
      </c>
      <c r="AY850" s="148" t="str">
        <f t="shared" si="613"/>
        <v>CHILD EM - TBD-&gt;CHILD EM - TBD</v>
      </c>
      <c r="AZ850" s="148" t="str">
        <f t="shared" si="614"/>
        <v>11/26/2017 15:30-&gt;CHILD EM - TBD</v>
      </c>
      <c r="BA850" s="148" t="str">
        <f t="shared" si="615"/>
        <v>11/26/2017 15:30-&gt;CHILD EM - TBD</v>
      </c>
      <c r="BB850" s="374">
        <f t="shared" si="616"/>
        <v>2</v>
      </c>
      <c r="BC850" s="374">
        <f t="shared" si="617"/>
        <v>2</v>
      </c>
      <c r="BD850" s="148" t="str">
        <f t="shared" si="618"/>
        <v>conflict</v>
      </c>
      <c r="BF850" s="148" t="str">
        <f t="shared" si="619"/>
        <v>11/26/2017 15:30-&gt;CHILD EM - TBD</v>
      </c>
      <c r="BG850" s="148" t="str">
        <f t="shared" si="620"/>
        <v>11/26/2017 15:30-&gt;CHILD EM - TBD</v>
      </c>
      <c r="BH850" s="148" t="str">
        <f t="shared" si="621"/>
        <v>11/26/2017 15:30-&gt;Hillel - Field 2</v>
      </c>
      <c r="BI850" s="148" t="str">
        <f t="shared" si="622"/>
        <v>Flag Football in Hillel - Field 2 ()</v>
      </c>
      <c r="BJ850" s="148" t="str">
        <f t="shared" si="623"/>
        <v>Ch E Male Flag Football-- CHILD EM - TBD vs. CHILD EM - TBD</v>
      </c>
      <c r="BK850" s="148" t="str">
        <f t="shared" si="624"/>
        <v>Flag Football</v>
      </c>
      <c r="BL850" s="148" t="str">
        <f t="shared" si="625"/>
        <v>CHILD EM - TBD</v>
      </c>
      <c r="BM850" s="148" t="str">
        <f t="shared" si="626"/>
        <v>CHILD EM - TBD</v>
      </c>
      <c r="BN850" s="148" t="str">
        <f t="shared" si="627"/>
        <v>Final</v>
      </c>
      <c r="BP850" s="148" t="str">
        <f t="shared" si="628"/>
        <v>11/26/2017 15:30-&gt;CHILDREN E MALE</v>
      </c>
      <c r="BQ850" s="148" t="str">
        <f t="shared" si="629"/>
        <v>Flag Football Final in Hillel - Field 2</v>
      </c>
    </row>
    <row r="851" spans="1:69" ht="15" customHeight="1" x14ac:dyDescent="0.2">
      <c r="A851" s="376">
        <v>850</v>
      </c>
      <c r="B851" s="433" t="s">
        <v>732</v>
      </c>
      <c r="C851" s="315" t="s">
        <v>769</v>
      </c>
      <c r="D851" s="378">
        <v>1</v>
      </c>
      <c r="E851" s="378">
        <v>1</v>
      </c>
      <c r="F851" s="315" t="s">
        <v>770</v>
      </c>
      <c r="G851" s="316">
        <v>43065</v>
      </c>
      <c r="H851" s="454">
        <v>0.47222222222222227</v>
      </c>
      <c r="I851" s="325" t="s">
        <v>770</v>
      </c>
      <c r="J851" s="147" t="s">
        <v>703</v>
      </c>
      <c r="K851" s="315"/>
      <c r="L851" s="462" t="s">
        <v>625</v>
      </c>
      <c r="M851"/>
      <c r="N851" s="462" t="s">
        <v>616</v>
      </c>
      <c r="O851" s="153" t="str">
        <f>IF(L851&lt;&gt;"",IFERROR(VLOOKUP(B851&amp;L851,Pools!$A$2:$D$130,3,FALSE),""),"")</f>
        <v/>
      </c>
      <c r="P851" s="388">
        <v>10</v>
      </c>
      <c r="Q851" s="388">
        <v>4</v>
      </c>
      <c r="R851" s="306" t="str">
        <f t="shared" si="585"/>
        <v>10-4</v>
      </c>
      <c r="S851" s="153"/>
      <c r="T851" s="148" t="str">
        <f t="shared" si="586"/>
        <v>Completed</v>
      </c>
      <c r="U851" s="153"/>
      <c r="V851" s="153"/>
      <c r="W851" s="387">
        <f t="shared" si="587"/>
        <v>5</v>
      </c>
      <c r="X851" s="387">
        <f t="shared" si="588"/>
        <v>-5</v>
      </c>
      <c r="Y851" s="301">
        <f t="shared" si="589"/>
        <v>2</v>
      </c>
      <c r="Z851" s="301">
        <f t="shared" si="590"/>
        <v>0</v>
      </c>
      <c r="AA851" s="323" t="str">
        <f>CONCATENATE("                x[team1,team2,sport,'",IF(OR(I851="x",I851=""),VLOOKUP('Schedule from TM'!J853,Tables!$P$3:$Q$33,2,FALSE),'Schedule from TM'!I853),",",J851,"','",IF(OR(F851="x",F851=""),VLOOKUP('Schedule from TM'!G853,Tables!$U$3:$V$14,2,FALSE),'Schedule from TM'!F853),",",TEXT(G851,"mm/dd/yyyy"),"','",TEXT(H851,"h:mm:ss AM/PM"),"'].ub=0.0      #",B851)</f>
        <v xml:space="preserve">                x[team1,team2,sport,'21,Hillel - Field 1','22,11/26/2017','11:20:00 AM'].ub=0.0      #Ch E Male Kickball</v>
      </c>
      <c r="AB851" s="301" t="str">
        <f t="shared" si="591"/>
        <v>,,Ch E Male Kickball,,1,CHILD EM - VEN 2</v>
      </c>
      <c r="AC851" s="153" t="str">
        <f t="shared" si="592"/>
        <v>Ch E Male KickballCHILD EM - VEN 2</v>
      </c>
      <c r="AD851" s="301" t="str">
        <f t="shared" si="593"/>
        <v>,,Ch E Male Kickball,,1,CHILD EM - ARG 1</v>
      </c>
      <c r="AE851" s="153" t="str">
        <f t="shared" si="594"/>
        <v>Ch E Male KickballCHILD EM - ARG 1</v>
      </c>
      <c r="AF851" s="383">
        <f t="shared" si="595"/>
        <v>1</v>
      </c>
      <c r="AG851" s="383">
        <f t="shared" si="596"/>
        <v>0</v>
      </c>
      <c r="AH851" s="383">
        <f t="shared" si="597"/>
        <v>0</v>
      </c>
      <c r="AI851" s="383">
        <f t="shared" si="598"/>
        <v>0</v>
      </c>
      <c r="AJ851" s="383">
        <f t="shared" si="599"/>
        <v>1</v>
      </c>
      <c r="AK851" s="383">
        <f t="shared" si="600"/>
        <v>0</v>
      </c>
      <c r="AM851" s="148" t="str">
        <f t="shared" si="601"/>
        <v>Schedulled</v>
      </c>
      <c r="AN851" s="148" t="str">
        <f t="shared" si="602"/>
        <v/>
      </c>
      <c r="AO851" s="156">
        <f t="shared" si="603"/>
        <v>43065.472222222219</v>
      </c>
      <c r="AP851" s="148" t="str">
        <f t="shared" si="604"/>
        <v>11/26/2017 11:20-&gt;Hillel - Field 1</v>
      </c>
      <c r="AQ851" s="374">
        <f t="shared" si="605"/>
        <v>1</v>
      </c>
      <c r="AR851" s="148" t="str">
        <f t="shared" si="606"/>
        <v>VEN2</v>
      </c>
      <c r="AS851" s="148" t="str">
        <f t="shared" si="607"/>
        <v>ARG1</v>
      </c>
      <c r="AT851" s="157" t="str">
        <f t="shared" si="608"/>
        <v>VEN2-ARG1</v>
      </c>
      <c r="AU851" s="157" t="str">
        <f t="shared" si="609"/>
        <v>VEN2-ARG1 Kickball Final</v>
      </c>
      <c r="AV851" s="157" t="str">
        <f t="shared" si="610"/>
        <v>CHILDREN E MALE</v>
      </c>
      <c r="AW851" s="157" t="str">
        <f t="shared" si="611"/>
        <v>Kickball</v>
      </c>
      <c r="AX851" s="376">
        <f t="shared" si="612"/>
        <v>850</v>
      </c>
      <c r="AY851" s="148" t="str">
        <f t="shared" si="613"/>
        <v>CHILD EM - VEN 2-&gt;CHILD EM - ARG 1</v>
      </c>
      <c r="AZ851" s="148" t="str">
        <f t="shared" si="614"/>
        <v>11/26/2017 11:20-&gt;CHILD EM - VEN 2</v>
      </c>
      <c r="BA851" s="148" t="str">
        <f t="shared" si="615"/>
        <v>11/26/2017 11:20-&gt;CHILD EM - ARG 1</v>
      </c>
      <c r="BB851" s="374">
        <f t="shared" si="616"/>
        <v>1</v>
      </c>
      <c r="BC851" s="374">
        <f t="shared" si="617"/>
        <v>1</v>
      </c>
      <c r="BD851" s="148" t="str">
        <f t="shared" si="618"/>
        <v>no conflict</v>
      </c>
      <c r="BF851" s="148" t="str">
        <f t="shared" si="619"/>
        <v>11/26/2017 11:20-&gt;CHILD EM - VEN 2</v>
      </c>
      <c r="BG851" s="148" t="str">
        <f t="shared" si="620"/>
        <v>11/26/2017 11:20-&gt;CHILD EM - ARG 1</v>
      </c>
      <c r="BH851" s="148" t="str">
        <f t="shared" si="621"/>
        <v>11/26/2017 11:20-&gt;Hillel - Field 1</v>
      </c>
      <c r="BI851" s="148" t="str">
        <f t="shared" si="622"/>
        <v>Kickball in Hillel - Field 1 (VEN2-ARG1)</v>
      </c>
      <c r="BJ851" s="148" t="str">
        <f t="shared" si="623"/>
        <v>Ch E Male Kickball-- CHILD EM - VEN 2 vs. CHILD EM - ARG 1</v>
      </c>
      <c r="BK851" s="148" t="str">
        <f t="shared" si="624"/>
        <v>Kickball</v>
      </c>
      <c r="BL851" s="148" t="str">
        <f t="shared" si="625"/>
        <v>CHILD EM - VEN 2</v>
      </c>
      <c r="BM851" s="148" t="str">
        <f t="shared" si="626"/>
        <v>CHILD EM - ARG 1</v>
      </c>
      <c r="BN851" s="148" t="str">
        <f t="shared" si="627"/>
        <v>Final</v>
      </c>
      <c r="BP851" s="148" t="str">
        <f t="shared" si="628"/>
        <v>11/26/2017 11:20-&gt;CHILDREN E MALE</v>
      </c>
      <c r="BQ851" s="148" t="str">
        <f t="shared" si="629"/>
        <v>Kickball Final in Hillel - Field 1</v>
      </c>
    </row>
    <row r="852" spans="1:69" ht="15" customHeight="1" x14ac:dyDescent="0.2">
      <c r="A852" s="376">
        <v>851</v>
      </c>
      <c r="B852" s="315" t="s">
        <v>62</v>
      </c>
      <c r="C852" s="315" t="s">
        <v>769</v>
      </c>
      <c r="D852" s="378">
        <v>1</v>
      </c>
      <c r="E852" s="378">
        <v>1</v>
      </c>
      <c r="F852" s="315" t="s">
        <v>770</v>
      </c>
      <c r="G852" s="316">
        <v>43065</v>
      </c>
      <c r="H852" s="454">
        <v>0.57638888888888895</v>
      </c>
      <c r="I852" s="325" t="s">
        <v>770</v>
      </c>
      <c r="J852" s="315" t="s">
        <v>693</v>
      </c>
      <c r="K852" s="315"/>
      <c r="L852" s="462" t="s">
        <v>616</v>
      </c>
      <c r="M852"/>
      <c r="N852" s="462" t="s">
        <v>620</v>
      </c>
      <c r="O852" s="153" t="str">
        <f>IF(L852&lt;&gt;"",IFERROR(VLOOKUP(B852&amp;L852,Pools!$A$2:$D$130,3,FALSE),""),"")</f>
        <v/>
      </c>
      <c r="P852" s="388">
        <v>4</v>
      </c>
      <c r="Q852" s="388">
        <v>3</v>
      </c>
      <c r="R852" s="306" t="str">
        <f t="shared" si="585"/>
        <v>4-3</v>
      </c>
      <c r="S852" s="153"/>
      <c r="T852" s="148" t="str">
        <f t="shared" si="586"/>
        <v>Completed</v>
      </c>
      <c r="U852" s="153"/>
      <c r="V852" s="153"/>
      <c r="W852" s="387">
        <f t="shared" si="587"/>
        <v>1</v>
      </c>
      <c r="X852" s="387">
        <f t="shared" si="588"/>
        <v>-1</v>
      </c>
      <c r="Y852" s="301">
        <f t="shared" si="589"/>
        <v>2</v>
      </c>
      <c r="Z852" s="301">
        <f t="shared" si="590"/>
        <v>0</v>
      </c>
      <c r="AA852" s="323" t="str">
        <f>CONCATENATE("                x[team1,team2,sport,'",IF(OR(I852="x",I852=""),VLOOKUP('Schedule from TM'!J854,Tables!$P$3:$Q$33,2,FALSE),'Schedule from TM'!I854),",",J852,"','",IF(OR(F852="x",F852=""),VLOOKUP('Schedule from TM'!G854,Tables!$U$3:$V$14,2,FALSE),'Schedule from TM'!F854),",",TEXT(G852,"mm/dd/yyyy"),"','",TEXT(H852,"h:mm:ss AM/PM"),"'].ub=0.0      #",B852)</f>
        <v xml:space="preserve">                x[team1,team2,sport,'21,JCC Back Field 2','11,11/26/2017','1:50:00 PM'].ub=0.0      #Ch E Male Mini Soccer</v>
      </c>
      <c r="AB852" s="301" t="str">
        <f t="shared" si="591"/>
        <v>,,Ch E Male Mini Soccer,,1,CHILD EM - ARG 1</v>
      </c>
      <c r="AC852" s="153" t="str">
        <f t="shared" si="592"/>
        <v>Ch E Male Mini SoccerCHILD EM - ARG 1</v>
      </c>
      <c r="AD852" s="301" t="str">
        <f t="shared" si="593"/>
        <v>,,Ch E Male Mini Soccer,,1,CHILD EM - PER</v>
      </c>
      <c r="AE852" s="153" t="str">
        <f t="shared" si="594"/>
        <v>Ch E Male Mini SoccerCHILD EM - PER</v>
      </c>
      <c r="AF852" s="383">
        <f t="shared" si="595"/>
        <v>1</v>
      </c>
      <c r="AG852" s="383">
        <f t="shared" si="596"/>
        <v>0</v>
      </c>
      <c r="AH852" s="383">
        <f t="shared" si="597"/>
        <v>0</v>
      </c>
      <c r="AI852" s="383">
        <f t="shared" si="598"/>
        <v>0</v>
      </c>
      <c r="AJ852" s="383">
        <f t="shared" si="599"/>
        <v>1</v>
      </c>
      <c r="AK852" s="383">
        <f t="shared" si="600"/>
        <v>0</v>
      </c>
      <c r="AM852" s="148" t="str">
        <f t="shared" si="601"/>
        <v>Schedulled</v>
      </c>
      <c r="AN852" s="148" t="str">
        <f t="shared" si="602"/>
        <v/>
      </c>
      <c r="AO852" s="156">
        <f t="shared" si="603"/>
        <v>43065.576388888891</v>
      </c>
      <c r="AP852" s="148" t="str">
        <f t="shared" si="604"/>
        <v>11/26/2017 13:50-&gt;JCC Back Field 2</v>
      </c>
      <c r="AQ852" s="374">
        <f t="shared" si="605"/>
        <v>1</v>
      </c>
      <c r="AR852" s="148" t="str">
        <f t="shared" si="606"/>
        <v>ARG1</v>
      </c>
      <c r="AS852" s="148" t="str">
        <f t="shared" si="607"/>
        <v>PER</v>
      </c>
      <c r="AT852" s="157" t="str">
        <f t="shared" si="608"/>
        <v>ARG1-PER</v>
      </c>
      <c r="AU852" s="157" t="str">
        <f t="shared" si="609"/>
        <v>ARG1-PER Soccer Final</v>
      </c>
      <c r="AV852" s="157" t="str">
        <f t="shared" si="610"/>
        <v>CHILDREN E MALE</v>
      </c>
      <c r="AW852" s="157" t="str">
        <f t="shared" si="611"/>
        <v>Soccer</v>
      </c>
      <c r="AX852" s="376">
        <f t="shared" si="612"/>
        <v>851</v>
      </c>
      <c r="AY852" s="148" t="str">
        <f t="shared" si="613"/>
        <v>CHILD EM - ARG 1-&gt;CHILD EM - PER</v>
      </c>
      <c r="AZ852" s="148" t="str">
        <f t="shared" si="614"/>
        <v>11/26/2017 13:50-&gt;CHILD EM - ARG 1</v>
      </c>
      <c r="BA852" s="148" t="str">
        <f t="shared" si="615"/>
        <v>11/26/2017 13:50-&gt;CHILD EM - PER</v>
      </c>
      <c r="BB852" s="374">
        <f t="shared" si="616"/>
        <v>1</v>
      </c>
      <c r="BC852" s="374">
        <f t="shared" si="617"/>
        <v>1</v>
      </c>
      <c r="BD852" s="148" t="str">
        <f t="shared" si="618"/>
        <v>no conflict</v>
      </c>
      <c r="BF852" s="148" t="str">
        <f t="shared" si="619"/>
        <v>11/26/2017 13:50-&gt;CHILD EM - ARG 1</v>
      </c>
      <c r="BG852" s="148" t="str">
        <f t="shared" si="620"/>
        <v>11/26/2017 13:50-&gt;CHILD EM - PER</v>
      </c>
      <c r="BH852" s="148" t="str">
        <f t="shared" si="621"/>
        <v>11/26/2017 13:50-&gt;JCC Back Field 2</v>
      </c>
      <c r="BI852" s="148" t="str">
        <f t="shared" si="622"/>
        <v>Soccer in JCC Back Field 2 (ARG1-PER)</v>
      </c>
      <c r="BJ852" s="148" t="str">
        <f t="shared" si="623"/>
        <v>Ch E Male Mini Soccer-- CHILD EM - ARG 1 vs. CHILD EM - PER</v>
      </c>
      <c r="BK852" s="148" t="str">
        <f t="shared" si="624"/>
        <v>Soccer</v>
      </c>
      <c r="BL852" s="148" t="str">
        <f t="shared" si="625"/>
        <v>CHILD EM - ARG 1</v>
      </c>
      <c r="BM852" s="148" t="str">
        <f t="shared" si="626"/>
        <v>CHILD EM - PER</v>
      </c>
      <c r="BN852" s="148" t="str">
        <f t="shared" si="627"/>
        <v>Final</v>
      </c>
      <c r="BP852" s="148" t="str">
        <f t="shared" si="628"/>
        <v>11/26/2017 13:50-&gt;CHILDREN E MALE</v>
      </c>
      <c r="BQ852" s="148" t="str">
        <f t="shared" si="629"/>
        <v>Soccer Final in JCC Back Field 2</v>
      </c>
    </row>
    <row r="853" spans="1:69" ht="15" customHeight="1" x14ac:dyDescent="0.2">
      <c r="A853" s="376">
        <v>852</v>
      </c>
      <c r="B853" s="121" t="s">
        <v>731</v>
      </c>
      <c r="C853" s="121" t="s">
        <v>769</v>
      </c>
      <c r="D853" s="382">
        <v>1</v>
      </c>
      <c r="E853" s="382">
        <v>1</v>
      </c>
      <c r="F853" s="315" t="s">
        <v>770</v>
      </c>
      <c r="G853" s="206">
        <v>43061</v>
      </c>
      <c r="H853" s="317">
        <v>0.88888888888888884</v>
      </c>
      <c r="I853" s="325" t="s">
        <v>770</v>
      </c>
      <c r="J853" s="121" t="s">
        <v>707</v>
      </c>
      <c r="K853" s="444"/>
      <c r="L853" s="423" t="s">
        <v>632</v>
      </c>
      <c r="M853"/>
      <c r="N853" s="423" t="s">
        <v>630</v>
      </c>
      <c r="O853" s="153" t="str">
        <f>IF(L853&lt;&gt;"",IFERROR(VLOOKUP(B853&amp;L853,Pools!$A$2:$D$130,3,FALSE),""),"")</f>
        <v/>
      </c>
      <c r="P853" s="388">
        <v>55</v>
      </c>
      <c r="Q853" s="388">
        <v>35</v>
      </c>
      <c r="R853" s="306" t="str">
        <f t="shared" si="585"/>
        <v>55-35</v>
      </c>
      <c r="S853" s="153"/>
      <c r="T853" s="148" t="str">
        <f t="shared" si="586"/>
        <v>Completed</v>
      </c>
      <c r="U853" s="153"/>
      <c r="V853" s="153"/>
      <c r="W853" s="387">
        <f t="shared" si="587"/>
        <v>15</v>
      </c>
      <c r="X853" s="387">
        <f t="shared" si="588"/>
        <v>-15</v>
      </c>
      <c r="Y853" s="301">
        <f t="shared" si="589"/>
        <v>2</v>
      </c>
      <c r="Z853" s="301">
        <f t="shared" si="590"/>
        <v>0</v>
      </c>
      <c r="AA853" s="323" t="str">
        <f>CONCATENATE("                x[team1,team2,sport,'",IF(OR(I853="x",I853=""),VLOOKUP('Schedule from TM'!J855,Tables!$P$3:$Q$33,2,FALSE),'Schedule from TM'!I855),",",J853,"','",IF(OR(F853="x",F853=""),VLOOKUP('Schedule from TM'!G855,Tables!$U$3:$V$14,2,FALSE),'Schedule from TM'!F855),",",TEXT(G853,"mm/dd/yyyy"),"','",TEXT(H853,"h:mm:ss AM/PM"),"'].ub=0.0      #",B853)</f>
        <v xml:space="preserve">                x[team1,team2,sport,'21,Hillel - Gym Basketball','21,11/22/2017','9:20:00 PM'].ub=0.0      #College Male Basketball Final</v>
      </c>
      <c r="AB853" s="301" t="str">
        <f t="shared" si="591"/>
        <v>,,College Male Basketball Final,,1,COL M - SEC</v>
      </c>
      <c r="AC853" s="153" t="str">
        <f t="shared" si="592"/>
        <v>College Male Basketball FinalCOL M - SEC</v>
      </c>
      <c r="AD853" s="301" t="str">
        <f t="shared" si="593"/>
        <v>,,College Male Basketball Final,,1,COL M - BIG EAST</v>
      </c>
      <c r="AE853" s="153" t="str">
        <f t="shared" si="594"/>
        <v>College Male Basketball FinalCOL M - BIG EAST</v>
      </c>
      <c r="AF853" s="383">
        <f t="shared" si="595"/>
        <v>1</v>
      </c>
      <c r="AG853" s="383">
        <f t="shared" si="596"/>
        <v>0</v>
      </c>
      <c r="AH853" s="383">
        <f t="shared" si="597"/>
        <v>0</v>
      </c>
      <c r="AI853" s="383">
        <f t="shared" si="598"/>
        <v>0</v>
      </c>
      <c r="AJ853" s="383">
        <f t="shared" si="599"/>
        <v>1</v>
      </c>
      <c r="AK853" s="383">
        <f t="shared" si="600"/>
        <v>0</v>
      </c>
      <c r="AM853" s="148" t="str">
        <f t="shared" si="601"/>
        <v>Schedulled</v>
      </c>
      <c r="AN853" s="148" t="str">
        <f t="shared" si="602"/>
        <v/>
      </c>
      <c r="AO853" s="156">
        <f t="shared" si="603"/>
        <v>43061.888888888891</v>
      </c>
      <c r="AP853" s="148" t="str">
        <f t="shared" si="604"/>
        <v>11/22/2017 21:20-&gt;Hillel - Gym Basketball</v>
      </c>
      <c r="AQ853" s="374">
        <f t="shared" si="605"/>
        <v>1</v>
      </c>
      <c r="AR853" s="148" t="str">
        <f t="shared" si="606"/>
        <v>SEC</v>
      </c>
      <c r="AS853" s="148" t="str">
        <f t="shared" si="607"/>
        <v>BIGEAST</v>
      </c>
      <c r="AT853" s="157" t="str">
        <f t="shared" si="608"/>
        <v>SEC-BIGEAST</v>
      </c>
      <c r="AU853" s="157" t="str">
        <f t="shared" si="609"/>
        <v>SEC-BIGEAST Basketball Final</v>
      </c>
      <c r="AV853" s="157" t="str">
        <f t="shared" si="610"/>
        <v>COLLEGE</v>
      </c>
      <c r="AW853" s="157" t="str">
        <f t="shared" si="611"/>
        <v>Basketball</v>
      </c>
      <c r="AX853" s="376">
        <f t="shared" si="612"/>
        <v>852</v>
      </c>
      <c r="AY853" s="148" t="str">
        <f t="shared" si="613"/>
        <v>COL M - SEC-&gt;COL M - BIG EAST</v>
      </c>
      <c r="AZ853" s="148" t="str">
        <f t="shared" si="614"/>
        <v>11/22/2017 21:20-&gt;COL M - SEC</v>
      </c>
      <c r="BA853" s="148" t="str">
        <f t="shared" si="615"/>
        <v>11/22/2017 21:20-&gt;COL M - BIG EAST</v>
      </c>
      <c r="BB853" s="374">
        <f t="shared" si="616"/>
        <v>1</v>
      </c>
      <c r="BC853" s="374">
        <f t="shared" si="617"/>
        <v>1</v>
      </c>
      <c r="BD853" s="148" t="str">
        <f t="shared" si="618"/>
        <v>no conflict</v>
      </c>
      <c r="BF853" s="148" t="str">
        <f t="shared" si="619"/>
        <v>11/22/2017 21:20-&gt;COL M - SEC</v>
      </c>
      <c r="BG853" s="148" t="str">
        <f t="shared" si="620"/>
        <v>11/22/2017 21:20-&gt;COL M - BIG EAST</v>
      </c>
      <c r="BH853" s="148" t="str">
        <f t="shared" si="621"/>
        <v>11/22/2017 21:20-&gt;Hillel - Gym Basketball</v>
      </c>
      <c r="BI853" s="148" t="str">
        <f t="shared" si="622"/>
        <v>Basketball in Hillel - Gym Basketball (SEC-BIGEAST)</v>
      </c>
      <c r="BJ853" s="148" t="str">
        <f t="shared" si="623"/>
        <v>College Male Basketball Final-- COL M - SEC vs. COL M - BIG EAST</v>
      </c>
      <c r="BK853" s="148" t="str">
        <f t="shared" si="624"/>
        <v>Basketball</v>
      </c>
      <c r="BL853" s="148" t="str">
        <f t="shared" si="625"/>
        <v>COL M - SEC</v>
      </c>
      <c r="BM853" s="148" t="str">
        <f t="shared" si="626"/>
        <v>COL M - BIG EAST</v>
      </c>
      <c r="BN853" s="148" t="str">
        <f t="shared" si="627"/>
        <v>Final</v>
      </c>
      <c r="BP853" s="148" t="str">
        <f t="shared" si="628"/>
        <v>11/22/2017 21:20-&gt;COLLEGE</v>
      </c>
      <c r="BQ853" s="148" t="str">
        <f t="shared" si="629"/>
        <v>Basketball Final in Hillel - Gym Basketball</v>
      </c>
    </row>
    <row r="854" spans="1:69" ht="15" customHeight="1" x14ac:dyDescent="0.2">
      <c r="A854" s="376">
        <v>853</v>
      </c>
      <c r="B854" s="121" t="s">
        <v>729</v>
      </c>
      <c r="C854" s="121" t="s">
        <v>769</v>
      </c>
      <c r="D854" s="382">
        <v>1</v>
      </c>
      <c r="E854" s="382">
        <v>1</v>
      </c>
      <c r="F854" s="315" t="s">
        <v>770</v>
      </c>
      <c r="G854" s="206">
        <v>43063</v>
      </c>
      <c r="H854" s="454">
        <v>0.64583333333333337</v>
      </c>
      <c r="I854" s="325" t="s">
        <v>770</v>
      </c>
      <c r="J854" s="121" t="s">
        <v>703</v>
      </c>
      <c r="K854" s="315"/>
      <c r="L854" s="423" t="s">
        <v>632</v>
      </c>
      <c r="M854"/>
      <c r="N854" s="423" t="s">
        <v>630</v>
      </c>
      <c r="O854" s="153" t="str">
        <f>IF(L854&lt;&gt;"",IFERROR(VLOOKUP(B854&amp;L854,Pools!$A$2:$D$130,3,FALSE),""),"")</f>
        <v/>
      </c>
      <c r="P854" s="388">
        <v>39</v>
      </c>
      <c r="Q854" s="388">
        <v>23</v>
      </c>
      <c r="R854" s="306" t="str">
        <f t="shared" si="585"/>
        <v>39-23</v>
      </c>
      <c r="S854" s="153"/>
      <c r="T854" s="148" t="str">
        <f t="shared" si="586"/>
        <v>Completed</v>
      </c>
      <c r="U854" s="153"/>
      <c r="V854" s="153"/>
      <c r="W854" s="387">
        <f t="shared" si="587"/>
        <v>16</v>
      </c>
      <c r="X854" s="387">
        <f t="shared" si="588"/>
        <v>-16</v>
      </c>
      <c r="Y854" s="301">
        <f t="shared" si="589"/>
        <v>2</v>
      </c>
      <c r="Z854" s="301">
        <f t="shared" si="590"/>
        <v>0</v>
      </c>
      <c r="AA854" s="323" t="str">
        <f>CONCATENATE("                x[team1,team2,sport,'",IF(OR(I854="x",I854=""),VLOOKUP('Schedule from TM'!J856,Tables!$P$3:$Q$33,2,FALSE),'Schedule from TM'!I856),",",J854,"','",IF(OR(F854="x",F854=""),VLOOKUP('Schedule from TM'!G856,Tables!$U$3:$V$14,2,FALSE),'Schedule from TM'!F856),",",TEXT(G854,"mm/dd/yyyy"),"','",TEXT(H854,"h:mm:ss AM/PM"),"'].ub=0.0      #",B854)</f>
        <v xml:space="preserve">                x[team1,team2,sport,'21,Hillel - Field 1','11,11/24/2017','3:30:00 PM'].ub=0.0      #College Male Flag Football Final</v>
      </c>
      <c r="AB854" s="301" t="str">
        <f t="shared" si="591"/>
        <v>,,College Male Flag Football Final,,1,COL M - SEC</v>
      </c>
      <c r="AC854" s="153" t="str">
        <f t="shared" si="592"/>
        <v>College Male Flag Football FinalCOL M - SEC</v>
      </c>
      <c r="AD854" s="301" t="str">
        <f t="shared" si="593"/>
        <v>,,College Male Flag Football Final,,1,COL M - BIG EAST</v>
      </c>
      <c r="AE854" s="153" t="str">
        <f t="shared" si="594"/>
        <v>College Male Flag Football FinalCOL M - BIG EAST</v>
      </c>
      <c r="AF854" s="383">
        <f t="shared" si="595"/>
        <v>1</v>
      </c>
      <c r="AG854" s="383">
        <f t="shared" si="596"/>
        <v>0</v>
      </c>
      <c r="AH854" s="383">
        <f t="shared" si="597"/>
        <v>0</v>
      </c>
      <c r="AI854" s="383">
        <f t="shared" si="598"/>
        <v>0</v>
      </c>
      <c r="AJ854" s="383">
        <f t="shared" si="599"/>
        <v>1</v>
      </c>
      <c r="AK854" s="383">
        <f t="shared" si="600"/>
        <v>0</v>
      </c>
      <c r="AM854" s="148" t="str">
        <f t="shared" si="601"/>
        <v>Schedulled</v>
      </c>
      <c r="AN854" s="148" t="str">
        <f t="shared" si="602"/>
        <v/>
      </c>
      <c r="AO854" s="156">
        <f t="shared" si="603"/>
        <v>43063.645833333336</v>
      </c>
      <c r="AP854" s="148" t="str">
        <f t="shared" si="604"/>
        <v>11/24/2017 15:30-&gt;Hillel - Field 1</v>
      </c>
      <c r="AQ854" s="374">
        <f t="shared" si="605"/>
        <v>1</v>
      </c>
      <c r="AR854" s="148" t="str">
        <f t="shared" si="606"/>
        <v>SEC</v>
      </c>
      <c r="AS854" s="148" t="str">
        <f t="shared" si="607"/>
        <v>BIGEAST</v>
      </c>
      <c r="AT854" s="157" t="str">
        <f t="shared" si="608"/>
        <v>SEC-BIGEAST</v>
      </c>
      <c r="AU854" s="157" t="str">
        <f t="shared" si="609"/>
        <v>SEC-BIGEAST Flag Football Final</v>
      </c>
      <c r="AV854" s="157" t="str">
        <f t="shared" si="610"/>
        <v>COLLEGE</v>
      </c>
      <c r="AW854" s="157" t="str">
        <f t="shared" si="611"/>
        <v>Flag Football</v>
      </c>
      <c r="AX854" s="376">
        <f t="shared" si="612"/>
        <v>853</v>
      </c>
      <c r="AY854" s="148" t="str">
        <f t="shared" si="613"/>
        <v>COL M - SEC-&gt;COL M - BIG EAST</v>
      </c>
      <c r="AZ854" s="148" t="str">
        <f t="shared" si="614"/>
        <v>11/24/2017 15:30-&gt;COL M - SEC</v>
      </c>
      <c r="BA854" s="148" t="str">
        <f t="shared" si="615"/>
        <v>11/24/2017 15:30-&gt;COL M - BIG EAST</v>
      </c>
      <c r="BB854" s="374">
        <f t="shared" si="616"/>
        <v>1</v>
      </c>
      <c r="BC854" s="374">
        <f t="shared" si="617"/>
        <v>1</v>
      </c>
      <c r="BD854" s="148" t="str">
        <f t="shared" si="618"/>
        <v>no conflict</v>
      </c>
      <c r="BF854" s="148" t="str">
        <f t="shared" si="619"/>
        <v>11/24/2017 15:30-&gt;COL M - SEC</v>
      </c>
      <c r="BG854" s="148" t="str">
        <f t="shared" si="620"/>
        <v>11/24/2017 15:30-&gt;COL M - BIG EAST</v>
      </c>
      <c r="BH854" s="148" t="str">
        <f t="shared" si="621"/>
        <v>11/24/2017 15:30-&gt;Hillel - Field 1</v>
      </c>
      <c r="BI854" s="148" t="str">
        <f t="shared" si="622"/>
        <v>Flag Football in Hillel - Field 1 (SEC-BIGEAST)</v>
      </c>
      <c r="BJ854" s="148" t="str">
        <f t="shared" si="623"/>
        <v>College Male Flag Football Final-- COL M - SEC vs. COL M - BIG EAST</v>
      </c>
      <c r="BK854" s="148" t="str">
        <f t="shared" si="624"/>
        <v>Flag Football</v>
      </c>
      <c r="BL854" s="148" t="str">
        <f t="shared" si="625"/>
        <v>COL M - SEC</v>
      </c>
      <c r="BM854" s="148" t="str">
        <f t="shared" si="626"/>
        <v>COL M - BIG EAST</v>
      </c>
      <c r="BN854" s="148" t="str">
        <f t="shared" si="627"/>
        <v>Final</v>
      </c>
      <c r="BP854" s="148" t="str">
        <f t="shared" si="628"/>
        <v>11/24/2017 15:30-&gt;COLLEGE</v>
      </c>
      <c r="BQ854" s="148" t="str">
        <f t="shared" si="629"/>
        <v>Flag Football Final in Hillel - Field 1</v>
      </c>
    </row>
    <row r="855" spans="1:69" ht="15" customHeight="1" x14ac:dyDescent="0.2">
      <c r="A855" s="376">
        <v>854</v>
      </c>
      <c r="B855" s="121" t="s">
        <v>730</v>
      </c>
      <c r="C855" s="121" t="s">
        <v>769</v>
      </c>
      <c r="D855" s="382">
        <v>1</v>
      </c>
      <c r="E855" s="382">
        <v>1</v>
      </c>
      <c r="F855" s="315" t="s">
        <v>770</v>
      </c>
      <c r="G855" s="206">
        <v>43064</v>
      </c>
      <c r="H855" s="122">
        <v>0.88888888888888884</v>
      </c>
      <c r="I855" s="325" t="s">
        <v>770</v>
      </c>
      <c r="J855" s="121" t="s">
        <v>703</v>
      </c>
      <c r="K855" s="315"/>
      <c r="L855" s="476"/>
      <c r="M855"/>
      <c r="N855" s="473"/>
      <c r="O855" s="153" t="str">
        <f>IF(L855&lt;&gt;"",IFERROR(VLOOKUP(B855&amp;L855,Pools!$A$2:$D$130,3,FALSE),""),"")</f>
        <v/>
      </c>
      <c r="P855" s="388"/>
      <c r="Q855" s="388"/>
      <c r="R855" s="306" t="str">
        <f t="shared" si="585"/>
        <v>-</v>
      </c>
      <c r="S855" s="153"/>
      <c r="T855" s="148" t="str">
        <f t="shared" si="586"/>
        <v>Pending</v>
      </c>
      <c r="U855" s="153"/>
      <c r="V855" s="153"/>
      <c r="W855" s="387">
        <f t="shared" si="587"/>
        <v>0</v>
      </c>
      <c r="X855" s="387">
        <f t="shared" si="588"/>
        <v>0</v>
      </c>
      <c r="Y855" s="301" t="str">
        <f t="shared" si="589"/>
        <v>X</v>
      </c>
      <c r="Z855" s="301" t="str">
        <f t="shared" si="590"/>
        <v>X</v>
      </c>
      <c r="AA855" s="323" t="str">
        <f>CONCATENATE("                x[team1,team2,sport,'",IF(OR(I855="x",I855=""),VLOOKUP('Schedule from TM'!J857,Tables!$P$3:$Q$33,2,FALSE),'Schedule from TM'!I857),",",J855,"','",IF(OR(F855="x",F855=""),VLOOKUP('Schedule from TM'!G857,Tables!$U$3:$V$14,2,FALSE),'Schedule from TM'!F857),",",TEXT(G855,"mm/dd/yyyy"),"','",TEXT(H855,"h:mm:ss AM/PM"),"'].ub=0.0      #",B855)</f>
        <v xml:space="preserve">                x[team1,team2,sport,'21,Hillel - Field 1','21,11/25/2017','9:20:00 PM'].ub=0.0      #College Male Mini Soccer Final</v>
      </c>
      <c r="AB855" s="301" t="str">
        <f t="shared" si="591"/>
        <v>,,College Male Mini Soccer Final,,1,</v>
      </c>
      <c r="AC855" s="153" t="str">
        <f t="shared" si="592"/>
        <v>College Male Mini Soccer Final</v>
      </c>
      <c r="AD855" s="301" t="str">
        <f t="shared" si="593"/>
        <v>,,College Male Mini Soccer Final,,1,</v>
      </c>
      <c r="AE855" s="153" t="str">
        <f t="shared" si="594"/>
        <v>College Male Mini Soccer Final</v>
      </c>
      <c r="AF855" s="383">
        <f t="shared" si="595"/>
        <v>0</v>
      </c>
      <c r="AG855" s="383">
        <f t="shared" si="596"/>
        <v>0</v>
      </c>
      <c r="AH855" s="383">
        <f t="shared" si="597"/>
        <v>0</v>
      </c>
      <c r="AI855" s="383">
        <f t="shared" si="598"/>
        <v>0</v>
      </c>
      <c r="AJ855" s="383">
        <f t="shared" si="599"/>
        <v>0</v>
      </c>
      <c r="AK855" s="383">
        <f t="shared" si="600"/>
        <v>0</v>
      </c>
      <c r="AM855" s="148" t="str">
        <f t="shared" si="601"/>
        <v>Schedulled</v>
      </c>
      <c r="AN855" s="148" t="str">
        <f t="shared" si="602"/>
        <v>Schedulled no team</v>
      </c>
      <c r="AO855" s="156">
        <f t="shared" si="603"/>
        <v>43064.888888888891</v>
      </c>
      <c r="AP855" s="148" t="str">
        <f t="shared" si="604"/>
        <v>11/25/2017 21:20-&gt;Hillel - Field 1</v>
      </c>
      <c r="AQ855" s="374">
        <f t="shared" si="605"/>
        <v>1</v>
      </c>
      <c r="AR855" s="148" t="str">
        <f t="shared" si="606"/>
        <v/>
      </c>
      <c r="AS855" s="148" t="str">
        <f t="shared" si="607"/>
        <v/>
      </c>
      <c r="AT855" s="157" t="str">
        <f t="shared" si="608"/>
        <v/>
      </c>
      <c r="AU855" s="157" t="str">
        <f t="shared" si="609"/>
        <v>Soccer Final</v>
      </c>
      <c r="AV855" s="157" t="str">
        <f t="shared" si="610"/>
        <v>COLLEGE</v>
      </c>
      <c r="AW855" s="157" t="str">
        <f t="shared" si="611"/>
        <v>Soccer</v>
      </c>
      <c r="AX855" s="376">
        <f t="shared" si="612"/>
        <v>854</v>
      </c>
      <c r="AY855" s="148" t="str">
        <f t="shared" si="613"/>
        <v>-&gt;</v>
      </c>
      <c r="AZ855" s="148" t="str">
        <f t="shared" si="614"/>
        <v>11/25/2017 21:20-&gt;</v>
      </c>
      <c r="BA855" s="148" t="str">
        <f t="shared" si="615"/>
        <v>11/25/2017 21:20-&gt;</v>
      </c>
      <c r="BB855" s="374">
        <f t="shared" si="616"/>
        <v>0</v>
      </c>
      <c r="BC855" s="374">
        <f t="shared" si="617"/>
        <v>0</v>
      </c>
      <c r="BD855" s="148" t="str">
        <f t="shared" si="618"/>
        <v>no conflict</v>
      </c>
      <c r="BF855" s="148" t="str">
        <f t="shared" si="619"/>
        <v>11/25/2017 21:20-&gt;</v>
      </c>
      <c r="BG855" s="148" t="str">
        <f t="shared" si="620"/>
        <v>11/25/2017 21:20-&gt;</v>
      </c>
      <c r="BH855" s="148" t="str">
        <f t="shared" si="621"/>
        <v>11/25/2017 21:20-&gt;Hillel - Field 1</v>
      </c>
      <c r="BI855" s="148" t="str">
        <f t="shared" si="622"/>
        <v>Soccer in Hillel - Field 1 ()</v>
      </c>
      <c r="BJ855" s="148" t="str">
        <f t="shared" si="623"/>
        <v xml:space="preserve">College Male Mini Soccer Final--  vs. </v>
      </c>
      <c r="BK855" s="148" t="str">
        <f t="shared" si="624"/>
        <v>Soccer</v>
      </c>
      <c r="BL855" s="148">
        <f t="shared" si="625"/>
        <v>0</v>
      </c>
      <c r="BM855" s="148">
        <f t="shared" si="626"/>
        <v>0</v>
      </c>
      <c r="BN855" s="148" t="str">
        <f t="shared" si="627"/>
        <v>Final</v>
      </c>
      <c r="BP855" s="148" t="str">
        <f t="shared" si="628"/>
        <v>11/25/2017 21:20-&gt;COLLEGE</v>
      </c>
      <c r="BQ855" s="148" t="str">
        <f t="shared" si="629"/>
        <v>Soccer Final in Hillel - Field 1</v>
      </c>
    </row>
    <row r="856" spans="1:69" ht="15" customHeight="1" x14ac:dyDescent="0.2">
      <c r="A856" s="376">
        <v>855</v>
      </c>
      <c r="B856" s="328" t="s">
        <v>728</v>
      </c>
      <c r="C856" s="121" t="s">
        <v>769</v>
      </c>
      <c r="D856" s="382">
        <v>1</v>
      </c>
      <c r="E856" s="382">
        <v>1</v>
      </c>
      <c r="F856" s="315" t="s">
        <v>770</v>
      </c>
      <c r="G856" s="206">
        <v>43062</v>
      </c>
      <c r="H856" s="317">
        <v>0.68055555555555547</v>
      </c>
      <c r="I856" s="325" t="s">
        <v>770</v>
      </c>
      <c r="J856" s="121" t="s">
        <v>708</v>
      </c>
      <c r="K856" s="315"/>
      <c r="L856" s="476"/>
      <c r="M856"/>
      <c r="N856" s="476"/>
      <c r="O856" s="153" t="str">
        <f>IF(L856&lt;&gt;"",IFERROR(VLOOKUP(B856&amp;L856,Pools!$A$2:$D$130,3,FALSE),""),"")</f>
        <v/>
      </c>
      <c r="P856" s="388">
        <v>0</v>
      </c>
      <c r="Q856" s="388">
        <v>0</v>
      </c>
      <c r="R856" s="306" t="str">
        <f t="shared" si="585"/>
        <v>0-0</v>
      </c>
      <c r="S856" s="153"/>
      <c r="T856" s="148" t="str">
        <f t="shared" si="586"/>
        <v>Completed</v>
      </c>
      <c r="U856" s="153"/>
      <c r="V856" s="153"/>
      <c r="W856" s="387">
        <f t="shared" si="587"/>
        <v>0</v>
      </c>
      <c r="X856" s="387">
        <f t="shared" si="588"/>
        <v>0</v>
      </c>
      <c r="Y856" s="301">
        <f t="shared" si="589"/>
        <v>1</v>
      </c>
      <c r="Z856" s="301">
        <f t="shared" si="590"/>
        <v>1</v>
      </c>
      <c r="AA856" s="323" t="str">
        <f>CONCATENATE("                x[team1,team2,sport,'",IF(OR(I856="x",I856=""),VLOOKUP('Schedule from TM'!J858,Tables!$P$3:$Q$33,2,FALSE),'Schedule from TM'!I858),",",J856,"','",IF(OR(F856="x",F856=""),VLOOKUP('Schedule from TM'!G858,Tables!$U$3:$V$14,2,FALSE),'Schedule from TM'!F858),",",TEXT(G856,"mm/dd/yyyy"),"','",TEXT(H856,"h:mm:ss AM/PM"),"'].ub=0.0      #",B856)</f>
        <v xml:space="preserve">                x[team1,team2,sport,'21,Hillel - Gym Volleyball','21,11/23/2017','4:20:00 PM'].ub=0.0      #College Male Volleyball Final</v>
      </c>
      <c r="AB856" s="301" t="str">
        <f t="shared" si="591"/>
        <v>,,College Male Volleyball Final,,1,</v>
      </c>
      <c r="AC856" s="153" t="str">
        <f t="shared" si="592"/>
        <v>College Male Volleyball Final</v>
      </c>
      <c r="AD856" s="301" t="str">
        <f t="shared" si="593"/>
        <v>,,College Male Volleyball Final,,1,</v>
      </c>
      <c r="AE856" s="153" t="str">
        <f t="shared" si="594"/>
        <v>College Male Volleyball Final</v>
      </c>
      <c r="AF856" s="383">
        <f t="shared" si="595"/>
        <v>0</v>
      </c>
      <c r="AG856" s="383">
        <f t="shared" si="596"/>
        <v>0</v>
      </c>
      <c r="AH856" s="383">
        <f t="shared" si="597"/>
        <v>1</v>
      </c>
      <c r="AI856" s="383">
        <f t="shared" si="598"/>
        <v>0</v>
      </c>
      <c r="AJ856" s="383">
        <f t="shared" si="599"/>
        <v>0</v>
      </c>
      <c r="AK856" s="383">
        <f t="shared" si="600"/>
        <v>1</v>
      </c>
      <c r="AM856" s="148" t="str">
        <f t="shared" si="601"/>
        <v>Schedulled</v>
      </c>
      <c r="AN856" s="148" t="str">
        <f t="shared" si="602"/>
        <v>Schedulled no team</v>
      </c>
      <c r="AO856" s="156">
        <f t="shared" si="603"/>
        <v>43062.680555555555</v>
      </c>
      <c r="AP856" s="148" t="str">
        <f t="shared" si="604"/>
        <v>11/23/2017 16:20-&gt;Hillel - Gym Volleyball</v>
      </c>
      <c r="AQ856" s="374">
        <f t="shared" si="605"/>
        <v>1</v>
      </c>
      <c r="AR856" s="148" t="str">
        <f t="shared" si="606"/>
        <v/>
      </c>
      <c r="AS856" s="148" t="str">
        <f t="shared" si="607"/>
        <v/>
      </c>
      <c r="AT856" s="157" t="str">
        <f t="shared" si="608"/>
        <v/>
      </c>
      <c r="AU856" s="157" t="str">
        <f t="shared" si="609"/>
        <v>Volleyball Final</v>
      </c>
      <c r="AV856" s="157" t="str">
        <f t="shared" si="610"/>
        <v>COLLEGE</v>
      </c>
      <c r="AW856" s="157" t="str">
        <f t="shared" si="611"/>
        <v>Volleyball</v>
      </c>
      <c r="AX856" s="376">
        <f t="shared" si="612"/>
        <v>855</v>
      </c>
      <c r="AY856" s="148" t="str">
        <f t="shared" si="613"/>
        <v>-&gt;</v>
      </c>
      <c r="AZ856" s="148" t="str">
        <f t="shared" si="614"/>
        <v>11/23/2017 16:20-&gt;</v>
      </c>
      <c r="BA856" s="148" t="str">
        <f t="shared" si="615"/>
        <v>11/23/2017 16:20-&gt;</v>
      </c>
      <c r="BB856" s="374">
        <f t="shared" si="616"/>
        <v>0</v>
      </c>
      <c r="BC856" s="374">
        <f t="shared" si="617"/>
        <v>0</v>
      </c>
      <c r="BD856" s="148" t="str">
        <f t="shared" si="618"/>
        <v>no conflict</v>
      </c>
      <c r="BF856" s="148" t="str">
        <f t="shared" si="619"/>
        <v>11/23/2017 16:20-&gt;</v>
      </c>
      <c r="BG856" s="148" t="str">
        <f t="shared" si="620"/>
        <v>11/23/2017 16:20-&gt;</v>
      </c>
      <c r="BH856" s="148" t="str">
        <f t="shared" si="621"/>
        <v>11/23/2017 16:20-&gt;Hillel - Gym Volleyball</v>
      </c>
      <c r="BI856" s="148" t="str">
        <f t="shared" si="622"/>
        <v>Volleyball in Hillel - Gym Volleyball ()</v>
      </c>
      <c r="BJ856" s="148" t="str">
        <f t="shared" si="623"/>
        <v xml:space="preserve">College Male Volleyball Final--  vs. </v>
      </c>
      <c r="BK856" s="148" t="str">
        <f t="shared" si="624"/>
        <v>Volleyball</v>
      </c>
      <c r="BL856" s="148">
        <f t="shared" si="625"/>
        <v>0</v>
      </c>
      <c r="BM856" s="148">
        <f t="shared" si="626"/>
        <v>0</v>
      </c>
      <c r="BN856" s="148" t="str">
        <f t="shared" si="627"/>
        <v>Final</v>
      </c>
      <c r="BP856" s="148" t="str">
        <f t="shared" si="628"/>
        <v>11/23/2017 16:20-&gt;COLLEGE</v>
      </c>
      <c r="BQ856" s="148" t="str">
        <f t="shared" si="629"/>
        <v>Volleyball Final in Hillel - Gym Volleyball</v>
      </c>
    </row>
    <row r="857" spans="1:69" ht="15" customHeight="1" x14ac:dyDescent="0.2">
      <c r="A857" s="376">
        <v>856</v>
      </c>
      <c r="B857" s="315" t="s">
        <v>72</v>
      </c>
      <c r="C857" s="315" t="s">
        <v>769</v>
      </c>
      <c r="D857" s="378">
        <v>1</v>
      </c>
      <c r="E857" s="378">
        <v>1</v>
      </c>
      <c r="F857" s="315" t="s">
        <v>770</v>
      </c>
      <c r="G857" s="316">
        <v>43065</v>
      </c>
      <c r="H857" s="417">
        <v>0.50694444444444442</v>
      </c>
      <c r="I857" s="325" t="s">
        <v>770</v>
      </c>
      <c r="J857" s="315" t="s">
        <v>707</v>
      </c>
      <c r="K857" s="315"/>
      <c r="L857" s="462" t="s">
        <v>720</v>
      </c>
      <c r="M857"/>
      <c r="N857" s="462" t="s">
        <v>642</v>
      </c>
      <c r="O857" s="153" t="str">
        <f>IF(L857&lt;&gt;"",IFERROR(VLOOKUP(B857&amp;L857,Pools!$A$2:$D$130,3,FALSE),""),"")</f>
        <v/>
      </c>
      <c r="P857" s="388"/>
      <c r="Q857" s="388"/>
      <c r="R857" s="306" t="str">
        <f t="shared" si="585"/>
        <v>-</v>
      </c>
      <c r="S857" s="153"/>
      <c r="T857" s="148" t="str">
        <f t="shared" si="586"/>
        <v>Pending</v>
      </c>
      <c r="U857" s="153"/>
      <c r="V857" s="153"/>
      <c r="W857" s="387">
        <f t="shared" si="587"/>
        <v>0</v>
      </c>
      <c r="X857" s="387">
        <f t="shared" si="588"/>
        <v>0</v>
      </c>
      <c r="Y857" s="301" t="str">
        <f t="shared" si="589"/>
        <v>X</v>
      </c>
      <c r="Z857" s="301" t="str">
        <f t="shared" si="590"/>
        <v>X</v>
      </c>
      <c r="AA857" s="323" t="str">
        <f>CONCATENATE("                x[team1,team2,sport,'",IF(OR(I857="x",I857=""),VLOOKUP('Schedule from TM'!J859,Tables!$P$3:$Q$33,2,FALSE),'Schedule from TM'!I859),",",J857,"','",IF(OR(F857="x",F857=""),VLOOKUP('Schedule from TM'!G859,Tables!$U$3:$V$14,2,FALSE),'Schedule from TM'!F859),",",TEXT(G857,"mm/dd/yyyy"),"','",TEXT(H857,"h:mm:ss AM/PM"),"'].ub=0.0      #",B857)</f>
        <v xml:space="preserve">                x[team1,team2,sport,'11,Hillel - Gym Basketball','21,11/26/2017','12:10:00 PM'].ub=0.0      #Junior A Male Basketball</v>
      </c>
      <c r="AB857" s="301" t="str">
        <f t="shared" si="591"/>
        <v>,,Junior A Male Basketball,,1,JR A M - MEX 2</v>
      </c>
      <c r="AC857" s="153" t="str">
        <f t="shared" si="592"/>
        <v>Junior A Male BasketballJR A M - MEX 2</v>
      </c>
      <c r="AD857" s="301" t="str">
        <f t="shared" si="593"/>
        <v>,,Junior A Male Basketball,,1,JR A M - USA 1</v>
      </c>
      <c r="AE857" s="153" t="str">
        <f t="shared" si="594"/>
        <v>Junior A Male BasketballJR A M - USA 1</v>
      </c>
      <c r="AF857" s="383">
        <f t="shared" si="595"/>
        <v>0</v>
      </c>
      <c r="AG857" s="383">
        <f t="shared" si="596"/>
        <v>0</v>
      </c>
      <c r="AH857" s="383">
        <f t="shared" si="597"/>
        <v>0</v>
      </c>
      <c r="AI857" s="383">
        <f t="shared" si="598"/>
        <v>0</v>
      </c>
      <c r="AJ857" s="383">
        <f t="shared" si="599"/>
        <v>0</v>
      </c>
      <c r="AK857" s="383">
        <f t="shared" si="600"/>
        <v>0</v>
      </c>
      <c r="AM857" s="148" t="str">
        <f t="shared" si="601"/>
        <v>Schedulled</v>
      </c>
      <c r="AN857" s="148" t="str">
        <f t="shared" si="602"/>
        <v/>
      </c>
      <c r="AO857" s="156">
        <f t="shared" si="603"/>
        <v>43065.506944444445</v>
      </c>
      <c r="AP857" s="148" t="str">
        <f t="shared" si="604"/>
        <v>11/26/2017 12:10-&gt;Hillel - Gym Basketball</v>
      </c>
      <c r="AQ857" s="374">
        <f t="shared" si="605"/>
        <v>1</v>
      </c>
      <c r="AR857" s="148" t="str">
        <f t="shared" si="606"/>
        <v>MEX2</v>
      </c>
      <c r="AS857" s="148" t="str">
        <f t="shared" si="607"/>
        <v>USA1</v>
      </c>
      <c r="AT857" s="157" t="str">
        <f t="shared" si="608"/>
        <v>MEX2-USA1</v>
      </c>
      <c r="AU857" s="157" t="str">
        <f t="shared" si="609"/>
        <v>MEX2-USA1 Basketball Final</v>
      </c>
      <c r="AV857" s="157" t="str">
        <f t="shared" si="610"/>
        <v>JUNIORS A MALE</v>
      </c>
      <c r="AW857" s="157" t="str">
        <f t="shared" si="611"/>
        <v>Basketball</v>
      </c>
      <c r="AX857" s="376">
        <f t="shared" si="612"/>
        <v>856</v>
      </c>
      <c r="AY857" s="148" t="str">
        <f t="shared" si="613"/>
        <v>JR A M - MEX 2-&gt;JR A M - USA 1</v>
      </c>
      <c r="AZ857" s="148" t="str">
        <f t="shared" si="614"/>
        <v>11/26/2017 12:10-&gt;JR A M - MEX 2</v>
      </c>
      <c r="BA857" s="148" t="str">
        <f t="shared" si="615"/>
        <v>11/26/2017 12:10-&gt;JR A M - USA 1</v>
      </c>
      <c r="BB857" s="374">
        <f t="shared" si="616"/>
        <v>1</v>
      </c>
      <c r="BC857" s="374">
        <f t="shared" si="617"/>
        <v>1</v>
      </c>
      <c r="BD857" s="148" t="str">
        <f t="shared" si="618"/>
        <v>no conflict</v>
      </c>
      <c r="BF857" s="148" t="str">
        <f t="shared" si="619"/>
        <v>11/26/2017 12:10-&gt;JR A M - MEX 2</v>
      </c>
      <c r="BG857" s="148" t="str">
        <f t="shared" si="620"/>
        <v>11/26/2017 12:10-&gt;JR A M - USA 1</v>
      </c>
      <c r="BH857" s="148" t="str">
        <f t="shared" si="621"/>
        <v>11/26/2017 12:10-&gt;Hillel - Gym Basketball</v>
      </c>
      <c r="BI857" s="148" t="str">
        <f t="shared" si="622"/>
        <v>Basketball in Hillel - Gym Basketball (MEX2-USA1)</v>
      </c>
      <c r="BJ857" s="148" t="str">
        <f t="shared" si="623"/>
        <v>Junior A Male Basketball-- JR A M - MEX 2 vs. JR A M - USA 1</v>
      </c>
      <c r="BK857" s="148" t="str">
        <f t="shared" si="624"/>
        <v>Basketball</v>
      </c>
      <c r="BL857" s="148" t="str">
        <f t="shared" si="625"/>
        <v>JR A M - MEX 2</v>
      </c>
      <c r="BM857" s="148" t="str">
        <f t="shared" si="626"/>
        <v>JR A M - USA 1</v>
      </c>
      <c r="BN857" s="148" t="str">
        <f t="shared" si="627"/>
        <v>Final</v>
      </c>
      <c r="BP857" s="148" t="str">
        <f t="shared" si="628"/>
        <v>11/26/2017 12:10-&gt;JUNIORS A MALE</v>
      </c>
      <c r="BQ857" s="148" t="str">
        <f t="shared" si="629"/>
        <v>Basketball Final in Hillel - Gym Basketball</v>
      </c>
    </row>
    <row r="858" spans="1:69" ht="15" customHeight="1" x14ac:dyDescent="0.2">
      <c r="A858" s="376">
        <v>857</v>
      </c>
      <c r="B858" s="444" t="s">
        <v>73</v>
      </c>
      <c r="C858" s="444" t="s">
        <v>769</v>
      </c>
      <c r="D858" s="451">
        <v>1</v>
      </c>
      <c r="E858" s="451">
        <v>1</v>
      </c>
      <c r="F858" s="315" t="s">
        <v>770</v>
      </c>
      <c r="G858" s="445">
        <v>43065</v>
      </c>
      <c r="H858" s="454">
        <v>0.68055555555555547</v>
      </c>
      <c r="I858" s="325" t="s">
        <v>770</v>
      </c>
      <c r="J858" s="444" t="s">
        <v>704</v>
      </c>
      <c r="K858" s="444"/>
      <c r="L858" s="462" t="s">
        <v>719</v>
      </c>
      <c r="M858"/>
      <c r="N858" s="462" t="s">
        <v>642</v>
      </c>
      <c r="O858" s="153" t="str">
        <f>IF(L858&lt;&gt;"",IFERROR(VLOOKUP(B858&amp;L858,Pools!$A$2:$D$130,3,FALSE),""),"")</f>
        <v/>
      </c>
      <c r="P858" s="388">
        <v>26</v>
      </c>
      <c r="Q858" s="388">
        <v>19</v>
      </c>
      <c r="R858" s="306" t="str">
        <f t="shared" si="585"/>
        <v>26-19</v>
      </c>
      <c r="S858" s="153"/>
      <c r="T858" s="148" t="str">
        <f t="shared" si="586"/>
        <v>Completed</v>
      </c>
      <c r="U858" s="153"/>
      <c r="V858" s="153"/>
      <c r="W858" s="387">
        <f t="shared" si="587"/>
        <v>7</v>
      </c>
      <c r="X858" s="387">
        <f t="shared" si="588"/>
        <v>-7</v>
      </c>
      <c r="Y858" s="301">
        <f t="shared" si="589"/>
        <v>2</v>
      </c>
      <c r="Z858" s="301">
        <f t="shared" si="590"/>
        <v>0</v>
      </c>
      <c r="AA858" s="323" t="str">
        <f>CONCATENATE("                x[team1,team2,sport,'",IF(OR(I858="x",I858=""),VLOOKUP('Schedule from TM'!J860,Tables!$P$3:$Q$33,2,FALSE),'Schedule from TM'!I860),",",J858,"','",IF(OR(F858="x",F858=""),VLOOKUP('Schedule from TM'!G860,Tables!$U$3:$V$14,2,FALSE),'Schedule from TM'!F860),",",TEXT(G858,"mm/dd/yyyy"),"','",TEXT(H858,"h:mm:ss AM/PM"),"'].ub=0.0      #",B858)</f>
        <v xml:space="preserve">                x[team1,team2,sport,'21,Hillel - Field 2','21,11/26/2017','4:20:00 PM'].ub=0.0      #Junior A Male Flag Football</v>
      </c>
      <c r="AB858" s="301" t="str">
        <f t="shared" si="591"/>
        <v>,,Junior A Male Flag Football,,1,JR A M - MEX 1</v>
      </c>
      <c r="AC858" s="153" t="str">
        <f t="shared" si="592"/>
        <v>Junior A Male Flag FootballJR A M - MEX 1</v>
      </c>
      <c r="AD858" s="301" t="str">
        <f t="shared" si="593"/>
        <v>,,Junior A Male Flag Football,,1,JR A M - USA 1</v>
      </c>
      <c r="AE858" s="153" t="str">
        <f t="shared" si="594"/>
        <v>Junior A Male Flag FootballJR A M - USA 1</v>
      </c>
      <c r="AF858" s="383">
        <f t="shared" si="595"/>
        <v>1</v>
      </c>
      <c r="AG858" s="383">
        <f t="shared" si="596"/>
        <v>0</v>
      </c>
      <c r="AH858" s="383">
        <f t="shared" si="597"/>
        <v>0</v>
      </c>
      <c r="AI858" s="383">
        <f t="shared" si="598"/>
        <v>0</v>
      </c>
      <c r="AJ858" s="383">
        <f t="shared" si="599"/>
        <v>1</v>
      </c>
      <c r="AK858" s="383">
        <f t="shared" si="600"/>
        <v>0</v>
      </c>
      <c r="AM858" s="148" t="str">
        <f t="shared" si="601"/>
        <v>Schedulled</v>
      </c>
      <c r="AN858" s="148" t="str">
        <f t="shared" si="602"/>
        <v/>
      </c>
      <c r="AO858" s="156">
        <f t="shared" si="603"/>
        <v>43065.680555555555</v>
      </c>
      <c r="AP858" s="148" t="str">
        <f t="shared" si="604"/>
        <v>11/26/2017 16:20-&gt;Hillel - Field 2</v>
      </c>
      <c r="AQ858" s="374">
        <f t="shared" si="605"/>
        <v>1</v>
      </c>
      <c r="AR858" s="148" t="str">
        <f t="shared" si="606"/>
        <v>MEX1</v>
      </c>
      <c r="AS858" s="148" t="str">
        <f t="shared" si="607"/>
        <v>USA1</v>
      </c>
      <c r="AT858" s="157" t="str">
        <f t="shared" si="608"/>
        <v>MEX1-USA1</v>
      </c>
      <c r="AU858" s="157" t="str">
        <f t="shared" si="609"/>
        <v>MEX1-USA1 Flag Football Final</v>
      </c>
      <c r="AV858" s="157" t="str">
        <f t="shared" si="610"/>
        <v>JUNIORS A MALE</v>
      </c>
      <c r="AW858" s="157" t="str">
        <f t="shared" si="611"/>
        <v>Flag Football</v>
      </c>
      <c r="AX858" s="376">
        <f t="shared" si="612"/>
        <v>857</v>
      </c>
      <c r="AY858" s="148" t="str">
        <f t="shared" si="613"/>
        <v>JR A M - MEX 1-&gt;JR A M - USA 1</v>
      </c>
      <c r="AZ858" s="148" t="str">
        <f t="shared" si="614"/>
        <v>11/26/2017 16:20-&gt;JR A M - MEX 1</v>
      </c>
      <c r="BA858" s="148" t="str">
        <f t="shared" si="615"/>
        <v>11/26/2017 16:20-&gt;JR A M - USA 1</v>
      </c>
      <c r="BB858" s="374">
        <f t="shared" si="616"/>
        <v>1</v>
      </c>
      <c r="BC858" s="374">
        <f t="shared" si="617"/>
        <v>1</v>
      </c>
      <c r="BD858" s="148" t="str">
        <f t="shared" si="618"/>
        <v>no conflict</v>
      </c>
      <c r="BF858" s="148" t="str">
        <f t="shared" si="619"/>
        <v>11/26/2017 16:20-&gt;JR A M - MEX 1</v>
      </c>
      <c r="BG858" s="148" t="str">
        <f t="shared" si="620"/>
        <v>11/26/2017 16:20-&gt;JR A M - USA 1</v>
      </c>
      <c r="BH858" s="148" t="str">
        <f t="shared" si="621"/>
        <v>11/26/2017 16:20-&gt;Hillel - Field 2</v>
      </c>
      <c r="BI858" s="148" t="str">
        <f t="shared" si="622"/>
        <v>Flag Football in Hillel - Field 2 (MEX1-USA1)</v>
      </c>
      <c r="BJ858" s="148" t="str">
        <f t="shared" si="623"/>
        <v>Junior A Male Flag Football-- JR A M - MEX 1 vs. JR A M - USA 1</v>
      </c>
      <c r="BK858" s="148" t="str">
        <f t="shared" si="624"/>
        <v>Flag Football</v>
      </c>
      <c r="BL858" s="148" t="str">
        <f t="shared" si="625"/>
        <v>JR A M - MEX 1</v>
      </c>
      <c r="BM858" s="148" t="str">
        <f t="shared" si="626"/>
        <v>JR A M - USA 1</v>
      </c>
      <c r="BN858" s="148" t="str">
        <f t="shared" si="627"/>
        <v>Final</v>
      </c>
      <c r="BP858" s="148" t="str">
        <f t="shared" si="628"/>
        <v>11/26/2017 16:20-&gt;JUNIORS A MALE</v>
      </c>
      <c r="BQ858" s="148" t="str">
        <f t="shared" si="629"/>
        <v>Flag Football Final in Hillel - Field 2</v>
      </c>
    </row>
    <row r="859" spans="1:69" ht="15" customHeight="1" x14ac:dyDescent="0.2">
      <c r="A859" s="376">
        <v>858</v>
      </c>
      <c r="B859" s="444" t="s">
        <v>71</v>
      </c>
      <c r="C859" s="315" t="s">
        <v>769</v>
      </c>
      <c r="D859" s="378">
        <v>1</v>
      </c>
      <c r="E859" s="378">
        <v>1</v>
      </c>
      <c r="F859" s="315" t="s">
        <v>770</v>
      </c>
      <c r="G859" s="316">
        <v>43065</v>
      </c>
      <c r="H859" s="417">
        <v>0.64583333333333337</v>
      </c>
      <c r="I859" s="325" t="s">
        <v>770</v>
      </c>
      <c r="J859" s="444" t="s">
        <v>693</v>
      </c>
      <c r="K859" s="444"/>
      <c r="L859" s="462" t="s">
        <v>637</v>
      </c>
      <c r="M859" s="433"/>
      <c r="N859" s="462" t="s">
        <v>646</v>
      </c>
      <c r="O859" s="153" t="str">
        <f>IF(L859&lt;&gt;"",IFERROR(VLOOKUP(B859&amp;L859,Pools!$A$2:$D$130,3,FALSE),""),"")</f>
        <v/>
      </c>
      <c r="P859" s="388">
        <v>1</v>
      </c>
      <c r="Q859" s="388">
        <v>2</v>
      </c>
      <c r="R859" s="306" t="str">
        <f t="shared" si="585"/>
        <v>1-2</v>
      </c>
      <c r="S859" s="153"/>
      <c r="T859" s="148" t="str">
        <f t="shared" si="586"/>
        <v>Completed</v>
      </c>
      <c r="U859" s="153"/>
      <c r="V859" s="153"/>
      <c r="W859" s="387">
        <f t="shared" si="587"/>
        <v>-1</v>
      </c>
      <c r="X859" s="387">
        <f t="shared" si="588"/>
        <v>1</v>
      </c>
      <c r="Y859" s="301">
        <f t="shared" si="589"/>
        <v>0</v>
      </c>
      <c r="Z859" s="301">
        <f t="shared" si="590"/>
        <v>2</v>
      </c>
      <c r="AA859" s="323" t="str">
        <f>CONCATENATE("                x[team1,team2,sport,'",IF(OR(I859="x",I859=""),VLOOKUP('Schedule from TM'!J861,Tables!$P$3:$Q$33,2,FALSE),'Schedule from TM'!I861),",",J859,"','",IF(OR(F859="x",F859=""),VLOOKUP('Schedule from TM'!G861,Tables!$U$3:$V$14,2,FALSE),'Schedule from TM'!F861),",",TEXT(G859,"mm/dd/yyyy"),"','",TEXT(H859,"h:mm:ss AM/PM"),"'].ub=0.0      #",B859)</f>
        <v xml:space="preserve">                x[team1,team2,sport,'21,JCC Back Field 2','21,11/26/2017','3:30:00 PM'].ub=0.0      #Junior A Male Mini Soccer</v>
      </c>
      <c r="AB859" s="301" t="str">
        <f t="shared" si="591"/>
        <v>,,Junior A Male Mini Soccer,,1,JR A M - ARG 1</v>
      </c>
      <c r="AC859" s="153" t="str">
        <f t="shared" si="592"/>
        <v>Junior A Male Mini SoccerJR A M - ARG 1</v>
      </c>
      <c r="AD859" s="301" t="str">
        <f t="shared" si="593"/>
        <v>,,Junior A Male Mini Soccer,,1,JR A M - VEN 2</v>
      </c>
      <c r="AE859" s="153" t="str">
        <f t="shared" si="594"/>
        <v>Junior A Male Mini SoccerJR A M - VEN 2</v>
      </c>
      <c r="AF859" s="383">
        <f t="shared" si="595"/>
        <v>0</v>
      </c>
      <c r="AG859" s="383">
        <f t="shared" si="596"/>
        <v>1</v>
      </c>
      <c r="AH859" s="383">
        <f t="shared" si="597"/>
        <v>0</v>
      </c>
      <c r="AI859" s="383">
        <f t="shared" si="598"/>
        <v>1</v>
      </c>
      <c r="AJ859" s="383">
        <f t="shared" si="599"/>
        <v>0</v>
      </c>
      <c r="AK859" s="383">
        <f t="shared" si="600"/>
        <v>0</v>
      </c>
      <c r="AM859" s="148" t="str">
        <f t="shared" si="601"/>
        <v>Schedulled</v>
      </c>
      <c r="AN859" s="148" t="str">
        <f t="shared" si="602"/>
        <v/>
      </c>
      <c r="AO859" s="156">
        <f t="shared" si="603"/>
        <v>43065.645833333336</v>
      </c>
      <c r="AP859" s="148" t="str">
        <f t="shared" si="604"/>
        <v>11/26/2017 15:30-&gt;JCC Back Field 2</v>
      </c>
      <c r="AQ859" s="374">
        <f t="shared" si="605"/>
        <v>1</v>
      </c>
      <c r="AR859" s="148" t="str">
        <f t="shared" si="606"/>
        <v>ARG1</v>
      </c>
      <c r="AS859" s="148" t="str">
        <f t="shared" si="607"/>
        <v>VEN2</v>
      </c>
      <c r="AT859" s="157" t="str">
        <f t="shared" si="608"/>
        <v>ARG1-VEN2</v>
      </c>
      <c r="AU859" s="157" t="str">
        <f t="shared" si="609"/>
        <v>ARG1-VEN2 Soccer Final</v>
      </c>
      <c r="AV859" s="157" t="str">
        <f t="shared" si="610"/>
        <v>JUNIORS A MALE</v>
      </c>
      <c r="AW859" s="157" t="str">
        <f t="shared" si="611"/>
        <v>Soccer</v>
      </c>
      <c r="AX859" s="376">
        <f t="shared" si="612"/>
        <v>858</v>
      </c>
      <c r="AY859" s="148" t="str">
        <f t="shared" si="613"/>
        <v>JR A M - ARG 1-&gt;JR A M - VEN 2</v>
      </c>
      <c r="AZ859" s="148" t="str">
        <f t="shared" si="614"/>
        <v>11/26/2017 15:30-&gt;JR A M - ARG 1</v>
      </c>
      <c r="BA859" s="148" t="str">
        <f t="shared" si="615"/>
        <v>11/26/2017 15:30-&gt;JR A M - VEN 2</v>
      </c>
      <c r="BB859" s="374">
        <f t="shared" si="616"/>
        <v>1</v>
      </c>
      <c r="BC859" s="374">
        <f t="shared" si="617"/>
        <v>1</v>
      </c>
      <c r="BD859" s="148" t="str">
        <f t="shared" si="618"/>
        <v>no conflict</v>
      </c>
      <c r="BF859" s="148" t="str">
        <f t="shared" si="619"/>
        <v>11/26/2017 15:30-&gt;JR A M - ARG 1</v>
      </c>
      <c r="BG859" s="148" t="str">
        <f t="shared" si="620"/>
        <v>11/26/2017 15:30-&gt;JR A M - VEN 2</v>
      </c>
      <c r="BH859" s="148" t="str">
        <f t="shared" si="621"/>
        <v>11/26/2017 15:30-&gt;JCC Back Field 2</v>
      </c>
      <c r="BI859" s="148" t="str">
        <f t="shared" si="622"/>
        <v>Soccer in JCC Back Field 2 (ARG1-VEN2)</v>
      </c>
      <c r="BJ859" s="148" t="str">
        <f t="shared" si="623"/>
        <v>Junior A Male Mini Soccer-- JR A M - ARG 1 vs. JR A M - VEN 2</v>
      </c>
      <c r="BK859" s="148" t="str">
        <f t="shared" si="624"/>
        <v>Soccer</v>
      </c>
      <c r="BL859" s="148" t="str">
        <f t="shared" si="625"/>
        <v>JR A M - ARG 1</v>
      </c>
      <c r="BM859" s="148" t="str">
        <f t="shared" si="626"/>
        <v>JR A M - VEN 2</v>
      </c>
      <c r="BN859" s="148" t="str">
        <f t="shared" si="627"/>
        <v>Final</v>
      </c>
      <c r="BP859" s="148" t="str">
        <f t="shared" si="628"/>
        <v>11/26/2017 15:30-&gt;JUNIORS A MALE</v>
      </c>
      <c r="BQ859" s="148" t="str">
        <f t="shared" si="629"/>
        <v>Soccer Final in JCC Back Field 2</v>
      </c>
    </row>
    <row r="860" spans="1:69" ht="15" customHeight="1" x14ac:dyDescent="0.2">
      <c r="A860" s="376">
        <v>859</v>
      </c>
      <c r="B860" s="443" t="s">
        <v>74</v>
      </c>
      <c r="C860" s="315" t="s">
        <v>769</v>
      </c>
      <c r="D860" s="378">
        <v>1</v>
      </c>
      <c r="E860" s="378">
        <v>1</v>
      </c>
      <c r="F860" s="315" t="s">
        <v>770</v>
      </c>
      <c r="G860" s="316">
        <v>43065</v>
      </c>
      <c r="H860" s="417">
        <v>0.47222222222222227</v>
      </c>
      <c r="I860" s="325" t="s">
        <v>770</v>
      </c>
      <c r="J860" s="315" t="s">
        <v>708</v>
      </c>
      <c r="K860" s="444"/>
      <c r="L860" s="462" t="s">
        <v>644</v>
      </c>
      <c r="M860" s="433"/>
      <c r="N860" s="462" t="s">
        <v>637</v>
      </c>
      <c r="O860" s="153" t="str">
        <f>IF(L860&lt;&gt;"",IFERROR(VLOOKUP(B860&amp;L860,Pools!$A$2:$D$130,3,FALSE),""),"")</f>
        <v/>
      </c>
      <c r="P860" s="388">
        <v>2</v>
      </c>
      <c r="Q860" s="388">
        <v>0</v>
      </c>
      <c r="R860" s="306" t="str">
        <f t="shared" si="585"/>
        <v>2-0</v>
      </c>
      <c r="S860" s="153"/>
      <c r="T860" s="148" t="str">
        <f t="shared" si="586"/>
        <v>Completed</v>
      </c>
      <c r="U860" s="153"/>
      <c r="V860" s="153"/>
      <c r="W860" s="387">
        <f t="shared" si="587"/>
        <v>2</v>
      </c>
      <c r="X860" s="387">
        <f t="shared" si="588"/>
        <v>-2</v>
      </c>
      <c r="Y860" s="301">
        <f t="shared" si="589"/>
        <v>2</v>
      </c>
      <c r="Z860" s="301">
        <f t="shared" si="590"/>
        <v>0</v>
      </c>
      <c r="AA860" s="323" t="str">
        <f>CONCATENATE("                x[team1,team2,sport,'",IF(OR(I860="x",I860=""),VLOOKUP('Schedule from TM'!J862,Tables!$P$3:$Q$33,2,FALSE),'Schedule from TM'!I862),",",J860,"','",IF(OR(F860="x",F860=""),VLOOKUP('Schedule from TM'!G862,Tables!$U$3:$V$14,2,FALSE),'Schedule from TM'!F862),",",TEXT(G860,"mm/dd/yyyy"),"','",TEXT(H860,"h:mm:ss AM/PM"),"'].ub=0.0      #",B860)</f>
        <v xml:space="preserve">                x[team1,team2,sport,'21,Hillel - Gym Volleyball','21,11/26/2017','11:20:00 AM'].ub=0.0      #Junior A Male Volleyball</v>
      </c>
      <c r="AB860" s="301" t="str">
        <f t="shared" si="591"/>
        <v>,,Junior A Male Volleyball,,1,JR A M - ISR 1</v>
      </c>
      <c r="AC860" s="153" t="str">
        <f t="shared" si="592"/>
        <v>Junior A Male VolleyballJR A M - ISR 1</v>
      </c>
      <c r="AD860" s="301" t="str">
        <f t="shared" si="593"/>
        <v>,,Junior A Male Volleyball,,1,JR A M - ARG 1</v>
      </c>
      <c r="AE860" s="153" t="str">
        <f t="shared" si="594"/>
        <v>Junior A Male VolleyballJR A M - ARG 1</v>
      </c>
      <c r="AF860" s="383">
        <f t="shared" si="595"/>
        <v>1</v>
      </c>
      <c r="AG860" s="383">
        <f t="shared" si="596"/>
        <v>0</v>
      </c>
      <c r="AH860" s="383">
        <f t="shared" si="597"/>
        <v>0</v>
      </c>
      <c r="AI860" s="383">
        <f t="shared" si="598"/>
        <v>0</v>
      </c>
      <c r="AJ860" s="383">
        <f t="shared" si="599"/>
        <v>1</v>
      </c>
      <c r="AK860" s="383">
        <f t="shared" si="600"/>
        <v>0</v>
      </c>
      <c r="AM860" s="148" t="str">
        <f t="shared" si="601"/>
        <v>Schedulled</v>
      </c>
      <c r="AN860" s="148" t="str">
        <f t="shared" si="602"/>
        <v/>
      </c>
      <c r="AO860" s="156">
        <f t="shared" si="603"/>
        <v>43065.472222222219</v>
      </c>
      <c r="AP860" s="148" t="str">
        <f t="shared" si="604"/>
        <v>11/26/2017 11:20-&gt;Hillel - Gym Volleyball</v>
      </c>
      <c r="AQ860" s="374">
        <f t="shared" si="605"/>
        <v>1</v>
      </c>
      <c r="AR860" s="148" t="str">
        <f t="shared" si="606"/>
        <v>ISR1</v>
      </c>
      <c r="AS860" s="148" t="str">
        <f t="shared" si="607"/>
        <v>ARG1</v>
      </c>
      <c r="AT860" s="157" t="str">
        <f t="shared" si="608"/>
        <v>ISR1-ARG1</v>
      </c>
      <c r="AU860" s="157" t="str">
        <f t="shared" si="609"/>
        <v>ISR1-ARG1 Volleyball Final</v>
      </c>
      <c r="AV860" s="157" t="str">
        <f t="shared" si="610"/>
        <v>JUNIORS A MALE</v>
      </c>
      <c r="AW860" s="157" t="str">
        <f t="shared" si="611"/>
        <v>Volleyball</v>
      </c>
      <c r="AX860" s="376">
        <f t="shared" si="612"/>
        <v>859</v>
      </c>
      <c r="AY860" s="148" t="str">
        <f t="shared" si="613"/>
        <v>JR A M - ISR 1-&gt;JR A M - ARG 1</v>
      </c>
      <c r="AZ860" s="148" t="str">
        <f t="shared" si="614"/>
        <v>11/26/2017 11:20-&gt;JR A M - ISR 1</v>
      </c>
      <c r="BA860" s="148" t="str">
        <f t="shared" si="615"/>
        <v>11/26/2017 11:20-&gt;JR A M - ARG 1</v>
      </c>
      <c r="BB860" s="374">
        <f t="shared" si="616"/>
        <v>1</v>
      </c>
      <c r="BC860" s="374">
        <f t="shared" si="617"/>
        <v>1</v>
      </c>
      <c r="BD860" s="148" t="str">
        <f t="shared" si="618"/>
        <v>no conflict</v>
      </c>
      <c r="BF860" s="148" t="str">
        <f t="shared" si="619"/>
        <v>11/26/2017 11:20-&gt;JR A M - ISR 1</v>
      </c>
      <c r="BG860" s="148" t="str">
        <f t="shared" si="620"/>
        <v>11/26/2017 11:20-&gt;JR A M - ARG 1</v>
      </c>
      <c r="BH860" s="148" t="str">
        <f t="shared" si="621"/>
        <v>11/26/2017 11:20-&gt;Hillel - Gym Volleyball</v>
      </c>
      <c r="BI860" s="148" t="str">
        <f t="shared" si="622"/>
        <v>Volleyball in Hillel - Gym Volleyball (ISR1-ARG1)</v>
      </c>
      <c r="BJ860" s="148" t="str">
        <f t="shared" si="623"/>
        <v>Junior A Male Volleyball-- JR A M - ISR 1 vs. JR A M - ARG 1</v>
      </c>
      <c r="BK860" s="148" t="str">
        <f t="shared" si="624"/>
        <v>Volleyball</v>
      </c>
      <c r="BL860" s="148" t="str">
        <f t="shared" si="625"/>
        <v>JR A M - ISR 1</v>
      </c>
      <c r="BM860" s="148" t="str">
        <f t="shared" si="626"/>
        <v>JR A M - ARG 1</v>
      </c>
      <c r="BN860" s="148" t="str">
        <f t="shared" si="627"/>
        <v>Final</v>
      </c>
      <c r="BP860" s="148" t="str">
        <f t="shared" si="628"/>
        <v>11/26/2017 11:20-&gt;JUNIORS A MALE</v>
      </c>
      <c r="BQ860" s="148" t="str">
        <f t="shared" si="629"/>
        <v>Volleyball Final in Hillel - Gym Volleyball</v>
      </c>
    </row>
    <row r="861" spans="1:69" ht="15" customHeight="1" x14ac:dyDescent="0.2">
      <c r="A861" s="376">
        <v>860</v>
      </c>
      <c r="B861" s="444" t="s">
        <v>76</v>
      </c>
      <c r="C861" s="315" t="s">
        <v>769</v>
      </c>
      <c r="D861" s="378">
        <v>1</v>
      </c>
      <c r="E861" s="378">
        <v>1</v>
      </c>
      <c r="F861" s="315" t="s">
        <v>770</v>
      </c>
      <c r="G861" s="316">
        <v>43065</v>
      </c>
      <c r="H861" s="417">
        <v>0.57638888888888895</v>
      </c>
      <c r="I861" s="325" t="s">
        <v>770</v>
      </c>
      <c r="J861" s="444" t="s">
        <v>707</v>
      </c>
      <c r="K861" s="441"/>
      <c r="L861" s="462" t="s">
        <v>653</v>
      </c>
      <c r="M861" s="433"/>
      <c r="N861" s="462" t="s">
        <v>651</v>
      </c>
      <c r="O861" s="153" t="str">
        <f>IF(L861&lt;&gt;"",IFERROR(VLOOKUP(B861&amp;L861,Pools!$A$2:$D$130,3,FALSE),""),"")</f>
        <v>Pool A</v>
      </c>
      <c r="P861" s="388"/>
      <c r="Q861" s="388"/>
      <c r="R861" s="306" t="str">
        <f t="shared" si="585"/>
        <v>-</v>
      </c>
      <c r="S861" s="153"/>
      <c r="T861" s="148" t="str">
        <f t="shared" si="586"/>
        <v>Pending</v>
      </c>
      <c r="U861" s="153"/>
      <c r="V861" s="153"/>
      <c r="W861" s="387">
        <f t="shared" si="587"/>
        <v>0</v>
      </c>
      <c r="X861" s="387">
        <f t="shared" si="588"/>
        <v>0</v>
      </c>
      <c r="Y861" s="301" t="str">
        <f t="shared" si="589"/>
        <v>X</v>
      </c>
      <c r="Z861" s="301" t="str">
        <f t="shared" si="590"/>
        <v>X</v>
      </c>
      <c r="AA861" s="323" t="str">
        <f>CONCATENATE("                x[team1,team2,sport,'",IF(OR(I861="x",I861=""),VLOOKUP('Schedule from TM'!J863,Tables!$P$3:$Q$33,2,FALSE),'Schedule from TM'!I863),",",J861,"','",IF(OR(F861="x",F861=""),VLOOKUP('Schedule from TM'!G863,Tables!$U$3:$V$14,2,FALSE),'Schedule from TM'!F863),",",TEXT(G861,"mm/dd/yyyy"),"','",TEXT(H861,"h:mm:ss AM/PM"),"'].ub=0.0      #",B861)</f>
        <v xml:space="preserve">                x[team1,team2,sport,'11,Hillel - Gym Basketball','21,11/26/2017','1:50:00 PM'].ub=0.0      #Junior B Male Basketball</v>
      </c>
      <c r="AB861" s="301" t="str">
        <f t="shared" si="591"/>
        <v>,,Junior B Male Basketball,Pool A,1,JR B M - PER</v>
      </c>
      <c r="AC861" s="153" t="str">
        <f t="shared" si="592"/>
        <v>Junior B Male BasketballPool AJR B M - PER</v>
      </c>
      <c r="AD861" s="301" t="str">
        <f t="shared" si="593"/>
        <v>,,Junior B Male Basketball,Pool A,1,JR B M - ISR 1</v>
      </c>
      <c r="AE861" s="153" t="str">
        <f t="shared" si="594"/>
        <v>Junior B Male BasketballPool AJR B M - ISR 1</v>
      </c>
      <c r="AF861" s="383">
        <f t="shared" si="595"/>
        <v>0</v>
      </c>
      <c r="AG861" s="383">
        <f t="shared" si="596"/>
        <v>0</v>
      </c>
      <c r="AH861" s="383">
        <f t="shared" si="597"/>
        <v>0</v>
      </c>
      <c r="AI861" s="383">
        <f t="shared" si="598"/>
        <v>0</v>
      </c>
      <c r="AJ861" s="383">
        <f t="shared" si="599"/>
        <v>0</v>
      </c>
      <c r="AK861" s="383">
        <f t="shared" si="600"/>
        <v>0</v>
      </c>
      <c r="AM861" s="148" t="str">
        <f t="shared" si="601"/>
        <v>Schedulled</v>
      </c>
      <c r="AN861" s="148" t="str">
        <f t="shared" si="602"/>
        <v/>
      </c>
      <c r="AO861" s="156">
        <f t="shared" si="603"/>
        <v>43065.576388888891</v>
      </c>
      <c r="AP861" s="148" t="str">
        <f t="shared" si="604"/>
        <v>11/26/2017 13:50-&gt;Hillel - Gym Basketball</v>
      </c>
      <c r="AQ861" s="374">
        <f t="shared" si="605"/>
        <v>1</v>
      </c>
      <c r="AR861" s="148" t="str">
        <f t="shared" si="606"/>
        <v>PER</v>
      </c>
      <c r="AS861" s="148" t="str">
        <f t="shared" si="607"/>
        <v>ISR1</v>
      </c>
      <c r="AT861" s="157" t="str">
        <f t="shared" si="608"/>
        <v>PER-ISR1</v>
      </c>
      <c r="AU861" s="157" t="str">
        <f t="shared" si="609"/>
        <v>PER-ISR1 Basketball Final</v>
      </c>
      <c r="AV861" s="157" t="str">
        <f t="shared" si="610"/>
        <v>JUNIORS B MALE</v>
      </c>
      <c r="AW861" s="157" t="str">
        <f t="shared" si="611"/>
        <v>Basketball</v>
      </c>
      <c r="AX861" s="376">
        <f t="shared" si="612"/>
        <v>860</v>
      </c>
      <c r="AY861" s="148" t="str">
        <f t="shared" si="613"/>
        <v>JR B M - PER-&gt;JR B M - ISR 1</v>
      </c>
      <c r="AZ861" s="148" t="str">
        <f t="shared" si="614"/>
        <v>11/26/2017 13:50-&gt;JR B M - PER</v>
      </c>
      <c r="BA861" s="148" t="str">
        <f t="shared" si="615"/>
        <v>11/26/2017 13:50-&gt;JR B M - ISR 1</v>
      </c>
      <c r="BB861" s="374">
        <f t="shared" si="616"/>
        <v>1</v>
      </c>
      <c r="BC861" s="374">
        <f t="shared" si="617"/>
        <v>1</v>
      </c>
      <c r="BD861" s="148" t="str">
        <f t="shared" si="618"/>
        <v>no conflict</v>
      </c>
      <c r="BF861" s="148" t="str">
        <f t="shared" si="619"/>
        <v>11/26/2017 13:50-&gt;JR B M - PER</v>
      </c>
      <c r="BG861" s="148" t="str">
        <f t="shared" si="620"/>
        <v>11/26/2017 13:50-&gt;JR B M - ISR 1</v>
      </c>
      <c r="BH861" s="148" t="str">
        <f t="shared" si="621"/>
        <v>11/26/2017 13:50-&gt;Hillel - Gym Basketball</v>
      </c>
      <c r="BI861" s="148" t="str">
        <f t="shared" si="622"/>
        <v>Basketball in Hillel - Gym Basketball (PER-ISR1)</v>
      </c>
      <c r="BJ861" s="148" t="str">
        <f t="shared" si="623"/>
        <v>Junior B Male Basketball-- JR B M - PER vs. JR B M - ISR 1</v>
      </c>
      <c r="BK861" s="148" t="str">
        <f t="shared" si="624"/>
        <v>Basketball</v>
      </c>
      <c r="BL861" s="148" t="str">
        <f t="shared" si="625"/>
        <v>JR B M - PER</v>
      </c>
      <c r="BM861" s="148" t="str">
        <f t="shared" si="626"/>
        <v>JR B M - ISR 1</v>
      </c>
      <c r="BN861" s="148" t="str">
        <f t="shared" si="627"/>
        <v>Final</v>
      </c>
      <c r="BP861" s="148" t="str">
        <f t="shared" si="628"/>
        <v>11/26/2017 13:50-&gt;JUNIORS B MALE</v>
      </c>
      <c r="BQ861" s="148" t="str">
        <f t="shared" si="629"/>
        <v>Basketball Final in Hillel - Gym Basketball</v>
      </c>
    </row>
    <row r="862" spans="1:69" ht="15" customHeight="1" x14ac:dyDescent="0.2">
      <c r="A862" s="376">
        <v>861</v>
      </c>
      <c r="B862" s="315" t="s">
        <v>77</v>
      </c>
      <c r="C862" s="315" t="s">
        <v>769</v>
      </c>
      <c r="D862" s="378">
        <v>1</v>
      </c>
      <c r="E862" s="378">
        <v>1</v>
      </c>
      <c r="F862" s="315" t="s">
        <v>770</v>
      </c>
      <c r="G862" s="316">
        <v>43065</v>
      </c>
      <c r="H862" s="454">
        <v>0.68055555555555547</v>
      </c>
      <c r="I862" s="325" t="s">
        <v>770</v>
      </c>
      <c r="J862" s="315" t="s">
        <v>705</v>
      </c>
      <c r="K862" s="441"/>
      <c r="L862" s="462" t="s">
        <v>823</v>
      </c>
      <c r="M862"/>
      <c r="N862" s="462" t="s">
        <v>654</v>
      </c>
      <c r="O862" s="153" t="str">
        <f>IF(L862&lt;&gt;"",IFERROR(VLOOKUP(B862&amp;L862,Pools!$A$2:$D$130,3,FALSE),""),"")</f>
        <v/>
      </c>
      <c r="P862" s="388"/>
      <c r="Q862" s="388"/>
      <c r="R862" s="306" t="str">
        <f t="shared" si="585"/>
        <v>-</v>
      </c>
      <c r="S862" s="153"/>
      <c r="T862" s="148" t="str">
        <f t="shared" si="586"/>
        <v>Pending</v>
      </c>
      <c r="U862" s="153"/>
      <c r="V862" s="153"/>
      <c r="W862" s="387">
        <f t="shared" si="587"/>
        <v>0</v>
      </c>
      <c r="X862" s="387">
        <f t="shared" si="588"/>
        <v>0</v>
      </c>
      <c r="Y862" s="301" t="str">
        <f t="shared" si="589"/>
        <v>X</v>
      </c>
      <c r="Z862" s="301" t="str">
        <f t="shared" si="590"/>
        <v>X</v>
      </c>
      <c r="AA862" s="323" t="str">
        <f>CONCATENATE("                x[team1,team2,sport,'",IF(OR(I862="x",I862=""),VLOOKUP('Schedule from TM'!J864,Tables!$P$3:$Q$33,2,FALSE),'Schedule from TM'!I864),",",J862,"','",IF(OR(F862="x",F862=""),VLOOKUP('Schedule from TM'!G864,Tables!$U$3:$V$14,2,FALSE),'Schedule from TM'!F864),",",TEXT(G862,"mm/dd/yyyy"),"','",TEXT(H862,"h:mm:ss AM/PM"),"'].ub=0.0      #",B862)</f>
        <v xml:space="preserve">                x[team1,team2,sport,'21,Hillel - Field 3','21,11/26/2017','4:20:00 PM'].ub=0.0      #Junior B Male Flag Football</v>
      </c>
      <c r="AB862" s="301" t="str">
        <f t="shared" si="591"/>
        <v>,,Junior B Male Flag Football,,1,JR B M -PER</v>
      </c>
      <c r="AC862" s="153" t="str">
        <f t="shared" si="592"/>
        <v>Junior B Male Flag FootballJR B M -PER</v>
      </c>
      <c r="AD862" s="301" t="str">
        <f t="shared" si="593"/>
        <v>,,Junior B Male Flag Football,,1,JR B M - USA 1</v>
      </c>
      <c r="AE862" s="153" t="str">
        <f t="shared" si="594"/>
        <v>Junior B Male Flag FootballJR B M - USA 1</v>
      </c>
      <c r="AF862" s="383">
        <f t="shared" si="595"/>
        <v>0</v>
      </c>
      <c r="AG862" s="383">
        <f t="shared" si="596"/>
        <v>0</v>
      </c>
      <c r="AH862" s="383">
        <f t="shared" si="597"/>
        <v>0</v>
      </c>
      <c r="AI862" s="383">
        <f t="shared" si="598"/>
        <v>0</v>
      </c>
      <c r="AJ862" s="383">
        <f t="shared" si="599"/>
        <v>0</v>
      </c>
      <c r="AK862" s="383">
        <f t="shared" si="600"/>
        <v>0</v>
      </c>
      <c r="AM862" s="148" t="str">
        <f t="shared" si="601"/>
        <v>Schedulled</v>
      </c>
      <c r="AN862" s="148" t="str">
        <f t="shared" si="602"/>
        <v/>
      </c>
      <c r="AO862" s="156">
        <f t="shared" si="603"/>
        <v>43065.680555555555</v>
      </c>
      <c r="AP862" s="148" t="str">
        <f t="shared" si="604"/>
        <v>11/26/2017 16:20-&gt;Hillel - Field 3</v>
      </c>
      <c r="AQ862" s="374">
        <f t="shared" si="605"/>
        <v>1</v>
      </c>
      <c r="AR862" s="148" t="str">
        <f t="shared" si="606"/>
        <v/>
      </c>
      <c r="AS862" s="148" t="str">
        <f t="shared" si="607"/>
        <v>USA1</v>
      </c>
      <c r="AT862" s="157" t="str">
        <f t="shared" si="608"/>
        <v>-USA1</v>
      </c>
      <c r="AU862" s="157" t="str">
        <f t="shared" si="609"/>
        <v>-USA1 Flag Football Final</v>
      </c>
      <c r="AV862" s="157" t="str">
        <f t="shared" si="610"/>
        <v>JUNIORS B MALE</v>
      </c>
      <c r="AW862" s="157" t="str">
        <f t="shared" si="611"/>
        <v>Flag Football</v>
      </c>
      <c r="AX862" s="376">
        <f t="shared" si="612"/>
        <v>861</v>
      </c>
      <c r="AY862" s="148" t="str">
        <f t="shared" si="613"/>
        <v>JR B M -PER-&gt;JR B M - USA 1</v>
      </c>
      <c r="AZ862" s="148" t="str">
        <f t="shared" si="614"/>
        <v>11/26/2017 16:20-&gt;JR B M -PER</v>
      </c>
      <c r="BA862" s="148" t="str">
        <f t="shared" si="615"/>
        <v>11/26/2017 16:20-&gt;JR B M - USA 1</v>
      </c>
      <c r="BB862" s="374">
        <f t="shared" si="616"/>
        <v>1</v>
      </c>
      <c r="BC862" s="374">
        <f t="shared" si="617"/>
        <v>1</v>
      </c>
      <c r="BD862" s="148" t="str">
        <f t="shared" si="618"/>
        <v>no conflict</v>
      </c>
      <c r="BF862" s="148" t="str">
        <f t="shared" si="619"/>
        <v>11/26/2017 16:20-&gt;JR B M -PER</v>
      </c>
      <c r="BG862" s="148" t="str">
        <f t="shared" si="620"/>
        <v>11/26/2017 16:20-&gt;JR B M - USA 1</v>
      </c>
      <c r="BH862" s="148" t="str">
        <f t="shared" si="621"/>
        <v>11/26/2017 16:20-&gt;Hillel - Field 3</v>
      </c>
      <c r="BI862" s="148" t="str">
        <f t="shared" si="622"/>
        <v>Flag Football in Hillel - Field 3 (-USA1)</v>
      </c>
      <c r="BJ862" s="148" t="str">
        <f t="shared" si="623"/>
        <v>Junior B Male Flag Football-- JR B M -PER vs. JR B M - USA 1</v>
      </c>
      <c r="BK862" s="148" t="str">
        <f t="shared" si="624"/>
        <v>Flag Football</v>
      </c>
      <c r="BL862" s="148" t="str">
        <f t="shared" si="625"/>
        <v>JR B M -PER</v>
      </c>
      <c r="BM862" s="148" t="str">
        <f t="shared" si="626"/>
        <v>JR B M - USA 1</v>
      </c>
      <c r="BN862" s="148" t="str">
        <f t="shared" si="627"/>
        <v>Final</v>
      </c>
      <c r="BP862" s="148" t="str">
        <f t="shared" si="628"/>
        <v>11/26/2017 16:20-&gt;JUNIORS B MALE</v>
      </c>
      <c r="BQ862" s="148" t="str">
        <f t="shared" si="629"/>
        <v>Flag Football Final in Hillel - Field 3</v>
      </c>
    </row>
    <row r="863" spans="1:69" ht="15" customHeight="1" x14ac:dyDescent="0.2">
      <c r="A863" s="376">
        <v>862</v>
      </c>
      <c r="B863" s="315" t="s">
        <v>75</v>
      </c>
      <c r="C863" s="315" t="s">
        <v>769</v>
      </c>
      <c r="D863" s="378">
        <v>1</v>
      </c>
      <c r="E863" s="378">
        <v>1</v>
      </c>
      <c r="F863" s="315" t="s">
        <v>770</v>
      </c>
      <c r="G863" s="316">
        <v>43065</v>
      </c>
      <c r="H863" s="454">
        <v>0.64583333333333337</v>
      </c>
      <c r="I863" s="325" t="s">
        <v>770</v>
      </c>
      <c r="J863" s="315" t="s">
        <v>694</v>
      </c>
      <c r="K863" s="441"/>
      <c r="L863" s="462" t="s">
        <v>651</v>
      </c>
      <c r="M863"/>
      <c r="N863" s="462" t="s">
        <v>656</v>
      </c>
      <c r="O863" s="153" t="str">
        <f>IF(L863&lt;&gt;"",IFERROR(VLOOKUP(B863&amp;L863,Pools!$A$2:$D$130,3,FALSE),""),"")</f>
        <v>Pool B</v>
      </c>
      <c r="P863" s="388">
        <v>0</v>
      </c>
      <c r="Q863" s="388">
        <v>3</v>
      </c>
      <c r="R863" s="306" t="str">
        <f t="shared" si="585"/>
        <v>0-3</v>
      </c>
      <c r="S863" s="153"/>
      <c r="T863" s="148" t="str">
        <f t="shared" si="586"/>
        <v>Completed</v>
      </c>
      <c r="U863" s="153"/>
      <c r="V863" s="153"/>
      <c r="W863" s="387">
        <f t="shared" si="587"/>
        <v>-3</v>
      </c>
      <c r="X863" s="387">
        <f t="shared" si="588"/>
        <v>3</v>
      </c>
      <c r="Y863" s="301">
        <f t="shared" si="589"/>
        <v>0</v>
      </c>
      <c r="Z863" s="301">
        <f t="shared" si="590"/>
        <v>2</v>
      </c>
      <c r="AA863" s="323" t="str">
        <f>CONCATENATE("                x[team1,team2,sport,'",IF(OR(I863="x",I863=""),VLOOKUP('Schedule from TM'!J865,Tables!$P$3:$Q$33,2,FALSE),'Schedule from TM'!I865),",",J863,"','",IF(OR(F863="x",F863=""),VLOOKUP('Schedule from TM'!G865,Tables!$U$3:$V$14,2,FALSE),'Schedule from TM'!F865),",",TEXT(G863,"mm/dd/yyyy"),"','",TEXT(H863,"h:mm:ss AM/PM"),"'].ub=0.0      #",B863)</f>
        <v xml:space="preserve">                x[team1,team2,sport,'21,JCC Back Field 4','21,11/26/2017','3:30:00 PM'].ub=0.0      #Junior B Male Mini Soccer</v>
      </c>
      <c r="AB863" s="301" t="str">
        <f t="shared" si="591"/>
        <v>,,Junior B Male Mini Soccer,Pool B,1,JR B M - ISR 1</v>
      </c>
      <c r="AC863" s="153" t="str">
        <f t="shared" si="592"/>
        <v>Junior B Male Mini SoccerPool BJR B M - ISR 1</v>
      </c>
      <c r="AD863" s="301" t="str">
        <f t="shared" si="593"/>
        <v>,,Junior B Male Mini Soccer,Pool B,1,JR B M - VEN 1</v>
      </c>
      <c r="AE863" s="153" t="str">
        <f t="shared" si="594"/>
        <v>Junior B Male Mini SoccerPool BJR B M - VEN 1</v>
      </c>
      <c r="AF863" s="383">
        <f t="shared" si="595"/>
        <v>0</v>
      </c>
      <c r="AG863" s="383">
        <f t="shared" si="596"/>
        <v>1</v>
      </c>
      <c r="AH863" s="383">
        <f t="shared" si="597"/>
        <v>0</v>
      </c>
      <c r="AI863" s="383">
        <f t="shared" si="598"/>
        <v>1</v>
      </c>
      <c r="AJ863" s="383">
        <f t="shared" si="599"/>
        <v>0</v>
      </c>
      <c r="AK863" s="383">
        <f t="shared" si="600"/>
        <v>0</v>
      </c>
      <c r="AM863" s="148" t="str">
        <f t="shared" si="601"/>
        <v>Schedulled</v>
      </c>
      <c r="AN863" s="148" t="str">
        <f t="shared" si="602"/>
        <v/>
      </c>
      <c r="AO863" s="156">
        <f t="shared" si="603"/>
        <v>43065.645833333336</v>
      </c>
      <c r="AP863" s="148" t="str">
        <f t="shared" si="604"/>
        <v>11/26/2017 15:30-&gt;JCC Back Field 4</v>
      </c>
      <c r="AQ863" s="374">
        <f t="shared" si="605"/>
        <v>1</v>
      </c>
      <c r="AR863" s="148" t="str">
        <f t="shared" si="606"/>
        <v>ISR1</v>
      </c>
      <c r="AS863" s="148" t="str">
        <f t="shared" si="607"/>
        <v>VEN1</v>
      </c>
      <c r="AT863" s="157" t="str">
        <f t="shared" si="608"/>
        <v>ISR1-VEN1</v>
      </c>
      <c r="AU863" s="157" t="str">
        <f t="shared" si="609"/>
        <v>ISR1-VEN1 Soccer Final</v>
      </c>
      <c r="AV863" s="157" t="str">
        <f t="shared" si="610"/>
        <v>JUNIORS B MALE</v>
      </c>
      <c r="AW863" s="157" t="str">
        <f t="shared" si="611"/>
        <v>Soccer</v>
      </c>
      <c r="AX863" s="376">
        <f t="shared" si="612"/>
        <v>862</v>
      </c>
      <c r="AY863" s="148" t="str">
        <f t="shared" si="613"/>
        <v>JR B M - ISR 1-&gt;JR B M - VEN 1</v>
      </c>
      <c r="AZ863" s="148" t="str">
        <f t="shared" si="614"/>
        <v>11/26/2017 15:30-&gt;JR B M - ISR 1</v>
      </c>
      <c r="BA863" s="148" t="str">
        <f t="shared" si="615"/>
        <v>11/26/2017 15:30-&gt;JR B M - VEN 1</v>
      </c>
      <c r="BB863" s="374">
        <f t="shared" si="616"/>
        <v>1</v>
      </c>
      <c r="BC863" s="374">
        <f t="shared" si="617"/>
        <v>1</v>
      </c>
      <c r="BD863" s="148" t="str">
        <f t="shared" si="618"/>
        <v>no conflict</v>
      </c>
      <c r="BF863" s="148" t="str">
        <f t="shared" si="619"/>
        <v>11/26/2017 15:30-&gt;JR B M - ISR 1</v>
      </c>
      <c r="BG863" s="148" t="str">
        <f t="shared" si="620"/>
        <v>11/26/2017 15:30-&gt;JR B M - VEN 1</v>
      </c>
      <c r="BH863" s="148" t="str">
        <f t="shared" si="621"/>
        <v>11/26/2017 15:30-&gt;JCC Back Field 4</v>
      </c>
      <c r="BI863" s="148" t="str">
        <f t="shared" si="622"/>
        <v>Soccer in JCC Back Field 4 (ISR1-VEN1)</v>
      </c>
      <c r="BJ863" s="148" t="str">
        <f t="shared" si="623"/>
        <v>Junior B Male Mini Soccer-- JR B M - ISR 1 vs. JR B M - VEN 1</v>
      </c>
      <c r="BK863" s="148" t="str">
        <f t="shared" si="624"/>
        <v>Soccer</v>
      </c>
      <c r="BL863" s="148" t="str">
        <f t="shared" si="625"/>
        <v>JR B M - ISR 1</v>
      </c>
      <c r="BM863" s="148" t="str">
        <f t="shared" si="626"/>
        <v>JR B M - VEN 1</v>
      </c>
      <c r="BN863" s="148" t="str">
        <f t="shared" si="627"/>
        <v>Final</v>
      </c>
      <c r="BP863" s="148" t="str">
        <f t="shared" si="628"/>
        <v>11/26/2017 15:30-&gt;JUNIORS B MALE</v>
      </c>
      <c r="BQ863" s="148" t="str">
        <f t="shared" si="629"/>
        <v>Soccer Final in JCC Back Field 4</v>
      </c>
    </row>
    <row r="864" spans="1:69" ht="15" customHeight="1" x14ac:dyDescent="0.2">
      <c r="A864" s="376">
        <v>863</v>
      </c>
      <c r="B864" s="443" t="s">
        <v>78</v>
      </c>
      <c r="C864" s="315" t="s">
        <v>769</v>
      </c>
      <c r="D864" s="378">
        <v>1</v>
      </c>
      <c r="E864" s="378">
        <v>1</v>
      </c>
      <c r="F864" s="315" t="s">
        <v>770</v>
      </c>
      <c r="G864" s="316">
        <v>43065</v>
      </c>
      <c r="H864" s="454">
        <v>0.50694444444444442</v>
      </c>
      <c r="I864" s="325" t="s">
        <v>770</v>
      </c>
      <c r="J864" s="443" t="s">
        <v>708</v>
      </c>
      <c r="K864" s="441"/>
      <c r="L864" s="462" t="s">
        <v>650</v>
      </c>
      <c r="M864"/>
      <c r="N864" s="462" t="s">
        <v>653</v>
      </c>
      <c r="O864" s="153" t="str">
        <f>IF(L864&lt;&gt;"",IFERROR(VLOOKUP(B864&amp;L864,Pools!$A$2:$D$130,3,FALSE),""),"")</f>
        <v>Pool A</v>
      </c>
      <c r="P864" s="388"/>
      <c r="Q864" s="388"/>
      <c r="R864" s="306" t="str">
        <f t="shared" si="585"/>
        <v>-</v>
      </c>
      <c r="S864" s="153"/>
      <c r="T864" s="148" t="str">
        <f t="shared" si="586"/>
        <v>Pending</v>
      </c>
      <c r="U864" s="153"/>
      <c r="V864" s="153"/>
      <c r="W864" s="387">
        <f t="shared" si="587"/>
        <v>0</v>
      </c>
      <c r="X864" s="387">
        <f t="shared" si="588"/>
        <v>0</v>
      </c>
      <c r="Y864" s="301" t="str">
        <f t="shared" si="589"/>
        <v>X</v>
      </c>
      <c r="Z864" s="301" t="str">
        <f t="shared" si="590"/>
        <v>X</v>
      </c>
      <c r="AA864" s="323" t="str">
        <f>CONCATENATE("                x[team1,team2,sport,'",IF(OR(I864="x",I864=""),VLOOKUP('Schedule from TM'!J866,Tables!$P$3:$Q$33,2,FALSE),'Schedule from TM'!I866),",",J864,"','",IF(OR(F864="x",F864=""),VLOOKUP('Schedule from TM'!G866,Tables!$U$3:$V$14,2,FALSE),'Schedule from TM'!F866),",",TEXT(G864,"mm/dd/yyyy"),"','",TEXT(H864,"h:mm:ss AM/PM"),"'].ub=0.0      #",B864)</f>
        <v xml:space="preserve">                x[team1,team2,sport,'21,Hillel - Gym Volleyball','21,11/26/2017','12:10:00 PM'].ub=0.0      #Junior B Male Volleyball</v>
      </c>
      <c r="AB864" s="301" t="str">
        <f t="shared" si="591"/>
        <v>,,Junior B Male Volleyball,Pool A,1,JR B M - COL 1</v>
      </c>
      <c r="AC864" s="153" t="str">
        <f t="shared" si="592"/>
        <v>Junior B Male VolleyballPool AJR B M - COL 1</v>
      </c>
      <c r="AD864" s="301" t="str">
        <f t="shared" si="593"/>
        <v>,,Junior B Male Volleyball,Pool A,1,JR B M - PER</v>
      </c>
      <c r="AE864" s="153" t="str">
        <f t="shared" si="594"/>
        <v>Junior B Male VolleyballPool AJR B M - PER</v>
      </c>
      <c r="AF864" s="383">
        <f t="shared" si="595"/>
        <v>0</v>
      </c>
      <c r="AG864" s="383">
        <f t="shared" si="596"/>
        <v>0</v>
      </c>
      <c r="AH864" s="383">
        <f t="shared" si="597"/>
        <v>0</v>
      </c>
      <c r="AI864" s="383">
        <f t="shared" si="598"/>
        <v>0</v>
      </c>
      <c r="AJ864" s="383">
        <f t="shared" si="599"/>
        <v>0</v>
      </c>
      <c r="AK864" s="383">
        <f t="shared" si="600"/>
        <v>0</v>
      </c>
      <c r="AM864" s="148" t="str">
        <f t="shared" si="601"/>
        <v>Schedulled</v>
      </c>
      <c r="AN864" s="148" t="str">
        <f t="shared" si="602"/>
        <v/>
      </c>
      <c r="AO864" s="156">
        <f t="shared" si="603"/>
        <v>43065.506944444445</v>
      </c>
      <c r="AP864" s="148" t="str">
        <f t="shared" si="604"/>
        <v>11/26/2017 12:10-&gt;Hillel - Gym Volleyball</v>
      </c>
      <c r="AQ864" s="374">
        <f t="shared" si="605"/>
        <v>1</v>
      </c>
      <c r="AR864" s="148" t="str">
        <f t="shared" si="606"/>
        <v>COL1</v>
      </c>
      <c r="AS864" s="148" t="str">
        <f t="shared" si="607"/>
        <v>PER</v>
      </c>
      <c r="AT864" s="157" t="str">
        <f t="shared" si="608"/>
        <v>COL1-PER</v>
      </c>
      <c r="AU864" s="157" t="str">
        <f t="shared" si="609"/>
        <v>COL1-PER Volleyball Final</v>
      </c>
      <c r="AV864" s="157" t="str">
        <f t="shared" si="610"/>
        <v>JUNIORS B MALE</v>
      </c>
      <c r="AW864" s="157" t="str">
        <f t="shared" si="611"/>
        <v>Volleyball</v>
      </c>
      <c r="AX864" s="376">
        <f t="shared" si="612"/>
        <v>863</v>
      </c>
      <c r="AY864" s="148" t="str">
        <f t="shared" si="613"/>
        <v>JR B M - COL 1-&gt;JR B M - PER</v>
      </c>
      <c r="AZ864" s="148" t="str">
        <f t="shared" si="614"/>
        <v>11/26/2017 12:10-&gt;JR B M - COL 1</v>
      </c>
      <c r="BA864" s="148" t="str">
        <f t="shared" si="615"/>
        <v>11/26/2017 12:10-&gt;JR B M - PER</v>
      </c>
      <c r="BB864" s="374">
        <f t="shared" si="616"/>
        <v>1</v>
      </c>
      <c r="BC864" s="374">
        <f t="shared" si="617"/>
        <v>1</v>
      </c>
      <c r="BD864" s="148" t="str">
        <f t="shared" si="618"/>
        <v>no conflict</v>
      </c>
      <c r="BF864" s="148" t="str">
        <f t="shared" si="619"/>
        <v>11/26/2017 12:10-&gt;JR B M - COL 1</v>
      </c>
      <c r="BG864" s="148" t="str">
        <f t="shared" si="620"/>
        <v>11/26/2017 12:10-&gt;JR B M - PER</v>
      </c>
      <c r="BH864" s="148" t="str">
        <f t="shared" si="621"/>
        <v>11/26/2017 12:10-&gt;Hillel - Gym Volleyball</v>
      </c>
      <c r="BI864" s="148" t="str">
        <f t="shared" si="622"/>
        <v>Volleyball in Hillel - Gym Volleyball (COL1-PER)</v>
      </c>
      <c r="BJ864" s="148" t="str">
        <f t="shared" si="623"/>
        <v>Junior B Male Volleyball-- JR B M - COL 1 vs. JR B M - PER</v>
      </c>
      <c r="BK864" s="148" t="str">
        <f t="shared" si="624"/>
        <v>Volleyball</v>
      </c>
      <c r="BL864" s="148" t="str">
        <f t="shared" si="625"/>
        <v>JR B M - COL 1</v>
      </c>
      <c r="BM864" s="148" t="str">
        <f t="shared" si="626"/>
        <v>JR B M - PER</v>
      </c>
      <c r="BN864" s="148" t="str">
        <f t="shared" si="627"/>
        <v>Final</v>
      </c>
      <c r="BP864" s="148" t="str">
        <f t="shared" si="628"/>
        <v>11/26/2017 12:10-&gt;JUNIORS B MALE</v>
      </c>
      <c r="BQ864" s="148" t="str">
        <f t="shared" si="629"/>
        <v>Volleyball Final in Hillel - Gym Volleyball</v>
      </c>
    </row>
    <row r="865" spans="1:69" ht="15" customHeight="1" x14ac:dyDescent="0.2">
      <c r="A865" s="376">
        <v>864</v>
      </c>
      <c r="B865" s="315" t="s">
        <v>68</v>
      </c>
      <c r="C865" s="315" t="s">
        <v>769</v>
      </c>
      <c r="D865" s="378">
        <v>1</v>
      </c>
      <c r="E865" s="378">
        <v>1</v>
      </c>
      <c r="F865" s="315" t="s">
        <v>770</v>
      </c>
      <c r="G865" s="316">
        <v>43065</v>
      </c>
      <c r="H865" s="454">
        <v>0.61111111111111105</v>
      </c>
      <c r="I865" s="325" t="s">
        <v>770</v>
      </c>
      <c r="J865" s="315" t="s">
        <v>707</v>
      </c>
      <c r="K865" s="315"/>
      <c r="L865" s="462" t="s">
        <v>660</v>
      </c>
      <c r="M865"/>
      <c r="N865" s="462" t="s">
        <v>667</v>
      </c>
      <c r="O865" s="153" t="str">
        <f>IF(L865&lt;&gt;"",IFERROR(VLOOKUP(B865&amp;L865,Pools!$A$2:$D$130,3,FALSE),""),"")</f>
        <v/>
      </c>
      <c r="P865" s="388"/>
      <c r="Q865" s="388"/>
      <c r="R865" s="306" t="str">
        <f t="shared" si="585"/>
        <v>-</v>
      </c>
      <c r="S865" s="153"/>
      <c r="T865" s="148" t="str">
        <f t="shared" si="586"/>
        <v>Pending</v>
      </c>
      <c r="U865" s="153"/>
      <c r="V865" s="153"/>
      <c r="W865" s="387">
        <f t="shared" si="587"/>
        <v>0</v>
      </c>
      <c r="X865" s="387">
        <f t="shared" si="588"/>
        <v>0</v>
      </c>
      <c r="Y865" s="301" t="str">
        <f t="shared" si="589"/>
        <v>X</v>
      </c>
      <c r="Z865" s="301" t="str">
        <f t="shared" si="590"/>
        <v>X</v>
      </c>
      <c r="AA865" s="323" t="str">
        <f>CONCATENATE("                x[team1,team2,sport,'",IF(OR(I865="x",I865=""),VLOOKUP('Schedule from TM'!J867,Tables!$P$3:$Q$33,2,FALSE),'Schedule from TM'!I867),",",J865,"','",IF(OR(F865="x",F865=""),VLOOKUP('Schedule from TM'!G867,Tables!$U$3:$V$14,2,FALSE),'Schedule from TM'!F867),",",TEXT(G865,"mm/dd/yyyy"),"','",TEXT(H865,"h:mm:ss AM/PM"),"'].ub=0.0      #",B865)</f>
        <v xml:space="preserve">                x[team1,team2,sport,'11,Hillel - Gym Basketball','21,11/26/2017','2:40:00 PM'].ub=0.0      #Junior Female Basketball</v>
      </c>
      <c r="AB865" s="301" t="str">
        <f t="shared" si="591"/>
        <v>,,Junior Female Basketball,,1,JR F - COL 2</v>
      </c>
      <c r="AC865" s="153" t="str">
        <f t="shared" si="592"/>
        <v>Junior Female BasketballJR F - COL 2</v>
      </c>
      <c r="AD865" s="301" t="str">
        <f t="shared" si="593"/>
        <v>,,Junior Female Basketball,,1,JR F - USA 2</v>
      </c>
      <c r="AE865" s="153" t="str">
        <f t="shared" si="594"/>
        <v>Junior Female BasketballJR F - USA 2</v>
      </c>
      <c r="AF865" s="383">
        <f t="shared" si="595"/>
        <v>0</v>
      </c>
      <c r="AG865" s="383">
        <f t="shared" si="596"/>
        <v>0</v>
      </c>
      <c r="AH865" s="383">
        <f t="shared" si="597"/>
        <v>0</v>
      </c>
      <c r="AI865" s="383">
        <f t="shared" si="598"/>
        <v>0</v>
      </c>
      <c r="AJ865" s="383">
        <f t="shared" si="599"/>
        <v>0</v>
      </c>
      <c r="AK865" s="383">
        <f t="shared" si="600"/>
        <v>0</v>
      </c>
      <c r="AM865" s="148" t="str">
        <f t="shared" si="601"/>
        <v>Schedulled</v>
      </c>
      <c r="AN865" s="148" t="str">
        <f t="shared" si="602"/>
        <v/>
      </c>
      <c r="AO865" s="156">
        <f t="shared" si="603"/>
        <v>43065.611111111109</v>
      </c>
      <c r="AP865" s="148" t="str">
        <f t="shared" si="604"/>
        <v>11/26/2017 14:40-&gt;Hillel - Gym Basketball</v>
      </c>
      <c r="AQ865" s="374">
        <f t="shared" si="605"/>
        <v>1</v>
      </c>
      <c r="AR865" s="148" t="str">
        <f t="shared" si="606"/>
        <v>COL2</v>
      </c>
      <c r="AS865" s="148" t="str">
        <f t="shared" si="607"/>
        <v>USA2</v>
      </c>
      <c r="AT865" s="157" t="str">
        <f t="shared" si="608"/>
        <v>COL2-USA2</v>
      </c>
      <c r="AU865" s="157" t="str">
        <f t="shared" si="609"/>
        <v>COL2-USA2 Basketball Final</v>
      </c>
      <c r="AV865" s="157" t="str">
        <f t="shared" si="610"/>
        <v>JUNIORS FEMALE</v>
      </c>
      <c r="AW865" s="157" t="str">
        <f t="shared" si="611"/>
        <v>Basketball</v>
      </c>
      <c r="AX865" s="376">
        <f t="shared" si="612"/>
        <v>864</v>
      </c>
      <c r="AY865" s="148" t="str">
        <f t="shared" si="613"/>
        <v>JR F - COL 2-&gt;JR F - USA 2</v>
      </c>
      <c r="AZ865" s="148" t="str">
        <f t="shared" si="614"/>
        <v>11/26/2017 14:40-&gt;JR F - COL 2</v>
      </c>
      <c r="BA865" s="148" t="str">
        <f t="shared" si="615"/>
        <v>11/26/2017 14:40-&gt;JR F - USA 2</v>
      </c>
      <c r="BB865" s="374">
        <f t="shared" si="616"/>
        <v>1</v>
      </c>
      <c r="BC865" s="374">
        <f t="shared" si="617"/>
        <v>1</v>
      </c>
      <c r="BD865" s="148" t="str">
        <f t="shared" si="618"/>
        <v>no conflict</v>
      </c>
      <c r="BF865" s="148" t="str">
        <f t="shared" si="619"/>
        <v>11/26/2017 14:40-&gt;JR F - COL 2</v>
      </c>
      <c r="BG865" s="148" t="str">
        <f t="shared" si="620"/>
        <v>11/26/2017 14:40-&gt;JR F - USA 2</v>
      </c>
      <c r="BH865" s="148" t="str">
        <f t="shared" si="621"/>
        <v>11/26/2017 14:40-&gt;Hillel - Gym Basketball</v>
      </c>
      <c r="BI865" s="148" t="str">
        <f t="shared" si="622"/>
        <v>Basketball in Hillel - Gym Basketball (COL2-USA2)</v>
      </c>
      <c r="BJ865" s="148" t="str">
        <f t="shared" si="623"/>
        <v>Junior Female Basketball-- JR F - COL 2 vs. JR F - USA 2</v>
      </c>
      <c r="BK865" s="148" t="str">
        <f t="shared" si="624"/>
        <v>Basketball</v>
      </c>
      <c r="BL865" s="148" t="str">
        <f t="shared" si="625"/>
        <v>JR F - COL 2</v>
      </c>
      <c r="BM865" s="148" t="str">
        <f t="shared" si="626"/>
        <v>JR F - USA 2</v>
      </c>
      <c r="BN865" s="148" t="str">
        <f t="shared" si="627"/>
        <v>Final</v>
      </c>
      <c r="BP865" s="148" t="str">
        <f t="shared" si="628"/>
        <v>11/26/2017 14:40-&gt;JUNIORS FEMALE</v>
      </c>
      <c r="BQ865" s="148" t="str">
        <f t="shared" si="629"/>
        <v>Basketball Final in Hillel - Gym Basketball</v>
      </c>
    </row>
    <row r="866" spans="1:69" ht="15" customHeight="1" x14ac:dyDescent="0.2">
      <c r="A866" s="376">
        <v>865</v>
      </c>
      <c r="B866" s="315" t="s">
        <v>69</v>
      </c>
      <c r="C866" s="315" t="s">
        <v>769</v>
      </c>
      <c r="D866" s="378">
        <v>1</v>
      </c>
      <c r="E866" s="378">
        <v>1</v>
      </c>
      <c r="F866" s="315" t="s">
        <v>770</v>
      </c>
      <c r="G866" s="316">
        <v>43065</v>
      </c>
      <c r="H866" s="454">
        <v>0.68055555555555547</v>
      </c>
      <c r="I866" s="325" t="s">
        <v>770</v>
      </c>
      <c r="J866" s="315" t="s">
        <v>706</v>
      </c>
      <c r="K866" s="315"/>
      <c r="L866" s="462" t="s">
        <v>664</v>
      </c>
      <c r="M866"/>
      <c r="N866" s="462" t="s">
        <v>667</v>
      </c>
      <c r="O866" s="153" t="str">
        <f>IF(L866&lt;&gt;"",IFERROR(VLOOKUP(B866&amp;L866,Pools!$A$2:$D$130,3,FALSE),""),"")</f>
        <v/>
      </c>
      <c r="P866" s="388"/>
      <c r="Q866" s="388"/>
      <c r="R866" s="306" t="str">
        <f t="shared" si="585"/>
        <v>-</v>
      </c>
      <c r="S866" s="153"/>
      <c r="T866" s="148" t="str">
        <f t="shared" si="586"/>
        <v>Pending</v>
      </c>
      <c r="U866" s="153"/>
      <c r="V866" s="153"/>
      <c r="W866" s="387">
        <f t="shared" si="587"/>
        <v>0</v>
      </c>
      <c r="X866" s="387">
        <f t="shared" si="588"/>
        <v>0</v>
      </c>
      <c r="Y866" s="301" t="str">
        <f t="shared" si="589"/>
        <v>X</v>
      </c>
      <c r="Z866" s="301" t="str">
        <f t="shared" si="590"/>
        <v>X</v>
      </c>
      <c r="AA866" s="323" t="str">
        <f>CONCATENATE("                x[team1,team2,sport,'",IF(OR(I866="x",I866=""),VLOOKUP('Schedule from TM'!J868,Tables!$P$3:$Q$33,2,FALSE),'Schedule from TM'!I868),",",J866,"','",IF(OR(F866="x",F866=""),VLOOKUP('Schedule from TM'!G868,Tables!$U$3:$V$14,2,FALSE),'Schedule from TM'!F868),",",TEXT(G866,"mm/dd/yyyy"),"','",TEXT(H866,"h:mm:ss AM/PM"),"'].ub=0.0      #",B866)</f>
        <v xml:space="preserve">                x[team1,team2,sport,'21,Hillel - Field 4','21,11/26/2017','4:20:00 PM'].ub=0.0      #Junior Female Flag Football</v>
      </c>
      <c r="AB866" s="301" t="str">
        <f t="shared" si="591"/>
        <v>,,Junior Female Flag Football,,1,JR F - PER</v>
      </c>
      <c r="AC866" s="153" t="str">
        <f t="shared" si="592"/>
        <v>Junior Female Flag FootballJR F - PER</v>
      </c>
      <c r="AD866" s="301" t="str">
        <f t="shared" si="593"/>
        <v>,,Junior Female Flag Football,,1,JR F - USA 2</v>
      </c>
      <c r="AE866" s="153" t="str">
        <f t="shared" si="594"/>
        <v>Junior Female Flag FootballJR F - USA 2</v>
      </c>
      <c r="AF866" s="383">
        <f t="shared" si="595"/>
        <v>0</v>
      </c>
      <c r="AG866" s="383">
        <f t="shared" si="596"/>
        <v>0</v>
      </c>
      <c r="AH866" s="383">
        <f t="shared" si="597"/>
        <v>0</v>
      </c>
      <c r="AI866" s="383">
        <f t="shared" si="598"/>
        <v>0</v>
      </c>
      <c r="AJ866" s="383">
        <f t="shared" si="599"/>
        <v>0</v>
      </c>
      <c r="AK866" s="383">
        <f t="shared" si="600"/>
        <v>0</v>
      </c>
      <c r="AM866" s="148" t="str">
        <f t="shared" si="601"/>
        <v>Schedulled</v>
      </c>
      <c r="AN866" s="148" t="str">
        <f t="shared" si="602"/>
        <v/>
      </c>
      <c r="AO866" s="156">
        <f t="shared" si="603"/>
        <v>43065.680555555555</v>
      </c>
      <c r="AP866" s="148" t="str">
        <f t="shared" si="604"/>
        <v>11/26/2017 16:20-&gt;Hillel - Field 4</v>
      </c>
      <c r="AQ866" s="374">
        <f t="shared" si="605"/>
        <v>1</v>
      </c>
      <c r="AR866" s="148" t="str">
        <f t="shared" si="606"/>
        <v>PER</v>
      </c>
      <c r="AS866" s="148" t="str">
        <f t="shared" si="607"/>
        <v>USA2</v>
      </c>
      <c r="AT866" s="157" t="str">
        <f t="shared" si="608"/>
        <v>PER-USA2</v>
      </c>
      <c r="AU866" s="157" t="str">
        <f t="shared" si="609"/>
        <v>PER-USA2 Flag Football Final</v>
      </c>
      <c r="AV866" s="157" t="str">
        <f t="shared" si="610"/>
        <v>JUNIORS FEMALE</v>
      </c>
      <c r="AW866" s="157" t="str">
        <f t="shared" si="611"/>
        <v>Flag Football</v>
      </c>
      <c r="AX866" s="376">
        <f t="shared" si="612"/>
        <v>865</v>
      </c>
      <c r="AY866" s="148" t="str">
        <f t="shared" si="613"/>
        <v>JR F - PER-&gt;JR F - USA 2</v>
      </c>
      <c r="AZ866" s="148" t="str">
        <f t="shared" si="614"/>
        <v>11/26/2017 16:20-&gt;JR F - PER</v>
      </c>
      <c r="BA866" s="148" t="str">
        <f t="shared" si="615"/>
        <v>11/26/2017 16:20-&gt;JR F - USA 2</v>
      </c>
      <c r="BB866" s="374">
        <f t="shared" si="616"/>
        <v>1</v>
      </c>
      <c r="BC866" s="374">
        <f t="shared" si="617"/>
        <v>1</v>
      </c>
      <c r="BD866" s="148" t="str">
        <f t="shared" si="618"/>
        <v>no conflict</v>
      </c>
      <c r="BF866" s="148" t="str">
        <f t="shared" si="619"/>
        <v>11/26/2017 16:20-&gt;JR F - PER</v>
      </c>
      <c r="BG866" s="148" t="str">
        <f t="shared" si="620"/>
        <v>11/26/2017 16:20-&gt;JR F - USA 2</v>
      </c>
      <c r="BH866" s="148" t="str">
        <f t="shared" si="621"/>
        <v>11/26/2017 16:20-&gt;Hillel - Field 4</v>
      </c>
      <c r="BI866" s="148" t="str">
        <f t="shared" si="622"/>
        <v>Flag Football in Hillel - Field 4 (PER-USA2)</v>
      </c>
      <c r="BJ866" s="148" t="str">
        <f t="shared" si="623"/>
        <v>Junior Female Flag Football-- JR F - PER vs. JR F - USA 2</v>
      </c>
      <c r="BK866" s="148" t="str">
        <f t="shared" si="624"/>
        <v>Flag Football</v>
      </c>
      <c r="BL866" s="148" t="str">
        <f t="shared" si="625"/>
        <v>JR F - PER</v>
      </c>
      <c r="BM866" s="148" t="str">
        <f t="shared" si="626"/>
        <v>JR F - USA 2</v>
      </c>
      <c r="BN866" s="148" t="str">
        <f t="shared" si="627"/>
        <v>Final</v>
      </c>
      <c r="BP866" s="148" t="str">
        <f t="shared" si="628"/>
        <v>11/26/2017 16:20-&gt;JUNIORS FEMALE</v>
      </c>
      <c r="BQ866" s="148" t="str">
        <f t="shared" si="629"/>
        <v>Flag Football Final in Hillel - Field 4</v>
      </c>
    </row>
    <row r="867" spans="1:69" ht="15" customHeight="1" x14ac:dyDescent="0.2">
      <c r="A867" s="376">
        <v>866</v>
      </c>
      <c r="B867" s="315" t="s">
        <v>67</v>
      </c>
      <c r="C867" s="315" t="s">
        <v>769</v>
      </c>
      <c r="D867" s="378">
        <v>1</v>
      </c>
      <c r="E867" s="378">
        <v>1</v>
      </c>
      <c r="F867" s="315" t="s">
        <v>770</v>
      </c>
      <c r="G867" s="316">
        <v>43065</v>
      </c>
      <c r="H867" s="454">
        <v>0.64583333333333337</v>
      </c>
      <c r="I867" s="325" t="s">
        <v>770</v>
      </c>
      <c r="J867" s="315" t="s">
        <v>695</v>
      </c>
      <c r="K867" s="315"/>
      <c r="L867" s="462" t="s">
        <v>664</v>
      </c>
      <c r="M867"/>
      <c r="N867" s="462" t="s">
        <v>659</v>
      </c>
      <c r="O867" s="153" t="str">
        <f>IF(L867&lt;&gt;"",IFERROR(VLOOKUP(B867&amp;L867,Pools!$A$2:$D$130,3,FALSE),""),"")</f>
        <v/>
      </c>
      <c r="P867" s="388"/>
      <c r="Q867" s="388"/>
      <c r="R867" s="306" t="str">
        <f t="shared" si="585"/>
        <v>-</v>
      </c>
      <c r="S867" s="153"/>
      <c r="T867" s="148" t="str">
        <f t="shared" si="586"/>
        <v>Pending</v>
      </c>
      <c r="U867" s="153"/>
      <c r="V867" s="153"/>
      <c r="W867" s="387">
        <f t="shared" si="587"/>
        <v>0</v>
      </c>
      <c r="X867" s="387">
        <f t="shared" si="588"/>
        <v>0</v>
      </c>
      <c r="Y867" s="301" t="str">
        <f t="shared" si="589"/>
        <v>X</v>
      </c>
      <c r="Z867" s="301" t="str">
        <f t="shared" si="590"/>
        <v>X</v>
      </c>
      <c r="AA867" s="323" t="str">
        <f>CONCATENATE("                x[team1,team2,sport,'",IF(OR(I867="x",I867=""),VLOOKUP('Schedule from TM'!J869,Tables!$P$3:$Q$33,2,FALSE),'Schedule from TM'!I869),",",J867,"','",IF(OR(F867="x",F867=""),VLOOKUP('Schedule from TM'!G869,Tables!$U$3:$V$14,2,FALSE),'Schedule from TM'!F869),",",TEXT(G867,"mm/dd/yyyy"),"','",TEXT(H867,"h:mm:ss AM/PM"),"'].ub=0.0      #",B867)</f>
        <v xml:space="preserve">                x[team1,team2,sport,'11,JCC Back Field 1','21,11/26/2017','3:30:00 PM'].ub=0.0      #Junior Female Mini Soccer</v>
      </c>
      <c r="AB867" s="301" t="str">
        <f t="shared" si="591"/>
        <v>,,Junior Female Mini Soccer,,1,JR F - PER</v>
      </c>
      <c r="AC867" s="153" t="str">
        <f t="shared" si="592"/>
        <v>Junior Female Mini SoccerJR F - PER</v>
      </c>
      <c r="AD867" s="301" t="str">
        <f t="shared" si="593"/>
        <v>,,Junior Female Mini Soccer,,1,JR F - ARG 1</v>
      </c>
      <c r="AE867" s="153" t="str">
        <f t="shared" si="594"/>
        <v>Junior Female Mini SoccerJR F - ARG 1</v>
      </c>
      <c r="AF867" s="383">
        <f t="shared" si="595"/>
        <v>0</v>
      </c>
      <c r="AG867" s="383">
        <f t="shared" si="596"/>
        <v>0</v>
      </c>
      <c r="AH867" s="383">
        <f t="shared" si="597"/>
        <v>0</v>
      </c>
      <c r="AI867" s="383">
        <f t="shared" si="598"/>
        <v>0</v>
      </c>
      <c r="AJ867" s="383">
        <f t="shared" si="599"/>
        <v>0</v>
      </c>
      <c r="AK867" s="383">
        <f t="shared" si="600"/>
        <v>0</v>
      </c>
      <c r="AM867" s="148" t="str">
        <f t="shared" si="601"/>
        <v>Schedulled</v>
      </c>
      <c r="AN867" s="148" t="str">
        <f t="shared" si="602"/>
        <v/>
      </c>
      <c r="AO867" s="156">
        <f t="shared" si="603"/>
        <v>43065.645833333336</v>
      </c>
      <c r="AP867" s="148" t="str">
        <f t="shared" si="604"/>
        <v>11/26/2017 15:30-&gt;JCC Back Field 1</v>
      </c>
      <c r="AQ867" s="374">
        <f t="shared" si="605"/>
        <v>1</v>
      </c>
      <c r="AR867" s="148" t="str">
        <f t="shared" si="606"/>
        <v>PER</v>
      </c>
      <c r="AS867" s="148" t="str">
        <f t="shared" si="607"/>
        <v>ARG1</v>
      </c>
      <c r="AT867" s="157" t="str">
        <f t="shared" si="608"/>
        <v>PER-ARG1</v>
      </c>
      <c r="AU867" s="157" t="str">
        <f t="shared" si="609"/>
        <v>PER-ARG1 Soccer Final</v>
      </c>
      <c r="AV867" s="157" t="str">
        <f t="shared" si="610"/>
        <v>JUNIORS FEMALE</v>
      </c>
      <c r="AW867" s="157" t="str">
        <f t="shared" si="611"/>
        <v>Soccer</v>
      </c>
      <c r="AX867" s="376">
        <f t="shared" si="612"/>
        <v>866</v>
      </c>
      <c r="AY867" s="148" t="str">
        <f t="shared" si="613"/>
        <v>JR F - PER-&gt;JR F - ARG 1</v>
      </c>
      <c r="AZ867" s="148" t="str">
        <f t="shared" si="614"/>
        <v>11/26/2017 15:30-&gt;JR F - PER</v>
      </c>
      <c r="BA867" s="148" t="str">
        <f t="shared" si="615"/>
        <v>11/26/2017 15:30-&gt;JR F - ARG 1</v>
      </c>
      <c r="BB867" s="374">
        <f t="shared" si="616"/>
        <v>1</v>
      </c>
      <c r="BC867" s="374">
        <f t="shared" si="617"/>
        <v>2</v>
      </c>
      <c r="BD867" s="148" t="str">
        <f t="shared" si="618"/>
        <v>conflict</v>
      </c>
      <c r="BF867" s="148" t="str">
        <f t="shared" si="619"/>
        <v>11/26/2017 15:30-&gt;JR F - PER</v>
      </c>
      <c r="BG867" s="148" t="str">
        <f t="shared" si="620"/>
        <v>11/26/2017 15:30-&gt;JR F - ARG 1</v>
      </c>
      <c r="BH867" s="148" t="str">
        <f t="shared" si="621"/>
        <v>11/26/2017 15:30-&gt;JCC Back Field 1</v>
      </c>
      <c r="BI867" s="148" t="str">
        <f t="shared" si="622"/>
        <v>Soccer in JCC Back Field 1 (PER-ARG1)</v>
      </c>
      <c r="BJ867" s="148" t="str">
        <f t="shared" si="623"/>
        <v>Junior Female Mini Soccer-- JR F - PER vs. JR F - ARG 1</v>
      </c>
      <c r="BK867" s="148" t="str">
        <f t="shared" si="624"/>
        <v>Soccer</v>
      </c>
      <c r="BL867" s="148" t="str">
        <f t="shared" si="625"/>
        <v>JR F - PER</v>
      </c>
      <c r="BM867" s="148" t="str">
        <f t="shared" si="626"/>
        <v>JR F - ARG 1</v>
      </c>
      <c r="BN867" s="148" t="str">
        <f t="shared" si="627"/>
        <v>Final</v>
      </c>
      <c r="BP867" s="148" t="str">
        <f t="shared" si="628"/>
        <v>11/26/2017 15:30-&gt;JUNIORS FEMALE</v>
      </c>
      <c r="BQ867" s="148" t="str">
        <f t="shared" si="629"/>
        <v>Soccer Final in JCC Back Field 1</v>
      </c>
    </row>
    <row r="868" spans="1:69" ht="15" customHeight="1" x14ac:dyDescent="0.2">
      <c r="A868" s="376">
        <v>867</v>
      </c>
      <c r="B868" s="443" t="s">
        <v>70</v>
      </c>
      <c r="C868" s="315" t="s">
        <v>769</v>
      </c>
      <c r="D868" s="378">
        <v>1</v>
      </c>
      <c r="E868" s="378">
        <v>1</v>
      </c>
      <c r="F868" s="315" t="s">
        <v>770</v>
      </c>
      <c r="G868" s="316">
        <v>43065</v>
      </c>
      <c r="H868" s="454">
        <v>0.64583333333333337</v>
      </c>
      <c r="I868" s="325" t="s">
        <v>770</v>
      </c>
      <c r="J868" s="315" t="s">
        <v>708</v>
      </c>
      <c r="K868" s="315"/>
      <c r="L868" s="462" t="s">
        <v>667</v>
      </c>
      <c r="M868"/>
      <c r="N868" s="462" t="s">
        <v>659</v>
      </c>
      <c r="O868" s="153" t="str">
        <f>IF(L868&lt;&gt;"",IFERROR(VLOOKUP(B868&amp;L868,Pools!$A$2:$D$130,3,FALSE),""),"")</f>
        <v/>
      </c>
      <c r="P868" s="388"/>
      <c r="Q868" s="388"/>
      <c r="R868" s="306" t="str">
        <f t="shared" si="585"/>
        <v>-</v>
      </c>
      <c r="S868" s="153"/>
      <c r="T868" s="148" t="str">
        <f t="shared" si="586"/>
        <v>Pending</v>
      </c>
      <c r="U868" s="153"/>
      <c r="V868" s="153"/>
      <c r="W868" s="387">
        <f t="shared" si="587"/>
        <v>0</v>
      </c>
      <c r="X868" s="387">
        <f t="shared" si="588"/>
        <v>0</v>
      </c>
      <c r="Y868" s="301" t="str">
        <f t="shared" si="589"/>
        <v>X</v>
      </c>
      <c r="Z868" s="301" t="str">
        <f t="shared" si="590"/>
        <v>X</v>
      </c>
      <c r="AA868" s="323" t="str">
        <f>CONCATENATE("                x[team1,team2,sport,'",IF(OR(I868="x",I868=""),VLOOKUP('Schedule from TM'!J870,Tables!$P$3:$Q$33,2,FALSE),'Schedule from TM'!I870),",",J868,"','",IF(OR(F868="x",F868=""),VLOOKUP('Schedule from TM'!G870,Tables!$U$3:$V$14,2,FALSE),'Schedule from TM'!F870),",",TEXT(G868,"mm/dd/yyyy"),"','",TEXT(H868,"h:mm:ss AM/PM"),"'].ub=0.0      #",B868)</f>
        <v xml:space="preserve">                x[team1,team2,sport,'11,Hillel - Gym Volleyball','21,11/26/2017','3:30:00 PM'].ub=0.0      #Junior Female Volleyball</v>
      </c>
      <c r="AB868" s="301" t="str">
        <f t="shared" si="591"/>
        <v>,,Junior Female Volleyball,,1,JR F - USA 2</v>
      </c>
      <c r="AC868" s="153" t="str">
        <f t="shared" si="592"/>
        <v>Junior Female VolleyballJR F - USA 2</v>
      </c>
      <c r="AD868" s="301" t="str">
        <f t="shared" si="593"/>
        <v>,,Junior Female Volleyball,,1,JR F - ARG 1</v>
      </c>
      <c r="AE868" s="153" t="str">
        <f t="shared" si="594"/>
        <v>Junior Female VolleyballJR F - ARG 1</v>
      </c>
      <c r="AF868" s="383">
        <f t="shared" si="595"/>
        <v>0</v>
      </c>
      <c r="AG868" s="383">
        <f t="shared" si="596"/>
        <v>0</v>
      </c>
      <c r="AH868" s="383">
        <f t="shared" si="597"/>
        <v>0</v>
      </c>
      <c r="AI868" s="383">
        <f t="shared" si="598"/>
        <v>0</v>
      </c>
      <c r="AJ868" s="383">
        <f t="shared" si="599"/>
        <v>0</v>
      </c>
      <c r="AK868" s="383">
        <f t="shared" si="600"/>
        <v>0</v>
      </c>
      <c r="AM868" s="148" t="str">
        <f t="shared" si="601"/>
        <v>Schedulled</v>
      </c>
      <c r="AN868" s="148" t="str">
        <f t="shared" si="602"/>
        <v/>
      </c>
      <c r="AO868" s="156">
        <f t="shared" si="603"/>
        <v>43065.645833333336</v>
      </c>
      <c r="AP868" s="148" t="str">
        <f t="shared" si="604"/>
        <v>11/26/2017 15:30-&gt;Hillel - Gym Volleyball</v>
      </c>
      <c r="AQ868" s="374">
        <f t="shared" si="605"/>
        <v>1</v>
      </c>
      <c r="AR868" s="148" t="str">
        <f t="shared" si="606"/>
        <v>USA2</v>
      </c>
      <c r="AS868" s="148" t="str">
        <f t="shared" si="607"/>
        <v>ARG1</v>
      </c>
      <c r="AT868" s="157" t="str">
        <f t="shared" si="608"/>
        <v>USA2-ARG1</v>
      </c>
      <c r="AU868" s="157" t="str">
        <f t="shared" si="609"/>
        <v>USA2-ARG1 Volleyball Final</v>
      </c>
      <c r="AV868" s="157" t="str">
        <f t="shared" si="610"/>
        <v>JUNIORS FEMALE</v>
      </c>
      <c r="AW868" s="157" t="str">
        <f t="shared" si="611"/>
        <v>Volleyball</v>
      </c>
      <c r="AX868" s="376">
        <f t="shared" si="612"/>
        <v>867</v>
      </c>
      <c r="AY868" s="148" t="str">
        <f t="shared" si="613"/>
        <v>JR F - USA 2-&gt;JR F - ARG 1</v>
      </c>
      <c r="AZ868" s="148" t="str">
        <f t="shared" si="614"/>
        <v>11/26/2017 15:30-&gt;JR F - USA 2</v>
      </c>
      <c r="BA868" s="148" t="str">
        <f t="shared" si="615"/>
        <v>11/26/2017 15:30-&gt;JR F - ARG 1</v>
      </c>
      <c r="BB868" s="374">
        <f t="shared" si="616"/>
        <v>1</v>
      </c>
      <c r="BC868" s="374">
        <f t="shared" si="617"/>
        <v>2</v>
      </c>
      <c r="BD868" s="148" t="str">
        <f t="shared" si="618"/>
        <v>conflict</v>
      </c>
      <c r="BF868" s="148" t="str">
        <f t="shared" si="619"/>
        <v>11/26/2017 15:30-&gt;JR F - USA 2</v>
      </c>
      <c r="BG868" s="148" t="str">
        <f t="shared" si="620"/>
        <v>11/26/2017 15:30-&gt;JR F - ARG 1</v>
      </c>
      <c r="BH868" s="148" t="str">
        <f t="shared" si="621"/>
        <v>11/26/2017 15:30-&gt;Hillel - Gym Volleyball</v>
      </c>
      <c r="BI868" s="148" t="str">
        <f t="shared" si="622"/>
        <v>Volleyball in Hillel - Gym Volleyball (USA2-ARG1)</v>
      </c>
      <c r="BJ868" s="148" t="str">
        <f t="shared" si="623"/>
        <v>Junior Female Volleyball-- JR F - USA 2 vs. JR F - ARG 1</v>
      </c>
      <c r="BK868" s="148" t="str">
        <f t="shared" si="624"/>
        <v>Volleyball</v>
      </c>
      <c r="BL868" s="148" t="str">
        <f t="shared" si="625"/>
        <v>JR F - USA 2</v>
      </c>
      <c r="BM868" s="148" t="str">
        <f t="shared" si="626"/>
        <v>JR F - ARG 1</v>
      </c>
      <c r="BN868" s="148" t="str">
        <f t="shared" si="627"/>
        <v>Final</v>
      </c>
      <c r="BP868" s="148" t="str">
        <f t="shared" si="628"/>
        <v>11/26/2017 15:30-&gt;JUNIORS FEMALE</v>
      </c>
      <c r="BQ868" s="148" t="str">
        <f t="shared" si="629"/>
        <v>Volleyball Final in Hillel - Gym Volleyball</v>
      </c>
    </row>
    <row r="869" spans="1:69" ht="15" customHeight="1" x14ac:dyDescent="0.2">
      <c r="A869" s="376">
        <v>868</v>
      </c>
      <c r="B869" s="315" t="s">
        <v>517</v>
      </c>
      <c r="C869" s="315" t="s">
        <v>769</v>
      </c>
      <c r="D869" s="378">
        <v>1</v>
      </c>
      <c r="E869" s="378">
        <v>1</v>
      </c>
      <c r="F869" s="315" t="s">
        <v>770</v>
      </c>
      <c r="G869" s="316">
        <v>43065</v>
      </c>
      <c r="H869" s="454">
        <v>0.57638888888888895</v>
      </c>
      <c r="I869" s="325" t="s">
        <v>770</v>
      </c>
      <c r="J869" s="443" t="s">
        <v>694</v>
      </c>
      <c r="K869" s="441"/>
      <c r="L869" s="462" t="s">
        <v>678</v>
      </c>
      <c r="M869"/>
      <c r="N869" s="462" t="s">
        <v>672</v>
      </c>
      <c r="O869" s="153" t="str">
        <f>IF(L869&lt;&gt;"",IFERROR(VLOOKUP(B869&amp;L869,Pools!$A$2:$D$130,3,FALSE),""),"")</f>
        <v/>
      </c>
      <c r="P869" s="388">
        <v>1</v>
      </c>
      <c r="Q869" s="388">
        <v>0</v>
      </c>
      <c r="R869" s="306" t="str">
        <f t="shared" si="585"/>
        <v>1-0</v>
      </c>
      <c r="S869" s="153"/>
      <c r="T869" s="148" t="str">
        <f t="shared" si="586"/>
        <v>Completed</v>
      </c>
      <c r="U869" s="153"/>
      <c r="V869" s="153"/>
      <c r="W869" s="387">
        <f t="shared" si="587"/>
        <v>1</v>
      </c>
      <c r="X869" s="387">
        <f t="shared" si="588"/>
        <v>-1</v>
      </c>
      <c r="Y869" s="301">
        <f t="shared" si="589"/>
        <v>2</v>
      </c>
      <c r="Z869" s="301">
        <f t="shared" si="590"/>
        <v>0</v>
      </c>
      <c r="AA869" s="323" t="str">
        <f>CONCATENATE("                x[team1,team2,sport,'",IF(OR(I869="x",I869=""),VLOOKUP('Schedule from TM'!J871,Tables!$P$3:$Q$33,2,FALSE),'Schedule from TM'!I871),",",J869,"','",IF(OR(F869="x",F869=""),VLOOKUP('Schedule from TM'!G871,Tables!$U$3:$V$14,2,FALSE),'Schedule from TM'!F871),",",TEXT(G869,"mm/dd/yyyy"),"','",TEXT(H869,"h:mm:ss AM/PM"),"'].ub=0.0      #",B869)</f>
        <v xml:space="preserve">                x[team1,team2,sport,'11,JCC Back Field 4','22,11/26/2017','1:50:00 PM'].ub=0.0      #Veterans Mini Soccer</v>
      </c>
      <c r="AB869" s="301" t="str">
        <f t="shared" si="591"/>
        <v>,,Veterans Mini Soccer,,1,VET - VEN 1</v>
      </c>
      <c r="AC869" s="153" t="str">
        <f t="shared" si="592"/>
        <v>Veterans Mini SoccerVET - VEN 1</v>
      </c>
      <c r="AD869" s="301" t="str">
        <f t="shared" si="593"/>
        <v>,,Veterans Mini Soccer,,1,VET - ARG 1</v>
      </c>
      <c r="AE869" s="153" t="str">
        <f t="shared" si="594"/>
        <v>Veterans Mini SoccerVET - ARG 1</v>
      </c>
      <c r="AF869" s="383">
        <f t="shared" si="595"/>
        <v>1</v>
      </c>
      <c r="AG869" s="383">
        <f t="shared" si="596"/>
        <v>0</v>
      </c>
      <c r="AH869" s="383">
        <f t="shared" si="597"/>
        <v>0</v>
      </c>
      <c r="AI869" s="383">
        <f t="shared" si="598"/>
        <v>0</v>
      </c>
      <c r="AJ869" s="383">
        <f t="shared" si="599"/>
        <v>1</v>
      </c>
      <c r="AK869" s="383">
        <f t="shared" si="600"/>
        <v>0</v>
      </c>
      <c r="AM869" s="148" t="str">
        <f t="shared" si="601"/>
        <v>Schedulled</v>
      </c>
      <c r="AN869" s="148" t="str">
        <f t="shared" si="602"/>
        <v/>
      </c>
      <c r="AO869" s="156">
        <f t="shared" si="603"/>
        <v>43065.576388888891</v>
      </c>
      <c r="AP869" s="148" t="str">
        <f t="shared" si="604"/>
        <v>11/26/2017 13:50-&gt;JCC Back Field 4</v>
      </c>
      <c r="AQ869" s="374">
        <f t="shared" si="605"/>
        <v>1</v>
      </c>
      <c r="AR869" s="148" t="str">
        <f t="shared" si="606"/>
        <v>VEN1</v>
      </c>
      <c r="AS869" s="148" t="str">
        <f t="shared" si="607"/>
        <v>ARG1</v>
      </c>
      <c r="AT869" s="157" t="str">
        <f t="shared" si="608"/>
        <v>VEN1-ARG1</v>
      </c>
      <c r="AU869" s="157" t="str">
        <f t="shared" si="609"/>
        <v>VEN1-ARG1 Soccer Final</v>
      </c>
      <c r="AV869" s="157" t="str">
        <f t="shared" si="610"/>
        <v>VETERANs MAlE</v>
      </c>
      <c r="AW869" s="157" t="str">
        <f t="shared" si="611"/>
        <v>Soccer</v>
      </c>
      <c r="AX869" s="376">
        <f t="shared" si="612"/>
        <v>868</v>
      </c>
      <c r="AY869" s="148" t="str">
        <f t="shared" si="613"/>
        <v>VET - VEN 1-&gt;VET - ARG 1</v>
      </c>
      <c r="AZ869" s="148" t="str">
        <f t="shared" si="614"/>
        <v>11/26/2017 13:50-&gt;VET - VEN 1</v>
      </c>
      <c r="BA869" s="148" t="str">
        <f t="shared" si="615"/>
        <v>11/26/2017 13:50-&gt;VET - ARG 1</v>
      </c>
      <c r="BB869" s="374">
        <f t="shared" si="616"/>
        <v>1</v>
      </c>
      <c r="BC869" s="374">
        <f t="shared" si="617"/>
        <v>1</v>
      </c>
      <c r="BD869" s="148" t="str">
        <f t="shared" si="618"/>
        <v>no conflict</v>
      </c>
      <c r="BF869" s="148" t="str">
        <f t="shared" si="619"/>
        <v>11/26/2017 13:50-&gt;VET - VEN 1</v>
      </c>
      <c r="BG869" s="148" t="str">
        <f t="shared" si="620"/>
        <v>11/26/2017 13:50-&gt;VET - ARG 1</v>
      </c>
      <c r="BH869" s="148" t="str">
        <f t="shared" si="621"/>
        <v>11/26/2017 13:50-&gt;JCC Back Field 4</v>
      </c>
      <c r="BI869" s="148" t="str">
        <f t="shared" si="622"/>
        <v>Soccer in JCC Back Field 4 (VEN1-ARG1)</v>
      </c>
      <c r="BJ869" s="148" t="str">
        <f t="shared" si="623"/>
        <v>Veterans Mini Soccer-- VET - VEN 1 vs. VET - ARG 1</v>
      </c>
      <c r="BK869" s="148" t="str">
        <f t="shared" si="624"/>
        <v>Soccer</v>
      </c>
      <c r="BL869" s="148" t="str">
        <f t="shared" si="625"/>
        <v>VET - VEN 1</v>
      </c>
      <c r="BM869" s="148" t="str">
        <f t="shared" si="626"/>
        <v>VET - ARG 1</v>
      </c>
      <c r="BN869" s="148" t="str">
        <f t="shared" si="627"/>
        <v>Final</v>
      </c>
      <c r="BP869" s="148" t="str">
        <f t="shared" si="628"/>
        <v>11/26/2017 13:50-&gt;VETERANs MAlE</v>
      </c>
      <c r="BQ869" s="148" t="str">
        <f t="shared" si="629"/>
        <v>Soccer Final in JCC Back Field 4</v>
      </c>
    </row>
    <row r="870" spans="1:69" ht="15" customHeight="1" x14ac:dyDescent="0.2">
      <c r="A870" s="376">
        <v>869</v>
      </c>
      <c r="B870" s="315" t="s">
        <v>516</v>
      </c>
      <c r="C870" s="315" t="s">
        <v>769</v>
      </c>
      <c r="D870" s="378">
        <v>1</v>
      </c>
      <c r="E870" s="378">
        <v>1</v>
      </c>
      <c r="F870" s="315" t="s">
        <v>770</v>
      </c>
      <c r="G870" s="316">
        <v>43065</v>
      </c>
      <c r="H870" s="454">
        <v>0.61111111111111105</v>
      </c>
      <c r="I870" s="325" t="s">
        <v>770</v>
      </c>
      <c r="J870" s="444" t="s">
        <v>697</v>
      </c>
      <c r="K870" s="315"/>
      <c r="L870" s="462" t="s">
        <v>721</v>
      </c>
      <c r="M870"/>
      <c r="N870" s="462" t="s">
        <v>678</v>
      </c>
      <c r="O870" s="153" t="str">
        <f>IF(L870&lt;&gt;"",IFERROR(VLOOKUP(B870&amp;L870,Pools!$A$2:$D$130,3,FALSE),""),"")</f>
        <v/>
      </c>
      <c r="P870" s="388">
        <v>0</v>
      </c>
      <c r="Q870" s="388">
        <v>2</v>
      </c>
      <c r="R870" s="306" t="str">
        <f t="shared" si="585"/>
        <v>0-2</v>
      </c>
      <c r="S870" s="153"/>
      <c r="T870" s="148" t="str">
        <f t="shared" si="586"/>
        <v>Completed</v>
      </c>
      <c r="U870" s="153"/>
      <c r="V870" s="153"/>
      <c r="W870" s="387">
        <f t="shared" si="587"/>
        <v>-2</v>
      </c>
      <c r="X870" s="387">
        <f t="shared" si="588"/>
        <v>2</v>
      </c>
      <c r="Y870" s="301">
        <f t="shared" si="589"/>
        <v>0</v>
      </c>
      <c r="Z870" s="301">
        <f t="shared" si="590"/>
        <v>2</v>
      </c>
      <c r="AA870" s="323" t="str">
        <f>CONCATENATE("                x[team1,team2,sport,'",IF(OR(I870="x",I870=""),VLOOKUP('Schedule from TM'!J872,Tables!$P$3:$Q$33,2,FALSE),'Schedule from TM'!I872),",",J870,"','",IF(OR(F870="x",F870=""),VLOOKUP('Schedule from TM'!G872,Tables!$U$3:$V$14,2,FALSE),'Schedule from TM'!F872),",",TEXT(G870,"mm/dd/yyyy"),"','",TEXT(H870,"h:mm:ss AM/PM"),"'].ub=0.0      #",B870)</f>
        <v xml:space="preserve">                x[team1,team2,sport,'11,JCC Gym South','11,11/26/2017','2:40:00 PM'].ub=0.0      #Veterans Volleyball</v>
      </c>
      <c r="AB870" s="301" t="str">
        <f t="shared" si="591"/>
        <v>,,Veterans Volleyball,,1,VET - ISR 1</v>
      </c>
      <c r="AC870" s="153" t="str">
        <f t="shared" si="592"/>
        <v>Veterans VolleyballVET - ISR 1</v>
      </c>
      <c r="AD870" s="301" t="str">
        <f t="shared" si="593"/>
        <v>,,Veterans Volleyball,,1,VET - VEN 1</v>
      </c>
      <c r="AE870" s="153" t="str">
        <f t="shared" si="594"/>
        <v>Veterans VolleyballVET - VEN 1</v>
      </c>
      <c r="AF870" s="383">
        <f t="shared" si="595"/>
        <v>0</v>
      </c>
      <c r="AG870" s="383">
        <f t="shared" si="596"/>
        <v>1</v>
      </c>
      <c r="AH870" s="383">
        <f t="shared" si="597"/>
        <v>0</v>
      </c>
      <c r="AI870" s="383">
        <f t="shared" si="598"/>
        <v>1</v>
      </c>
      <c r="AJ870" s="383">
        <f t="shared" si="599"/>
        <v>0</v>
      </c>
      <c r="AK870" s="383">
        <f t="shared" si="600"/>
        <v>0</v>
      </c>
      <c r="AM870" s="148" t="str">
        <f t="shared" si="601"/>
        <v>Schedulled</v>
      </c>
      <c r="AN870" s="148" t="str">
        <f t="shared" si="602"/>
        <v/>
      </c>
      <c r="AO870" s="156">
        <f t="shared" si="603"/>
        <v>43065.611111111109</v>
      </c>
      <c r="AP870" s="148" t="str">
        <f t="shared" si="604"/>
        <v>11/26/2017 14:40-&gt;JCC Gym South</v>
      </c>
      <c r="AQ870" s="374">
        <f t="shared" si="605"/>
        <v>1</v>
      </c>
      <c r="AR870" s="148" t="str">
        <f t="shared" si="606"/>
        <v>ISR1</v>
      </c>
      <c r="AS870" s="148" t="str">
        <f t="shared" si="607"/>
        <v>VEN1</v>
      </c>
      <c r="AT870" s="157" t="str">
        <f t="shared" si="608"/>
        <v>ISR1-VEN1</v>
      </c>
      <c r="AU870" s="157" t="str">
        <f t="shared" si="609"/>
        <v>ISR1-VEN1 Volleyball Final</v>
      </c>
      <c r="AV870" s="157" t="str">
        <f t="shared" si="610"/>
        <v>VETERANs MAlE</v>
      </c>
      <c r="AW870" s="157" t="str">
        <f t="shared" si="611"/>
        <v>Volleyball</v>
      </c>
      <c r="AX870" s="376">
        <f t="shared" si="612"/>
        <v>869</v>
      </c>
      <c r="AY870" s="148" t="str">
        <f t="shared" si="613"/>
        <v>VET - ISR 1-&gt;VET - VEN 1</v>
      </c>
      <c r="AZ870" s="148" t="str">
        <f t="shared" si="614"/>
        <v>11/26/2017 14:40-&gt;VET - ISR 1</v>
      </c>
      <c r="BA870" s="148" t="str">
        <f t="shared" si="615"/>
        <v>11/26/2017 14:40-&gt;VET - VEN 1</v>
      </c>
      <c r="BB870" s="374">
        <f t="shared" si="616"/>
        <v>1</v>
      </c>
      <c r="BC870" s="374">
        <f t="shared" si="617"/>
        <v>1</v>
      </c>
      <c r="BD870" s="148" t="str">
        <f t="shared" si="618"/>
        <v>no conflict</v>
      </c>
      <c r="BF870" s="148" t="str">
        <f t="shared" si="619"/>
        <v>11/26/2017 14:40-&gt;VET - ISR 1</v>
      </c>
      <c r="BG870" s="148" t="str">
        <f t="shared" si="620"/>
        <v>11/26/2017 14:40-&gt;VET - VEN 1</v>
      </c>
      <c r="BH870" s="148" t="str">
        <f t="shared" si="621"/>
        <v>11/26/2017 14:40-&gt;JCC Gym South</v>
      </c>
      <c r="BI870" s="148" t="str">
        <f t="shared" si="622"/>
        <v>Volleyball in JCC Gym South (ISR1-VEN1)</v>
      </c>
      <c r="BJ870" s="148" t="str">
        <f t="shared" si="623"/>
        <v>Veterans Volleyball-- VET - ISR 1 vs. VET - VEN 1</v>
      </c>
      <c r="BK870" s="148" t="str">
        <f t="shared" si="624"/>
        <v>Volleyball</v>
      </c>
      <c r="BL870" s="148" t="str">
        <f t="shared" si="625"/>
        <v>VET - ISR 1</v>
      </c>
      <c r="BM870" s="148" t="str">
        <f t="shared" si="626"/>
        <v>VET - VEN 1</v>
      </c>
      <c r="BN870" s="148" t="str">
        <f t="shared" si="627"/>
        <v>Final</v>
      </c>
      <c r="BP870" s="148" t="str">
        <f t="shared" si="628"/>
        <v>11/26/2017 14:40-&gt;VETERANs MAlE</v>
      </c>
      <c r="BQ870" s="148" t="str">
        <f t="shared" si="629"/>
        <v>Volleyball Final in JCC Gym South</v>
      </c>
    </row>
    <row r="871" spans="1:69" ht="15" customHeight="1" x14ac:dyDescent="0.2">
      <c r="A871" s="377">
        <v>870</v>
      </c>
      <c r="B871" s="443" t="s">
        <v>81</v>
      </c>
      <c r="C871" s="443" t="s">
        <v>518</v>
      </c>
      <c r="D871" s="378">
        <v>1</v>
      </c>
      <c r="E871" s="378">
        <v>1</v>
      </c>
      <c r="F871" s="153"/>
      <c r="G871" s="154">
        <v>43059</v>
      </c>
      <c r="H871" s="297">
        <v>0.78472222222222221</v>
      </c>
      <c r="I871" s="314"/>
      <c r="J871" s="443" t="s">
        <v>695</v>
      </c>
      <c r="K871" s="153"/>
      <c r="L871" s="296" t="s">
        <v>541</v>
      </c>
      <c r="M871" s="153"/>
      <c r="N871" s="441" t="s">
        <v>539</v>
      </c>
      <c r="O871" s="153" t="str">
        <f>IF(L871&lt;&gt;"",IFERROR(VLOOKUP(B871&amp;L871,Pools!$A$2:$D$130,3,FALSE),""),"")</f>
        <v/>
      </c>
      <c r="P871" s="388">
        <v>0</v>
      </c>
      <c r="Q871" s="388">
        <v>1</v>
      </c>
      <c r="R871" s="306" t="str">
        <f t="shared" si="585"/>
        <v>0-1</v>
      </c>
      <c r="S871" s="153"/>
      <c r="T871" s="148" t="str">
        <f t="shared" si="586"/>
        <v>Completed</v>
      </c>
      <c r="U871" s="153"/>
      <c r="V871" s="153"/>
      <c r="W871" s="387">
        <f t="shared" si="587"/>
        <v>-1</v>
      </c>
      <c r="X871" s="387">
        <f t="shared" si="588"/>
        <v>1</v>
      </c>
      <c r="Y871" s="301">
        <f t="shared" si="589"/>
        <v>0</v>
      </c>
      <c r="Z871" s="301">
        <f t="shared" si="590"/>
        <v>2</v>
      </c>
      <c r="AA871" s="323" t="str">
        <f>CONCATENATE("                x[team1,team2,sport,'",IF(OR(I871="x",I871=""),VLOOKUP('Schedule from TM'!J873,Tables!$P$3:$Q$33,2,FALSE),'Schedule from TM'!I873),",",J871,"','",IF(OR(F871="x",F871=""),VLOOKUP('Schedule from TM'!G873,Tables!$U$3:$V$14,2,FALSE),'Schedule from TM'!F873),",",TEXT(G871,"mm/dd/yyyy"),"','",TEXT(H871,"h:mm:ss AM/PM"),"'].ub=0.0      #",B871)</f>
        <v xml:space="preserve">                x[team1,team2,sport,'11,JCC Back Field 1','22,11/20/2017','6:50:00 PM'].ub=0.0      #Adult Male Mini Soccer</v>
      </c>
      <c r="AB871" s="301" t="str">
        <f t="shared" si="591"/>
        <v>,,Adult Male Mini Soccer,,1,AD M - ISR 1</v>
      </c>
      <c r="AC871" s="153" t="str">
        <f t="shared" si="592"/>
        <v>Adult Male Mini SoccerAD M - ISR 1</v>
      </c>
      <c r="AD871" s="301" t="str">
        <f t="shared" si="593"/>
        <v>,,Adult Male Mini Soccer,,1,AD M - USA 1</v>
      </c>
      <c r="AE871" s="153" t="str">
        <f t="shared" si="594"/>
        <v>Adult Male Mini SoccerAD M - USA 1</v>
      </c>
      <c r="AF871" s="383">
        <f t="shared" si="595"/>
        <v>0</v>
      </c>
      <c r="AG871" s="383">
        <f t="shared" si="596"/>
        <v>1</v>
      </c>
      <c r="AH871" s="383">
        <f t="shared" si="597"/>
        <v>0</v>
      </c>
      <c r="AI871" s="383">
        <f t="shared" si="598"/>
        <v>1</v>
      </c>
      <c r="AJ871" s="383">
        <f t="shared" si="599"/>
        <v>0</v>
      </c>
      <c r="AK871" s="383">
        <f t="shared" si="600"/>
        <v>0</v>
      </c>
      <c r="AM871" s="148" t="str">
        <f t="shared" si="601"/>
        <v>Schedulled</v>
      </c>
      <c r="AN871" s="148" t="str">
        <f t="shared" si="602"/>
        <v/>
      </c>
      <c r="AO871" s="156">
        <f t="shared" si="603"/>
        <v>43059.784722222219</v>
      </c>
      <c r="AP871" s="148" t="str">
        <f t="shared" si="604"/>
        <v>11/20/2017 18:50-&gt;JCC Back Field 1</v>
      </c>
      <c r="AQ871" s="374">
        <f t="shared" si="605"/>
        <v>1</v>
      </c>
      <c r="AR871" s="148" t="str">
        <f t="shared" si="606"/>
        <v>ISR1</v>
      </c>
      <c r="AS871" s="148" t="str">
        <f t="shared" si="607"/>
        <v>USA1</v>
      </c>
      <c r="AT871" s="157" t="str">
        <f t="shared" si="608"/>
        <v>ISR1-USA1</v>
      </c>
      <c r="AU871" s="157" t="str">
        <f t="shared" si="609"/>
        <v xml:space="preserve">ISR1-USA1 </v>
      </c>
      <c r="AV871" s="157" t="str">
        <f t="shared" si="610"/>
        <v>Adults MALE</v>
      </c>
      <c r="AW871" s="157" t="str">
        <f t="shared" si="611"/>
        <v>Soccer</v>
      </c>
      <c r="AX871" s="376">
        <f t="shared" si="612"/>
        <v>870</v>
      </c>
      <c r="AY871" s="148" t="str">
        <f t="shared" si="613"/>
        <v>AD M - ISR 1-&gt;AD M - USA 1</v>
      </c>
      <c r="AZ871" s="148" t="str">
        <f t="shared" si="614"/>
        <v>11/20/2017 18:50-&gt;AD M - ISR 1</v>
      </c>
      <c r="BA871" s="148" t="str">
        <f t="shared" si="615"/>
        <v>11/20/2017 18:50-&gt;AD M - USA 1</v>
      </c>
      <c r="BB871" s="374">
        <f t="shared" si="616"/>
        <v>1</v>
      </c>
      <c r="BC871" s="374">
        <f t="shared" si="617"/>
        <v>1</v>
      </c>
      <c r="BD871" s="148" t="str">
        <f t="shared" si="618"/>
        <v>no conflict</v>
      </c>
      <c r="BF871" s="148" t="str">
        <f t="shared" si="619"/>
        <v>11/20/2017 18:50-&gt;AD M - ISR 1</v>
      </c>
      <c r="BG871" s="148" t="str">
        <f t="shared" si="620"/>
        <v>11/20/2017 18:50-&gt;AD M - USA 1</v>
      </c>
      <c r="BH871" s="148" t="str">
        <f t="shared" si="621"/>
        <v>11/20/2017 18:50-&gt;JCC Back Field 1</v>
      </c>
      <c r="BI871" s="148" t="str">
        <f t="shared" si="622"/>
        <v>Soccer in JCC Back Field 1 (ISR1-USA1)</v>
      </c>
      <c r="BJ871" s="148" t="str">
        <f t="shared" si="623"/>
        <v>Adult Male Mini Soccer-- AD M - ISR 1 vs. AD M - USA 1</v>
      </c>
      <c r="BK871" s="148" t="str">
        <f t="shared" si="624"/>
        <v>Soccer</v>
      </c>
      <c r="BL871" s="148" t="str">
        <f t="shared" si="625"/>
        <v>AD M - ISR 1</v>
      </c>
      <c r="BM871" s="148" t="str">
        <f t="shared" si="626"/>
        <v>AD M - USA 1</v>
      </c>
      <c r="BN871" s="148" t="str">
        <f t="shared" si="627"/>
        <v>Round - 1</v>
      </c>
      <c r="BP871" s="148" t="str">
        <f t="shared" si="628"/>
        <v>no t, f, or sf</v>
      </c>
      <c r="BQ871" s="148" t="str">
        <f t="shared" si="629"/>
        <v/>
      </c>
    </row>
    <row r="872" spans="1:69" ht="15" customHeight="1" x14ac:dyDescent="0.2">
      <c r="A872" s="377">
        <v>871</v>
      </c>
      <c r="B872" s="147" t="s">
        <v>81</v>
      </c>
      <c r="C872" s="443" t="s">
        <v>518</v>
      </c>
      <c r="D872" s="378">
        <v>1</v>
      </c>
      <c r="E872" s="378">
        <v>1</v>
      </c>
      <c r="F872" s="153"/>
      <c r="G872" s="154">
        <v>43062</v>
      </c>
      <c r="H872" s="155">
        <v>0.40277777777777773</v>
      </c>
      <c r="I872" s="314"/>
      <c r="J872" s="443" t="s">
        <v>692</v>
      </c>
      <c r="K872" s="153"/>
      <c r="L872" s="443" t="s">
        <v>533</v>
      </c>
      <c r="M872" s="153"/>
      <c r="N872" s="443" t="s">
        <v>537</v>
      </c>
      <c r="O872" s="153" t="str">
        <f>IF(L872&lt;&gt;"",IFERROR(VLOOKUP(B872&amp;L872,Pools!$A$2:$D$130,3,FALSE),""),"")</f>
        <v/>
      </c>
      <c r="P872" s="388">
        <v>0</v>
      </c>
      <c r="Q872" s="388">
        <v>2</v>
      </c>
      <c r="R872" s="306" t="str">
        <f t="shared" si="585"/>
        <v>0-2</v>
      </c>
      <c r="S872" s="153"/>
      <c r="T872" s="148" t="str">
        <f t="shared" si="586"/>
        <v>Completed</v>
      </c>
      <c r="U872" s="153"/>
      <c r="V872" s="153"/>
      <c r="W872" s="387">
        <f t="shared" si="587"/>
        <v>-2</v>
      </c>
      <c r="X872" s="387">
        <f t="shared" si="588"/>
        <v>2</v>
      </c>
      <c r="Y872" s="301">
        <f t="shared" si="589"/>
        <v>0</v>
      </c>
      <c r="Z872" s="301">
        <f t="shared" si="590"/>
        <v>2</v>
      </c>
      <c r="AA872" s="323" t="str">
        <f>CONCATENATE("                x[team1,team2,sport,'",IF(OR(I872="x",I872=""),VLOOKUP('Schedule from TM'!J874,Tables!$P$3:$Q$33,2,FALSE),'Schedule from TM'!I874),",",J872,"','",IF(OR(F872="x",F872=""),VLOOKUP('Schedule from TM'!G874,Tables!$U$3:$V$14,2,FALSE),'Schedule from TM'!F874),",",TEXT(G872,"mm/dd/yyyy"),"','",TEXT(H872,"h:mm:ss AM/PM"),"'].ub=0.0      #",B872)</f>
        <v xml:space="preserve">                x[team1,team2,sport,'11,JCC Back Field 3','11,11/23/2017','9:40:00 AM'].ub=0.0      #Adult Male Mini Soccer</v>
      </c>
      <c r="AB872" s="301" t="str">
        <f t="shared" si="591"/>
        <v>,,Adult Male Mini Soccer,,1,AD M - ARG 1</v>
      </c>
      <c r="AC872" s="153" t="str">
        <f t="shared" si="592"/>
        <v>Adult Male Mini SoccerAD M - ARG 1</v>
      </c>
      <c r="AD872" s="301" t="str">
        <f t="shared" si="593"/>
        <v>,,Adult Male Mini Soccer,,1,AD M - MEX</v>
      </c>
      <c r="AE872" s="153" t="str">
        <f t="shared" si="594"/>
        <v>Adult Male Mini SoccerAD M - MEX</v>
      </c>
      <c r="AF872" s="383">
        <f t="shared" si="595"/>
        <v>0</v>
      </c>
      <c r="AG872" s="383">
        <f t="shared" si="596"/>
        <v>1</v>
      </c>
      <c r="AH872" s="383">
        <f t="shared" si="597"/>
        <v>0</v>
      </c>
      <c r="AI872" s="383">
        <f t="shared" si="598"/>
        <v>1</v>
      </c>
      <c r="AJ872" s="383">
        <f t="shared" si="599"/>
        <v>0</v>
      </c>
      <c r="AK872" s="383">
        <f t="shared" si="600"/>
        <v>0</v>
      </c>
      <c r="AM872" s="148" t="str">
        <f t="shared" si="601"/>
        <v>Schedulled</v>
      </c>
      <c r="AN872" s="148" t="str">
        <f t="shared" si="602"/>
        <v/>
      </c>
      <c r="AO872" s="156">
        <f t="shared" si="603"/>
        <v>43062.402777777781</v>
      </c>
      <c r="AP872" s="148" t="str">
        <f t="shared" si="604"/>
        <v>11/23/2017 09:40-&gt;JCC Back Field 3</v>
      </c>
      <c r="AQ872" s="374">
        <f t="shared" si="605"/>
        <v>1</v>
      </c>
      <c r="AR872" s="148" t="str">
        <f t="shared" si="606"/>
        <v>ARG1</v>
      </c>
      <c r="AS872" s="148" t="str">
        <f t="shared" si="607"/>
        <v>MEX</v>
      </c>
      <c r="AT872" s="157" t="str">
        <f t="shared" si="608"/>
        <v>ARG1-MEX</v>
      </c>
      <c r="AU872" s="157" t="str">
        <f t="shared" si="609"/>
        <v xml:space="preserve">ARG1-MEX </v>
      </c>
      <c r="AV872" s="157" t="str">
        <f t="shared" si="610"/>
        <v>Adults MALE</v>
      </c>
      <c r="AW872" s="157" t="str">
        <f t="shared" si="611"/>
        <v>Soccer</v>
      </c>
      <c r="AX872" s="376">
        <f t="shared" si="612"/>
        <v>871</v>
      </c>
      <c r="AY872" s="148" t="str">
        <f t="shared" si="613"/>
        <v>AD M - ARG 1-&gt;AD M - MEX</v>
      </c>
      <c r="AZ872" s="148" t="str">
        <f t="shared" si="614"/>
        <v>11/23/2017 09:40-&gt;AD M - ARG 1</v>
      </c>
      <c r="BA872" s="148" t="str">
        <f t="shared" si="615"/>
        <v>11/23/2017 09:40-&gt;AD M - MEX</v>
      </c>
      <c r="BB872" s="374">
        <f t="shared" si="616"/>
        <v>1</v>
      </c>
      <c r="BC872" s="374">
        <f t="shared" si="617"/>
        <v>1</v>
      </c>
      <c r="BD872" s="148" t="str">
        <f t="shared" si="618"/>
        <v>no conflict</v>
      </c>
      <c r="BF872" s="148" t="str">
        <f t="shared" si="619"/>
        <v>11/23/2017 09:40-&gt;AD M - ARG 1</v>
      </c>
      <c r="BG872" s="148" t="str">
        <f t="shared" si="620"/>
        <v>11/23/2017 09:40-&gt;AD M - MEX</v>
      </c>
      <c r="BH872" s="148" t="str">
        <f t="shared" si="621"/>
        <v>11/23/2017 09:40-&gt;JCC Back Field 3</v>
      </c>
      <c r="BI872" s="148" t="str">
        <f t="shared" si="622"/>
        <v>Soccer in JCC Back Field 3 (ARG1-MEX)</v>
      </c>
      <c r="BJ872" s="148" t="str">
        <f t="shared" si="623"/>
        <v>Adult Male Mini Soccer-- AD M - ARG 1 vs. AD M - MEX</v>
      </c>
      <c r="BK872" s="148" t="str">
        <f t="shared" si="624"/>
        <v>Soccer</v>
      </c>
      <c r="BL872" s="148" t="str">
        <f t="shared" si="625"/>
        <v>AD M - ARG 1</v>
      </c>
      <c r="BM872" s="148" t="str">
        <f t="shared" si="626"/>
        <v>AD M - MEX</v>
      </c>
      <c r="BN872" s="148" t="str">
        <f t="shared" si="627"/>
        <v>Round - 1</v>
      </c>
      <c r="BP872" s="148" t="str">
        <f t="shared" si="628"/>
        <v>no t, f, or sf</v>
      </c>
      <c r="BQ872" s="148" t="str">
        <f t="shared" si="629"/>
        <v/>
      </c>
    </row>
    <row r="873" spans="1:69" ht="15" customHeight="1" x14ac:dyDescent="0.2">
      <c r="A873" s="377">
        <v>872</v>
      </c>
      <c r="B873" s="443" t="s">
        <v>86</v>
      </c>
      <c r="C873" s="443" t="s">
        <v>518</v>
      </c>
      <c r="D873" s="378">
        <v>1</v>
      </c>
      <c r="E873" s="378">
        <v>1</v>
      </c>
      <c r="F873" s="153"/>
      <c r="G873" s="154">
        <v>43059</v>
      </c>
      <c r="H873" s="297">
        <v>0.78472222222222221</v>
      </c>
      <c r="I873" s="314"/>
      <c r="J873" s="315" t="s">
        <v>697</v>
      </c>
      <c r="K873" s="153"/>
      <c r="L873" s="443" t="s">
        <v>536</v>
      </c>
      <c r="M873" s="153"/>
      <c r="N873" s="443" t="s">
        <v>542</v>
      </c>
      <c r="O873" s="153" t="str">
        <f>IF(L873&lt;&gt;"",IFERROR(VLOOKUP(B873&amp;L873,Pools!$A$2:$D$130,3,FALSE),""),"")</f>
        <v/>
      </c>
      <c r="P873" s="388">
        <v>1</v>
      </c>
      <c r="Q873" s="388">
        <v>2</v>
      </c>
      <c r="R873" s="306" t="str">
        <f t="shared" si="585"/>
        <v>1-2</v>
      </c>
      <c r="S873" s="153"/>
      <c r="T873" s="148" t="str">
        <f t="shared" si="586"/>
        <v>Completed</v>
      </c>
      <c r="U873" s="153"/>
      <c r="V873" s="153"/>
      <c r="W873" s="387">
        <f t="shared" si="587"/>
        <v>-1</v>
      </c>
      <c r="X873" s="387">
        <f t="shared" si="588"/>
        <v>1</v>
      </c>
      <c r="Y873" s="301">
        <f t="shared" si="589"/>
        <v>0</v>
      </c>
      <c r="Z873" s="301">
        <f t="shared" si="590"/>
        <v>2</v>
      </c>
      <c r="AA873" s="323" t="str">
        <f>CONCATENATE("                x[team1,team2,sport,'",IF(OR(I873="x",I873=""),VLOOKUP('Schedule from TM'!J875,Tables!$P$3:$Q$33,2,FALSE),'Schedule from TM'!I875),",",J873,"','",IF(OR(F873="x",F873=""),VLOOKUP('Schedule from TM'!G875,Tables!$U$3:$V$14,2,FALSE),'Schedule from TM'!F875),",",TEXT(G873,"mm/dd/yyyy"),"','",TEXT(H873,"h:mm:ss AM/PM"),"'].ub=0.0      #",B873)</f>
        <v xml:space="preserve">                x[team1,team2,sport,'11,JCC Gym South','21,11/20/2017','6:50:00 PM'].ub=0.0      #Adult Male Volleyball</v>
      </c>
      <c r="AB873" s="301" t="str">
        <f t="shared" si="591"/>
        <v>,,Adult Male Volleyball,,1,AD M - COL 1</v>
      </c>
      <c r="AC873" s="153" t="str">
        <f t="shared" si="592"/>
        <v>Adult Male VolleyballAD M - COL 1</v>
      </c>
      <c r="AD873" s="301" t="str">
        <f t="shared" si="593"/>
        <v>,,Adult Male Volleyball,,1,AD M - VEN 1</v>
      </c>
      <c r="AE873" s="153" t="str">
        <f t="shared" si="594"/>
        <v>Adult Male VolleyballAD M - VEN 1</v>
      </c>
      <c r="AF873" s="383">
        <f t="shared" si="595"/>
        <v>0</v>
      </c>
      <c r="AG873" s="383">
        <f t="shared" si="596"/>
        <v>1</v>
      </c>
      <c r="AH873" s="383">
        <f t="shared" si="597"/>
        <v>0</v>
      </c>
      <c r="AI873" s="383">
        <f t="shared" si="598"/>
        <v>1</v>
      </c>
      <c r="AJ873" s="383">
        <f t="shared" si="599"/>
        <v>0</v>
      </c>
      <c r="AK873" s="383">
        <f t="shared" si="600"/>
        <v>0</v>
      </c>
      <c r="AM873" s="148" t="str">
        <f t="shared" si="601"/>
        <v>Schedulled</v>
      </c>
      <c r="AN873" s="148" t="str">
        <f t="shared" si="602"/>
        <v/>
      </c>
      <c r="AO873" s="156">
        <f t="shared" si="603"/>
        <v>43059.784722222219</v>
      </c>
      <c r="AP873" s="148" t="str">
        <f t="shared" si="604"/>
        <v>11/20/2017 18:50-&gt;JCC Gym South</v>
      </c>
      <c r="AQ873" s="374">
        <f t="shared" si="605"/>
        <v>1</v>
      </c>
      <c r="AR873" s="148" t="str">
        <f t="shared" si="606"/>
        <v>COL1</v>
      </c>
      <c r="AS873" s="148" t="str">
        <f t="shared" si="607"/>
        <v>VEN1</v>
      </c>
      <c r="AT873" s="157" t="str">
        <f t="shared" si="608"/>
        <v>COL1-VEN1</v>
      </c>
      <c r="AU873" s="157" t="str">
        <f t="shared" si="609"/>
        <v xml:space="preserve">COL1-VEN1 </v>
      </c>
      <c r="AV873" s="157" t="str">
        <f t="shared" si="610"/>
        <v>Adults MALE</v>
      </c>
      <c r="AW873" s="157" t="str">
        <f t="shared" si="611"/>
        <v>Volleyball</v>
      </c>
      <c r="AX873" s="376">
        <f t="shared" si="612"/>
        <v>872</v>
      </c>
      <c r="AY873" s="148" t="str">
        <f t="shared" si="613"/>
        <v>AD M - COL 1-&gt;AD M - VEN 1</v>
      </c>
      <c r="AZ873" s="148" t="str">
        <f t="shared" si="614"/>
        <v>11/20/2017 18:50-&gt;AD M - COL 1</v>
      </c>
      <c r="BA873" s="148" t="str">
        <f t="shared" si="615"/>
        <v>11/20/2017 18:50-&gt;AD M - VEN 1</v>
      </c>
      <c r="BB873" s="374">
        <f t="shared" si="616"/>
        <v>1</v>
      </c>
      <c r="BC873" s="374">
        <f t="shared" si="617"/>
        <v>1</v>
      </c>
      <c r="BD873" s="148" t="str">
        <f t="shared" si="618"/>
        <v>no conflict</v>
      </c>
      <c r="BF873" s="148" t="str">
        <f t="shared" si="619"/>
        <v>11/20/2017 18:50-&gt;AD M - COL 1</v>
      </c>
      <c r="BG873" s="148" t="str">
        <f t="shared" si="620"/>
        <v>11/20/2017 18:50-&gt;AD M - VEN 1</v>
      </c>
      <c r="BH873" s="148" t="str">
        <f t="shared" si="621"/>
        <v>11/20/2017 18:50-&gt;JCC Gym South</v>
      </c>
      <c r="BI873" s="148" t="str">
        <f t="shared" si="622"/>
        <v>Volleyball in JCC Gym South (COL1-VEN1)</v>
      </c>
      <c r="BJ873" s="148" t="str">
        <f t="shared" si="623"/>
        <v>Adult Male Volleyball-- AD M - COL 1 vs. AD M - VEN 1</v>
      </c>
      <c r="BK873" s="148" t="str">
        <f t="shared" si="624"/>
        <v>Volleyball</v>
      </c>
      <c r="BL873" s="148" t="str">
        <f t="shared" si="625"/>
        <v>AD M - COL 1</v>
      </c>
      <c r="BM873" s="148" t="str">
        <f t="shared" si="626"/>
        <v>AD M - VEN 1</v>
      </c>
      <c r="BN873" s="148" t="str">
        <f t="shared" si="627"/>
        <v>Round - 1</v>
      </c>
      <c r="BP873" s="148" t="str">
        <f t="shared" si="628"/>
        <v>no t, f, or sf</v>
      </c>
      <c r="BQ873" s="148" t="str">
        <f t="shared" si="629"/>
        <v/>
      </c>
    </row>
    <row r="874" spans="1:69" ht="15" customHeight="1" x14ac:dyDescent="0.2">
      <c r="A874" s="377">
        <v>873</v>
      </c>
      <c r="B874" s="443" t="s">
        <v>86</v>
      </c>
      <c r="C874" s="443" t="s">
        <v>518</v>
      </c>
      <c r="D874" s="378">
        <v>1</v>
      </c>
      <c r="E874" s="378">
        <v>1</v>
      </c>
      <c r="F874" s="153"/>
      <c r="G874" s="154">
        <v>43062</v>
      </c>
      <c r="H874" s="155">
        <v>0.47222222222222227</v>
      </c>
      <c r="I874" s="314"/>
      <c r="J874" s="444" t="s">
        <v>697</v>
      </c>
      <c r="K874" s="153"/>
      <c r="L874" s="443" t="s">
        <v>538</v>
      </c>
      <c r="M874" s="153"/>
      <c r="N874" s="441" t="s">
        <v>539</v>
      </c>
      <c r="O874" s="153" t="str">
        <f>IF(L874&lt;&gt;"",IFERROR(VLOOKUP(B874&amp;L874,Pools!$A$2:$D$130,3,FALSE),""),"")</f>
        <v/>
      </c>
      <c r="P874" s="388">
        <v>0</v>
      </c>
      <c r="Q874" s="388">
        <v>2</v>
      </c>
      <c r="R874" s="306" t="str">
        <f t="shared" si="585"/>
        <v>0-2</v>
      </c>
      <c r="S874" s="153"/>
      <c r="T874" s="148" t="str">
        <f t="shared" si="586"/>
        <v>Completed</v>
      </c>
      <c r="U874" s="153"/>
      <c r="V874" s="153"/>
      <c r="W874" s="387">
        <f t="shared" si="587"/>
        <v>-2</v>
      </c>
      <c r="X874" s="387">
        <f t="shared" si="588"/>
        <v>2</v>
      </c>
      <c r="Y874" s="301">
        <f t="shared" si="589"/>
        <v>0</v>
      </c>
      <c r="Z874" s="301">
        <f t="shared" si="590"/>
        <v>2</v>
      </c>
      <c r="AA874" s="323" t="str">
        <f>CONCATENATE("                x[team1,team2,sport,'",IF(OR(I874="x",I874=""),VLOOKUP('Schedule from TM'!J876,Tables!$P$3:$Q$33,2,FALSE),'Schedule from TM'!I876),",",J874,"','",IF(OR(F874="x",F874=""),VLOOKUP('Schedule from TM'!G876,Tables!$U$3:$V$14,2,FALSE),'Schedule from TM'!F876),",",TEXT(G874,"mm/dd/yyyy"),"','",TEXT(H874,"h:mm:ss AM/PM"),"'].ub=0.0      #",B874)</f>
        <v xml:space="preserve">                x[team1,team2,sport,'11,JCC Gym South','21,11/23/2017','11:20:00 AM'].ub=0.0      #Adult Male Volleyball</v>
      </c>
      <c r="AB874" s="301" t="str">
        <f t="shared" si="591"/>
        <v>,,Adult Male Volleyball,,1,AD M - PER</v>
      </c>
      <c r="AC874" s="153" t="str">
        <f t="shared" si="592"/>
        <v>Adult Male VolleyballAD M - PER</v>
      </c>
      <c r="AD874" s="301" t="str">
        <f t="shared" si="593"/>
        <v>,,Adult Male Volleyball,,1,AD M - USA 1</v>
      </c>
      <c r="AE874" s="153" t="str">
        <f t="shared" si="594"/>
        <v>Adult Male VolleyballAD M - USA 1</v>
      </c>
      <c r="AF874" s="383">
        <f t="shared" si="595"/>
        <v>0</v>
      </c>
      <c r="AG874" s="383">
        <f t="shared" si="596"/>
        <v>1</v>
      </c>
      <c r="AH874" s="383">
        <f t="shared" si="597"/>
        <v>0</v>
      </c>
      <c r="AI874" s="383">
        <f t="shared" si="598"/>
        <v>1</v>
      </c>
      <c r="AJ874" s="383">
        <f t="shared" si="599"/>
        <v>0</v>
      </c>
      <c r="AK874" s="383">
        <f t="shared" si="600"/>
        <v>0</v>
      </c>
      <c r="AM874" s="148" t="str">
        <f t="shared" si="601"/>
        <v>Schedulled</v>
      </c>
      <c r="AN874" s="148" t="str">
        <f t="shared" si="602"/>
        <v/>
      </c>
      <c r="AO874" s="156">
        <f t="shared" si="603"/>
        <v>43062.472222222219</v>
      </c>
      <c r="AP874" s="148" t="str">
        <f t="shared" si="604"/>
        <v>11/23/2017 11:20-&gt;JCC Gym South</v>
      </c>
      <c r="AQ874" s="374">
        <f t="shared" si="605"/>
        <v>1</v>
      </c>
      <c r="AR874" s="148" t="str">
        <f t="shared" si="606"/>
        <v>PER</v>
      </c>
      <c r="AS874" s="148" t="str">
        <f t="shared" si="607"/>
        <v>USA1</v>
      </c>
      <c r="AT874" s="157" t="str">
        <f t="shared" si="608"/>
        <v>PER-USA1</v>
      </c>
      <c r="AU874" s="157" t="str">
        <f t="shared" si="609"/>
        <v xml:space="preserve">PER-USA1 </v>
      </c>
      <c r="AV874" s="157" t="str">
        <f t="shared" si="610"/>
        <v>Adults MALE</v>
      </c>
      <c r="AW874" s="157" t="str">
        <f t="shared" si="611"/>
        <v>Volleyball</v>
      </c>
      <c r="AX874" s="376">
        <f t="shared" si="612"/>
        <v>873</v>
      </c>
      <c r="AY874" s="148" t="str">
        <f t="shared" si="613"/>
        <v>AD M - PER-&gt;AD M - USA 1</v>
      </c>
      <c r="AZ874" s="148" t="str">
        <f t="shared" si="614"/>
        <v>11/23/2017 11:20-&gt;AD M - PER</v>
      </c>
      <c r="BA874" s="148" t="str">
        <f t="shared" si="615"/>
        <v>11/23/2017 11:20-&gt;AD M - USA 1</v>
      </c>
      <c r="BB874" s="374">
        <f t="shared" si="616"/>
        <v>1</v>
      </c>
      <c r="BC874" s="374">
        <f t="shared" si="617"/>
        <v>1</v>
      </c>
      <c r="BD874" s="148" t="str">
        <f t="shared" si="618"/>
        <v>no conflict</v>
      </c>
      <c r="BF874" s="148" t="str">
        <f t="shared" si="619"/>
        <v>11/23/2017 11:20-&gt;AD M - PER</v>
      </c>
      <c r="BG874" s="148" t="str">
        <f t="shared" si="620"/>
        <v>11/23/2017 11:20-&gt;AD M - USA 1</v>
      </c>
      <c r="BH874" s="148" t="str">
        <f t="shared" si="621"/>
        <v>11/23/2017 11:20-&gt;JCC Gym South</v>
      </c>
      <c r="BI874" s="148" t="str">
        <f t="shared" si="622"/>
        <v>Volleyball in JCC Gym South (PER-USA1)</v>
      </c>
      <c r="BJ874" s="148" t="str">
        <f t="shared" si="623"/>
        <v>Adult Male Volleyball-- AD M - PER vs. AD M - USA 1</v>
      </c>
      <c r="BK874" s="148" t="str">
        <f t="shared" si="624"/>
        <v>Volleyball</v>
      </c>
      <c r="BL874" s="148" t="str">
        <f t="shared" si="625"/>
        <v>AD M - PER</v>
      </c>
      <c r="BM874" s="148" t="str">
        <f t="shared" si="626"/>
        <v>AD M - USA 1</v>
      </c>
      <c r="BN874" s="148" t="str">
        <f t="shared" si="627"/>
        <v>Round - 1</v>
      </c>
      <c r="BP874" s="148" t="str">
        <f t="shared" si="628"/>
        <v>no t, f, or sf</v>
      </c>
      <c r="BQ874" s="148" t="str">
        <f t="shared" si="629"/>
        <v/>
      </c>
    </row>
    <row r="875" spans="1:69" ht="16" x14ac:dyDescent="0.2">
      <c r="A875" s="376"/>
      <c r="B875" s="444" t="s">
        <v>461</v>
      </c>
      <c r="C875" s="315" t="s">
        <v>769</v>
      </c>
      <c r="D875" s="378">
        <v>1</v>
      </c>
      <c r="E875" s="378">
        <v>1</v>
      </c>
      <c r="F875" s="315" t="s">
        <v>770</v>
      </c>
      <c r="G875" s="316">
        <v>43065</v>
      </c>
      <c r="H875" s="417"/>
      <c r="I875" s="325" t="s">
        <v>770</v>
      </c>
      <c r="J875" s="444" t="s">
        <v>694</v>
      </c>
      <c r="K875" s="441"/>
      <c r="L875" s="473"/>
      <c r="M875" s="441"/>
      <c r="N875" s="473"/>
      <c r="O875" s="153" t="str">
        <f>IF(L875&lt;&gt;"",IFERROR(VLOOKUP(B875&amp;L875,Pools!$A$2:$D$130,3,FALSE),""),"")</f>
        <v/>
      </c>
      <c r="P875" s="388"/>
      <c r="Q875" s="388"/>
      <c r="R875" s="306" t="str">
        <f t="shared" si="585"/>
        <v>-</v>
      </c>
      <c r="S875" s="153"/>
      <c r="T875" s="148" t="str">
        <f t="shared" si="586"/>
        <v>Pending</v>
      </c>
      <c r="U875" s="153"/>
      <c r="V875" s="153"/>
      <c r="W875" s="387">
        <f t="shared" si="587"/>
        <v>0</v>
      </c>
      <c r="X875" s="387">
        <f t="shared" si="588"/>
        <v>0</v>
      </c>
      <c r="Y875" s="301" t="str">
        <f t="shared" si="589"/>
        <v>X</v>
      </c>
      <c r="Z875" s="301" t="str">
        <f t="shared" si="590"/>
        <v>X</v>
      </c>
      <c r="AA875" s="323" t="str">
        <f>CONCATENATE("                x[team1,team2,sport,'",IF(OR(I875="x",I875=""),VLOOKUP('Schedule from TM'!J821,Tables!$P$3:$Q$33,2,FALSE),'Schedule from TM'!I821),",",J875,"','",IF(OR(F875="x",F875=""),VLOOKUP('Schedule from TM'!G821,Tables!$U$3:$V$14,2,FALSE),'Schedule from TM'!F821),",",TEXT(G875,"mm/dd/yyyy"),"','",TEXT(H875,"h:mm:ss AM/PM"),"'].ub=0.0      #",B875)</f>
        <v xml:space="preserve">                x[team1,team2,sport,'11,JCC Back Field 4','21,11/26/2017','12:00:00 AM'].ub=0.0      #Adult Female Mini Soccer</v>
      </c>
      <c r="AB875" s="301" t="str">
        <f t="shared" si="591"/>
        <v>,,Adult Female Mini Soccer,,1,</v>
      </c>
      <c r="AC875" s="153" t="str">
        <f t="shared" si="592"/>
        <v>Adult Female Mini Soccer</v>
      </c>
      <c r="AD875" s="301" t="str">
        <f t="shared" si="593"/>
        <v>,,Adult Female Mini Soccer,,1,</v>
      </c>
      <c r="AE875" s="153" t="str">
        <f t="shared" si="594"/>
        <v>Adult Female Mini Soccer</v>
      </c>
      <c r="AF875" s="383">
        <f t="shared" si="595"/>
        <v>0</v>
      </c>
      <c r="AG875" s="383">
        <f t="shared" si="596"/>
        <v>0</v>
      </c>
      <c r="AH875" s="383">
        <f t="shared" si="597"/>
        <v>0</v>
      </c>
      <c r="AI875" s="383">
        <f t="shared" si="598"/>
        <v>0</v>
      </c>
      <c r="AJ875" s="383">
        <f t="shared" si="599"/>
        <v>0</v>
      </c>
      <c r="AK875" s="383">
        <f t="shared" si="600"/>
        <v>0</v>
      </c>
      <c r="AM875" s="148" t="str">
        <f t="shared" si="601"/>
        <v>Schedulled</v>
      </c>
      <c r="AN875" s="148" t="str">
        <f t="shared" si="602"/>
        <v>Schedulled no team</v>
      </c>
      <c r="AO875" s="156">
        <f t="shared" si="603"/>
        <v>43065</v>
      </c>
      <c r="AP875" s="148" t="str">
        <f t="shared" si="604"/>
        <v>11/26/2017 00:00-&gt;JCC Back Field 4</v>
      </c>
      <c r="AQ875" s="374">
        <f t="shared" si="605"/>
        <v>1</v>
      </c>
      <c r="AR875" s="148" t="str">
        <f t="shared" si="606"/>
        <v/>
      </c>
      <c r="AS875" s="148" t="str">
        <f t="shared" si="607"/>
        <v/>
      </c>
      <c r="AT875" s="157" t="str">
        <f t="shared" si="608"/>
        <v/>
      </c>
      <c r="AU875" s="157" t="str">
        <f t="shared" si="609"/>
        <v>Soccer Final</v>
      </c>
      <c r="AV875" s="157" t="str">
        <f t="shared" si="610"/>
        <v>Adults FEMALE</v>
      </c>
      <c r="AW875" s="157" t="str">
        <f t="shared" si="611"/>
        <v>Soccer</v>
      </c>
      <c r="AX875" s="376">
        <f t="shared" si="612"/>
        <v>0</v>
      </c>
      <c r="AY875" s="148" t="str">
        <f t="shared" si="613"/>
        <v>-&gt;</v>
      </c>
      <c r="AZ875" s="148" t="str">
        <f t="shared" si="614"/>
        <v>11/26/2017 00:00-&gt;</v>
      </c>
      <c r="BA875" s="148" t="str">
        <f t="shared" si="615"/>
        <v>11/26/2017 00:00-&gt;</v>
      </c>
      <c r="BB875" s="374">
        <f t="shared" si="616"/>
        <v>0</v>
      </c>
      <c r="BC875" s="374">
        <f t="shared" si="617"/>
        <v>0</v>
      </c>
      <c r="BD875" s="148" t="str">
        <f t="shared" si="618"/>
        <v>no conflict</v>
      </c>
      <c r="BF875" s="148" t="str">
        <f t="shared" si="619"/>
        <v>11/26/2017 00:00-&gt;</v>
      </c>
      <c r="BG875" s="148" t="str">
        <f t="shared" si="620"/>
        <v>11/26/2017 00:00-&gt;</v>
      </c>
      <c r="BH875" s="148" t="str">
        <f t="shared" si="621"/>
        <v>11/26/2017 00:00-&gt;JCC Back Field 4</v>
      </c>
      <c r="BI875" s="148" t="str">
        <f t="shared" si="622"/>
        <v>Soccer in JCC Back Field 4 ()</v>
      </c>
      <c r="BJ875" s="148" t="str">
        <f t="shared" si="623"/>
        <v xml:space="preserve">Adult Female Mini Soccer--  vs. </v>
      </c>
      <c r="BK875" s="148" t="str">
        <f t="shared" si="624"/>
        <v>Soccer</v>
      </c>
      <c r="BL875" s="148">
        <f t="shared" si="625"/>
        <v>0</v>
      </c>
      <c r="BM875" s="148">
        <f t="shared" si="626"/>
        <v>0</v>
      </c>
      <c r="BN875" s="148" t="str">
        <f t="shared" si="627"/>
        <v>Final</v>
      </c>
      <c r="BP875" s="148" t="str">
        <f t="shared" si="628"/>
        <v>11/26/2017 00:00-&gt;Adults FEMALE</v>
      </c>
      <c r="BQ875" s="148" t="str">
        <f t="shared" si="629"/>
        <v>Soccer Final in JCC Back Field 4</v>
      </c>
    </row>
    <row r="876" spans="1:69" ht="15" customHeight="1" x14ac:dyDescent="0.2">
      <c r="A876" s="376"/>
      <c r="B876" s="444" t="s">
        <v>461</v>
      </c>
      <c r="C876" s="444" t="s">
        <v>771</v>
      </c>
      <c r="D876" s="378">
        <v>1</v>
      </c>
      <c r="E876" s="378">
        <v>1</v>
      </c>
      <c r="F876" s="315" t="s">
        <v>770</v>
      </c>
      <c r="G876" s="445">
        <v>43065</v>
      </c>
      <c r="H876" s="417"/>
      <c r="I876" s="325" t="s">
        <v>770</v>
      </c>
      <c r="J876" s="443" t="s">
        <v>692</v>
      </c>
      <c r="K876" s="441"/>
      <c r="L876" s="473"/>
      <c r="M876" s="441"/>
      <c r="N876" s="473"/>
      <c r="O876" s="153" t="str">
        <f>IF(L876&lt;&gt;"",IFERROR(VLOOKUP(B876&amp;L876,Pools!$A$2:$D$130,3,FALSE),""),"")</f>
        <v/>
      </c>
      <c r="P876" s="388"/>
      <c r="Q876" s="388"/>
      <c r="R876" s="306" t="str">
        <f t="shared" si="585"/>
        <v>-</v>
      </c>
      <c r="S876" s="153"/>
      <c r="T876" s="148" t="str">
        <f t="shared" si="586"/>
        <v>Pending</v>
      </c>
      <c r="U876" s="153"/>
      <c r="V876" s="153"/>
      <c r="W876" s="387">
        <f t="shared" si="587"/>
        <v>0</v>
      </c>
      <c r="X876" s="387">
        <f t="shared" si="588"/>
        <v>0</v>
      </c>
      <c r="Y876" s="301" t="str">
        <f t="shared" si="589"/>
        <v>X</v>
      </c>
      <c r="Z876" s="301" t="str">
        <f t="shared" si="590"/>
        <v>X</v>
      </c>
      <c r="AA876" s="323" t="str">
        <f>CONCATENATE("                x[team1,team2,sport,'",IF(OR(I876="x",I876=""),VLOOKUP('Schedule from TM'!J776,Tables!$P$3:$Q$33,2,FALSE),'Schedule from TM'!I776),",",J876,"','",IF(OR(F876="x",F876=""),VLOOKUP('Schedule from TM'!G776,Tables!$U$3:$V$14,2,FALSE),'Schedule from TM'!F776),",",TEXT(G876,"mm/dd/yyyy"),"','",TEXT(H876,"h:mm:ss AM/PM"),"'].ub=0.0      #",B876)</f>
        <v xml:space="preserve">                x[team1,team2,sport,'11,JCC Back Field 3','21,11/26/2017','12:00:00 AM'].ub=0.0      #Adult Female Mini Soccer</v>
      </c>
      <c r="AB876" s="301" t="str">
        <f t="shared" si="591"/>
        <v>,,Adult Female Mini Soccer,,1,</v>
      </c>
      <c r="AC876" s="153" t="str">
        <f t="shared" si="592"/>
        <v>Adult Female Mini Soccer</v>
      </c>
      <c r="AD876" s="301" t="str">
        <f t="shared" si="593"/>
        <v>,,Adult Female Mini Soccer,,1,</v>
      </c>
      <c r="AE876" s="153" t="str">
        <f t="shared" si="594"/>
        <v>Adult Female Mini Soccer</v>
      </c>
      <c r="AF876" s="383">
        <f t="shared" si="595"/>
        <v>0</v>
      </c>
      <c r="AG876" s="383">
        <f t="shared" si="596"/>
        <v>0</v>
      </c>
      <c r="AH876" s="383">
        <f t="shared" si="597"/>
        <v>0</v>
      </c>
      <c r="AI876" s="383">
        <f t="shared" si="598"/>
        <v>0</v>
      </c>
      <c r="AJ876" s="383">
        <f t="shared" si="599"/>
        <v>0</v>
      </c>
      <c r="AK876" s="383">
        <f t="shared" si="600"/>
        <v>0</v>
      </c>
      <c r="AM876" s="148" t="str">
        <f t="shared" si="601"/>
        <v>Schedulled</v>
      </c>
      <c r="AN876" s="148" t="str">
        <f t="shared" si="602"/>
        <v>Schedulled no team</v>
      </c>
      <c r="AO876" s="156">
        <f t="shared" si="603"/>
        <v>43065</v>
      </c>
      <c r="AP876" s="148" t="str">
        <f t="shared" si="604"/>
        <v>11/26/2017 00:00-&gt;JCC Back Field 3</v>
      </c>
      <c r="AQ876" s="374">
        <f t="shared" si="605"/>
        <v>1</v>
      </c>
      <c r="AR876" s="148" t="str">
        <f t="shared" si="606"/>
        <v/>
      </c>
      <c r="AS876" s="148" t="str">
        <f t="shared" si="607"/>
        <v/>
      </c>
      <c r="AT876" s="157" t="str">
        <f t="shared" si="608"/>
        <v/>
      </c>
      <c r="AU876" s="157" t="str">
        <f t="shared" si="609"/>
        <v>Soccer Semi-Final</v>
      </c>
      <c r="AV876" s="157" t="str">
        <f t="shared" si="610"/>
        <v>Adults FEMALE</v>
      </c>
      <c r="AW876" s="157" t="str">
        <f t="shared" si="611"/>
        <v>Soccer</v>
      </c>
      <c r="AX876" s="376">
        <f t="shared" si="612"/>
        <v>0</v>
      </c>
      <c r="AY876" s="148" t="str">
        <f t="shared" si="613"/>
        <v>-&gt;</v>
      </c>
      <c r="AZ876" s="148" t="str">
        <f t="shared" si="614"/>
        <v>11/26/2017 00:00-&gt;</v>
      </c>
      <c r="BA876" s="148" t="str">
        <f t="shared" si="615"/>
        <v>11/26/2017 00:00-&gt;</v>
      </c>
      <c r="BB876" s="374">
        <f t="shared" si="616"/>
        <v>0</v>
      </c>
      <c r="BC876" s="374">
        <f t="shared" si="617"/>
        <v>0</v>
      </c>
      <c r="BD876" s="148" t="str">
        <f t="shared" si="618"/>
        <v>no conflict</v>
      </c>
      <c r="BF876" s="148" t="str">
        <f t="shared" si="619"/>
        <v>11/26/2017 00:00-&gt;</v>
      </c>
      <c r="BG876" s="148" t="str">
        <f t="shared" si="620"/>
        <v>11/26/2017 00:00-&gt;</v>
      </c>
      <c r="BH876" s="148" t="str">
        <f t="shared" si="621"/>
        <v>11/26/2017 00:00-&gt;JCC Back Field 3</v>
      </c>
      <c r="BI876" s="148" t="str">
        <f t="shared" si="622"/>
        <v>Soccer in JCC Back Field 3 ()</v>
      </c>
      <c r="BJ876" s="148" t="str">
        <f t="shared" si="623"/>
        <v xml:space="preserve">Adult Female Mini Soccer--  vs. </v>
      </c>
      <c r="BK876" s="148" t="str">
        <f t="shared" si="624"/>
        <v>Soccer</v>
      </c>
      <c r="BL876" s="148">
        <f t="shared" si="625"/>
        <v>0</v>
      </c>
      <c r="BM876" s="148">
        <f t="shared" si="626"/>
        <v>0</v>
      </c>
      <c r="BN876" s="148" t="str">
        <f t="shared" si="627"/>
        <v>Semi-Final</v>
      </c>
      <c r="BP876" s="148" t="str">
        <f t="shared" si="628"/>
        <v>11/26/2017 00:00-&gt;Adults FEMALE</v>
      </c>
      <c r="BQ876" s="148" t="str">
        <f t="shared" si="629"/>
        <v>Soccer Semi-Final in JCC Back Field 3</v>
      </c>
    </row>
    <row r="877" spans="1:69" ht="15" customHeight="1" x14ac:dyDescent="0.2">
      <c r="B877" s="153"/>
      <c r="C877" s="153"/>
      <c r="D877" s="383"/>
      <c r="E877" s="383"/>
      <c r="F877" s="153"/>
      <c r="G877" s="154"/>
      <c r="H877" s="155"/>
      <c r="I877" s="314"/>
      <c r="J877" s="153"/>
      <c r="K877" s="153"/>
      <c r="L877" s="153"/>
      <c r="M877" s="153"/>
      <c r="N877" s="153"/>
      <c r="O877" s="153" t="str">
        <f>IF(L877&lt;&gt;"",IFERROR(VLOOKUP(B877&amp;L877,Pools!$A$2:$D$130,3,FALSE),""),"")</f>
        <v/>
      </c>
      <c r="P877" s="387"/>
      <c r="Q877" s="387"/>
      <c r="R877" s="306" t="str">
        <f t="shared" si="585"/>
        <v>-</v>
      </c>
      <c r="S877" s="153"/>
      <c r="T877" s="148" t="str">
        <f t="shared" si="586"/>
        <v>Pending</v>
      </c>
      <c r="U877" s="153"/>
      <c r="V877" s="153"/>
      <c r="W877" s="387">
        <f t="shared" si="587"/>
        <v>0</v>
      </c>
      <c r="X877" s="387">
        <f t="shared" si="588"/>
        <v>0</v>
      </c>
      <c r="Y877" s="301" t="str">
        <f t="shared" si="589"/>
        <v>X</v>
      </c>
      <c r="Z877" s="301" t="str">
        <f t="shared" si="590"/>
        <v>X</v>
      </c>
      <c r="AA877" s="323" t="e">
        <f>CONCATENATE("                x[team1,team2,sport,'",IF(OR(I877="x",I877=""),VLOOKUP('Schedule from TM'!J877,Tables!$P$3:$Q$33,2,FALSE),'Schedule from TM'!I877),",",J877,"','",IF(OR(F877="x",F877=""),VLOOKUP('Schedule from TM'!G877,Tables!$U$3:$V$14,2,FALSE),'Schedule from TM'!F877),",",TEXT(G877,"mm/dd/yyyy"),"','",TEXT(H877,"h:mm:ss AM/PM"),"'].ub=0.0      #",B877)</f>
        <v>#N/A</v>
      </c>
      <c r="AB877" s="301" t="str">
        <f t="shared" si="591"/>
        <v>,,,,1,</v>
      </c>
      <c r="AC877" s="153" t="str">
        <f t="shared" si="592"/>
        <v/>
      </c>
      <c r="AD877" s="301" t="str">
        <f t="shared" si="593"/>
        <v>,,,,1,</v>
      </c>
      <c r="AE877" s="153" t="str">
        <f t="shared" si="594"/>
        <v/>
      </c>
      <c r="AF877" s="383">
        <f t="shared" si="595"/>
        <v>0</v>
      </c>
      <c r="AG877" s="383">
        <f t="shared" si="596"/>
        <v>0</v>
      </c>
      <c r="AH877" s="383">
        <f t="shared" si="597"/>
        <v>0</v>
      </c>
      <c r="AI877" s="383">
        <f t="shared" si="598"/>
        <v>0</v>
      </c>
      <c r="AJ877" s="383">
        <f t="shared" si="599"/>
        <v>0</v>
      </c>
      <c r="AK877" s="383">
        <f t="shared" si="600"/>
        <v>0</v>
      </c>
      <c r="AM877" s="148" t="str">
        <f t="shared" si="601"/>
        <v>Not Schedulled</v>
      </c>
      <c r="AN877" s="148" t="str">
        <f t="shared" si="602"/>
        <v/>
      </c>
      <c r="AO877" s="156">
        <f t="shared" si="603"/>
        <v>0</v>
      </c>
      <c r="AP877" s="148" t="str">
        <f t="shared" si="604"/>
        <v>01/00/1900 00:00-&gt;</v>
      </c>
      <c r="AQ877" s="374">
        <f t="shared" si="605"/>
        <v>0</v>
      </c>
      <c r="AR877" s="148" t="str">
        <f t="shared" si="606"/>
        <v/>
      </c>
      <c r="AS877" s="148" t="str">
        <f t="shared" si="607"/>
        <v/>
      </c>
      <c r="AT877" s="157" t="str">
        <f t="shared" si="608"/>
        <v/>
      </c>
      <c r="AU877" s="157" t="str">
        <f t="shared" si="609"/>
        <v/>
      </c>
      <c r="AV877" s="157" t="str">
        <f t="shared" si="610"/>
        <v/>
      </c>
      <c r="AW877" s="157" t="str">
        <f t="shared" si="611"/>
        <v/>
      </c>
      <c r="AX877" s="376">
        <f t="shared" si="612"/>
        <v>0</v>
      </c>
      <c r="AY877" s="148" t="str">
        <f t="shared" si="613"/>
        <v>-&gt;</v>
      </c>
      <c r="AZ877" s="148" t="str">
        <f t="shared" si="614"/>
        <v>01/00/1900 00:00-&gt;</v>
      </c>
      <c r="BA877" s="148" t="str">
        <f t="shared" si="615"/>
        <v>01/00/1900 00:00-&gt;</v>
      </c>
      <c r="BB877" s="374">
        <f t="shared" si="616"/>
        <v>0</v>
      </c>
      <c r="BC877" s="374">
        <f t="shared" si="617"/>
        <v>0</v>
      </c>
      <c r="BD877" s="148" t="str">
        <f t="shared" si="618"/>
        <v>no conflict</v>
      </c>
      <c r="BF877" s="148" t="str">
        <f t="shared" si="619"/>
        <v>01/00/1900 00:00-&gt;</v>
      </c>
      <c r="BG877" s="148" t="str">
        <f t="shared" si="620"/>
        <v>01/00/1900 00:00-&gt;</v>
      </c>
      <c r="BH877" s="148" t="str">
        <f t="shared" si="621"/>
        <v>01/00/1900 00:00-&gt;</v>
      </c>
      <c r="BI877" s="148" t="str">
        <f t="shared" si="622"/>
        <v xml:space="preserve"> in  ()</v>
      </c>
      <c r="BJ877" s="148" t="str">
        <f t="shared" si="623"/>
        <v xml:space="preserve">--  vs. </v>
      </c>
      <c r="BK877" s="148" t="str">
        <f t="shared" si="624"/>
        <v/>
      </c>
      <c r="BL877" s="148">
        <f t="shared" si="625"/>
        <v>0</v>
      </c>
      <c r="BM877" s="148">
        <f t="shared" si="626"/>
        <v>0</v>
      </c>
      <c r="BN877" s="148">
        <f t="shared" si="627"/>
        <v>0</v>
      </c>
      <c r="BP877" s="148" t="str">
        <f t="shared" si="628"/>
        <v>no game</v>
      </c>
      <c r="BQ877" s="148" t="str">
        <f t="shared" si="629"/>
        <v xml:space="preserve">  in </v>
      </c>
    </row>
    <row r="878" spans="1:69" ht="15" customHeight="1" x14ac:dyDescent="0.2">
      <c r="B878" s="153"/>
      <c r="C878" s="153"/>
      <c r="D878" s="383"/>
      <c r="E878" s="383"/>
      <c r="F878" s="153"/>
      <c r="G878" s="154"/>
      <c r="H878" s="155"/>
      <c r="I878" s="314"/>
      <c r="J878" s="153"/>
      <c r="K878" s="153"/>
      <c r="L878" s="153"/>
      <c r="M878" s="153"/>
      <c r="N878" s="153"/>
      <c r="O878" s="153" t="str">
        <f>IF(L878&lt;&gt;"",IFERROR(VLOOKUP(B878&amp;L878,Pools!$A$2:$D$130,3,FALSE),""),"")</f>
        <v/>
      </c>
      <c r="P878" s="387"/>
      <c r="Q878" s="387"/>
      <c r="R878" s="306" t="str">
        <f t="shared" si="585"/>
        <v>-</v>
      </c>
      <c r="S878" s="153"/>
      <c r="T878" s="148" t="str">
        <f t="shared" si="586"/>
        <v>Pending</v>
      </c>
      <c r="U878" s="153"/>
      <c r="V878" s="153"/>
      <c r="W878" s="387">
        <f t="shared" si="587"/>
        <v>0</v>
      </c>
      <c r="X878" s="387">
        <f t="shared" si="588"/>
        <v>0</v>
      </c>
      <c r="Y878" s="301" t="str">
        <f t="shared" si="589"/>
        <v>X</v>
      </c>
      <c r="Z878" s="301" t="str">
        <f t="shared" si="590"/>
        <v>X</v>
      </c>
      <c r="AA878" s="323" t="e">
        <f>CONCATENATE("                x[team1,team2,sport,'",IF(OR(I878="x",I878=""),VLOOKUP('Schedule from TM'!J878,Tables!$P$3:$Q$33,2,FALSE),'Schedule from TM'!I878),",",J878,"','",IF(OR(F878="x",F878=""),VLOOKUP('Schedule from TM'!G878,Tables!$U$3:$V$14,2,FALSE),'Schedule from TM'!F878),",",TEXT(G878,"mm/dd/yyyy"),"','",TEXT(H878,"h:mm:ss AM/PM"),"'].ub=0.0      #",B878)</f>
        <v>#N/A</v>
      </c>
      <c r="AB878" s="301" t="str">
        <f t="shared" si="591"/>
        <v>,,,,1,</v>
      </c>
      <c r="AC878" s="153" t="str">
        <f t="shared" si="592"/>
        <v/>
      </c>
      <c r="AD878" s="301" t="str">
        <f t="shared" si="593"/>
        <v>,,,,1,</v>
      </c>
      <c r="AE878" s="153" t="str">
        <f t="shared" si="594"/>
        <v/>
      </c>
      <c r="AF878" s="383">
        <f t="shared" si="595"/>
        <v>0</v>
      </c>
      <c r="AG878" s="383">
        <f t="shared" si="596"/>
        <v>0</v>
      </c>
      <c r="AH878" s="383">
        <f t="shared" si="597"/>
        <v>0</v>
      </c>
      <c r="AI878" s="383">
        <f t="shared" si="598"/>
        <v>0</v>
      </c>
      <c r="AJ878" s="383">
        <f t="shared" si="599"/>
        <v>0</v>
      </c>
      <c r="AK878" s="383">
        <f t="shared" si="600"/>
        <v>0</v>
      </c>
      <c r="AM878" s="148" t="str">
        <f t="shared" si="601"/>
        <v>Not Schedulled</v>
      </c>
      <c r="AN878" s="148" t="str">
        <f t="shared" si="602"/>
        <v/>
      </c>
      <c r="AO878" s="156">
        <f t="shared" si="603"/>
        <v>0</v>
      </c>
      <c r="AP878" s="148" t="str">
        <f t="shared" si="604"/>
        <v>01/00/1900 00:00-&gt;</v>
      </c>
      <c r="AQ878" s="374">
        <f t="shared" si="605"/>
        <v>0</v>
      </c>
      <c r="AR878" s="148" t="str">
        <f t="shared" si="606"/>
        <v/>
      </c>
      <c r="AS878" s="148" t="str">
        <f t="shared" si="607"/>
        <v/>
      </c>
      <c r="AT878" s="157" t="str">
        <f t="shared" si="608"/>
        <v/>
      </c>
      <c r="AU878" s="157" t="str">
        <f t="shared" si="609"/>
        <v/>
      </c>
      <c r="AV878" s="157" t="str">
        <f t="shared" si="610"/>
        <v/>
      </c>
      <c r="AW878" s="157" t="str">
        <f t="shared" si="611"/>
        <v/>
      </c>
      <c r="AX878" s="376">
        <f t="shared" si="612"/>
        <v>0</v>
      </c>
      <c r="AY878" s="148" t="str">
        <f t="shared" si="613"/>
        <v>-&gt;</v>
      </c>
      <c r="AZ878" s="148" t="str">
        <f t="shared" si="614"/>
        <v>01/00/1900 00:00-&gt;</v>
      </c>
      <c r="BA878" s="148" t="str">
        <f t="shared" si="615"/>
        <v>01/00/1900 00:00-&gt;</v>
      </c>
      <c r="BB878" s="374">
        <f t="shared" si="616"/>
        <v>0</v>
      </c>
      <c r="BC878" s="374">
        <f t="shared" si="617"/>
        <v>0</v>
      </c>
      <c r="BD878" s="148" t="str">
        <f t="shared" si="618"/>
        <v>no conflict</v>
      </c>
      <c r="BF878" s="148" t="str">
        <f t="shared" si="619"/>
        <v>01/00/1900 00:00-&gt;</v>
      </c>
      <c r="BG878" s="148" t="str">
        <f t="shared" si="620"/>
        <v>01/00/1900 00:00-&gt;</v>
      </c>
      <c r="BH878" s="148" t="str">
        <f t="shared" si="621"/>
        <v>01/00/1900 00:00-&gt;</v>
      </c>
      <c r="BI878" s="148" t="str">
        <f t="shared" si="622"/>
        <v xml:space="preserve"> in  ()</v>
      </c>
      <c r="BJ878" s="148" t="str">
        <f t="shared" si="623"/>
        <v xml:space="preserve">--  vs. </v>
      </c>
      <c r="BK878" s="148" t="str">
        <f t="shared" si="624"/>
        <v/>
      </c>
      <c r="BL878" s="148">
        <f t="shared" si="625"/>
        <v>0</v>
      </c>
      <c r="BM878" s="148">
        <f t="shared" si="626"/>
        <v>0</v>
      </c>
      <c r="BN878" s="148">
        <f t="shared" si="627"/>
        <v>0</v>
      </c>
      <c r="BP878" s="148" t="str">
        <f t="shared" si="628"/>
        <v>no game</v>
      </c>
      <c r="BQ878" s="148" t="str">
        <f t="shared" si="629"/>
        <v xml:space="preserve">  in </v>
      </c>
    </row>
    <row r="879" spans="1:69" ht="15" customHeight="1" x14ac:dyDescent="0.2">
      <c r="B879" s="366"/>
      <c r="C879" s="153"/>
      <c r="D879" s="383"/>
      <c r="E879" s="383"/>
      <c r="F879" s="153"/>
      <c r="G879" s="154"/>
      <c r="H879" s="155"/>
      <c r="I879" s="314"/>
      <c r="J879" s="153"/>
      <c r="K879" s="153"/>
      <c r="L879" s="153"/>
      <c r="M879" s="153"/>
      <c r="N879" s="153"/>
      <c r="O879" s="153" t="str">
        <f>IF(L879&lt;&gt;"",IFERROR(VLOOKUP(B879&amp;L879,Pools!$A$2:$D$130,3,FALSE),""),"")</f>
        <v/>
      </c>
      <c r="P879" s="387"/>
      <c r="Q879" s="387"/>
      <c r="R879" s="306" t="str">
        <f t="shared" si="585"/>
        <v>-</v>
      </c>
      <c r="S879" s="153"/>
      <c r="T879" s="148" t="str">
        <f t="shared" si="586"/>
        <v>Pending</v>
      </c>
      <c r="U879" s="153"/>
      <c r="V879" s="153"/>
      <c r="W879" s="387">
        <f t="shared" si="587"/>
        <v>0</v>
      </c>
      <c r="X879" s="387">
        <f t="shared" si="588"/>
        <v>0</v>
      </c>
      <c r="Y879" s="301" t="str">
        <f t="shared" si="589"/>
        <v>X</v>
      </c>
      <c r="Z879" s="301" t="str">
        <f t="shared" si="590"/>
        <v>X</v>
      </c>
      <c r="AA879" s="323" t="e">
        <f>CONCATENATE("                x[team1,team2,sport,'",IF(OR(I879="x",I879=""),VLOOKUP('Schedule from TM'!J879,Tables!$P$3:$Q$33,2,FALSE),'Schedule from TM'!I879),",",J879,"','",IF(OR(F879="x",F879=""),VLOOKUP('Schedule from TM'!G879,Tables!$U$3:$V$14,2,FALSE),'Schedule from TM'!F879),",",TEXT(G879,"mm/dd/yyyy"),"','",TEXT(H879,"h:mm:ss AM/PM"),"'].ub=0.0      #",B879)</f>
        <v>#N/A</v>
      </c>
      <c r="AB879" s="301" t="str">
        <f t="shared" si="591"/>
        <v>,,,,1,</v>
      </c>
      <c r="AC879" s="153" t="str">
        <f t="shared" si="592"/>
        <v/>
      </c>
      <c r="AD879" s="301" t="str">
        <f t="shared" si="593"/>
        <v>,,,,1,</v>
      </c>
      <c r="AE879" s="153" t="str">
        <f t="shared" si="594"/>
        <v/>
      </c>
      <c r="AF879" s="383">
        <f t="shared" si="595"/>
        <v>0</v>
      </c>
      <c r="AG879" s="383">
        <f t="shared" si="596"/>
        <v>0</v>
      </c>
      <c r="AH879" s="383">
        <f t="shared" si="597"/>
        <v>0</v>
      </c>
      <c r="AI879" s="383">
        <f t="shared" si="598"/>
        <v>0</v>
      </c>
      <c r="AJ879" s="383">
        <f t="shared" si="599"/>
        <v>0</v>
      </c>
      <c r="AK879" s="383">
        <f t="shared" si="600"/>
        <v>0</v>
      </c>
      <c r="AM879" s="148" t="str">
        <f t="shared" si="601"/>
        <v>Not Schedulled</v>
      </c>
      <c r="AN879" s="148" t="str">
        <f t="shared" si="602"/>
        <v/>
      </c>
      <c r="AO879" s="156">
        <f t="shared" si="603"/>
        <v>0</v>
      </c>
      <c r="AP879" s="148" t="str">
        <f t="shared" si="604"/>
        <v>01/00/1900 00:00-&gt;</v>
      </c>
      <c r="AQ879" s="374">
        <f t="shared" si="605"/>
        <v>0</v>
      </c>
      <c r="AR879" s="148" t="str">
        <f t="shared" si="606"/>
        <v/>
      </c>
      <c r="AS879" s="148" t="str">
        <f t="shared" si="607"/>
        <v/>
      </c>
      <c r="AT879" s="157" t="str">
        <f t="shared" si="608"/>
        <v/>
      </c>
      <c r="AU879" s="157" t="str">
        <f t="shared" si="609"/>
        <v/>
      </c>
      <c r="AV879" s="157" t="str">
        <f t="shared" si="610"/>
        <v/>
      </c>
      <c r="AW879" s="157" t="str">
        <f t="shared" si="611"/>
        <v/>
      </c>
      <c r="AX879" s="376">
        <f t="shared" si="612"/>
        <v>0</v>
      </c>
      <c r="AY879" s="148" t="str">
        <f t="shared" si="613"/>
        <v>-&gt;</v>
      </c>
      <c r="AZ879" s="148" t="str">
        <f t="shared" si="614"/>
        <v>01/00/1900 00:00-&gt;</v>
      </c>
      <c r="BA879" s="148" t="str">
        <f t="shared" si="615"/>
        <v>01/00/1900 00:00-&gt;</v>
      </c>
      <c r="BB879" s="374">
        <f t="shared" si="616"/>
        <v>0</v>
      </c>
      <c r="BC879" s="374">
        <f t="shared" si="617"/>
        <v>0</v>
      </c>
      <c r="BD879" s="148" t="str">
        <f t="shared" si="618"/>
        <v>no conflict</v>
      </c>
      <c r="BF879" s="148" t="str">
        <f t="shared" si="619"/>
        <v>01/00/1900 00:00-&gt;</v>
      </c>
      <c r="BG879" s="148" t="str">
        <f t="shared" si="620"/>
        <v>01/00/1900 00:00-&gt;</v>
      </c>
      <c r="BH879" s="148" t="str">
        <f t="shared" si="621"/>
        <v>01/00/1900 00:00-&gt;</v>
      </c>
      <c r="BI879" s="148" t="str">
        <f t="shared" si="622"/>
        <v xml:space="preserve"> in  ()</v>
      </c>
      <c r="BJ879" s="148" t="str">
        <f t="shared" si="623"/>
        <v xml:space="preserve">--  vs. </v>
      </c>
      <c r="BK879" s="148" t="str">
        <f t="shared" si="624"/>
        <v/>
      </c>
      <c r="BL879" s="148">
        <f t="shared" si="625"/>
        <v>0</v>
      </c>
      <c r="BM879" s="148">
        <f t="shared" si="626"/>
        <v>0</v>
      </c>
      <c r="BN879" s="148">
        <f t="shared" si="627"/>
        <v>0</v>
      </c>
      <c r="BP879" s="148" t="str">
        <f t="shared" si="628"/>
        <v>no game</v>
      </c>
      <c r="BQ879" s="148" t="str">
        <f t="shared" si="629"/>
        <v xml:space="preserve">  in </v>
      </c>
    </row>
    <row r="880" spans="1:69" ht="15" customHeight="1" x14ac:dyDescent="0.2">
      <c r="B880" s="366"/>
      <c r="C880" s="153"/>
      <c r="D880" s="383"/>
      <c r="E880" s="383"/>
      <c r="F880" s="153"/>
      <c r="G880" s="154"/>
      <c r="H880" s="155"/>
      <c r="I880" s="314"/>
      <c r="J880" s="153"/>
      <c r="K880" s="153"/>
      <c r="L880" s="153"/>
      <c r="M880" s="153"/>
      <c r="N880" s="153"/>
      <c r="O880" s="153" t="str">
        <f>IF(L880&lt;&gt;"",IFERROR(VLOOKUP(B880&amp;L880,Pools!$A$2:$D$130,3,FALSE),""),"")</f>
        <v/>
      </c>
      <c r="P880" s="387"/>
      <c r="Q880" s="387"/>
      <c r="R880" s="306" t="str">
        <f t="shared" si="585"/>
        <v>-</v>
      </c>
      <c r="S880" s="153"/>
      <c r="T880" s="148" t="str">
        <f t="shared" si="586"/>
        <v>Pending</v>
      </c>
      <c r="U880" s="153"/>
      <c r="V880" s="153"/>
      <c r="W880" s="387">
        <f t="shared" si="587"/>
        <v>0</v>
      </c>
      <c r="X880" s="387">
        <f t="shared" si="588"/>
        <v>0</v>
      </c>
      <c r="Y880" s="301" t="str">
        <f t="shared" si="589"/>
        <v>X</v>
      </c>
      <c r="Z880" s="301" t="str">
        <f t="shared" si="590"/>
        <v>X</v>
      </c>
      <c r="AA880" s="323" t="e">
        <f>CONCATENATE("                x[team1,team2,sport,'",IF(OR(I880="x",I880=""),VLOOKUP('Schedule from TM'!J880,Tables!$P$3:$Q$33,2,FALSE),'Schedule from TM'!I880),",",J880,"','",IF(OR(F880="x",F880=""),VLOOKUP('Schedule from TM'!G880,Tables!$U$3:$V$14,2,FALSE),'Schedule from TM'!F880),",",TEXT(G880,"mm/dd/yyyy"),"','",TEXT(H880,"h:mm:ss AM/PM"),"'].ub=0.0      #",B880)</f>
        <v>#N/A</v>
      </c>
      <c r="AB880" s="301" t="str">
        <f t="shared" si="591"/>
        <v>,,,,1,</v>
      </c>
      <c r="AC880" s="153" t="str">
        <f t="shared" si="592"/>
        <v/>
      </c>
      <c r="AD880" s="301" t="str">
        <f t="shared" si="593"/>
        <v>,,,,1,</v>
      </c>
      <c r="AE880" s="153" t="str">
        <f t="shared" si="594"/>
        <v/>
      </c>
      <c r="AF880" s="383">
        <f t="shared" si="595"/>
        <v>0</v>
      </c>
      <c r="AG880" s="383">
        <f t="shared" si="596"/>
        <v>0</v>
      </c>
      <c r="AH880" s="383">
        <f t="shared" si="597"/>
        <v>0</v>
      </c>
      <c r="AI880" s="383">
        <f t="shared" si="598"/>
        <v>0</v>
      </c>
      <c r="AJ880" s="383">
        <f t="shared" si="599"/>
        <v>0</v>
      </c>
      <c r="AK880" s="383">
        <f t="shared" si="600"/>
        <v>0</v>
      </c>
      <c r="AM880" s="148" t="str">
        <f t="shared" si="601"/>
        <v>Not Schedulled</v>
      </c>
      <c r="AN880" s="148" t="str">
        <f t="shared" si="602"/>
        <v/>
      </c>
      <c r="AO880" s="156">
        <f t="shared" si="603"/>
        <v>0</v>
      </c>
      <c r="AP880" s="148" t="str">
        <f t="shared" si="604"/>
        <v>01/00/1900 00:00-&gt;</v>
      </c>
      <c r="AQ880" s="374">
        <f t="shared" si="605"/>
        <v>0</v>
      </c>
      <c r="AR880" s="148" t="str">
        <f t="shared" si="606"/>
        <v/>
      </c>
      <c r="AS880" s="148" t="str">
        <f t="shared" si="607"/>
        <v/>
      </c>
      <c r="AT880" s="157" t="str">
        <f t="shared" si="608"/>
        <v/>
      </c>
      <c r="AU880" s="157" t="str">
        <f t="shared" si="609"/>
        <v/>
      </c>
      <c r="AV880" s="157" t="str">
        <f t="shared" si="610"/>
        <v/>
      </c>
      <c r="AW880" s="157" t="str">
        <f t="shared" si="611"/>
        <v/>
      </c>
      <c r="AX880" s="376">
        <f t="shared" si="612"/>
        <v>0</v>
      </c>
      <c r="AY880" s="148" t="str">
        <f t="shared" si="613"/>
        <v>-&gt;</v>
      </c>
      <c r="AZ880" s="148" t="str">
        <f t="shared" si="614"/>
        <v>01/00/1900 00:00-&gt;</v>
      </c>
      <c r="BA880" s="148" t="str">
        <f t="shared" si="615"/>
        <v>01/00/1900 00:00-&gt;</v>
      </c>
      <c r="BB880" s="374">
        <f t="shared" si="616"/>
        <v>0</v>
      </c>
      <c r="BC880" s="374">
        <f t="shared" si="617"/>
        <v>0</v>
      </c>
      <c r="BD880" s="148" t="str">
        <f t="shared" si="618"/>
        <v>no conflict</v>
      </c>
      <c r="BF880" s="148" t="str">
        <f t="shared" si="619"/>
        <v>01/00/1900 00:00-&gt;</v>
      </c>
      <c r="BG880" s="148" t="str">
        <f t="shared" si="620"/>
        <v>01/00/1900 00:00-&gt;</v>
      </c>
      <c r="BH880" s="148" t="str">
        <f t="shared" si="621"/>
        <v>01/00/1900 00:00-&gt;</v>
      </c>
      <c r="BI880" s="148" t="str">
        <f t="shared" si="622"/>
        <v xml:space="preserve"> in  ()</v>
      </c>
      <c r="BJ880" s="148" t="str">
        <f t="shared" si="623"/>
        <v xml:space="preserve">--  vs. </v>
      </c>
      <c r="BK880" s="148" t="str">
        <f t="shared" si="624"/>
        <v/>
      </c>
      <c r="BL880" s="148">
        <f t="shared" si="625"/>
        <v>0</v>
      </c>
      <c r="BM880" s="148">
        <f t="shared" si="626"/>
        <v>0</v>
      </c>
      <c r="BN880" s="148">
        <f t="shared" si="627"/>
        <v>0</v>
      </c>
      <c r="BP880" s="148" t="str">
        <f t="shared" si="628"/>
        <v>no game</v>
      </c>
      <c r="BQ880" s="148" t="str">
        <f t="shared" si="629"/>
        <v xml:space="preserve">  in </v>
      </c>
    </row>
    <row r="881" spans="2:69" ht="15" customHeight="1" x14ac:dyDescent="0.2">
      <c r="B881" s="153"/>
      <c r="C881" s="153"/>
      <c r="D881" s="383"/>
      <c r="E881" s="383"/>
      <c r="F881" s="153"/>
      <c r="G881" s="154"/>
      <c r="H881" s="155"/>
      <c r="I881" s="314"/>
      <c r="J881" s="153"/>
      <c r="K881" s="153"/>
      <c r="L881" s="153"/>
      <c r="M881" s="153"/>
      <c r="N881" s="153"/>
      <c r="O881" s="153" t="str">
        <f>IF(L881&lt;&gt;"",IFERROR(VLOOKUP(B881&amp;L881,Pools!$A$2:$D$130,3,FALSE),""),"")</f>
        <v/>
      </c>
      <c r="P881" s="387"/>
      <c r="Q881" s="387"/>
      <c r="R881" s="306" t="str">
        <f t="shared" si="585"/>
        <v>-</v>
      </c>
      <c r="S881" s="153"/>
      <c r="T881" s="148" t="str">
        <f t="shared" si="586"/>
        <v>Pending</v>
      </c>
      <c r="U881" s="153"/>
      <c r="V881" s="153"/>
      <c r="W881" s="387">
        <f t="shared" si="587"/>
        <v>0</v>
      </c>
      <c r="X881" s="387">
        <f t="shared" si="588"/>
        <v>0</v>
      </c>
      <c r="Y881" s="301" t="str">
        <f t="shared" si="589"/>
        <v>X</v>
      </c>
      <c r="Z881" s="301" t="str">
        <f t="shared" si="590"/>
        <v>X</v>
      </c>
      <c r="AA881" s="323" t="e">
        <f>CONCATENATE("                x[team1,team2,sport,'",IF(OR(I881="x",I881=""),VLOOKUP('Schedule from TM'!J881,Tables!$P$3:$Q$33,2,FALSE),'Schedule from TM'!I881),",",J881,"','",IF(OR(F881="x",F881=""),VLOOKUP('Schedule from TM'!G881,Tables!$U$3:$V$14,2,FALSE),'Schedule from TM'!F881),",",TEXT(G881,"mm/dd/yyyy"),"','",TEXT(H881,"h:mm:ss AM/PM"),"'].ub=0.0      #",B881)</f>
        <v>#N/A</v>
      </c>
      <c r="AB881" s="301" t="str">
        <f t="shared" si="591"/>
        <v>,,,,1,</v>
      </c>
      <c r="AC881" s="153" t="str">
        <f t="shared" si="592"/>
        <v/>
      </c>
      <c r="AD881" s="301" t="str">
        <f t="shared" si="593"/>
        <v>,,,,1,</v>
      </c>
      <c r="AE881" s="153" t="str">
        <f t="shared" si="594"/>
        <v/>
      </c>
      <c r="AF881" s="383">
        <f t="shared" si="595"/>
        <v>0</v>
      </c>
      <c r="AG881" s="383">
        <f t="shared" si="596"/>
        <v>0</v>
      </c>
      <c r="AH881" s="383">
        <f t="shared" si="597"/>
        <v>0</v>
      </c>
      <c r="AI881" s="383">
        <f t="shared" si="598"/>
        <v>0</v>
      </c>
      <c r="AJ881" s="383">
        <f t="shared" si="599"/>
        <v>0</v>
      </c>
      <c r="AK881" s="383">
        <f t="shared" si="600"/>
        <v>0</v>
      </c>
      <c r="AM881" s="148" t="str">
        <f t="shared" si="601"/>
        <v>Not Schedulled</v>
      </c>
      <c r="AN881" s="148" t="str">
        <f t="shared" si="602"/>
        <v/>
      </c>
      <c r="AO881" s="156">
        <f t="shared" si="603"/>
        <v>0</v>
      </c>
      <c r="AP881" s="148" t="str">
        <f t="shared" si="604"/>
        <v>01/00/1900 00:00-&gt;</v>
      </c>
      <c r="AQ881" s="374">
        <f t="shared" si="605"/>
        <v>0</v>
      </c>
      <c r="AR881" s="148" t="str">
        <f t="shared" si="606"/>
        <v/>
      </c>
      <c r="AS881" s="148" t="str">
        <f t="shared" si="607"/>
        <v/>
      </c>
      <c r="AT881" s="157" t="str">
        <f t="shared" si="608"/>
        <v/>
      </c>
      <c r="AU881" s="157" t="str">
        <f t="shared" si="609"/>
        <v/>
      </c>
      <c r="AV881" s="157" t="str">
        <f t="shared" si="610"/>
        <v/>
      </c>
      <c r="AW881" s="157" t="str">
        <f t="shared" si="611"/>
        <v/>
      </c>
      <c r="AX881" s="376">
        <f t="shared" si="612"/>
        <v>0</v>
      </c>
      <c r="AY881" s="148" t="str">
        <f t="shared" si="613"/>
        <v>-&gt;</v>
      </c>
      <c r="AZ881" s="148" t="str">
        <f t="shared" si="614"/>
        <v>01/00/1900 00:00-&gt;</v>
      </c>
      <c r="BA881" s="148" t="str">
        <f t="shared" si="615"/>
        <v>01/00/1900 00:00-&gt;</v>
      </c>
      <c r="BB881" s="374">
        <f t="shared" si="616"/>
        <v>0</v>
      </c>
      <c r="BC881" s="374">
        <f t="shared" si="617"/>
        <v>0</v>
      </c>
      <c r="BD881" s="148" t="str">
        <f t="shared" si="618"/>
        <v>no conflict</v>
      </c>
      <c r="BF881" s="148" t="str">
        <f t="shared" si="619"/>
        <v>01/00/1900 00:00-&gt;</v>
      </c>
      <c r="BG881" s="148" t="str">
        <f t="shared" si="620"/>
        <v>01/00/1900 00:00-&gt;</v>
      </c>
      <c r="BH881" s="148" t="str">
        <f t="shared" si="621"/>
        <v>01/00/1900 00:00-&gt;</v>
      </c>
      <c r="BI881" s="148" t="str">
        <f t="shared" si="622"/>
        <v xml:space="preserve"> in  ()</v>
      </c>
      <c r="BJ881" s="148" t="str">
        <f t="shared" si="623"/>
        <v xml:space="preserve">--  vs. </v>
      </c>
      <c r="BK881" s="148" t="str">
        <f t="shared" si="624"/>
        <v/>
      </c>
      <c r="BL881" s="148">
        <f t="shared" si="625"/>
        <v>0</v>
      </c>
      <c r="BM881" s="148">
        <f t="shared" si="626"/>
        <v>0</v>
      </c>
      <c r="BN881" s="148">
        <f t="shared" si="627"/>
        <v>0</v>
      </c>
      <c r="BP881" s="148" t="str">
        <f t="shared" si="628"/>
        <v>no game</v>
      </c>
      <c r="BQ881" s="148" t="str">
        <f t="shared" si="629"/>
        <v xml:space="preserve">  in </v>
      </c>
    </row>
    <row r="882" spans="2:69" ht="15" customHeight="1" x14ac:dyDescent="0.2">
      <c r="B882" s="153"/>
      <c r="C882" s="153"/>
      <c r="D882" s="383"/>
      <c r="E882" s="383"/>
      <c r="F882" s="153"/>
      <c r="G882" s="154"/>
      <c r="H882" s="155"/>
      <c r="I882" s="314"/>
      <c r="J882" s="153"/>
      <c r="K882" s="153"/>
      <c r="L882" s="153"/>
      <c r="M882" s="153"/>
      <c r="N882" s="153"/>
      <c r="O882" s="153" t="str">
        <f>IF(L882&lt;&gt;"",IFERROR(VLOOKUP(B882&amp;L882,Pools!$A$2:$D$130,3,FALSE),""),"")</f>
        <v/>
      </c>
      <c r="P882" s="387"/>
      <c r="Q882" s="387"/>
      <c r="R882" s="306" t="str">
        <f t="shared" si="585"/>
        <v>-</v>
      </c>
      <c r="S882" s="153"/>
      <c r="T882" s="148" t="str">
        <f t="shared" si="586"/>
        <v>Pending</v>
      </c>
      <c r="U882" s="153"/>
      <c r="V882" s="153"/>
      <c r="W882" s="387">
        <f t="shared" si="587"/>
        <v>0</v>
      </c>
      <c r="X882" s="387">
        <f t="shared" si="588"/>
        <v>0</v>
      </c>
      <c r="Y882" s="301" t="str">
        <f t="shared" si="589"/>
        <v>X</v>
      </c>
      <c r="Z882" s="301" t="str">
        <f t="shared" si="590"/>
        <v>X</v>
      </c>
      <c r="AA882" s="323" t="e">
        <f>CONCATENATE("                x[team1,team2,sport,'",IF(OR(I882="x",I882=""),VLOOKUP('Schedule from TM'!J882,Tables!$P$3:$Q$33,2,FALSE),'Schedule from TM'!I882),",",J882,"','",IF(OR(F882="x",F882=""),VLOOKUP('Schedule from TM'!G882,Tables!$U$3:$V$14,2,FALSE),'Schedule from TM'!F882),",",TEXT(G882,"mm/dd/yyyy"),"','",TEXT(H882,"h:mm:ss AM/PM"),"'].ub=0.0      #",B882)</f>
        <v>#N/A</v>
      </c>
      <c r="AB882" s="301" t="str">
        <f t="shared" si="591"/>
        <v>,,,,1,</v>
      </c>
      <c r="AC882" s="153" t="str">
        <f t="shared" si="592"/>
        <v/>
      </c>
      <c r="AD882" s="301" t="str">
        <f t="shared" si="593"/>
        <v>,,,,1,</v>
      </c>
      <c r="AE882" s="153" t="str">
        <f t="shared" si="594"/>
        <v/>
      </c>
      <c r="AF882" s="383">
        <f t="shared" si="595"/>
        <v>0</v>
      </c>
      <c r="AG882" s="383">
        <f t="shared" si="596"/>
        <v>0</v>
      </c>
      <c r="AH882" s="383">
        <f t="shared" si="597"/>
        <v>0</v>
      </c>
      <c r="AI882" s="383">
        <f t="shared" si="598"/>
        <v>0</v>
      </c>
      <c r="AJ882" s="383">
        <f t="shared" si="599"/>
        <v>0</v>
      </c>
      <c r="AK882" s="383">
        <f t="shared" si="600"/>
        <v>0</v>
      </c>
      <c r="AM882" s="148" t="str">
        <f t="shared" si="601"/>
        <v>Not Schedulled</v>
      </c>
      <c r="AN882" s="148" t="str">
        <f t="shared" si="602"/>
        <v/>
      </c>
      <c r="AO882" s="156">
        <f t="shared" si="603"/>
        <v>0</v>
      </c>
      <c r="AP882" s="148" t="str">
        <f t="shared" si="604"/>
        <v>01/00/1900 00:00-&gt;</v>
      </c>
      <c r="AQ882" s="374">
        <f t="shared" si="605"/>
        <v>0</v>
      </c>
      <c r="AR882" s="148" t="str">
        <f t="shared" si="606"/>
        <v/>
      </c>
      <c r="AS882" s="148" t="str">
        <f t="shared" si="607"/>
        <v/>
      </c>
      <c r="AT882" s="157" t="str">
        <f t="shared" si="608"/>
        <v/>
      </c>
      <c r="AU882" s="157" t="str">
        <f t="shared" si="609"/>
        <v/>
      </c>
      <c r="AV882" s="157" t="str">
        <f t="shared" si="610"/>
        <v/>
      </c>
      <c r="AW882" s="157" t="str">
        <f t="shared" si="611"/>
        <v/>
      </c>
      <c r="AX882" s="376">
        <f t="shared" si="612"/>
        <v>0</v>
      </c>
      <c r="AY882" s="148" t="str">
        <f t="shared" si="613"/>
        <v>-&gt;</v>
      </c>
      <c r="AZ882" s="148" t="str">
        <f t="shared" si="614"/>
        <v>01/00/1900 00:00-&gt;</v>
      </c>
      <c r="BA882" s="148" t="str">
        <f t="shared" si="615"/>
        <v>01/00/1900 00:00-&gt;</v>
      </c>
      <c r="BB882" s="374">
        <f t="shared" si="616"/>
        <v>0</v>
      </c>
      <c r="BC882" s="374">
        <f t="shared" si="617"/>
        <v>0</v>
      </c>
      <c r="BD882" s="148" t="str">
        <f t="shared" si="618"/>
        <v>no conflict</v>
      </c>
      <c r="BF882" s="148" t="str">
        <f t="shared" si="619"/>
        <v>01/00/1900 00:00-&gt;</v>
      </c>
      <c r="BG882" s="148" t="str">
        <f t="shared" si="620"/>
        <v>01/00/1900 00:00-&gt;</v>
      </c>
      <c r="BH882" s="148" t="str">
        <f t="shared" si="621"/>
        <v>01/00/1900 00:00-&gt;</v>
      </c>
      <c r="BI882" s="148" t="str">
        <f t="shared" si="622"/>
        <v xml:space="preserve"> in  ()</v>
      </c>
      <c r="BJ882" s="148" t="str">
        <f t="shared" si="623"/>
        <v xml:space="preserve">--  vs. </v>
      </c>
      <c r="BK882" s="148" t="str">
        <f t="shared" si="624"/>
        <v/>
      </c>
      <c r="BL882" s="148">
        <f t="shared" si="625"/>
        <v>0</v>
      </c>
      <c r="BM882" s="148">
        <f t="shared" si="626"/>
        <v>0</v>
      </c>
      <c r="BN882" s="148">
        <f t="shared" si="627"/>
        <v>0</v>
      </c>
      <c r="BP882" s="148" t="str">
        <f t="shared" si="628"/>
        <v>no game</v>
      </c>
      <c r="BQ882" s="148" t="str">
        <f t="shared" si="629"/>
        <v xml:space="preserve">  in </v>
      </c>
    </row>
    <row r="883" spans="2:69" ht="15" customHeight="1" x14ac:dyDescent="0.2">
      <c r="B883" s="153"/>
      <c r="C883" s="153"/>
      <c r="D883" s="383"/>
      <c r="E883" s="383"/>
      <c r="F883" s="153"/>
      <c r="G883" s="154"/>
      <c r="H883" s="155"/>
      <c r="I883" s="314"/>
      <c r="J883" s="153"/>
      <c r="K883" s="153"/>
      <c r="L883" s="153"/>
      <c r="M883" s="153"/>
      <c r="N883" s="153"/>
      <c r="O883" s="153" t="str">
        <f>IF(L883&lt;&gt;"",IFERROR(VLOOKUP(B883&amp;L883,Pools!$A$2:$D$130,3,FALSE),""),"")</f>
        <v/>
      </c>
      <c r="P883" s="387"/>
      <c r="Q883" s="387"/>
      <c r="R883" s="306" t="str">
        <f t="shared" si="585"/>
        <v>-</v>
      </c>
      <c r="S883" s="153"/>
      <c r="T883" s="148" t="str">
        <f t="shared" si="586"/>
        <v>Pending</v>
      </c>
      <c r="U883" s="153"/>
      <c r="V883" s="153"/>
      <c r="W883" s="387">
        <f t="shared" si="587"/>
        <v>0</v>
      </c>
      <c r="X883" s="387">
        <f t="shared" si="588"/>
        <v>0</v>
      </c>
      <c r="Y883" s="301" t="str">
        <f t="shared" si="589"/>
        <v>X</v>
      </c>
      <c r="Z883" s="301" t="str">
        <f t="shared" si="590"/>
        <v>X</v>
      </c>
      <c r="AA883" s="323" t="e">
        <f>CONCATENATE("                x[team1,team2,sport,'",IF(OR(I883="x",I883=""),VLOOKUP('Schedule from TM'!J883,Tables!$P$3:$Q$33,2,FALSE),'Schedule from TM'!I883),",",J883,"','",IF(OR(F883="x",F883=""),VLOOKUP('Schedule from TM'!G883,Tables!$U$3:$V$14,2,FALSE),'Schedule from TM'!F883),",",TEXT(G883,"mm/dd/yyyy"),"','",TEXT(H883,"h:mm:ss AM/PM"),"'].ub=0.0      #",B883)</f>
        <v>#N/A</v>
      </c>
      <c r="AB883" s="301" t="str">
        <f t="shared" si="591"/>
        <v>,,,,1,</v>
      </c>
      <c r="AC883" s="153" t="str">
        <f t="shared" si="592"/>
        <v/>
      </c>
      <c r="AD883" s="301" t="str">
        <f t="shared" si="593"/>
        <v>,,,,1,</v>
      </c>
      <c r="AE883" s="153" t="str">
        <f t="shared" si="594"/>
        <v/>
      </c>
      <c r="AF883" s="383">
        <f t="shared" si="595"/>
        <v>0</v>
      </c>
      <c r="AG883" s="383">
        <f t="shared" si="596"/>
        <v>0</v>
      </c>
      <c r="AH883" s="383">
        <f t="shared" si="597"/>
        <v>0</v>
      </c>
      <c r="AI883" s="383">
        <f t="shared" si="598"/>
        <v>0</v>
      </c>
      <c r="AJ883" s="383">
        <f t="shared" si="599"/>
        <v>0</v>
      </c>
      <c r="AK883" s="383">
        <f t="shared" si="600"/>
        <v>0</v>
      </c>
      <c r="AM883" s="148" t="str">
        <f t="shared" si="601"/>
        <v>Not Schedulled</v>
      </c>
      <c r="AN883" s="148" t="str">
        <f t="shared" si="602"/>
        <v/>
      </c>
      <c r="AO883" s="156">
        <f t="shared" si="603"/>
        <v>0</v>
      </c>
      <c r="AP883" s="148" t="str">
        <f t="shared" si="604"/>
        <v>01/00/1900 00:00-&gt;</v>
      </c>
      <c r="AQ883" s="374">
        <f t="shared" si="605"/>
        <v>0</v>
      </c>
      <c r="AR883" s="148" t="str">
        <f t="shared" si="606"/>
        <v/>
      </c>
      <c r="AS883" s="148" t="str">
        <f t="shared" si="607"/>
        <v/>
      </c>
      <c r="AT883" s="157" t="str">
        <f t="shared" si="608"/>
        <v/>
      </c>
      <c r="AU883" s="157" t="str">
        <f t="shared" si="609"/>
        <v/>
      </c>
      <c r="AV883" s="157" t="str">
        <f t="shared" si="610"/>
        <v/>
      </c>
      <c r="AW883" s="157" t="str">
        <f t="shared" si="611"/>
        <v/>
      </c>
      <c r="AX883" s="376">
        <f t="shared" si="612"/>
        <v>0</v>
      </c>
      <c r="AY883" s="148" t="str">
        <f t="shared" si="613"/>
        <v>-&gt;</v>
      </c>
      <c r="AZ883" s="148" t="str">
        <f t="shared" si="614"/>
        <v>01/00/1900 00:00-&gt;</v>
      </c>
      <c r="BA883" s="148" t="str">
        <f t="shared" si="615"/>
        <v>01/00/1900 00:00-&gt;</v>
      </c>
      <c r="BB883" s="374">
        <f t="shared" si="616"/>
        <v>0</v>
      </c>
      <c r="BC883" s="374">
        <f t="shared" si="617"/>
        <v>0</v>
      </c>
      <c r="BD883" s="148" t="str">
        <f t="shared" si="618"/>
        <v>no conflict</v>
      </c>
      <c r="BF883" s="148" t="str">
        <f t="shared" si="619"/>
        <v>01/00/1900 00:00-&gt;</v>
      </c>
      <c r="BG883" s="148" t="str">
        <f t="shared" si="620"/>
        <v>01/00/1900 00:00-&gt;</v>
      </c>
      <c r="BH883" s="148" t="str">
        <f t="shared" si="621"/>
        <v>01/00/1900 00:00-&gt;</v>
      </c>
      <c r="BI883" s="148" t="str">
        <f t="shared" si="622"/>
        <v xml:space="preserve"> in  ()</v>
      </c>
      <c r="BJ883" s="148" t="str">
        <f t="shared" si="623"/>
        <v xml:space="preserve">--  vs. </v>
      </c>
      <c r="BK883" s="148" t="str">
        <f t="shared" si="624"/>
        <v/>
      </c>
      <c r="BL883" s="148">
        <f t="shared" si="625"/>
        <v>0</v>
      </c>
      <c r="BM883" s="148">
        <f t="shared" si="626"/>
        <v>0</v>
      </c>
      <c r="BN883" s="148">
        <f t="shared" si="627"/>
        <v>0</v>
      </c>
      <c r="BP883" s="148" t="str">
        <f t="shared" si="628"/>
        <v>no game</v>
      </c>
      <c r="BQ883" s="148" t="str">
        <f t="shared" si="629"/>
        <v xml:space="preserve">  in </v>
      </c>
    </row>
    <row r="884" spans="2:69" ht="15" customHeight="1" x14ac:dyDescent="0.2">
      <c r="B884" s="153"/>
      <c r="C884" s="153"/>
      <c r="D884" s="383"/>
      <c r="E884" s="383"/>
      <c r="F884" s="153"/>
      <c r="G884" s="154"/>
      <c r="H884" s="155"/>
      <c r="I884" s="314"/>
      <c r="J884" s="153"/>
      <c r="K884" s="153"/>
      <c r="L884" s="153"/>
      <c r="M884" s="153"/>
      <c r="N884" s="153"/>
      <c r="O884" s="153" t="str">
        <f>IF(L884&lt;&gt;"",IFERROR(VLOOKUP(B884&amp;L884,Pools!$A$2:$D$130,3,FALSE),""),"")</f>
        <v/>
      </c>
      <c r="P884" s="387"/>
      <c r="Q884" s="387"/>
      <c r="R884" s="306" t="str">
        <f t="shared" si="585"/>
        <v>-</v>
      </c>
      <c r="S884" s="153"/>
      <c r="T884" s="148" t="str">
        <f t="shared" si="586"/>
        <v>Pending</v>
      </c>
      <c r="U884" s="153"/>
      <c r="V884" s="153"/>
      <c r="W884" s="387">
        <f t="shared" si="587"/>
        <v>0</v>
      </c>
      <c r="X884" s="387">
        <f t="shared" si="588"/>
        <v>0</v>
      </c>
      <c r="Y884" s="301" t="str">
        <f t="shared" si="589"/>
        <v>X</v>
      </c>
      <c r="Z884" s="301" t="str">
        <f t="shared" si="590"/>
        <v>X</v>
      </c>
      <c r="AA884" s="323" t="e">
        <f>CONCATENATE("                x[team1,team2,sport,'",IF(OR(I884="x",I884=""),VLOOKUP('Schedule from TM'!J884,Tables!$P$3:$Q$33,2,FALSE),'Schedule from TM'!I884),",",J884,"','",IF(OR(F884="x",F884=""),VLOOKUP('Schedule from TM'!G884,Tables!$U$3:$V$14,2,FALSE),'Schedule from TM'!F884),",",TEXT(G884,"mm/dd/yyyy"),"','",TEXT(H884,"h:mm:ss AM/PM"),"'].ub=0.0      #",B884)</f>
        <v>#N/A</v>
      </c>
      <c r="AB884" s="301" t="str">
        <f t="shared" si="591"/>
        <v>,,,,1,</v>
      </c>
      <c r="AC884" s="153" t="str">
        <f t="shared" si="592"/>
        <v/>
      </c>
      <c r="AD884" s="301" t="str">
        <f t="shared" si="593"/>
        <v>,,,,1,</v>
      </c>
      <c r="AE884" s="153" t="str">
        <f t="shared" si="594"/>
        <v/>
      </c>
      <c r="AF884" s="383">
        <f t="shared" si="595"/>
        <v>0</v>
      </c>
      <c r="AG884" s="383">
        <f t="shared" si="596"/>
        <v>0</v>
      </c>
      <c r="AH884" s="383">
        <f t="shared" si="597"/>
        <v>0</v>
      </c>
      <c r="AI884" s="383">
        <f t="shared" si="598"/>
        <v>0</v>
      </c>
      <c r="AJ884" s="383">
        <f t="shared" si="599"/>
        <v>0</v>
      </c>
      <c r="AK884" s="383">
        <f t="shared" si="600"/>
        <v>0</v>
      </c>
      <c r="AM884" s="148" t="str">
        <f t="shared" si="601"/>
        <v>Not Schedulled</v>
      </c>
      <c r="AN884" s="148" t="str">
        <f t="shared" si="602"/>
        <v/>
      </c>
      <c r="AO884" s="156">
        <f t="shared" si="603"/>
        <v>0</v>
      </c>
      <c r="AP884" s="148" t="str">
        <f t="shared" si="604"/>
        <v>01/00/1900 00:00-&gt;</v>
      </c>
      <c r="AQ884" s="374">
        <f t="shared" si="605"/>
        <v>0</v>
      </c>
      <c r="AR884" s="148" t="str">
        <f t="shared" si="606"/>
        <v/>
      </c>
      <c r="AS884" s="148" t="str">
        <f t="shared" si="607"/>
        <v/>
      </c>
      <c r="AT884" s="157" t="str">
        <f t="shared" si="608"/>
        <v/>
      </c>
      <c r="AU884" s="157" t="str">
        <f t="shared" si="609"/>
        <v/>
      </c>
      <c r="AV884" s="157" t="str">
        <f t="shared" si="610"/>
        <v/>
      </c>
      <c r="AW884" s="157" t="str">
        <f t="shared" si="611"/>
        <v/>
      </c>
      <c r="AX884" s="376">
        <f t="shared" si="612"/>
        <v>0</v>
      </c>
      <c r="AY884" s="148" t="str">
        <f t="shared" si="613"/>
        <v>-&gt;</v>
      </c>
      <c r="AZ884" s="148" t="str">
        <f t="shared" si="614"/>
        <v>01/00/1900 00:00-&gt;</v>
      </c>
      <c r="BA884" s="148" t="str">
        <f t="shared" si="615"/>
        <v>01/00/1900 00:00-&gt;</v>
      </c>
      <c r="BB884" s="374">
        <f t="shared" si="616"/>
        <v>0</v>
      </c>
      <c r="BC884" s="374">
        <f t="shared" si="617"/>
        <v>0</v>
      </c>
      <c r="BD884" s="148" t="str">
        <f t="shared" si="618"/>
        <v>no conflict</v>
      </c>
      <c r="BF884" s="148" t="str">
        <f t="shared" si="619"/>
        <v>01/00/1900 00:00-&gt;</v>
      </c>
      <c r="BG884" s="148" t="str">
        <f t="shared" si="620"/>
        <v>01/00/1900 00:00-&gt;</v>
      </c>
      <c r="BH884" s="148" t="str">
        <f t="shared" si="621"/>
        <v>01/00/1900 00:00-&gt;</v>
      </c>
      <c r="BI884" s="148" t="str">
        <f t="shared" si="622"/>
        <v xml:space="preserve"> in  ()</v>
      </c>
      <c r="BJ884" s="148" t="str">
        <f t="shared" si="623"/>
        <v xml:space="preserve">--  vs. </v>
      </c>
      <c r="BK884" s="148" t="str">
        <f t="shared" si="624"/>
        <v/>
      </c>
      <c r="BL884" s="148">
        <f t="shared" si="625"/>
        <v>0</v>
      </c>
      <c r="BM884" s="148">
        <f t="shared" si="626"/>
        <v>0</v>
      </c>
      <c r="BN884" s="148">
        <f t="shared" si="627"/>
        <v>0</v>
      </c>
      <c r="BP884" s="148" t="str">
        <f t="shared" si="628"/>
        <v>no game</v>
      </c>
      <c r="BQ884" s="148" t="str">
        <f t="shared" si="629"/>
        <v xml:space="preserve">  in </v>
      </c>
    </row>
    <row r="885" spans="2:69" ht="15" customHeight="1" x14ac:dyDescent="0.2">
      <c r="B885" s="153"/>
      <c r="C885" s="153"/>
      <c r="D885" s="383"/>
      <c r="E885" s="383"/>
      <c r="F885" s="153"/>
      <c r="G885" s="154"/>
      <c r="H885" s="155"/>
      <c r="I885" s="314"/>
      <c r="J885" s="153"/>
      <c r="K885" s="153"/>
      <c r="L885" s="153"/>
      <c r="M885" s="153"/>
      <c r="N885" s="153"/>
      <c r="O885" s="153" t="str">
        <f>IF(L885&lt;&gt;"",IFERROR(VLOOKUP(B885&amp;L885,Pools!$A$2:$D$130,3,FALSE),""),"")</f>
        <v/>
      </c>
      <c r="P885" s="387"/>
      <c r="Q885" s="387"/>
      <c r="R885" s="306" t="str">
        <f t="shared" si="585"/>
        <v>-</v>
      </c>
      <c r="S885" s="153"/>
      <c r="T885" s="148" t="str">
        <f t="shared" si="586"/>
        <v>Pending</v>
      </c>
      <c r="U885" s="153"/>
      <c r="V885" s="153"/>
      <c r="W885" s="387">
        <f t="shared" si="587"/>
        <v>0</v>
      </c>
      <c r="X885" s="387">
        <f t="shared" si="588"/>
        <v>0</v>
      </c>
      <c r="Y885" s="301" t="str">
        <f t="shared" si="589"/>
        <v>X</v>
      </c>
      <c r="Z885" s="301" t="str">
        <f t="shared" si="590"/>
        <v>X</v>
      </c>
      <c r="AA885" s="323" t="e">
        <f>CONCATENATE("                x[team1,team2,sport,'",IF(OR(I885="x",I885=""),VLOOKUP('Schedule from TM'!J885,Tables!$P$3:$Q$33,2,FALSE),'Schedule from TM'!I885),",",J885,"','",IF(OR(F885="x",F885=""),VLOOKUP('Schedule from TM'!G885,Tables!$U$3:$V$14,2,FALSE),'Schedule from TM'!F885),",",TEXT(G885,"mm/dd/yyyy"),"','",TEXT(H885,"h:mm:ss AM/PM"),"'].ub=0.0      #",B885)</f>
        <v>#N/A</v>
      </c>
      <c r="AB885" s="301" t="str">
        <f t="shared" si="591"/>
        <v>,,,,1,</v>
      </c>
      <c r="AC885" s="153" t="str">
        <f t="shared" si="592"/>
        <v/>
      </c>
      <c r="AD885" s="301" t="str">
        <f t="shared" si="593"/>
        <v>,,,,1,</v>
      </c>
      <c r="AE885" s="153" t="str">
        <f t="shared" si="594"/>
        <v/>
      </c>
      <c r="AF885" s="383">
        <f t="shared" si="595"/>
        <v>0</v>
      </c>
      <c r="AG885" s="383">
        <f t="shared" si="596"/>
        <v>0</v>
      </c>
      <c r="AH885" s="383">
        <f t="shared" si="597"/>
        <v>0</v>
      </c>
      <c r="AI885" s="383">
        <f t="shared" si="598"/>
        <v>0</v>
      </c>
      <c r="AJ885" s="383">
        <f t="shared" si="599"/>
        <v>0</v>
      </c>
      <c r="AK885" s="383">
        <f t="shared" si="600"/>
        <v>0</v>
      </c>
      <c r="AM885" s="148" t="str">
        <f t="shared" si="601"/>
        <v>Not Schedulled</v>
      </c>
      <c r="AN885" s="148" t="str">
        <f t="shared" si="602"/>
        <v/>
      </c>
      <c r="AO885" s="156">
        <f t="shared" si="603"/>
        <v>0</v>
      </c>
      <c r="AP885" s="148" t="str">
        <f t="shared" si="604"/>
        <v>01/00/1900 00:00-&gt;</v>
      </c>
      <c r="AQ885" s="374">
        <f t="shared" si="605"/>
        <v>0</v>
      </c>
      <c r="AR885" s="148" t="str">
        <f t="shared" si="606"/>
        <v/>
      </c>
      <c r="AS885" s="148" t="str">
        <f t="shared" si="607"/>
        <v/>
      </c>
      <c r="AT885" s="157" t="str">
        <f t="shared" si="608"/>
        <v/>
      </c>
      <c r="AU885" s="157" t="str">
        <f t="shared" si="609"/>
        <v/>
      </c>
      <c r="AV885" s="157" t="str">
        <f t="shared" si="610"/>
        <v/>
      </c>
      <c r="AW885" s="157" t="str">
        <f t="shared" si="611"/>
        <v/>
      </c>
      <c r="AX885" s="376">
        <f t="shared" si="612"/>
        <v>0</v>
      </c>
      <c r="AY885" s="148" t="str">
        <f t="shared" si="613"/>
        <v>-&gt;</v>
      </c>
      <c r="AZ885" s="148" t="str">
        <f t="shared" si="614"/>
        <v>01/00/1900 00:00-&gt;</v>
      </c>
      <c r="BA885" s="148" t="str">
        <f t="shared" si="615"/>
        <v>01/00/1900 00:00-&gt;</v>
      </c>
      <c r="BB885" s="374">
        <f t="shared" si="616"/>
        <v>0</v>
      </c>
      <c r="BC885" s="374">
        <f t="shared" si="617"/>
        <v>0</v>
      </c>
      <c r="BD885" s="148" t="str">
        <f t="shared" si="618"/>
        <v>no conflict</v>
      </c>
      <c r="BF885" s="148" t="str">
        <f t="shared" si="619"/>
        <v>01/00/1900 00:00-&gt;</v>
      </c>
      <c r="BG885" s="148" t="str">
        <f t="shared" si="620"/>
        <v>01/00/1900 00:00-&gt;</v>
      </c>
      <c r="BH885" s="148" t="str">
        <f t="shared" si="621"/>
        <v>01/00/1900 00:00-&gt;</v>
      </c>
      <c r="BI885" s="148" t="str">
        <f t="shared" si="622"/>
        <v xml:space="preserve"> in  ()</v>
      </c>
      <c r="BJ885" s="148" t="str">
        <f t="shared" si="623"/>
        <v xml:space="preserve">--  vs. </v>
      </c>
      <c r="BK885" s="148" t="str">
        <f t="shared" si="624"/>
        <v/>
      </c>
      <c r="BL885" s="148">
        <f t="shared" si="625"/>
        <v>0</v>
      </c>
      <c r="BM885" s="148">
        <f t="shared" si="626"/>
        <v>0</v>
      </c>
      <c r="BN885" s="148">
        <f t="shared" si="627"/>
        <v>0</v>
      </c>
      <c r="BP885" s="148" t="str">
        <f t="shared" si="628"/>
        <v>no game</v>
      </c>
      <c r="BQ885" s="148" t="str">
        <f t="shared" si="629"/>
        <v xml:space="preserve">  in </v>
      </c>
    </row>
    <row r="886" spans="2:69" ht="15" customHeight="1" x14ac:dyDescent="0.2">
      <c r="B886" s="153"/>
      <c r="C886" s="153"/>
      <c r="D886" s="383"/>
      <c r="E886" s="383"/>
      <c r="F886" s="153"/>
      <c r="G886" s="154"/>
      <c r="H886" s="155"/>
      <c r="I886" s="314"/>
      <c r="J886" s="153"/>
      <c r="K886" s="153"/>
      <c r="L886" s="153"/>
      <c r="M886" s="153"/>
      <c r="N886" s="153"/>
      <c r="O886" s="153" t="str">
        <f>IF(L886&lt;&gt;"",IFERROR(VLOOKUP(B886&amp;L886,Pools!$A$2:$D$130,3,FALSE),""),"")</f>
        <v/>
      </c>
      <c r="P886" s="387"/>
      <c r="Q886" s="387"/>
      <c r="R886" s="306" t="str">
        <f t="shared" si="585"/>
        <v>-</v>
      </c>
      <c r="S886" s="153"/>
      <c r="T886" s="148" t="str">
        <f t="shared" si="586"/>
        <v>Pending</v>
      </c>
      <c r="U886" s="153"/>
      <c r="V886" s="153"/>
      <c r="W886" s="387">
        <f t="shared" si="587"/>
        <v>0</v>
      </c>
      <c r="X886" s="387">
        <f t="shared" si="588"/>
        <v>0</v>
      </c>
      <c r="Y886" s="301" t="str">
        <f t="shared" si="589"/>
        <v>X</v>
      </c>
      <c r="Z886" s="301" t="str">
        <f t="shared" si="590"/>
        <v>X</v>
      </c>
      <c r="AA886" s="323" t="e">
        <f>CONCATENATE("                x[team1,team2,sport,'",IF(OR(I886="x",I886=""),VLOOKUP('Schedule from TM'!J886,Tables!$P$3:$Q$33,2,FALSE),'Schedule from TM'!I886),",",J886,"','",IF(OR(F886="x",F886=""),VLOOKUP('Schedule from TM'!G886,Tables!$U$3:$V$14,2,FALSE),'Schedule from TM'!F886),",",TEXT(G886,"mm/dd/yyyy"),"','",TEXT(H886,"h:mm:ss AM/PM"),"'].ub=0.0      #",B886)</f>
        <v>#N/A</v>
      </c>
      <c r="AB886" s="301" t="str">
        <f t="shared" si="591"/>
        <v>,,,,1,</v>
      </c>
      <c r="AC886" s="153" t="str">
        <f t="shared" si="592"/>
        <v/>
      </c>
      <c r="AD886" s="301" t="str">
        <f t="shared" si="593"/>
        <v>,,,,1,</v>
      </c>
      <c r="AE886" s="153" t="str">
        <f t="shared" si="594"/>
        <v/>
      </c>
      <c r="AF886" s="383">
        <f t="shared" si="595"/>
        <v>0</v>
      </c>
      <c r="AG886" s="383">
        <f t="shared" si="596"/>
        <v>0</v>
      </c>
      <c r="AH886" s="383">
        <f t="shared" si="597"/>
        <v>0</v>
      </c>
      <c r="AI886" s="383">
        <f t="shared" si="598"/>
        <v>0</v>
      </c>
      <c r="AJ886" s="383">
        <f t="shared" si="599"/>
        <v>0</v>
      </c>
      <c r="AK886" s="383">
        <f t="shared" si="600"/>
        <v>0</v>
      </c>
      <c r="AM886" s="148" t="str">
        <f t="shared" si="601"/>
        <v>Not Schedulled</v>
      </c>
      <c r="AN886" s="148" t="str">
        <f t="shared" si="602"/>
        <v/>
      </c>
      <c r="AO886" s="156">
        <f t="shared" si="603"/>
        <v>0</v>
      </c>
      <c r="AP886" s="148" t="str">
        <f t="shared" si="604"/>
        <v>01/00/1900 00:00-&gt;</v>
      </c>
      <c r="AQ886" s="374">
        <f t="shared" si="605"/>
        <v>0</v>
      </c>
      <c r="AR886" s="148" t="str">
        <f t="shared" si="606"/>
        <v/>
      </c>
      <c r="AS886" s="148" t="str">
        <f t="shared" si="607"/>
        <v/>
      </c>
      <c r="AT886" s="157" t="str">
        <f t="shared" si="608"/>
        <v/>
      </c>
      <c r="AU886" s="157" t="str">
        <f t="shared" si="609"/>
        <v/>
      </c>
      <c r="AV886" s="157" t="str">
        <f t="shared" si="610"/>
        <v/>
      </c>
      <c r="AW886" s="157" t="str">
        <f t="shared" si="611"/>
        <v/>
      </c>
      <c r="AX886" s="376">
        <f t="shared" si="612"/>
        <v>0</v>
      </c>
      <c r="AY886" s="148" t="str">
        <f t="shared" si="613"/>
        <v>-&gt;</v>
      </c>
      <c r="AZ886" s="148" t="str">
        <f t="shared" si="614"/>
        <v>01/00/1900 00:00-&gt;</v>
      </c>
      <c r="BA886" s="148" t="str">
        <f t="shared" si="615"/>
        <v>01/00/1900 00:00-&gt;</v>
      </c>
      <c r="BB886" s="374">
        <f t="shared" si="616"/>
        <v>0</v>
      </c>
      <c r="BC886" s="374">
        <f t="shared" si="617"/>
        <v>0</v>
      </c>
      <c r="BD886" s="148" t="str">
        <f t="shared" si="618"/>
        <v>no conflict</v>
      </c>
      <c r="BF886" s="148" t="str">
        <f t="shared" si="619"/>
        <v>01/00/1900 00:00-&gt;</v>
      </c>
      <c r="BG886" s="148" t="str">
        <f t="shared" si="620"/>
        <v>01/00/1900 00:00-&gt;</v>
      </c>
      <c r="BH886" s="148" t="str">
        <f t="shared" si="621"/>
        <v>01/00/1900 00:00-&gt;</v>
      </c>
      <c r="BI886" s="148" t="str">
        <f t="shared" si="622"/>
        <v xml:space="preserve"> in  ()</v>
      </c>
      <c r="BJ886" s="148" t="str">
        <f t="shared" si="623"/>
        <v xml:space="preserve">--  vs. </v>
      </c>
      <c r="BK886" s="148" t="str">
        <f t="shared" si="624"/>
        <v/>
      </c>
      <c r="BL886" s="148">
        <f t="shared" si="625"/>
        <v>0</v>
      </c>
      <c r="BM886" s="148">
        <f t="shared" si="626"/>
        <v>0</v>
      </c>
      <c r="BN886" s="148">
        <f t="shared" si="627"/>
        <v>0</v>
      </c>
      <c r="BP886" s="148" t="str">
        <f t="shared" si="628"/>
        <v>no game</v>
      </c>
      <c r="BQ886" s="148" t="str">
        <f t="shared" si="629"/>
        <v xml:space="preserve">  in </v>
      </c>
    </row>
    <row r="887" spans="2:69" ht="15" customHeight="1" x14ac:dyDescent="0.2">
      <c r="B887" s="153"/>
      <c r="C887" s="153"/>
      <c r="D887" s="383"/>
      <c r="E887" s="383"/>
      <c r="F887" s="153"/>
      <c r="G887" s="154"/>
      <c r="H887" s="155"/>
      <c r="I887" s="314"/>
      <c r="J887" s="153"/>
      <c r="K887" s="153"/>
      <c r="L887" s="153"/>
      <c r="M887" s="153"/>
      <c r="N887" s="153"/>
      <c r="O887" s="153" t="str">
        <f>IF(L887&lt;&gt;"",IFERROR(VLOOKUP(B887&amp;L887,Pools!$A$2:$D$130,3,FALSE),""),"")</f>
        <v/>
      </c>
      <c r="P887" s="387"/>
      <c r="Q887" s="387"/>
      <c r="R887" s="306" t="str">
        <f t="shared" si="585"/>
        <v>-</v>
      </c>
      <c r="S887" s="153"/>
      <c r="T887" s="148" t="str">
        <f t="shared" si="586"/>
        <v>Pending</v>
      </c>
      <c r="U887" s="153"/>
      <c r="V887" s="153"/>
      <c r="W887" s="387">
        <f t="shared" si="587"/>
        <v>0</v>
      </c>
      <c r="X887" s="387">
        <f t="shared" si="588"/>
        <v>0</v>
      </c>
      <c r="Y887" s="301" t="str">
        <f t="shared" si="589"/>
        <v>X</v>
      </c>
      <c r="Z887" s="301" t="str">
        <f t="shared" si="590"/>
        <v>X</v>
      </c>
      <c r="AA887" s="323" t="e">
        <f>CONCATENATE("                x[team1,team2,sport,'",IF(OR(I887="x",I887=""),VLOOKUP('Schedule from TM'!J887,Tables!$P$3:$Q$33,2,FALSE),'Schedule from TM'!I887),",",J887,"','",IF(OR(F887="x",F887=""),VLOOKUP('Schedule from TM'!G887,Tables!$U$3:$V$14,2,FALSE),'Schedule from TM'!F887),",",TEXT(G887,"mm/dd/yyyy"),"','",TEXT(H887,"h:mm:ss AM/PM"),"'].ub=0.0      #",B887)</f>
        <v>#N/A</v>
      </c>
      <c r="AB887" s="301" t="str">
        <f t="shared" si="591"/>
        <v>,,,,1,</v>
      </c>
      <c r="AC887" s="153" t="str">
        <f t="shared" si="592"/>
        <v/>
      </c>
      <c r="AD887" s="301" t="str">
        <f t="shared" si="593"/>
        <v>,,,,1,</v>
      </c>
      <c r="AE887" s="153" t="str">
        <f t="shared" si="594"/>
        <v/>
      </c>
      <c r="AF887" s="383">
        <f t="shared" si="595"/>
        <v>0</v>
      </c>
      <c r="AG887" s="383">
        <f t="shared" si="596"/>
        <v>0</v>
      </c>
      <c r="AH887" s="383">
        <f t="shared" si="597"/>
        <v>0</v>
      </c>
      <c r="AI887" s="383">
        <f t="shared" si="598"/>
        <v>0</v>
      </c>
      <c r="AJ887" s="383">
        <f t="shared" si="599"/>
        <v>0</v>
      </c>
      <c r="AK887" s="383">
        <f t="shared" si="600"/>
        <v>0</v>
      </c>
      <c r="AM887" s="148" t="str">
        <f t="shared" si="601"/>
        <v>Not Schedulled</v>
      </c>
      <c r="AN887" s="148" t="str">
        <f t="shared" si="602"/>
        <v/>
      </c>
      <c r="AO887" s="156">
        <f t="shared" si="603"/>
        <v>0</v>
      </c>
      <c r="AP887" s="148" t="str">
        <f t="shared" si="604"/>
        <v>01/00/1900 00:00-&gt;</v>
      </c>
      <c r="AQ887" s="374">
        <f t="shared" si="605"/>
        <v>0</v>
      </c>
      <c r="AR887" s="148" t="str">
        <f t="shared" si="606"/>
        <v/>
      </c>
      <c r="AS887" s="148" t="str">
        <f t="shared" si="607"/>
        <v/>
      </c>
      <c r="AT887" s="157" t="str">
        <f t="shared" si="608"/>
        <v/>
      </c>
      <c r="AU887" s="157" t="str">
        <f t="shared" si="609"/>
        <v/>
      </c>
      <c r="AV887" s="157" t="str">
        <f t="shared" si="610"/>
        <v/>
      </c>
      <c r="AW887" s="157" t="str">
        <f t="shared" si="611"/>
        <v/>
      </c>
      <c r="AX887" s="376">
        <f t="shared" si="612"/>
        <v>0</v>
      </c>
      <c r="AY887" s="148" t="str">
        <f t="shared" si="613"/>
        <v>-&gt;</v>
      </c>
      <c r="AZ887" s="148" t="str">
        <f t="shared" si="614"/>
        <v>01/00/1900 00:00-&gt;</v>
      </c>
      <c r="BA887" s="148" t="str">
        <f t="shared" si="615"/>
        <v>01/00/1900 00:00-&gt;</v>
      </c>
      <c r="BB887" s="374">
        <f t="shared" si="616"/>
        <v>0</v>
      </c>
      <c r="BC887" s="374">
        <f t="shared" si="617"/>
        <v>0</v>
      </c>
      <c r="BD887" s="148" t="str">
        <f t="shared" si="618"/>
        <v>no conflict</v>
      </c>
      <c r="BF887" s="148" t="str">
        <f t="shared" si="619"/>
        <v>01/00/1900 00:00-&gt;</v>
      </c>
      <c r="BG887" s="148" t="str">
        <f t="shared" si="620"/>
        <v>01/00/1900 00:00-&gt;</v>
      </c>
      <c r="BH887" s="148" t="str">
        <f t="shared" si="621"/>
        <v>01/00/1900 00:00-&gt;</v>
      </c>
      <c r="BI887" s="148" t="str">
        <f t="shared" si="622"/>
        <v xml:space="preserve"> in  ()</v>
      </c>
      <c r="BJ887" s="148" t="str">
        <f t="shared" si="623"/>
        <v xml:space="preserve">--  vs. </v>
      </c>
      <c r="BK887" s="148" t="str">
        <f t="shared" si="624"/>
        <v/>
      </c>
      <c r="BL887" s="148">
        <f t="shared" si="625"/>
        <v>0</v>
      </c>
      <c r="BM887" s="148">
        <f t="shared" si="626"/>
        <v>0</v>
      </c>
      <c r="BN887" s="148">
        <f t="shared" si="627"/>
        <v>0</v>
      </c>
      <c r="BP887" s="148" t="str">
        <f t="shared" si="628"/>
        <v>no game</v>
      </c>
      <c r="BQ887" s="148" t="str">
        <f t="shared" si="629"/>
        <v xml:space="preserve">  in </v>
      </c>
    </row>
    <row r="888" spans="2:69" ht="15" customHeight="1" x14ac:dyDescent="0.2">
      <c r="B888" s="153"/>
      <c r="C888" s="153"/>
      <c r="D888" s="383"/>
      <c r="E888" s="383"/>
      <c r="F888" s="153"/>
      <c r="G888" s="154"/>
      <c r="H888" s="155"/>
      <c r="I888" s="314"/>
      <c r="J888" s="153"/>
      <c r="K888" s="153"/>
      <c r="L888" s="153"/>
      <c r="M888" s="153"/>
      <c r="N888" s="153"/>
      <c r="O888" s="153" t="str">
        <f>IF(L888&lt;&gt;"",IFERROR(VLOOKUP(B888&amp;L888,Pools!$A$2:$D$130,3,FALSE),""),"")</f>
        <v/>
      </c>
      <c r="P888" s="387"/>
      <c r="Q888" s="387"/>
      <c r="R888" s="306" t="str">
        <f t="shared" si="585"/>
        <v>-</v>
      </c>
      <c r="S888" s="153"/>
      <c r="T888" s="148" t="str">
        <f t="shared" si="586"/>
        <v>Pending</v>
      </c>
      <c r="U888" s="153"/>
      <c r="V888" s="153"/>
      <c r="W888" s="387">
        <f t="shared" si="587"/>
        <v>0</v>
      </c>
      <c r="X888" s="387">
        <f t="shared" si="588"/>
        <v>0</v>
      </c>
      <c r="Y888" s="301" t="str">
        <f t="shared" si="589"/>
        <v>X</v>
      </c>
      <c r="Z888" s="301" t="str">
        <f t="shared" si="590"/>
        <v>X</v>
      </c>
      <c r="AA888" s="323" t="e">
        <f>CONCATENATE("                x[team1,team2,sport,'",IF(OR(I888="x",I888=""),VLOOKUP('Schedule from TM'!J888,Tables!$P$3:$Q$33,2,FALSE),'Schedule from TM'!I888),",",J888,"','",IF(OR(F888="x",F888=""),VLOOKUP('Schedule from TM'!G888,Tables!$U$3:$V$14,2,FALSE),'Schedule from TM'!F888),",",TEXT(G888,"mm/dd/yyyy"),"','",TEXT(H888,"h:mm:ss AM/PM"),"'].ub=0.0      #",B888)</f>
        <v>#N/A</v>
      </c>
      <c r="AB888" s="301" t="str">
        <f t="shared" si="591"/>
        <v>,,,,1,</v>
      </c>
      <c r="AC888" s="153" t="str">
        <f t="shared" si="592"/>
        <v/>
      </c>
      <c r="AD888" s="301" t="str">
        <f t="shared" si="593"/>
        <v>,,,,1,</v>
      </c>
      <c r="AE888" s="153" t="str">
        <f t="shared" si="594"/>
        <v/>
      </c>
      <c r="AF888" s="383">
        <f t="shared" si="595"/>
        <v>0</v>
      </c>
      <c r="AG888" s="383">
        <f t="shared" si="596"/>
        <v>0</v>
      </c>
      <c r="AH888" s="383">
        <f t="shared" si="597"/>
        <v>0</v>
      </c>
      <c r="AI888" s="383">
        <f t="shared" si="598"/>
        <v>0</v>
      </c>
      <c r="AJ888" s="383">
        <f t="shared" si="599"/>
        <v>0</v>
      </c>
      <c r="AK888" s="383">
        <f t="shared" si="600"/>
        <v>0</v>
      </c>
      <c r="AM888" s="148" t="str">
        <f t="shared" si="601"/>
        <v>Not Schedulled</v>
      </c>
      <c r="AN888" s="148" t="str">
        <f t="shared" si="602"/>
        <v/>
      </c>
      <c r="AO888" s="156">
        <f t="shared" si="603"/>
        <v>0</v>
      </c>
      <c r="AP888" s="148" t="str">
        <f t="shared" si="604"/>
        <v>01/00/1900 00:00-&gt;</v>
      </c>
      <c r="AQ888" s="374">
        <f t="shared" si="605"/>
        <v>0</v>
      </c>
      <c r="AR888" s="148" t="str">
        <f t="shared" si="606"/>
        <v/>
      </c>
      <c r="AS888" s="148" t="str">
        <f t="shared" si="607"/>
        <v/>
      </c>
      <c r="AT888" s="157" t="str">
        <f t="shared" si="608"/>
        <v/>
      </c>
      <c r="AU888" s="157" t="str">
        <f t="shared" si="609"/>
        <v/>
      </c>
      <c r="AV888" s="157" t="str">
        <f t="shared" si="610"/>
        <v/>
      </c>
      <c r="AW888" s="157" t="str">
        <f t="shared" si="611"/>
        <v/>
      </c>
      <c r="AX888" s="376">
        <f t="shared" si="612"/>
        <v>0</v>
      </c>
      <c r="AY888" s="148" t="str">
        <f t="shared" si="613"/>
        <v>-&gt;</v>
      </c>
      <c r="AZ888" s="148" t="str">
        <f t="shared" si="614"/>
        <v>01/00/1900 00:00-&gt;</v>
      </c>
      <c r="BA888" s="148" t="str">
        <f t="shared" si="615"/>
        <v>01/00/1900 00:00-&gt;</v>
      </c>
      <c r="BB888" s="374">
        <f t="shared" si="616"/>
        <v>0</v>
      </c>
      <c r="BC888" s="374">
        <f t="shared" si="617"/>
        <v>0</v>
      </c>
      <c r="BD888" s="148" t="str">
        <f t="shared" si="618"/>
        <v>no conflict</v>
      </c>
      <c r="BF888" s="148" t="str">
        <f t="shared" si="619"/>
        <v>01/00/1900 00:00-&gt;</v>
      </c>
      <c r="BG888" s="148" t="str">
        <f t="shared" si="620"/>
        <v>01/00/1900 00:00-&gt;</v>
      </c>
      <c r="BH888" s="148" t="str">
        <f t="shared" si="621"/>
        <v>01/00/1900 00:00-&gt;</v>
      </c>
      <c r="BI888" s="148" t="str">
        <f t="shared" si="622"/>
        <v xml:space="preserve"> in  ()</v>
      </c>
      <c r="BJ888" s="148" t="str">
        <f t="shared" si="623"/>
        <v xml:space="preserve">--  vs. </v>
      </c>
      <c r="BK888" s="148" t="str">
        <f t="shared" si="624"/>
        <v/>
      </c>
      <c r="BL888" s="148">
        <f t="shared" si="625"/>
        <v>0</v>
      </c>
      <c r="BM888" s="148">
        <f t="shared" si="626"/>
        <v>0</v>
      </c>
      <c r="BN888" s="148">
        <f t="shared" si="627"/>
        <v>0</v>
      </c>
      <c r="BP888" s="148" t="str">
        <f t="shared" si="628"/>
        <v>no game</v>
      </c>
      <c r="BQ888" s="148" t="str">
        <f t="shared" si="629"/>
        <v xml:space="preserve">  in </v>
      </c>
    </row>
    <row r="889" spans="2:69" ht="15" customHeight="1" x14ac:dyDescent="0.2">
      <c r="B889" s="153"/>
      <c r="C889" s="153"/>
      <c r="D889" s="383"/>
      <c r="E889" s="383"/>
      <c r="F889" s="153"/>
      <c r="G889" s="154"/>
      <c r="H889" s="155"/>
      <c r="I889" s="314"/>
      <c r="J889" s="153"/>
      <c r="K889" s="153"/>
      <c r="L889" s="153"/>
      <c r="M889" s="153"/>
      <c r="N889" s="153"/>
      <c r="O889" s="153" t="str">
        <f>IF(L889&lt;&gt;"",IFERROR(VLOOKUP(B889&amp;L889,Pools!$A$2:$D$130,3,FALSE),""),"")</f>
        <v/>
      </c>
      <c r="P889" s="387"/>
      <c r="Q889" s="387"/>
      <c r="R889" s="306" t="str">
        <f t="shared" si="585"/>
        <v>-</v>
      </c>
      <c r="S889" s="153"/>
      <c r="T889" s="148" t="str">
        <f t="shared" si="586"/>
        <v>Pending</v>
      </c>
      <c r="U889" s="153"/>
      <c r="V889" s="153"/>
      <c r="W889" s="387">
        <f t="shared" si="587"/>
        <v>0</v>
      </c>
      <c r="X889" s="387">
        <f t="shared" si="588"/>
        <v>0</v>
      </c>
      <c r="Y889" s="301" t="str">
        <f t="shared" si="589"/>
        <v>X</v>
      </c>
      <c r="Z889" s="301" t="str">
        <f t="shared" si="590"/>
        <v>X</v>
      </c>
      <c r="AA889" s="323" t="e">
        <f>CONCATENATE("                x[team1,team2,sport,'",IF(OR(I889="x",I889=""),VLOOKUP('Schedule from TM'!J889,Tables!$P$3:$Q$33,2,FALSE),'Schedule from TM'!I889),",",J889,"','",IF(OR(F889="x",F889=""),VLOOKUP('Schedule from TM'!G889,Tables!$U$3:$V$14,2,FALSE),'Schedule from TM'!F889),",",TEXT(G889,"mm/dd/yyyy"),"','",TEXT(H889,"h:mm:ss AM/PM"),"'].ub=0.0      #",B889)</f>
        <v>#N/A</v>
      </c>
      <c r="AB889" s="301" t="str">
        <f t="shared" si="591"/>
        <v>,,,,1,</v>
      </c>
      <c r="AC889" s="153" t="str">
        <f t="shared" si="592"/>
        <v/>
      </c>
      <c r="AD889" s="301" t="str">
        <f t="shared" si="593"/>
        <v>,,,,1,</v>
      </c>
      <c r="AE889" s="153" t="str">
        <f t="shared" si="594"/>
        <v/>
      </c>
      <c r="AF889" s="383">
        <f t="shared" si="595"/>
        <v>0</v>
      </c>
      <c r="AG889" s="383">
        <f t="shared" si="596"/>
        <v>0</v>
      </c>
      <c r="AH889" s="383">
        <f t="shared" si="597"/>
        <v>0</v>
      </c>
      <c r="AI889" s="383">
        <f t="shared" si="598"/>
        <v>0</v>
      </c>
      <c r="AJ889" s="383">
        <f t="shared" si="599"/>
        <v>0</v>
      </c>
      <c r="AK889" s="383">
        <f t="shared" si="600"/>
        <v>0</v>
      </c>
      <c r="AM889" s="148" t="str">
        <f t="shared" si="601"/>
        <v>Not Schedulled</v>
      </c>
      <c r="AN889" s="148" t="str">
        <f t="shared" si="602"/>
        <v/>
      </c>
      <c r="AO889" s="156">
        <f t="shared" si="603"/>
        <v>0</v>
      </c>
      <c r="AP889" s="148" t="str">
        <f t="shared" si="604"/>
        <v>01/00/1900 00:00-&gt;</v>
      </c>
      <c r="AQ889" s="374">
        <f t="shared" si="605"/>
        <v>0</v>
      </c>
      <c r="AR889" s="148" t="str">
        <f t="shared" si="606"/>
        <v/>
      </c>
      <c r="AS889" s="148" t="str">
        <f t="shared" si="607"/>
        <v/>
      </c>
      <c r="AT889" s="157" t="str">
        <f t="shared" si="608"/>
        <v/>
      </c>
      <c r="AU889" s="157" t="str">
        <f t="shared" si="609"/>
        <v/>
      </c>
      <c r="AV889" s="157" t="str">
        <f t="shared" si="610"/>
        <v/>
      </c>
      <c r="AW889" s="157" t="str">
        <f t="shared" si="611"/>
        <v/>
      </c>
      <c r="AX889" s="376">
        <f t="shared" si="612"/>
        <v>0</v>
      </c>
      <c r="AY889" s="148" t="str">
        <f t="shared" si="613"/>
        <v>-&gt;</v>
      </c>
      <c r="AZ889" s="148" t="str">
        <f t="shared" si="614"/>
        <v>01/00/1900 00:00-&gt;</v>
      </c>
      <c r="BA889" s="148" t="str">
        <f t="shared" si="615"/>
        <v>01/00/1900 00:00-&gt;</v>
      </c>
      <c r="BB889" s="374">
        <f t="shared" si="616"/>
        <v>0</v>
      </c>
      <c r="BC889" s="374">
        <f t="shared" si="617"/>
        <v>0</v>
      </c>
      <c r="BD889" s="148" t="str">
        <f t="shared" si="618"/>
        <v>no conflict</v>
      </c>
      <c r="BF889" s="148" t="str">
        <f t="shared" si="619"/>
        <v>01/00/1900 00:00-&gt;</v>
      </c>
      <c r="BG889" s="148" t="str">
        <f t="shared" si="620"/>
        <v>01/00/1900 00:00-&gt;</v>
      </c>
      <c r="BH889" s="148" t="str">
        <f t="shared" si="621"/>
        <v>01/00/1900 00:00-&gt;</v>
      </c>
      <c r="BI889" s="148" t="str">
        <f t="shared" si="622"/>
        <v xml:space="preserve"> in  ()</v>
      </c>
      <c r="BJ889" s="148" t="str">
        <f t="shared" si="623"/>
        <v xml:space="preserve">--  vs. </v>
      </c>
      <c r="BK889" s="148" t="str">
        <f t="shared" si="624"/>
        <v/>
      </c>
      <c r="BL889" s="148">
        <f t="shared" si="625"/>
        <v>0</v>
      </c>
      <c r="BM889" s="148">
        <f t="shared" si="626"/>
        <v>0</v>
      </c>
      <c r="BN889" s="148">
        <f t="shared" si="627"/>
        <v>0</v>
      </c>
      <c r="BP889" s="148" t="str">
        <f t="shared" si="628"/>
        <v>no game</v>
      </c>
      <c r="BQ889" s="148" t="str">
        <f t="shared" si="629"/>
        <v xml:space="preserve">  in </v>
      </c>
    </row>
    <row r="890" spans="2:69" ht="15" customHeight="1" x14ac:dyDescent="0.2">
      <c r="B890" s="153"/>
      <c r="C890" s="153"/>
      <c r="D890" s="383"/>
      <c r="E890" s="383"/>
      <c r="F890" s="153"/>
      <c r="G890" s="154"/>
      <c r="H890" s="155"/>
      <c r="I890" s="314"/>
      <c r="J890" s="153"/>
      <c r="K890" s="153"/>
      <c r="L890" s="153"/>
      <c r="M890" s="153"/>
      <c r="N890" s="153"/>
      <c r="O890" s="153" t="str">
        <f>IF(L890&lt;&gt;"",IFERROR(VLOOKUP(B890&amp;L890,Pools!$A$2:$D$130,3,FALSE),""),"")</f>
        <v/>
      </c>
      <c r="P890" s="387"/>
      <c r="Q890" s="387"/>
      <c r="R890" s="306" t="str">
        <f t="shared" si="585"/>
        <v>-</v>
      </c>
      <c r="S890" s="153"/>
      <c r="T890" s="148" t="str">
        <f t="shared" si="586"/>
        <v>Pending</v>
      </c>
      <c r="U890" s="153"/>
      <c r="V890" s="153"/>
      <c r="W890" s="387">
        <f t="shared" si="587"/>
        <v>0</v>
      </c>
      <c r="X890" s="387">
        <f t="shared" si="588"/>
        <v>0</v>
      </c>
      <c r="Y890" s="301" t="str">
        <f t="shared" si="589"/>
        <v>X</v>
      </c>
      <c r="Z890" s="301" t="str">
        <f t="shared" si="590"/>
        <v>X</v>
      </c>
      <c r="AA890" s="323" t="e">
        <f>CONCATENATE("                x[team1,team2,sport,'",IF(OR(I890="x",I890=""),VLOOKUP('Schedule from TM'!J890,Tables!$P$3:$Q$33,2,FALSE),'Schedule from TM'!I890),",",J890,"','",IF(OR(F890="x",F890=""),VLOOKUP('Schedule from TM'!G890,Tables!$U$3:$V$14,2,FALSE),'Schedule from TM'!F890),",",TEXT(G890,"mm/dd/yyyy"),"','",TEXT(H890,"h:mm:ss AM/PM"),"'].ub=0.0      #",B890)</f>
        <v>#N/A</v>
      </c>
      <c r="AB890" s="301" t="str">
        <f t="shared" si="591"/>
        <v>,,,,1,</v>
      </c>
      <c r="AC890" s="153" t="str">
        <f t="shared" si="592"/>
        <v/>
      </c>
      <c r="AD890" s="301" t="str">
        <f t="shared" si="593"/>
        <v>,,,,1,</v>
      </c>
      <c r="AE890" s="153" t="str">
        <f t="shared" si="594"/>
        <v/>
      </c>
      <c r="AF890" s="383">
        <f t="shared" si="595"/>
        <v>0</v>
      </c>
      <c r="AG890" s="383">
        <f t="shared" si="596"/>
        <v>0</v>
      </c>
      <c r="AH890" s="383">
        <f t="shared" si="597"/>
        <v>0</v>
      </c>
      <c r="AI890" s="383">
        <f t="shared" si="598"/>
        <v>0</v>
      </c>
      <c r="AJ890" s="383">
        <f t="shared" si="599"/>
        <v>0</v>
      </c>
      <c r="AK890" s="383">
        <f t="shared" si="600"/>
        <v>0</v>
      </c>
      <c r="AM890" s="148" t="str">
        <f t="shared" si="601"/>
        <v>Not Schedulled</v>
      </c>
      <c r="AN890" s="148" t="str">
        <f t="shared" si="602"/>
        <v/>
      </c>
      <c r="AO890" s="156">
        <f t="shared" si="603"/>
        <v>0</v>
      </c>
      <c r="AP890" s="148" t="str">
        <f t="shared" si="604"/>
        <v>01/00/1900 00:00-&gt;</v>
      </c>
      <c r="AQ890" s="374">
        <f t="shared" si="605"/>
        <v>0</v>
      </c>
      <c r="AR890" s="148" t="str">
        <f t="shared" si="606"/>
        <v/>
      </c>
      <c r="AS890" s="148" t="str">
        <f t="shared" si="607"/>
        <v/>
      </c>
      <c r="AT890" s="157" t="str">
        <f t="shared" si="608"/>
        <v/>
      </c>
      <c r="AU890" s="157" t="str">
        <f t="shared" si="609"/>
        <v/>
      </c>
      <c r="AV890" s="157" t="str">
        <f t="shared" si="610"/>
        <v/>
      </c>
      <c r="AW890" s="157" t="str">
        <f t="shared" si="611"/>
        <v/>
      </c>
      <c r="AX890" s="376">
        <f t="shared" si="612"/>
        <v>0</v>
      </c>
      <c r="AY890" s="148" t="str">
        <f t="shared" si="613"/>
        <v>-&gt;</v>
      </c>
      <c r="AZ890" s="148" t="str">
        <f t="shared" si="614"/>
        <v>01/00/1900 00:00-&gt;</v>
      </c>
      <c r="BA890" s="148" t="str">
        <f t="shared" si="615"/>
        <v>01/00/1900 00:00-&gt;</v>
      </c>
      <c r="BB890" s="374">
        <f t="shared" si="616"/>
        <v>0</v>
      </c>
      <c r="BC890" s="374">
        <f t="shared" si="617"/>
        <v>0</v>
      </c>
      <c r="BD890" s="148" t="str">
        <f t="shared" si="618"/>
        <v>no conflict</v>
      </c>
      <c r="BF890" s="148" t="str">
        <f t="shared" si="619"/>
        <v>01/00/1900 00:00-&gt;</v>
      </c>
      <c r="BG890" s="148" t="str">
        <f t="shared" si="620"/>
        <v>01/00/1900 00:00-&gt;</v>
      </c>
      <c r="BH890" s="148" t="str">
        <f t="shared" si="621"/>
        <v>01/00/1900 00:00-&gt;</v>
      </c>
      <c r="BI890" s="148" t="str">
        <f t="shared" si="622"/>
        <v xml:space="preserve"> in  ()</v>
      </c>
      <c r="BJ890" s="148" t="str">
        <f t="shared" si="623"/>
        <v xml:space="preserve">--  vs. </v>
      </c>
      <c r="BK890" s="148" t="str">
        <f t="shared" si="624"/>
        <v/>
      </c>
      <c r="BL890" s="148">
        <f t="shared" si="625"/>
        <v>0</v>
      </c>
      <c r="BM890" s="148">
        <f t="shared" si="626"/>
        <v>0</v>
      </c>
      <c r="BN890" s="148">
        <f t="shared" si="627"/>
        <v>0</v>
      </c>
      <c r="BP890" s="148" t="str">
        <f t="shared" si="628"/>
        <v>no game</v>
      </c>
      <c r="BQ890" s="148" t="str">
        <f t="shared" si="629"/>
        <v xml:space="preserve">  in </v>
      </c>
    </row>
    <row r="891" spans="2:69" ht="15" customHeight="1" x14ac:dyDescent="0.2">
      <c r="B891" s="153"/>
      <c r="C891" s="153"/>
      <c r="D891" s="383"/>
      <c r="E891" s="383"/>
      <c r="F891" s="153"/>
      <c r="G891" s="154"/>
      <c r="H891" s="155"/>
      <c r="I891" s="314"/>
      <c r="J891" s="153"/>
      <c r="K891" s="153"/>
      <c r="L891" s="153"/>
      <c r="M891" s="153"/>
      <c r="N891" s="153"/>
      <c r="O891" s="153" t="str">
        <f>IF(L891&lt;&gt;"",IFERROR(VLOOKUP(B891&amp;L891,Pools!$A$2:$D$130,3,FALSE),""),"")</f>
        <v/>
      </c>
      <c r="P891" s="387"/>
      <c r="Q891" s="387"/>
      <c r="R891" s="306" t="str">
        <f t="shared" si="585"/>
        <v>-</v>
      </c>
      <c r="S891" s="153"/>
      <c r="T891" s="148" t="str">
        <f t="shared" si="586"/>
        <v>Pending</v>
      </c>
      <c r="U891" s="153"/>
      <c r="V891" s="153"/>
      <c r="W891" s="387">
        <f t="shared" si="587"/>
        <v>0</v>
      </c>
      <c r="X891" s="387">
        <f t="shared" si="588"/>
        <v>0</v>
      </c>
      <c r="Y891" s="301" t="str">
        <f t="shared" si="589"/>
        <v>X</v>
      </c>
      <c r="Z891" s="301" t="str">
        <f t="shared" si="590"/>
        <v>X</v>
      </c>
      <c r="AA891" s="323" t="e">
        <f>CONCATENATE("                x[team1,team2,sport,'",IF(OR(I891="x",I891=""),VLOOKUP('Schedule from TM'!J891,Tables!$P$3:$Q$33,2,FALSE),'Schedule from TM'!I891),",",J891,"','",IF(OR(F891="x",F891=""),VLOOKUP('Schedule from TM'!G891,Tables!$U$3:$V$14,2,FALSE),'Schedule from TM'!F891),",",TEXT(G891,"mm/dd/yyyy"),"','",TEXT(H891,"h:mm:ss AM/PM"),"'].ub=0.0      #",B891)</f>
        <v>#N/A</v>
      </c>
      <c r="AB891" s="301" t="str">
        <f t="shared" si="591"/>
        <v>,,,,1,</v>
      </c>
      <c r="AC891" s="153" t="str">
        <f t="shared" si="592"/>
        <v/>
      </c>
      <c r="AD891" s="301" t="str">
        <f t="shared" si="593"/>
        <v>,,,,1,</v>
      </c>
      <c r="AE891" s="153" t="str">
        <f t="shared" si="594"/>
        <v/>
      </c>
      <c r="AF891" s="383">
        <f t="shared" si="595"/>
        <v>0</v>
      </c>
      <c r="AG891" s="383">
        <f t="shared" si="596"/>
        <v>0</v>
      </c>
      <c r="AH891" s="383">
        <f t="shared" si="597"/>
        <v>0</v>
      </c>
      <c r="AI891" s="383">
        <f t="shared" si="598"/>
        <v>0</v>
      </c>
      <c r="AJ891" s="383">
        <f t="shared" si="599"/>
        <v>0</v>
      </c>
      <c r="AK891" s="383">
        <f t="shared" si="600"/>
        <v>0</v>
      </c>
      <c r="AM891" s="148" t="str">
        <f t="shared" si="601"/>
        <v>Not Schedulled</v>
      </c>
      <c r="AN891" s="148" t="str">
        <f t="shared" si="602"/>
        <v/>
      </c>
      <c r="AO891" s="156">
        <f t="shared" si="603"/>
        <v>0</v>
      </c>
      <c r="AP891" s="148" t="str">
        <f t="shared" si="604"/>
        <v>01/00/1900 00:00-&gt;</v>
      </c>
      <c r="AQ891" s="374">
        <f t="shared" si="605"/>
        <v>0</v>
      </c>
      <c r="AR891" s="148" t="str">
        <f t="shared" si="606"/>
        <v/>
      </c>
      <c r="AS891" s="148" t="str">
        <f t="shared" si="607"/>
        <v/>
      </c>
      <c r="AT891" s="157" t="str">
        <f t="shared" si="608"/>
        <v/>
      </c>
      <c r="AU891" s="157" t="str">
        <f t="shared" si="609"/>
        <v/>
      </c>
      <c r="AV891" s="157" t="str">
        <f t="shared" si="610"/>
        <v/>
      </c>
      <c r="AW891" s="157" t="str">
        <f t="shared" si="611"/>
        <v/>
      </c>
      <c r="AX891" s="376">
        <f t="shared" si="612"/>
        <v>0</v>
      </c>
      <c r="AY891" s="148" t="str">
        <f t="shared" si="613"/>
        <v>-&gt;</v>
      </c>
      <c r="AZ891" s="148" t="str">
        <f t="shared" si="614"/>
        <v>01/00/1900 00:00-&gt;</v>
      </c>
      <c r="BA891" s="148" t="str">
        <f t="shared" si="615"/>
        <v>01/00/1900 00:00-&gt;</v>
      </c>
      <c r="BB891" s="374">
        <f t="shared" si="616"/>
        <v>0</v>
      </c>
      <c r="BC891" s="374">
        <f t="shared" si="617"/>
        <v>0</v>
      </c>
      <c r="BD891" s="148" t="str">
        <f t="shared" si="618"/>
        <v>no conflict</v>
      </c>
      <c r="BF891" s="148" t="str">
        <f t="shared" si="619"/>
        <v>01/00/1900 00:00-&gt;</v>
      </c>
      <c r="BG891" s="148" t="str">
        <f t="shared" si="620"/>
        <v>01/00/1900 00:00-&gt;</v>
      </c>
      <c r="BH891" s="148" t="str">
        <f t="shared" si="621"/>
        <v>01/00/1900 00:00-&gt;</v>
      </c>
      <c r="BI891" s="148" t="str">
        <f t="shared" si="622"/>
        <v xml:space="preserve"> in  ()</v>
      </c>
      <c r="BJ891" s="148" t="str">
        <f t="shared" si="623"/>
        <v xml:space="preserve">--  vs. </v>
      </c>
      <c r="BK891" s="148" t="str">
        <f t="shared" si="624"/>
        <v/>
      </c>
      <c r="BL891" s="148">
        <f t="shared" si="625"/>
        <v>0</v>
      </c>
      <c r="BM891" s="148">
        <f t="shared" si="626"/>
        <v>0</v>
      </c>
      <c r="BN891" s="148">
        <f t="shared" si="627"/>
        <v>0</v>
      </c>
      <c r="BP891" s="148" t="str">
        <f t="shared" si="628"/>
        <v>no game</v>
      </c>
      <c r="BQ891" s="148" t="str">
        <f t="shared" si="629"/>
        <v xml:space="preserve">  in </v>
      </c>
    </row>
    <row r="892" spans="2:69" ht="15" customHeight="1" x14ac:dyDescent="0.2">
      <c r="B892" s="153"/>
      <c r="C892" s="153"/>
      <c r="D892" s="383"/>
      <c r="E892" s="383"/>
      <c r="F892" s="153"/>
      <c r="G892" s="154"/>
      <c r="H892" s="155"/>
      <c r="I892" s="314"/>
      <c r="J892" s="153"/>
      <c r="K892" s="153"/>
      <c r="L892" s="153"/>
      <c r="M892" s="153"/>
      <c r="N892" s="153"/>
      <c r="O892" s="153" t="str">
        <f>IF(L892&lt;&gt;"",IFERROR(VLOOKUP(B892&amp;L892,Pools!$A$2:$D$130,3,FALSE),""),"")</f>
        <v/>
      </c>
      <c r="P892" s="387"/>
      <c r="Q892" s="387"/>
      <c r="R892" s="306" t="str">
        <f t="shared" si="585"/>
        <v>-</v>
      </c>
      <c r="S892" s="153"/>
      <c r="T892" s="148" t="str">
        <f t="shared" si="586"/>
        <v>Pending</v>
      </c>
      <c r="U892" s="153"/>
      <c r="V892" s="153"/>
      <c r="W892" s="387">
        <f t="shared" si="587"/>
        <v>0</v>
      </c>
      <c r="X892" s="387">
        <f t="shared" si="588"/>
        <v>0</v>
      </c>
      <c r="Y892" s="301" t="str">
        <f t="shared" si="589"/>
        <v>X</v>
      </c>
      <c r="Z892" s="301" t="str">
        <f t="shared" si="590"/>
        <v>X</v>
      </c>
      <c r="AA892" s="323" t="e">
        <f>CONCATENATE("                x[team1,team2,sport,'",IF(OR(I892="x",I892=""),VLOOKUP('Schedule from TM'!J892,Tables!$P$3:$Q$33,2,FALSE),'Schedule from TM'!I892),",",J892,"','",IF(OR(F892="x",F892=""),VLOOKUP('Schedule from TM'!G892,Tables!$U$3:$V$14,2,FALSE),'Schedule from TM'!F892),",",TEXT(G892,"mm/dd/yyyy"),"','",TEXT(H892,"h:mm:ss AM/PM"),"'].ub=0.0      #",B892)</f>
        <v>#N/A</v>
      </c>
      <c r="AB892" s="301" t="str">
        <f t="shared" si="591"/>
        <v>,,,,1,</v>
      </c>
      <c r="AC892" s="153" t="str">
        <f t="shared" si="592"/>
        <v/>
      </c>
      <c r="AD892" s="301" t="str">
        <f t="shared" si="593"/>
        <v>,,,,1,</v>
      </c>
      <c r="AE892" s="153" t="str">
        <f t="shared" si="594"/>
        <v/>
      </c>
      <c r="AF892" s="383">
        <f t="shared" si="595"/>
        <v>0</v>
      </c>
      <c r="AG892" s="383">
        <f t="shared" si="596"/>
        <v>0</v>
      </c>
      <c r="AH892" s="383">
        <f t="shared" si="597"/>
        <v>0</v>
      </c>
      <c r="AI892" s="383">
        <f t="shared" si="598"/>
        <v>0</v>
      </c>
      <c r="AJ892" s="383">
        <f t="shared" si="599"/>
        <v>0</v>
      </c>
      <c r="AK892" s="383">
        <f t="shared" si="600"/>
        <v>0</v>
      </c>
      <c r="AM892" s="148" t="str">
        <f t="shared" si="601"/>
        <v>Not Schedulled</v>
      </c>
      <c r="AN892" s="148" t="str">
        <f t="shared" si="602"/>
        <v/>
      </c>
      <c r="AO892" s="156">
        <f t="shared" si="603"/>
        <v>0</v>
      </c>
      <c r="AP892" s="148" t="str">
        <f t="shared" si="604"/>
        <v>01/00/1900 00:00-&gt;</v>
      </c>
      <c r="AQ892" s="374">
        <f t="shared" si="605"/>
        <v>0</v>
      </c>
      <c r="AR892" s="148" t="str">
        <f t="shared" si="606"/>
        <v/>
      </c>
      <c r="AS892" s="148" t="str">
        <f t="shared" si="607"/>
        <v/>
      </c>
      <c r="AT892" s="157" t="str">
        <f t="shared" si="608"/>
        <v/>
      </c>
      <c r="AU892" s="157" t="str">
        <f t="shared" si="609"/>
        <v/>
      </c>
      <c r="AV892" s="157" t="str">
        <f t="shared" si="610"/>
        <v/>
      </c>
      <c r="AW892" s="157" t="str">
        <f t="shared" si="611"/>
        <v/>
      </c>
      <c r="AX892" s="376">
        <f t="shared" si="612"/>
        <v>0</v>
      </c>
      <c r="AY892" s="148" t="str">
        <f t="shared" si="613"/>
        <v>-&gt;</v>
      </c>
      <c r="AZ892" s="148" t="str">
        <f t="shared" si="614"/>
        <v>01/00/1900 00:00-&gt;</v>
      </c>
      <c r="BA892" s="148" t="str">
        <f t="shared" si="615"/>
        <v>01/00/1900 00:00-&gt;</v>
      </c>
      <c r="BB892" s="374">
        <f t="shared" si="616"/>
        <v>0</v>
      </c>
      <c r="BC892" s="374">
        <f t="shared" si="617"/>
        <v>0</v>
      </c>
      <c r="BD892" s="148" t="str">
        <f t="shared" si="618"/>
        <v>no conflict</v>
      </c>
      <c r="BF892" s="148" t="str">
        <f t="shared" si="619"/>
        <v>01/00/1900 00:00-&gt;</v>
      </c>
      <c r="BG892" s="148" t="str">
        <f t="shared" si="620"/>
        <v>01/00/1900 00:00-&gt;</v>
      </c>
      <c r="BH892" s="148" t="str">
        <f t="shared" si="621"/>
        <v>01/00/1900 00:00-&gt;</v>
      </c>
      <c r="BI892" s="148" t="str">
        <f t="shared" si="622"/>
        <v xml:space="preserve"> in  ()</v>
      </c>
      <c r="BJ892" s="148" t="str">
        <f t="shared" si="623"/>
        <v xml:space="preserve">--  vs. </v>
      </c>
      <c r="BK892" s="148" t="str">
        <f t="shared" si="624"/>
        <v/>
      </c>
      <c r="BL892" s="148">
        <f t="shared" si="625"/>
        <v>0</v>
      </c>
      <c r="BM892" s="148">
        <f t="shared" si="626"/>
        <v>0</v>
      </c>
      <c r="BN892" s="148">
        <f t="shared" si="627"/>
        <v>0</v>
      </c>
      <c r="BP892" s="148" t="str">
        <f t="shared" si="628"/>
        <v>no game</v>
      </c>
      <c r="BQ892" s="148" t="str">
        <f t="shared" si="629"/>
        <v xml:space="preserve">  in </v>
      </c>
    </row>
    <row r="893" spans="2:69" ht="15" customHeight="1" x14ac:dyDescent="0.2">
      <c r="B893" s="153"/>
      <c r="C893" s="153"/>
      <c r="D893" s="383"/>
      <c r="E893" s="383"/>
      <c r="F893" s="153"/>
      <c r="G893" s="154"/>
      <c r="H893" s="155"/>
      <c r="I893" s="314"/>
      <c r="J893" s="153"/>
      <c r="K893" s="153"/>
      <c r="L893" s="153"/>
      <c r="M893" s="153"/>
      <c r="N893" s="153"/>
      <c r="O893" s="153" t="str">
        <f>IF(L893&lt;&gt;"",IFERROR(VLOOKUP(B893&amp;L893,Pools!$A$2:$D$130,3,FALSE),""),"")</f>
        <v/>
      </c>
      <c r="P893" s="387"/>
      <c r="Q893" s="387"/>
      <c r="R893" s="306" t="str">
        <f t="shared" si="585"/>
        <v>-</v>
      </c>
      <c r="S893" s="153"/>
      <c r="T893" s="148" t="str">
        <f t="shared" si="586"/>
        <v>Pending</v>
      </c>
      <c r="U893" s="153"/>
      <c r="V893" s="153"/>
      <c r="W893" s="387">
        <f t="shared" si="587"/>
        <v>0</v>
      </c>
      <c r="X893" s="387">
        <f t="shared" si="588"/>
        <v>0</v>
      </c>
      <c r="Y893" s="301" t="str">
        <f t="shared" si="589"/>
        <v>X</v>
      </c>
      <c r="Z893" s="301" t="str">
        <f t="shared" si="590"/>
        <v>X</v>
      </c>
      <c r="AA893" s="323" t="e">
        <f>CONCATENATE("                x[team1,team2,sport,'",IF(OR(I893="x",I893=""),VLOOKUP('Schedule from TM'!J893,Tables!$P$3:$Q$33,2,FALSE),'Schedule from TM'!I893),",",J893,"','",IF(OR(F893="x",F893=""),VLOOKUP('Schedule from TM'!G893,Tables!$U$3:$V$14,2,FALSE),'Schedule from TM'!F893),",",TEXT(G893,"mm/dd/yyyy"),"','",TEXT(H893,"h:mm:ss AM/PM"),"'].ub=0.0      #",B893)</f>
        <v>#N/A</v>
      </c>
      <c r="AB893" s="301" t="str">
        <f t="shared" si="591"/>
        <v>,,,,1,</v>
      </c>
      <c r="AC893" s="153" t="str">
        <f t="shared" si="592"/>
        <v/>
      </c>
      <c r="AD893" s="301" t="str">
        <f t="shared" si="593"/>
        <v>,,,,1,</v>
      </c>
      <c r="AE893" s="153" t="str">
        <f t="shared" si="594"/>
        <v/>
      </c>
      <c r="AF893" s="383">
        <f t="shared" si="595"/>
        <v>0</v>
      </c>
      <c r="AG893" s="383">
        <f t="shared" si="596"/>
        <v>0</v>
      </c>
      <c r="AH893" s="383">
        <f t="shared" si="597"/>
        <v>0</v>
      </c>
      <c r="AI893" s="383">
        <f t="shared" si="598"/>
        <v>0</v>
      </c>
      <c r="AJ893" s="383">
        <f t="shared" si="599"/>
        <v>0</v>
      </c>
      <c r="AK893" s="383">
        <f t="shared" si="600"/>
        <v>0</v>
      </c>
      <c r="AM893" s="148" t="str">
        <f t="shared" si="601"/>
        <v>Not Schedulled</v>
      </c>
      <c r="AN893" s="148" t="str">
        <f t="shared" si="602"/>
        <v/>
      </c>
      <c r="AO893" s="156">
        <f t="shared" si="603"/>
        <v>0</v>
      </c>
      <c r="AP893" s="148" t="str">
        <f t="shared" si="604"/>
        <v>01/00/1900 00:00-&gt;</v>
      </c>
      <c r="AQ893" s="374">
        <f t="shared" si="605"/>
        <v>0</v>
      </c>
      <c r="AR893" s="148" t="str">
        <f t="shared" si="606"/>
        <v/>
      </c>
      <c r="AS893" s="148" t="str">
        <f t="shared" si="607"/>
        <v/>
      </c>
      <c r="AT893" s="157" t="str">
        <f t="shared" si="608"/>
        <v/>
      </c>
      <c r="AU893" s="157" t="str">
        <f t="shared" si="609"/>
        <v/>
      </c>
      <c r="AV893" s="157" t="str">
        <f t="shared" si="610"/>
        <v/>
      </c>
      <c r="AW893" s="157" t="str">
        <f t="shared" si="611"/>
        <v/>
      </c>
      <c r="AX893" s="376">
        <f t="shared" si="612"/>
        <v>0</v>
      </c>
      <c r="AY893" s="148" t="str">
        <f t="shared" si="613"/>
        <v>-&gt;</v>
      </c>
      <c r="AZ893" s="148" t="str">
        <f t="shared" si="614"/>
        <v>01/00/1900 00:00-&gt;</v>
      </c>
      <c r="BA893" s="148" t="str">
        <f t="shared" si="615"/>
        <v>01/00/1900 00:00-&gt;</v>
      </c>
      <c r="BB893" s="374">
        <f t="shared" si="616"/>
        <v>0</v>
      </c>
      <c r="BC893" s="374">
        <f t="shared" si="617"/>
        <v>0</v>
      </c>
      <c r="BD893" s="148" t="str">
        <f t="shared" si="618"/>
        <v>no conflict</v>
      </c>
      <c r="BF893" s="148" t="str">
        <f t="shared" si="619"/>
        <v>01/00/1900 00:00-&gt;</v>
      </c>
      <c r="BG893" s="148" t="str">
        <f t="shared" si="620"/>
        <v>01/00/1900 00:00-&gt;</v>
      </c>
      <c r="BH893" s="148" t="str">
        <f t="shared" si="621"/>
        <v>01/00/1900 00:00-&gt;</v>
      </c>
      <c r="BI893" s="148" t="str">
        <f t="shared" si="622"/>
        <v xml:space="preserve"> in  ()</v>
      </c>
      <c r="BJ893" s="148" t="str">
        <f t="shared" si="623"/>
        <v xml:space="preserve">--  vs. </v>
      </c>
      <c r="BK893" s="148" t="str">
        <f t="shared" si="624"/>
        <v/>
      </c>
      <c r="BL893" s="148">
        <f t="shared" si="625"/>
        <v>0</v>
      </c>
      <c r="BM893" s="148">
        <f t="shared" si="626"/>
        <v>0</v>
      </c>
      <c r="BN893" s="148">
        <f t="shared" si="627"/>
        <v>0</v>
      </c>
      <c r="BP893" s="148" t="str">
        <f t="shared" si="628"/>
        <v>no game</v>
      </c>
      <c r="BQ893" s="148" t="str">
        <f t="shared" si="629"/>
        <v xml:space="preserve">  in </v>
      </c>
    </row>
    <row r="894" spans="2:69" ht="15" customHeight="1" x14ac:dyDescent="0.2">
      <c r="B894" s="153"/>
      <c r="C894" s="153"/>
      <c r="D894" s="383"/>
      <c r="E894" s="383"/>
      <c r="F894" s="153"/>
      <c r="G894" s="154"/>
      <c r="H894" s="155"/>
      <c r="I894" s="314"/>
      <c r="J894" s="153"/>
      <c r="K894" s="153"/>
      <c r="L894" s="153"/>
      <c r="M894" s="153"/>
      <c r="N894" s="153"/>
      <c r="O894" s="153" t="str">
        <f>IF(L894&lt;&gt;"",IFERROR(VLOOKUP(B894&amp;L894,Pools!$A$2:$D$130,3,FALSE),""),"")</f>
        <v/>
      </c>
      <c r="P894" s="387"/>
      <c r="Q894" s="387"/>
      <c r="R894" s="306" t="str">
        <f t="shared" si="585"/>
        <v>-</v>
      </c>
      <c r="S894" s="153"/>
      <c r="T894" s="148" t="str">
        <f t="shared" si="586"/>
        <v>Pending</v>
      </c>
      <c r="U894" s="153"/>
      <c r="V894" s="153"/>
      <c r="W894" s="387">
        <f t="shared" si="587"/>
        <v>0</v>
      </c>
      <c r="X894" s="387">
        <f t="shared" si="588"/>
        <v>0</v>
      </c>
      <c r="Y894" s="301" t="str">
        <f t="shared" si="589"/>
        <v>X</v>
      </c>
      <c r="Z894" s="301" t="str">
        <f t="shared" si="590"/>
        <v>X</v>
      </c>
      <c r="AA894" s="323" t="e">
        <f>CONCATENATE("                x[team1,team2,sport,'",IF(OR(I894="x",I894=""),VLOOKUP('Schedule from TM'!J894,Tables!$P$3:$Q$33,2,FALSE),'Schedule from TM'!I894),",",J894,"','",IF(OR(F894="x",F894=""),VLOOKUP('Schedule from TM'!G894,Tables!$U$3:$V$14,2,FALSE),'Schedule from TM'!F894),",",TEXT(G894,"mm/dd/yyyy"),"','",TEXT(H894,"h:mm:ss AM/PM"),"'].ub=0.0      #",B894)</f>
        <v>#N/A</v>
      </c>
      <c r="AB894" s="301" t="str">
        <f t="shared" si="591"/>
        <v>,,,,1,</v>
      </c>
      <c r="AC894" s="153" t="str">
        <f t="shared" si="592"/>
        <v/>
      </c>
      <c r="AD894" s="301" t="str">
        <f t="shared" si="593"/>
        <v>,,,,1,</v>
      </c>
      <c r="AE894" s="153" t="str">
        <f t="shared" si="594"/>
        <v/>
      </c>
      <c r="AF894" s="383">
        <f t="shared" si="595"/>
        <v>0</v>
      </c>
      <c r="AG894" s="383">
        <f t="shared" si="596"/>
        <v>0</v>
      </c>
      <c r="AH894" s="383">
        <f t="shared" si="597"/>
        <v>0</v>
      </c>
      <c r="AI894" s="383">
        <f t="shared" si="598"/>
        <v>0</v>
      </c>
      <c r="AJ894" s="383">
        <f t="shared" si="599"/>
        <v>0</v>
      </c>
      <c r="AK894" s="383">
        <f t="shared" si="600"/>
        <v>0</v>
      </c>
      <c r="AM894" s="148" t="str">
        <f t="shared" si="601"/>
        <v>Not Schedulled</v>
      </c>
      <c r="AN894" s="148" t="str">
        <f t="shared" si="602"/>
        <v/>
      </c>
      <c r="AO894" s="156">
        <f t="shared" si="603"/>
        <v>0</v>
      </c>
      <c r="AP894" s="148" t="str">
        <f t="shared" si="604"/>
        <v>01/00/1900 00:00-&gt;</v>
      </c>
      <c r="AQ894" s="374">
        <f t="shared" si="605"/>
        <v>0</v>
      </c>
      <c r="AR894" s="148" t="str">
        <f t="shared" si="606"/>
        <v/>
      </c>
      <c r="AS894" s="148" t="str">
        <f t="shared" si="607"/>
        <v/>
      </c>
      <c r="AT894" s="157" t="str">
        <f t="shared" si="608"/>
        <v/>
      </c>
      <c r="AU894" s="157" t="str">
        <f t="shared" si="609"/>
        <v/>
      </c>
      <c r="AV894" s="157" t="str">
        <f t="shared" si="610"/>
        <v/>
      </c>
      <c r="AW894" s="157" t="str">
        <f t="shared" si="611"/>
        <v/>
      </c>
      <c r="AX894" s="376">
        <f t="shared" si="612"/>
        <v>0</v>
      </c>
      <c r="AY894" s="148" t="str">
        <f t="shared" si="613"/>
        <v>-&gt;</v>
      </c>
      <c r="AZ894" s="148" t="str">
        <f t="shared" si="614"/>
        <v>01/00/1900 00:00-&gt;</v>
      </c>
      <c r="BA894" s="148" t="str">
        <f t="shared" si="615"/>
        <v>01/00/1900 00:00-&gt;</v>
      </c>
      <c r="BB894" s="374">
        <f t="shared" si="616"/>
        <v>0</v>
      </c>
      <c r="BC894" s="374">
        <f t="shared" si="617"/>
        <v>0</v>
      </c>
      <c r="BD894" s="148" t="str">
        <f t="shared" si="618"/>
        <v>no conflict</v>
      </c>
      <c r="BF894" s="148" t="str">
        <f t="shared" si="619"/>
        <v>01/00/1900 00:00-&gt;</v>
      </c>
      <c r="BG894" s="148" t="str">
        <f t="shared" si="620"/>
        <v>01/00/1900 00:00-&gt;</v>
      </c>
      <c r="BH894" s="148" t="str">
        <f t="shared" si="621"/>
        <v>01/00/1900 00:00-&gt;</v>
      </c>
      <c r="BI894" s="148" t="str">
        <f t="shared" si="622"/>
        <v xml:space="preserve"> in  ()</v>
      </c>
      <c r="BJ894" s="148" t="str">
        <f t="shared" si="623"/>
        <v xml:space="preserve">--  vs. </v>
      </c>
      <c r="BK894" s="148" t="str">
        <f t="shared" si="624"/>
        <v/>
      </c>
      <c r="BL894" s="148">
        <f t="shared" si="625"/>
        <v>0</v>
      </c>
      <c r="BM894" s="148">
        <f t="shared" si="626"/>
        <v>0</v>
      </c>
      <c r="BN894" s="148">
        <f t="shared" si="627"/>
        <v>0</v>
      </c>
      <c r="BP894" s="148" t="str">
        <f t="shared" si="628"/>
        <v>no game</v>
      </c>
      <c r="BQ894" s="148" t="str">
        <f t="shared" si="629"/>
        <v xml:space="preserve">  in </v>
      </c>
    </row>
    <row r="895" spans="2:69" ht="15" customHeight="1" x14ac:dyDescent="0.2">
      <c r="B895" s="153"/>
      <c r="C895" s="153"/>
      <c r="D895" s="383"/>
      <c r="E895" s="383"/>
      <c r="F895" s="153"/>
      <c r="G895" s="154"/>
      <c r="H895" s="155"/>
      <c r="I895" s="314"/>
      <c r="J895" s="153"/>
      <c r="K895" s="153"/>
      <c r="L895" s="153"/>
      <c r="M895" s="153"/>
      <c r="N895" s="153"/>
      <c r="O895" s="153" t="str">
        <f>IF(L895&lt;&gt;"",IFERROR(VLOOKUP(B895&amp;L895,Pools!$A$2:$D$130,3,FALSE),""),"")</f>
        <v/>
      </c>
      <c r="P895" s="387"/>
      <c r="Q895" s="387"/>
      <c r="R895" s="306" t="str">
        <f t="shared" si="585"/>
        <v>-</v>
      </c>
      <c r="S895" s="153"/>
      <c r="T895" s="148" t="str">
        <f t="shared" si="586"/>
        <v>Pending</v>
      </c>
      <c r="U895" s="153"/>
      <c r="V895" s="153"/>
      <c r="W895" s="387">
        <f t="shared" si="587"/>
        <v>0</v>
      </c>
      <c r="X895" s="387">
        <f t="shared" si="588"/>
        <v>0</v>
      </c>
      <c r="Y895" s="301" t="str">
        <f t="shared" si="589"/>
        <v>X</v>
      </c>
      <c r="Z895" s="301" t="str">
        <f t="shared" si="590"/>
        <v>X</v>
      </c>
      <c r="AA895" s="323" t="e">
        <f>CONCATENATE("                x[team1,team2,sport,'",IF(OR(I895="x",I895=""),VLOOKUP('Schedule from TM'!J895,Tables!$P$3:$Q$33,2,FALSE),'Schedule from TM'!I895),",",J895,"','",IF(OR(F895="x",F895=""),VLOOKUP('Schedule from TM'!G895,Tables!$U$3:$V$14,2,FALSE),'Schedule from TM'!F895),",",TEXT(G895,"mm/dd/yyyy"),"','",TEXT(H895,"h:mm:ss AM/PM"),"'].ub=0.0      #",B895)</f>
        <v>#N/A</v>
      </c>
      <c r="AB895" s="301" t="str">
        <f t="shared" si="591"/>
        <v>,,,,1,</v>
      </c>
      <c r="AC895" s="153" t="str">
        <f t="shared" si="592"/>
        <v/>
      </c>
      <c r="AD895" s="301" t="str">
        <f t="shared" si="593"/>
        <v>,,,,1,</v>
      </c>
      <c r="AE895" s="153" t="str">
        <f t="shared" si="594"/>
        <v/>
      </c>
      <c r="AF895" s="383">
        <f t="shared" si="595"/>
        <v>0</v>
      </c>
      <c r="AG895" s="383">
        <f t="shared" si="596"/>
        <v>0</v>
      </c>
      <c r="AH895" s="383">
        <f t="shared" si="597"/>
        <v>0</v>
      </c>
      <c r="AI895" s="383">
        <f t="shared" si="598"/>
        <v>0</v>
      </c>
      <c r="AJ895" s="383">
        <f t="shared" si="599"/>
        <v>0</v>
      </c>
      <c r="AK895" s="383">
        <f t="shared" si="600"/>
        <v>0</v>
      </c>
      <c r="AM895" s="148" t="str">
        <f t="shared" si="601"/>
        <v>Not Schedulled</v>
      </c>
      <c r="AN895" s="148" t="str">
        <f t="shared" si="602"/>
        <v/>
      </c>
      <c r="AO895" s="156">
        <f t="shared" si="603"/>
        <v>0</v>
      </c>
      <c r="AP895" s="148" t="str">
        <f t="shared" si="604"/>
        <v>01/00/1900 00:00-&gt;</v>
      </c>
      <c r="AQ895" s="374">
        <f t="shared" si="605"/>
        <v>0</v>
      </c>
      <c r="AR895" s="148" t="str">
        <f t="shared" si="606"/>
        <v/>
      </c>
      <c r="AS895" s="148" t="str">
        <f t="shared" si="607"/>
        <v/>
      </c>
      <c r="AT895" s="157" t="str">
        <f t="shared" si="608"/>
        <v/>
      </c>
      <c r="AU895" s="157" t="str">
        <f t="shared" si="609"/>
        <v/>
      </c>
      <c r="AV895" s="157" t="str">
        <f t="shared" si="610"/>
        <v/>
      </c>
      <c r="AW895" s="157" t="str">
        <f t="shared" si="611"/>
        <v/>
      </c>
      <c r="AX895" s="376">
        <f t="shared" si="612"/>
        <v>0</v>
      </c>
      <c r="AY895" s="148" t="str">
        <f t="shared" si="613"/>
        <v>-&gt;</v>
      </c>
      <c r="AZ895" s="148" t="str">
        <f t="shared" si="614"/>
        <v>01/00/1900 00:00-&gt;</v>
      </c>
      <c r="BA895" s="148" t="str">
        <f t="shared" si="615"/>
        <v>01/00/1900 00:00-&gt;</v>
      </c>
      <c r="BB895" s="374">
        <f t="shared" si="616"/>
        <v>0</v>
      </c>
      <c r="BC895" s="374">
        <f t="shared" si="617"/>
        <v>0</v>
      </c>
      <c r="BD895" s="148" t="str">
        <f t="shared" si="618"/>
        <v>no conflict</v>
      </c>
      <c r="BF895" s="148" t="str">
        <f t="shared" si="619"/>
        <v>01/00/1900 00:00-&gt;</v>
      </c>
      <c r="BG895" s="148" t="str">
        <f t="shared" si="620"/>
        <v>01/00/1900 00:00-&gt;</v>
      </c>
      <c r="BH895" s="148" t="str">
        <f t="shared" si="621"/>
        <v>01/00/1900 00:00-&gt;</v>
      </c>
      <c r="BI895" s="148" t="str">
        <f t="shared" si="622"/>
        <v xml:space="preserve"> in  ()</v>
      </c>
      <c r="BJ895" s="148" t="str">
        <f t="shared" si="623"/>
        <v xml:space="preserve">--  vs. </v>
      </c>
      <c r="BK895" s="148" t="str">
        <f t="shared" si="624"/>
        <v/>
      </c>
      <c r="BL895" s="148">
        <f t="shared" si="625"/>
        <v>0</v>
      </c>
      <c r="BM895" s="148">
        <f t="shared" si="626"/>
        <v>0</v>
      </c>
      <c r="BN895" s="148">
        <f t="shared" si="627"/>
        <v>0</v>
      </c>
      <c r="BP895" s="148" t="str">
        <f t="shared" si="628"/>
        <v>no game</v>
      </c>
      <c r="BQ895" s="148" t="str">
        <f t="shared" si="629"/>
        <v xml:space="preserve">  in </v>
      </c>
    </row>
    <row r="896" spans="2:69" ht="15" customHeight="1" x14ac:dyDescent="0.2">
      <c r="B896" s="153"/>
      <c r="C896" s="153"/>
      <c r="D896" s="383"/>
      <c r="E896" s="383"/>
      <c r="F896" s="153"/>
      <c r="G896" s="154"/>
      <c r="H896" s="155"/>
      <c r="I896" s="314"/>
      <c r="J896" s="153"/>
      <c r="K896" s="153"/>
      <c r="L896" s="153"/>
      <c r="M896" s="153"/>
      <c r="N896" s="153"/>
      <c r="O896" s="153" t="str">
        <f>IF(L896&lt;&gt;"",IFERROR(VLOOKUP(B896&amp;L896,Pools!$A$2:$D$130,3,FALSE),""),"")</f>
        <v/>
      </c>
      <c r="P896" s="387"/>
      <c r="Q896" s="387"/>
      <c r="R896" s="306" t="str">
        <f t="shared" si="585"/>
        <v>-</v>
      </c>
      <c r="S896" s="153"/>
      <c r="T896" s="148" t="str">
        <f t="shared" si="586"/>
        <v>Pending</v>
      </c>
      <c r="U896" s="153"/>
      <c r="V896" s="153"/>
      <c r="W896" s="387">
        <f t="shared" si="587"/>
        <v>0</v>
      </c>
      <c r="X896" s="387">
        <f t="shared" si="588"/>
        <v>0</v>
      </c>
      <c r="Y896" s="301" t="str">
        <f t="shared" si="589"/>
        <v>X</v>
      </c>
      <c r="Z896" s="301" t="str">
        <f t="shared" si="590"/>
        <v>X</v>
      </c>
      <c r="AA896" s="323" t="e">
        <f>CONCATENATE("                x[team1,team2,sport,'",IF(OR(I896="x",I896=""),VLOOKUP('Schedule from TM'!J896,Tables!$P$3:$Q$33,2,FALSE),'Schedule from TM'!I896),",",J896,"','",IF(OR(F896="x",F896=""),VLOOKUP('Schedule from TM'!G896,Tables!$U$3:$V$14,2,FALSE),'Schedule from TM'!F896),",",TEXT(G896,"mm/dd/yyyy"),"','",TEXT(H896,"h:mm:ss AM/PM"),"'].ub=0.0      #",B896)</f>
        <v>#N/A</v>
      </c>
      <c r="AB896" s="301" t="str">
        <f t="shared" si="591"/>
        <v>,,,,1,</v>
      </c>
      <c r="AC896" s="153" t="str">
        <f t="shared" si="592"/>
        <v/>
      </c>
      <c r="AD896" s="301" t="str">
        <f t="shared" si="593"/>
        <v>,,,,1,</v>
      </c>
      <c r="AE896" s="153" t="str">
        <f t="shared" si="594"/>
        <v/>
      </c>
      <c r="AF896" s="383">
        <f t="shared" si="595"/>
        <v>0</v>
      </c>
      <c r="AG896" s="383">
        <f t="shared" si="596"/>
        <v>0</v>
      </c>
      <c r="AH896" s="383">
        <f t="shared" si="597"/>
        <v>0</v>
      </c>
      <c r="AI896" s="383">
        <f t="shared" si="598"/>
        <v>0</v>
      </c>
      <c r="AJ896" s="383">
        <f t="shared" si="599"/>
        <v>0</v>
      </c>
      <c r="AK896" s="383">
        <f t="shared" si="600"/>
        <v>0</v>
      </c>
      <c r="AM896" s="148" t="str">
        <f t="shared" si="601"/>
        <v>Not Schedulled</v>
      </c>
      <c r="AN896" s="148" t="str">
        <f t="shared" si="602"/>
        <v/>
      </c>
      <c r="AO896" s="156">
        <f t="shared" si="603"/>
        <v>0</v>
      </c>
      <c r="AP896" s="148" t="str">
        <f t="shared" si="604"/>
        <v>01/00/1900 00:00-&gt;</v>
      </c>
      <c r="AQ896" s="374">
        <f t="shared" si="605"/>
        <v>0</v>
      </c>
      <c r="AR896" s="148" t="str">
        <f t="shared" si="606"/>
        <v/>
      </c>
      <c r="AS896" s="148" t="str">
        <f t="shared" si="607"/>
        <v/>
      </c>
      <c r="AT896" s="157" t="str">
        <f t="shared" si="608"/>
        <v/>
      </c>
      <c r="AU896" s="157" t="str">
        <f t="shared" si="609"/>
        <v/>
      </c>
      <c r="AV896" s="157" t="str">
        <f t="shared" si="610"/>
        <v/>
      </c>
      <c r="AW896" s="157" t="str">
        <f t="shared" si="611"/>
        <v/>
      </c>
      <c r="AX896" s="376">
        <f t="shared" si="612"/>
        <v>0</v>
      </c>
      <c r="AY896" s="148" t="str">
        <f t="shared" si="613"/>
        <v>-&gt;</v>
      </c>
      <c r="AZ896" s="148" t="str">
        <f t="shared" si="614"/>
        <v>01/00/1900 00:00-&gt;</v>
      </c>
      <c r="BA896" s="148" t="str">
        <f t="shared" si="615"/>
        <v>01/00/1900 00:00-&gt;</v>
      </c>
      <c r="BB896" s="374">
        <f t="shared" si="616"/>
        <v>0</v>
      </c>
      <c r="BC896" s="374">
        <f t="shared" si="617"/>
        <v>0</v>
      </c>
      <c r="BD896" s="148" t="str">
        <f t="shared" si="618"/>
        <v>no conflict</v>
      </c>
      <c r="BF896" s="148" t="str">
        <f t="shared" si="619"/>
        <v>01/00/1900 00:00-&gt;</v>
      </c>
      <c r="BG896" s="148" t="str">
        <f t="shared" si="620"/>
        <v>01/00/1900 00:00-&gt;</v>
      </c>
      <c r="BH896" s="148" t="str">
        <f t="shared" si="621"/>
        <v>01/00/1900 00:00-&gt;</v>
      </c>
      <c r="BI896" s="148" t="str">
        <f t="shared" si="622"/>
        <v xml:space="preserve"> in  ()</v>
      </c>
      <c r="BJ896" s="148" t="str">
        <f t="shared" si="623"/>
        <v xml:space="preserve">--  vs. </v>
      </c>
      <c r="BK896" s="148" t="str">
        <f t="shared" si="624"/>
        <v/>
      </c>
      <c r="BL896" s="148">
        <f t="shared" si="625"/>
        <v>0</v>
      </c>
      <c r="BM896" s="148">
        <f t="shared" si="626"/>
        <v>0</v>
      </c>
      <c r="BN896" s="148">
        <f t="shared" si="627"/>
        <v>0</v>
      </c>
      <c r="BP896" s="148" t="str">
        <f t="shared" si="628"/>
        <v>no game</v>
      </c>
      <c r="BQ896" s="148" t="str">
        <f t="shared" si="629"/>
        <v xml:space="preserve">  in </v>
      </c>
    </row>
    <row r="897" spans="2:69" ht="15" customHeight="1" x14ac:dyDescent="0.2">
      <c r="B897" s="153"/>
      <c r="C897" s="153"/>
      <c r="D897" s="383"/>
      <c r="E897" s="383"/>
      <c r="F897" s="153"/>
      <c r="G897" s="154"/>
      <c r="H897" s="155"/>
      <c r="I897" s="314"/>
      <c r="J897" s="153"/>
      <c r="K897" s="153"/>
      <c r="L897" s="153"/>
      <c r="M897" s="153"/>
      <c r="N897" s="153"/>
      <c r="O897" s="153" t="str">
        <f>IF(L897&lt;&gt;"",IFERROR(VLOOKUP(B897&amp;L897,Pools!$A$2:$D$130,3,FALSE),""),"")</f>
        <v/>
      </c>
      <c r="P897" s="387"/>
      <c r="Q897" s="387"/>
      <c r="R897" s="306" t="str">
        <f t="shared" si="585"/>
        <v>-</v>
      </c>
      <c r="S897" s="153"/>
      <c r="T897" s="148" t="str">
        <f t="shared" si="586"/>
        <v>Pending</v>
      </c>
      <c r="U897" s="153"/>
      <c r="V897" s="153"/>
      <c r="W897" s="387">
        <f t="shared" si="587"/>
        <v>0</v>
      </c>
      <c r="X897" s="387">
        <f t="shared" si="588"/>
        <v>0</v>
      </c>
      <c r="Y897" s="301" t="str">
        <f t="shared" si="589"/>
        <v>X</v>
      </c>
      <c r="Z897" s="301" t="str">
        <f t="shared" si="590"/>
        <v>X</v>
      </c>
      <c r="AA897" s="323" t="e">
        <f>CONCATENATE("                x[team1,team2,sport,'",IF(OR(I897="x",I897=""),VLOOKUP('Schedule from TM'!J897,Tables!$P$3:$Q$33,2,FALSE),'Schedule from TM'!I897),",",J897,"','",IF(OR(F897="x",F897=""),VLOOKUP('Schedule from TM'!G897,Tables!$U$3:$V$14,2,FALSE),'Schedule from TM'!F897),",",TEXT(G897,"mm/dd/yyyy"),"','",TEXT(H897,"h:mm:ss AM/PM"),"'].ub=0.0      #",B897)</f>
        <v>#N/A</v>
      </c>
      <c r="AB897" s="301" t="str">
        <f t="shared" si="591"/>
        <v>,,,,1,</v>
      </c>
      <c r="AC897" s="153" t="str">
        <f t="shared" si="592"/>
        <v/>
      </c>
      <c r="AD897" s="301" t="str">
        <f t="shared" si="593"/>
        <v>,,,,1,</v>
      </c>
      <c r="AE897" s="153" t="str">
        <f t="shared" si="594"/>
        <v/>
      </c>
      <c r="AF897" s="383">
        <f t="shared" si="595"/>
        <v>0</v>
      </c>
      <c r="AG897" s="383">
        <f t="shared" si="596"/>
        <v>0</v>
      </c>
      <c r="AH897" s="383">
        <f t="shared" si="597"/>
        <v>0</v>
      </c>
      <c r="AI897" s="383">
        <f t="shared" si="598"/>
        <v>0</v>
      </c>
      <c r="AJ897" s="383">
        <f t="shared" si="599"/>
        <v>0</v>
      </c>
      <c r="AK897" s="383">
        <f t="shared" si="600"/>
        <v>0</v>
      </c>
      <c r="AM897" s="148" t="str">
        <f t="shared" si="601"/>
        <v>Not Schedulled</v>
      </c>
      <c r="AN897" s="148" t="str">
        <f t="shared" si="602"/>
        <v/>
      </c>
      <c r="AO897" s="156">
        <f t="shared" si="603"/>
        <v>0</v>
      </c>
      <c r="AP897" s="148" t="str">
        <f t="shared" si="604"/>
        <v>01/00/1900 00:00-&gt;</v>
      </c>
      <c r="AQ897" s="374">
        <f t="shared" si="605"/>
        <v>0</v>
      </c>
      <c r="AR897" s="148" t="str">
        <f t="shared" si="606"/>
        <v/>
      </c>
      <c r="AS897" s="148" t="str">
        <f t="shared" si="607"/>
        <v/>
      </c>
      <c r="AT897" s="157" t="str">
        <f t="shared" si="608"/>
        <v/>
      </c>
      <c r="AU897" s="157" t="str">
        <f t="shared" si="609"/>
        <v/>
      </c>
      <c r="AV897" s="157" t="str">
        <f t="shared" si="610"/>
        <v/>
      </c>
      <c r="AW897" s="157" t="str">
        <f t="shared" si="611"/>
        <v/>
      </c>
      <c r="AX897" s="376">
        <f t="shared" si="612"/>
        <v>0</v>
      </c>
      <c r="AY897" s="148" t="str">
        <f t="shared" si="613"/>
        <v>-&gt;</v>
      </c>
      <c r="AZ897" s="148" t="str">
        <f t="shared" si="614"/>
        <v>01/00/1900 00:00-&gt;</v>
      </c>
      <c r="BA897" s="148" t="str">
        <f t="shared" si="615"/>
        <v>01/00/1900 00:00-&gt;</v>
      </c>
      <c r="BB897" s="374">
        <f t="shared" si="616"/>
        <v>0</v>
      </c>
      <c r="BC897" s="374">
        <f t="shared" si="617"/>
        <v>0</v>
      </c>
      <c r="BD897" s="148" t="str">
        <f t="shared" si="618"/>
        <v>no conflict</v>
      </c>
      <c r="BF897" s="148" t="str">
        <f t="shared" si="619"/>
        <v>01/00/1900 00:00-&gt;</v>
      </c>
      <c r="BG897" s="148" t="str">
        <f t="shared" si="620"/>
        <v>01/00/1900 00:00-&gt;</v>
      </c>
      <c r="BH897" s="148" t="str">
        <f t="shared" si="621"/>
        <v>01/00/1900 00:00-&gt;</v>
      </c>
      <c r="BI897" s="148" t="str">
        <f t="shared" si="622"/>
        <v xml:space="preserve"> in  ()</v>
      </c>
      <c r="BJ897" s="148" t="str">
        <f t="shared" si="623"/>
        <v xml:space="preserve">--  vs. </v>
      </c>
      <c r="BK897" s="148" t="str">
        <f t="shared" si="624"/>
        <v/>
      </c>
      <c r="BL897" s="148">
        <f t="shared" si="625"/>
        <v>0</v>
      </c>
      <c r="BM897" s="148">
        <f t="shared" si="626"/>
        <v>0</v>
      </c>
      <c r="BN897" s="148">
        <f t="shared" si="627"/>
        <v>0</v>
      </c>
      <c r="BP897" s="148" t="str">
        <f t="shared" si="628"/>
        <v>no game</v>
      </c>
      <c r="BQ897" s="148" t="str">
        <f t="shared" si="629"/>
        <v xml:space="preserve">  in </v>
      </c>
    </row>
    <row r="898" spans="2:69" ht="15" customHeight="1" x14ac:dyDescent="0.2">
      <c r="B898" s="153"/>
      <c r="C898" s="153"/>
      <c r="D898" s="383"/>
      <c r="E898" s="383"/>
      <c r="F898" s="153"/>
      <c r="G898" s="154"/>
      <c r="H898" s="155"/>
      <c r="I898" s="314"/>
      <c r="J898" s="153"/>
      <c r="K898" s="153"/>
      <c r="L898" s="153"/>
      <c r="M898" s="153"/>
      <c r="N898" s="153"/>
      <c r="O898" s="153" t="str">
        <f>IF(L898&lt;&gt;"",IFERROR(VLOOKUP(B898&amp;L898,Pools!$A$2:$D$130,3,FALSE),""),"")</f>
        <v/>
      </c>
      <c r="P898" s="387"/>
      <c r="Q898" s="387"/>
      <c r="R898" s="306" t="str">
        <f t="shared" si="585"/>
        <v>-</v>
      </c>
      <c r="S898" s="153"/>
      <c r="T898" s="148" t="str">
        <f t="shared" si="586"/>
        <v>Pending</v>
      </c>
      <c r="U898" s="153"/>
      <c r="V898" s="153"/>
      <c r="W898" s="387">
        <f t="shared" si="587"/>
        <v>0</v>
      </c>
      <c r="X898" s="387">
        <f t="shared" si="588"/>
        <v>0</v>
      </c>
      <c r="Y898" s="301" t="str">
        <f t="shared" si="589"/>
        <v>X</v>
      </c>
      <c r="Z898" s="301" t="str">
        <f t="shared" si="590"/>
        <v>X</v>
      </c>
      <c r="AA898" s="323" t="e">
        <f>CONCATENATE("                x[team1,team2,sport,'",IF(OR(I898="x",I898=""),VLOOKUP('Schedule from TM'!J898,Tables!$P$3:$Q$33,2,FALSE),'Schedule from TM'!I898),",",J898,"','",IF(OR(F898="x",F898=""),VLOOKUP('Schedule from TM'!G898,Tables!$U$3:$V$14,2,FALSE),'Schedule from TM'!F898),",",TEXT(G898,"mm/dd/yyyy"),"','",TEXT(H898,"h:mm:ss AM/PM"),"'].ub=0.0      #",B898)</f>
        <v>#N/A</v>
      </c>
      <c r="AB898" s="301" t="str">
        <f t="shared" si="591"/>
        <v>,,,,1,</v>
      </c>
      <c r="AC898" s="153" t="str">
        <f t="shared" si="592"/>
        <v/>
      </c>
      <c r="AD898" s="301" t="str">
        <f t="shared" si="593"/>
        <v>,,,,1,</v>
      </c>
      <c r="AE898" s="153" t="str">
        <f t="shared" si="594"/>
        <v/>
      </c>
      <c r="AF898" s="383">
        <f t="shared" si="595"/>
        <v>0</v>
      </c>
      <c r="AG898" s="383">
        <f t="shared" si="596"/>
        <v>0</v>
      </c>
      <c r="AH898" s="383">
        <f t="shared" si="597"/>
        <v>0</v>
      </c>
      <c r="AI898" s="383">
        <f t="shared" si="598"/>
        <v>0</v>
      </c>
      <c r="AJ898" s="383">
        <f t="shared" si="599"/>
        <v>0</v>
      </c>
      <c r="AK898" s="383">
        <f t="shared" si="600"/>
        <v>0</v>
      </c>
      <c r="AM898" s="148" t="str">
        <f t="shared" si="601"/>
        <v>Not Schedulled</v>
      </c>
      <c r="AN898" s="148" t="str">
        <f t="shared" si="602"/>
        <v/>
      </c>
      <c r="AO898" s="156">
        <f t="shared" si="603"/>
        <v>0</v>
      </c>
      <c r="AP898" s="148" t="str">
        <f t="shared" si="604"/>
        <v>01/00/1900 00:00-&gt;</v>
      </c>
      <c r="AQ898" s="374">
        <f t="shared" si="605"/>
        <v>0</v>
      </c>
      <c r="AR898" s="148" t="str">
        <f t="shared" si="606"/>
        <v/>
      </c>
      <c r="AS898" s="148" t="str">
        <f t="shared" si="607"/>
        <v/>
      </c>
      <c r="AT898" s="157" t="str">
        <f t="shared" si="608"/>
        <v/>
      </c>
      <c r="AU898" s="157" t="str">
        <f t="shared" si="609"/>
        <v/>
      </c>
      <c r="AV898" s="157" t="str">
        <f t="shared" si="610"/>
        <v/>
      </c>
      <c r="AW898" s="157" t="str">
        <f t="shared" si="611"/>
        <v/>
      </c>
      <c r="AX898" s="376">
        <f t="shared" si="612"/>
        <v>0</v>
      </c>
      <c r="AY898" s="148" t="str">
        <f t="shared" si="613"/>
        <v>-&gt;</v>
      </c>
      <c r="AZ898" s="148" t="str">
        <f t="shared" si="614"/>
        <v>01/00/1900 00:00-&gt;</v>
      </c>
      <c r="BA898" s="148" t="str">
        <f t="shared" si="615"/>
        <v>01/00/1900 00:00-&gt;</v>
      </c>
      <c r="BB898" s="374">
        <f t="shared" si="616"/>
        <v>0</v>
      </c>
      <c r="BC898" s="374">
        <f t="shared" si="617"/>
        <v>0</v>
      </c>
      <c r="BD898" s="148" t="str">
        <f t="shared" si="618"/>
        <v>no conflict</v>
      </c>
      <c r="BF898" s="148" t="str">
        <f t="shared" si="619"/>
        <v>01/00/1900 00:00-&gt;</v>
      </c>
      <c r="BG898" s="148" t="str">
        <f t="shared" si="620"/>
        <v>01/00/1900 00:00-&gt;</v>
      </c>
      <c r="BH898" s="148" t="str">
        <f t="shared" si="621"/>
        <v>01/00/1900 00:00-&gt;</v>
      </c>
      <c r="BI898" s="148" t="str">
        <f t="shared" si="622"/>
        <v xml:space="preserve"> in  ()</v>
      </c>
      <c r="BJ898" s="148" t="str">
        <f t="shared" si="623"/>
        <v xml:space="preserve">--  vs. </v>
      </c>
      <c r="BK898" s="148" t="str">
        <f t="shared" si="624"/>
        <v/>
      </c>
      <c r="BL898" s="148">
        <f t="shared" si="625"/>
        <v>0</v>
      </c>
      <c r="BM898" s="148">
        <f t="shared" si="626"/>
        <v>0</v>
      </c>
      <c r="BN898" s="148">
        <f t="shared" si="627"/>
        <v>0</v>
      </c>
      <c r="BP898" s="148" t="str">
        <f t="shared" si="628"/>
        <v>no game</v>
      </c>
      <c r="BQ898" s="148" t="str">
        <f t="shared" si="629"/>
        <v xml:space="preserve">  in </v>
      </c>
    </row>
    <row r="899" spans="2:69" ht="15" customHeight="1" x14ac:dyDescent="0.2">
      <c r="B899" s="153"/>
      <c r="C899" s="153"/>
      <c r="D899" s="383"/>
      <c r="E899" s="383"/>
      <c r="F899" s="153"/>
      <c r="G899" s="154"/>
      <c r="H899" s="155"/>
      <c r="I899" s="314"/>
      <c r="J899" s="153"/>
      <c r="K899" s="153"/>
      <c r="L899" s="153"/>
      <c r="M899" s="153"/>
      <c r="N899" s="153"/>
      <c r="O899" s="153" t="str">
        <f>IF(L899&lt;&gt;"",IFERROR(VLOOKUP(B899&amp;L899,Pools!$A$2:$D$130,3,FALSE),""),"")</f>
        <v/>
      </c>
      <c r="P899" s="387"/>
      <c r="Q899" s="387"/>
      <c r="R899" s="306" t="str">
        <f t="shared" si="585"/>
        <v>-</v>
      </c>
      <c r="S899" s="153"/>
      <c r="T899" s="148" t="str">
        <f t="shared" si="586"/>
        <v>Pending</v>
      </c>
      <c r="U899" s="153"/>
      <c r="V899" s="153"/>
      <c r="W899" s="387">
        <f t="shared" si="587"/>
        <v>0</v>
      </c>
      <c r="X899" s="387">
        <f t="shared" si="588"/>
        <v>0</v>
      </c>
      <c r="Y899" s="301" t="str">
        <f t="shared" si="589"/>
        <v>X</v>
      </c>
      <c r="Z899" s="301" t="str">
        <f t="shared" si="590"/>
        <v>X</v>
      </c>
      <c r="AA899" s="323" t="e">
        <f>CONCATENATE("                x[team1,team2,sport,'",IF(OR(I899="x",I899=""),VLOOKUP('Schedule from TM'!J899,Tables!$P$3:$Q$33,2,FALSE),'Schedule from TM'!I899),",",J899,"','",IF(OR(F899="x",F899=""),VLOOKUP('Schedule from TM'!G899,Tables!$U$3:$V$14,2,FALSE),'Schedule from TM'!F899),",",TEXT(G899,"mm/dd/yyyy"),"','",TEXT(H899,"h:mm:ss AM/PM"),"'].ub=0.0      #",B899)</f>
        <v>#N/A</v>
      </c>
      <c r="AB899" s="301" t="str">
        <f t="shared" si="591"/>
        <v>,,,,1,</v>
      </c>
      <c r="AC899" s="153" t="str">
        <f t="shared" si="592"/>
        <v/>
      </c>
      <c r="AD899" s="301" t="str">
        <f t="shared" si="593"/>
        <v>,,,,1,</v>
      </c>
      <c r="AE899" s="153" t="str">
        <f t="shared" si="594"/>
        <v/>
      </c>
      <c r="AF899" s="383">
        <f t="shared" si="595"/>
        <v>0</v>
      </c>
      <c r="AG899" s="383">
        <f t="shared" si="596"/>
        <v>0</v>
      </c>
      <c r="AH899" s="383">
        <f t="shared" si="597"/>
        <v>0</v>
      </c>
      <c r="AI899" s="383">
        <f t="shared" si="598"/>
        <v>0</v>
      </c>
      <c r="AJ899" s="383">
        <f t="shared" si="599"/>
        <v>0</v>
      </c>
      <c r="AK899" s="383">
        <f t="shared" si="600"/>
        <v>0</v>
      </c>
      <c r="AM899" s="148" t="str">
        <f t="shared" si="601"/>
        <v>Not Schedulled</v>
      </c>
      <c r="AN899" s="148" t="str">
        <f t="shared" si="602"/>
        <v/>
      </c>
      <c r="AO899" s="156">
        <f t="shared" si="603"/>
        <v>0</v>
      </c>
      <c r="AP899" s="148" t="str">
        <f t="shared" si="604"/>
        <v>01/00/1900 00:00-&gt;</v>
      </c>
      <c r="AQ899" s="374">
        <f t="shared" si="605"/>
        <v>0</v>
      </c>
      <c r="AR899" s="148" t="str">
        <f t="shared" si="606"/>
        <v/>
      </c>
      <c r="AS899" s="148" t="str">
        <f t="shared" si="607"/>
        <v/>
      </c>
      <c r="AT899" s="157" t="str">
        <f t="shared" si="608"/>
        <v/>
      </c>
      <c r="AU899" s="157" t="str">
        <f t="shared" si="609"/>
        <v/>
      </c>
      <c r="AV899" s="157" t="str">
        <f t="shared" si="610"/>
        <v/>
      </c>
      <c r="AW899" s="157" t="str">
        <f t="shared" si="611"/>
        <v/>
      </c>
      <c r="AX899" s="376">
        <f t="shared" si="612"/>
        <v>0</v>
      </c>
      <c r="AY899" s="148" t="str">
        <f t="shared" si="613"/>
        <v>-&gt;</v>
      </c>
      <c r="AZ899" s="148" t="str">
        <f t="shared" si="614"/>
        <v>01/00/1900 00:00-&gt;</v>
      </c>
      <c r="BA899" s="148" t="str">
        <f t="shared" si="615"/>
        <v>01/00/1900 00:00-&gt;</v>
      </c>
      <c r="BB899" s="374">
        <f t="shared" si="616"/>
        <v>0</v>
      </c>
      <c r="BC899" s="374">
        <f t="shared" si="617"/>
        <v>0</v>
      </c>
      <c r="BD899" s="148" t="str">
        <f t="shared" si="618"/>
        <v>no conflict</v>
      </c>
      <c r="BF899" s="148" t="str">
        <f t="shared" si="619"/>
        <v>01/00/1900 00:00-&gt;</v>
      </c>
      <c r="BG899" s="148" t="str">
        <f t="shared" si="620"/>
        <v>01/00/1900 00:00-&gt;</v>
      </c>
      <c r="BH899" s="148" t="str">
        <f t="shared" si="621"/>
        <v>01/00/1900 00:00-&gt;</v>
      </c>
      <c r="BI899" s="148" t="str">
        <f t="shared" si="622"/>
        <v xml:space="preserve"> in  ()</v>
      </c>
      <c r="BJ899" s="148" t="str">
        <f t="shared" si="623"/>
        <v xml:space="preserve">--  vs. </v>
      </c>
      <c r="BK899" s="148" t="str">
        <f t="shared" si="624"/>
        <v/>
      </c>
      <c r="BL899" s="148">
        <f t="shared" si="625"/>
        <v>0</v>
      </c>
      <c r="BM899" s="148">
        <f t="shared" si="626"/>
        <v>0</v>
      </c>
      <c r="BN899" s="148">
        <f t="shared" si="627"/>
        <v>0</v>
      </c>
      <c r="BP899" s="148" t="str">
        <f t="shared" si="628"/>
        <v>no game</v>
      </c>
      <c r="BQ899" s="148" t="str">
        <f t="shared" si="629"/>
        <v xml:space="preserve">  in </v>
      </c>
    </row>
    <row r="900" spans="2:69" ht="15" customHeight="1" x14ac:dyDescent="0.2">
      <c r="B900" s="153"/>
      <c r="C900" s="153"/>
      <c r="D900" s="383"/>
      <c r="E900" s="383"/>
      <c r="F900" s="153"/>
      <c r="G900" s="154"/>
      <c r="H900" s="155"/>
      <c r="I900" s="314"/>
      <c r="J900" s="153"/>
      <c r="K900" s="153"/>
      <c r="L900" s="153"/>
      <c r="M900" s="153"/>
      <c r="N900" s="153"/>
      <c r="O900" s="153" t="str">
        <f>IF(L900&lt;&gt;"",IFERROR(VLOOKUP(B900&amp;L900,Pools!$A$2:$D$130,3,FALSE),""),"")</f>
        <v/>
      </c>
      <c r="P900" s="387"/>
      <c r="Q900" s="387"/>
      <c r="R900" s="306" t="str">
        <f t="shared" si="585"/>
        <v>-</v>
      </c>
      <c r="S900" s="153"/>
      <c r="T900" s="148" t="str">
        <f t="shared" si="586"/>
        <v>Pending</v>
      </c>
      <c r="U900" s="153"/>
      <c r="V900" s="153"/>
      <c r="W900" s="387">
        <f t="shared" si="587"/>
        <v>0</v>
      </c>
      <c r="X900" s="387">
        <f t="shared" si="588"/>
        <v>0</v>
      </c>
      <c r="Y900" s="301" t="str">
        <f t="shared" si="589"/>
        <v>X</v>
      </c>
      <c r="Z900" s="301" t="str">
        <f t="shared" si="590"/>
        <v>X</v>
      </c>
      <c r="AA900" s="323" t="e">
        <f>CONCATENATE("                x[team1,team2,sport,'",IF(OR(I900="x",I900=""),VLOOKUP('Schedule from TM'!J900,Tables!$P$3:$Q$33,2,FALSE),'Schedule from TM'!I900),",",J900,"','",IF(OR(F900="x",F900=""),VLOOKUP('Schedule from TM'!G900,Tables!$U$3:$V$14,2,FALSE),'Schedule from TM'!F900),",",TEXT(G900,"mm/dd/yyyy"),"','",TEXT(H900,"h:mm:ss AM/PM"),"'].ub=0.0      #",B900)</f>
        <v>#N/A</v>
      </c>
      <c r="AB900" s="301" t="str">
        <f t="shared" si="591"/>
        <v>,,,,1,</v>
      </c>
      <c r="AC900" s="153" t="str">
        <f t="shared" si="592"/>
        <v/>
      </c>
      <c r="AD900" s="301" t="str">
        <f t="shared" si="593"/>
        <v>,,,,1,</v>
      </c>
      <c r="AE900" s="153" t="str">
        <f t="shared" si="594"/>
        <v/>
      </c>
      <c r="AF900" s="383">
        <f t="shared" si="595"/>
        <v>0</v>
      </c>
      <c r="AG900" s="383">
        <f t="shared" si="596"/>
        <v>0</v>
      </c>
      <c r="AH900" s="383">
        <f t="shared" si="597"/>
        <v>0</v>
      </c>
      <c r="AI900" s="383">
        <f t="shared" si="598"/>
        <v>0</v>
      </c>
      <c r="AJ900" s="383">
        <f t="shared" si="599"/>
        <v>0</v>
      </c>
      <c r="AK900" s="383">
        <f t="shared" si="600"/>
        <v>0</v>
      </c>
      <c r="AM900" s="148" t="str">
        <f t="shared" si="601"/>
        <v>Not Schedulled</v>
      </c>
      <c r="AN900" s="148" t="str">
        <f t="shared" si="602"/>
        <v/>
      </c>
      <c r="AO900" s="156">
        <f t="shared" si="603"/>
        <v>0</v>
      </c>
      <c r="AP900" s="148" t="str">
        <f t="shared" si="604"/>
        <v>01/00/1900 00:00-&gt;</v>
      </c>
      <c r="AQ900" s="374">
        <f t="shared" si="605"/>
        <v>0</v>
      </c>
      <c r="AR900" s="148" t="str">
        <f t="shared" si="606"/>
        <v/>
      </c>
      <c r="AS900" s="148" t="str">
        <f t="shared" si="607"/>
        <v/>
      </c>
      <c r="AT900" s="157" t="str">
        <f t="shared" si="608"/>
        <v/>
      </c>
      <c r="AU900" s="157" t="str">
        <f t="shared" si="609"/>
        <v/>
      </c>
      <c r="AV900" s="157" t="str">
        <f t="shared" si="610"/>
        <v/>
      </c>
      <c r="AW900" s="157" t="str">
        <f t="shared" si="611"/>
        <v/>
      </c>
      <c r="AX900" s="376">
        <f t="shared" si="612"/>
        <v>0</v>
      </c>
      <c r="AY900" s="148" t="str">
        <f t="shared" si="613"/>
        <v>-&gt;</v>
      </c>
      <c r="AZ900" s="148" t="str">
        <f t="shared" si="614"/>
        <v>01/00/1900 00:00-&gt;</v>
      </c>
      <c r="BA900" s="148" t="str">
        <f t="shared" si="615"/>
        <v>01/00/1900 00:00-&gt;</v>
      </c>
      <c r="BB900" s="374">
        <f t="shared" si="616"/>
        <v>0</v>
      </c>
      <c r="BC900" s="374">
        <f t="shared" si="617"/>
        <v>0</v>
      </c>
      <c r="BD900" s="148" t="str">
        <f t="shared" si="618"/>
        <v>no conflict</v>
      </c>
      <c r="BF900" s="148" t="str">
        <f t="shared" si="619"/>
        <v>01/00/1900 00:00-&gt;</v>
      </c>
      <c r="BG900" s="148" t="str">
        <f t="shared" si="620"/>
        <v>01/00/1900 00:00-&gt;</v>
      </c>
      <c r="BH900" s="148" t="str">
        <f t="shared" si="621"/>
        <v>01/00/1900 00:00-&gt;</v>
      </c>
      <c r="BI900" s="148" t="str">
        <f t="shared" si="622"/>
        <v xml:space="preserve"> in  ()</v>
      </c>
      <c r="BJ900" s="148" t="str">
        <f t="shared" si="623"/>
        <v xml:space="preserve">--  vs. </v>
      </c>
      <c r="BK900" s="148" t="str">
        <f t="shared" si="624"/>
        <v/>
      </c>
      <c r="BL900" s="148">
        <f t="shared" si="625"/>
        <v>0</v>
      </c>
      <c r="BM900" s="148">
        <f t="shared" si="626"/>
        <v>0</v>
      </c>
      <c r="BN900" s="148">
        <f t="shared" si="627"/>
        <v>0</v>
      </c>
      <c r="BP900" s="148" t="str">
        <f t="shared" si="628"/>
        <v>no game</v>
      </c>
      <c r="BQ900" s="148" t="str">
        <f t="shared" si="629"/>
        <v xml:space="preserve">  in </v>
      </c>
    </row>
    <row r="901" spans="2:69" ht="15" customHeight="1" x14ac:dyDescent="0.2">
      <c r="B901" s="153"/>
      <c r="C901" s="153"/>
      <c r="D901" s="383"/>
      <c r="E901" s="383"/>
      <c r="F901" s="153"/>
      <c r="G901" s="154"/>
      <c r="H901" s="155"/>
      <c r="I901" s="314"/>
      <c r="J901" s="153"/>
      <c r="K901" s="153"/>
      <c r="L901" s="153"/>
      <c r="M901" s="153"/>
      <c r="N901" s="153"/>
      <c r="O901" s="153" t="str">
        <f>IF(L901&lt;&gt;"",IFERROR(VLOOKUP(B901&amp;L901,Pools!$A$2:$D$130,3,FALSE),""),"")</f>
        <v/>
      </c>
      <c r="P901" s="387"/>
      <c r="Q901" s="387"/>
      <c r="R901" s="306" t="str">
        <f t="shared" si="585"/>
        <v>-</v>
      </c>
      <c r="S901" s="153"/>
      <c r="T901" s="148" t="str">
        <f t="shared" si="586"/>
        <v>Pending</v>
      </c>
      <c r="U901" s="153"/>
      <c r="V901" s="153"/>
      <c r="W901" s="387">
        <f t="shared" si="587"/>
        <v>0</v>
      </c>
      <c r="X901" s="387">
        <f t="shared" si="588"/>
        <v>0</v>
      </c>
      <c r="Y901" s="301" t="str">
        <f t="shared" si="589"/>
        <v>X</v>
      </c>
      <c r="Z901" s="301" t="str">
        <f t="shared" si="590"/>
        <v>X</v>
      </c>
      <c r="AA901" s="323" t="e">
        <f>CONCATENATE("                x[team1,team2,sport,'",IF(OR(I901="x",I901=""),VLOOKUP('Schedule from TM'!J901,Tables!$P$3:$Q$33,2,FALSE),'Schedule from TM'!I901),",",J901,"','",IF(OR(F901="x",F901=""),VLOOKUP('Schedule from TM'!G901,Tables!$U$3:$V$14,2,FALSE),'Schedule from TM'!F901),",",TEXT(G901,"mm/dd/yyyy"),"','",TEXT(H901,"h:mm:ss AM/PM"),"'].ub=0.0      #",B901)</f>
        <v>#N/A</v>
      </c>
      <c r="AB901" s="301" t="str">
        <f t="shared" si="591"/>
        <v>,,,,1,</v>
      </c>
      <c r="AC901" s="153" t="str">
        <f t="shared" si="592"/>
        <v/>
      </c>
      <c r="AD901" s="301" t="str">
        <f t="shared" si="593"/>
        <v>,,,,1,</v>
      </c>
      <c r="AE901" s="153" t="str">
        <f t="shared" si="594"/>
        <v/>
      </c>
      <c r="AF901" s="383">
        <f t="shared" si="595"/>
        <v>0</v>
      </c>
      <c r="AG901" s="383">
        <f t="shared" si="596"/>
        <v>0</v>
      </c>
      <c r="AH901" s="383">
        <f t="shared" si="597"/>
        <v>0</v>
      </c>
      <c r="AI901" s="383">
        <f t="shared" si="598"/>
        <v>0</v>
      </c>
      <c r="AJ901" s="383">
        <f t="shared" si="599"/>
        <v>0</v>
      </c>
      <c r="AK901" s="383">
        <f t="shared" si="600"/>
        <v>0</v>
      </c>
      <c r="AM901" s="148" t="str">
        <f t="shared" si="601"/>
        <v>Not Schedulled</v>
      </c>
      <c r="AN901" s="148" t="str">
        <f t="shared" si="602"/>
        <v/>
      </c>
      <c r="AO901" s="156">
        <f t="shared" si="603"/>
        <v>0</v>
      </c>
      <c r="AP901" s="148" t="str">
        <f t="shared" si="604"/>
        <v>01/00/1900 00:00-&gt;</v>
      </c>
      <c r="AQ901" s="374">
        <f t="shared" si="605"/>
        <v>0</v>
      </c>
      <c r="AR901" s="148" t="str">
        <f t="shared" si="606"/>
        <v/>
      </c>
      <c r="AS901" s="148" t="str">
        <f t="shared" si="607"/>
        <v/>
      </c>
      <c r="AT901" s="157" t="str">
        <f t="shared" si="608"/>
        <v/>
      </c>
      <c r="AU901" s="157" t="str">
        <f t="shared" si="609"/>
        <v/>
      </c>
      <c r="AV901" s="157" t="str">
        <f t="shared" si="610"/>
        <v/>
      </c>
      <c r="AW901" s="157" t="str">
        <f t="shared" si="611"/>
        <v/>
      </c>
      <c r="AX901" s="376">
        <f t="shared" si="612"/>
        <v>0</v>
      </c>
      <c r="AY901" s="148" t="str">
        <f t="shared" si="613"/>
        <v>-&gt;</v>
      </c>
      <c r="AZ901" s="148" t="str">
        <f t="shared" si="614"/>
        <v>01/00/1900 00:00-&gt;</v>
      </c>
      <c r="BA901" s="148" t="str">
        <f t="shared" si="615"/>
        <v>01/00/1900 00:00-&gt;</v>
      </c>
      <c r="BB901" s="374">
        <f t="shared" si="616"/>
        <v>0</v>
      </c>
      <c r="BC901" s="374">
        <f t="shared" si="617"/>
        <v>0</v>
      </c>
      <c r="BD901" s="148" t="str">
        <f t="shared" si="618"/>
        <v>no conflict</v>
      </c>
      <c r="BF901" s="148" t="str">
        <f t="shared" si="619"/>
        <v>01/00/1900 00:00-&gt;</v>
      </c>
      <c r="BG901" s="148" t="str">
        <f t="shared" si="620"/>
        <v>01/00/1900 00:00-&gt;</v>
      </c>
      <c r="BH901" s="148" t="str">
        <f t="shared" si="621"/>
        <v>01/00/1900 00:00-&gt;</v>
      </c>
      <c r="BI901" s="148" t="str">
        <f t="shared" si="622"/>
        <v xml:space="preserve"> in  ()</v>
      </c>
      <c r="BJ901" s="148" t="str">
        <f t="shared" si="623"/>
        <v xml:space="preserve">--  vs. </v>
      </c>
      <c r="BK901" s="148" t="str">
        <f t="shared" si="624"/>
        <v/>
      </c>
      <c r="BL901" s="148">
        <f t="shared" si="625"/>
        <v>0</v>
      </c>
      <c r="BM901" s="148">
        <f t="shared" si="626"/>
        <v>0</v>
      </c>
      <c r="BN901" s="148">
        <f t="shared" si="627"/>
        <v>0</v>
      </c>
      <c r="BP901" s="148" t="str">
        <f t="shared" si="628"/>
        <v>no game</v>
      </c>
      <c r="BQ901" s="148" t="str">
        <f t="shared" si="629"/>
        <v xml:space="preserve">  in </v>
      </c>
    </row>
    <row r="902" spans="2:69" ht="15" customHeight="1" x14ac:dyDescent="0.2">
      <c r="B902" s="153"/>
      <c r="C902" s="153"/>
      <c r="D902" s="383"/>
      <c r="E902" s="383"/>
      <c r="F902" s="153"/>
      <c r="G902" s="154"/>
      <c r="H902" s="155"/>
      <c r="I902" s="314"/>
      <c r="J902" s="153"/>
      <c r="K902" s="153"/>
      <c r="L902" s="153"/>
      <c r="M902" s="153"/>
      <c r="N902" s="153"/>
      <c r="O902" s="153" t="str">
        <f>IF(L902&lt;&gt;"",IFERROR(VLOOKUP(B902&amp;L902,Pools!$A$2:$D$130,3,FALSE),""),"")</f>
        <v/>
      </c>
      <c r="P902" s="387"/>
      <c r="Q902" s="387"/>
      <c r="R902" s="306" t="str">
        <f t="shared" si="585"/>
        <v>-</v>
      </c>
      <c r="S902" s="153"/>
      <c r="T902" s="148" t="str">
        <f t="shared" si="586"/>
        <v>Pending</v>
      </c>
      <c r="U902" s="153"/>
      <c r="V902" s="153"/>
      <c r="W902" s="387">
        <f t="shared" si="587"/>
        <v>0</v>
      </c>
      <c r="X902" s="387">
        <f t="shared" si="588"/>
        <v>0</v>
      </c>
      <c r="Y902" s="301" t="str">
        <f t="shared" si="589"/>
        <v>X</v>
      </c>
      <c r="Z902" s="301" t="str">
        <f t="shared" si="590"/>
        <v>X</v>
      </c>
      <c r="AA902" s="323" t="e">
        <f>CONCATENATE("                x[team1,team2,sport,'",IF(OR(I902="x",I902=""),VLOOKUP('Schedule from TM'!J902,Tables!$P$3:$Q$33,2,FALSE),'Schedule from TM'!I902),",",J902,"','",IF(OR(F902="x",F902=""),VLOOKUP('Schedule from TM'!G902,Tables!$U$3:$V$14,2,FALSE),'Schedule from TM'!F902),",",TEXT(G902,"mm/dd/yyyy"),"','",TEXT(H902,"h:mm:ss AM/PM"),"'].ub=0.0      #",B902)</f>
        <v>#N/A</v>
      </c>
      <c r="AB902" s="301" t="str">
        <f t="shared" si="591"/>
        <v>,,,,1,</v>
      </c>
      <c r="AC902" s="153" t="str">
        <f t="shared" si="592"/>
        <v/>
      </c>
      <c r="AD902" s="301" t="str">
        <f t="shared" si="593"/>
        <v>,,,,1,</v>
      </c>
      <c r="AE902" s="153" t="str">
        <f t="shared" si="594"/>
        <v/>
      </c>
      <c r="AF902" s="383">
        <f t="shared" si="595"/>
        <v>0</v>
      </c>
      <c r="AG902" s="383">
        <f t="shared" si="596"/>
        <v>0</v>
      </c>
      <c r="AH902" s="383">
        <f t="shared" si="597"/>
        <v>0</v>
      </c>
      <c r="AI902" s="383">
        <f t="shared" si="598"/>
        <v>0</v>
      </c>
      <c r="AJ902" s="383">
        <f t="shared" si="599"/>
        <v>0</v>
      </c>
      <c r="AK902" s="383">
        <f t="shared" si="600"/>
        <v>0</v>
      </c>
      <c r="AM902" s="148" t="str">
        <f t="shared" si="601"/>
        <v>Not Schedulled</v>
      </c>
      <c r="AN902" s="148" t="str">
        <f t="shared" si="602"/>
        <v/>
      </c>
      <c r="AO902" s="156">
        <f t="shared" si="603"/>
        <v>0</v>
      </c>
      <c r="AP902" s="148" t="str">
        <f t="shared" si="604"/>
        <v>01/00/1900 00:00-&gt;</v>
      </c>
      <c r="AQ902" s="374">
        <f t="shared" si="605"/>
        <v>0</v>
      </c>
      <c r="AR902" s="148" t="str">
        <f t="shared" si="606"/>
        <v/>
      </c>
      <c r="AS902" s="148" t="str">
        <f t="shared" si="607"/>
        <v/>
      </c>
      <c r="AT902" s="157" t="str">
        <f t="shared" si="608"/>
        <v/>
      </c>
      <c r="AU902" s="157" t="str">
        <f t="shared" si="609"/>
        <v/>
      </c>
      <c r="AV902" s="157" t="str">
        <f t="shared" si="610"/>
        <v/>
      </c>
      <c r="AW902" s="157" t="str">
        <f t="shared" si="611"/>
        <v/>
      </c>
      <c r="AX902" s="376">
        <f t="shared" si="612"/>
        <v>0</v>
      </c>
      <c r="AY902" s="148" t="str">
        <f t="shared" si="613"/>
        <v>-&gt;</v>
      </c>
      <c r="AZ902" s="148" t="str">
        <f t="shared" si="614"/>
        <v>01/00/1900 00:00-&gt;</v>
      </c>
      <c r="BA902" s="148" t="str">
        <f t="shared" si="615"/>
        <v>01/00/1900 00:00-&gt;</v>
      </c>
      <c r="BB902" s="374">
        <f t="shared" si="616"/>
        <v>0</v>
      </c>
      <c r="BC902" s="374">
        <f t="shared" si="617"/>
        <v>0</v>
      </c>
      <c r="BD902" s="148" t="str">
        <f t="shared" si="618"/>
        <v>no conflict</v>
      </c>
      <c r="BF902" s="148" t="str">
        <f t="shared" si="619"/>
        <v>01/00/1900 00:00-&gt;</v>
      </c>
      <c r="BG902" s="148" t="str">
        <f t="shared" si="620"/>
        <v>01/00/1900 00:00-&gt;</v>
      </c>
      <c r="BH902" s="148" t="str">
        <f t="shared" si="621"/>
        <v>01/00/1900 00:00-&gt;</v>
      </c>
      <c r="BI902" s="148" t="str">
        <f t="shared" si="622"/>
        <v xml:space="preserve"> in  ()</v>
      </c>
      <c r="BJ902" s="148" t="str">
        <f t="shared" si="623"/>
        <v xml:space="preserve">--  vs. </v>
      </c>
      <c r="BK902" s="148" t="str">
        <f t="shared" si="624"/>
        <v/>
      </c>
      <c r="BL902" s="148">
        <f t="shared" si="625"/>
        <v>0</v>
      </c>
      <c r="BM902" s="148">
        <f t="shared" si="626"/>
        <v>0</v>
      </c>
      <c r="BN902" s="148">
        <f t="shared" si="627"/>
        <v>0</v>
      </c>
      <c r="BP902" s="148" t="str">
        <f t="shared" si="628"/>
        <v>no game</v>
      </c>
      <c r="BQ902" s="148" t="str">
        <f t="shared" si="629"/>
        <v xml:space="preserve">  in </v>
      </c>
    </row>
    <row r="903" spans="2:69" ht="15" customHeight="1" x14ac:dyDescent="0.2">
      <c r="B903" s="153"/>
      <c r="C903" s="153"/>
      <c r="D903" s="383"/>
      <c r="E903" s="383"/>
      <c r="F903" s="153"/>
      <c r="G903" s="154"/>
      <c r="H903" s="155"/>
      <c r="I903" s="314"/>
      <c r="J903" s="153"/>
      <c r="K903" s="153"/>
      <c r="L903" s="153"/>
      <c r="M903" s="153"/>
      <c r="N903" s="153"/>
      <c r="O903" s="153" t="str">
        <f>IF(L903&lt;&gt;"",IFERROR(VLOOKUP(B903&amp;L903,Pools!$A$2:$D$130,3,FALSE),""),"")</f>
        <v/>
      </c>
      <c r="P903" s="387"/>
      <c r="Q903" s="387"/>
      <c r="R903" s="306" t="str">
        <f t="shared" si="585"/>
        <v>-</v>
      </c>
      <c r="S903" s="153"/>
      <c r="T903" s="148" t="str">
        <f t="shared" si="586"/>
        <v>Pending</v>
      </c>
      <c r="U903" s="153"/>
      <c r="V903" s="153"/>
      <c r="W903" s="387">
        <f t="shared" si="587"/>
        <v>0</v>
      </c>
      <c r="X903" s="387">
        <f t="shared" si="588"/>
        <v>0</v>
      </c>
      <c r="Y903" s="301" t="str">
        <f t="shared" si="589"/>
        <v>X</v>
      </c>
      <c r="Z903" s="301" t="str">
        <f t="shared" si="590"/>
        <v>X</v>
      </c>
      <c r="AA903" s="323" t="e">
        <f>CONCATENATE("                x[team1,team2,sport,'",IF(OR(I903="x",I903=""),VLOOKUP('Schedule from TM'!J903,Tables!$P$3:$Q$33,2,FALSE),'Schedule from TM'!I903),",",J903,"','",IF(OR(F903="x",F903=""),VLOOKUP('Schedule from TM'!G903,Tables!$U$3:$V$14,2,FALSE),'Schedule from TM'!F903),",",TEXT(G903,"mm/dd/yyyy"),"','",TEXT(H903,"h:mm:ss AM/PM"),"'].ub=0.0      #",B903)</f>
        <v>#N/A</v>
      </c>
      <c r="AB903" s="301" t="str">
        <f t="shared" si="591"/>
        <v>,,,,1,</v>
      </c>
      <c r="AC903" s="153" t="str">
        <f t="shared" si="592"/>
        <v/>
      </c>
      <c r="AD903" s="301" t="str">
        <f t="shared" si="593"/>
        <v>,,,,1,</v>
      </c>
      <c r="AE903" s="153" t="str">
        <f t="shared" si="594"/>
        <v/>
      </c>
      <c r="AF903" s="383">
        <f t="shared" si="595"/>
        <v>0</v>
      </c>
      <c r="AG903" s="383">
        <f t="shared" si="596"/>
        <v>0</v>
      </c>
      <c r="AH903" s="383">
        <f t="shared" si="597"/>
        <v>0</v>
      </c>
      <c r="AI903" s="383">
        <f t="shared" si="598"/>
        <v>0</v>
      </c>
      <c r="AJ903" s="383">
        <f t="shared" si="599"/>
        <v>0</v>
      </c>
      <c r="AK903" s="383">
        <f t="shared" si="600"/>
        <v>0</v>
      </c>
      <c r="AM903" s="148" t="str">
        <f t="shared" si="601"/>
        <v>Not Schedulled</v>
      </c>
      <c r="AN903" s="148" t="str">
        <f t="shared" si="602"/>
        <v/>
      </c>
      <c r="AO903" s="156">
        <f t="shared" si="603"/>
        <v>0</v>
      </c>
      <c r="AP903" s="148" t="str">
        <f t="shared" si="604"/>
        <v>01/00/1900 00:00-&gt;</v>
      </c>
      <c r="AQ903" s="374">
        <f t="shared" si="605"/>
        <v>0</v>
      </c>
      <c r="AR903" s="148" t="str">
        <f t="shared" si="606"/>
        <v/>
      </c>
      <c r="AS903" s="148" t="str">
        <f t="shared" si="607"/>
        <v/>
      </c>
      <c r="AT903" s="157" t="str">
        <f t="shared" si="608"/>
        <v/>
      </c>
      <c r="AU903" s="157" t="str">
        <f t="shared" si="609"/>
        <v/>
      </c>
      <c r="AV903" s="157" t="str">
        <f t="shared" si="610"/>
        <v/>
      </c>
      <c r="AW903" s="157" t="str">
        <f t="shared" si="611"/>
        <v/>
      </c>
      <c r="AX903" s="376">
        <f t="shared" si="612"/>
        <v>0</v>
      </c>
      <c r="AY903" s="148" t="str">
        <f t="shared" si="613"/>
        <v>-&gt;</v>
      </c>
      <c r="AZ903" s="148" t="str">
        <f t="shared" si="614"/>
        <v>01/00/1900 00:00-&gt;</v>
      </c>
      <c r="BA903" s="148" t="str">
        <f t="shared" si="615"/>
        <v>01/00/1900 00:00-&gt;</v>
      </c>
      <c r="BB903" s="374">
        <f t="shared" si="616"/>
        <v>0</v>
      </c>
      <c r="BC903" s="374">
        <f t="shared" si="617"/>
        <v>0</v>
      </c>
      <c r="BD903" s="148" t="str">
        <f t="shared" si="618"/>
        <v>no conflict</v>
      </c>
      <c r="BF903" s="148" t="str">
        <f t="shared" si="619"/>
        <v>01/00/1900 00:00-&gt;</v>
      </c>
      <c r="BG903" s="148" t="str">
        <f t="shared" si="620"/>
        <v>01/00/1900 00:00-&gt;</v>
      </c>
      <c r="BH903" s="148" t="str">
        <f t="shared" si="621"/>
        <v>01/00/1900 00:00-&gt;</v>
      </c>
      <c r="BI903" s="148" t="str">
        <f t="shared" si="622"/>
        <v xml:space="preserve"> in  ()</v>
      </c>
      <c r="BJ903" s="148" t="str">
        <f t="shared" si="623"/>
        <v xml:space="preserve">--  vs. </v>
      </c>
      <c r="BK903" s="148" t="str">
        <f t="shared" si="624"/>
        <v/>
      </c>
      <c r="BL903" s="148">
        <f t="shared" si="625"/>
        <v>0</v>
      </c>
      <c r="BM903" s="148">
        <f t="shared" si="626"/>
        <v>0</v>
      </c>
      <c r="BN903" s="148">
        <f t="shared" si="627"/>
        <v>0</v>
      </c>
      <c r="BP903" s="148" t="str">
        <f t="shared" si="628"/>
        <v>no game</v>
      </c>
      <c r="BQ903" s="148" t="str">
        <f t="shared" si="629"/>
        <v xml:space="preserve">  in </v>
      </c>
    </row>
    <row r="904" spans="2:69" ht="15" customHeight="1" x14ac:dyDescent="0.2">
      <c r="B904" s="153"/>
      <c r="C904" s="153"/>
      <c r="D904" s="383"/>
      <c r="E904" s="383"/>
      <c r="F904" s="153"/>
      <c r="G904" s="154"/>
      <c r="H904" s="155"/>
      <c r="I904" s="314"/>
      <c r="J904" s="153"/>
      <c r="K904" s="153"/>
      <c r="L904" s="153"/>
      <c r="M904" s="153"/>
      <c r="N904" s="153"/>
      <c r="O904" s="153" t="str">
        <f>IF(L904&lt;&gt;"",IFERROR(VLOOKUP(B904&amp;L904,Pools!$A$2:$D$130,3,FALSE),""),"")</f>
        <v/>
      </c>
      <c r="P904" s="387"/>
      <c r="Q904" s="387"/>
      <c r="R904" s="306" t="str">
        <f t="shared" si="585"/>
        <v>-</v>
      </c>
      <c r="S904" s="153"/>
      <c r="T904" s="148" t="str">
        <f t="shared" si="586"/>
        <v>Pending</v>
      </c>
      <c r="U904" s="153"/>
      <c r="V904" s="153"/>
      <c r="W904" s="387">
        <f t="shared" si="587"/>
        <v>0</v>
      </c>
      <c r="X904" s="387">
        <f t="shared" si="588"/>
        <v>0</v>
      </c>
      <c r="Y904" s="301" t="str">
        <f t="shared" si="589"/>
        <v>X</v>
      </c>
      <c r="Z904" s="301" t="str">
        <f t="shared" si="590"/>
        <v>X</v>
      </c>
      <c r="AA904" s="323" t="e">
        <f>CONCATENATE("                x[team1,team2,sport,'",IF(OR(I904="x",I904=""),VLOOKUP('Schedule from TM'!J904,Tables!$P$3:$Q$33,2,FALSE),'Schedule from TM'!I904),",",J904,"','",IF(OR(F904="x",F904=""),VLOOKUP('Schedule from TM'!G904,Tables!$U$3:$V$14,2,FALSE),'Schedule from TM'!F904),",",TEXT(G904,"mm/dd/yyyy"),"','",TEXT(H904,"h:mm:ss AM/PM"),"'].ub=0.0      #",B904)</f>
        <v>#N/A</v>
      </c>
      <c r="AB904" s="301" t="str">
        <f t="shared" si="591"/>
        <v>,,,,1,</v>
      </c>
      <c r="AC904" s="153" t="str">
        <f t="shared" si="592"/>
        <v/>
      </c>
      <c r="AD904" s="301" t="str">
        <f t="shared" si="593"/>
        <v>,,,,1,</v>
      </c>
      <c r="AE904" s="153" t="str">
        <f t="shared" si="594"/>
        <v/>
      </c>
      <c r="AF904" s="383">
        <f t="shared" si="595"/>
        <v>0</v>
      </c>
      <c r="AG904" s="383">
        <f t="shared" si="596"/>
        <v>0</v>
      </c>
      <c r="AH904" s="383">
        <f t="shared" si="597"/>
        <v>0</v>
      </c>
      <c r="AI904" s="383">
        <f t="shared" si="598"/>
        <v>0</v>
      </c>
      <c r="AJ904" s="383">
        <f t="shared" si="599"/>
        <v>0</v>
      </c>
      <c r="AK904" s="383">
        <f t="shared" si="600"/>
        <v>0</v>
      </c>
      <c r="AM904" s="148" t="str">
        <f t="shared" si="601"/>
        <v>Not Schedulled</v>
      </c>
      <c r="AN904" s="148" t="str">
        <f t="shared" si="602"/>
        <v/>
      </c>
      <c r="AO904" s="156">
        <f t="shared" si="603"/>
        <v>0</v>
      </c>
      <c r="AP904" s="148" t="str">
        <f t="shared" si="604"/>
        <v>01/00/1900 00:00-&gt;</v>
      </c>
      <c r="AQ904" s="374">
        <f t="shared" si="605"/>
        <v>0</v>
      </c>
      <c r="AR904" s="148" t="str">
        <f t="shared" si="606"/>
        <v/>
      </c>
      <c r="AS904" s="148" t="str">
        <f t="shared" si="607"/>
        <v/>
      </c>
      <c r="AT904" s="157" t="str">
        <f t="shared" si="608"/>
        <v/>
      </c>
      <c r="AU904" s="157" t="str">
        <f t="shared" si="609"/>
        <v/>
      </c>
      <c r="AV904" s="157" t="str">
        <f t="shared" si="610"/>
        <v/>
      </c>
      <c r="AW904" s="157" t="str">
        <f t="shared" si="611"/>
        <v/>
      </c>
      <c r="AX904" s="376">
        <f t="shared" si="612"/>
        <v>0</v>
      </c>
      <c r="AY904" s="148" t="str">
        <f t="shared" si="613"/>
        <v>-&gt;</v>
      </c>
      <c r="AZ904" s="148" t="str">
        <f t="shared" si="614"/>
        <v>01/00/1900 00:00-&gt;</v>
      </c>
      <c r="BA904" s="148" t="str">
        <f t="shared" si="615"/>
        <v>01/00/1900 00:00-&gt;</v>
      </c>
      <c r="BB904" s="374">
        <f t="shared" si="616"/>
        <v>0</v>
      </c>
      <c r="BC904" s="374">
        <f t="shared" si="617"/>
        <v>0</v>
      </c>
      <c r="BD904" s="148" t="str">
        <f t="shared" si="618"/>
        <v>no conflict</v>
      </c>
      <c r="BF904" s="148" t="str">
        <f t="shared" si="619"/>
        <v>01/00/1900 00:00-&gt;</v>
      </c>
      <c r="BG904" s="148" t="str">
        <f t="shared" si="620"/>
        <v>01/00/1900 00:00-&gt;</v>
      </c>
      <c r="BH904" s="148" t="str">
        <f t="shared" si="621"/>
        <v>01/00/1900 00:00-&gt;</v>
      </c>
      <c r="BI904" s="148" t="str">
        <f t="shared" si="622"/>
        <v xml:space="preserve"> in  ()</v>
      </c>
      <c r="BJ904" s="148" t="str">
        <f t="shared" si="623"/>
        <v xml:space="preserve">--  vs. </v>
      </c>
      <c r="BK904" s="148" t="str">
        <f t="shared" si="624"/>
        <v/>
      </c>
      <c r="BL904" s="148">
        <f t="shared" si="625"/>
        <v>0</v>
      </c>
      <c r="BM904" s="148">
        <f t="shared" si="626"/>
        <v>0</v>
      </c>
      <c r="BN904" s="148">
        <f t="shared" si="627"/>
        <v>0</v>
      </c>
      <c r="BP904" s="148" t="str">
        <f t="shared" si="628"/>
        <v>no game</v>
      </c>
      <c r="BQ904" s="148" t="str">
        <f t="shared" si="629"/>
        <v xml:space="preserve">  in </v>
      </c>
    </row>
    <row r="905" spans="2:69" ht="15" customHeight="1" x14ac:dyDescent="0.2">
      <c r="B905" s="153"/>
      <c r="C905" s="153"/>
      <c r="D905" s="383"/>
      <c r="E905" s="383"/>
      <c r="F905" s="153"/>
      <c r="G905" s="154"/>
      <c r="H905" s="155"/>
      <c r="I905" s="314"/>
      <c r="J905" s="153"/>
      <c r="K905" s="153"/>
      <c r="L905" s="153"/>
      <c r="M905" s="153"/>
      <c r="N905" s="153"/>
      <c r="O905" s="153" t="str">
        <f>IF(L905&lt;&gt;"",IFERROR(VLOOKUP(B905&amp;L905,Pools!$A$2:$D$130,3,FALSE),""),"")</f>
        <v/>
      </c>
      <c r="P905" s="387"/>
      <c r="Q905" s="387"/>
      <c r="R905" s="306" t="str">
        <f t="shared" si="585"/>
        <v>-</v>
      </c>
      <c r="S905" s="153"/>
      <c r="T905" s="148" t="str">
        <f t="shared" si="586"/>
        <v>Pending</v>
      </c>
      <c r="U905" s="153"/>
      <c r="V905" s="153"/>
      <c r="W905" s="387">
        <f t="shared" si="587"/>
        <v>0</v>
      </c>
      <c r="X905" s="387">
        <f t="shared" si="588"/>
        <v>0</v>
      </c>
      <c r="Y905" s="301" t="str">
        <f t="shared" si="589"/>
        <v>X</v>
      </c>
      <c r="Z905" s="301" t="str">
        <f t="shared" si="590"/>
        <v>X</v>
      </c>
      <c r="AA905" s="323" t="e">
        <f>CONCATENATE("                x[team1,team2,sport,'",IF(OR(I905="x",I905=""),VLOOKUP('Schedule from TM'!J905,Tables!$P$3:$Q$33,2,FALSE),'Schedule from TM'!I905),",",J905,"','",IF(OR(F905="x",F905=""),VLOOKUP('Schedule from TM'!G905,Tables!$U$3:$V$14,2,FALSE),'Schedule from TM'!F905),",",TEXT(G905,"mm/dd/yyyy"),"','",TEXT(H905,"h:mm:ss AM/PM"),"'].ub=0.0      #",B905)</f>
        <v>#N/A</v>
      </c>
      <c r="AB905" s="301" t="str">
        <f t="shared" si="591"/>
        <v>,,,,1,</v>
      </c>
      <c r="AC905" s="153" t="str">
        <f t="shared" si="592"/>
        <v/>
      </c>
      <c r="AD905" s="301" t="str">
        <f t="shared" si="593"/>
        <v>,,,,1,</v>
      </c>
      <c r="AE905" s="153" t="str">
        <f t="shared" si="594"/>
        <v/>
      </c>
      <c r="AF905" s="383">
        <f t="shared" si="595"/>
        <v>0</v>
      </c>
      <c r="AG905" s="383">
        <f t="shared" si="596"/>
        <v>0</v>
      </c>
      <c r="AH905" s="383">
        <f t="shared" si="597"/>
        <v>0</v>
      </c>
      <c r="AI905" s="383">
        <f t="shared" si="598"/>
        <v>0</v>
      </c>
      <c r="AJ905" s="383">
        <f t="shared" si="599"/>
        <v>0</v>
      </c>
      <c r="AK905" s="383">
        <f t="shared" si="600"/>
        <v>0</v>
      </c>
      <c r="AM905" s="148" t="str">
        <f t="shared" si="601"/>
        <v>Not Schedulled</v>
      </c>
      <c r="AN905" s="148" t="str">
        <f t="shared" si="602"/>
        <v/>
      </c>
      <c r="AO905" s="156">
        <f t="shared" si="603"/>
        <v>0</v>
      </c>
      <c r="AP905" s="148" t="str">
        <f t="shared" si="604"/>
        <v>01/00/1900 00:00-&gt;</v>
      </c>
      <c r="AQ905" s="374">
        <f t="shared" si="605"/>
        <v>0</v>
      </c>
      <c r="AR905" s="148" t="str">
        <f t="shared" si="606"/>
        <v/>
      </c>
      <c r="AS905" s="148" t="str">
        <f t="shared" si="607"/>
        <v/>
      </c>
      <c r="AT905" s="157" t="str">
        <f t="shared" si="608"/>
        <v/>
      </c>
      <c r="AU905" s="157" t="str">
        <f t="shared" si="609"/>
        <v/>
      </c>
      <c r="AV905" s="157" t="str">
        <f t="shared" si="610"/>
        <v/>
      </c>
      <c r="AW905" s="157" t="str">
        <f t="shared" si="611"/>
        <v/>
      </c>
      <c r="AX905" s="376">
        <f t="shared" si="612"/>
        <v>0</v>
      </c>
      <c r="AY905" s="148" t="str">
        <f t="shared" si="613"/>
        <v>-&gt;</v>
      </c>
      <c r="AZ905" s="148" t="str">
        <f t="shared" si="614"/>
        <v>01/00/1900 00:00-&gt;</v>
      </c>
      <c r="BA905" s="148" t="str">
        <f t="shared" si="615"/>
        <v>01/00/1900 00:00-&gt;</v>
      </c>
      <c r="BB905" s="374">
        <f t="shared" si="616"/>
        <v>0</v>
      </c>
      <c r="BC905" s="374">
        <f t="shared" si="617"/>
        <v>0</v>
      </c>
      <c r="BD905" s="148" t="str">
        <f t="shared" si="618"/>
        <v>no conflict</v>
      </c>
      <c r="BF905" s="148" t="str">
        <f t="shared" si="619"/>
        <v>01/00/1900 00:00-&gt;</v>
      </c>
      <c r="BG905" s="148" t="str">
        <f t="shared" si="620"/>
        <v>01/00/1900 00:00-&gt;</v>
      </c>
      <c r="BH905" s="148" t="str">
        <f t="shared" si="621"/>
        <v>01/00/1900 00:00-&gt;</v>
      </c>
      <c r="BI905" s="148" t="str">
        <f t="shared" si="622"/>
        <v xml:space="preserve"> in  ()</v>
      </c>
      <c r="BJ905" s="148" t="str">
        <f t="shared" si="623"/>
        <v xml:space="preserve">--  vs. </v>
      </c>
      <c r="BK905" s="148" t="str">
        <f t="shared" si="624"/>
        <v/>
      </c>
      <c r="BL905" s="148">
        <f t="shared" si="625"/>
        <v>0</v>
      </c>
      <c r="BM905" s="148">
        <f t="shared" si="626"/>
        <v>0</v>
      </c>
      <c r="BN905" s="148">
        <f t="shared" si="627"/>
        <v>0</v>
      </c>
      <c r="BP905" s="148" t="str">
        <f t="shared" si="628"/>
        <v>no game</v>
      </c>
      <c r="BQ905" s="148" t="str">
        <f t="shared" si="629"/>
        <v xml:space="preserve">  in </v>
      </c>
    </row>
    <row r="906" spans="2:69" ht="15" customHeight="1" x14ac:dyDescent="0.2">
      <c r="B906" s="153"/>
      <c r="C906" s="153"/>
      <c r="D906" s="383"/>
      <c r="E906" s="383"/>
      <c r="F906" s="153"/>
      <c r="G906" s="154"/>
      <c r="H906" s="155"/>
      <c r="I906" s="314"/>
      <c r="J906" s="153"/>
      <c r="K906" s="153"/>
      <c r="L906" s="153"/>
      <c r="M906" s="153"/>
      <c r="N906" s="153"/>
      <c r="O906" s="153" t="str">
        <f>IF(L906&lt;&gt;"",IFERROR(VLOOKUP(B906&amp;L906,Pools!$A$2:$D$130,3,FALSE),""),"")</f>
        <v/>
      </c>
      <c r="P906" s="387"/>
      <c r="Q906" s="387"/>
      <c r="R906" s="306" t="str">
        <f t="shared" si="585"/>
        <v>-</v>
      </c>
      <c r="S906" s="153"/>
      <c r="T906" s="148" t="str">
        <f t="shared" si="586"/>
        <v>Pending</v>
      </c>
      <c r="U906" s="153"/>
      <c r="V906" s="153"/>
      <c r="W906" s="387">
        <f t="shared" si="587"/>
        <v>0</v>
      </c>
      <c r="X906" s="387">
        <f t="shared" si="588"/>
        <v>0</v>
      </c>
      <c r="Y906" s="301" t="str">
        <f t="shared" si="589"/>
        <v>X</v>
      </c>
      <c r="Z906" s="301" t="str">
        <f t="shared" si="590"/>
        <v>X</v>
      </c>
      <c r="AA906" s="323" t="e">
        <f>CONCATENATE("                x[team1,team2,sport,'",IF(OR(I906="x",I906=""),VLOOKUP('Schedule from TM'!J906,Tables!$P$3:$Q$33,2,FALSE),'Schedule from TM'!I906),",",J906,"','",IF(OR(F906="x",F906=""),VLOOKUP('Schedule from TM'!G906,Tables!$U$3:$V$14,2,FALSE),'Schedule from TM'!F906),",",TEXT(G906,"mm/dd/yyyy"),"','",TEXT(H906,"h:mm:ss AM/PM"),"'].ub=0.0      #",B906)</f>
        <v>#N/A</v>
      </c>
      <c r="AB906" s="301" t="str">
        <f t="shared" si="591"/>
        <v>,,,,1,</v>
      </c>
      <c r="AC906" s="153" t="str">
        <f t="shared" si="592"/>
        <v/>
      </c>
      <c r="AD906" s="301" t="str">
        <f t="shared" si="593"/>
        <v>,,,,1,</v>
      </c>
      <c r="AE906" s="153" t="str">
        <f t="shared" si="594"/>
        <v/>
      </c>
      <c r="AF906" s="383">
        <f t="shared" si="595"/>
        <v>0</v>
      </c>
      <c r="AG906" s="383">
        <f t="shared" si="596"/>
        <v>0</v>
      </c>
      <c r="AH906" s="383">
        <f t="shared" si="597"/>
        <v>0</v>
      </c>
      <c r="AI906" s="383">
        <f t="shared" si="598"/>
        <v>0</v>
      </c>
      <c r="AJ906" s="383">
        <f t="shared" si="599"/>
        <v>0</v>
      </c>
      <c r="AK906" s="383">
        <f t="shared" si="600"/>
        <v>0</v>
      </c>
      <c r="AM906" s="148" t="str">
        <f t="shared" si="601"/>
        <v>Not Schedulled</v>
      </c>
      <c r="AN906" s="148" t="str">
        <f t="shared" si="602"/>
        <v/>
      </c>
      <c r="AO906" s="156">
        <f t="shared" si="603"/>
        <v>0</v>
      </c>
      <c r="AP906" s="148" t="str">
        <f t="shared" si="604"/>
        <v>01/00/1900 00:00-&gt;</v>
      </c>
      <c r="AQ906" s="374">
        <f t="shared" si="605"/>
        <v>0</v>
      </c>
      <c r="AR906" s="148" t="str">
        <f t="shared" si="606"/>
        <v/>
      </c>
      <c r="AS906" s="148" t="str">
        <f t="shared" si="607"/>
        <v/>
      </c>
      <c r="AT906" s="157" t="str">
        <f t="shared" si="608"/>
        <v/>
      </c>
      <c r="AU906" s="157" t="str">
        <f t="shared" si="609"/>
        <v/>
      </c>
      <c r="AV906" s="157" t="str">
        <f t="shared" si="610"/>
        <v/>
      </c>
      <c r="AW906" s="157" t="str">
        <f t="shared" si="611"/>
        <v/>
      </c>
      <c r="AX906" s="376">
        <f t="shared" si="612"/>
        <v>0</v>
      </c>
      <c r="AY906" s="148" t="str">
        <f t="shared" si="613"/>
        <v>-&gt;</v>
      </c>
      <c r="AZ906" s="148" t="str">
        <f t="shared" si="614"/>
        <v>01/00/1900 00:00-&gt;</v>
      </c>
      <c r="BA906" s="148" t="str">
        <f t="shared" si="615"/>
        <v>01/00/1900 00:00-&gt;</v>
      </c>
      <c r="BB906" s="374">
        <f t="shared" si="616"/>
        <v>0</v>
      </c>
      <c r="BC906" s="374">
        <f t="shared" si="617"/>
        <v>0</v>
      </c>
      <c r="BD906" s="148" t="str">
        <f t="shared" si="618"/>
        <v>no conflict</v>
      </c>
      <c r="BF906" s="148" t="str">
        <f t="shared" si="619"/>
        <v>01/00/1900 00:00-&gt;</v>
      </c>
      <c r="BG906" s="148" t="str">
        <f t="shared" si="620"/>
        <v>01/00/1900 00:00-&gt;</v>
      </c>
      <c r="BH906" s="148" t="str">
        <f t="shared" si="621"/>
        <v>01/00/1900 00:00-&gt;</v>
      </c>
      <c r="BI906" s="148" t="str">
        <f t="shared" si="622"/>
        <v xml:space="preserve"> in  ()</v>
      </c>
      <c r="BJ906" s="148" t="str">
        <f t="shared" si="623"/>
        <v xml:space="preserve">--  vs. </v>
      </c>
      <c r="BK906" s="148" t="str">
        <f t="shared" si="624"/>
        <v/>
      </c>
      <c r="BL906" s="148">
        <f t="shared" si="625"/>
        <v>0</v>
      </c>
      <c r="BM906" s="148">
        <f t="shared" si="626"/>
        <v>0</v>
      </c>
      <c r="BN906" s="148">
        <f t="shared" si="627"/>
        <v>0</v>
      </c>
      <c r="BP906" s="148" t="str">
        <f t="shared" si="628"/>
        <v>no game</v>
      </c>
      <c r="BQ906" s="148" t="str">
        <f t="shared" si="629"/>
        <v xml:space="preserve">  in </v>
      </c>
    </row>
    <row r="907" spans="2:69" ht="15" customHeight="1" x14ac:dyDescent="0.2">
      <c r="B907" s="153"/>
      <c r="C907" s="153"/>
      <c r="D907" s="383"/>
      <c r="E907" s="383"/>
      <c r="F907" s="153"/>
      <c r="G907" s="154"/>
      <c r="H907" s="155"/>
      <c r="I907" s="314"/>
      <c r="J907" s="153"/>
      <c r="K907" s="153"/>
      <c r="L907" s="153"/>
      <c r="M907" s="153"/>
      <c r="N907" s="153"/>
      <c r="O907" s="153" t="str">
        <f>IF(L907&lt;&gt;"",IFERROR(VLOOKUP(B907&amp;L907,Pools!$A$2:$D$130,3,FALSE),""),"")</f>
        <v/>
      </c>
      <c r="P907" s="387"/>
      <c r="Q907" s="387"/>
      <c r="R907" s="306" t="str">
        <f t="shared" ref="R907:R970" si="630">P907&amp;"-"&amp;Q907</f>
        <v>-</v>
      </c>
      <c r="S907" s="153"/>
      <c r="T907" s="148" t="str">
        <f t="shared" ref="T907:T970" si="631">IF(AND(P907&lt;&gt;"",Q907&lt;&gt;""),"Completed","Pending")</f>
        <v>Pending</v>
      </c>
      <c r="U907" s="153"/>
      <c r="V907" s="153"/>
      <c r="W907" s="387">
        <f t="shared" ref="W907:W970" si="632">IF(AW907="Basketball",(IF(P907-Q907&gt;15,15,IF(P907-Q907&lt;-15,-15,(P907-Q907)))),IF(AW907="Soccer",(IF(P907-Q907&gt;3,3,IF(P907-Q907&lt;-3,-3,(P907-Q907)))),IF(AW907="Kickball",(IF(P907-Q907&gt;5,5,IF(P907-Q907&lt;-5,-5,(P907-Q907)))),IF(AW907="Flag Football",(IF(P907-Q907&gt;21,21,IF(P907-Q907&lt;-21,-21,(P907-Q907)))),P907-Q907))))</f>
        <v>0</v>
      </c>
      <c r="X907" s="387">
        <f t="shared" ref="X907:X970" si="633">IF(AW907="Basketball",(IF(Q907-P907&gt;15,15,IF(Q907-P907&lt;-15,-15,(Q907-P907)))),IF(AW907="Soccer",(IF(Q907-P907&gt;3,3,IF(Q907-P907&lt;-3,-3,(Q907-P907)))),IF(AW907="Kickball",(IF(Q907-P907&gt;5,5,IF(Q907-P907&lt;-5,-5,(Q907-P907)))),IF(AW907="Flag Football",(IF(Q907-P907&gt;21,21,IF(Q907-P907&lt;-21,-21,(Q907-P907)))),Q907-P907))))</f>
        <v>0</v>
      </c>
      <c r="Y907" s="301" t="str">
        <f t="shared" ref="Y907:Y970" si="634">IF(T907="Completed",(IF(P907&gt;Q907,2,IF(P907=Q907,1,IF(P907&lt;Q907,0)))),"X")</f>
        <v>X</v>
      </c>
      <c r="Z907" s="301" t="str">
        <f t="shared" ref="Z907:Z970" si="635">IF(T907="Completed",(IF(Q907&gt;P907,2,IF(Q907=P907,1,IF(Q907&lt;P907,0)))),"X")</f>
        <v>X</v>
      </c>
      <c r="AA907" s="323" t="e">
        <f>CONCATENATE("                x[team1,team2,sport,'",IF(OR(I907="x",I907=""),VLOOKUP('Schedule from TM'!J907,Tables!$P$3:$Q$33,2,FALSE),'Schedule from TM'!I907),",",J907,"','",IF(OR(F907="x",F907=""),VLOOKUP('Schedule from TM'!G907,Tables!$U$3:$V$14,2,FALSE),'Schedule from TM'!F907),",",TEXT(G907,"mm/dd/yyyy"),"','",TEXT(H907,"h:mm:ss AM/PM"),"'].ub=0.0      #",B907)</f>
        <v>#N/A</v>
      </c>
      <c r="AB907" s="301" t="str">
        <f t="shared" ref="AB907:AB970" si="636">",,"&amp;B907&amp;","&amp;O907&amp;",1,"&amp;L907</f>
        <v>,,,,1,</v>
      </c>
      <c r="AC907" s="153" t="str">
        <f t="shared" ref="AC907:AC970" si="637">B907&amp;O907&amp;L907</f>
        <v/>
      </c>
      <c r="AD907" s="301" t="str">
        <f t="shared" ref="AD907:AD970" si="638">",,"&amp;B907&amp;","&amp;O907&amp;",1,"&amp;N907</f>
        <v>,,,,1,</v>
      </c>
      <c r="AE907" s="153" t="str">
        <f t="shared" ref="AE907:AE970" si="639">B907&amp;O907&amp;N907</f>
        <v/>
      </c>
      <c r="AF907" s="383">
        <f t="shared" ref="AF907:AF970" si="640">IF(Y907=2,1,0)</f>
        <v>0</v>
      </c>
      <c r="AG907" s="383">
        <f t="shared" ref="AG907:AG970" si="641">IF(Y907=0,1,0)</f>
        <v>0</v>
      </c>
      <c r="AH907" s="383">
        <f t="shared" ref="AH907:AH970" si="642">IF(Y907=1,1,0)</f>
        <v>0</v>
      </c>
      <c r="AI907" s="383">
        <f t="shared" ref="AI907:AI970" si="643">IF(Z907=2,1,0)</f>
        <v>0</v>
      </c>
      <c r="AJ907" s="383">
        <f t="shared" ref="AJ907:AJ970" si="644">IF(Z907=0,1,0)</f>
        <v>0</v>
      </c>
      <c r="AK907" s="383">
        <f t="shared" ref="AK907:AK970" si="645">IF(Z907=1,1,0)</f>
        <v>0</v>
      </c>
      <c r="AM907" s="148" t="str">
        <f t="shared" ref="AM907:AM970" si="646">IF(G907&amp;H907&amp;J907&lt;&gt;"","Schedulled","Not Schedulled")</f>
        <v>Not Schedulled</v>
      </c>
      <c r="AN907" s="148" t="str">
        <f t="shared" ref="AN907:AN970" si="647">IF(AND(AM907="schedulled",L907&amp;N907=""),"Schedulled no team","")</f>
        <v/>
      </c>
      <c r="AO907" s="156">
        <f t="shared" ref="AO907:AO970" si="648">G907+H907</f>
        <v>0</v>
      </c>
      <c r="AP907" s="148" t="str">
        <f t="shared" ref="AP907:AP970" si="649">TEXT(AO907,"MM/DD/YYYY HH:MM")&amp;"-&gt;"&amp;J907</f>
        <v>01/00/1900 00:00-&gt;</v>
      </c>
      <c r="AQ907" s="374">
        <f t="shared" ref="AQ907:AQ970" si="650">IF(AM907="not schedulled", 0,COUNTIF($AP$11:$AP$1051,AP907))</f>
        <v>0</v>
      </c>
      <c r="AR907" s="148" t="str">
        <f t="shared" ref="AR907:AR970" si="651">IFERROR(VLOOKUP(L907,teams_table,3,FALSE),"")</f>
        <v/>
      </c>
      <c r="AS907" s="148" t="str">
        <f t="shared" ref="AS907:AS970" si="652">IFERROR(VLOOKUP(N907,teams_table,3,FALSE),"")</f>
        <v/>
      </c>
      <c r="AT907" s="157" t="str">
        <f t="shared" ref="AT907:AT970" si="653">IF(AR907&amp;AS907&lt;&gt;"",AR907&amp;"-"&amp;AS907,"")</f>
        <v/>
      </c>
      <c r="AU907" s="157" t="str">
        <f t="shared" ref="AU907:AU970" si="654">IF(AT907="","",AT907&amp;" ")&amp;IF(C907="final",AW907&amp;" Final","")&amp;IF(C907="semi-final",AW907&amp;" Semi-Final","")&amp;IF(C907="Tournament",AW907&amp;" Tournament","")</f>
        <v/>
      </c>
      <c r="AV907" s="157" t="str">
        <f t="shared" ref="AV907:AV970" si="655">IFERROR(VLOOKUP(B907,events_table,2,FALSE),"")</f>
        <v/>
      </c>
      <c r="AW907" s="157" t="str">
        <f t="shared" ref="AW907:AW970" si="656">IFERROR(VLOOKUP(B907,events_table,3,0),"")</f>
        <v/>
      </c>
      <c r="AX907" s="376">
        <f t="shared" ref="AX907:AX970" si="657">A907</f>
        <v>0</v>
      </c>
      <c r="AY907" s="148" t="str">
        <f t="shared" ref="AY907:AY970" si="658">L907&amp;"-&gt;"&amp;N907</f>
        <v>-&gt;</v>
      </c>
      <c r="AZ907" s="148" t="str">
        <f t="shared" ref="AZ907:AZ970" si="659">TEXT(AO907,"MM/DD/YYYY HH:MM")&amp;"-&gt;"&amp;L907</f>
        <v>01/00/1900 00:00-&gt;</v>
      </c>
      <c r="BA907" s="148" t="str">
        <f t="shared" ref="BA907:BA970" si="660">TEXT(AO907,"MM/DD/YYYY HH:MM")&amp;"-&gt;"&amp;N907</f>
        <v>01/00/1900 00:00-&gt;</v>
      </c>
      <c r="BB907" s="374">
        <f t="shared" ref="BB907:BB970" si="661">IF(OR(AM907="not schedulled",AN907="schedulled no team"),0,COUNTIF($AZ$11:$BA$1051,AZ907))</f>
        <v>0</v>
      </c>
      <c r="BC907" s="374">
        <f t="shared" ref="BC907:BC970" si="662">IF(OR(AM907="not schedulled",AN907="schedulled no team"),0,COUNTIF($AZ$11:$BA$1051,BA907))</f>
        <v>0</v>
      </c>
      <c r="BD907" s="148" t="str">
        <f t="shared" ref="BD907:BD970" si="663">IF(OR(BB907&gt;1,BC907&gt;1),"conflict","no conflict")</f>
        <v>no conflict</v>
      </c>
      <c r="BF907" s="148" t="str">
        <f t="shared" ref="BF907:BF970" si="664">TEXT(AO907,"MM/DD/YYYY HH:MM")&amp;"-&gt;"&amp;L907</f>
        <v>01/00/1900 00:00-&gt;</v>
      </c>
      <c r="BG907" s="148" t="str">
        <f t="shared" ref="BG907:BG970" si="665">TEXT(AO907,"MM/DD/YYYY HH:MM")&amp;"-&gt;"&amp;N907</f>
        <v>01/00/1900 00:00-&gt;</v>
      </c>
      <c r="BH907" s="148" t="str">
        <f t="shared" ref="BH907:BH970" si="666">TEXT(AO907,"MM/DD/YYYY HH:MM")&amp;"-&gt;"&amp;J907</f>
        <v>01/00/1900 00:00-&gt;</v>
      </c>
      <c r="BI907" s="148" t="str">
        <f t="shared" ref="BI907:BI970" si="667">AW907&amp; " in "&amp;J907 &amp;" ("&amp;AT907&amp;")"</f>
        <v xml:space="preserve"> in  ()</v>
      </c>
      <c r="BJ907" s="148" t="str">
        <f t="shared" ref="BJ907:BJ970" si="668">B907 &amp;"-- " &amp;L907&amp;" vs. "&amp;N907</f>
        <v xml:space="preserve">--  vs. </v>
      </c>
      <c r="BK907" s="148" t="str">
        <f t="shared" ref="BK907:BK970" si="669">AW907</f>
        <v/>
      </c>
      <c r="BL907" s="148">
        <f t="shared" ref="BL907:BL970" si="670">L907</f>
        <v>0</v>
      </c>
      <c r="BM907" s="148">
        <f t="shared" ref="BM907:BM970" si="671">N907</f>
        <v>0</v>
      </c>
      <c r="BN907" s="148">
        <f t="shared" ref="BN907:BN970" si="672">C907</f>
        <v>0</v>
      </c>
      <c r="BP907" s="148" t="str">
        <f t="shared" ref="BP907:BP970" si="673">IF(OR(NOT(ISERR(SEARCH("final",C907))),NOT(ISERR(SEARCH("tournament",C907)))),TEXT(AO907,"MM/DD/YYYY HH:MM")&amp;"-&gt;"&amp;AV907,IF(B907="","no game","no t, f, or sf"))</f>
        <v>no game</v>
      </c>
      <c r="BQ907" s="148" t="str">
        <f t="shared" ref="BQ907:BQ970" si="674">IF(BP907&lt;&gt;"no t, f, or sf",AW907&amp;" "&amp;C907&amp;" in "&amp;J907,"")</f>
        <v xml:space="preserve">  in </v>
      </c>
    </row>
    <row r="908" spans="2:69" ht="15" customHeight="1" x14ac:dyDescent="0.2">
      <c r="B908" s="153"/>
      <c r="C908" s="153"/>
      <c r="D908" s="383"/>
      <c r="E908" s="383"/>
      <c r="F908" s="153"/>
      <c r="G908" s="154"/>
      <c r="H908" s="155"/>
      <c r="I908" s="314"/>
      <c r="J908" s="153"/>
      <c r="K908" s="153"/>
      <c r="L908" s="153"/>
      <c r="M908" s="153"/>
      <c r="N908" s="153"/>
      <c r="O908" s="153" t="str">
        <f>IF(L908&lt;&gt;"",IFERROR(VLOOKUP(B908&amp;L908,Pools!$A$2:$D$130,3,FALSE),""),"")</f>
        <v/>
      </c>
      <c r="P908" s="387"/>
      <c r="Q908" s="387"/>
      <c r="R908" s="306" t="str">
        <f t="shared" si="630"/>
        <v>-</v>
      </c>
      <c r="S908" s="153"/>
      <c r="T908" s="148" t="str">
        <f t="shared" si="631"/>
        <v>Pending</v>
      </c>
      <c r="U908" s="153"/>
      <c r="V908" s="153"/>
      <c r="W908" s="387">
        <f t="shared" si="632"/>
        <v>0</v>
      </c>
      <c r="X908" s="387">
        <f t="shared" si="633"/>
        <v>0</v>
      </c>
      <c r="Y908" s="301" t="str">
        <f t="shared" si="634"/>
        <v>X</v>
      </c>
      <c r="Z908" s="301" t="str">
        <f t="shared" si="635"/>
        <v>X</v>
      </c>
      <c r="AA908" s="323" t="e">
        <f>CONCATENATE("                x[team1,team2,sport,'",IF(OR(I908="x",I908=""),VLOOKUP('Schedule from TM'!J908,Tables!$P$3:$Q$33,2,FALSE),'Schedule from TM'!I908),",",J908,"','",IF(OR(F908="x",F908=""),VLOOKUP('Schedule from TM'!G908,Tables!$U$3:$V$14,2,FALSE),'Schedule from TM'!F908),",",TEXT(G908,"mm/dd/yyyy"),"','",TEXT(H908,"h:mm:ss AM/PM"),"'].ub=0.0      #",B908)</f>
        <v>#N/A</v>
      </c>
      <c r="AB908" s="301" t="str">
        <f t="shared" si="636"/>
        <v>,,,,1,</v>
      </c>
      <c r="AC908" s="153" t="str">
        <f t="shared" si="637"/>
        <v/>
      </c>
      <c r="AD908" s="301" t="str">
        <f t="shared" si="638"/>
        <v>,,,,1,</v>
      </c>
      <c r="AE908" s="153" t="str">
        <f t="shared" si="639"/>
        <v/>
      </c>
      <c r="AF908" s="383">
        <f t="shared" si="640"/>
        <v>0</v>
      </c>
      <c r="AG908" s="383">
        <f t="shared" si="641"/>
        <v>0</v>
      </c>
      <c r="AH908" s="383">
        <f t="shared" si="642"/>
        <v>0</v>
      </c>
      <c r="AI908" s="383">
        <f t="shared" si="643"/>
        <v>0</v>
      </c>
      <c r="AJ908" s="383">
        <f t="shared" si="644"/>
        <v>0</v>
      </c>
      <c r="AK908" s="383">
        <f t="shared" si="645"/>
        <v>0</v>
      </c>
      <c r="AM908" s="148" t="str">
        <f t="shared" si="646"/>
        <v>Not Schedulled</v>
      </c>
      <c r="AN908" s="148" t="str">
        <f t="shared" si="647"/>
        <v/>
      </c>
      <c r="AO908" s="156">
        <f t="shared" si="648"/>
        <v>0</v>
      </c>
      <c r="AP908" s="148" t="str">
        <f t="shared" si="649"/>
        <v>01/00/1900 00:00-&gt;</v>
      </c>
      <c r="AQ908" s="374">
        <f t="shared" si="650"/>
        <v>0</v>
      </c>
      <c r="AR908" s="148" t="str">
        <f t="shared" si="651"/>
        <v/>
      </c>
      <c r="AS908" s="148" t="str">
        <f t="shared" si="652"/>
        <v/>
      </c>
      <c r="AT908" s="157" t="str">
        <f t="shared" si="653"/>
        <v/>
      </c>
      <c r="AU908" s="157" t="str">
        <f t="shared" si="654"/>
        <v/>
      </c>
      <c r="AV908" s="157" t="str">
        <f t="shared" si="655"/>
        <v/>
      </c>
      <c r="AW908" s="157" t="str">
        <f t="shared" si="656"/>
        <v/>
      </c>
      <c r="AX908" s="376">
        <f t="shared" si="657"/>
        <v>0</v>
      </c>
      <c r="AY908" s="148" t="str">
        <f t="shared" si="658"/>
        <v>-&gt;</v>
      </c>
      <c r="AZ908" s="148" t="str">
        <f t="shared" si="659"/>
        <v>01/00/1900 00:00-&gt;</v>
      </c>
      <c r="BA908" s="148" t="str">
        <f t="shared" si="660"/>
        <v>01/00/1900 00:00-&gt;</v>
      </c>
      <c r="BB908" s="374">
        <f t="shared" si="661"/>
        <v>0</v>
      </c>
      <c r="BC908" s="374">
        <f t="shared" si="662"/>
        <v>0</v>
      </c>
      <c r="BD908" s="148" t="str">
        <f t="shared" si="663"/>
        <v>no conflict</v>
      </c>
      <c r="BF908" s="148" t="str">
        <f t="shared" si="664"/>
        <v>01/00/1900 00:00-&gt;</v>
      </c>
      <c r="BG908" s="148" t="str">
        <f t="shared" si="665"/>
        <v>01/00/1900 00:00-&gt;</v>
      </c>
      <c r="BH908" s="148" t="str">
        <f t="shared" si="666"/>
        <v>01/00/1900 00:00-&gt;</v>
      </c>
      <c r="BI908" s="148" t="str">
        <f t="shared" si="667"/>
        <v xml:space="preserve"> in  ()</v>
      </c>
      <c r="BJ908" s="148" t="str">
        <f t="shared" si="668"/>
        <v xml:space="preserve">--  vs. </v>
      </c>
      <c r="BK908" s="148" t="str">
        <f t="shared" si="669"/>
        <v/>
      </c>
      <c r="BL908" s="148">
        <f t="shared" si="670"/>
        <v>0</v>
      </c>
      <c r="BM908" s="148">
        <f t="shared" si="671"/>
        <v>0</v>
      </c>
      <c r="BN908" s="148">
        <f t="shared" si="672"/>
        <v>0</v>
      </c>
      <c r="BP908" s="148" t="str">
        <f t="shared" si="673"/>
        <v>no game</v>
      </c>
      <c r="BQ908" s="148" t="str">
        <f t="shared" si="674"/>
        <v xml:space="preserve">  in </v>
      </c>
    </row>
    <row r="909" spans="2:69" ht="15" customHeight="1" x14ac:dyDescent="0.2">
      <c r="B909" s="153"/>
      <c r="C909" s="153"/>
      <c r="D909" s="383"/>
      <c r="E909" s="383"/>
      <c r="F909" s="153"/>
      <c r="G909" s="154"/>
      <c r="H909" s="155"/>
      <c r="I909" s="314"/>
      <c r="J909" s="153"/>
      <c r="K909" s="153"/>
      <c r="L909" s="153"/>
      <c r="M909" s="153"/>
      <c r="N909" s="153"/>
      <c r="O909" s="153" t="str">
        <f>IF(L909&lt;&gt;"",IFERROR(VLOOKUP(B909&amp;L909,Pools!$A$2:$D$130,3,FALSE),""),"")</f>
        <v/>
      </c>
      <c r="P909" s="387"/>
      <c r="Q909" s="387"/>
      <c r="R909" s="306" t="str">
        <f t="shared" si="630"/>
        <v>-</v>
      </c>
      <c r="S909" s="153"/>
      <c r="T909" s="148" t="str">
        <f t="shared" si="631"/>
        <v>Pending</v>
      </c>
      <c r="U909" s="153"/>
      <c r="V909" s="153"/>
      <c r="W909" s="387">
        <f t="shared" si="632"/>
        <v>0</v>
      </c>
      <c r="X909" s="387">
        <f t="shared" si="633"/>
        <v>0</v>
      </c>
      <c r="Y909" s="301" t="str">
        <f t="shared" si="634"/>
        <v>X</v>
      </c>
      <c r="Z909" s="301" t="str">
        <f t="shared" si="635"/>
        <v>X</v>
      </c>
      <c r="AA909" s="323" t="e">
        <f>CONCATENATE("                x[team1,team2,sport,'",IF(OR(I909="x",I909=""),VLOOKUP('Schedule from TM'!J909,Tables!$P$3:$Q$33,2,FALSE),'Schedule from TM'!I909),",",J909,"','",IF(OR(F909="x",F909=""),VLOOKUP('Schedule from TM'!G909,Tables!$U$3:$V$14,2,FALSE),'Schedule from TM'!F909),",",TEXT(G909,"mm/dd/yyyy"),"','",TEXT(H909,"h:mm:ss AM/PM"),"'].ub=0.0      #",B909)</f>
        <v>#N/A</v>
      </c>
      <c r="AB909" s="301" t="str">
        <f t="shared" si="636"/>
        <v>,,,,1,</v>
      </c>
      <c r="AC909" s="153" t="str">
        <f t="shared" si="637"/>
        <v/>
      </c>
      <c r="AD909" s="301" t="str">
        <f t="shared" si="638"/>
        <v>,,,,1,</v>
      </c>
      <c r="AE909" s="153" t="str">
        <f t="shared" si="639"/>
        <v/>
      </c>
      <c r="AF909" s="383">
        <f t="shared" si="640"/>
        <v>0</v>
      </c>
      <c r="AG909" s="383">
        <f t="shared" si="641"/>
        <v>0</v>
      </c>
      <c r="AH909" s="383">
        <f t="shared" si="642"/>
        <v>0</v>
      </c>
      <c r="AI909" s="383">
        <f t="shared" si="643"/>
        <v>0</v>
      </c>
      <c r="AJ909" s="383">
        <f t="shared" si="644"/>
        <v>0</v>
      </c>
      <c r="AK909" s="383">
        <f t="shared" si="645"/>
        <v>0</v>
      </c>
      <c r="AM909" s="148" t="str">
        <f t="shared" si="646"/>
        <v>Not Schedulled</v>
      </c>
      <c r="AN909" s="148" t="str">
        <f t="shared" si="647"/>
        <v/>
      </c>
      <c r="AO909" s="156">
        <f t="shared" si="648"/>
        <v>0</v>
      </c>
      <c r="AP909" s="148" t="str">
        <f t="shared" si="649"/>
        <v>01/00/1900 00:00-&gt;</v>
      </c>
      <c r="AQ909" s="374">
        <f t="shared" si="650"/>
        <v>0</v>
      </c>
      <c r="AR909" s="148" t="str">
        <f t="shared" si="651"/>
        <v/>
      </c>
      <c r="AS909" s="148" t="str">
        <f t="shared" si="652"/>
        <v/>
      </c>
      <c r="AT909" s="157" t="str">
        <f t="shared" si="653"/>
        <v/>
      </c>
      <c r="AU909" s="157" t="str">
        <f t="shared" si="654"/>
        <v/>
      </c>
      <c r="AV909" s="157" t="str">
        <f t="shared" si="655"/>
        <v/>
      </c>
      <c r="AW909" s="157" t="str">
        <f t="shared" si="656"/>
        <v/>
      </c>
      <c r="AX909" s="376">
        <f t="shared" si="657"/>
        <v>0</v>
      </c>
      <c r="AY909" s="148" t="str">
        <f t="shared" si="658"/>
        <v>-&gt;</v>
      </c>
      <c r="AZ909" s="148" t="str">
        <f t="shared" si="659"/>
        <v>01/00/1900 00:00-&gt;</v>
      </c>
      <c r="BA909" s="148" t="str">
        <f t="shared" si="660"/>
        <v>01/00/1900 00:00-&gt;</v>
      </c>
      <c r="BB909" s="374">
        <f t="shared" si="661"/>
        <v>0</v>
      </c>
      <c r="BC909" s="374">
        <f t="shared" si="662"/>
        <v>0</v>
      </c>
      <c r="BD909" s="148" t="str">
        <f t="shared" si="663"/>
        <v>no conflict</v>
      </c>
      <c r="BF909" s="148" t="str">
        <f t="shared" si="664"/>
        <v>01/00/1900 00:00-&gt;</v>
      </c>
      <c r="BG909" s="148" t="str">
        <f t="shared" si="665"/>
        <v>01/00/1900 00:00-&gt;</v>
      </c>
      <c r="BH909" s="148" t="str">
        <f t="shared" si="666"/>
        <v>01/00/1900 00:00-&gt;</v>
      </c>
      <c r="BI909" s="148" t="str">
        <f t="shared" si="667"/>
        <v xml:space="preserve"> in  ()</v>
      </c>
      <c r="BJ909" s="148" t="str">
        <f t="shared" si="668"/>
        <v xml:space="preserve">--  vs. </v>
      </c>
      <c r="BK909" s="148" t="str">
        <f t="shared" si="669"/>
        <v/>
      </c>
      <c r="BL909" s="148">
        <f t="shared" si="670"/>
        <v>0</v>
      </c>
      <c r="BM909" s="148">
        <f t="shared" si="671"/>
        <v>0</v>
      </c>
      <c r="BN909" s="148">
        <f t="shared" si="672"/>
        <v>0</v>
      </c>
      <c r="BP909" s="148" t="str">
        <f t="shared" si="673"/>
        <v>no game</v>
      </c>
      <c r="BQ909" s="148" t="str">
        <f t="shared" si="674"/>
        <v xml:space="preserve">  in </v>
      </c>
    </row>
    <row r="910" spans="2:69" ht="15" customHeight="1" x14ac:dyDescent="0.2">
      <c r="B910" s="153"/>
      <c r="C910" s="153"/>
      <c r="D910" s="383"/>
      <c r="E910" s="383"/>
      <c r="F910" s="153"/>
      <c r="G910" s="154"/>
      <c r="H910" s="155"/>
      <c r="I910" s="314"/>
      <c r="J910" s="153"/>
      <c r="K910" s="153"/>
      <c r="L910" s="153"/>
      <c r="M910" s="153"/>
      <c r="N910" s="153"/>
      <c r="O910" s="153" t="str">
        <f>IF(L910&lt;&gt;"",IFERROR(VLOOKUP(B910&amp;L910,Pools!$A$2:$D$130,3,FALSE),""),"")</f>
        <v/>
      </c>
      <c r="P910" s="387"/>
      <c r="Q910" s="387"/>
      <c r="R910" s="306" t="str">
        <f t="shared" si="630"/>
        <v>-</v>
      </c>
      <c r="S910" s="153"/>
      <c r="T910" s="148" t="str">
        <f t="shared" si="631"/>
        <v>Pending</v>
      </c>
      <c r="U910" s="153"/>
      <c r="V910" s="153"/>
      <c r="W910" s="387">
        <f t="shared" si="632"/>
        <v>0</v>
      </c>
      <c r="X910" s="387">
        <f t="shared" si="633"/>
        <v>0</v>
      </c>
      <c r="Y910" s="301" t="str">
        <f t="shared" si="634"/>
        <v>X</v>
      </c>
      <c r="Z910" s="301" t="str">
        <f t="shared" si="635"/>
        <v>X</v>
      </c>
      <c r="AA910" s="323" t="e">
        <f>CONCATENATE("                x[team1,team2,sport,'",IF(OR(I910="x",I910=""),VLOOKUP('Schedule from TM'!J910,Tables!$P$3:$Q$33,2,FALSE),'Schedule from TM'!I910),",",J910,"','",IF(OR(F910="x",F910=""),VLOOKUP('Schedule from TM'!G910,Tables!$U$3:$V$14,2,FALSE),'Schedule from TM'!F910),",",TEXT(G910,"mm/dd/yyyy"),"','",TEXT(H910,"h:mm:ss AM/PM"),"'].ub=0.0      #",B910)</f>
        <v>#N/A</v>
      </c>
      <c r="AB910" s="301" t="str">
        <f t="shared" si="636"/>
        <v>,,,,1,</v>
      </c>
      <c r="AC910" s="153" t="str">
        <f t="shared" si="637"/>
        <v/>
      </c>
      <c r="AD910" s="301" t="str">
        <f t="shared" si="638"/>
        <v>,,,,1,</v>
      </c>
      <c r="AE910" s="153" t="str">
        <f t="shared" si="639"/>
        <v/>
      </c>
      <c r="AF910" s="383">
        <f t="shared" si="640"/>
        <v>0</v>
      </c>
      <c r="AG910" s="383">
        <f t="shared" si="641"/>
        <v>0</v>
      </c>
      <c r="AH910" s="383">
        <f t="shared" si="642"/>
        <v>0</v>
      </c>
      <c r="AI910" s="383">
        <f t="shared" si="643"/>
        <v>0</v>
      </c>
      <c r="AJ910" s="383">
        <f t="shared" si="644"/>
        <v>0</v>
      </c>
      <c r="AK910" s="383">
        <f t="shared" si="645"/>
        <v>0</v>
      </c>
      <c r="AM910" s="148" t="str">
        <f t="shared" si="646"/>
        <v>Not Schedulled</v>
      </c>
      <c r="AN910" s="148" t="str">
        <f t="shared" si="647"/>
        <v/>
      </c>
      <c r="AO910" s="156">
        <f t="shared" si="648"/>
        <v>0</v>
      </c>
      <c r="AP910" s="148" t="str">
        <f t="shared" si="649"/>
        <v>01/00/1900 00:00-&gt;</v>
      </c>
      <c r="AQ910" s="374">
        <f t="shared" si="650"/>
        <v>0</v>
      </c>
      <c r="AR910" s="148" t="str">
        <f t="shared" si="651"/>
        <v/>
      </c>
      <c r="AS910" s="148" t="str">
        <f t="shared" si="652"/>
        <v/>
      </c>
      <c r="AT910" s="157" t="str">
        <f t="shared" si="653"/>
        <v/>
      </c>
      <c r="AU910" s="157" t="str">
        <f t="shared" si="654"/>
        <v/>
      </c>
      <c r="AV910" s="157" t="str">
        <f t="shared" si="655"/>
        <v/>
      </c>
      <c r="AW910" s="157" t="str">
        <f t="shared" si="656"/>
        <v/>
      </c>
      <c r="AX910" s="376">
        <f t="shared" si="657"/>
        <v>0</v>
      </c>
      <c r="AY910" s="148" t="str">
        <f t="shared" si="658"/>
        <v>-&gt;</v>
      </c>
      <c r="AZ910" s="148" t="str">
        <f t="shared" si="659"/>
        <v>01/00/1900 00:00-&gt;</v>
      </c>
      <c r="BA910" s="148" t="str">
        <f t="shared" si="660"/>
        <v>01/00/1900 00:00-&gt;</v>
      </c>
      <c r="BB910" s="374">
        <f t="shared" si="661"/>
        <v>0</v>
      </c>
      <c r="BC910" s="374">
        <f t="shared" si="662"/>
        <v>0</v>
      </c>
      <c r="BD910" s="148" t="str">
        <f t="shared" si="663"/>
        <v>no conflict</v>
      </c>
      <c r="BF910" s="148" t="str">
        <f t="shared" si="664"/>
        <v>01/00/1900 00:00-&gt;</v>
      </c>
      <c r="BG910" s="148" t="str">
        <f t="shared" si="665"/>
        <v>01/00/1900 00:00-&gt;</v>
      </c>
      <c r="BH910" s="148" t="str">
        <f t="shared" si="666"/>
        <v>01/00/1900 00:00-&gt;</v>
      </c>
      <c r="BI910" s="148" t="str">
        <f t="shared" si="667"/>
        <v xml:space="preserve"> in  ()</v>
      </c>
      <c r="BJ910" s="148" t="str">
        <f t="shared" si="668"/>
        <v xml:space="preserve">--  vs. </v>
      </c>
      <c r="BK910" s="148" t="str">
        <f t="shared" si="669"/>
        <v/>
      </c>
      <c r="BL910" s="148">
        <f t="shared" si="670"/>
        <v>0</v>
      </c>
      <c r="BM910" s="148">
        <f t="shared" si="671"/>
        <v>0</v>
      </c>
      <c r="BN910" s="148">
        <f t="shared" si="672"/>
        <v>0</v>
      </c>
      <c r="BP910" s="148" t="str">
        <f t="shared" si="673"/>
        <v>no game</v>
      </c>
      <c r="BQ910" s="148" t="str">
        <f t="shared" si="674"/>
        <v xml:space="preserve">  in </v>
      </c>
    </row>
    <row r="911" spans="2:69" ht="15" customHeight="1" x14ac:dyDescent="0.2">
      <c r="B911" s="153"/>
      <c r="C911" s="153"/>
      <c r="D911" s="383"/>
      <c r="E911" s="383"/>
      <c r="F911" s="153"/>
      <c r="G911" s="154"/>
      <c r="H911" s="155"/>
      <c r="I911" s="314"/>
      <c r="J911" s="153"/>
      <c r="K911" s="153"/>
      <c r="L911" s="153"/>
      <c r="M911" s="153"/>
      <c r="N911" s="153"/>
      <c r="O911" s="153" t="str">
        <f>IF(L911&lt;&gt;"",IFERROR(VLOOKUP(B911&amp;L911,Pools!$A$2:$D$130,3,FALSE),""),"")</f>
        <v/>
      </c>
      <c r="P911" s="387"/>
      <c r="Q911" s="387"/>
      <c r="R911" s="306" t="str">
        <f t="shared" si="630"/>
        <v>-</v>
      </c>
      <c r="S911" s="153"/>
      <c r="T911" s="148" t="str">
        <f t="shared" si="631"/>
        <v>Pending</v>
      </c>
      <c r="U911" s="153"/>
      <c r="V911" s="153"/>
      <c r="W911" s="387">
        <f t="shared" si="632"/>
        <v>0</v>
      </c>
      <c r="X911" s="387">
        <f t="shared" si="633"/>
        <v>0</v>
      </c>
      <c r="Y911" s="301" t="str">
        <f t="shared" si="634"/>
        <v>X</v>
      </c>
      <c r="Z911" s="301" t="str">
        <f t="shared" si="635"/>
        <v>X</v>
      </c>
      <c r="AA911" s="323" t="e">
        <f>CONCATENATE("                x[team1,team2,sport,'",IF(OR(I911="x",I911=""),VLOOKUP('Schedule from TM'!J911,Tables!$P$3:$Q$33,2,FALSE),'Schedule from TM'!I911),",",J911,"','",IF(OR(F911="x",F911=""),VLOOKUP('Schedule from TM'!G911,Tables!$U$3:$V$14,2,FALSE),'Schedule from TM'!F911),",",TEXT(G911,"mm/dd/yyyy"),"','",TEXT(H911,"h:mm:ss AM/PM"),"'].ub=0.0      #",B911)</f>
        <v>#N/A</v>
      </c>
      <c r="AB911" s="301" t="str">
        <f t="shared" si="636"/>
        <v>,,,,1,</v>
      </c>
      <c r="AC911" s="153" t="str">
        <f t="shared" si="637"/>
        <v/>
      </c>
      <c r="AD911" s="301" t="str">
        <f t="shared" si="638"/>
        <v>,,,,1,</v>
      </c>
      <c r="AE911" s="153" t="str">
        <f t="shared" si="639"/>
        <v/>
      </c>
      <c r="AF911" s="383">
        <f t="shared" si="640"/>
        <v>0</v>
      </c>
      <c r="AG911" s="383">
        <f t="shared" si="641"/>
        <v>0</v>
      </c>
      <c r="AH911" s="383">
        <f t="shared" si="642"/>
        <v>0</v>
      </c>
      <c r="AI911" s="383">
        <f t="shared" si="643"/>
        <v>0</v>
      </c>
      <c r="AJ911" s="383">
        <f t="shared" si="644"/>
        <v>0</v>
      </c>
      <c r="AK911" s="383">
        <f t="shared" si="645"/>
        <v>0</v>
      </c>
      <c r="AM911" s="148" t="str">
        <f t="shared" si="646"/>
        <v>Not Schedulled</v>
      </c>
      <c r="AN911" s="148" t="str">
        <f t="shared" si="647"/>
        <v/>
      </c>
      <c r="AO911" s="156">
        <f t="shared" si="648"/>
        <v>0</v>
      </c>
      <c r="AP911" s="148" t="str">
        <f t="shared" si="649"/>
        <v>01/00/1900 00:00-&gt;</v>
      </c>
      <c r="AQ911" s="374">
        <f t="shared" si="650"/>
        <v>0</v>
      </c>
      <c r="AR911" s="148" t="str">
        <f t="shared" si="651"/>
        <v/>
      </c>
      <c r="AS911" s="148" t="str">
        <f t="shared" si="652"/>
        <v/>
      </c>
      <c r="AT911" s="157" t="str">
        <f t="shared" si="653"/>
        <v/>
      </c>
      <c r="AU911" s="157" t="str">
        <f t="shared" si="654"/>
        <v/>
      </c>
      <c r="AV911" s="157" t="str">
        <f t="shared" si="655"/>
        <v/>
      </c>
      <c r="AW911" s="157" t="str">
        <f t="shared" si="656"/>
        <v/>
      </c>
      <c r="AX911" s="376">
        <f t="shared" si="657"/>
        <v>0</v>
      </c>
      <c r="AY911" s="148" t="str">
        <f t="shared" si="658"/>
        <v>-&gt;</v>
      </c>
      <c r="AZ911" s="148" t="str">
        <f t="shared" si="659"/>
        <v>01/00/1900 00:00-&gt;</v>
      </c>
      <c r="BA911" s="148" t="str">
        <f t="shared" si="660"/>
        <v>01/00/1900 00:00-&gt;</v>
      </c>
      <c r="BB911" s="374">
        <f t="shared" si="661"/>
        <v>0</v>
      </c>
      <c r="BC911" s="374">
        <f t="shared" si="662"/>
        <v>0</v>
      </c>
      <c r="BD911" s="148" t="str">
        <f t="shared" si="663"/>
        <v>no conflict</v>
      </c>
      <c r="BF911" s="148" t="str">
        <f t="shared" si="664"/>
        <v>01/00/1900 00:00-&gt;</v>
      </c>
      <c r="BG911" s="148" t="str">
        <f t="shared" si="665"/>
        <v>01/00/1900 00:00-&gt;</v>
      </c>
      <c r="BH911" s="148" t="str">
        <f t="shared" si="666"/>
        <v>01/00/1900 00:00-&gt;</v>
      </c>
      <c r="BI911" s="148" t="str">
        <f t="shared" si="667"/>
        <v xml:space="preserve"> in  ()</v>
      </c>
      <c r="BJ911" s="148" t="str">
        <f t="shared" si="668"/>
        <v xml:space="preserve">--  vs. </v>
      </c>
      <c r="BK911" s="148" t="str">
        <f t="shared" si="669"/>
        <v/>
      </c>
      <c r="BL911" s="148">
        <f t="shared" si="670"/>
        <v>0</v>
      </c>
      <c r="BM911" s="148">
        <f t="shared" si="671"/>
        <v>0</v>
      </c>
      <c r="BN911" s="148">
        <f t="shared" si="672"/>
        <v>0</v>
      </c>
      <c r="BP911" s="148" t="str">
        <f t="shared" si="673"/>
        <v>no game</v>
      </c>
      <c r="BQ911" s="148" t="str">
        <f t="shared" si="674"/>
        <v xml:space="preserve">  in </v>
      </c>
    </row>
    <row r="912" spans="2:69" ht="15" customHeight="1" x14ac:dyDescent="0.2">
      <c r="B912" s="153"/>
      <c r="C912" s="153"/>
      <c r="D912" s="383"/>
      <c r="E912" s="383"/>
      <c r="F912" s="153"/>
      <c r="G912" s="154"/>
      <c r="H912" s="155"/>
      <c r="I912" s="314"/>
      <c r="J912" s="153"/>
      <c r="K912" s="153"/>
      <c r="L912" s="153"/>
      <c r="M912" s="153"/>
      <c r="N912" s="153"/>
      <c r="O912" s="153" t="str">
        <f>IF(L912&lt;&gt;"",IFERROR(VLOOKUP(B912&amp;L912,Pools!$A$2:$D$130,3,FALSE),""),"")</f>
        <v/>
      </c>
      <c r="P912" s="387"/>
      <c r="Q912" s="387"/>
      <c r="R912" s="306" t="str">
        <f t="shared" si="630"/>
        <v>-</v>
      </c>
      <c r="S912" s="153"/>
      <c r="T912" s="148" t="str">
        <f t="shared" si="631"/>
        <v>Pending</v>
      </c>
      <c r="U912" s="153"/>
      <c r="V912" s="153"/>
      <c r="W912" s="387">
        <f t="shared" si="632"/>
        <v>0</v>
      </c>
      <c r="X912" s="387">
        <f t="shared" si="633"/>
        <v>0</v>
      </c>
      <c r="Y912" s="301" t="str">
        <f t="shared" si="634"/>
        <v>X</v>
      </c>
      <c r="Z912" s="301" t="str">
        <f t="shared" si="635"/>
        <v>X</v>
      </c>
      <c r="AA912" s="323" t="e">
        <f>CONCATENATE("                x[team1,team2,sport,'",IF(OR(I912="x",I912=""),VLOOKUP('Schedule from TM'!J912,Tables!$P$3:$Q$33,2,FALSE),'Schedule from TM'!I912),",",J912,"','",IF(OR(F912="x",F912=""),VLOOKUP('Schedule from TM'!G912,Tables!$U$3:$V$14,2,FALSE),'Schedule from TM'!F912),",",TEXT(G912,"mm/dd/yyyy"),"','",TEXT(H912,"h:mm:ss AM/PM"),"'].ub=0.0      #",B912)</f>
        <v>#N/A</v>
      </c>
      <c r="AB912" s="301" t="str">
        <f t="shared" si="636"/>
        <v>,,,,1,</v>
      </c>
      <c r="AC912" s="153" t="str">
        <f t="shared" si="637"/>
        <v/>
      </c>
      <c r="AD912" s="301" t="str">
        <f t="shared" si="638"/>
        <v>,,,,1,</v>
      </c>
      <c r="AE912" s="153" t="str">
        <f t="shared" si="639"/>
        <v/>
      </c>
      <c r="AF912" s="383">
        <f t="shared" si="640"/>
        <v>0</v>
      </c>
      <c r="AG912" s="383">
        <f t="shared" si="641"/>
        <v>0</v>
      </c>
      <c r="AH912" s="383">
        <f t="shared" si="642"/>
        <v>0</v>
      </c>
      <c r="AI912" s="383">
        <f t="shared" si="643"/>
        <v>0</v>
      </c>
      <c r="AJ912" s="383">
        <f t="shared" si="644"/>
        <v>0</v>
      </c>
      <c r="AK912" s="383">
        <f t="shared" si="645"/>
        <v>0</v>
      </c>
      <c r="AM912" s="148" t="str">
        <f t="shared" si="646"/>
        <v>Not Schedulled</v>
      </c>
      <c r="AN912" s="148" t="str">
        <f t="shared" si="647"/>
        <v/>
      </c>
      <c r="AO912" s="156">
        <f t="shared" si="648"/>
        <v>0</v>
      </c>
      <c r="AP912" s="148" t="str">
        <f t="shared" si="649"/>
        <v>01/00/1900 00:00-&gt;</v>
      </c>
      <c r="AQ912" s="374">
        <f t="shared" si="650"/>
        <v>0</v>
      </c>
      <c r="AR912" s="148" t="str">
        <f t="shared" si="651"/>
        <v/>
      </c>
      <c r="AS912" s="148" t="str">
        <f t="shared" si="652"/>
        <v/>
      </c>
      <c r="AT912" s="157" t="str">
        <f t="shared" si="653"/>
        <v/>
      </c>
      <c r="AU912" s="157" t="str">
        <f t="shared" si="654"/>
        <v/>
      </c>
      <c r="AV912" s="157" t="str">
        <f t="shared" si="655"/>
        <v/>
      </c>
      <c r="AW912" s="157" t="str">
        <f t="shared" si="656"/>
        <v/>
      </c>
      <c r="AX912" s="376">
        <f t="shared" si="657"/>
        <v>0</v>
      </c>
      <c r="AY912" s="148" t="str">
        <f t="shared" si="658"/>
        <v>-&gt;</v>
      </c>
      <c r="AZ912" s="148" t="str">
        <f t="shared" si="659"/>
        <v>01/00/1900 00:00-&gt;</v>
      </c>
      <c r="BA912" s="148" t="str">
        <f t="shared" si="660"/>
        <v>01/00/1900 00:00-&gt;</v>
      </c>
      <c r="BB912" s="374">
        <f t="shared" si="661"/>
        <v>0</v>
      </c>
      <c r="BC912" s="374">
        <f t="shared" si="662"/>
        <v>0</v>
      </c>
      <c r="BD912" s="148" t="str">
        <f t="shared" si="663"/>
        <v>no conflict</v>
      </c>
      <c r="BF912" s="148" t="str">
        <f t="shared" si="664"/>
        <v>01/00/1900 00:00-&gt;</v>
      </c>
      <c r="BG912" s="148" t="str">
        <f t="shared" si="665"/>
        <v>01/00/1900 00:00-&gt;</v>
      </c>
      <c r="BH912" s="148" t="str">
        <f t="shared" si="666"/>
        <v>01/00/1900 00:00-&gt;</v>
      </c>
      <c r="BI912" s="148" t="str">
        <f t="shared" si="667"/>
        <v xml:space="preserve"> in  ()</v>
      </c>
      <c r="BJ912" s="148" t="str">
        <f t="shared" si="668"/>
        <v xml:space="preserve">--  vs. </v>
      </c>
      <c r="BK912" s="148" t="str">
        <f t="shared" si="669"/>
        <v/>
      </c>
      <c r="BL912" s="148">
        <f t="shared" si="670"/>
        <v>0</v>
      </c>
      <c r="BM912" s="148">
        <f t="shared" si="671"/>
        <v>0</v>
      </c>
      <c r="BN912" s="148">
        <f t="shared" si="672"/>
        <v>0</v>
      </c>
      <c r="BP912" s="148" t="str">
        <f t="shared" si="673"/>
        <v>no game</v>
      </c>
      <c r="BQ912" s="148" t="str">
        <f t="shared" si="674"/>
        <v xml:space="preserve">  in </v>
      </c>
    </row>
    <row r="913" spans="2:69" ht="15" customHeight="1" x14ac:dyDescent="0.2">
      <c r="B913" s="153"/>
      <c r="C913" s="153"/>
      <c r="D913" s="383"/>
      <c r="E913" s="383"/>
      <c r="F913" s="153"/>
      <c r="G913" s="154"/>
      <c r="H913" s="155"/>
      <c r="I913" s="314"/>
      <c r="J913" s="153"/>
      <c r="K913" s="153"/>
      <c r="L913" s="153"/>
      <c r="M913" s="153"/>
      <c r="N913" s="153"/>
      <c r="O913" s="153" t="str">
        <f>IF(L913&lt;&gt;"",IFERROR(VLOOKUP(B913&amp;L913,Pools!$A$2:$D$130,3,FALSE),""),"")</f>
        <v/>
      </c>
      <c r="P913" s="387"/>
      <c r="Q913" s="387"/>
      <c r="R913" s="306" t="str">
        <f t="shared" si="630"/>
        <v>-</v>
      </c>
      <c r="S913" s="153"/>
      <c r="T913" s="148" t="str">
        <f t="shared" si="631"/>
        <v>Pending</v>
      </c>
      <c r="U913" s="153"/>
      <c r="V913" s="153"/>
      <c r="W913" s="387">
        <f t="shared" si="632"/>
        <v>0</v>
      </c>
      <c r="X913" s="387">
        <f t="shared" si="633"/>
        <v>0</v>
      </c>
      <c r="Y913" s="301" t="str">
        <f t="shared" si="634"/>
        <v>X</v>
      </c>
      <c r="Z913" s="301" t="str">
        <f t="shared" si="635"/>
        <v>X</v>
      </c>
      <c r="AA913" s="323" t="e">
        <f>CONCATENATE("                x[team1,team2,sport,'",IF(OR(I913="x",I913=""),VLOOKUP('Schedule from TM'!J913,Tables!$P$3:$Q$33,2,FALSE),'Schedule from TM'!I913),",",J913,"','",IF(OR(F913="x",F913=""),VLOOKUP('Schedule from TM'!G913,Tables!$U$3:$V$14,2,FALSE),'Schedule from TM'!F913),",",TEXT(G913,"mm/dd/yyyy"),"','",TEXT(H913,"h:mm:ss AM/PM"),"'].ub=0.0      #",B913)</f>
        <v>#N/A</v>
      </c>
      <c r="AB913" s="301" t="str">
        <f t="shared" si="636"/>
        <v>,,,,1,</v>
      </c>
      <c r="AC913" s="153" t="str">
        <f t="shared" si="637"/>
        <v/>
      </c>
      <c r="AD913" s="301" t="str">
        <f t="shared" si="638"/>
        <v>,,,,1,</v>
      </c>
      <c r="AE913" s="153" t="str">
        <f t="shared" si="639"/>
        <v/>
      </c>
      <c r="AF913" s="383">
        <f t="shared" si="640"/>
        <v>0</v>
      </c>
      <c r="AG913" s="383">
        <f t="shared" si="641"/>
        <v>0</v>
      </c>
      <c r="AH913" s="383">
        <f t="shared" si="642"/>
        <v>0</v>
      </c>
      <c r="AI913" s="383">
        <f t="shared" si="643"/>
        <v>0</v>
      </c>
      <c r="AJ913" s="383">
        <f t="shared" si="644"/>
        <v>0</v>
      </c>
      <c r="AK913" s="383">
        <f t="shared" si="645"/>
        <v>0</v>
      </c>
      <c r="AM913" s="148" t="str">
        <f t="shared" si="646"/>
        <v>Not Schedulled</v>
      </c>
      <c r="AN913" s="148" t="str">
        <f t="shared" si="647"/>
        <v/>
      </c>
      <c r="AO913" s="156">
        <f t="shared" si="648"/>
        <v>0</v>
      </c>
      <c r="AP913" s="148" t="str">
        <f t="shared" si="649"/>
        <v>01/00/1900 00:00-&gt;</v>
      </c>
      <c r="AQ913" s="374">
        <f t="shared" si="650"/>
        <v>0</v>
      </c>
      <c r="AR913" s="148" t="str">
        <f t="shared" si="651"/>
        <v/>
      </c>
      <c r="AS913" s="148" t="str">
        <f t="shared" si="652"/>
        <v/>
      </c>
      <c r="AT913" s="157" t="str">
        <f t="shared" si="653"/>
        <v/>
      </c>
      <c r="AU913" s="157" t="str">
        <f t="shared" si="654"/>
        <v/>
      </c>
      <c r="AV913" s="157" t="str">
        <f t="shared" si="655"/>
        <v/>
      </c>
      <c r="AW913" s="157" t="str">
        <f t="shared" si="656"/>
        <v/>
      </c>
      <c r="AX913" s="376">
        <f t="shared" si="657"/>
        <v>0</v>
      </c>
      <c r="AY913" s="148" t="str">
        <f t="shared" si="658"/>
        <v>-&gt;</v>
      </c>
      <c r="AZ913" s="148" t="str">
        <f t="shared" si="659"/>
        <v>01/00/1900 00:00-&gt;</v>
      </c>
      <c r="BA913" s="148" t="str">
        <f t="shared" si="660"/>
        <v>01/00/1900 00:00-&gt;</v>
      </c>
      <c r="BB913" s="374">
        <f t="shared" si="661"/>
        <v>0</v>
      </c>
      <c r="BC913" s="374">
        <f t="shared" si="662"/>
        <v>0</v>
      </c>
      <c r="BD913" s="148" t="str">
        <f t="shared" si="663"/>
        <v>no conflict</v>
      </c>
      <c r="BF913" s="148" t="str">
        <f t="shared" si="664"/>
        <v>01/00/1900 00:00-&gt;</v>
      </c>
      <c r="BG913" s="148" t="str">
        <f t="shared" si="665"/>
        <v>01/00/1900 00:00-&gt;</v>
      </c>
      <c r="BH913" s="148" t="str">
        <f t="shared" si="666"/>
        <v>01/00/1900 00:00-&gt;</v>
      </c>
      <c r="BI913" s="148" t="str">
        <f t="shared" si="667"/>
        <v xml:space="preserve"> in  ()</v>
      </c>
      <c r="BJ913" s="148" t="str">
        <f t="shared" si="668"/>
        <v xml:space="preserve">--  vs. </v>
      </c>
      <c r="BK913" s="148" t="str">
        <f t="shared" si="669"/>
        <v/>
      </c>
      <c r="BL913" s="148">
        <f t="shared" si="670"/>
        <v>0</v>
      </c>
      <c r="BM913" s="148">
        <f t="shared" si="671"/>
        <v>0</v>
      </c>
      <c r="BN913" s="148">
        <f t="shared" si="672"/>
        <v>0</v>
      </c>
      <c r="BP913" s="148" t="str">
        <f t="shared" si="673"/>
        <v>no game</v>
      </c>
      <c r="BQ913" s="148" t="str">
        <f t="shared" si="674"/>
        <v xml:space="preserve">  in </v>
      </c>
    </row>
    <row r="914" spans="2:69" ht="15" customHeight="1" x14ac:dyDescent="0.2">
      <c r="B914" s="153"/>
      <c r="C914" s="153"/>
      <c r="D914" s="383"/>
      <c r="E914" s="383"/>
      <c r="F914" s="153"/>
      <c r="G914" s="154"/>
      <c r="H914" s="155"/>
      <c r="I914" s="314"/>
      <c r="J914" s="153"/>
      <c r="K914" s="153"/>
      <c r="L914" s="153"/>
      <c r="M914" s="153"/>
      <c r="N914" s="153"/>
      <c r="O914" s="153" t="str">
        <f>IF(L914&lt;&gt;"",IFERROR(VLOOKUP(B914&amp;L914,Pools!$A$2:$D$130,3,FALSE),""),"")</f>
        <v/>
      </c>
      <c r="P914" s="387"/>
      <c r="Q914" s="387"/>
      <c r="R914" s="306" t="str">
        <f t="shared" si="630"/>
        <v>-</v>
      </c>
      <c r="S914" s="153"/>
      <c r="T914" s="148" t="str">
        <f t="shared" si="631"/>
        <v>Pending</v>
      </c>
      <c r="U914" s="153"/>
      <c r="V914" s="153"/>
      <c r="W914" s="387">
        <f t="shared" si="632"/>
        <v>0</v>
      </c>
      <c r="X914" s="387">
        <f t="shared" si="633"/>
        <v>0</v>
      </c>
      <c r="Y914" s="301" t="str">
        <f t="shared" si="634"/>
        <v>X</v>
      </c>
      <c r="Z914" s="301" t="str">
        <f t="shared" si="635"/>
        <v>X</v>
      </c>
      <c r="AA914" s="323" t="e">
        <f>CONCATENATE("                x[team1,team2,sport,'",IF(OR(I914="x",I914=""),VLOOKUP('Schedule from TM'!J914,Tables!$P$3:$Q$33,2,FALSE),'Schedule from TM'!I914),",",J914,"','",IF(OR(F914="x",F914=""),VLOOKUP('Schedule from TM'!G914,Tables!$U$3:$V$14,2,FALSE),'Schedule from TM'!F914),",",TEXT(G914,"mm/dd/yyyy"),"','",TEXT(H914,"h:mm:ss AM/PM"),"'].ub=0.0      #",B914)</f>
        <v>#N/A</v>
      </c>
      <c r="AB914" s="301" t="str">
        <f t="shared" si="636"/>
        <v>,,,,1,</v>
      </c>
      <c r="AC914" s="153" t="str">
        <f t="shared" si="637"/>
        <v/>
      </c>
      <c r="AD914" s="301" t="str">
        <f t="shared" si="638"/>
        <v>,,,,1,</v>
      </c>
      <c r="AE914" s="153" t="str">
        <f t="shared" si="639"/>
        <v/>
      </c>
      <c r="AF914" s="383">
        <f t="shared" si="640"/>
        <v>0</v>
      </c>
      <c r="AG914" s="383">
        <f t="shared" si="641"/>
        <v>0</v>
      </c>
      <c r="AH914" s="383">
        <f t="shared" si="642"/>
        <v>0</v>
      </c>
      <c r="AI914" s="383">
        <f t="shared" si="643"/>
        <v>0</v>
      </c>
      <c r="AJ914" s="383">
        <f t="shared" si="644"/>
        <v>0</v>
      </c>
      <c r="AK914" s="383">
        <f t="shared" si="645"/>
        <v>0</v>
      </c>
      <c r="AM914" s="148" t="str">
        <f t="shared" si="646"/>
        <v>Not Schedulled</v>
      </c>
      <c r="AN914" s="148" t="str">
        <f t="shared" si="647"/>
        <v/>
      </c>
      <c r="AO914" s="156">
        <f t="shared" si="648"/>
        <v>0</v>
      </c>
      <c r="AP914" s="148" t="str">
        <f t="shared" si="649"/>
        <v>01/00/1900 00:00-&gt;</v>
      </c>
      <c r="AQ914" s="374">
        <f t="shared" si="650"/>
        <v>0</v>
      </c>
      <c r="AR914" s="148" t="str">
        <f t="shared" si="651"/>
        <v/>
      </c>
      <c r="AS914" s="148" t="str">
        <f t="shared" si="652"/>
        <v/>
      </c>
      <c r="AT914" s="157" t="str">
        <f t="shared" si="653"/>
        <v/>
      </c>
      <c r="AU914" s="157" t="str">
        <f t="shared" si="654"/>
        <v/>
      </c>
      <c r="AV914" s="157" t="str">
        <f t="shared" si="655"/>
        <v/>
      </c>
      <c r="AW914" s="157" t="str">
        <f t="shared" si="656"/>
        <v/>
      </c>
      <c r="AX914" s="376">
        <f t="shared" si="657"/>
        <v>0</v>
      </c>
      <c r="AY914" s="148" t="str">
        <f t="shared" si="658"/>
        <v>-&gt;</v>
      </c>
      <c r="AZ914" s="148" t="str">
        <f t="shared" si="659"/>
        <v>01/00/1900 00:00-&gt;</v>
      </c>
      <c r="BA914" s="148" t="str">
        <f t="shared" si="660"/>
        <v>01/00/1900 00:00-&gt;</v>
      </c>
      <c r="BB914" s="374">
        <f t="shared" si="661"/>
        <v>0</v>
      </c>
      <c r="BC914" s="374">
        <f t="shared" si="662"/>
        <v>0</v>
      </c>
      <c r="BD914" s="148" t="str">
        <f t="shared" si="663"/>
        <v>no conflict</v>
      </c>
      <c r="BF914" s="148" t="str">
        <f t="shared" si="664"/>
        <v>01/00/1900 00:00-&gt;</v>
      </c>
      <c r="BG914" s="148" t="str">
        <f t="shared" si="665"/>
        <v>01/00/1900 00:00-&gt;</v>
      </c>
      <c r="BH914" s="148" t="str">
        <f t="shared" si="666"/>
        <v>01/00/1900 00:00-&gt;</v>
      </c>
      <c r="BI914" s="148" t="str">
        <f t="shared" si="667"/>
        <v xml:space="preserve"> in  ()</v>
      </c>
      <c r="BJ914" s="148" t="str">
        <f t="shared" si="668"/>
        <v xml:space="preserve">--  vs. </v>
      </c>
      <c r="BK914" s="148" t="str">
        <f t="shared" si="669"/>
        <v/>
      </c>
      <c r="BL914" s="148">
        <f t="shared" si="670"/>
        <v>0</v>
      </c>
      <c r="BM914" s="148">
        <f t="shared" si="671"/>
        <v>0</v>
      </c>
      <c r="BN914" s="148">
        <f t="shared" si="672"/>
        <v>0</v>
      </c>
      <c r="BP914" s="148" t="str">
        <f t="shared" si="673"/>
        <v>no game</v>
      </c>
      <c r="BQ914" s="148" t="str">
        <f t="shared" si="674"/>
        <v xml:space="preserve">  in </v>
      </c>
    </row>
    <row r="915" spans="2:69" ht="15" customHeight="1" x14ac:dyDescent="0.2">
      <c r="B915" s="153"/>
      <c r="C915" s="153"/>
      <c r="D915" s="383"/>
      <c r="E915" s="383"/>
      <c r="F915" s="153"/>
      <c r="G915" s="154"/>
      <c r="H915" s="155"/>
      <c r="I915" s="314"/>
      <c r="J915" s="153"/>
      <c r="K915" s="153"/>
      <c r="L915" s="153"/>
      <c r="M915" s="153"/>
      <c r="N915" s="153"/>
      <c r="O915" s="153" t="str">
        <f>IF(L915&lt;&gt;"",IFERROR(VLOOKUP(B915&amp;L915,Pools!$A$2:$D$130,3,FALSE),""),"")</f>
        <v/>
      </c>
      <c r="P915" s="387"/>
      <c r="Q915" s="387"/>
      <c r="R915" s="306" t="str">
        <f t="shared" si="630"/>
        <v>-</v>
      </c>
      <c r="S915" s="153"/>
      <c r="T915" s="148" t="str">
        <f t="shared" si="631"/>
        <v>Pending</v>
      </c>
      <c r="U915" s="153"/>
      <c r="V915" s="153"/>
      <c r="W915" s="387">
        <f t="shared" si="632"/>
        <v>0</v>
      </c>
      <c r="X915" s="387">
        <f t="shared" si="633"/>
        <v>0</v>
      </c>
      <c r="Y915" s="301" t="str">
        <f t="shared" si="634"/>
        <v>X</v>
      </c>
      <c r="Z915" s="301" t="str">
        <f t="shared" si="635"/>
        <v>X</v>
      </c>
      <c r="AA915" s="323" t="e">
        <f>CONCATENATE("                x[team1,team2,sport,'",IF(OR(I915="x",I915=""),VLOOKUP('Schedule from TM'!J915,Tables!$P$3:$Q$33,2,FALSE),'Schedule from TM'!I915),",",J915,"','",IF(OR(F915="x",F915=""),VLOOKUP('Schedule from TM'!G915,Tables!$U$3:$V$14,2,FALSE),'Schedule from TM'!F915),",",TEXT(G915,"mm/dd/yyyy"),"','",TEXT(H915,"h:mm:ss AM/PM"),"'].ub=0.0      #",B915)</f>
        <v>#N/A</v>
      </c>
      <c r="AB915" s="301" t="str">
        <f t="shared" si="636"/>
        <v>,,,,1,</v>
      </c>
      <c r="AC915" s="153" t="str">
        <f t="shared" si="637"/>
        <v/>
      </c>
      <c r="AD915" s="301" t="str">
        <f t="shared" si="638"/>
        <v>,,,,1,</v>
      </c>
      <c r="AE915" s="153" t="str">
        <f t="shared" si="639"/>
        <v/>
      </c>
      <c r="AF915" s="383">
        <f t="shared" si="640"/>
        <v>0</v>
      </c>
      <c r="AG915" s="383">
        <f t="shared" si="641"/>
        <v>0</v>
      </c>
      <c r="AH915" s="383">
        <f t="shared" si="642"/>
        <v>0</v>
      </c>
      <c r="AI915" s="383">
        <f t="shared" si="643"/>
        <v>0</v>
      </c>
      <c r="AJ915" s="383">
        <f t="shared" si="644"/>
        <v>0</v>
      </c>
      <c r="AK915" s="383">
        <f t="shared" si="645"/>
        <v>0</v>
      </c>
      <c r="AM915" s="148" t="str">
        <f t="shared" si="646"/>
        <v>Not Schedulled</v>
      </c>
      <c r="AN915" s="148" t="str">
        <f t="shared" si="647"/>
        <v/>
      </c>
      <c r="AO915" s="156">
        <f t="shared" si="648"/>
        <v>0</v>
      </c>
      <c r="AP915" s="148" t="str">
        <f t="shared" si="649"/>
        <v>01/00/1900 00:00-&gt;</v>
      </c>
      <c r="AQ915" s="374">
        <f t="shared" si="650"/>
        <v>0</v>
      </c>
      <c r="AR915" s="148" t="str">
        <f t="shared" si="651"/>
        <v/>
      </c>
      <c r="AS915" s="148" t="str">
        <f t="shared" si="652"/>
        <v/>
      </c>
      <c r="AT915" s="157" t="str">
        <f t="shared" si="653"/>
        <v/>
      </c>
      <c r="AU915" s="157" t="str">
        <f t="shared" si="654"/>
        <v/>
      </c>
      <c r="AV915" s="157" t="str">
        <f t="shared" si="655"/>
        <v/>
      </c>
      <c r="AW915" s="157" t="str">
        <f t="shared" si="656"/>
        <v/>
      </c>
      <c r="AX915" s="376">
        <f t="shared" si="657"/>
        <v>0</v>
      </c>
      <c r="AY915" s="148" t="str">
        <f t="shared" si="658"/>
        <v>-&gt;</v>
      </c>
      <c r="AZ915" s="148" t="str">
        <f t="shared" si="659"/>
        <v>01/00/1900 00:00-&gt;</v>
      </c>
      <c r="BA915" s="148" t="str">
        <f t="shared" si="660"/>
        <v>01/00/1900 00:00-&gt;</v>
      </c>
      <c r="BB915" s="374">
        <f t="shared" si="661"/>
        <v>0</v>
      </c>
      <c r="BC915" s="374">
        <f t="shared" si="662"/>
        <v>0</v>
      </c>
      <c r="BD915" s="148" t="str">
        <f t="shared" si="663"/>
        <v>no conflict</v>
      </c>
      <c r="BF915" s="148" t="str">
        <f t="shared" si="664"/>
        <v>01/00/1900 00:00-&gt;</v>
      </c>
      <c r="BG915" s="148" t="str">
        <f t="shared" si="665"/>
        <v>01/00/1900 00:00-&gt;</v>
      </c>
      <c r="BH915" s="148" t="str">
        <f t="shared" si="666"/>
        <v>01/00/1900 00:00-&gt;</v>
      </c>
      <c r="BI915" s="148" t="str">
        <f t="shared" si="667"/>
        <v xml:space="preserve"> in  ()</v>
      </c>
      <c r="BJ915" s="148" t="str">
        <f t="shared" si="668"/>
        <v xml:space="preserve">--  vs. </v>
      </c>
      <c r="BK915" s="148" t="str">
        <f t="shared" si="669"/>
        <v/>
      </c>
      <c r="BL915" s="148">
        <f t="shared" si="670"/>
        <v>0</v>
      </c>
      <c r="BM915" s="148">
        <f t="shared" si="671"/>
        <v>0</v>
      </c>
      <c r="BN915" s="148">
        <f t="shared" si="672"/>
        <v>0</v>
      </c>
      <c r="BP915" s="148" t="str">
        <f t="shared" si="673"/>
        <v>no game</v>
      </c>
      <c r="BQ915" s="148" t="str">
        <f t="shared" si="674"/>
        <v xml:space="preserve">  in </v>
      </c>
    </row>
    <row r="916" spans="2:69" ht="15" customHeight="1" x14ac:dyDescent="0.2">
      <c r="B916" s="153"/>
      <c r="C916" s="153"/>
      <c r="D916" s="383"/>
      <c r="E916" s="383"/>
      <c r="F916" s="153"/>
      <c r="G916" s="154"/>
      <c r="H916" s="155"/>
      <c r="I916" s="314"/>
      <c r="J916" s="153"/>
      <c r="K916" s="153"/>
      <c r="L916" s="153"/>
      <c r="M916" s="153"/>
      <c r="N916" s="153"/>
      <c r="O916" s="153" t="str">
        <f>IF(L916&lt;&gt;"",IFERROR(VLOOKUP(B916&amp;L916,Pools!$A$2:$D$130,3,FALSE),""),"")</f>
        <v/>
      </c>
      <c r="P916" s="387"/>
      <c r="Q916" s="387"/>
      <c r="R916" s="306" t="str">
        <f t="shared" si="630"/>
        <v>-</v>
      </c>
      <c r="S916" s="153"/>
      <c r="T916" s="148" t="str">
        <f t="shared" si="631"/>
        <v>Pending</v>
      </c>
      <c r="U916" s="153"/>
      <c r="V916" s="153"/>
      <c r="W916" s="387">
        <f t="shared" si="632"/>
        <v>0</v>
      </c>
      <c r="X916" s="387">
        <f t="shared" si="633"/>
        <v>0</v>
      </c>
      <c r="Y916" s="301" t="str">
        <f t="shared" si="634"/>
        <v>X</v>
      </c>
      <c r="Z916" s="301" t="str">
        <f t="shared" si="635"/>
        <v>X</v>
      </c>
      <c r="AA916" s="323" t="e">
        <f>CONCATENATE("                x[team1,team2,sport,'",IF(OR(I916="x",I916=""),VLOOKUP('Schedule from TM'!J916,Tables!$P$3:$Q$33,2,FALSE),'Schedule from TM'!I916),",",J916,"','",IF(OR(F916="x",F916=""),VLOOKUP('Schedule from TM'!G916,Tables!$U$3:$V$14,2,FALSE),'Schedule from TM'!F916),",",TEXT(G916,"mm/dd/yyyy"),"','",TEXT(H916,"h:mm:ss AM/PM"),"'].ub=0.0      #",B916)</f>
        <v>#N/A</v>
      </c>
      <c r="AB916" s="301" t="str">
        <f t="shared" si="636"/>
        <v>,,,,1,</v>
      </c>
      <c r="AC916" s="153" t="str">
        <f t="shared" si="637"/>
        <v/>
      </c>
      <c r="AD916" s="301" t="str">
        <f t="shared" si="638"/>
        <v>,,,,1,</v>
      </c>
      <c r="AE916" s="153" t="str">
        <f t="shared" si="639"/>
        <v/>
      </c>
      <c r="AF916" s="383">
        <f t="shared" si="640"/>
        <v>0</v>
      </c>
      <c r="AG916" s="383">
        <f t="shared" si="641"/>
        <v>0</v>
      </c>
      <c r="AH916" s="383">
        <f t="shared" si="642"/>
        <v>0</v>
      </c>
      <c r="AI916" s="383">
        <f t="shared" si="643"/>
        <v>0</v>
      </c>
      <c r="AJ916" s="383">
        <f t="shared" si="644"/>
        <v>0</v>
      </c>
      <c r="AK916" s="383">
        <f t="shared" si="645"/>
        <v>0</v>
      </c>
      <c r="AM916" s="148" t="str">
        <f t="shared" si="646"/>
        <v>Not Schedulled</v>
      </c>
      <c r="AN916" s="148" t="str">
        <f t="shared" si="647"/>
        <v/>
      </c>
      <c r="AO916" s="156">
        <f t="shared" si="648"/>
        <v>0</v>
      </c>
      <c r="AP916" s="148" t="str">
        <f t="shared" si="649"/>
        <v>01/00/1900 00:00-&gt;</v>
      </c>
      <c r="AQ916" s="374">
        <f t="shared" si="650"/>
        <v>0</v>
      </c>
      <c r="AR916" s="148" t="str">
        <f t="shared" si="651"/>
        <v/>
      </c>
      <c r="AS916" s="148" t="str">
        <f t="shared" si="652"/>
        <v/>
      </c>
      <c r="AT916" s="157" t="str">
        <f t="shared" si="653"/>
        <v/>
      </c>
      <c r="AU916" s="157" t="str">
        <f t="shared" si="654"/>
        <v/>
      </c>
      <c r="AV916" s="157" t="str">
        <f t="shared" si="655"/>
        <v/>
      </c>
      <c r="AW916" s="157" t="str">
        <f t="shared" si="656"/>
        <v/>
      </c>
      <c r="AX916" s="376">
        <f t="shared" si="657"/>
        <v>0</v>
      </c>
      <c r="AY916" s="148" t="str">
        <f t="shared" si="658"/>
        <v>-&gt;</v>
      </c>
      <c r="AZ916" s="148" t="str">
        <f t="shared" si="659"/>
        <v>01/00/1900 00:00-&gt;</v>
      </c>
      <c r="BA916" s="148" t="str">
        <f t="shared" si="660"/>
        <v>01/00/1900 00:00-&gt;</v>
      </c>
      <c r="BB916" s="374">
        <f t="shared" si="661"/>
        <v>0</v>
      </c>
      <c r="BC916" s="374">
        <f t="shared" si="662"/>
        <v>0</v>
      </c>
      <c r="BD916" s="148" t="str">
        <f t="shared" si="663"/>
        <v>no conflict</v>
      </c>
      <c r="BF916" s="148" t="str">
        <f t="shared" si="664"/>
        <v>01/00/1900 00:00-&gt;</v>
      </c>
      <c r="BG916" s="148" t="str">
        <f t="shared" si="665"/>
        <v>01/00/1900 00:00-&gt;</v>
      </c>
      <c r="BH916" s="148" t="str">
        <f t="shared" si="666"/>
        <v>01/00/1900 00:00-&gt;</v>
      </c>
      <c r="BI916" s="148" t="str">
        <f t="shared" si="667"/>
        <v xml:space="preserve"> in  ()</v>
      </c>
      <c r="BJ916" s="148" t="str">
        <f t="shared" si="668"/>
        <v xml:space="preserve">--  vs. </v>
      </c>
      <c r="BK916" s="148" t="str">
        <f t="shared" si="669"/>
        <v/>
      </c>
      <c r="BL916" s="148">
        <f t="shared" si="670"/>
        <v>0</v>
      </c>
      <c r="BM916" s="148">
        <f t="shared" si="671"/>
        <v>0</v>
      </c>
      <c r="BN916" s="148">
        <f t="shared" si="672"/>
        <v>0</v>
      </c>
      <c r="BP916" s="148" t="str">
        <f t="shared" si="673"/>
        <v>no game</v>
      </c>
      <c r="BQ916" s="148" t="str">
        <f t="shared" si="674"/>
        <v xml:space="preserve">  in </v>
      </c>
    </row>
    <row r="917" spans="2:69" ht="15" customHeight="1" x14ac:dyDescent="0.2">
      <c r="B917" s="153"/>
      <c r="C917" s="153"/>
      <c r="D917" s="383"/>
      <c r="E917" s="383"/>
      <c r="F917" s="153"/>
      <c r="G917" s="154"/>
      <c r="H917" s="155"/>
      <c r="I917" s="314"/>
      <c r="J917" s="153"/>
      <c r="K917" s="153"/>
      <c r="L917" s="153"/>
      <c r="M917" s="153"/>
      <c r="N917" s="153"/>
      <c r="O917" s="153" t="str">
        <f>IF(L917&lt;&gt;"",IFERROR(VLOOKUP(B917&amp;L917,Pools!$A$2:$D$130,3,FALSE),""),"")</f>
        <v/>
      </c>
      <c r="P917" s="387"/>
      <c r="Q917" s="387"/>
      <c r="R917" s="306" t="str">
        <f t="shared" si="630"/>
        <v>-</v>
      </c>
      <c r="S917" s="153"/>
      <c r="T917" s="148" t="str">
        <f t="shared" si="631"/>
        <v>Pending</v>
      </c>
      <c r="U917" s="153"/>
      <c r="V917" s="153"/>
      <c r="W917" s="387">
        <f t="shared" si="632"/>
        <v>0</v>
      </c>
      <c r="X917" s="387">
        <f t="shared" si="633"/>
        <v>0</v>
      </c>
      <c r="Y917" s="301" t="str">
        <f t="shared" si="634"/>
        <v>X</v>
      </c>
      <c r="Z917" s="301" t="str">
        <f t="shared" si="635"/>
        <v>X</v>
      </c>
      <c r="AA917" s="323" t="e">
        <f>CONCATENATE("                x[team1,team2,sport,'",IF(OR(I917="x",I917=""),VLOOKUP('Schedule from TM'!J917,Tables!$P$3:$Q$33,2,FALSE),'Schedule from TM'!I917),",",J917,"','",IF(OR(F917="x",F917=""),VLOOKUP('Schedule from TM'!G917,Tables!$U$3:$V$14,2,FALSE),'Schedule from TM'!F917),",",TEXT(G917,"mm/dd/yyyy"),"','",TEXT(H917,"h:mm:ss AM/PM"),"'].ub=0.0      #",B917)</f>
        <v>#N/A</v>
      </c>
      <c r="AB917" s="301" t="str">
        <f t="shared" si="636"/>
        <v>,,,,1,</v>
      </c>
      <c r="AC917" s="153" t="str">
        <f t="shared" si="637"/>
        <v/>
      </c>
      <c r="AD917" s="301" t="str">
        <f t="shared" si="638"/>
        <v>,,,,1,</v>
      </c>
      <c r="AE917" s="153" t="str">
        <f t="shared" si="639"/>
        <v/>
      </c>
      <c r="AF917" s="383">
        <f t="shared" si="640"/>
        <v>0</v>
      </c>
      <c r="AG917" s="383">
        <f t="shared" si="641"/>
        <v>0</v>
      </c>
      <c r="AH917" s="383">
        <f t="shared" si="642"/>
        <v>0</v>
      </c>
      <c r="AI917" s="383">
        <f t="shared" si="643"/>
        <v>0</v>
      </c>
      <c r="AJ917" s="383">
        <f t="shared" si="644"/>
        <v>0</v>
      </c>
      <c r="AK917" s="383">
        <f t="shared" si="645"/>
        <v>0</v>
      </c>
      <c r="AM917" s="148" t="str">
        <f t="shared" si="646"/>
        <v>Not Schedulled</v>
      </c>
      <c r="AN917" s="148" t="str">
        <f t="shared" si="647"/>
        <v/>
      </c>
      <c r="AO917" s="156">
        <f t="shared" si="648"/>
        <v>0</v>
      </c>
      <c r="AP917" s="148" t="str">
        <f t="shared" si="649"/>
        <v>01/00/1900 00:00-&gt;</v>
      </c>
      <c r="AQ917" s="374">
        <f t="shared" si="650"/>
        <v>0</v>
      </c>
      <c r="AR917" s="148" t="str">
        <f t="shared" si="651"/>
        <v/>
      </c>
      <c r="AS917" s="148" t="str">
        <f t="shared" si="652"/>
        <v/>
      </c>
      <c r="AT917" s="157" t="str">
        <f t="shared" si="653"/>
        <v/>
      </c>
      <c r="AU917" s="157" t="str">
        <f t="shared" si="654"/>
        <v/>
      </c>
      <c r="AV917" s="157" t="str">
        <f t="shared" si="655"/>
        <v/>
      </c>
      <c r="AW917" s="157" t="str">
        <f t="shared" si="656"/>
        <v/>
      </c>
      <c r="AX917" s="376">
        <f t="shared" si="657"/>
        <v>0</v>
      </c>
      <c r="AY917" s="148" t="str">
        <f t="shared" si="658"/>
        <v>-&gt;</v>
      </c>
      <c r="AZ917" s="148" t="str">
        <f t="shared" si="659"/>
        <v>01/00/1900 00:00-&gt;</v>
      </c>
      <c r="BA917" s="148" t="str">
        <f t="shared" si="660"/>
        <v>01/00/1900 00:00-&gt;</v>
      </c>
      <c r="BB917" s="374">
        <f t="shared" si="661"/>
        <v>0</v>
      </c>
      <c r="BC917" s="374">
        <f t="shared" si="662"/>
        <v>0</v>
      </c>
      <c r="BD917" s="148" t="str">
        <f t="shared" si="663"/>
        <v>no conflict</v>
      </c>
      <c r="BF917" s="148" t="str">
        <f t="shared" si="664"/>
        <v>01/00/1900 00:00-&gt;</v>
      </c>
      <c r="BG917" s="148" t="str">
        <f t="shared" si="665"/>
        <v>01/00/1900 00:00-&gt;</v>
      </c>
      <c r="BH917" s="148" t="str">
        <f t="shared" si="666"/>
        <v>01/00/1900 00:00-&gt;</v>
      </c>
      <c r="BI917" s="148" t="str">
        <f t="shared" si="667"/>
        <v xml:space="preserve"> in  ()</v>
      </c>
      <c r="BJ917" s="148" t="str">
        <f t="shared" si="668"/>
        <v xml:space="preserve">--  vs. </v>
      </c>
      <c r="BK917" s="148" t="str">
        <f t="shared" si="669"/>
        <v/>
      </c>
      <c r="BL917" s="148">
        <f t="shared" si="670"/>
        <v>0</v>
      </c>
      <c r="BM917" s="148">
        <f t="shared" si="671"/>
        <v>0</v>
      </c>
      <c r="BN917" s="148">
        <f t="shared" si="672"/>
        <v>0</v>
      </c>
      <c r="BP917" s="148" t="str">
        <f t="shared" si="673"/>
        <v>no game</v>
      </c>
      <c r="BQ917" s="148" t="str">
        <f t="shared" si="674"/>
        <v xml:space="preserve">  in </v>
      </c>
    </row>
    <row r="918" spans="2:69" ht="15" customHeight="1" x14ac:dyDescent="0.2">
      <c r="B918" s="153"/>
      <c r="C918" s="153"/>
      <c r="D918" s="383"/>
      <c r="E918" s="383"/>
      <c r="F918" s="153"/>
      <c r="G918" s="154"/>
      <c r="H918" s="155"/>
      <c r="I918" s="314"/>
      <c r="J918" s="153"/>
      <c r="K918" s="153"/>
      <c r="L918" s="153"/>
      <c r="M918" s="153"/>
      <c r="N918" s="153"/>
      <c r="O918" s="153" t="str">
        <f>IF(L918&lt;&gt;"",IFERROR(VLOOKUP(B918&amp;L918,Pools!$A$2:$D$130,3,FALSE),""),"")</f>
        <v/>
      </c>
      <c r="P918" s="387"/>
      <c r="Q918" s="387"/>
      <c r="R918" s="306" t="str">
        <f t="shared" si="630"/>
        <v>-</v>
      </c>
      <c r="S918" s="153"/>
      <c r="T918" s="148" t="str">
        <f t="shared" si="631"/>
        <v>Pending</v>
      </c>
      <c r="U918" s="153"/>
      <c r="V918" s="153"/>
      <c r="W918" s="387">
        <f t="shared" si="632"/>
        <v>0</v>
      </c>
      <c r="X918" s="387">
        <f t="shared" si="633"/>
        <v>0</v>
      </c>
      <c r="Y918" s="301" t="str">
        <f t="shared" si="634"/>
        <v>X</v>
      </c>
      <c r="Z918" s="301" t="str">
        <f t="shared" si="635"/>
        <v>X</v>
      </c>
      <c r="AA918" s="323" t="e">
        <f>CONCATENATE("                x[team1,team2,sport,'",IF(OR(I918="x",I918=""),VLOOKUP('Schedule from TM'!J918,Tables!$P$3:$Q$33,2,FALSE),'Schedule from TM'!I918),",",J918,"','",IF(OR(F918="x",F918=""),VLOOKUP('Schedule from TM'!G918,Tables!$U$3:$V$14,2,FALSE),'Schedule from TM'!F918),",",TEXT(G918,"mm/dd/yyyy"),"','",TEXT(H918,"h:mm:ss AM/PM"),"'].ub=0.0      #",B918)</f>
        <v>#N/A</v>
      </c>
      <c r="AB918" s="301" t="str">
        <f t="shared" si="636"/>
        <v>,,,,1,</v>
      </c>
      <c r="AC918" s="153" t="str">
        <f t="shared" si="637"/>
        <v/>
      </c>
      <c r="AD918" s="301" t="str">
        <f t="shared" si="638"/>
        <v>,,,,1,</v>
      </c>
      <c r="AE918" s="153" t="str">
        <f t="shared" si="639"/>
        <v/>
      </c>
      <c r="AF918" s="383">
        <f t="shared" si="640"/>
        <v>0</v>
      </c>
      <c r="AG918" s="383">
        <f t="shared" si="641"/>
        <v>0</v>
      </c>
      <c r="AH918" s="383">
        <f t="shared" si="642"/>
        <v>0</v>
      </c>
      <c r="AI918" s="383">
        <f t="shared" si="643"/>
        <v>0</v>
      </c>
      <c r="AJ918" s="383">
        <f t="shared" si="644"/>
        <v>0</v>
      </c>
      <c r="AK918" s="383">
        <f t="shared" si="645"/>
        <v>0</v>
      </c>
      <c r="AM918" s="148" t="str">
        <f t="shared" si="646"/>
        <v>Not Schedulled</v>
      </c>
      <c r="AN918" s="148" t="str">
        <f t="shared" si="647"/>
        <v/>
      </c>
      <c r="AO918" s="156">
        <f t="shared" si="648"/>
        <v>0</v>
      </c>
      <c r="AP918" s="148" t="str">
        <f t="shared" si="649"/>
        <v>01/00/1900 00:00-&gt;</v>
      </c>
      <c r="AQ918" s="374">
        <f t="shared" si="650"/>
        <v>0</v>
      </c>
      <c r="AR918" s="148" t="str">
        <f t="shared" si="651"/>
        <v/>
      </c>
      <c r="AS918" s="148" t="str">
        <f t="shared" si="652"/>
        <v/>
      </c>
      <c r="AT918" s="157" t="str">
        <f t="shared" si="653"/>
        <v/>
      </c>
      <c r="AU918" s="157" t="str">
        <f t="shared" si="654"/>
        <v/>
      </c>
      <c r="AV918" s="157" t="str">
        <f t="shared" si="655"/>
        <v/>
      </c>
      <c r="AW918" s="157" t="str">
        <f t="shared" si="656"/>
        <v/>
      </c>
      <c r="AX918" s="376">
        <f t="shared" si="657"/>
        <v>0</v>
      </c>
      <c r="AY918" s="148" t="str">
        <f t="shared" si="658"/>
        <v>-&gt;</v>
      </c>
      <c r="AZ918" s="148" t="str">
        <f t="shared" si="659"/>
        <v>01/00/1900 00:00-&gt;</v>
      </c>
      <c r="BA918" s="148" t="str">
        <f t="shared" si="660"/>
        <v>01/00/1900 00:00-&gt;</v>
      </c>
      <c r="BB918" s="374">
        <f t="shared" si="661"/>
        <v>0</v>
      </c>
      <c r="BC918" s="374">
        <f t="shared" si="662"/>
        <v>0</v>
      </c>
      <c r="BD918" s="148" t="str">
        <f t="shared" si="663"/>
        <v>no conflict</v>
      </c>
      <c r="BF918" s="148" t="str">
        <f t="shared" si="664"/>
        <v>01/00/1900 00:00-&gt;</v>
      </c>
      <c r="BG918" s="148" t="str">
        <f t="shared" si="665"/>
        <v>01/00/1900 00:00-&gt;</v>
      </c>
      <c r="BH918" s="148" t="str">
        <f t="shared" si="666"/>
        <v>01/00/1900 00:00-&gt;</v>
      </c>
      <c r="BI918" s="148" t="str">
        <f t="shared" si="667"/>
        <v xml:space="preserve"> in  ()</v>
      </c>
      <c r="BJ918" s="148" t="str">
        <f t="shared" si="668"/>
        <v xml:space="preserve">--  vs. </v>
      </c>
      <c r="BK918" s="148" t="str">
        <f t="shared" si="669"/>
        <v/>
      </c>
      <c r="BL918" s="148">
        <f t="shared" si="670"/>
        <v>0</v>
      </c>
      <c r="BM918" s="148">
        <f t="shared" si="671"/>
        <v>0</v>
      </c>
      <c r="BN918" s="148">
        <f t="shared" si="672"/>
        <v>0</v>
      </c>
      <c r="BP918" s="148" t="str">
        <f t="shared" si="673"/>
        <v>no game</v>
      </c>
      <c r="BQ918" s="148" t="str">
        <f t="shared" si="674"/>
        <v xml:space="preserve">  in </v>
      </c>
    </row>
    <row r="919" spans="2:69" ht="15" customHeight="1" x14ac:dyDescent="0.2">
      <c r="B919" s="153"/>
      <c r="C919" s="153"/>
      <c r="D919" s="383"/>
      <c r="E919" s="383"/>
      <c r="F919" s="153"/>
      <c r="G919" s="154"/>
      <c r="H919" s="155"/>
      <c r="I919" s="314"/>
      <c r="J919" s="153"/>
      <c r="K919" s="153"/>
      <c r="L919" s="153"/>
      <c r="M919" s="153"/>
      <c r="N919" s="153"/>
      <c r="O919" s="153" t="str">
        <f>IF(L919&lt;&gt;"",IFERROR(VLOOKUP(B919&amp;L919,Pools!$A$2:$D$130,3,FALSE),""),"")</f>
        <v/>
      </c>
      <c r="P919" s="387"/>
      <c r="Q919" s="387"/>
      <c r="R919" s="306" t="str">
        <f t="shared" si="630"/>
        <v>-</v>
      </c>
      <c r="S919" s="153"/>
      <c r="T919" s="148" t="str">
        <f t="shared" si="631"/>
        <v>Pending</v>
      </c>
      <c r="U919" s="153"/>
      <c r="V919" s="153"/>
      <c r="W919" s="387">
        <f t="shared" si="632"/>
        <v>0</v>
      </c>
      <c r="X919" s="387">
        <f t="shared" si="633"/>
        <v>0</v>
      </c>
      <c r="Y919" s="301" t="str">
        <f t="shared" si="634"/>
        <v>X</v>
      </c>
      <c r="Z919" s="301" t="str">
        <f t="shared" si="635"/>
        <v>X</v>
      </c>
      <c r="AA919" s="323" t="e">
        <f>CONCATENATE("                x[team1,team2,sport,'",IF(OR(I919="x",I919=""),VLOOKUP('Schedule from TM'!J919,Tables!$P$3:$Q$33,2,FALSE),'Schedule from TM'!I919),",",J919,"','",IF(OR(F919="x",F919=""),VLOOKUP('Schedule from TM'!G919,Tables!$U$3:$V$14,2,FALSE),'Schedule from TM'!F919),",",TEXT(G919,"mm/dd/yyyy"),"','",TEXT(H919,"h:mm:ss AM/PM"),"'].ub=0.0      #",B919)</f>
        <v>#N/A</v>
      </c>
      <c r="AB919" s="301" t="str">
        <f t="shared" si="636"/>
        <v>,,,,1,</v>
      </c>
      <c r="AC919" s="153" t="str">
        <f t="shared" si="637"/>
        <v/>
      </c>
      <c r="AD919" s="301" t="str">
        <f t="shared" si="638"/>
        <v>,,,,1,</v>
      </c>
      <c r="AE919" s="153" t="str">
        <f t="shared" si="639"/>
        <v/>
      </c>
      <c r="AF919" s="383">
        <f t="shared" si="640"/>
        <v>0</v>
      </c>
      <c r="AG919" s="383">
        <f t="shared" si="641"/>
        <v>0</v>
      </c>
      <c r="AH919" s="383">
        <f t="shared" si="642"/>
        <v>0</v>
      </c>
      <c r="AI919" s="383">
        <f t="shared" si="643"/>
        <v>0</v>
      </c>
      <c r="AJ919" s="383">
        <f t="shared" si="644"/>
        <v>0</v>
      </c>
      <c r="AK919" s="383">
        <f t="shared" si="645"/>
        <v>0</v>
      </c>
      <c r="AM919" s="148" t="str">
        <f t="shared" si="646"/>
        <v>Not Schedulled</v>
      </c>
      <c r="AN919" s="148" t="str">
        <f t="shared" si="647"/>
        <v/>
      </c>
      <c r="AO919" s="156">
        <f t="shared" si="648"/>
        <v>0</v>
      </c>
      <c r="AP919" s="148" t="str">
        <f t="shared" si="649"/>
        <v>01/00/1900 00:00-&gt;</v>
      </c>
      <c r="AQ919" s="374">
        <f t="shared" si="650"/>
        <v>0</v>
      </c>
      <c r="AR919" s="148" t="str">
        <f t="shared" si="651"/>
        <v/>
      </c>
      <c r="AS919" s="148" t="str">
        <f t="shared" si="652"/>
        <v/>
      </c>
      <c r="AT919" s="157" t="str">
        <f t="shared" si="653"/>
        <v/>
      </c>
      <c r="AU919" s="157" t="str">
        <f t="shared" si="654"/>
        <v/>
      </c>
      <c r="AV919" s="157" t="str">
        <f t="shared" si="655"/>
        <v/>
      </c>
      <c r="AW919" s="157" t="str">
        <f t="shared" si="656"/>
        <v/>
      </c>
      <c r="AX919" s="376">
        <f t="shared" si="657"/>
        <v>0</v>
      </c>
      <c r="AY919" s="148" t="str">
        <f t="shared" si="658"/>
        <v>-&gt;</v>
      </c>
      <c r="AZ919" s="148" t="str">
        <f t="shared" si="659"/>
        <v>01/00/1900 00:00-&gt;</v>
      </c>
      <c r="BA919" s="148" t="str">
        <f t="shared" si="660"/>
        <v>01/00/1900 00:00-&gt;</v>
      </c>
      <c r="BB919" s="374">
        <f t="shared" si="661"/>
        <v>0</v>
      </c>
      <c r="BC919" s="374">
        <f t="shared" si="662"/>
        <v>0</v>
      </c>
      <c r="BD919" s="148" t="str">
        <f t="shared" si="663"/>
        <v>no conflict</v>
      </c>
      <c r="BF919" s="148" t="str">
        <f t="shared" si="664"/>
        <v>01/00/1900 00:00-&gt;</v>
      </c>
      <c r="BG919" s="148" t="str">
        <f t="shared" si="665"/>
        <v>01/00/1900 00:00-&gt;</v>
      </c>
      <c r="BH919" s="148" t="str">
        <f t="shared" si="666"/>
        <v>01/00/1900 00:00-&gt;</v>
      </c>
      <c r="BI919" s="148" t="str">
        <f t="shared" si="667"/>
        <v xml:space="preserve"> in  ()</v>
      </c>
      <c r="BJ919" s="148" t="str">
        <f t="shared" si="668"/>
        <v xml:space="preserve">--  vs. </v>
      </c>
      <c r="BK919" s="148" t="str">
        <f t="shared" si="669"/>
        <v/>
      </c>
      <c r="BL919" s="148">
        <f t="shared" si="670"/>
        <v>0</v>
      </c>
      <c r="BM919" s="148">
        <f t="shared" si="671"/>
        <v>0</v>
      </c>
      <c r="BN919" s="148">
        <f t="shared" si="672"/>
        <v>0</v>
      </c>
      <c r="BP919" s="148" t="str">
        <f t="shared" si="673"/>
        <v>no game</v>
      </c>
      <c r="BQ919" s="148" t="str">
        <f t="shared" si="674"/>
        <v xml:space="preserve">  in </v>
      </c>
    </row>
    <row r="920" spans="2:69" ht="15" customHeight="1" x14ac:dyDescent="0.2">
      <c r="B920" s="153"/>
      <c r="C920" s="153"/>
      <c r="D920" s="383"/>
      <c r="E920" s="383"/>
      <c r="F920" s="153"/>
      <c r="G920" s="154"/>
      <c r="H920" s="155"/>
      <c r="I920" s="314"/>
      <c r="J920" s="153"/>
      <c r="K920" s="153"/>
      <c r="L920" s="153"/>
      <c r="M920" s="153"/>
      <c r="N920" s="153"/>
      <c r="O920" s="153" t="str">
        <f>IF(L920&lt;&gt;"",IFERROR(VLOOKUP(B920&amp;L920,Pools!$A$2:$D$130,3,FALSE),""),"")</f>
        <v/>
      </c>
      <c r="P920" s="387"/>
      <c r="Q920" s="387"/>
      <c r="R920" s="306" t="str">
        <f t="shared" si="630"/>
        <v>-</v>
      </c>
      <c r="S920" s="153"/>
      <c r="T920" s="148" t="str">
        <f t="shared" si="631"/>
        <v>Pending</v>
      </c>
      <c r="U920" s="153"/>
      <c r="V920" s="153"/>
      <c r="W920" s="387">
        <f t="shared" si="632"/>
        <v>0</v>
      </c>
      <c r="X920" s="387">
        <f t="shared" si="633"/>
        <v>0</v>
      </c>
      <c r="Y920" s="301" t="str">
        <f t="shared" si="634"/>
        <v>X</v>
      </c>
      <c r="Z920" s="301" t="str">
        <f t="shared" si="635"/>
        <v>X</v>
      </c>
      <c r="AA920" s="323" t="e">
        <f>CONCATENATE("                x[team1,team2,sport,'",IF(OR(I920="x",I920=""),VLOOKUP('Schedule from TM'!J920,Tables!$P$3:$Q$33,2,FALSE),'Schedule from TM'!I920),",",J920,"','",IF(OR(F920="x",F920=""),VLOOKUP('Schedule from TM'!G920,Tables!$U$3:$V$14,2,FALSE),'Schedule from TM'!F920),",",TEXT(G920,"mm/dd/yyyy"),"','",TEXT(H920,"h:mm:ss AM/PM"),"'].ub=0.0      #",B920)</f>
        <v>#N/A</v>
      </c>
      <c r="AB920" s="301" t="str">
        <f t="shared" si="636"/>
        <v>,,,,1,</v>
      </c>
      <c r="AC920" s="153" t="str">
        <f t="shared" si="637"/>
        <v/>
      </c>
      <c r="AD920" s="301" t="str">
        <f t="shared" si="638"/>
        <v>,,,,1,</v>
      </c>
      <c r="AE920" s="153" t="str">
        <f t="shared" si="639"/>
        <v/>
      </c>
      <c r="AF920" s="383">
        <f t="shared" si="640"/>
        <v>0</v>
      </c>
      <c r="AG920" s="383">
        <f t="shared" si="641"/>
        <v>0</v>
      </c>
      <c r="AH920" s="383">
        <f t="shared" si="642"/>
        <v>0</v>
      </c>
      <c r="AI920" s="383">
        <f t="shared" si="643"/>
        <v>0</v>
      </c>
      <c r="AJ920" s="383">
        <f t="shared" si="644"/>
        <v>0</v>
      </c>
      <c r="AK920" s="383">
        <f t="shared" si="645"/>
        <v>0</v>
      </c>
      <c r="AM920" s="148" t="str">
        <f t="shared" si="646"/>
        <v>Not Schedulled</v>
      </c>
      <c r="AN920" s="148" t="str">
        <f t="shared" si="647"/>
        <v/>
      </c>
      <c r="AO920" s="156">
        <f t="shared" si="648"/>
        <v>0</v>
      </c>
      <c r="AP920" s="148" t="str">
        <f t="shared" si="649"/>
        <v>01/00/1900 00:00-&gt;</v>
      </c>
      <c r="AQ920" s="374">
        <f t="shared" si="650"/>
        <v>0</v>
      </c>
      <c r="AR920" s="148" t="str">
        <f t="shared" si="651"/>
        <v/>
      </c>
      <c r="AS920" s="148" t="str">
        <f t="shared" si="652"/>
        <v/>
      </c>
      <c r="AT920" s="157" t="str">
        <f t="shared" si="653"/>
        <v/>
      </c>
      <c r="AU920" s="157" t="str">
        <f t="shared" si="654"/>
        <v/>
      </c>
      <c r="AV920" s="157" t="str">
        <f t="shared" si="655"/>
        <v/>
      </c>
      <c r="AW920" s="157" t="str">
        <f t="shared" si="656"/>
        <v/>
      </c>
      <c r="AX920" s="376">
        <f t="shared" si="657"/>
        <v>0</v>
      </c>
      <c r="AY920" s="148" t="str">
        <f t="shared" si="658"/>
        <v>-&gt;</v>
      </c>
      <c r="AZ920" s="148" t="str">
        <f t="shared" si="659"/>
        <v>01/00/1900 00:00-&gt;</v>
      </c>
      <c r="BA920" s="148" t="str">
        <f t="shared" si="660"/>
        <v>01/00/1900 00:00-&gt;</v>
      </c>
      <c r="BB920" s="374">
        <f t="shared" si="661"/>
        <v>0</v>
      </c>
      <c r="BC920" s="374">
        <f t="shared" si="662"/>
        <v>0</v>
      </c>
      <c r="BD920" s="148" t="str">
        <f t="shared" si="663"/>
        <v>no conflict</v>
      </c>
      <c r="BF920" s="148" t="str">
        <f t="shared" si="664"/>
        <v>01/00/1900 00:00-&gt;</v>
      </c>
      <c r="BG920" s="148" t="str">
        <f t="shared" si="665"/>
        <v>01/00/1900 00:00-&gt;</v>
      </c>
      <c r="BH920" s="148" t="str">
        <f t="shared" si="666"/>
        <v>01/00/1900 00:00-&gt;</v>
      </c>
      <c r="BI920" s="148" t="str">
        <f t="shared" si="667"/>
        <v xml:space="preserve"> in  ()</v>
      </c>
      <c r="BJ920" s="148" t="str">
        <f t="shared" si="668"/>
        <v xml:space="preserve">--  vs. </v>
      </c>
      <c r="BK920" s="148" t="str">
        <f t="shared" si="669"/>
        <v/>
      </c>
      <c r="BL920" s="148">
        <f t="shared" si="670"/>
        <v>0</v>
      </c>
      <c r="BM920" s="148">
        <f t="shared" si="671"/>
        <v>0</v>
      </c>
      <c r="BN920" s="148">
        <f t="shared" si="672"/>
        <v>0</v>
      </c>
      <c r="BP920" s="148" t="str">
        <f t="shared" si="673"/>
        <v>no game</v>
      </c>
      <c r="BQ920" s="148" t="str">
        <f t="shared" si="674"/>
        <v xml:space="preserve">  in </v>
      </c>
    </row>
    <row r="921" spans="2:69" ht="15" customHeight="1" x14ac:dyDescent="0.2">
      <c r="B921" s="153"/>
      <c r="C921" s="153"/>
      <c r="D921" s="383"/>
      <c r="E921" s="383"/>
      <c r="F921" s="153"/>
      <c r="G921" s="154"/>
      <c r="H921" s="155"/>
      <c r="I921" s="314"/>
      <c r="J921" s="153"/>
      <c r="K921" s="153"/>
      <c r="L921" s="153"/>
      <c r="M921" s="153"/>
      <c r="N921" s="153"/>
      <c r="O921" s="153" t="str">
        <f>IF(L921&lt;&gt;"",IFERROR(VLOOKUP(B921&amp;L921,Pools!$A$2:$D$130,3,FALSE),""),"")</f>
        <v/>
      </c>
      <c r="P921" s="387"/>
      <c r="Q921" s="387"/>
      <c r="R921" s="306" t="str">
        <f t="shared" si="630"/>
        <v>-</v>
      </c>
      <c r="S921" s="153"/>
      <c r="T921" s="148" t="str">
        <f t="shared" si="631"/>
        <v>Pending</v>
      </c>
      <c r="U921" s="153"/>
      <c r="V921" s="153"/>
      <c r="W921" s="387">
        <f t="shared" si="632"/>
        <v>0</v>
      </c>
      <c r="X921" s="387">
        <f t="shared" si="633"/>
        <v>0</v>
      </c>
      <c r="Y921" s="301" t="str">
        <f t="shared" si="634"/>
        <v>X</v>
      </c>
      <c r="Z921" s="301" t="str">
        <f t="shared" si="635"/>
        <v>X</v>
      </c>
      <c r="AA921" s="323" t="e">
        <f>CONCATENATE("                x[team1,team2,sport,'",IF(OR(I921="x",I921=""),VLOOKUP('Schedule from TM'!J921,Tables!$P$3:$Q$33,2,FALSE),'Schedule from TM'!I921),",",J921,"','",IF(OR(F921="x",F921=""),VLOOKUP('Schedule from TM'!G921,Tables!$U$3:$V$14,2,FALSE),'Schedule from TM'!F921),",",TEXT(G921,"mm/dd/yyyy"),"','",TEXT(H921,"h:mm:ss AM/PM"),"'].ub=0.0      #",B921)</f>
        <v>#N/A</v>
      </c>
      <c r="AB921" s="301" t="str">
        <f t="shared" si="636"/>
        <v>,,,,1,</v>
      </c>
      <c r="AC921" s="153" t="str">
        <f t="shared" si="637"/>
        <v/>
      </c>
      <c r="AD921" s="301" t="str">
        <f t="shared" si="638"/>
        <v>,,,,1,</v>
      </c>
      <c r="AE921" s="153" t="str">
        <f t="shared" si="639"/>
        <v/>
      </c>
      <c r="AF921" s="383">
        <f t="shared" si="640"/>
        <v>0</v>
      </c>
      <c r="AG921" s="383">
        <f t="shared" si="641"/>
        <v>0</v>
      </c>
      <c r="AH921" s="383">
        <f t="shared" si="642"/>
        <v>0</v>
      </c>
      <c r="AI921" s="383">
        <f t="shared" si="643"/>
        <v>0</v>
      </c>
      <c r="AJ921" s="383">
        <f t="shared" si="644"/>
        <v>0</v>
      </c>
      <c r="AK921" s="383">
        <f t="shared" si="645"/>
        <v>0</v>
      </c>
      <c r="AM921" s="148" t="str">
        <f t="shared" si="646"/>
        <v>Not Schedulled</v>
      </c>
      <c r="AN921" s="148" t="str">
        <f t="shared" si="647"/>
        <v/>
      </c>
      <c r="AO921" s="156">
        <f t="shared" si="648"/>
        <v>0</v>
      </c>
      <c r="AP921" s="148" t="str">
        <f t="shared" si="649"/>
        <v>01/00/1900 00:00-&gt;</v>
      </c>
      <c r="AQ921" s="374">
        <f t="shared" si="650"/>
        <v>0</v>
      </c>
      <c r="AR921" s="148" t="str">
        <f t="shared" si="651"/>
        <v/>
      </c>
      <c r="AS921" s="148" t="str">
        <f t="shared" si="652"/>
        <v/>
      </c>
      <c r="AT921" s="157" t="str">
        <f t="shared" si="653"/>
        <v/>
      </c>
      <c r="AU921" s="157" t="str">
        <f t="shared" si="654"/>
        <v/>
      </c>
      <c r="AV921" s="157" t="str">
        <f t="shared" si="655"/>
        <v/>
      </c>
      <c r="AW921" s="157" t="str">
        <f t="shared" si="656"/>
        <v/>
      </c>
      <c r="AX921" s="376">
        <f t="shared" si="657"/>
        <v>0</v>
      </c>
      <c r="AY921" s="148" t="str">
        <f t="shared" si="658"/>
        <v>-&gt;</v>
      </c>
      <c r="AZ921" s="148" t="str">
        <f t="shared" si="659"/>
        <v>01/00/1900 00:00-&gt;</v>
      </c>
      <c r="BA921" s="148" t="str">
        <f t="shared" si="660"/>
        <v>01/00/1900 00:00-&gt;</v>
      </c>
      <c r="BB921" s="374">
        <f t="shared" si="661"/>
        <v>0</v>
      </c>
      <c r="BC921" s="374">
        <f t="shared" si="662"/>
        <v>0</v>
      </c>
      <c r="BD921" s="148" t="str">
        <f t="shared" si="663"/>
        <v>no conflict</v>
      </c>
      <c r="BF921" s="148" t="str">
        <f t="shared" si="664"/>
        <v>01/00/1900 00:00-&gt;</v>
      </c>
      <c r="BG921" s="148" t="str">
        <f t="shared" si="665"/>
        <v>01/00/1900 00:00-&gt;</v>
      </c>
      <c r="BH921" s="148" t="str">
        <f t="shared" si="666"/>
        <v>01/00/1900 00:00-&gt;</v>
      </c>
      <c r="BI921" s="148" t="str">
        <f t="shared" si="667"/>
        <v xml:space="preserve"> in  ()</v>
      </c>
      <c r="BJ921" s="148" t="str">
        <f t="shared" si="668"/>
        <v xml:space="preserve">--  vs. </v>
      </c>
      <c r="BK921" s="148" t="str">
        <f t="shared" si="669"/>
        <v/>
      </c>
      <c r="BL921" s="148">
        <f t="shared" si="670"/>
        <v>0</v>
      </c>
      <c r="BM921" s="148">
        <f t="shared" si="671"/>
        <v>0</v>
      </c>
      <c r="BN921" s="148">
        <f t="shared" si="672"/>
        <v>0</v>
      </c>
      <c r="BP921" s="148" t="str">
        <f t="shared" si="673"/>
        <v>no game</v>
      </c>
      <c r="BQ921" s="148" t="str">
        <f t="shared" si="674"/>
        <v xml:space="preserve">  in </v>
      </c>
    </row>
    <row r="922" spans="2:69" ht="15" customHeight="1" x14ac:dyDescent="0.2">
      <c r="B922" s="153"/>
      <c r="C922" s="153"/>
      <c r="D922" s="383"/>
      <c r="E922" s="383"/>
      <c r="F922" s="153"/>
      <c r="G922" s="154"/>
      <c r="H922" s="155"/>
      <c r="I922" s="314"/>
      <c r="J922" s="153"/>
      <c r="K922" s="153"/>
      <c r="L922" s="153"/>
      <c r="M922" s="153"/>
      <c r="N922" s="153"/>
      <c r="O922" s="153" t="str">
        <f>IF(L922&lt;&gt;"",IFERROR(VLOOKUP(B922&amp;L922,Pools!$A$2:$D$130,3,FALSE),""),"")</f>
        <v/>
      </c>
      <c r="P922" s="387"/>
      <c r="Q922" s="387"/>
      <c r="R922" s="306" t="str">
        <f t="shared" si="630"/>
        <v>-</v>
      </c>
      <c r="S922" s="153"/>
      <c r="T922" s="148" t="str">
        <f t="shared" si="631"/>
        <v>Pending</v>
      </c>
      <c r="U922" s="153"/>
      <c r="V922" s="153"/>
      <c r="W922" s="387">
        <f t="shared" si="632"/>
        <v>0</v>
      </c>
      <c r="X922" s="387">
        <f t="shared" si="633"/>
        <v>0</v>
      </c>
      <c r="Y922" s="301" t="str">
        <f t="shared" si="634"/>
        <v>X</v>
      </c>
      <c r="Z922" s="301" t="str">
        <f t="shared" si="635"/>
        <v>X</v>
      </c>
      <c r="AA922" s="323" t="e">
        <f>CONCATENATE("                x[team1,team2,sport,'",IF(OR(I922="x",I922=""),VLOOKUP('Schedule from TM'!J922,Tables!$P$3:$Q$33,2,FALSE),'Schedule from TM'!I922),",",J922,"','",IF(OR(F922="x",F922=""),VLOOKUP('Schedule from TM'!G922,Tables!$U$3:$V$14,2,FALSE),'Schedule from TM'!F922),",",TEXT(G922,"mm/dd/yyyy"),"','",TEXT(H922,"h:mm:ss AM/PM"),"'].ub=0.0      #",B922)</f>
        <v>#N/A</v>
      </c>
      <c r="AB922" s="301" t="str">
        <f t="shared" si="636"/>
        <v>,,,,1,</v>
      </c>
      <c r="AC922" s="153" t="str">
        <f t="shared" si="637"/>
        <v/>
      </c>
      <c r="AD922" s="301" t="str">
        <f t="shared" si="638"/>
        <v>,,,,1,</v>
      </c>
      <c r="AE922" s="153" t="str">
        <f t="shared" si="639"/>
        <v/>
      </c>
      <c r="AF922" s="383">
        <f t="shared" si="640"/>
        <v>0</v>
      </c>
      <c r="AG922" s="383">
        <f t="shared" si="641"/>
        <v>0</v>
      </c>
      <c r="AH922" s="383">
        <f t="shared" si="642"/>
        <v>0</v>
      </c>
      <c r="AI922" s="383">
        <f t="shared" si="643"/>
        <v>0</v>
      </c>
      <c r="AJ922" s="383">
        <f t="shared" si="644"/>
        <v>0</v>
      </c>
      <c r="AK922" s="383">
        <f t="shared" si="645"/>
        <v>0</v>
      </c>
      <c r="AM922" s="148" t="str">
        <f t="shared" si="646"/>
        <v>Not Schedulled</v>
      </c>
      <c r="AN922" s="148" t="str">
        <f t="shared" si="647"/>
        <v/>
      </c>
      <c r="AO922" s="156">
        <f t="shared" si="648"/>
        <v>0</v>
      </c>
      <c r="AP922" s="148" t="str">
        <f t="shared" si="649"/>
        <v>01/00/1900 00:00-&gt;</v>
      </c>
      <c r="AQ922" s="374">
        <f t="shared" si="650"/>
        <v>0</v>
      </c>
      <c r="AR922" s="148" t="str">
        <f t="shared" si="651"/>
        <v/>
      </c>
      <c r="AS922" s="148" t="str">
        <f t="shared" si="652"/>
        <v/>
      </c>
      <c r="AT922" s="157" t="str">
        <f t="shared" si="653"/>
        <v/>
      </c>
      <c r="AU922" s="157" t="str">
        <f t="shared" si="654"/>
        <v/>
      </c>
      <c r="AV922" s="157" t="str">
        <f t="shared" si="655"/>
        <v/>
      </c>
      <c r="AW922" s="157" t="str">
        <f t="shared" si="656"/>
        <v/>
      </c>
      <c r="AX922" s="376">
        <f t="shared" si="657"/>
        <v>0</v>
      </c>
      <c r="AY922" s="148" t="str">
        <f t="shared" si="658"/>
        <v>-&gt;</v>
      </c>
      <c r="AZ922" s="148" t="str">
        <f t="shared" si="659"/>
        <v>01/00/1900 00:00-&gt;</v>
      </c>
      <c r="BA922" s="148" t="str">
        <f t="shared" si="660"/>
        <v>01/00/1900 00:00-&gt;</v>
      </c>
      <c r="BB922" s="374">
        <f t="shared" si="661"/>
        <v>0</v>
      </c>
      <c r="BC922" s="374">
        <f t="shared" si="662"/>
        <v>0</v>
      </c>
      <c r="BD922" s="148" t="str">
        <f t="shared" si="663"/>
        <v>no conflict</v>
      </c>
      <c r="BF922" s="148" t="str">
        <f t="shared" si="664"/>
        <v>01/00/1900 00:00-&gt;</v>
      </c>
      <c r="BG922" s="148" t="str">
        <f t="shared" si="665"/>
        <v>01/00/1900 00:00-&gt;</v>
      </c>
      <c r="BH922" s="148" t="str">
        <f t="shared" si="666"/>
        <v>01/00/1900 00:00-&gt;</v>
      </c>
      <c r="BI922" s="148" t="str">
        <f t="shared" si="667"/>
        <v xml:space="preserve"> in  ()</v>
      </c>
      <c r="BJ922" s="148" t="str">
        <f t="shared" si="668"/>
        <v xml:space="preserve">--  vs. </v>
      </c>
      <c r="BK922" s="148" t="str">
        <f t="shared" si="669"/>
        <v/>
      </c>
      <c r="BL922" s="148">
        <f t="shared" si="670"/>
        <v>0</v>
      </c>
      <c r="BM922" s="148">
        <f t="shared" si="671"/>
        <v>0</v>
      </c>
      <c r="BN922" s="148">
        <f t="shared" si="672"/>
        <v>0</v>
      </c>
      <c r="BP922" s="148" t="str">
        <f t="shared" si="673"/>
        <v>no game</v>
      </c>
      <c r="BQ922" s="148" t="str">
        <f t="shared" si="674"/>
        <v xml:space="preserve">  in </v>
      </c>
    </row>
    <row r="923" spans="2:69" ht="15" customHeight="1" x14ac:dyDescent="0.2">
      <c r="B923" s="153"/>
      <c r="C923" s="153"/>
      <c r="D923" s="383"/>
      <c r="E923" s="383"/>
      <c r="F923" s="153"/>
      <c r="G923" s="154"/>
      <c r="H923" s="155"/>
      <c r="I923" s="314"/>
      <c r="J923" s="153"/>
      <c r="K923" s="153"/>
      <c r="L923" s="153"/>
      <c r="M923" s="153"/>
      <c r="N923" s="153"/>
      <c r="O923" s="153" t="str">
        <f>IF(L923&lt;&gt;"",IFERROR(VLOOKUP(B923&amp;L923,Pools!$A$2:$D$130,3,FALSE),""),"")</f>
        <v/>
      </c>
      <c r="P923" s="387"/>
      <c r="Q923" s="387"/>
      <c r="R923" s="306" t="str">
        <f t="shared" si="630"/>
        <v>-</v>
      </c>
      <c r="S923" s="153"/>
      <c r="T923" s="148" t="str">
        <f t="shared" si="631"/>
        <v>Pending</v>
      </c>
      <c r="U923" s="153"/>
      <c r="V923" s="153"/>
      <c r="W923" s="387">
        <f t="shared" si="632"/>
        <v>0</v>
      </c>
      <c r="X923" s="387">
        <f t="shared" si="633"/>
        <v>0</v>
      </c>
      <c r="Y923" s="301" t="str">
        <f t="shared" si="634"/>
        <v>X</v>
      </c>
      <c r="Z923" s="301" t="str">
        <f t="shared" si="635"/>
        <v>X</v>
      </c>
      <c r="AA923" s="323" t="e">
        <f>CONCATENATE("                x[team1,team2,sport,'",IF(OR(I923="x",I923=""),VLOOKUP('Schedule from TM'!J923,Tables!$P$3:$Q$33,2,FALSE),'Schedule from TM'!I923),",",J923,"','",IF(OR(F923="x",F923=""),VLOOKUP('Schedule from TM'!G923,Tables!$U$3:$V$14,2,FALSE),'Schedule from TM'!F923),",",TEXT(G923,"mm/dd/yyyy"),"','",TEXT(H923,"h:mm:ss AM/PM"),"'].ub=0.0      #",B923)</f>
        <v>#N/A</v>
      </c>
      <c r="AB923" s="301" t="str">
        <f t="shared" si="636"/>
        <v>,,,,1,</v>
      </c>
      <c r="AC923" s="153" t="str">
        <f t="shared" si="637"/>
        <v/>
      </c>
      <c r="AD923" s="301" t="str">
        <f t="shared" si="638"/>
        <v>,,,,1,</v>
      </c>
      <c r="AE923" s="153" t="str">
        <f t="shared" si="639"/>
        <v/>
      </c>
      <c r="AF923" s="383">
        <f t="shared" si="640"/>
        <v>0</v>
      </c>
      <c r="AG923" s="383">
        <f t="shared" si="641"/>
        <v>0</v>
      </c>
      <c r="AH923" s="383">
        <f t="shared" si="642"/>
        <v>0</v>
      </c>
      <c r="AI923" s="383">
        <f t="shared" si="643"/>
        <v>0</v>
      </c>
      <c r="AJ923" s="383">
        <f t="shared" si="644"/>
        <v>0</v>
      </c>
      <c r="AK923" s="383">
        <f t="shared" si="645"/>
        <v>0</v>
      </c>
      <c r="AM923" s="148" t="str">
        <f t="shared" si="646"/>
        <v>Not Schedulled</v>
      </c>
      <c r="AN923" s="148" t="str">
        <f t="shared" si="647"/>
        <v/>
      </c>
      <c r="AO923" s="156">
        <f t="shared" si="648"/>
        <v>0</v>
      </c>
      <c r="AP923" s="148" t="str">
        <f t="shared" si="649"/>
        <v>01/00/1900 00:00-&gt;</v>
      </c>
      <c r="AQ923" s="374">
        <f t="shared" si="650"/>
        <v>0</v>
      </c>
      <c r="AR923" s="148" t="str">
        <f t="shared" si="651"/>
        <v/>
      </c>
      <c r="AS923" s="148" t="str">
        <f t="shared" si="652"/>
        <v/>
      </c>
      <c r="AT923" s="157" t="str">
        <f t="shared" si="653"/>
        <v/>
      </c>
      <c r="AU923" s="157" t="str">
        <f t="shared" si="654"/>
        <v/>
      </c>
      <c r="AV923" s="157" t="str">
        <f t="shared" si="655"/>
        <v/>
      </c>
      <c r="AW923" s="157" t="str">
        <f t="shared" si="656"/>
        <v/>
      </c>
      <c r="AX923" s="376">
        <f t="shared" si="657"/>
        <v>0</v>
      </c>
      <c r="AY923" s="148" t="str">
        <f t="shared" si="658"/>
        <v>-&gt;</v>
      </c>
      <c r="AZ923" s="148" t="str">
        <f t="shared" si="659"/>
        <v>01/00/1900 00:00-&gt;</v>
      </c>
      <c r="BA923" s="148" t="str">
        <f t="shared" si="660"/>
        <v>01/00/1900 00:00-&gt;</v>
      </c>
      <c r="BB923" s="374">
        <f t="shared" si="661"/>
        <v>0</v>
      </c>
      <c r="BC923" s="374">
        <f t="shared" si="662"/>
        <v>0</v>
      </c>
      <c r="BD923" s="148" t="str">
        <f t="shared" si="663"/>
        <v>no conflict</v>
      </c>
      <c r="BF923" s="148" t="str">
        <f t="shared" si="664"/>
        <v>01/00/1900 00:00-&gt;</v>
      </c>
      <c r="BG923" s="148" t="str">
        <f t="shared" si="665"/>
        <v>01/00/1900 00:00-&gt;</v>
      </c>
      <c r="BH923" s="148" t="str">
        <f t="shared" si="666"/>
        <v>01/00/1900 00:00-&gt;</v>
      </c>
      <c r="BI923" s="148" t="str">
        <f t="shared" si="667"/>
        <v xml:space="preserve"> in  ()</v>
      </c>
      <c r="BJ923" s="148" t="str">
        <f t="shared" si="668"/>
        <v xml:space="preserve">--  vs. </v>
      </c>
      <c r="BK923" s="148" t="str">
        <f t="shared" si="669"/>
        <v/>
      </c>
      <c r="BL923" s="148">
        <f t="shared" si="670"/>
        <v>0</v>
      </c>
      <c r="BM923" s="148">
        <f t="shared" si="671"/>
        <v>0</v>
      </c>
      <c r="BN923" s="148">
        <f t="shared" si="672"/>
        <v>0</v>
      </c>
      <c r="BP923" s="148" t="str">
        <f t="shared" si="673"/>
        <v>no game</v>
      </c>
      <c r="BQ923" s="148" t="str">
        <f t="shared" si="674"/>
        <v xml:space="preserve">  in </v>
      </c>
    </row>
    <row r="924" spans="2:69" ht="15" customHeight="1" x14ac:dyDescent="0.2">
      <c r="B924" s="153"/>
      <c r="C924" s="153"/>
      <c r="D924" s="383"/>
      <c r="E924" s="383"/>
      <c r="F924" s="153"/>
      <c r="G924" s="154"/>
      <c r="H924" s="155"/>
      <c r="I924" s="314"/>
      <c r="J924" s="153"/>
      <c r="K924" s="153"/>
      <c r="L924" s="153"/>
      <c r="M924" s="153"/>
      <c r="N924" s="153"/>
      <c r="O924" s="153" t="str">
        <f>IF(L924&lt;&gt;"",IFERROR(VLOOKUP(B924&amp;L924,Pools!$A$2:$D$130,3,FALSE),""),"")</f>
        <v/>
      </c>
      <c r="P924" s="387"/>
      <c r="Q924" s="387"/>
      <c r="R924" s="306" t="str">
        <f t="shared" si="630"/>
        <v>-</v>
      </c>
      <c r="S924" s="153"/>
      <c r="T924" s="148" t="str">
        <f t="shared" si="631"/>
        <v>Pending</v>
      </c>
      <c r="U924" s="153"/>
      <c r="V924" s="153"/>
      <c r="W924" s="387">
        <f t="shared" si="632"/>
        <v>0</v>
      </c>
      <c r="X924" s="387">
        <f t="shared" si="633"/>
        <v>0</v>
      </c>
      <c r="Y924" s="301" t="str">
        <f t="shared" si="634"/>
        <v>X</v>
      </c>
      <c r="Z924" s="301" t="str">
        <f t="shared" si="635"/>
        <v>X</v>
      </c>
      <c r="AA924" s="323" t="e">
        <f>CONCATENATE("                x[team1,team2,sport,'",IF(OR(I924="x",I924=""),VLOOKUP('Schedule from TM'!J924,Tables!$P$3:$Q$33,2,FALSE),'Schedule from TM'!I924),",",J924,"','",IF(OR(F924="x",F924=""),VLOOKUP('Schedule from TM'!G924,Tables!$U$3:$V$14,2,FALSE),'Schedule from TM'!F924),",",TEXT(G924,"mm/dd/yyyy"),"','",TEXT(H924,"h:mm:ss AM/PM"),"'].ub=0.0      #",B924)</f>
        <v>#N/A</v>
      </c>
      <c r="AB924" s="301" t="str">
        <f t="shared" si="636"/>
        <v>,,,,1,</v>
      </c>
      <c r="AC924" s="153" t="str">
        <f t="shared" si="637"/>
        <v/>
      </c>
      <c r="AD924" s="301" t="str">
        <f t="shared" si="638"/>
        <v>,,,,1,</v>
      </c>
      <c r="AE924" s="153" t="str">
        <f t="shared" si="639"/>
        <v/>
      </c>
      <c r="AF924" s="383">
        <f t="shared" si="640"/>
        <v>0</v>
      </c>
      <c r="AG924" s="383">
        <f t="shared" si="641"/>
        <v>0</v>
      </c>
      <c r="AH924" s="383">
        <f t="shared" si="642"/>
        <v>0</v>
      </c>
      <c r="AI924" s="383">
        <f t="shared" si="643"/>
        <v>0</v>
      </c>
      <c r="AJ924" s="383">
        <f t="shared" si="644"/>
        <v>0</v>
      </c>
      <c r="AK924" s="383">
        <f t="shared" si="645"/>
        <v>0</v>
      </c>
      <c r="AM924" s="148" t="str">
        <f t="shared" si="646"/>
        <v>Not Schedulled</v>
      </c>
      <c r="AN924" s="148" t="str">
        <f t="shared" si="647"/>
        <v/>
      </c>
      <c r="AO924" s="156">
        <f t="shared" si="648"/>
        <v>0</v>
      </c>
      <c r="AP924" s="148" t="str">
        <f t="shared" si="649"/>
        <v>01/00/1900 00:00-&gt;</v>
      </c>
      <c r="AQ924" s="374">
        <f t="shared" si="650"/>
        <v>0</v>
      </c>
      <c r="AR924" s="148" t="str">
        <f t="shared" si="651"/>
        <v/>
      </c>
      <c r="AS924" s="148" t="str">
        <f t="shared" si="652"/>
        <v/>
      </c>
      <c r="AT924" s="157" t="str">
        <f t="shared" si="653"/>
        <v/>
      </c>
      <c r="AU924" s="157" t="str">
        <f t="shared" si="654"/>
        <v/>
      </c>
      <c r="AV924" s="157" t="str">
        <f t="shared" si="655"/>
        <v/>
      </c>
      <c r="AW924" s="157" t="str">
        <f t="shared" si="656"/>
        <v/>
      </c>
      <c r="AX924" s="376">
        <f t="shared" si="657"/>
        <v>0</v>
      </c>
      <c r="AY924" s="148" t="str">
        <f t="shared" si="658"/>
        <v>-&gt;</v>
      </c>
      <c r="AZ924" s="148" t="str">
        <f t="shared" si="659"/>
        <v>01/00/1900 00:00-&gt;</v>
      </c>
      <c r="BA924" s="148" t="str">
        <f t="shared" si="660"/>
        <v>01/00/1900 00:00-&gt;</v>
      </c>
      <c r="BB924" s="374">
        <f t="shared" si="661"/>
        <v>0</v>
      </c>
      <c r="BC924" s="374">
        <f t="shared" si="662"/>
        <v>0</v>
      </c>
      <c r="BD924" s="148" t="str">
        <f t="shared" si="663"/>
        <v>no conflict</v>
      </c>
      <c r="BF924" s="148" t="str">
        <f t="shared" si="664"/>
        <v>01/00/1900 00:00-&gt;</v>
      </c>
      <c r="BG924" s="148" t="str">
        <f t="shared" si="665"/>
        <v>01/00/1900 00:00-&gt;</v>
      </c>
      <c r="BH924" s="148" t="str">
        <f t="shared" si="666"/>
        <v>01/00/1900 00:00-&gt;</v>
      </c>
      <c r="BI924" s="148" t="str">
        <f t="shared" si="667"/>
        <v xml:space="preserve"> in  ()</v>
      </c>
      <c r="BJ924" s="148" t="str">
        <f t="shared" si="668"/>
        <v xml:space="preserve">--  vs. </v>
      </c>
      <c r="BK924" s="148" t="str">
        <f t="shared" si="669"/>
        <v/>
      </c>
      <c r="BL924" s="148">
        <f t="shared" si="670"/>
        <v>0</v>
      </c>
      <c r="BM924" s="148">
        <f t="shared" si="671"/>
        <v>0</v>
      </c>
      <c r="BN924" s="148">
        <f t="shared" si="672"/>
        <v>0</v>
      </c>
      <c r="BP924" s="148" t="str">
        <f t="shared" si="673"/>
        <v>no game</v>
      </c>
      <c r="BQ924" s="148" t="str">
        <f t="shared" si="674"/>
        <v xml:space="preserve">  in </v>
      </c>
    </row>
    <row r="925" spans="2:69" ht="15" customHeight="1" x14ac:dyDescent="0.2">
      <c r="B925" s="153"/>
      <c r="C925" s="153"/>
      <c r="D925" s="383"/>
      <c r="E925" s="383"/>
      <c r="F925" s="153"/>
      <c r="G925" s="154"/>
      <c r="H925" s="155"/>
      <c r="I925" s="314"/>
      <c r="J925" s="153"/>
      <c r="K925" s="153"/>
      <c r="L925" s="153"/>
      <c r="M925" s="153"/>
      <c r="N925" s="153"/>
      <c r="O925" s="153" t="str">
        <f>IF(L925&lt;&gt;"",IFERROR(VLOOKUP(B925&amp;L925,Pools!$A$2:$D$130,3,FALSE),""),"")</f>
        <v/>
      </c>
      <c r="P925" s="387"/>
      <c r="Q925" s="387"/>
      <c r="R925" s="306" t="str">
        <f t="shared" si="630"/>
        <v>-</v>
      </c>
      <c r="S925" s="153"/>
      <c r="T925" s="148" t="str">
        <f t="shared" si="631"/>
        <v>Pending</v>
      </c>
      <c r="U925" s="153"/>
      <c r="V925" s="153"/>
      <c r="W925" s="387">
        <f t="shared" si="632"/>
        <v>0</v>
      </c>
      <c r="X925" s="387">
        <f t="shared" si="633"/>
        <v>0</v>
      </c>
      <c r="Y925" s="301" t="str">
        <f t="shared" si="634"/>
        <v>X</v>
      </c>
      <c r="Z925" s="301" t="str">
        <f t="shared" si="635"/>
        <v>X</v>
      </c>
      <c r="AA925" s="323" t="e">
        <f>CONCATENATE("                x[team1,team2,sport,'",IF(OR(I925="x",I925=""),VLOOKUP('Schedule from TM'!J925,Tables!$P$3:$Q$33,2,FALSE),'Schedule from TM'!I925),",",J925,"','",IF(OR(F925="x",F925=""),VLOOKUP('Schedule from TM'!G925,Tables!$U$3:$V$14,2,FALSE),'Schedule from TM'!F925),",",TEXT(G925,"mm/dd/yyyy"),"','",TEXT(H925,"h:mm:ss AM/PM"),"'].ub=0.0      #",B925)</f>
        <v>#N/A</v>
      </c>
      <c r="AB925" s="301" t="str">
        <f t="shared" si="636"/>
        <v>,,,,1,</v>
      </c>
      <c r="AC925" s="153" t="str">
        <f t="shared" si="637"/>
        <v/>
      </c>
      <c r="AD925" s="301" t="str">
        <f t="shared" si="638"/>
        <v>,,,,1,</v>
      </c>
      <c r="AE925" s="153" t="str">
        <f t="shared" si="639"/>
        <v/>
      </c>
      <c r="AF925" s="383">
        <f t="shared" si="640"/>
        <v>0</v>
      </c>
      <c r="AG925" s="383">
        <f t="shared" si="641"/>
        <v>0</v>
      </c>
      <c r="AH925" s="383">
        <f t="shared" si="642"/>
        <v>0</v>
      </c>
      <c r="AI925" s="383">
        <f t="shared" si="643"/>
        <v>0</v>
      </c>
      <c r="AJ925" s="383">
        <f t="shared" si="644"/>
        <v>0</v>
      </c>
      <c r="AK925" s="383">
        <f t="shared" si="645"/>
        <v>0</v>
      </c>
      <c r="AM925" s="148" t="str">
        <f t="shared" si="646"/>
        <v>Not Schedulled</v>
      </c>
      <c r="AN925" s="148" t="str">
        <f t="shared" si="647"/>
        <v/>
      </c>
      <c r="AO925" s="156">
        <f t="shared" si="648"/>
        <v>0</v>
      </c>
      <c r="AP925" s="148" t="str">
        <f t="shared" si="649"/>
        <v>01/00/1900 00:00-&gt;</v>
      </c>
      <c r="AQ925" s="374">
        <f t="shared" si="650"/>
        <v>0</v>
      </c>
      <c r="AR925" s="148" t="str">
        <f t="shared" si="651"/>
        <v/>
      </c>
      <c r="AS925" s="148" t="str">
        <f t="shared" si="652"/>
        <v/>
      </c>
      <c r="AT925" s="157" t="str">
        <f t="shared" si="653"/>
        <v/>
      </c>
      <c r="AU925" s="157" t="str">
        <f t="shared" si="654"/>
        <v/>
      </c>
      <c r="AV925" s="157" t="str">
        <f t="shared" si="655"/>
        <v/>
      </c>
      <c r="AW925" s="157" t="str">
        <f t="shared" si="656"/>
        <v/>
      </c>
      <c r="AX925" s="376">
        <f t="shared" si="657"/>
        <v>0</v>
      </c>
      <c r="AY925" s="148" t="str">
        <f t="shared" si="658"/>
        <v>-&gt;</v>
      </c>
      <c r="AZ925" s="148" t="str">
        <f t="shared" si="659"/>
        <v>01/00/1900 00:00-&gt;</v>
      </c>
      <c r="BA925" s="148" t="str">
        <f t="shared" si="660"/>
        <v>01/00/1900 00:00-&gt;</v>
      </c>
      <c r="BB925" s="374">
        <f t="shared" si="661"/>
        <v>0</v>
      </c>
      <c r="BC925" s="374">
        <f t="shared" si="662"/>
        <v>0</v>
      </c>
      <c r="BD925" s="148" t="str">
        <f t="shared" si="663"/>
        <v>no conflict</v>
      </c>
      <c r="BF925" s="148" t="str">
        <f t="shared" si="664"/>
        <v>01/00/1900 00:00-&gt;</v>
      </c>
      <c r="BG925" s="148" t="str">
        <f t="shared" si="665"/>
        <v>01/00/1900 00:00-&gt;</v>
      </c>
      <c r="BH925" s="148" t="str">
        <f t="shared" si="666"/>
        <v>01/00/1900 00:00-&gt;</v>
      </c>
      <c r="BI925" s="148" t="str">
        <f t="shared" si="667"/>
        <v xml:space="preserve"> in  ()</v>
      </c>
      <c r="BJ925" s="148" t="str">
        <f t="shared" si="668"/>
        <v xml:space="preserve">--  vs. </v>
      </c>
      <c r="BK925" s="148" t="str">
        <f t="shared" si="669"/>
        <v/>
      </c>
      <c r="BL925" s="148">
        <f t="shared" si="670"/>
        <v>0</v>
      </c>
      <c r="BM925" s="148">
        <f t="shared" si="671"/>
        <v>0</v>
      </c>
      <c r="BN925" s="148">
        <f t="shared" si="672"/>
        <v>0</v>
      </c>
      <c r="BP925" s="148" t="str">
        <f t="shared" si="673"/>
        <v>no game</v>
      </c>
      <c r="BQ925" s="148" t="str">
        <f t="shared" si="674"/>
        <v xml:space="preserve">  in </v>
      </c>
    </row>
    <row r="926" spans="2:69" ht="15" customHeight="1" x14ac:dyDescent="0.2">
      <c r="B926" s="153"/>
      <c r="C926" s="153"/>
      <c r="D926" s="383"/>
      <c r="E926" s="383"/>
      <c r="F926" s="153"/>
      <c r="G926" s="154"/>
      <c r="H926" s="155"/>
      <c r="I926" s="314"/>
      <c r="J926" s="153"/>
      <c r="K926" s="153"/>
      <c r="L926" s="153"/>
      <c r="M926" s="153"/>
      <c r="N926" s="153"/>
      <c r="O926" s="153" t="str">
        <f>IF(L926&lt;&gt;"",IFERROR(VLOOKUP(B926&amp;L926,Pools!$A$2:$D$130,3,FALSE),""),"")</f>
        <v/>
      </c>
      <c r="P926" s="387"/>
      <c r="Q926" s="387"/>
      <c r="R926" s="306" t="str">
        <f t="shared" si="630"/>
        <v>-</v>
      </c>
      <c r="S926" s="153"/>
      <c r="T926" s="148" t="str">
        <f t="shared" si="631"/>
        <v>Pending</v>
      </c>
      <c r="U926" s="153"/>
      <c r="V926" s="153"/>
      <c r="W926" s="387">
        <f t="shared" si="632"/>
        <v>0</v>
      </c>
      <c r="X926" s="387">
        <f t="shared" si="633"/>
        <v>0</v>
      </c>
      <c r="Y926" s="301" t="str">
        <f t="shared" si="634"/>
        <v>X</v>
      </c>
      <c r="Z926" s="301" t="str">
        <f t="shared" si="635"/>
        <v>X</v>
      </c>
      <c r="AA926" s="323" t="e">
        <f>CONCATENATE("                x[team1,team2,sport,'",IF(OR(I926="x",I926=""),VLOOKUP('Schedule from TM'!J926,Tables!$P$3:$Q$33,2,FALSE),'Schedule from TM'!I926),",",J926,"','",IF(OR(F926="x",F926=""),VLOOKUP('Schedule from TM'!G926,Tables!$U$3:$V$14,2,FALSE),'Schedule from TM'!F926),",",TEXT(G926,"mm/dd/yyyy"),"','",TEXT(H926,"h:mm:ss AM/PM"),"'].ub=0.0      #",B926)</f>
        <v>#N/A</v>
      </c>
      <c r="AB926" s="301" t="str">
        <f t="shared" si="636"/>
        <v>,,,,1,</v>
      </c>
      <c r="AC926" s="153" t="str">
        <f t="shared" si="637"/>
        <v/>
      </c>
      <c r="AD926" s="301" t="str">
        <f t="shared" si="638"/>
        <v>,,,,1,</v>
      </c>
      <c r="AE926" s="153" t="str">
        <f t="shared" si="639"/>
        <v/>
      </c>
      <c r="AF926" s="383">
        <f t="shared" si="640"/>
        <v>0</v>
      </c>
      <c r="AG926" s="383">
        <f t="shared" si="641"/>
        <v>0</v>
      </c>
      <c r="AH926" s="383">
        <f t="shared" si="642"/>
        <v>0</v>
      </c>
      <c r="AI926" s="383">
        <f t="shared" si="643"/>
        <v>0</v>
      </c>
      <c r="AJ926" s="383">
        <f t="shared" si="644"/>
        <v>0</v>
      </c>
      <c r="AK926" s="383">
        <f t="shared" si="645"/>
        <v>0</v>
      </c>
      <c r="AM926" s="148" t="str">
        <f t="shared" si="646"/>
        <v>Not Schedulled</v>
      </c>
      <c r="AN926" s="148" t="str">
        <f t="shared" si="647"/>
        <v/>
      </c>
      <c r="AO926" s="156">
        <f t="shared" si="648"/>
        <v>0</v>
      </c>
      <c r="AP926" s="148" t="str">
        <f t="shared" si="649"/>
        <v>01/00/1900 00:00-&gt;</v>
      </c>
      <c r="AQ926" s="374">
        <f t="shared" si="650"/>
        <v>0</v>
      </c>
      <c r="AR926" s="148" t="str">
        <f t="shared" si="651"/>
        <v/>
      </c>
      <c r="AS926" s="148" t="str">
        <f t="shared" si="652"/>
        <v/>
      </c>
      <c r="AT926" s="157" t="str">
        <f t="shared" si="653"/>
        <v/>
      </c>
      <c r="AU926" s="157" t="str">
        <f t="shared" si="654"/>
        <v/>
      </c>
      <c r="AV926" s="157" t="str">
        <f t="shared" si="655"/>
        <v/>
      </c>
      <c r="AW926" s="157" t="str">
        <f t="shared" si="656"/>
        <v/>
      </c>
      <c r="AX926" s="376">
        <f t="shared" si="657"/>
        <v>0</v>
      </c>
      <c r="AY926" s="148" t="str">
        <f t="shared" si="658"/>
        <v>-&gt;</v>
      </c>
      <c r="AZ926" s="148" t="str">
        <f t="shared" si="659"/>
        <v>01/00/1900 00:00-&gt;</v>
      </c>
      <c r="BA926" s="148" t="str">
        <f t="shared" si="660"/>
        <v>01/00/1900 00:00-&gt;</v>
      </c>
      <c r="BB926" s="374">
        <f t="shared" si="661"/>
        <v>0</v>
      </c>
      <c r="BC926" s="374">
        <f t="shared" si="662"/>
        <v>0</v>
      </c>
      <c r="BD926" s="148" t="str">
        <f t="shared" si="663"/>
        <v>no conflict</v>
      </c>
      <c r="BF926" s="148" t="str">
        <f t="shared" si="664"/>
        <v>01/00/1900 00:00-&gt;</v>
      </c>
      <c r="BG926" s="148" t="str">
        <f t="shared" si="665"/>
        <v>01/00/1900 00:00-&gt;</v>
      </c>
      <c r="BH926" s="148" t="str">
        <f t="shared" si="666"/>
        <v>01/00/1900 00:00-&gt;</v>
      </c>
      <c r="BI926" s="148" t="str">
        <f t="shared" si="667"/>
        <v xml:space="preserve"> in  ()</v>
      </c>
      <c r="BJ926" s="148" t="str">
        <f t="shared" si="668"/>
        <v xml:space="preserve">--  vs. </v>
      </c>
      <c r="BK926" s="148" t="str">
        <f t="shared" si="669"/>
        <v/>
      </c>
      <c r="BL926" s="148">
        <f t="shared" si="670"/>
        <v>0</v>
      </c>
      <c r="BM926" s="148">
        <f t="shared" si="671"/>
        <v>0</v>
      </c>
      <c r="BN926" s="148">
        <f t="shared" si="672"/>
        <v>0</v>
      </c>
      <c r="BP926" s="148" t="str">
        <f t="shared" si="673"/>
        <v>no game</v>
      </c>
      <c r="BQ926" s="148" t="str">
        <f t="shared" si="674"/>
        <v xml:space="preserve">  in </v>
      </c>
    </row>
    <row r="927" spans="2:69" ht="15" customHeight="1" x14ac:dyDescent="0.2">
      <c r="B927" s="153"/>
      <c r="C927" s="153"/>
      <c r="D927" s="383"/>
      <c r="E927" s="383"/>
      <c r="F927" s="153"/>
      <c r="G927" s="154"/>
      <c r="H927" s="155"/>
      <c r="I927" s="314"/>
      <c r="J927" s="153"/>
      <c r="K927" s="153"/>
      <c r="L927" s="153"/>
      <c r="M927" s="153"/>
      <c r="N927" s="153"/>
      <c r="O927" s="153" t="str">
        <f>IF(L927&lt;&gt;"",IFERROR(VLOOKUP(B927&amp;L927,Pools!$A$2:$D$130,3,FALSE),""),"")</f>
        <v/>
      </c>
      <c r="P927" s="387"/>
      <c r="Q927" s="387"/>
      <c r="R927" s="306" t="str">
        <f t="shared" si="630"/>
        <v>-</v>
      </c>
      <c r="S927" s="153"/>
      <c r="T927" s="148" t="str">
        <f t="shared" si="631"/>
        <v>Pending</v>
      </c>
      <c r="U927" s="153"/>
      <c r="V927" s="153"/>
      <c r="W927" s="387">
        <f t="shared" si="632"/>
        <v>0</v>
      </c>
      <c r="X927" s="387">
        <f t="shared" si="633"/>
        <v>0</v>
      </c>
      <c r="Y927" s="301" t="str">
        <f t="shared" si="634"/>
        <v>X</v>
      </c>
      <c r="Z927" s="301" t="str">
        <f t="shared" si="635"/>
        <v>X</v>
      </c>
      <c r="AA927" s="323" t="e">
        <f>CONCATENATE("                x[team1,team2,sport,'",IF(OR(I927="x",I927=""),VLOOKUP('Schedule from TM'!J927,Tables!$P$3:$Q$33,2,FALSE),'Schedule from TM'!I927),",",J927,"','",IF(OR(F927="x",F927=""),VLOOKUP('Schedule from TM'!G927,Tables!$U$3:$V$14,2,FALSE),'Schedule from TM'!F927),",",TEXT(G927,"mm/dd/yyyy"),"','",TEXT(H927,"h:mm:ss AM/PM"),"'].ub=0.0      #",B927)</f>
        <v>#N/A</v>
      </c>
      <c r="AB927" s="301" t="str">
        <f t="shared" si="636"/>
        <v>,,,,1,</v>
      </c>
      <c r="AC927" s="153" t="str">
        <f t="shared" si="637"/>
        <v/>
      </c>
      <c r="AD927" s="301" t="str">
        <f t="shared" si="638"/>
        <v>,,,,1,</v>
      </c>
      <c r="AE927" s="153" t="str">
        <f t="shared" si="639"/>
        <v/>
      </c>
      <c r="AF927" s="383">
        <f t="shared" si="640"/>
        <v>0</v>
      </c>
      <c r="AG927" s="383">
        <f t="shared" si="641"/>
        <v>0</v>
      </c>
      <c r="AH927" s="383">
        <f t="shared" si="642"/>
        <v>0</v>
      </c>
      <c r="AI927" s="383">
        <f t="shared" si="643"/>
        <v>0</v>
      </c>
      <c r="AJ927" s="383">
        <f t="shared" si="644"/>
        <v>0</v>
      </c>
      <c r="AK927" s="383">
        <f t="shared" si="645"/>
        <v>0</v>
      </c>
      <c r="AM927" s="148" t="str">
        <f t="shared" si="646"/>
        <v>Not Schedulled</v>
      </c>
      <c r="AN927" s="148" t="str">
        <f t="shared" si="647"/>
        <v/>
      </c>
      <c r="AO927" s="156">
        <f t="shared" si="648"/>
        <v>0</v>
      </c>
      <c r="AP927" s="148" t="str">
        <f t="shared" si="649"/>
        <v>01/00/1900 00:00-&gt;</v>
      </c>
      <c r="AQ927" s="374">
        <f t="shared" si="650"/>
        <v>0</v>
      </c>
      <c r="AR927" s="148" t="str">
        <f t="shared" si="651"/>
        <v/>
      </c>
      <c r="AS927" s="148" t="str">
        <f t="shared" si="652"/>
        <v/>
      </c>
      <c r="AT927" s="157" t="str">
        <f t="shared" si="653"/>
        <v/>
      </c>
      <c r="AU927" s="157" t="str">
        <f t="shared" si="654"/>
        <v/>
      </c>
      <c r="AV927" s="157" t="str">
        <f t="shared" si="655"/>
        <v/>
      </c>
      <c r="AW927" s="157" t="str">
        <f t="shared" si="656"/>
        <v/>
      </c>
      <c r="AX927" s="376">
        <f t="shared" si="657"/>
        <v>0</v>
      </c>
      <c r="AY927" s="148" t="str">
        <f t="shared" si="658"/>
        <v>-&gt;</v>
      </c>
      <c r="AZ927" s="148" t="str">
        <f t="shared" si="659"/>
        <v>01/00/1900 00:00-&gt;</v>
      </c>
      <c r="BA927" s="148" t="str">
        <f t="shared" si="660"/>
        <v>01/00/1900 00:00-&gt;</v>
      </c>
      <c r="BB927" s="374">
        <f t="shared" si="661"/>
        <v>0</v>
      </c>
      <c r="BC927" s="374">
        <f t="shared" si="662"/>
        <v>0</v>
      </c>
      <c r="BD927" s="148" t="str">
        <f t="shared" si="663"/>
        <v>no conflict</v>
      </c>
      <c r="BF927" s="148" t="str">
        <f t="shared" si="664"/>
        <v>01/00/1900 00:00-&gt;</v>
      </c>
      <c r="BG927" s="148" t="str">
        <f t="shared" si="665"/>
        <v>01/00/1900 00:00-&gt;</v>
      </c>
      <c r="BH927" s="148" t="str">
        <f t="shared" si="666"/>
        <v>01/00/1900 00:00-&gt;</v>
      </c>
      <c r="BI927" s="148" t="str">
        <f t="shared" si="667"/>
        <v xml:space="preserve"> in  ()</v>
      </c>
      <c r="BJ927" s="148" t="str">
        <f t="shared" si="668"/>
        <v xml:space="preserve">--  vs. </v>
      </c>
      <c r="BK927" s="148" t="str">
        <f t="shared" si="669"/>
        <v/>
      </c>
      <c r="BL927" s="148">
        <f t="shared" si="670"/>
        <v>0</v>
      </c>
      <c r="BM927" s="148">
        <f t="shared" si="671"/>
        <v>0</v>
      </c>
      <c r="BN927" s="148">
        <f t="shared" si="672"/>
        <v>0</v>
      </c>
      <c r="BP927" s="148" t="str">
        <f t="shared" si="673"/>
        <v>no game</v>
      </c>
      <c r="BQ927" s="148" t="str">
        <f t="shared" si="674"/>
        <v xml:space="preserve">  in </v>
      </c>
    </row>
    <row r="928" spans="2:69" ht="15" customHeight="1" x14ac:dyDescent="0.2">
      <c r="B928" s="153"/>
      <c r="C928" s="153"/>
      <c r="D928" s="383"/>
      <c r="E928" s="383"/>
      <c r="F928" s="153"/>
      <c r="G928" s="154"/>
      <c r="H928" s="155"/>
      <c r="I928" s="314"/>
      <c r="J928" s="153"/>
      <c r="K928" s="153"/>
      <c r="L928" s="153"/>
      <c r="M928" s="153"/>
      <c r="N928" s="153"/>
      <c r="O928" s="153" t="str">
        <f>IF(L928&lt;&gt;"",IFERROR(VLOOKUP(B928&amp;L928,Pools!$A$2:$D$130,3,FALSE),""),"")</f>
        <v/>
      </c>
      <c r="P928" s="387"/>
      <c r="Q928" s="387"/>
      <c r="R928" s="306" t="str">
        <f t="shared" si="630"/>
        <v>-</v>
      </c>
      <c r="S928" s="153"/>
      <c r="T928" s="148" t="str">
        <f t="shared" si="631"/>
        <v>Pending</v>
      </c>
      <c r="U928" s="153"/>
      <c r="V928" s="153"/>
      <c r="W928" s="387">
        <f t="shared" si="632"/>
        <v>0</v>
      </c>
      <c r="X928" s="387">
        <f t="shared" si="633"/>
        <v>0</v>
      </c>
      <c r="Y928" s="301" t="str">
        <f t="shared" si="634"/>
        <v>X</v>
      </c>
      <c r="Z928" s="301" t="str">
        <f t="shared" si="635"/>
        <v>X</v>
      </c>
      <c r="AA928" s="323" t="e">
        <f>CONCATENATE("                x[team1,team2,sport,'",IF(OR(I928="x",I928=""),VLOOKUP('Schedule from TM'!J928,Tables!$P$3:$Q$33,2,FALSE),'Schedule from TM'!I928),",",J928,"','",IF(OR(F928="x",F928=""),VLOOKUP('Schedule from TM'!G928,Tables!$U$3:$V$14,2,FALSE),'Schedule from TM'!F928),",",TEXT(G928,"mm/dd/yyyy"),"','",TEXT(H928,"h:mm:ss AM/PM"),"'].ub=0.0      #",B928)</f>
        <v>#N/A</v>
      </c>
      <c r="AB928" s="301" t="str">
        <f t="shared" si="636"/>
        <v>,,,,1,</v>
      </c>
      <c r="AC928" s="153" t="str">
        <f t="shared" si="637"/>
        <v/>
      </c>
      <c r="AD928" s="301" t="str">
        <f t="shared" si="638"/>
        <v>,,,,1,</v>
      </c>
      <c r="AE928" s="153" t="str">
        <f t="shared" si="639"/>
        <v/>
      </c>
      <c r="AF928" s="383">
        <f t="shared" si="640"/>
        <v>0</v>
      </c>
      <c r="AG928" s="383">
        <f t="shared" si="641"/>
        <v>0</v>
      </c>
      <c r="AH928" s="383">
        <f t="shared" si="642"/>
        <v>0</v>
      </c>
      <c r="AI928" s="383">
        <f t="shared" si="643"/>
        <v>0</v>
      </c>
      <c r="AJ928" s="383">
        <f t="shared" si="644"/>
        <v>0</v>
      </c>
      <c r="AK928" s="383">
        <f t="shared" si="645"/>
        <v>0</v>
      </c>
      <c r="AM928" s="148" t="str">
        <f t="shared" si="646"/>
        <v>Not Schedulled</v>
      </c>
      <c r="AN928" s="148" t="str">
        <f t="shared" si="647"/>
        <v/>
      </c>
      <c r="AO928" s="156">
        <f t="shared" si="648"/>
        <v>0</v>
      </c>
      <c r="AP928" s="148" t="str">
        <f t="shared" si="649"/>
        <v>01/00/1900 00:00-&gt;</v>
      </c>
      <c r="AQ928" s="374">
        <f t="shared" si="650"/>
        <v>0</v>
      </c>
      <c r="AR928" s="148" t="str">
        <f t="shared" si="651"/>
        <v/>
      </c>
      <c r="AS928" s="148" t="str">
        <f t="shared" si="652"/>
        <v/>
      </c>
      <c r="AT928" s="157" t="str">
        <f t="shared" si="653"/>
        <v/>
      </c>
      <c r="AU928" s="157" t="str">
        <f t="shared" si="654"/>
        <v/>
      </c>
      <c r="AV928" s="157" t="str">
        <f t="shared" si="655"/>
        <v/>
      </c>
      <c r="AW928" s="157" t="str">
        <f t="shared" si="656"/>
        <v/>
      </c>
      <c r="AX928" s="376">
        <f t="shared" si="657"/>
        <v>0</v>
      </c>
      <c r="AY928" s="148" t="str">
        <f t="shared" si="658"/>
        <v>-&gt;</v>
      </c>
      <c r="AZ928" s="148" t="str">
        <f t="shared" si="659"/>
        <v>01/00/1900 00:00-&gt;</v>
      </c>
      <c r="BA928" s="148" t="str">
        <f t="shared" si="660"/>
        <v>01/00/1900 00:00-&gt;</v>
      </c>
      <c r="BB928" s="374">
        <f t="shared" si="661"/>
        <v>0</v>
      </c>
      <c r="BC928" s="374">
        <f t="shared" si="662"/>
        <v>0</v>
      </c>
      <c r="BD928" s="148" t="str">
        <f t="shared" si="663"/>
        <v>no conflict</v>
      </c>
      <c r="BF928" s="148" t="str">
        <f t="shared" si="664"/>
        <v>01/00/1900 00:00-&gt;</v>
      </c>
      <c r="BG928" s="148" t="str">
        <f t="shared" si="665"/>
        <v>01/00/1900 00:00-&gt;</v>
      </c>
      <c r="BH928" s="148" t="str">
        <f t="shared" si="666"/>
        <v>01/00/1900 00:00-&gt;</v>
      </c>
      <c r="BI928" s="148" t="str">
        <f t="shared" si="667"/>
        <v xml:space="preserve"> in  ()</v>
      </c>
      <c r="BJ928" s="148" t="str">
        <f t="shared" si="668"/>
        <v xml:space="preserve">--  vs. </v>
      </c>
      <c r="BK928" s="148" t="str">
        <f t="shared" si="669"/>
        <v/>
      </c>
      <c r="BL928" s="148">
        <f t="shared" si="670"/>
        <v>0</v>
      </c>
      <c r="BM928" s="148">
        <f t="shared" si="671"/>
        <v>0</v>
      </c>
      <c r="BN928" s="148">
        <f t="shared" si="672"/>
        <v>0</v>
      </c>
      <c r="BP928" s="148" t="str">
        <f t="shared" si="673"/>
        <v>no game</v>
      </c>
      <c r="BQ928" s="148" t="str">
        <f t="shared" si="674"/>
        <v xml:space="preserve">  in </v>
      </c>
    </row>
    <row r="929" spans="2:69" ht="15" customHeight="1" x14ac:dyDescent="0.2">
      <c r="B929" s="153"/>
      <c r="C929" s="153"/>
      <c r="D929" s="383"/>
      <c r="E929" s="383"/>
      <c r="F929" s="153"/>
      <c r="G929" s="154"/>
      <c r="H929" s="155"/>
      <c r="I929" s="314"/>
      <c r="J929" s="153"/>
      <c r="K929" s="153"/>
      <c r="L929" s="153"/>
      <c r="M929" s="153"/>
      <c r="N929" s="153"/>
      <c r="O929" s="153" t="str">
        <f>IF(L929&lt;&gt;"",IFERROR(VLOOKUP(B929&amp;L929,Pools!$A$2:$D$130,3,FALSE),""),"")</f>
        <v/>
      </c>
      <c r="P929" s="387"/>
      <c r="Q929" s="387"/>
      <c r="R929" s="306" t="str">
        <f t="shared" si="630"/>
        <v>-</v>
      </c>
      <c r="S929" s="153"/>
      <c r="T929" s="148" t="str">
        <f t="shared" si="631"/>
        <v>Pending</v>
      </c>
      <c r="U929" s="153"/>
      <c r="V929" s="153"/>
      <c r="W929" s="387">
        <f t="shared" si="632"/>
        <v>0</v>
      </c>
      <c r="X929" s="387">
        <f t="shared" si="633"/>
        <v>0</v>
      </c>
      <c r="Y929" s="301" t="str">
        <f t="shared" si="634"/>
        <v>X</v>
      </c>
      <c r="Z929" s="301" t="str">
        <f t="shared" si="635"/>
        <v>X</v>
      </c>
      <c r="AA929" s="323" t="e">
        <f>CONCATENATE("                x[team1,team2,sport,'",IF(OR(I929="x",I929=""),VLOOKUP('Schedule from TM'!J929,Tables!$P$3:$Q$33,2,FALSE),'Schedule from TM'!I929),",",J929,"','",IF(OR(F929="x",F929=""),VLOOKUP('Schedule from TM'!G929,Tables!$U$3:$V$14,2,FALSE),'Schedule from TM'!F929),",",TEXT(G929,"mm/dd/yyyy"),"','",TEXT(H929,"h:mm:ss AM/PM"),"'].ub=0.0      #",B929)</f>
        <v>#N/A</v>
      </c>
      <c r="AB929" s="301" t="str">
        <f t="shared" si="636"/>
        <v>,,,,1,</v>
      </c>
      <c r="AC929" s="153" t="str">
        <f t="shared" si="637"/>
        <v/>
      </c>
      <c r="AD929" s="301" t="str">
        <f t="shared" si="638"/>
        <v>,,,,1,</v>
      </c>
      <c r="AE929" s="153" t="str">
        <f t="shared" si="639"/>
        <v/>
      </c>
      <c r="AF929" s="383">
        <f t="shared" si="640"/>
        <v>0</v>
      </c>
      <c r="AG929" s="383">
        <f t="shared" si="641"/>
        <v>0</v>
      </c>
      <c r="AH929" s="383">
        <f t="shared" si="642"/>
        <v>0</v>
      </c>
      <c r="AI929" s="383">
        <f t="shared" si="643"/>
        <v>0</v>
      </c>
      <c r="AJ929" s="383">
        <f t="shared" si="644"/>
        <v>0</v>
      </c>
      <c r="AK929" s="383">
        <f t="shared" si="645"/>
        <v>0</v>
      </c>
      <c r="AM929" s="148" t="str">
        <f t="shared" si="646"/>
        <v>Not Schedulled</v>
      </c>
      <c r="AN929" s="148" t="str">
        <f t="shared" si="647"/>
        <v/>
      </c>
      <c r="AO929" s="156">
        <f t="shared" si="648"/>
        <v>0</v>
      </c>
      <c r="AP929" s="148" t="str">
        <f t="shared" si="649"/>
        <v>01/00/1900 00:00-&gt;</v>
      </c>
      <c r="AQ929" s="374">
        <f t="shared" si="650"/>
        <v>0</v>
      </c>
      <c r="AR929" s="148" t="str">
        <f t="shared" si="651"/>
        <v/>
      </c>
      <c r="AS929" s="148" t="str">
        <f t="shared" si="652"/>
        <v/>
      </c>
      <c r="AT929" s="157" t="str">
        <f t="shared" si="653"/>
        <v/>
      </c>
      <c r="AU929" s="157" t="str">
        <f t="shared" si="654"/>
        <v/>
      </c>
      <c r="AV929" s="157" t="str">
        <f t="shared" si="655"/>
        <v/>
      </c>
      <c r="AW929" s="157" t="str">
        <f t="shared" si="656"/>
        <v/>
      </c>
      <c r="AX929" s="376">
        <f t="shared" si="657"/>
        <v>0</v>
      </c>
      <c r="AY929" s="148" t="str">
        <f t="shared" si="658"/>
        <v>-&gt;</v>
      </c>
      <c r="AZ929" s="148" t="str">
        <f t="shared" si="659"/>
        <v>01/00/1900 00:00-&gt;</v>
      </c>
      <c r="BA929" s="148" t="str">
        <f t="shared" si="660"/>
        <v>01/00/1900 00:00-&gt;</v>
      </c>
      <c r="BB929" s="374">
        <f t="shared" si="661"/>
        <v>0</v>
      </c>
      <c r="BC929" s="374">
        <f t="shared" si="662"/>
        <v>0</v>
      </c>
      <c r="BD929" s="148" t="str">
        <f t="shared" si="663"/>
        <v>no conflict</v>
      </c>
      <c r="BF929" s="148" t="str">
        <f t="shared" si="664"/>
        <v>01/00/1900 00:00-&gt;</v>
      </c>
      <c r="BG929" s="148" t="str">
        <f t="shared" si="665"/>
        <v>01/00/1900 00:00-&gt;</v>
      </c>
      <c r="BH929" s="148" t="str">
        <f t="shared" si="666"/>
        <v>01/00/1900 00:00-&gt;</v>
      </c>
      <c r="BI929" s="148" t="str">
        <f t="shared" si="667"/>
        <v xml:space="preserve"> in  ()</v>
      </c>
      <c r="BJ929" s="148" t="str">
        <f t="shared" si="668"/>
        <v xml:space="preserve">--  vs. </v>
      </c>
      <c r="BK929" s="148" t="str">
        <f t="shared" si="669"/>
        <v/>
      </c>
      <c r="BL929" s="148">
        <f t="shared" si="670"/>
        <v>0</v>
      </c>
      <c r="BM929" s="148">
        <f t="shared" si="671"/>
        <v>0</v>
      </c>
      <c r="BN929" s="148">
        <f t="shared" si="672"/>
        <v>0</v>
      </c>
      <c r="BP929" s="148" t="str">
        <f t="shared" si="673"/>
        <v>no game</v>
      </c>
      <c r="BQ929" s="148" t="str">
        <f t="shared" si="674"/>
        <v xml:space="preserve">  in </v>
      </c>
    </row>
    <row r="930" spans="2:69" ht="15" customHeight="1" x14ac:dyDescent="0.2">
      <c r="B930" s="153"/>
      <c r="C930" s="153"/>
      <c r="D930" s="383"/>
      <c r="E930" s="383"/>
      <c r="F930" s="153"/>
      <c r="G930" s="154"/>
      <c r="H930" s="155"/>
      <c r="I930" s="314"/>
      <c r="J930" s="153"/>
      <c r="K930" s="153"/>
      <c r="L930" s="153"/>
      <c r="M930" s="153"/>
      <c r="N930" s="153"/>
      <c r="O930" s="153" t="str">
        <f>IF(L930&lt;&gt;"",IFERROR(VLOOKUP(B930&amp;L930,Pools!$A$2:$D$130,3,FALSE),""),"")</f>
        <v/>
      </c>
      <c r="P930" s="387"/>
      <c r="Q930" s="387"/>
      <c r="R930" s="306" t="str">
        <f t="shared" si="630"/>
        <v>-</v>
      </c>
      <c r="S930" s="153"/>
      <c r="T930" s="148" t="str">
        <f t="shared" si="631"/>
        <v>Pending</v>
      </c>
      <c r="U930" s="153"/>
      <c r="V930" s="153"/>
      <c r="W930" s="387">
        <f t="shared" si="632"/>
        <v>0</v>
      </c>
      <c r="X930" s="387">
        <f t="shared" si="633"/>
        <v>0</v>
      </c>
      <c r="Y930" s="301" t="str">
        <f t="shared" si="634"/>
        <v>X</v>
      </c>
      <c r="Z930" s="301" t="str">
        <f t="shared" si="635"/>
        <v>X</v>
      </c>
      <c r="AA930" s="323" t="e">
        <f>CONCATENATE("                x[team1,team2,sport,'",IF(OR(I930="x",I930=""),VLOOKUP('Schedule from TM'!J930,Tables!$P$3:$Q$33,2,FALSE),'Schedule from TM'!I930),",",J930,"','",IF(OR(F930="x",F930=""),VLOOKUP('Schedule from TM'!G930,Tables!$U$3:$V$14,2,FALSE),'Schedule from TM'!F930),",",TEXT(G930,"mm/dd/yyyy"),"','",TEXT(H930,"h:mm:ss AM/PM"),"'].ub=0.0      #",B930)</f>
        <v>#N/A</v>
      </c>
      <c r="AB930" s="301" t="str">
        <f t="shared" si="636"/>
        <v>,,,,1,</v>
      </c>
      <c r="AC930" s="153" t="str">
        <f t="shared" si="637"/>
        <v/>
      </c>
      <c r="AD930" s="301" t="str">
        <f t="shared" si="638"/>
        <v>,,,,1,</v>
      </c>
      <c r="AE930" s="153" t="str">
        <f t="shared" si="639"/>
        <v/>
      </c>
      <c r="AF930" s="383">
        <f t="shared" si="640"/>
        <v>0</v>
      </c>
      <c r="AG930" s="383">
        <f t="shared" si="641"/>
        <v>0</v>
      </c>
      <c r="AH930" s="383">
        <f t="shared" si="642"/>
        <v>0</v>
      </c>
      <c r="AI930" s="383">
        <f t="shared" si="643"/>
        <v>0</v>
      </c>
      <c r="AJ930" s="383">
        <f t="shared" si="644"/>
        <v>0</v>
      </c>
      <c r="AK930" s="383">
        <f t="shared" si="645"/>
        <v>0</v>
      </c>
      <c r="AM930" s="148" t="str">
        <f t="shared" si="646"/>
        <v>Not Schedulled</v>
      </c>
      <c r="AN930" s="148" t="str">
        <f t="shared" si="647"/>
        <v/>
      </c>
      <c r="AO930" s="156">
        <f t="shared" si="648"/>
        <v>0</v>
      </c>
      <c r="AP930" s="148" t="str">
        <f t="shared" si="649"/>
        <v>01/00/1900 00:00-&gt;</v>
      </c>
      <c r="AQ930" s="374">
        <f t="shared" si="650"/>
        <v>0</v>
      </c>
      <c r="AR930" s="148" t="str">
        <f t="shared" si="651"/>
        <v/>
      </c>
      <c r="AS930" s="148" t="str">
        <f t="shared" si="652"/>
        <v/>
      </c>
      <c r="AT930" s="157" t="str">
        <f t="shared" si="653"/>
        <v/>
      </c>
      <c r="AU930" s="157" t="str">
        <f t="shared" si="654"/>
        <v/>
      </c>
      <c r="AV930" s="157" t="str">
        <f t="shared" si="655"/>
        <v/>
      </c>
      <c r="AW930" s="157" t="str">
        <f t="shared" si="656"/>
        <v/>
      </c>
      <c r="AX930" s="376">
        <f t="shared" si="657"/>
        <v>0</v>
      </c>
      <c r="AY930" s="148" t="str">
        <f t="shared" si="658"/>
        <v>-&gt;</v>
      </c>
      <c r="AZ930" s="148" t="str">
        <f t="shared" si="659"/>
        <v>01/00/1900 00:00-&gt;</v>
      </c>
      <c r="BA930" s="148" t="str">
        <f t="shared" si="660"/>
        <v>01/00/1900 00:00-&gt;</v>
      </c>
      <c r="BB930" s="374">
        <f t="shared" si="661"/>
        <v>0</v>
      </c>
      <c r="BC930" s="374">
        <f t="shared" si="662"/>
        <v>0</v>
      </c>
      <c r="BD930" s="148" t="str">
        <f t="shared" si="663"/>
        <v>no conflict</v>
      </c>
      <c r="BF930" s="148" t="str">
        <f t="shared" si="664"/>
        <v>01/00/1900 00:00-&gt;</v>
      </c>
      <c r="BG930" s="148" t="str">
        <f t="shared" si="665"/>
        <v>01/00/1900 00:00-&gt;</v>
      </c>
      <c r="BH930" s="148" t="str">
        <f t="shared" si="666"/>
        <v>01/00/1900 00:00-&gt;</v>
      </c>
      <c r="BI930" s="148" t="str">
        <f t="shared" si="667"/>
        <v xml:space="preserve"> in  ()</v>
      </c>
      <c r="BJ930" s="148" t="str">
        <f t="shared" si="668"/>
        <v xml:space="preserve">--  vs. </v>
      </c>
      <c r="BK930" s="148" t="str">
        <f t="shared" si="669"/>
        <v/>
      </c>
      <c r="BL930" s="148">
        <f t="shared" si="670"/>
        <v>0</v>
      </c>
      <c r="BM930" s="148">
        <f t="shared" si="671"/>
        <v>0</v>
      </c>
      <c r="BN930" s="148">
        <f t="shared" si="672"/>
        <v>0</v>
      </c>
      <c r="BP930" s="148" t="str">
        <f t="shared" si="673"/>
        <v>no game</v>
      </c>
      <c r="BQ930" s="148" t="str">
        <f t="shared" si="674"/>
        <v xml:space="preserve">  in </v>
      </c>
    </row>
    <row r="931" spans="2:69" ht="15" customHeight="1" x14ac:dyDescent="0.2">
      <c r="B931" s="153"/>
      <c r="C931" s="153"/>
      <c r="D931" s="383"/>
      <c r="E931" s="383"/>
      <c r="F931" s="153"/>
      <c r="G931" s="154"/>
      <c r="H931" s="155"/>
      <c r="I931" s="314"/>
      <c r="J931" s="153"/>
      <c r="K931" s="153"/>
      <c r="L931" s="153"/>
      <c r="M931" s="153"/>
      <c r="N931" s="153"/>
      <c r="O931" s="153" t="str">
        <f>IF(L931&lt;&gt;"",IFERROR(VLOOKUP(B931&amp;L931,Pools!$A$2:$D$130,3,FALSE),""),"")</f>
        <v/>
      </c>
      <c r="P931" s="387"/>
      <c r="Q931" s="387"/>
      <c r="R931" s="306" t="str">
        <f t="shared" si="630"/>
        <v>-</v>
      </c>
      <c r="S931" s="153"/>
      <c r="T931" s="148" t="str">
        <f t="shared" si="631"/>
        <v>Pending</v>
      </c>
      <c r="U931" s="153"/>
      <c r="V931" s="153"/>
      <c r="W931" s="387">
        <f t="shared" si="632"/>
        <v>0</v>
      </c>
      <c r="X931" s="387">
        <f t="shared" si="633"/>
        <v>0</v>
      </c>
      <c r="Y931" s="301" t="str">
        <f t="shared" si="634"/>
        <v>X</v>
      </c>
      <c r="Z931" s="301" t="str">
        <f t="shared" si="635"/>
        <v>X</v>
      </c>
      <c r="AA931" s="323" t="e">
        <f>CONCATENATE("                x[team1,team2,sport,'",IF(OR(I931="x",I931=""),VLOOKUP('Schedule from TM'!J931,Tables!$P$3:$Q$33,2,FALSE),'Schedule from TM'!I931),",",J931,"','",IF(OR(F931="x",F931=""),VLOOKUP('Schedule from TM'!G931,Tables!$U$3:$V$14,2,FALSE),'Schedule from TM'!F931),",",TEXT(G931,"mm/dd/yyyy"),"','",TEXT(H931,"h:mm:ss AM/PM"),"'].ub=0.0      #",B931)</f>
        <v>#N/A</v>
      </c>
      <c r="AB931" s="301" t="str">
        <f t="shared" si="636"/>
        <v>,,,,1,</v>
      </c>
      <c r="AC931" s="153" t="str">
        <f t="shared" si="637"/>
        <v/>
      </c>
      <c r="AD931" s="301" t="str">
        <f t="shared" si="638"/>
        <v>,,,,1,</v>
      </c>
      <c r="AE931" s="153" t="str">
        <f t="shared" si="639"/>
        <v/>
      </c>
      <c r="AF931" s="383">
        <f t="shared" si="640"/>
        <v>0</v>
      </c>
      <c r="AG931" s="383">
        <f t="shared" si="641"/>
        <v>0</v>
      </c>
      <c r="AH931" s="383">
        <f t="shared" si="642"/>
        <v>0</v>
      </c>
      <c r="AI931" s="383">
        <f t="shared" si="643"/>
        <v>0</v>
      </c>
      <c r="AJ931" s="383">
        <f t="shared" si="644"/>
        <v>0</v>
      </c>
      <c r="AK931" s="383">
        <f t="shared" si="645"/>
        <v>0</v>
      </c>
      <c r="AM931" s="148" t="str">
        <f t="shared" si="646"/>
        <v>Not Schedulled</v>
      </c>
      <c r="AN931" s="148" t="str">
        <f t="shared" si="647"/>
        <v/>
      </c>
      <c r="AO931" s="156">
        <f t="shared" si="648"/>
        <v>0</v>
      </c>
      <c r="AP931" s="148" t="str">
        <f t="shared" si="649"/>
        <v>01/00/1900 00:00-&gt;</v>
      </c>
      <c r="AQ931" s="374">
        <f t="shared" si="650"/>
        <v>0</v>
      </c>
      <c r="AR931" s="148" t="str">
        <f t="shared" si="651"/>
        <v/>
      </c>
      <c r="AS931" s="148" t="str">
        <f t="shared" si="652"/>
        <v/>
      </c>
      <c r="AT931" s="157" t="str">
        <f t="shared" si="653"/>
        <v/>
      </c>
      <c r="AU931" s="157" t="str">
        <f t="shared" si="654"/>
        <v/>
      </c>
      <c r="AV931" s="157" t="str">
        <f t="shared" si="655"/>
        <v/>
      </c>
      <c r="AW931" s="157" t="str">
        <f t="shared" si="656"/>
        <v/>
      </c>
      <c r="AX931" s="376">
        <f t="shared" si="657"/>
        <v>0</v>
      </c>
      <c r="AY931" s="148" t="str">
        <f t="shared" si="658"/>
        <v>-&gt;</v>
      </c>
      <c r="AZ931" s="148" t="str">
        <f t="shared" si="659"/>
        <v>01/00/1900 00:00-&gt;</v>
      </c>
      <c r="BA931" s="148" t="str">
        <f t="shared" si="660"/>
        <v>01/00/1900 00:00-&gt;</v>
      </c>
      <c r="BB931" s="374">
        <f t="shared" si="661"/>
        <v>0</v>
      </c>
      <c r="BC931" s="374">
        <f t="shared" si="662"/>
        <v>0</v>
      </c>
      <c r="BD931" s="148" t="str">
        <f t="shared" si="663"/>
        <v>no conflict</v>
      </c>
      <c r="BF931" s="148" t="str">
        <f t="shared" si="664"/>
        <v>01/00/1900 00:00-&gt;</v>
      </c>
      <c r="BG931" s="148" t="str">
        <f t="shared" si="665"/>
        <v>01/00/1900 00:00-&gt;</v>
      </c>
      <c r="BH931" s="148" t="str">
        <f t="shared" si="666"/>
        <v>01/00/1900 00:00-&gt;</v>
      </c>
      <c r="BI931" s="148" t="str">
        <f t="shared" si="667"/>
        <v xml:space="preserve"> in  ()</v>
      </c>
      <c r="BJ931" s="148" t="str">
        <f t="shared" si="668"/>
        <v xml:space="preserve">--  vs. </v>
      </c>
      <c r="BK931" s="148" t="str">
        <f t="shared" si="669"/>
        <v/>
      </c>
      <c r="BL931" s="148">
        <f t="shared" si="670"/>
        <v>0</v>
      </c>
      <c r="BM931" s="148">
        <f t="shared" si="671"/>
        <v>0</v>
      </c>
      <c r="BN931" s="148">
        <f t="shared" si="672"/>
        <v>0</v>
      </c>
      <c r="BP931" s="148" t="str">
        <f t="shared" si="673"/>
        <v>no game</v>
      </c>
      <c r="BQ931" s="148" t="str">
        <f t="shared" si="674"/>
        <v xml:space="preserve">  in </v>
      </c>
    </row>
    <row r="932" spans="2:69" ht="15" customHeight="1" x14ac:dyDescent="0.2">
      <c r="B932" s="153"/>
      <c r="C932" s="153"/>
      <c r="D932" s="383"/>
      <c r="E932" s="383"/>
      <c r="F932" s="153"/>
      <c r="G932" s="154"/>
      <c r="H932" s="155"/>
      <c r="I932" s="314"/>
      <c r="J932" s="153"/>
      <c r="K932" s="153"/>
      <c r="L932" s="153"/>
      <c r="M932" s="153"/>
      <c r="N932" s="153"/>
      <c r="O932" s="153" t="str">
        <f>IF(L932&lt;&gt;"",IFERROR(VLOOKUP(B932&amp;L932,Pools!$A$2:$D$130,3,FALSE),""),"")</f>
        <v/>
      </c>
      <c r="P932" s="387"/>
      <c r="Q932" s="387"/>
      <c r="R932" s="306" t="str">
        <f t="shared" si="630"/>
        <v>-</v>
      </c>
      <c r="S932" s="153"/>
      <c r="T932" s="148" t="str">
        <f t="shared" si="631"/>
        <v>Pending</v>
      </c>
      <c r="U932" s="153"/>
      <c r="V932" s="153"/>
      <c r="W932" s="387">
        <f t="shared" si="632"/>
        <v>0</v>
      </c>
      <c r="X932" s="387">
        <f t="shared" si="633"/>
        <v>0</v>
      </c>
      <c r="Y932" s="301" t="str">
        <f t="shared" si="634"/>
        <v>X</v>
      </c>
      <c r="Z932" s="301" t="str">
        <f t="shared" si="635"/>
        <v>X</v>
      </c>
      <c r="AA932" s="323" t="e">
        <f>CONCATENATE("                x[team1,team2,sport,'",IF(OR(I932="x",I932=""),VLOOKUP('Schedule from TM'!J932,Tables!$P$3:$Q$33,2,FALSE),'Schedule from TM'!I932),",",J932,"','",IF(OR(F932="x",F932=""),VLOOKUP('Schedule from TM'!G932,Tables!$U$3:$V$14,2,FALSE),'Schedule from TM'!F932),",",TEXT(G932,"mm/dd/yyyy"),"','",TEXT(H932,"h:mm:ss AM/PM"),"'].ub=0.0      #",B932)</f>
        <v>#N/A</v>
      </c>
      <c r="AB932" s="301" t="str">
        <f t="shared" si="636"/>
        <v>,,,,1,</v>
      </c>
      <c r="AC932" s="153" t="str">
        <f t="shared" si="637"/>
        <v/>
      </c>
      <c r="AD932" s="301" t="str">
        <f t="shared" si="638"/>
        <v>,,,,1,</v>
      </c>
      <c r="AE932" s="153" t="str">
        <f t="shared" si="639"/>
        <v/>
      </c>
      <c r="AF932" s="383">
        <f t="shared" si="640"/>
        <v>0</v>
      </c>
      <c r="AG932" s="383">
        <f t="shared" si="641"/>
        <v>0</v>
      </c>
      <c r="AH932" s="383">
        <f t="shared" si="642"/>
        <v>0</v>
      </c>
      <c r="AI932" s="383">
        <f t="shared" si="643"/>
        <v>0</v>
      </c>
      <c r="AJ932" s="383">
        <f t="shared" si="644"/>
        <v>0</v>
      </c>
      <c r="AK932" s="383">
        <f t="shared" si="645"/>
        <v>0</v>
      </c>
      <c r="AM932" s="148" t="str">
        <f t="shared" si="646"/>
        <v>Not Schedulled</v>
      </c>
      <c r="AN932" s="148" t="str">
        <f t="shared" si="647"/>
        <v/>
      </c>
      <c r="AO932" s="156">
        <f t="shared" si="648"/>
        <v>0</v>
      </c>
      <c r="AP932" s="148" t="str">
        <f t="shared" si="649"/>
        <v>01/00/1900 00:00-&gt;</v>
      </c>
      <c r="AQ932" s="374">
        <f t="shared" si="650"/>
        <v>0</v>
      </c>
      <c r="AR932" s="148" t="str">
        <f t="shared" si="651"/>
        <v/>
      </c>
      <c r="AS932" s="148" t="str">
        <f t="shared" si="652"/>
        <v/>
      </c>
      <c r="AT932" s="157" t="str">
        <f t="shared" si="653"/>
        <v/>
      </c>
      <c r="AU932" s="157" t="str">
        <f t="shared" si="654"/>
        <v/>
      </c>
      <c r="AV932" s="157" t="str">
        <f t="shared" si="655"/>
        <v/>
      </c>
      <c r="AW932" s="157" t="str">
        <f t="shared" si="656"/>
        <v/>
      </c>
      <c r="AX932" s="376">
        <f t="shared" si="657"/>
        <v>0</v>
      </c>
      <c r="AY932" s="148" t="str">
        <f t="shared" si="658"/>
        <v>-&gt;</v>
      </c>
      <c r="AZ932" s="148" t="str">
        <f t="shared" si="659"/>
        <v>01/00/1900 00:00-&gt;</v>
      </c>
      <c r="BA932" s="148" t="str">
        <f t="shared" si="660"/>
        <v>01/00/1900 00:00-&gt;</v>
      </c>
      <c r="BB932" s="374">
        <f t="shared" si="661"/>
        <v>0</v>
      </c>
      <c r="BC932" s="374">
        <f t="shared" si="662"/>
        <v>0</v>
      </c>
      <c r="BD932" s="148" t="str">
        <f t="shared" si="663"/>
        <v>no conflict</v>
      </c>
      <c r="BF932" s="148" t="str">
        <f t="shared" si="664"/>
        <v>01/00/1900 00:00-&gt;</v>
      </c>
      <c r="BG932" s="148" t="str">
        <f t="shared" si="665"/>
        <v>01/00/1900 00:00-&gt;</v>
      </c>
      <c r="BH932" s="148" t="str">
        <f t="shared" si="666"/>
        <v>01/00/1900 00:00-&gt;</v>
      </c>
      <c r="BI932" s="148" t="str">
        <f t="shared" si="667"/>
        <v xml:space="preserve"> in  ()</v>
      </c>
      <c r="BJ932" s="148" t="str">
        <f t="shared" si="668"/>
        <v xml:space="preserve">--  vs. </v>
      </c>
      <c r="BK932" s="148" t="str">
        <f t="shared" si="669"/>
        <v/>
      </c>
      <c r="BL932" s="148">
        <f t="shared" si="670"/>
        <v>0</v>
      </c>
      <c r="BM932" s="148">
        <f t="shared" si="671"/>
        <v>0</v>
      </c>
      <c r="BN932" s="148">
        <f t="shared" si="672"/>
        <v>0</v>
      </c>
      <c r="BP932" s="148" t="str">
        <f t="shared" si="673"/>
        <v>no game</v>
      </c>
      <c r="BQ932" s="148" t="str">
        <f t="shared" si="674"/>
        <v xml:space="preserve">  in </v>
      </c>
    </row>
    <row r="933" spans="2:69" ht="15" customHeight="1" x14ac:dyDescent="0.2">
      <c r="B933" s="153"/>
      <c r="C933" s="153"/>
      <c r="D933" s="383"/>
      <c r="E933" s="383"/>
      <c r="F933" s="153"/>
      <c r="G933" s="154"/>
      <c r="H933" s="155"/>
      <c r="I933" s="314"/>
      <c r="J933" s="153"/>
      <c r="K933" s="153"/>
      <c r="L933" s="153"/>
      <c r="M933" s="153"/>
      <c r="N933" s="153"/>
      <c r="O933" s="153" t="str">
        <f>IF(L933&lt;&gt;"",IFERROR(VLOOKUP(B933&amp;L933,Pools!$A$2:$D$130,3,FALSE),""),"")</f>
        <v/>
      </c>
      <c r="P933" s="387"/>
      <c r="Q933" s="387"/>
      <c r="R933" s="306" t="str">
        <f t="shared" si="630"/>
        <v>-</v>
      </c>
      <c r="S933" s="153"/>
      <c r="T933" s="148" t="str">
        <f t="shared" si="631"/>
        <v>Pending</v>
      </c>
      <c r="U933" s="153"/>
      <c r="V933" s="153"/>
      <c r="W933" s="387">
        <f t="shared" si="632"/>
        <v>0</v>
      </c>
      <c r="X933" s="387">
        <f t="shared" si="633"/>
        <v>0</v>
      </c>
      <c r="Y933" s="301" t="str">
        <f t="shared" si="634"/>
        <v>X</v>
      </c>
      <c r="Z933" s="301" t="str">
        <f t="shared" si="635"/>
        <v>X</v>
      </c>
      <c r="AA933" s="323" t="e">
        <f>CONCATENATE("                x[team1,team2,sport,'",IF(OR(I933="x",I933=""),VLOOKUP('Schedule from TM'!J933,Tables!$P$3:$Q$33,2,FALSE),'Schedule from TM'!I933),",",J933,"','",IF(OR(F933="x",F933=""),VLOOKUP('Schedule from TM'!G933,Tables!$U$3:$V$14,2,FALSE),'Schedule from TM'!F933),",",TEXT(G933,"mm/dd/yyyy"),"','",TEXT(H933,"h:mm:ss AM/PM"),"'].ub=0.0      #",B933)</f>
        <v>#N/A</v>
      </c>
      <c r="AB933" s="301" t="str">
        <f t="shared" si="636"/>
        <v>,,,,1,</v>
      </c>
      <c r="AC933" s="153" t="str">
        <f t="shared" si="637"/>
        <v/>
      </c>
      <c r="AD933" s="301" t="str">
        <f t="shared" si="638"/>
        <v>,,,,1,</v>
      </c>
      <c r="AE933" s="153" t="str">
        <f t="shared" si="639"/>
        <v/>
      </c>
      <c r="AF933" s="383">
        <f t="shared" si="640"/>
        <v>0</v>
      </c>
      <c r="AG933" s="383">
        <f t="shared" si="641"/>
        <v>0</v>
      </c>
      <c r="AH933" s="383">
        <f t="shared" si="642"/>
        <v>0</v>
      </c>
      <c r="AI933" s="383">
        <f t="shared" si="643"/>
        <v>0</v>
      </c>
      <c r="AJ933" s="383">
        <f t="shared" si="644"/>
        <v>0</v>
      </c>
      <c r="AK933" s="383">
        <f t="shared" si="645"/>
        <v>0</v>
      </c>
      <c r="AM933" s="148" t="str">
        <f t="shared" si="646"/>
        <v>Not Schedulled</v>
      </c>
      <c r="AN933" s="148" t="str">
        <f t="shared" si="647"/>
        <v/>
      </c>
      <c r="AO933" s="156">
        <f t="shared" si="648"/>
        <v>0</v>
      </c>
      <c r="AP933" s="148" t="str">
        <f t="shared" si="649"/>
        <v>01/00/1900 00:00-&gt;</v>
      </c>
      <c r="AQ933" s="374">
        <f t="shared" si="650"/>
        <v>0</v>
      </c>
      <c r="AR933" s="148" t="str">
        <f t="shared" si="651"/>
        <v/>
      </c>
      <c r="AS933" s="148" t="str">
        <f t="shared" si="652"/>
        <v/>
      </c>
      <c r="AT933" s="157" t="str">
        <f t="shared" si="653"/>
        <v/>
      </c>
      <c r="AU933" s="157" t="str">
        <f t="shared" si="654"/>
        <v/>
      </c>
      <c r="AV933" s="157" t="str">
        <f t="shared" si="655"/>
        <v/>
      </c>
      <c r="AW933" s="157" t="str">
        <f t="shared" si="656"/>
        <v/>
      </c>
      <c r="AX933" s="376">
        <f t="shared" si="657"/>
        <v>0</v>
      </c>
      <c r="AY933" s="148" t="str">
        <f t="shared" si="658"/>
        <v>-&gt;</v>
      </c>
      <c r="AZ933" s="148" t="str">
        <f t="shared" si="659"/>
        <v>01/00/1900 00:00-&gt;</v>
      </c>
      <c r="BA933" s="148" t="str">
        <f t="shared" si="660"/>
        <v>01/00/1900 00:00-&gt;</v>
      </c>
      <c r="BB933" s="374">
        <f t="shared" si="661"/>
        <v>0</v>
      </c>
      <c r="BC933" s="374">
        <f t="shared" si="662"/>
        <v>0</v>
      </c>
      <c r="BD933" s="148" t="str">
        <f t="shared" si="663"/>
        <v>no conflict</v>
      </c>
      <c r="BF933" s="148" t="str">
        <f t="shared" si="664"/>
        <v>01/00/1900 00:00-&gt;</v>
      </c>
      <c r="BG933" s="148" t="str">
        <f t="shared" si="665"/>
        <v>01/00/1900 00:00-&gt;</v>
      </c>
      <c r="BH933" s="148" t="str">
        <f t="shared" si="666"/>
        <v>01/00/1900 00:00-&gt;</v>
      </c>
      <c r="BI933" s="148" t="str">
        <f t="shared" si="667"/>
        <v xml:space="preserve"> in  ()</v>
      </c>
      <c r="BJ933" s="148" t="str">
        <f t="shared" si="668"/>
        <v xml:space="preserve">--  vs. </v>
      </c>
      <c r="BK933" s="148" t="str">
        <f t="shared" si="669"/>
        <v/>
      </c>
      <c r="BL933" s="148">
        <f t="shared" si="670"/>
        <v>0</v>
      </c>
      <c r="BM933" s="148">
        <f t="shared" si="671"/>
        <v>0</v>
      </c>
      <c r="BN933" s="148">
        <f t="shared" si="672"/>
        <v>0</v>
      </c>
      <c r="BP933" s="148" t="str">
        <f t="shared" si="673"/>
        <v>no game</v>
      </c>
      <c r="BQ933" s="148" t="str">
        <f t="shared" si="674"/>
        <v xml:space="preserve">  in </v>
      </c>
    </row>
    <row r="934" spans="2:69" ht="15" customHeight="1" x14ac:dyDescent="0.2">
      <c r="B934" s="153"/>
      <c r="C934" s="153"/>
      <c r="D934" s="383"/>
      <c r="E934" s="383"/>
      <c r="F934" s="153"/>
      <c r="G934" s="154"/>
      <c r="H934" s="155"/>
      <c r="I934" s="314"/>
      <c r="J934" s="153"/>
      <c r="K934" s="153"/>
      <c r="L934" s="153"/>
      <c r="M934" s="153"/>
      <c r="N934" s="153"/>
      <c r="O934" s="153" t="str">
        <f>IF(L934&lt;&gt;"",IFERROR(VLOOKUP(B934&amp;L934,Pools!$A$2:$D$130,3,FALSE),""),"")</f>
        <v/>
      </c>
      <c r="P934" s="387"/>
      <c r="Q934" s="387"/>
      <c r="R934" s="306" t="str">
        <f t="shared" si="630"/>
        <v>-</v>
      </c>
      <c r="S934" s="153"/>
      <c r="T934" s="148" t="str">
        <f t="shared" si="631"/>
        <v>Pending</v>
      </c>
      <c r="U934" s="153"/>
      <c r="V934" s="153"/>
      <c r="W934" s="387">
        <f t="shared" si="632"/>
        <v>0</v>
      </c>
      <c r="X934" s="387">
        <f t="shared" si="633"/>
        <v>0</v>
      </c>
      <c r="Y934" s="301" t="str">
        <f t="shared" si="634"/>
        <v>X</v>
      </c>
      <c r="Z934" s="301" t="str">
        <f t="shared" si="635"/>
        <v>X</v>
      </c>
      <c r="AA934" s="323" t="e">
        <f>CONCATENATE("                x[team1,team2,sport,'",IF(OR(I934="x",I934=""),VLOOKUP('Schedule from TM'!J934,Tables!$P$3:$Q$33,2,FALSE),'Schedule from TM'!I934),",",J934,"','",IF(OR(F934="x",F934=""),VLOOKUP('Schedule from TM'!G934,Tables!$U$3:$V$14,2,FALSE),'Schedule from TM'!F934),",",TEXT(G934,"mm/dd/yyyy"),"','",TEXT(H934,"h:mm:ss AM/PM"),"'].ub=0.0      #",B934)</f>
        <v>#N/A</v>
      </c>
      <c r="AB934" s="301" t="str">
        <f t="shared" si="636"/>
        <v>,,,,1,</v>
      </c>
      <c r="AC934" s="153" t="str">
        <f t="shared" si="637"/>
        <v/>
      </c>
      <c r="AD934" s="301" t="str">
        <f t="shared" si="638"/>
        <v>,,,,1,</v>
      </c>
      <c r="AE934" s="153" t="str">
        <f t="shared" si="639"/>
        <v/>
      </c>
      <c r="AF934" s="383">
        <f t="shared" si="640"/>
        <v>0</v>
      </c>
      <c r="AG934" s="383">
        <f t="shared" si="641"/>
        <v>0</v>
      </c>
      <c r="AH934" s="383">
        <f t="shared" si="642"/>
        <v>0</v>
      </c>
      <c r="AI934" s="383">
        <f t="shared" si="643"/>
        <v>0</v>
      </c>
      <c r="AJ934" s="383">
        <f t="shared" si="644"/>
        <v>0</v>
      </c>
      <c r="AK934" s="383">
        <f t="shared" si="645"/>
        <v>0</v>
      </c>
      <c r="AM934" s="148" t="str">
        <f t="shared" si="646"/>
        <v>Not Schedulled</v>
      </c>
      <c r="AN934" s="148" t="str">
        <f t="shared" si="647"/>
        <v/>
      </c>
      <c r="AO934" s="156">
        <f t="shared" si="648"/>
        <v>0</v>
      </c>
      <c r="AP934" s="148" t="str">
        <f t="shared" si="649"/>
        <v>01/00/1900 00:00-&gt;</v>
      </c>
      <c r="AQ934" s="374">
        <f t="shared" si="650"/>
        <v>0</v>
      </c>
      <c r="AR934" s="148" t="str">
        <f t="shared" si="651"/>
        <v/>
      </c>
      <c r="AS934" s="148" t="str">
        <f t="shared" si="652"/>
        <v/>
      </c>
      <c r="AT934" s="157" t="str">
        <f t="shared" si="653"/>
        <v/>
      </c>
      <c r="AU934" s="157" t="str">
        <f t="shared" si="654"/>
        <v/>
      </c>
      <c r="AV934" s="157" t="str">
        <f t="shared" si="655"/>
        <v/>
      </c>
      <c r="AW934" s="157" t="str">
        <f t="shared" si="656"/>
        <v/>
      </c>
      <c r="AX934" s="376">
        <f t="shared" si="657"/>
        <v>0</v>
      </c>
      <c r="AY934" s="148" t="str">
        <f t="shared" si="658"/>
        <v>-&gt;</v>
      </c>
      <c r="AZ934" s="148" t="str">
        <f t="shared" si="659"/>
        <v>01/00/1900 00:00-&gt;</v>
      </c>
      <c r="BA934" s="148" t="str">
        <f t="shared" si="660"/>
        <v>01/00/1900 00:00-&gt;</v>
      </c>
      <c r="BB934" s="374">
        <f t="shared" si="661"/>
        <v>0</v>
      </c>
      <c r="BC934" s="374">
        <f t="shared" si="662"/>
        <v>0</v>
      </c>
      <c r="BD934" s="148" t="str">
        <f t="shared" si="663"/>
        <v>no conflict</v>
      </c>
      <c r="BF934" s="148" t="str">
        <f t="shared" si="664"/>
        <v>01/00/1900 00:00-&gt;</v>
      </c>
      <c r="BG934" s="148" t="str">
        <f t="shared" si="665"/>
        <v>01/00/1900 00:00-&gt;</v>
      </c>
      <c r="BH934" s="148" t="str">
        <f t="shared" si="666"/>
        <v>01/00/1900 00:00-&gt;</v>
      </c>
      <c r="BI934" s="148" t="str">
        <f t="shared" si="667"/>
        <v xml:space="preserve"> in  ()</v>
      </c>
      <c r="BJ934" s="148" t="str">
        <f t="shared" si="668"/>
        <v xml:space="preserve">--  vs. </v>
      </c>
      <c r="BK934" s="148" t="str">
        <f t="shared" si="669"/>
        <v/>
      </c>
      <c r="BL934" s="148">
        <f t="shared" si="670"/>
        <v>0</v>
      </c>
      <c r="BM934" s="148">
        <f t="shared" si="671"/>
        <v>0</v>
      </c>
      <c r="BN934" s="148">
        <f t="shared" si="672"/>
        <v>0</v>
      </c>
      <c r="BP934" s="148" t="str">
        <f t="shared" si="673"/>
        <v>no game</v>
      </c>
      <c r="BQ934" s="148" t="str">
        <f t="shared" si="674"/>
        <v xml:space="preserve">  in </v>
      </c>
    </row>
    <row r="935" spans="2:69" ht="15" customHeight="1" x14ac:dyDescent="0.2">
      <c r="B935" s="153"/>
      <c r="C935" s="153"/>
      <c r="D935" s="383"/>
      <c r="E935" s="383"/>
      <c r="F935" s="153"/>
      <c r="G935" s="154"/>
      <c r="H935" s="155"/>
      <c r="I935" s="314"/>
      <c r="J935" s="153"/>
      <c r="K935" s="153"/>
      <c r="L935" s="153"/>
      <c r="M935" s="153"/>
      <c r="N935" s="153"/>
      <c r="O935" s="153" t="str">
        <f>IF(L935&lt;&gt;"",IFERROR(VLOOKUP(B935&amp;L935,Pools!$A$2:$D$130,3,FALSE),""),"")</f>
        <v/>
      </c>
      <c r="P935" s="387"/>
      <c r="Q935" s="387"/>
      <c r="R935" s="306" t="str">
        <f t="shared" si="630"/>
        <v>-</v>
      </c>
      <c r="S935" s="153"/>
      <c r="T935" s="148" t="str">
        <f t="shared" si="631"/>
        <v>Pending</v>
      </c>
      <c r="U935" s="153"/>
      <c r="V935" s="153"/>
      <c r="W935" s="387">
        <f t="shared" si="632"/>
        <v>0</v>
      </c>
      <c r="X935" s="387">
        <f t="shared" si="633"/>
        <v>0</v>
      </c>
      <c r="Y935" s="301" t="str">
        <f t="shared" si="634"/>
        <v>X</v>
      </c>
      <c r="Z935" s="301" t="str">
        <f t="shared" si="635"/>
        <v>X</v>
      </c>
      <c r="AA935" s="323" t="e">
        <f>CONCATENATE("                x[team1,team2,sport,'",IF(OR(I935="x",I935=""),VLOOKUP('Schedule from TM'!J935,Tables!$P$3:$Q$33,2,FALSE),'Schedule from TM'!I935),",",J935,"','",IF(OR(F935="x",F935=""),VLOOKUP('Schedule from TM'!G935,Tables!$U$3:$V$14,2,FALSE),'Schedule from TM'!F935),",",TEXT(G935,"mm/dd/yyyy"),"','",TEXT(H935,"h:mm:ss AM/PM"),"'].ub=0.0      #",B935)</f>
        <v>#N/A</v>
      </c>
      <c r="AB935" s="301" t="str">
        <f t="shared" si="636"/>
        <v>,,,,1,</v>
      </c>
      <c r="AC935" s="153" t="str">
        <f t="shared" si="637"/>
        <v/>
      </c>
      <c r="AD935" s="301" t="str">
        <f t="shared" si="638"/>
        <v>,,,,1,</v>
      </c>
      <c r="AE935" s="153" t="str">
        <f t="shared" si="639"/>
        <v/>
      </c>
      <c r="AF935" s="383">
        <f t="shared" si="640"/>
        <v>0</v>
      </c>
      <c r="AG935" s="383">
        <f t="shared" si="641"/>
        <v>0</v>
      </c>
      <c r="AH935" s="383">
        <f t="shared" si="642"/>
        <v>0</v>
      </c>
      <c r="AI935" s="383">
        <f t="shared" si="643"/>
        <v>0</v>
      </c>
      <c r="AJ935" s="383">
        <f t="shared" si="644"/>
        <v>0</v>
      </c>
      <c r="AK935" s="383">
        <f t="shared" si="645"/>
        <v>0</v>
      </c>
      <c r="AM935" s="148" t="str">
        <f t="shared" si="646"/>
        <v>Not Schedulled</v>
      </c>
      <c r="AN935" s="148" t="str">
        <f t="shared" si="647"/>
        <v/>
      </c>
      <c r="AO935" s="156">
        <f t="shared" si="648"/>
        <v>0</v>
      </c>
      <c r="AP935" s="148" t="str">
        <f t="shared" si="649"/>
        <v>01/00/1900 00:00-&gt;</v>
      </c>
      <c r="AQ935" s="374">
        <f t="shared" si="650"/>
        <v>0</v>
      </c>
      <c r="AR935" s="148" t="str">
        <f t="shared" si="651"/>
        <v/>
      </c>
      <c r="AS935" s="148" t="str">
        <f t="shared" si="652"/>
        <v/>
      </c>
      <c r="AT935" s="157" t="str">
        <f t="shared" si="653"/>
        <v/>
      </c>
      <c r="AU935" s="157" t="str">
        <f t="shared" si="654"/>
        <v/>
      </c>
      <c r="AV935" s="157" t="str">
        <f t="shared" si="655"/>
        <v/>
      </c>
      <c r="AW935" s="157" t="str">
        <f t="shared" si="656"/>
        <v/>
      </c>
      <c r="AX935" s="376">
        <f t="shared" si="657"/>
        <v>0</v>
      </c>
      <c r="AY935" s="148" t="str">
        <f t="shared" si="658"/>
        <v>-&gt;</v>
      </c>
      <c r="AZ935" s="148" t="str">
        <f t="shared" si="659"/>
        <v>01/00/1900 00:00-&gt;</v>
      </c>
      <c r="BA935" s="148" t="str">
        <f t="shared" si="660"/>
        <v>01/00/1900 00:00-&gt;</v>
      </c>
      <c r="BB935" s="374">
        <f t="shared" si="661"/>
        <v>0</v>
      </c>
      <c r="BC935" s="374">
        <f t="shared" si="662"/>
        <v>0</v>
      </c>
      <c r="BD935" s="148" t="str">
        <f t="shared" si="663"/>
        <v>no conflict</v>
      </c>
      <c r="BF935" s="148" t="str">
        <f t="shared" si="664"/>
        <v>01/00/1900 00:00-&gt;</v>
      </c>
      <c r="BG935" s="148" t="str">
        <f t="shared" si="665"/>
        <v>01/00/1900 00:00-&gt;</v>
      </c>
      <c r="BH935" s="148" t="str">
        <f t="shared" si="666"/>
        <v>01/00/1900 00:00-&gt;</v>
      </c>
      <c r="BI935" s="148" t="str">
        <f t="shared" si="667"/>
        <v xml:space="preserve"> in  ()</v>
      </c>
      <c r="BJ935" s="148" t="str">
        <f t="shared" si="668"/>
        <v xml:space="preserve">--  vs. </v>
      </c>
      <c r="BK935" s="148" t="str">
        <f t="shared" si="669"/>
        <v/>
      </c>
      <c r="BL935" s="148">
        <f t="shared" si="670"/>
        <v>0</v>
      </c>
      <c r="BM935" s="148">
        <f t="shared" si="671"/>
        <v>0</v>
      </c>
      <c r="BN935" s="148">
        <f t="shared" si="672"/>
        <v>0</v>
      </c>
      <c r="BP935" s="148" t="str">
        <f t="shared" si="673"/>
        <v>no game</v>
      </c>
      <c r="BQ935" s="148" t="str">
        <f t="shared" si="674"/>
        <v xml:space="preserve">  in </v>
      </c>
    </row>
    <row r="936" spans="2:69" ht="15" customHeight="1" x14ac:dyDescent="0.2">
      <c r="B936" s="153"/>
      <c r="C936" s="153"/>
      <c r="D936" s="383"/>
      <c r="E936" s="383"/>
      <c r="F936" s="153"/>
      <c r="G936" s="154"/>
      <c r="H936" s="155"/>
      <c r="I936" s="314"/>
      <c r="J936" s="153"/>
      <c r="K936" s="153"/>
      <c r="L936" s="153"/>
      <c r="M936" s="153"/>
      <c r="N936" s="153"/>
      <c r="O936" s="153" t="str">
        <f>IF(L936&lt;&gt;"",IFERROR(VLOOKUP(B936&amp;L936,Pools!$A$2:$D$130,3,FALSE),""),"")</f>
        <v/>
      </c>
      <c r="P936" s="387"/>
      <c r="Q936" s="387"/>
      <c r="R936" s="306" t="str">
        <f t="shared" si="630"/>
        <v>-</v>
      </c>
      <c r="S936" s="153"/>
      <c r="T936" s="148" t="str">
        <f t="shared" si="631"/>
        <v>Pending</v>
      </c>
      <c r="U936" s="153"/>
      <c r="V936" s="153"/>
      <c r="W936" s="387">
        <f t="shared" si="632"/>
        <v>0</v>
      </c>
      <c r="X936" s="387">
        <f t="shared" si="633"/>
        <v>0</v>
      </c>
      <c r="Y936" s="301" t="str">
        <f t="shared" si="634"/>
        <v>X</v>
      </c>
      <c r="Z936" s="301" t="str">
        <f t="shared" si="635"/>
        <v>X</v>
      </c>
      <c r="AA936" s="323" t="e">
        <f>CONCATENATE("                x[team1,team2,sport,'",IF(OR(I936="x",I936=""),VLOOKUP('Schedule from TM'!J936,Tables!$P$3:$Q$33,2,FALSE),'Schedule from TM'!I936),",",J936,"','",IF(OR(F936="x",F936=""),VLOOKUP('Schedule from TM'!G936,Tables!$U$3:$V$14,2,FALSE),'Schedule from TM'!F936),",",TEXT(G936,"mm/dd/yyyy"),"','",TEXT(H936,"h:mm:ss AM/PM"),"'].ub=0.0      #",B936)</f>
        <v>#N/A</v>
      </c>
      <c r="AB936" s="301" t="str">
        <f t="shared" si="636"/>
        <v>,,,,1,</v>
      </c>
      <c r="AC936" s="153" t="str">
        <f t="shared" si="637"/>
        <v/>
      </c>
      <c r="AD936" s="301" t="str">
        <f t="shared" si="638"/>
        <v>,,,,1,</v>
      </c>
      <c r="AE936" s="153" t="str">
        <f t="shared" si="639"/>
        <v/>
      </c>
      <c r="AF936" s="383">
        <f t="shared" si="640"/>
        <v>0</v>
      </c>
      <c r="AG936" s="383">
        <f t="shared" si="641"/>
        <v>0</v>
      </c>
      <c r="AH936" s="383">
        <f t="shared" si="642"/>
        <v>0</v>
      </c>
      <c r="AI936" s="383">
        <f t="shared" si="643"/>
        <v>0</v>
      </c>
      <c r="AJ936" s="383">
        <f t="shared" si="644"/>
        <v>0</v>
      </c>
      <c r="AK936" s="383">
        <f t="shared" si="645"/>
        <v>0</v>
      </c>
      <c r="AM936" s="148" t="str">
        <f t="shared" si="646"/>
        <v>Not Schedulled</v>
      </c>
      <c r="AN936" s="148" t="str">
        <f t="shared" si="647"/>
        <v/>
      </c>
      <c r="AO936" s="156">
        <f t="shared" si="648"/>
        <v>0</v>
      </c>
      <c r="AP936" s="148" t="str">
        <f t="shared" si="649"/>
        <v>01/00/1900 00:00-&gt;</v>
      </c>
      <c r="AQ936" s="374">
        <f t="shared" si="650"/>
        <v>0</v>
      </c>
      <c r="AR936" s="148" t="str">
        <f t="shared" si="651"/>
        <v/>
      </c>
      <c r="AS936" s="148" t="str">
        <f t="shared" si="652"/>
        <v/>
      </c>
      <c r="AT936" s="157" t="str">
        <f t="shared" si="653"/>
        <v/>
      </c>
      <c r="AU936" s="157" t="str">
        <f t="shared" si="654"/>
        <v/>
      </c>
      <c r="AV936" s="157" t="str">
        <f t="shared" si="655"/>
        <v/>
      </c>
      <c r="AW936" s="157" t="str">
        <f t="shared" si="656"/>
        <v/>
      </c>
      <c r="AX936" s="376">
        <f t="shared" si="657"/>
        <v>0</v>
      </c>
      <c r="AY936" s="148" t="str">
        <f t="shared" si="658"/>
        <v>-&gt;</v>
      </c>
      <c r="AZ936" s="148" t="str">
        <f t="shared" si="659"/>
        <v>01/00/1900 00:00-&gt;</v>
      </c>
      <c r="BA936" s="148" t="str">
        <f t="shared" si="660"/>
        <v>01/00/1900 00:00-&gt;</v>
      </c>
      <c r="BB936" s="374">
        <f t="shared" si="661"/>
        <v>0</v>
      </c>
      <c r="BC936" s="374">
        <f t="shared" si="662"/>
        <v>0</v>
      </c>
      <c r="BD936" s="148" t="str">
        <f t="shared" si="663"/>
        <v>no conflict</v>
      </c>
      <c r="BF936" s="148" t="str">
        <f t="shared" si="664"/>
        <v>01/00/1900 00:00-&gt;</v>
      </c>
      <c r="BG936" s="148" t="str">
        <f t="shared" si="665"/>
        <v>01/00/1900 00:00-&gt;</v>
      </c>
      <c r="BH936" s="148" t="str">
        <f t="shared" si="666"/>
        <v>01/00/1900 00:00-&gt;</v>
      </c>
      <c r="BI936" s="148" t="str">
        <f t="shared" si="667"/>
        <v xml:space="preserve"> in  ()</v>
      </c>
      <c r="BJ936" s="148" t="str">
        <f t="shared" si="668"/>
        <v xml:space="preserve">--  vs. </v>
      </c>
      <c r="BK936" s="148" t="str">
        <f t="shared" si="669"/>
        <v/>
      </c>
      <c r="BL936" s="148">
        <f t="shared" si="670"/>
        <v>0</v>
      </c>
      <c r="BM936" s="148">
        <f t="shared" si="671"/>
        <v>0</v>
      </c>
      <c r="BN936" s="148">
        <f t="shared" si="672"/>
        <v>0</v>
      </c>
      <c r="BP936" s="148" t="str">
        <f t="shared" si="673"/>
        <v>no game</v>
      </c>
      <c r="BQ936" s="148" t="str">
        <f t="shared" si="674"/>
        <v xml:space="preserve">  in </v>
      </c>
    </row>
    <row r="937" spans="2:69" ht="15" customHeight="1" x14ac:dyDescent="0.2">
      <c r="B937" s="153"/>
      <c r="C937" s="153"/>
      <c r="D937" s="383"/>
      <c r="E937" s="383"/>
      <c r="F937" s="153"/>
      <c r="G937" s="154"/>
      <c r="H937" s="155"/>
      <c r="I937" s="314"/>
      <c r="J937" s="153"/>
      <c r="K937" s="153"/>
      <c r="L937" s="153"/>
      <c r="M937" s="153"/>
      <c r="N937" s="153"/>
      <c r="O937" s="153" t="str">
        <f>IF(L937&lt;&gt;"",IFERROR(VLOOKUP(B937&amp;L937,Pools!$A$2:$D$130,3,FALSE),""),"")</f>
        <v/>
      </c>
      <c r="P937" s="387"/>
      <c r="Q937" s="387"/>
      <c r="R937" s="306" t="str">
        <f t="shared" si="630"/>
        <v>-</v>
      </c>
      <c r="S937" s="153"/>
      <c r="T937" s="148" t="str">
        <f t="shared" si="631"/>
        <v>Pending</v>
      </c>
      <c r="U937" s="153"/>
      <c r="V937" s="153"/>
      <c r="W937" s="387">
        <f t="shared" si="632"/>
        <v>0</v>
      </c>
      <c r="X937" s="387">
        <f t="shared" si="633"/>
        <v>0</v>
      </c>
      <c r="Y937" s="301" t="str">
        <f t="shared" si="634"/>
        <v>X</v>
      </c>
      <c r="Z937" s="301" t="str">
        <f t="shared" si="635"/>
        <v>X</v>
      </c>
      <c r="AA937" s="323" t="e">
        <f>CONCATENATE("                x[team1,team2,sport,'",IF(OR(I937="x",I937=""),VLOOKUP('Schedule from TM'!J937,Tables!$P$3:$Q$33,2,FALSE),'Schedule from TM'!I937),",",J937,"','",IF(OR(F937="x",F937=""),VLOOKUP('Schedule from TM'!G937,Tables!$U$3:$V$14,2,FALSE),'Schedule from TM'!F937),",",TEXT(G937,"mm/dd/yyyy"),"','",TEXT(H937,"h:mm:ss AM/PM"),"'].ub=0.0      #",B937)</f>
        <v>#N/A</v>
      </c>
      <c r="AB937" s="301" t="str">
        <f t="shared" si="636"/>
        <v>,,,,1,</v>
      </c>
      <c r="AC937" s="153" t="str">
        <f t="shared" si="637"/>
        <v/>
      </c>
      <c r="AD937" s="301" t="str">
        <f t="shared" si="638"/>
        <v>,,,,1,</v>
      </c>
      <c r="AE937" s="153" t="str">
        <f t="shared" si="639"/>
        <v/>
      </c>
      <c r="AF937" s="383">
        <f t="shared" si="640"/>
        <v>0</v>
      </c>
      <c r="AG937" s="383">
        <f t="shared" si="641"/>
        <v>0</v>
      </c>
      <c r="AH937" s="383">
        <f t="shared" si="642"/>
        <v>0</v>
      </c>
      <c r="AI937" s="383">
        <f t="shared" si="643"/>
        <v>0</v>
      </c>
      <c r="AJ937" s="383">
        <f t="shared" si="644"/>
        <v>0</v>
      </c>
      <c r="AK937" s="383">
        <f t="shared" si="645"/>
        <v>0</v>
      </c>
      <c r="AM937" s="148" t="str">
        <f t="shared" si="646"/>
        <v>Not Schedulled</v>
      </c>
      <c r="AN937" s="148" t="str">
        <f t="shared" si="647"/>
        <v/>
      </c>
      <c r="AO937" s="156">
        <f t="shared" si="648"/>
        <v>0</v>
      </c>
      <c r="AP937" s="148" t="str">
        <f t="shared" si="649"/>
        <v>01/00/1900 00:00-&gt;</v>
      </c>
      <c r="AQ937" s="374">
        <f t="shared" si="650"/>
        <v>0</v>
      </c>
      <c r="AR937" s="148" t="str">
        <f t="shared" si="651"/>
        <v/>
      </c>
      <c r="AS937" s="148" t="str">
        <f t="shared" si="652"/>
        <v/>
      </c>
      <c r="AT937" s="157" t="str">
        <f t="shared" si="653"/>
        <v/>
      </c>
      <c r="AU937" s="157" t="str">
        <f t="shared" si="654"/>
        <v/>
      </c>
      <c r="AV937" s="157" t="str">
        <f t="shared" si="655"/>
        <v/>
      </c>
      <c r="AW937" s="157" t="str">
        <f t="shared" si="656"/>
        <v/>
      </c>
      <c r="AX937" s="376">
        <f t="shared" si="657"/>
        <v>0</v>
      </c>
      <c r="AY937" s="148" t="str">
        <f t="shared" si="658"/>
        <v>-&gt;</v>
      </c>
      <c r="AZ937" s="148" t="str">
        <f t="shared" si="659"/>
        <v>01/00/1900 00:00-&gt;</v>
      </c>
      <c r="BA937" s="148" t="str">
        <f t="shared" si="660"/>
        <v>01/00/1900 00:00-&gt;</v>
      </c>
      <c r="BB937" s="374">
        <f t="shared" si="661"/>
        <v>0</v>
      </c>
      <c r="BC937" s="374">
        <f t="shared" si="662"/>
        <v>0</v>
      </c>
      <c r="BD937" s="148" t="str">
        <f t="shared" si="663"/>
        <v>no conflict</v>
      </c>
      <c r="BF937" s="148" t="str">
        <f t="shared" si="664"/>
        <v>01/00/1900 00:00-&gt;</v>
      </c>
      <c r="BG937" s="148" t="str">
        <f t="shared" si="665"/>
        <v>01/00/1900 00:00-&gt;</v>
      </c>
      <c r="BH937" s="148" t="str">
        <f t="shared" si="666"/>
        <v>01/00/1900 00:00-&gt;</v>
      </c>
      <c r="BI937" s="148" t="str">
        <f t="shared" si="667"/>
        <v xml:space="preserve"> in  ()</v>
      </c>
      <c r="BJ937" s="148" t="str">
        <f t="shared" si="668"/>
        <v xml:space="preserve">--  vs. </v>
      </c>
      <c r="BK937" s="148" t="str">
        <f t="shared" si="669"/>
        <v/>
      </c>
      <c r="BL937" s="148">
        <f t="shared" si="670"/>
        <v>0</v>
      </c>
      <c r="BM937" s="148">
        <f t="shared" si="671"/>
        <v>0</v>
      </c>
      <c r="BN937" s="148">
        <f t="shared" si="672"/>
        <v>0</v>
      </c>
      <c r="BP937" s="148" t="str">
        <f t="shared" si="673"/>
        <v>no game</v>
      </c>
      <c r="BQ937" s="148" t="str">
        <f t="shared" si="674"/>
        <v xml:space="preserve">  in </v>
      </c>
    </row>
    <row r="938" spans="2:69" ht="15" customHeight="1" x14ac:dyDescent="0.2">
      <c r="B938" s="153"/>
      <c r="C938" s="153"/>
      <c r="D938" s="383"/>
      <c r="E938" s="383"/>
      <c r="F938" s="153"/>
      <c r="G938" s="154"/>
      <c r="H938" s="155"/>
      <c r="I938" s="314"/>
      <c r="J938" s="153"/>
      <c r="K938" s="153"/>
      <c r="L938" s="153"/>
      <c r="M938" s="153"/>
      <c r="N938" s="153"/>
      <c r="O938" s="153" t="str">
        <f>IF(L938&lt;&gt;"",IFERROR(VLOOKUP(B938&amp;L938,Pools!$A$2:$D$130,3,FALSE),""),"")</f>
        <v/>
      </c>
      <c r="P938" s="387"/>
      <c r="Q938" s="387"/>
      <c r="R938" s="306" t="str">
        <f t="shared" si="630"/>
        <v>-</v>
      </c>
      <c r="S938" s="153"/>
      <c r="T938" s="148" t="str">
        <f t="shared" si="631"/>
        <v>Pending</v>
      </c>
      <c r="U938" s="153"/>
      <c r="V938" s="153"/>
      <c r="W938" s="387">
        <f t="shared" si="632"/>
        <v>0</v>
      </c>
      <c r="X938" s="387">
        <f t="shared" si="633"/>
        <v>0</v>
      </c>
      <c r="Y938" s="301" t="str">
        <f t="shared" si="634"/>
        <v>X</v>
      </c>
      <c r="Z938" s="301" t="str">
        <f t="shared" si="635"/>
        <v>X</v>
      </c>
      <c r="AA938" s="323" t="e">
        <f>CONCATENATE("                x[team1,team2,sport,'",IF(OR(I938="x",I938=""),VLOOKUP('Schedule from TM'!J938,Tables!$P$3:$Q$33,2,FALSE),'Schedule from TM'!I938),",",J938,"','",IF(OR(F938="x",F938=""),VLOOKUP('Schedule from TM'!G938,Tables!$U$3:$V$14,2,FALSE),'Schedule from TM'!F938),",",TEXT(G938,"mm/dd/yyyy"),"','",TEXT(H938,"h:mm:ss AM/PM"),"'].ub=0.0      #",B938)</f>
        <v>#N/A</v>
      </c>
      <c r="AB938" s="301" t="str">
        <f t="shared" si="636"/>
        <v>,,,,1,</v>
      </c>
      <c r="AC938" s="153" t="str">
        <f t="shared" si="637"/>
        <v/>
      </c>
      <c r="AD938" s="301" t="str">
        <f t="shared" si="638"/>
        <v>,,,,1,</v>
      </c>
      <c r="AE938" s="153" t="str">
        <f t="shared" si="639"/>
        <v/>
      </c>
      <c r="AF938" s="383">
        <f t="shared" si="640"/>
        <v>0</v>
      </c>
      <c r="AG938" s="383">
        <f t="shared" si="641"/>
        <v>0</v>
      </c>
      <c r="AH938" s="383">
        <f t="shared" si="642"/>
        <v>0</v>
      </c>
      <c r="AI938" s="383">
        <f t="shared" si="643"/>
        <v>0</v>
      </c>
      <c r="AJ938" s="383">
        <f t="shared" si="644"/>
        <v>0</v>
      </c>
      <c r="AK938" s="383">
        <f t="shared" si="645"/>
        <v>0</v>
      </c>
      <c r="AM938" s="148" t="str">
        <f t="shared" si="646"/>
        <v>Not Schedulled</v>
      </c>
      <c r="AN938" s="148" t="str">
        <f t="shared" si="647"/>
        <v/>
      </c>
      <c r="AO938" s="156">
        <f t="shared" si="648"/>
        <v>0</v>
      </c>
      <c r="AP938" s="148" t="str">
        <f t="shared" si="649"/>
        <v>01/00/1900 00:00-&gt;</v>
      </c>
      <c r="AQ938" s="374">
        <f t="shared" si="650"/>
        <v>0</v>
      </c>
      <c r="AR938" s="148" t="str">
        <f t="shared" si="651"/>
        <v/>
      </c>
      <c r="AS938" s="148" t="str">
        <f t="shared" si="652"/>
        <v/>
      </c>
      <c r="AT938" s="157" t="str">
        <f t="shared" si="653"/>
        <v/>
      </c>
      <c r="AU938" s="157" t="str">
        <f t="shared" si="654"/>
        <v/>
      </c>
      <c r="AV938" s="157" t="str">
        <f t="shared" si="655"/>
        <v/>
      </c>
      <c r="AW938" s="157" t="str">
        <f t="shared" si="656"/>
        <v/>
      </c>
      <c r="AX938" s="376">
        <f t="shared" si="657"/>
        <v>0</v>
      </c>
      <c r="AY938" s="148" t="str">
        <f t="shared" si="658"/>
        <v>-&gt;</v>
      </c>
      <c r="AZ938" s="148" t="str">
        <f t="shared" si="659"/>
        <v>01/00/1900 00:00-&gt;</v>
      </c>
      <c r="BA938" s="148" t="str">
        <f t="shared" si="660"/>
        <v>01/00/1900 00:00-&gt;</v>
      </c>
      <c r="BB938" s="374">
        <f t="shared" si="661"/>
        <v>0</v>
      </c>
      <c r="BC938" s="374">
        <f t="shared" si="662"/>
        <v>0</v>
      </c>
      <c r="BD938" s="148" t="str">
        <f t="shared" si="663"/>
        <v>no conflict</v>
      </c>
      <c r="BF938" s="148" t="str">
        <f t="shared" si="664"/>
        <v>01/00/1900 00:00-&gt;</v>
      </c>
      <c r="BG938" s="148" t="str">
        <f t="shared" si="665"/>
        <v>01/00/1900 00:00-&gt;</v>
      </c>
      <c r="BH938" s="148" t="str">
        <f t="shared" si="666"/>
        <v>01/00/1900 00:00-&gt;</v>
      </c>
      <c r="BI938" s="148" t="str">
        <f t="shared" si="667"/>
        <v xml:space="preserve"> in  ()</v>
      </c>
      <c r="BJ938" s="148" t="str">
        <f t="shared" si="668"/>
        <v xml:space="preserve">--  vs. </v>
      </c>
      <c r="BK938" s="148" t="str">
        <f t="shared" si="669"/>
        <v/>
      </c>
      <c r="BL938" s="148">
        <f t="shared" si="670"/>
        <v>0</v>
      </c>
      <c r="BM938" s="148">
        <f t="shared" si="671"/>
        <v>0</v>
      </c>
      <c r="BN938" s="148">
        <f t="shared" si="672"/>
        <v>0</v>
      </c>
      <c r="BP938" s="148" t="str">
        <f t="shared" si="673"/>
        <v>no game</v>
      </c>
      <c r="BQ938" s="148" t="str">
        <f t="shared" si="674"/>
        <v xml:space="preserve">  in </v>
      </c>
    </row>
    <row r="939" spans="2:69" ht="15" customHeight="1" x14ac:dyDescent="0.2">
      <c r="B939" s="153"/>
      <c r="C939" s="153"/>
      <c r="D939" s="383"/>
      <c r="E939" s="383"/>
      <c r="F939" s="153"/>
      <c r="G939" s="154"/>
      <c r="H939" s="155"/>
      <c r="I939" s="314"/>
      <c r="J939" s="153"/>
      <c r="K939" s="153"/>
      <c r="L939" s="153"/>
      <c r="M939" s="153"/>
      <c r="N939" s="153"/>
      <c r="O939" s="153" t="str">
        <f>IF(L939&lt;&gt;"",IFERROR(VLOOKUP(B939&amp;L939,Pools!$A$2:$D$130,3,FALSE),""),"")</f>
        <v/>
      </c>
      <c r="P939" s="387"/>
      <c r="Q939" s="387"/>
      <c r="R939" s="306" t="str">
        <f t="shared" si="630"/>
        <v>-</v>
      </c>
      <c r="S939" s="153"/>
      <c r="T939" s="148" t="str">
        <f t="shared" si="631"/>
        <v>Pending</v>
      </c>
      <c r="U939" s="153"/>
      <c r="V939" s="153"/>
      <c r="W939" s="387">
        <f t="shared" si="632"/>
        <v>0</v>
      </c>
      <c r="X939" s="387">
        <f t="shared" si="633"/>
        <v>0</v>
      </c>
      <c r="Y939" s="301" t="str">
        <f t="shared" si="634"/>
        <v>X</v>
      </c>
      <c r="Z939" s="301" t="str">
        <f t="shared" si="635"/>
        <v>X</v>
      </c>
      <c r="AA939" s="323" t="e">
        <f>CONCATENATE("                x[team1,team2,sport,'",IF(OR(I939="x",I939=""),VLOOKUP('Schedule from TM'!J939,Tables!$P$3:$Q$33,2,FALSE),'Schedule from TM'!I939),",",J939,"','",IF(OR(F939="x",F939=""),VLOOKUP('Schedule from TM'!G939,Tables!$U$3:$V$14,2,FALSE),'Schedule from TM'!F939),",",TEXT(G939,"mm/dd/yyyy"),"','",TEXT(H939,"h:mm:ss AM/PM"),"'].ub=0.0      #",B939)</f>
        <v>#N/A</v>
      </c>
      <c r="AB939" s="301" t="str">
        <f t="shared" si="636"/>
        <v>,,,,1,</v>
      </c>
      <c r="AC939" s="153" t="str">
        <f t="shared" si="637"/>
        <v/>
      </c>
      <c r="AD939" s="301" t="str">
        <f t="shared" si="638"/>
        <v>,,,,1,</v>
      </c>
      <c r="AE939" s="153" t="str">
        <f t="shared" si="639"/>
        <v/>
      </c>
      <c r="AF939" s="383">
        <f t="shared" si="640"/>
        <v>0</v>
      </c>
      <c r="AG939" s="383">
        <f t="shared" si="641"/>
        <v>0</v>
      </c>
      <c r="AH939" s="383">
        <f t="shared" si="642"/>
        <v>0</v>
      </c>
      <c r="AI939" s="383">
        <f t="shared" si="643"/>
        <v>0</v>
      </c>
      <c r="AJ939" s="383">
        <f t="shared" si="644"/>
        <v>0</v>
      </c>
      <c r="AK939" s="383">
        <f t="shared" si="645"/>
        <v>0</v>
      </c>
      <c r="AM939" s="148" t="str">
        <f t="shared" si="646"/>
        <v>Not Schedulled</v>
      </c>
      <c r="AN939" s="148" t="str">
        <f t="shared" si="647"/>
        <v/>
      </c>
      <c r="AO939" s="156">
        <f t="shared" si="648"/>
        <v>0</v>
      </c>
      <c r="AP939" s="148" t="str">
        <f t="shared" si="649"/>
        <v>01/00/1900 00:00-&gt;</v>
      </c>
      <c r="AQ939" s="374">
        <f t="shared" si="650"/>
        <v>0</v>
      </c>
      <c r="AR939" s="148" t="str">
        <f t="shared" si="651"/>
        <v/>
      </c>
      <c r="AS939" s="148" t="str">
        <f t="shared" si="652"/>
        <v/>
      </c>
      <c r="AT939" s="157" t="str">
        <f t="shared" si="653"/>
        <v/>
      </c>
      <c r="AU939" s="157" t="str">
        <f t="shared" si="654"/>
        <v/>
      </c>
      <c r="AV939" s="157" t="str">
        <f t="shared" si="655"/>
        <v/>
      </c>
      <c r="AW939" s="157" t="str">
        <f t="shared" si="656"/>
        <v/>
      </c>
      <c r="AX939" s="376">
        <f t="shared" si="657"/>
        <v>0</v>
      </c>
      <c r="AY939" s="148" t="str">
        <f t="shared" si="658"/>
        <v>-&gt;</v>
      </c>
      <c r="AZ939" s="148" t="str">
        <f t="shared" si="659"/>
        <v>01/00/1900 00:00-&gt;</v>
      </c>
      <c r="BA939" s="148" t="str">
        <f t="shared" si="660"/>
        <v>01/00/1900 00:00-&gt;</v>
      </c>
      <c r="BB939" s="374">
        <f t="shared" si="661"/>
        <v>0</v>
      </c>
      <c r="BC939" s="374">
        <f t="shared" si="662"/>
        <v>0</v>
      </c>
      <c r="BD939" s="148" t="str">
        <f t="shared" si="663"/>
        <v>no conflict</v>
      </c>
      <c r="BF939" s="148" t="str">
        <f t="shared" si="664"/>
        <v>01/00/1900 00:00-&gt;</v>
      </c>
      <c r="BG939" s="148" t="str">
        <f t="shared" si="665"/>
        <v>01/00/1900 00:00-&gt;</v>
      </c>
      <c r="BH939" s="148" t="str">
        <f t="shared" si="666"/>
        <v>01/00/1900 00:00-&gt;</v>
      </c>
      <c r="BI939" s="148" t="str">
        <f t="shared" si="667"/>
        <v xml:space="preserve"> in  ()</v>
      </c>
      <c r="BJ939" s="148" t="str">
        <f t="shared" si="668"/>
        <v xml:space="preserve">--  vs. </v>
      </c>
      <c r="BK939" s="148" t="str">
        <f t="shared" si="669"/>
        <v/>
      </c>
      <c r="BL939" s="148">
        <f t="shared" si="670"/>
        <v>0</v>
      </c>
      <c r="BM939" s="148">
        <f t="shared" si="671"/>
        <v>0</v>
      </c>
      <c r="BN939" s="148">
        <f t="shared" si="672"/>
        <v>0</v>
      </c>
      <c r="BP939" s="148" t="str">
        <f t="shared" si="673"/>
        <v>no game</v>
      </c>
      <c r="BQ939" s="148" t="str">
        <f t="shared" si="674"/>
        <v xml:space="preserve">  in </v>
      </c>
    </row>
    <row r="940" spans="2:69" ht="15" customHeight="1" x14ac:dyDescent="0.2">
      <c r="B940" s="153"/>
      <c r="C940" s="153"/>
      <c r="D940" s="383"/>
      <c r="E940" s="383"/>
      <c r="F940" s="153"/>
      <c r="G940" s="154"/>
      <c r="H940" s="155"/>
      <c r="I940" s="314"/>
      <c r="J940" s="153"/>
      <c r="K940" s="153"/>
      <c r="L940" s="153"/>
      <c r="M940" s="153"/>
      <c r="N940" s="153"/>
      <c r="O940" s="153" t="str">
        <f>IF(L940&lt;&gt;"",IFERROR(VLOOKUP(B940&amp;L940,Pools!$A$2:$D$130,3,FALSE),""),"")</f>
        <v/>
      </c>
      <c r="P940" s="387"/>
      <c r="Q940" s="387"/>
      <c r="R940" s="306" t="str">
        <f t="shared" si="630"/>
        <v>-</v>
      </c>
      <c r="S940" s="153"/>
      <c r="T940" s="148" t="str">
        <f t="shared" si="631"/>
        <v>Pending</v>
      </c>
      <c r="U940" s="153"/>
      <c r="V940" s="153"/>
      <c r="W940" s="387">
        <f t="shared" si="632"/>
        <v>0</v>
      </c>
      <c r="X940" s="387">
        <f t="shared" si="633"/>
        <v>0</v>
      </c>
      <c r="Y940" s="301" t="str">
        <f t="shared" si="634"/>
        <v>X</v>
      </c>
      <c r="Z940" s="301" t="str">
        <f t="shared" si="635"/>
        <v>X</v>
      </c>
      <c r="AA940" s="323" t="e">
        <f>CONCATENATE("                x[team1,team2,sport,'",IF(OR(I940="x",I940=""),VLOOKUP('Schedule from TM'!J940,Tables!$P$3:$Q$33,2,FALSE),'Schedule from TM'!I940),",",J940,"','",IF(OR(F940="x",F940=""),VLOOKUP('Schedule from TM'!G940,Tables!$U$3:$V$14,2,FALSE),'Schedule from TM'!F940),",",TEXT(G940,"mm/dd/yyyy"),"','",TEXT(H940,"h:mm:ss AM/PM"),"'].ub=0.0      #",B940)</f>
        <v>#N/A</v>
      </c>
      <c r="AB940" s="301" t="str">
        <f t="shared" si="636"/>
        <v>,,,,1,</v>
      </c>
      <c r="AC940" s="153" t="str">
        <f t="shared" si="637"/>
        <v/>
      </c>
      <c r="AD940" s="301" t="str">
        <f t="shared" si="638"/>
        <v>,,,,1,</v>
      </c>
      <c r="AE940" s="153" t="str">
        <f t="shared" si="639"/>
        <v/>
      </c>
      <c r="AF940" s="383">
        <f t="shared" si="640"/>
        <v>0</v>
      </c>
      <c r="AG940" s="383">
        <f t="shared" si="641"/>
        <v>0</v>
      </c>
      <c r="AH940" s="383">
        <f t="shared" si="642"/>
        <v>0</v>
      </c>
      <c r="AI940" s="383">
        <f t="shared" si="643"/>
        <v>0</v>
      </c>
      <c r="AJ940" s="383">
        <f t="shared" si="644"/>
        <v>0</v>
      </c>
      <c r="AK940" s="383">
        <f t="shared" si="645"/>
        <v>0</v>
      </c>
      <c r="AM940" s="148" t="str">
        <f t="shared" si="646"/>
        <v>Not Schedulled</v>
      </c>
      <c r="AN940" s="148" t="str">
        <f t="shared" si="647"/>
        <v/>
      </c>
      <c r="AO940" s="156">
        <f t="shared" si="648"/>
        <v>0</v>
      </c>
      <c r="AP940" s="148" t="str">
        <f t="shared" si="649"/>
        <v>01/00/1900 00:00-&gt;</v>
      </c>
      <c r="AQ940" s="374">
        <f t="shared" si="650"/>
        <v>0</v>
      </c>
      <c r="AR940" s="148" t="str">
        <f t="shared" si="651"/>
        <v/>
      </c>
      <c r="AS940" s="148" t="str">
        <f t="shared" si="652"/>
        <v/>
      </c>
      <c r="AT940" s="157" t="str">
        <f t="shared" si="653"/>
        <v/>
      </c>
      <c r="AU940" s="157" t="str">
        <f t="shared" si="654"/>
        <v/>
      </c>
      <c r="AV940" s="157" t="str">
        <f t="shared" si="655"/>
        <v/>
      </c>
      <c r="AW940" s="157" t="str">
        <f t="shared" si="656"/>
        <v/>
      </c>
      <c r="AX940" s="376">
        <f t="shared" si="657"/>
        <v>0</v>
      </c>
      <c r="AY940" s="148" t="str">
        <f t="shared" si="658"/>
        <v>-&gt;</v>
      </c>
      <c r="AZ940" s="148" t="str">
        <f t="shared" si="659"/>
        <v>01/00/1900 00:00-&gt;</v>
      </c>
      <c r="BA940" s="148" t="str">
        <f t="shared" si="660"/>
        <v>01/00/1900 00:00-&gt;</v>
      </c>
      <c r="BB940" s="374">
        <f t="shared" si="661"/>
        <v>0</v>
      </c>
      <c r="BC940" s="374">
        <f t="shared" si="662"/>
        <v>0</v>
      </c>
      <c r="BD940" s="148" t="str">
        <f t="shared" si="663"/>
        <v>no conflict</v>
      </c>
      <c r="BF940" s="148" t="str">
        <f t="shared" si="664"/>
        <v>01/00/1900 00:00-&gt;</v>
      </c>
      <c r="BG940" s="148" t="str">
        <f t="shared" si="665"/>
        <v>01/00/1900 00:00-&gt;</v>
      </c>
      <c r="BH940" s="148" t="str">
        <f t="shared" si="666"/>
        <v>01/00/1900 00:00-&gt;</v>
      </c>
      <c r="BI940" s="148" t="str">
        <f t="shared" si="667"/>
        <v xml:space="preserve"> in  ()</v>
      </c>
      <c r="BJ940" s="148" t="str">
        <f t="shared" si="668"/>
        <v xml:space="preserve">--  vs. </v>
      </c>
      <c r="BK940" s="148" t="str">
        <f t="shared" si="669"/>
        <v/>
      </c>
      <c r="BL940" s="148">
        <f t="shared" si="670"/>
        <v>0</v>
      </c>
      <c r="BM940" s="148">
        <f t="shared" si="671"/>
        <v>0</v>
      </c>
      <c r="BN940" s="148">
        <f t="shared" si="672"/>
        <v>0</v>
      </c>
      <c r="BP940" s="148" t="str">
        <f t="shared" si="673"/>
        <v>no game</v>
      </c>
      <c r="BQ940" s="148" t="str">
        <f t="shared" si="674"/>
        <v xml:space="preserve">  in </v>
      </c>
    </row>
    <row r="941" spans="2:69" ht="15" customHeight="1" x14ac:dyDescent="0.2">
      <c r="B941" s="153"/>
      <c r="C941" s="153"/>
      <c r="D941" s="383"/>
      <c r="E941" s="383"/>
      <c r="F941" s="153"/>
      <c r="G941" s="154"/>
      <c r="H941" s="155"/>
      <c r="I941" s="314"/>
      <c r="J941" s="153"/>
      <c r="K941" s="153"/>
      <c r="L941" s="153"/>
      <c r="M941" s="153"/>
      <c r="N941" s="153"/>
      <c r="O941" s="153" t="str">
        <f>IF(L941&lt;&gt;"",IFERROR(VLOOKUP(B941&amp;L941,Pools!$A$2:$D$130,3,FALSE),""),"")</f>
        <v/>
      </c>
      <c r="P941" s="387"/>
      <c r="Q941" s="387"/>
      <c r="R941" s="306" t="str">
        <f t="shared" si="630"/>
        <v>-</v>
      </c>
      <c r="S941" s="153"/>
      <c r="T941" s="148" t="str">
        <f t="shared" si="631"/>
        <v>Pending</v>
      </c>
      <c r="U941" s="153"/>
      <c r="V941" s="153"/>
      <c r="W941" s="387">
        <f t="shared" si="632"/>
        <v>0</v>
      </c>
      <c r="X941" s="387">
        <f t="shared" si="633"/>
        <v>0</v>
      </c>
      <c r="Y941" s="301" t="str">
        <f t="shared" si="634"/>
        <v>X</v>
      </c>
      <c r="Z941" s="301" t="str">
        <f t="shared" si="635"/>
        <v>X</v>
      </c>
      <c r="AA941" s="323" t="e">
        <f>CONCATENATE("                x[team1,team2,sport,'",IF(OR(I941="x",I941=""),VLOOKUP('Schedule from TM'!J941,Tables!$P$3:$Q$33,2,FALSE),'Schedule from TM'!I941),",",J941,"','",IF(OR(F941="x",F941=""),VLOOKUP('Schedule from TM'!G941,Tables!$U$3:$V$14,2,FALSE),'Schedule from TM'!F941),",",TEXT(G941,"mm/dd/yyyy"),"','",TEXT(H941,"h:mm:ss AM/PM"),"'].ub=0.0      #",B941)</f>
        <v>#N/A</v>
      </c>
      <c r="AB941" s="301" t="str">
        <f t="shared" si="636"/>
        <v>,,,,1,</v>
      </c>
      <c r="AC941" s="153" t="str">
        <f t="shared" si="637"/>
        <v/>
      </c>
      <c r="AD941" s="301" t="str">
        <f t="shared" si="638"/>
        <v>,,,,1,</v>
      </c>
      <c r="AE941" s="153" t="str">
        <f t="shared" si="639"/>
        <v/>
      </c>
      <c r="AF941" s="383">
        <f t="shared" si="640"/>
        <v>0</v>
      </c>
      <c r="AG941" s="383">
        <f t="shared" si="641"/>
        <v>0</v>
      </c>
      <c r="AH941" s="383">
        <f t="shared" si="642"/>
        <v>0</v>
      </c>
      <c r="AI941" s="383">
        <f t="shared" si="643"/>
        <v>0</v>
      </c>
      <c r="AJ941" s="383">
        <f t="shared" si="644"/>
        <v>0</v>
      </c>
      <c r="AK941" s="383">
        <f t="shared" si="645"/>
        <v>0</v>
      </c>
      <c r="AM941" s="148" t="str">
        <f t="shared" si="646"/>
        <v>Not Schedulled</v>
      </c>
      <c r="AN941" s="148" t="str">
        <f t="shared" si="647"/>
        <v/>
      </c>
      <c r="AO941" s="156">
        <f t="shared" si="648"/>
        <v>0</v>
      </c>
      <c r="AP941" s="148" t="str">
        <f t="shared" si="649"/>
        <v>01/00/1900 00:00-&gt;</v>
      </c>
      <c r="AQ941" s="374">
        <f t="shared" si="650"/>
        <v>0</v>
      </c>
      <c r="AR941" s="148" t="str">
        <f t="shared" si="651"/>
        <v/>
      </c>
      <c r="AS941" s="148" t="str">
        <f t="shared" si="652"/>
        <v/>
      </c>
      <c r="AT941" s="157" t="str">
        <f t="shared" si="653"/>
        <v/>
      </c>
      <c r="AU941" s="157" t="str">
        <f t="shared" si="654"/>
        <v/>
      </c>
      <c r="AV941" s="157" t="str">
        <f t="shared" si="655"/>
        <v/>
      </c>
      <c r="AW941" s="157" t="str">
        <f t="shared" si="656"/>
        <v/>
      </c>
      <c r="AX941" s="376">
        <f t="shared" si="657"/>
        <v>0</v>
      </c>
      <c r="AY941" s="148" t="str">
        <f t="shared" si="658"/>
        <v>-&gt;</v>
      </c>
      <c r="AZ941" s="148" t="str">
        <f t="shared" si="659"/>
        <v>01/00/1900 00:00-&gt;</v>
      </c>
      <c r="BA941" s="148" t="str">
        <f t="shared" si="660"/>
        <v>01/00/1900 00:00-&gt;</v>
      </c>
      <c r="BB941" s="374">
        <f t="shared" si="661"/>
        <v>0</v>
      </c>
      <c r="BC941" s="374">
        <f t="shared" si="662"/>
        <v>0</v>
      </c>
      <c r="BD941" s="148" t="str">
        <f t="shared" si="663"/>
        <v>no conflict</v>
      </c>
      <c r="BF941" s="148" t="str">
        <f t="shared" si="664"/>
        <v>01/00/1900 00:00-&gt;</v>
      </c>
      <c r="BG941" s="148" t="str">
        <f t="shared" si="665"/>
        <v>01/00/1900 00:00-&gt;</v>
      </c>
      <c r="BH941" s="148" t="str">
        <f t="shared" si="666"/>
        <v>01/00/1900 00:00-&gt;</v>
      </c>
      <c r="BI941" s="148" t="str">
        <f t="shared" si="667"/>
        <v xml:space="preserve"> in  ()</v>
      </c>
      <c r="BJ941" s="148" t="str">
        <f t="shared" si="668"/>
        <v xml:space="preserve">--  vs. </v>
      </c>
      <c r="BK941" s="148" t="str">
        <f t="shared" si="669"/>
        <v/>
      </c>
      <c r="BL941" s="148">
        <f t="shared" si="670"/>
        <v>0</v>
      </c>
      <c r="BM941" s="148">
        <f t="shared" si="671"/>
        <v>0</v>
      </c>
      <c r="BN941" s="148">
        <f t="shared" si="672"/>
        <v>0</v>
      </c>
      <c r="BP941" s="148" t="str">
        <f t="shared" si="673"/>
        <v>no game</v>
      </c>
      <c r="BQ941" s="148" t="str">
        <f t="shared" si="674"/>
        <v xml:space="preserve">  in </v>
      </c>
    </row>
    <row r="942" spans="2:69" ht="15" customHeight="1" x14ac:dyDescent="0.2">
      <c r="B942" s="153"/>
      <c r="C942" s="153"/>
      <c r="D942" s="383"/>
      <c r="E942" s="383"/>
      <c r="F942" s="153"/>
      <c r="G942" s="154"/>
      <c r="H942" s="155"/>
      <c r="I942" s="314"/>
      <c r="J942" s="153"/>
      <c r="K942" s="153"/>
      <c r="L942" s="153"/>
      <c r="M942" s="153"/>
      <c r="N942" s="153"/>
      <c r="O942" s="153" t="str">
        <f>IF(L942&lt;&gt;"",IFERROR(VLOOKUP(B942&amp;L942,Pools!$A$2:$D$130,3,FALSE),""),"")</f>
        <v/>
      </c>
      <c r="P942" s="387"/>
      <c r="Q942" s="387"/>
      <c r="R942" s="306" t="str">
        <f t="shared" si="630"/>
        <v>-</v>
      </c>
      <c r="S942" s="153"/>
      <c r="T942" s="148" t="str">
        <f t="shared" si="631"/>
        <v>Pending</v>
      </c>
      <c r="U942" s="153"/>
      <c r="V942" s="153"/>
      <c r="W942" s="387">
        <f t="shared" si="632"/>
        <v>0</v>
      </c>
      <c r="X942" s="387">
        <f t="shared" si="633"/>
        <v>0</v>
      </c>
      <c r="Y942" s="301" t="str">
        <f t="shared" si="634"/>
        <v>X</v>
      </c>
      <c r="Z942" s="301" t="str">
        <f t="shared" si="635"/>
        <v>X</v>
      </c>
      <c r="AA942" s="323" t="e">
        <f>CONCATENATE("                x[team1,team2,sport,'",IF(OR(I942="x",I942=""),VLOOKUP('Schedule from TM'!J942,Tables!$P$3:$Q$33,2,FALSE),'Schedule from TM'!I942),",",J942,"','",IF(OR(F942="x",F942=""),VLOOKUP('Schedule from TM'!G942,Tables!$U$3:$V$14,2,FALSE),'Schedule from TM'!F942),",",TEXT(G942,"mm/dd/yyyy"),"','",TEXT(H942,"h:mm:ss AM/PM"),"'].ub=0.0      #",B942)</f>
        <v>#N/A</v>
      </c>
      <c r="AB942" s="301" t="str">
        <f t="shared" si="636"/>
        <v>,,,,1,</v>
      </c>
      <c r="AC942" s="153" t="str">
        <f t="shared" si="637"/>
        <v/>
      </c>
      <c r="AD942" s="301" t="str">
        <f t="shared" si="638"/>
        <v>,,,,1,</v>
      </c>
      <c r="AE942" s="153" t="str">
        <f t="shared" si="639"/>
        <v/>
      </c>
      <c r="AF942" s="383">
        <f t="shared" si="640"/>
        <v>0</v>
      </c>
      <c r="AG942" s="383">
        <f t="shared" si="641"/>
        <v>0</v>
      </c>
      <c r="AH942" s="383">
        <f t="shared" si="642"/>
        <v>0</v>
      </c>
      <c r="AI942" s="383">
        <f t="shared" si="643"/>
        <v>0</v>
      </c>
      <c r="AJ942" s="383">
        <f t="shared" si="644"/>
        <v>0</v>
      </c>
      <c r="AK942" s="383">
        <f t="shared" si="645"/>
        <v>0</v>
      </c>
      <c r="AM942" s="148" t="str">
        <f t="shared" si="646"/>
        <v>Not Schedulled</v>
      </c>
      <c r="AN942" s="148" t="str">
        <f t="shared" si="647"/>
        <v/>
      </c>
      <c r="AO942" s="156">
        <f t="shared" si="648"/>
        <v>0</v>
      </c>
      <c r="AP942" s="148" t="str">
        <f t="shared" si="649"/>
        <v>01/00/1900 00:00-&gt;</v>
      </c>
      <c r="AQ942" s="374">
        <f t="shared" si="650"/>
        <v>0</v>
      </c>
      <c r="AR942" s="148" t="str">
        <f t="shared" si="651"/>
        <v/>
      </c>
      <c r="AS942" s="148" t="str">
        <f t="shared" si="652"/>
        <v/>
      </c>
      <c r="AT942" s="157" t="str">
        <f t="shared" si="653"/>
        <v/>
      </c>
      <c r="AU942" s="157" t="str">
        <f t="shared" si="654"/>
        <v/>
      </c>
      <c r="AV942" s="157" t="str">
        <f t="shared" si="655"/>
        <v/>
      </c>
      <c r="AW942" s="157" t="str">
        <f t="shared" si="656"/>
        <v/>
      </c>
      <c r="AX942" s="376">
        <f t="shared" si="657"/>
        <v>0</v>
      </c>
      <c r="AY942" s="148" t="str">
        <f t="shared" si="658"/>
        <v>-&gt;</v>
      </c>
      <c r="AZ942" s="148" t="str">
        <f t="shared" si="659"/>
        <v>01/00/1900 00:00-&gt;</v>
      </c>
      <c r="BA942" s="148" t="str">
        <f t="shared" si="660"/>
        <v>01/00/1900 00:00-&gt;</v>
      </c>
      <c r="BB942" s="374">
        <f t="shared" si="661"/>
        <v>0</v>
      </c>
      <c r="BC942" s="374">
        <f t="shared" si="662"/>
        <v>0</v>
      </c>
      <c r="BD942" s="148" t="str">
        <f t="shared" si="663"/>
        <v>no conflict</v>
      </c>
      <c r="BF942" s="148" t="str">
        <f t="shared" si="664"/>
        <v>01/00/1900 00:00-&gt;</v>
      </c>
      <c r="BG942" s="148" t="str">
        <f t="shared" si="665"/>
        <v>01/00/1900 00:00-&gt;</v>
      </c>
      <c r="BH942" s="148" t="str">
        <f t="shared" si="666"/>
        <v>01/00/1900 00:00-&gt;</v>
      </c>
      <c r="BI942" s="148" t="str">
        <f t="shared" si="667"/>
        <v xml:space="preserve"> in  ()</v>
      </c>
      <c r="BJ942" s="148" t="str">
        <f t="shared" si="668"/>
        <v xml:space="preserve">--  vs. </v>
      </c>
      <c r="BK942" s="148" t="str">
        <f t="shared" si="669"/>
        <v/>
      </c>
      <c r="BL942" s="148">
        <f t="shared" si="670"/>
        <v>0</v>
      </c>
      <c r="BM942" s="148">
        <f t="shared" si="671"/>
        <v>0</v>
      </c>
      <c r="BN942" s="148">
        <f t="shared" si="672"/>
        <v>0</v>
      </c>
      <c r="BP942" s="148" t="str">
        <f t="shared" si="673"/>
        <v>no game</v>
      </c>
      <c r="BQ942" s="148" t="str">
        <f t="shared" si="674"/>
        <v xml:space="preserve">  in </v>
      </c>
    </row>
    <row r="943" spans="2:69" ht="15" customHeight="1" x14ac:dyDescent="0.2">
      <c r="B943" s="153"/>
      <c r="C943" s="153"/>
      <c r="D943" s="383"/>
      <c r="E943" s="383"/>
      <c r="F943" s="153"/>
      <c r="G943" s="154"/>
      <c r="H943" s="155"/>
      <c r="I943" s="314"/>
      <c r="J943" s="153"/>
      <c r="K943" s="153"/>
      <c r="L943" s="153"/>
      <c r="M943" s="153"/>
      <c r="N943" s="153"/>
      <c r="O943" s="153" t="str">
        <f>IF(L943&lt;&gt;"",IFERROR(VLOOKUP(B943&amp;L943,Pools!$A$2:$D$130,3,FALSE),""),"")</f>
        <v/>
      </c>
      <c r="P943" s="387"/>
      <c r="Q943" s="387"/>
      <c r="R943" s="306" t="str">
        <f t="shared" si="630"/>
        <v>-</v>
      </c>
      <c r="S943" s="153"/>
      <c r="T943" s="148" t="str">
        <f t="shared" si="631"/>
        <v>Pending</v>
      </c>
      <c r="U943" s="153"/>
      <c r="V943" s="153"/>
      <c r="W943" s="387">
        <f t="shared" si="632"/>
        <v>0</v>
      </c>
      <c r="X943" s="387">
        <f t="shared" si="633"/>
        <v>0</v>
      </c>
      <c r="Y943" s="301" t="str">
        <f t="shared" si="634"/>
        <v>X</v>
      </c>
      <c r="Z943" s="301" t="str">
        <f t="shared" si="635"/>
        <v>X</v>
      </c>
      <c r="AA943" s="323" t="e">
        <f>CONCATENATE("                x[team1,team2,sport,'",IF(OR(I943="x",I943=""),VLOOKUP('Schedule from TM'!J943,Tables!$P$3:$Q$33,2,FALSE),'Schedule from TM'!I943),",",J943,"','",IF(OR(F943="x",F943=""),VLOOKUP('Schedule from TM'!G943,Tables!$U$3:$V$14,2,FALSE),'Schedule from TM'!F943),",",TEXT(G943,"mm/dd/yyyy"),"','",TEXT(H943,"h:mm:ss AM/PM"),"'].ub=0.0      #",B943)</f>
        <v>#N/A</v>
      </c>
      <c r="AB943" s="301" t="str">
        <f t="shared" si="636"/>
        <v>,,,,1,</v>
      </c>
      <c r="AC943" s="153" t="str">
        <f t="shared" si="637"/>
        <v/>
      </c>
      <c r="AD943" s="301" t="str">
        <f t="shared" si="638"/>
        <v>,,,,1,</v>
      </c>
      <c r="AE943" s="153" t="str">
        <f t="shared" si="639"/>
        <v/>
      </c>
      <c r="AF943" s="383">
        <f t="shared" si="640"/>
        <v>0</v>
      </c>
      <c r="AG943" s="383">
        <f t="shared" si="641"/>
        <v>0</v>
      </c>
      <c r="AH943" s="383">
        <f t="shared" si="642"/>
        <v>0</v>
      </c>
      <c r="AI943" s="383">
        <f t="shared" si="643"/>
        <v>0</v>
      </c>
      <c r="AJ943" s="383">
        <f t="shared" si="644"/>
        <v>0</v>
      </c>
      <c r="AK943" s="383">
        <f t="shared" si="645"/>
        <v>0</v>
      </c>
      <c r="AM943" s="148" t="str">
        <f t="shared" si="646"/>
        <v>Not Schedulled</v>
      </c>
      <c r="AN943" s="148" t="str">
        <f t="shared" si="647"/>
        <v/>
      </c>
      <c r="AO943" s="156">
        <f t="shared" si="648"/>
        <v>0</v>
      </c>
      <c r="AP943" s="148" t="str">
        <f t="shared" si="649"/>
        <v>01/00/1900 00:00-&gt;</v>
      </c>
      <c r="AQ943" s="374">
        <f t="shared" si="650"/>
        <v>0</v>
      </c>
      <c r="AR943" s="148" t="str">
        <f t="shared" si="651"/>
        <v/>
      </c>
      <c r="AS943" s="148" t="str">
        <f t="shared" si="652"/>
        <v/>
      </c>
      <c r="AT943" s="157" t="str">
        <f t="shared" si="653"/>
        <v/>
      </c>
      <c r="AU943" s="157" t="str">
        <f t="shared" si="654"/>
        <v/>
      </c>
      <c r="AV943" s="157" t="str">
        <f t="shared" si="655"/>
        <v/>
      </c>
      <c r="AW943" s="157" t="str">
        <f t="shared" si="656"/>
        <v/>
      </c>
      <c r="AX943" s="376">
        <f t="shared" si="657"/>
        <v>0</v>
      </c>
      <c r="AY943" s="148" t="str">
        <f t="shared" si="658"/>
        <v>-&gt;</v>
      </c>
      <c r="AZ943" s="148" t="str">
        <f t="shared" si="659"/>
        <v>01/00/1900 00:00-&gt;</v>
      </c>
      <c r="BA943" s="148" t="str">
        <f t="shared" si="660"/>
        <v>01/00/1900 00:00-&gt;</v>
      </c>
      <c r="BB943" s="374">
        <f t="shared" si="661"/>
        <v>0</v>
      </c>
      <c r="BC943" s="374">
        <f t="shared" si="662"/>
        <v>0</v>
      </c>
      <c r="BD943" s="148" t="str">
        <f t="shared" si="663"/>
        <v>no conflict</v>
      </c>
      <c r="BF943" s="148" t="str">
        <f t="shared" si="664"/>
        <v>01/00/1900 00:00-&gt;</v>
      </c>
      <c r="BG943" s="148" t="str">
        <f t="shared" si="665"/>
        <v>01/00/1900 00:00-&gt;</v>
      </c>
      <c r="BH943" s="148" t="str">
        <f t="shared" si="666"/>
        <v>01/00/1900 00:00-&gt;</v>
      </c>
      <c r="BI943" s="148" t="str">
        <f t="shared" si="667"/>
        <v xml:space="preserve"> in  ()</v>
      </c>
      <c r="BJ943" s="148" t="str">
        <f t="shared" si="668"/>
        <v xml:space="preserve">--  vs. </v>
      </c>
      <c r="BK943" s="148" t="str">
        <f t="shared" si="669"/>
        <v/>
      </c>
      <c r="BL943" s="148">
        <f t="shared" si="670"/>
        <v>0</v>
      </c>
      <c r="BM943" s="148">
        <f t="shared" si="671"/>
        <v>0</v>
      </c>
      <c r="BN943" s="148">
        <f t="shared" si="672"/>
        <v>0</v>
      </c>
      <c r="BP943" s="148" t="str">
        <f t="shared" si="673"/>
        <v>no game</v>
      </c>
      <c r="BQ943" s="148" t="str">
        <f t="shared" si="674"/>
        <v xml:space="preserve">  in </v>
      </c>
    </row>
    <row r="944" spans="2:69" ht="15" customHeight="1" x14ac:dyDescent="0.2">
      <c r="B944" s="153"/>
      <c r="C944" s="153"/>
      <c r="D944" s="383"/>
      <c r="E944" s="383"/>
      <c r="F944" s="153"/>
      <c r="G944" s="154"/>
      <c r="H944" s="155"/>
      <c r="I944" s="314"/>
      <c r="J944" s="153"/>
      <c r="K944" s="153"/>
      <c r="L944" s="153"/>
      <c r="M944" s="153"/>
      <c r="N944" s="153"/>
      <c r="O944" s="153" t="str">
        <f>IF(L944&lt;&gt;"",IFERROR(VLOOKUP(B944&amp;L944,Pools!$A$2:$D$130,3,FALSE),""),"")</f>
        <v/>
      </c>
      <c r="P944" s="387"/>
      <c r="Q944" s="387"/>
      <c r="R944" s="306" t="str">
        <f t="shared" si="630"/>
        <v>-</v>
      </c>
      <c r="S944" s="153"/>
      <c r="T944" s="148" t="str">
        <f t="shared" si="631"/>
        <v>Pending</v>
      </c>
      <c r="U944" s="153"/>
      <c r="V944" s="153"/>
      <c r="W944" s="387">
        <f t="shared" si="632"/>
        <v>0</v>
      </c>
      <c r="X944" s="387">
        <f t="shared" si="633"/>
        <v>0</v>
      </c>
      <c r="Y944" s="301" t="str">
        <f t="shared" si="634"/>
        <v>X</v>
      </c>
      <c r="Z944" s="301" t="str">
        <f t="shared" si="635"/>
        <v>X</v>
      </c>
      <c r="AA944" s="323" t="e">
        <f>CONCATENATE("                x[team1,team2,sport,'",IF(OR(I944="x",I944=""),VLOOKUP('Schedule from TM'!J944,Tables!$P$3:$Q$33,2,FALSE),'Schedule from TM'!I944),",",J944,"','",IF(OR(F944="x",F944=""),VLOOKUP('Schedule from TM'!G944,Tables!$U$3:$V$14,2,FALSE),'Schedule from TM'!F944),",",TEXT(G944,"mm/dd/yyyy"),"','",TEXT(H944,"h:mm:ss AM/PM"),"'].ub=0.0      #",B944)</f>
        <v>#N/A</v>
      </c>
      <c r="AB944" s="301" t="str">
        <f t="shared" si="636"/>
        <v>,,,,1,</v>
      </c>
      <c r="AC944" s="153" t="str">
        <f t="shared" si="637"/>
        <v/>
      </c>
      <c r="AD944" s="301" t="str">
        <f t="shared" si="638"/>
        <v>,,,,1,</v>
      </c>
      <c r="AE944" s="153" t="str">
        <f t="shared" si="639"/>
        <v/>
      </c>
      <c r="AF944" s="383">
        <f t="shared" si="640"/>
        <v>0</v>
      </c>
      <c r="AG944" s="383">
        <f t="shared" si="641"/>
        <v>0</v>
      </c>
      <c r="AH944" s="383">
        <f t="shared" si="642"/>
        <v>0</v>
      </c>
      <c r="AI944" s="383">
        <f t="shared" si="643"/>
        <v>0</v>
      </c>
      <c r="AJ944" s="383">
        <f t="shared" si="644"/>
        <v>0</v>
      </c>
      <c r="AK944" s="383">
        <f t="shared" si="645"/>
        <v>0</v>
      </c>
      <c r="AM944" s="148" t="str">
        <f t="shared" si="646"/>
        <v>Not Schedulled</v>
      </c>
      <c r="AN944" s="148" t="str">
        <f t="shared" si="647"/>
        <v/>
      </c>
      <c r="AO944" s="156">
        <f t="shared" si="648"/>
        <v>0</v>
      </c>
      <c r="AP944" s="148" t="str">
        <f t="shared" si="649"/>
        <v>01/00/1900 00:00-&gt;</v>
      </c>
      <c r="AQ944" s="374">
        <f t="shared" si="650"/>
        <v>0</v>
      </c>
      <c r="AR944" s="148" t="str">
        <f t="shared" si="651"/>
        <v/>
      </c>
      <c r="AS944" s="148" t="str">
        <f t="shared" si="652"/>
        <v/>
      </c>
      <c r="AT944" s="157" t="str">
        <f t="shared" si="653"/>
        <v/>
      </c>
      <c r="AU944" s="157" t="str">
        <f t="shared" si="654"/>
        <v/>
      </c>
      <c r="AV944" s="157" t="str">
        <f t="shared" si="655"/>
        <v/>
      </c>
      <c r="AW944" s="157" t="str">
        <f t="shared" si="656"/>
        <v/>
      </c>
      <c r="AX944" s="376">
        <f t="shared" si="657"/>
        <v>0</v>
      </c>
      <c r="AY944" s="148" t="str">
        <f t="shared" si="658"/>
        <v>-&gt;</v>
      </c>
      <c r="AZ944" s="148" t="str">
        <f t="shared" si="659"/>
        <v>01/00/1900 00:00-&gt;</v>
      </c>
      <c r="BA944" s="148" t="str">
        <f t="shared" si="660"/>
        <v>01/00/1900 00:00-&gt;</v>
      </c>
      <c r="BB944" s="374">
        <f t="shared" si="661"/>
        <v>0</v>
      </c>
      <c r="BC944" s="374">
        <f t="shared" si="662"/>
        <v>0</v>
      </c>
      <c r="BD944" s="148" t="str">
        <f t="shared" si="663"/>
        <v>no conflict</v>
      </c>
      <c r="BF944" s="148" t="str">
        <f t="shared" si="664"/>
        <v>01/00/1900 00:00-&gt;</v>
      </c>
      <c r="BG944" s="148" t="str">
        <f t="shared" si="665"/>
        <v>01/00/1900 00:00-&gt;</v>
      </c>
      <c r="BH944" s="148" t="str">
        <f t="shared" si="666"/>
        <v>01/00/1900 00:00-&gt;</v>
      </c>
      <c r="BI944" s="148" t="str">
        <f t="shared" si="667"/>
        <v xml:space="preserve"> in  ()</v>
      </c>
      <c r="BJ944" s="148" t="str">
        <f t="shared" si="668"/>
        <v xml:space="preserve">--  vs. </v>
      </c>
      <c r="BK944" s="148" t="str">
        <f t="shared" si="669"/>
        <v/>
      </c>
      <c r="BL944" s="148">
        <f t="shared" si="670"/>
        <v>0</v>
      </c>
      <c r="BM944" s="148">
        <f t="shared" si="671"/>
        <v>0</v>
      </c>
      <c r="BN944" s="148">
        <f t="shared" si="672"/>
        <v>0</v>
      </c>
      <c r="BP944" s="148" t="str">
        <f t="shared" si="673"/>
        <v>no game</v>
      </c>
      <c r="BQ944" s="148" t="str">
        <f t="shared" si="674"/>
        <v xml:space="preserve">  in </v>
      </c>
    </row>
    <row r="945" spans="2:69" ht="15" customHeight="1" x14ac:dyDescent="0.2">
      <c r="B945" s="153"/>
      <c r="C945" s="153"/>
      <c r="D945" s="383"/>
      <c r="E945" s="383"/>
      <c r="F945" s="153"/>
      <c r="G945" s="154"/>
      <c r="H945" s="155"/>
      <c r="I945" s="314"/>
      <c r="J945" s="153"/>
      <c r="K945" s="153"/>
      <c r="L945" s="153"/>
      <c r="M945" s="153"/>
      <c r="N945" s="153"/>
      <c r="O945" s="153" t="str">
        <f>IF(L945&lt;&gt;"",IFERROR(VLOOKUP(B945&amp;L945,Pools!$A$2:$D$130,3,FALSE),""),"")</f>
        <v/>
      </c>
      <c r="P945" s="387"/>
      <c r="Q945" s="387"/>
      <c r="R945" s="306" t="str">
        <f t="shared" si="630"/>
        <v>-</v>
      </c>
      <c r="S945" s="153"/>
      <c r="T945" s="148" t="str">
        <f t="shared" si="631"/>
        <v>Pending</v>
      </c>
      <c r="U945" s="153"/>
      <c r="V945" s="153"/>
      <c r="W945" s="387">
        <f t="shared" si="632"/>
        <v>0</v>
      </c>
      <c r="X945" s="387">
        <f t="shared" si="633"/>
        <v>0</v>
      </c>
      <c r="Y945" s="301" t="str">
        <f t="shared" si="634"/>
        <v>X</v>
      </c>
      <c r="Z945" s="301" t="str">
        <f t="shared" si="635"/>
        <v>X</v>
      </c>
      <c r="AA945" s="323" t="e">
        <f>CONCATENATE("                x[team1,team2,sport,'",IF(OR(I945="x",I945=""),VLOOKUP('Schedule from TM'!J945,Tables!$P$3:$Q$33,2,FALSE),'Schedule from TM'!I945),",",J945,"','",IF(OR(F945="x",F945=""),VLOOKUP('Schedule from TM'!G945,Tables!$U$3:$V$14,2,FALSE),'Schedule from TM'!F945),",",TEXT(G945,"mm/dd/yyyy"),"','",TEXT(H945,"h:mm:ss AM/PM"),"'].ub=0.0      #",B945)</f>
        <v>#N/A</v>
      </c>
      <c r="AB945" s="301" t="str">
        <f t="shared" si="636"/>
        <v>,,,,1,</v>
      </c>
      <c r="AC945" s="153" t="str">
        <f t="shared" si="637"/>
        <v/>
      </c>
      <c r="AD945" s="301" t="str">
        <f t="shared" si="638"/>
        <v>,,,,1,</v>
      </c>
      <c r="AE945" s="153" t="str">
        <f t="shared" si="639"/>
        <v/>
      </c>
      <c r="AF945" s="383">
        <f t="shared" si="640"/>
        <v>0</v>
      </c>
      <c r="AG945" s="383">
        <f t="shared" si="641"/>
        <v>0</v>
      </c>
      <c r="AH945" s="383">
        <f t="shared" si="642"/>
        <v>0</v>
      </c>
      <c r="AI945" s="383">
        <f t="shared" si="643"/>
        <v>0</v>
      </c>
      <c r="AJ945" s="383">
        <f t="shared" si="644"/>
        <v>0</v>
      </c>
      <c r="AK945" s="383">
        <f t="shared" si="645"/>
        <v>0</v>
      </c>
      <c r="AM945" s="148" t="str">
        <f t="shared" si="646"/>
        <v>Not Schedulled</v>
      </c>
      <c r="AN945" s="148" t="str">
        <f t="shared" si="647"/>
        <v/>
      </c>
      <c r="AO945" s="156">
        <f t="shared" si="648"/>
        <v>0</v>
      </c>
      <c r="AP945" s="148" t="str">
        <f t="shared" si="649"/>
        <v>01/00/1900 00:00-&gt;</v>
      </c>
      <c r="AQ945" s="374">
        <f t="shared" si="650"/>
        <v>0</v>
      </c>
      <c r="AR945" s="148" t="str">
        <f t="shared" si="651"/>
        <v/>
      </c>
      <c r="AS945" s="148" t="str">
        <f t="shared" si="652"/>
        <v/>
      </c>
      <c r="AT945" s="157" t="str">
        <f t="shared" si="653"/>
        <v/>
      </c>
      <c r="AU945" s="157" t="str">
        <f t="shared" si="654"/>
        <v/>
      </c>
      <c r="AV945" s="157" t="str">
        <f t="shared" si="655"/>
        <v/>
      </c>
      <c r="AW945" s="157" t="str">
        <f t="shared" si="656"/>
        <v/>
      </c>
      <c r="AX945" s="376">
        <f t="shared" si="657"/>
        <v>0</v>
      </c>
      <c r="AY945" s="148" t="str">
        <f t="shared" si="658"/>
        <v>-&gt;</v>
      </c>
      <c r="AZ945" s="148" t="str">
        <f t="shared" si="659"/>
        <v>01/00/1900 00:00-&gt;</v>
      </c>
      <c r="BA945" s="148" t="str">
        <f t="shared" si="660"/>
        <v>01/00/1900 00:00-&gt;</v>
      </c>
      <c r="BB945" s="374">
        <f t="shared" si="661"/>
        <v>0</v>
      </c>
      <c r="BC945" s="374">
        <f t="shared" si="662"/>
        <v>0</v>
      </c>
      <c r="BD945" s="148" t="str">
        <f t="shared" si="663"/>
        <v>no conflict</v>
      </c>
      <c r="BF945" s="148" t="str">
        <f t="shared" si="664"/>
        <v>01/00/1900 00:00-&gt;</v>
      </c>
      <c r="BG945" s="148" t="str">
        <f t="shared" si="665"/>
        <v>01/00/1900 00:00-&gt;</v>
      </c>
      <c r="BH945" s="148" t="str">
        <f t="shared" si="666"/>
        <v>01/00/1900 00:00-&gt;</v>
      </c>
      <c r="BI945" s="148" t="str">
        <f t="shared" si="667"/>
        <v xml:space="preserve"> in  ()</v>
      </c>
      <c r="BJ945" s="148" t="str">
        <f t="shared" si="668"/>
        <v xml:space="preserve">--  vs. </v>
      </c>
      <c r="BK945" s="148" t="str">
        <f t="shared" si="669"/>
        <v/>
      </c>
      <c r="BL945" s="148">
        <f t="shared" si="670"/>
        <v>0</v>
      </c>
      <c r="BM945" s="148">
        <f t="shared" si="671"/>
        <v>0</v>
      </c>
      <c r="BN945" s="148">
        <f t="shared" si="672"/>
        <v>0</v>
      </c>
      <c r="BP945" s="148" t="str">
        <f t="shared" si="673"/>
        <v>no game</v>
      </c>
      <c r="BQ945" s="148" t="str">
        <f t="shared" si="674"/>
        <v xml:space="preserve">  in </v>
      </c>
    </row>
    <row r="946" spans="2:69" ht="15" customHeight="1" x14ac:dyDescent="0.2">
      <c r="B946" s="153"/>
      <c r="C946" s="153"/>
      <c r="D946" s="383"/>
      <c r="E946" s="383"/>
      <c r="F946" s="153"/>
      <c r="G946" s="154"/>
      <c r="H946" s="155"/>
      <c r="I946" s="314"/>
      <c r="J946" s="153"/>
      <c r="K946" s="153"/>
      <c r="L946" s="153"/>
      <c r="M946" s="153"/>
      <c r="N946" s="153"/>
      <c r="O946" s="153" t="str">
        <f>IF(L946&lt;&gt;"",IFERROR(VLOOKUP(B946&amp;L946,Pools!$A$2:$D$130,3,FALSE),""),"")</f>
        <v/>
      </c>
      <c r="P946" s="387"/>
      <c r="Q946" s="387"/>
      <c r="R946" s="306" t="str">
        <f t="shared" si="630"/>
        <v>-</v>
      </c>
      <c r="S946" s="153"/>
      <c r="T946" s="148" t="str">
        <f t="shared" si="631"/>
        <v>Pending</v>
      </c>
      <c r="U946" s="153"/>
      <c r="V946" s="153"/>
      <c r="W946" s="387">
        <f t="shared" si="632"/>
        <v>0</v>
      </c>
      <c r="X946" s="387">
        <f t="shared" si="633"/>
        <v>0</v>
      </c>
      <c r="Y946" s="301" t="str">
        <f t="shared" si="634"/>
        <v>X</v>
      </c>
      <c r="Z946" s="301" t="str">
        <f t="shared" si="635"/>
        <v>X</v>
      </c>
      <c r="AA946" s="323" t="e">
        <f>CONCATENATE("                x[team1,team2,sport,'",IF(OR(I946="x",I946=""),VLOOKUP('Schedule from TM'!J946,Tables!$P$3:$Q$33,2,FALSE),'Schedule from TM'!I946),",",J946,"','",IF(OR(F946="x",F946=""),VLOOKUP('Schedule from TM'!G946,Tables!$U$3:$V$14,2,FALSE),'Schedule from TM'!F946),",",TEXT(G946,"mm/dd/yyyy"),"','",TEXT(H946,"h:mm:ss AM/PM"),"'].ub=0.0      #",B946)</f>
        <v>#N/A</v>
      </c>
      <c r="AB946" s="301" t="str">
        <f t="shared" si="636"/>
        <v>,,,,1,</v>
      </c>
      <c r="AC946" s="153" t="str">
        <f t="shared" si="637"/>
        <v/>
      </c>
      <c r="AD946" s="301" t="str">
        <f t="shared" si="638"/>
        <v>,,,,1,</v>
      </c>
      <c r="AE946" s="153" t="str">
        <f t="shared" si="639"/>
        <v/>
      </c>
      <c r="AF946" s="383">
        <f t="shared" si="640"/>
        <v>0</v>
      </c>
      <c r="AG946" s="383">
        <f t="shared" si="641"/>
        <v>0</v>
      </c>
      <c r="AH946" s="383">
        <f t="shared" si="642"/>
        <v>0</v>
      </c>
      <c r="AI946" s="383">
        <f t="shared" si="643"/>
        <v>0</v>
      </c>
      <c r="AJ946" s="383">
        <f t="shared" si="644"/>
        <v>0</v>
      </c>
      <c r="AK946" s="383">
        <f t="shared" si="645"/>
        <v>0</v>
      </c>
      <c r="AM946" s="148" t="str">
        <f t="shared" si="646"/>
        <v>Not Schedulled</v>
      </c>
      <c r="AN946" s="148" t="str">
        <f t="shared" si="647"/>
        <v/>
      </c>
      <c r="AO946" s="156">
        <f t="shared" si="648"/>
        <v>0</v>
      </c>
      <c r="AP946" s="148" t="str">
        <f t="shared" si="649"/>
        <v>01/00/1900 00:00-&gt;</v>
      </c>
      <c r="AQ946" s="374">
        <f t="shared" si="650"/>
        <v>0</v>
      </c>
      <c r="AR946" s="148" t="str">
        <f t="shared" si="651"/>
        <v/>
      </c>
      <c r="AS946" s="148" t="str">
        <f t="shared" si="652"/>
        <v/>
      </c>
      <c r="AT946" s="157" t="str">
        <f t="shared" si="653"/>
        <v/>
      </c>
      <c r="AU946" s="157" t="str">
        <f t="shared" si="654"/>
        <v/>
      </c>
      <c r="AV946" s="157" t="str">
        <f t="shared" si="655"/>
        <v/>
      </c>
      <c r="AW946" s="157" t="str">
        <f t="shared" si="656"/>
        <v/>
      </c>
      <c r="AX946" s="376">
        <f t="shared" si="657"/>
        <v>0</v>
      </c>
      <c r="AY946" s="148" t="str">
        <f t="shared" si="658"/>
        <v>-&gt;</v>
      </c>
      <c r="AZ946" s="148" t="str">
        <f t="shared" si="659"/>
        <v>01/00/1900 00:00-&gt;</v>
      </c>
      <c r="BA946" s="148" t="str">
        <f t="shared" si="660"/>
        <v>01/00/1900 00:00-&gt;</v>
      </c>
      <c r="BB946" s="374">
        <f t="shared" si="661"/>
        <v>0</v>
      </c>
      <c r="BC946" s="374">
        <f t="shared" si="662"/>
        <v>0</v>
      </c>
      <c r="BD946" s="148" t="str">
        <f t="shared" si="663"/>
        <v>no conflict</v>
      </c>
      <c r="BF946" s="148" t="str">
        <f t="shared" si="664"/>
        <v>01/00/1900 00:00-&gt;</v>
      </c>
      <c r="BG946" s="148" t="str">
        <f t="shared" si="665"/>
        <v>01/00/1900 00:00-&gt;</v>
      </c>
      <c r="BH946" s="148" t="str">
        <f t="shared" si="666"/>
        <v>01/00/1900 00:00-&gt;</v>
      </c>
      <c r="BI946" s="148" t="str">
        <f t="shared" si="667"/>
        <v xml:space="preserve"> in  ()</v>
      </c>
      <c r="BJ946" s="148" t="str">
        <f t="shared" si="668"/>
        <v xml:space="preserve">--  vs. </v>
      </c>
      <c r="BK946" s="148" t="str">
        <f t="shared" si="669"/>
        <v/>
      </c>
      <c r="BL946" s="148">
        <f t="shared" si="670"/>
        <v>0</v>
      </c>
      <c r="BM946" s="148">
        <f t="shared" si="671"/>
        <v>0</v>
      </c>
      <c r="BN946" s="148">
        <f t="shared" si="672"/>
        <v>0</v>
      </c>
      <c r="BP946" s="148" t="str">
        <f t="shared" si="673"/>
        <v>no game</v>
      </c>
      <c r="BQ946" s="148" t="str">
        <f t="shared" si="674"/>
        <v xml:space="preserve">  in </v>
      </c>
    </row>
    <row r="947" spans="2:69" ht="15" customHeight="1" x14ac:dyDescent="0.2">
      <c r="B947" s="153"/>
      <c r="C947" s="153"/>
      <c r="D947" s="383"/>
      <c r="E947" s="383"/>
      <c r="F947" s="153"/>
      <c r="G947" s="154"/>
      <c r="H947" s="155"/>
      <c r="I947" s="314"/>
      <c r="J947" s="153"/>
      <c r="K947" s="153"/>
      <c r="L947" s="153"/>
      <c r="M947" s="153"/>
      <c r="N947" s="153"/>
      <c r="O947" s="153" t="str">
        <f>IF(L947&lt;&gt;"",IFERROR(VLOOKUP(B947&amp;L947,Pools!$A$2:$D$130,3,FALSE),""),"")</f>
        <v/>
      </c>
      <c r="P947" s="387"/>
      <c r="Q947" s="387"/>
      <c r="R947" s="306" t="str">
        <f t="shared" si="630"/>
        <v>-</v>
      </c>
      <c r="S947" s="153"/>
      <c r="T947" s="148" t="str">
        <f t="shared" si="631"/>
        <v>Pending</v>
      </c>
      <c r="U947" s="153"/>
      <c r="V947" s="153"/>
      <c r="W947" s="387">
        <f t="shared" si="632"/>
        <v>0</v>
      </c>
      <c r="X947" s="387">
        <f t="shared" si="633"/>
        <v>0</v>
      </c>
      <c r="Y947" s="301" t="str">
        <f t="shared" si="634"/>
        <v>X</v>
      </c>
      <c r="Z947" s="301" t="str">
        <f t="shared" si="635"/>
        <v>X</v>
      </c>
      <c r="AA947" s="323" t="e">
        <f>CONCATENATE("                x[team1,team2,sport,'",IF(OR(I947="x",I947=""),VLOOKUP('Schedule from TM'!J947,Tables!$P$3:$Q$33,2,FALSE),'Schedule from TM'!I947),",",J947,"','",IF(OR(F947="x",F947=""),VLOOKUP('Schedule from TM'!G947,Tables!$U$3:$V$14,2,FALSE),'Schedule from TM'!F947),",",TEXT(G947,"mm/dd/yyyy"),"','",TEXT(H947,"h:mm:ss AM/PM"),"'].ub=0.0      #",B947)</f>
        <v>#N/A</v>
      </c>
      <c r="AB947" s="301" t="str">
        <f t="shared" si="636"/>
        <v>,,,,1,</v>
      </c>
      <c r="AC947" s="153" t="str">
        <f t="shared" si="637"/>
        <v/>
      </c>
      <c r="AD947" s="301" t="str">
        <f t="shared" si="638"/>
        <v>,,,,1,</v>
      </c>
      <c r="AE947" s="153" t="str">
        <f t="shared" si="639"/>
        <v/>
      </c>
      <c r="AF947" s="383">
        <f t="shared" si="640"/>
        <v>0</v>
      </c>
      <c r="AG947" s="383">
        <f t="shared" si="641"/>
        <v>0</v>
      </c>
      <c r="AH947" s="383">
        <f t="shared" si="642"/>
        <v>0</v>
      </c>
      <c r="AI947" s="383">
        <f t="shared" si="643"/>
        <v>0</v>
      </c>
      <c r="AJ947" s="383">
        <f t="shared" si="644"/>
        <v>0</v>
      </c>
      <c r="AK947" s="383">
        <f t="shared" si="645"/>
        <v>0</v>
      </c>
      <c r="AM947" s="148" t="str">
        <f t="shared" si="646"/>
        <v>Not Schedulled</v>
      </c>
      <c r="AN947" s="148" t="str">
        <f t="shared" si="647"/>
        <v/>
      </c>
      <c r="AO947" s="156">
        <f t="shared" si="648"/>
        <v>0</v>
      </c>
      <c r="AP947" s="148" t="str">
        <f t="shared" si="649"/>
        <v>01/00/1900 00:00-&gt;</v>
      </c>
      <c r="AQ947" s="374">
        <f t="shared" si="650"/>
        <v>0</v>
      </c>
      <c r="AR947" s="148" t="str">
        <f t="shared" si="651"/>
        <v/>
      </c>
      <c r="AS947" s="148" t="str">
        <f t="shared" si="652"/>
        <v/>
      </c>
      <c r="AT947" s="157" t="str">
        <f t="shared" si="653"/>
        <v/>
      </c>
      <c r="AU947" s="157" t="str">
        <f t="shared" si="654"/>
        <v/>
      </c>
      <c r="AV947" s="157" t="str">
        <f t="shared" si="655"/>
        <v/>
      </c>
      <c r="AW947" s="157" t="str">
        <f t="shared" si="656"/>
        <v/>
      </c>
      <c r="AX947" s="376">
        <f t="shared" si="657"/>
        <v>0</v>
      </c>
      <c r="AY947" s="148" t="str">
        <f t="shared" si="658"/>
        <v>-&gt;</v>
      </c>
      <c r="AZ947" s="148" t="str">
        <f t="shared" si="659"/>
        <v>01/00/1900 00:00-&gt;</v>
      </c>
      <c r="BA947" s="148" t="str">
        <f t="shared" si="660"/>
        <v>01/00/1900 00:00-&gt;</v>
      </c>
      <c r="BB947" s="374">
        <f t="shared" si="661"/>
        <v>0</v>
      </c>
      <c r="BC947" s="374">
        <f t="shared" si="662"/>
        <v>0</v>
      </c>
      <c r="BD947" s="148" t="str">
        <f t="shared" si="663"/>
        <v>no conflict</v>
      </c>
      <c r="BF947" s="148" t="str">
        <f t="shared" si="664"/>
        <v>01/00/1900 00:00-&gt;</v>
      </c>
      <c r="BG947" s="148" t="str">
        <f t="shared" si="665"/>
        <v>01/00/1900 00:00-&gt;</v>
      </c>
      <c r="BH947" s="148" t="str">
        <f t="shared" si="666"/>
        <v>01/00/1900 00:00-&gt;</v>
      </c>
      <c r="BI947" s="148" t="str">
        <f t="shared" si="667"/>
        <v xml:space="preserve"> in  ()</v>
      </c>
      <c r="BJ947" s="148" t="str">
        <f t="shared" si="668"/>
        <v xml:space="preserve">--  vs. </v>
      </c>
      <c r="BK947" s="148" t="str">
        <f t="shared" si="669"/>
        <v/>
      </c>
      <c r="BL947" s="148">
        <f t="shared" si="670"/>
        <v>0</v>
      </c>
      <c r="BM947" s="148">
        <f t="shared" si="671"/>
        <v>0</v>
      </c>
      <c r="BN947" s="148">
        <f t="shared" si="672"/>
        <v>0</v>
      </c>
      <c r="BP947" s="148" t="str">
        <f t="shared" si="673"/>
        <v>no game</v>
      </c>
      <c r="BQ947" s="148" t="str">
        <f t="shared" si="674"/>
        <v xml:space="preserve">  in </v>
      </c>
    </row>
    <row r="948" spans="2:69" ht="15" customHeight="1" x14ac:dyDescent="0.2">
      <c r="B948" s="153"/>
      <c r="C948" s="153"/>
      <c r="D948" s="383"/>
      <c r="E948" s="383"/>
      <c r="F948" s="153"/>
      <c r="G948" s="154"/>
      <c r="H948" s="155"/>
      <c r="I948" s="314"/>
      <c r="J948" s="153"/>
      <c r="K948" s="153"/>
      <c r="L948" s="153"/>
      <c r="M948" s="153"/>
      <c r="N948" s="153"/>
      <c r="O948" s="153" t="str">
        <f>IF(L948&lt;&gt;"",IFERROR(VLOOKUP(B948&amp;L948,Pools!$A$2:$D$130,3,FALSE),""),"")</f>
        <v/>
      </c>
      <c r="P948" s="387"/>
      <c r="Q948" s="387"/>
      <c r="R948" s="306" t="str">
        <f t="shared" si="630"/>
        <v>-</v>
      </c>
      <c r="S948" s="153"/>
      <c r="T948" s="148" t="str">
        <f t="shared" si="631"/>
        <v>Pending</v>
      </c>
      <c r="U948" s="153"/>
      <c r="V948" s="153"/>
      <c r="W948" s="387">
        <f t="shared" si="632"/>
        <v>0</v>
      </c>
      <c r="X948" s="387">
        <f t="shared" si="633"/>
        <v>0</v>
      </c>
      <c r="Y948" s="301" t="str">
        <f t="shared" si="634"/>
        <v>X</v>
      </c>
      <c r="Z948" s="301" t="str">
        <f t="shared" si="635"/>
        <v>X</v>
      </c>
      <c r="AA948" s="323" t="e">
        <f>CONCATENATE("                x[team1,team2,sport,'",IF(OR(I948="x",I948=""),VLOOKUP('Schedule from TM'!J948,Tables!$P$3:$Q$33,2,FALSE),'Schedule from TM'!I948),",",J948,"','",IF(OR(F948="x",F948=""),VLOOKUP('Schedule from TM'!G948,Tables!$U$3:$V$14,2,FALSE),'Schedule from TM'!F948),",",TEXT(G948,"mm/dd/yyyy"),"','",TEXT(H948,"h:mm:ss AM/PM"),"'].ub=0.0      #",B948)</f>
        <v>#N/A</v>
      </c>
      <c r="AB948" s="301" t="str">
        <f t="shared" si="636"/>
        <v>,,,,1,</v>
      </c>
      <c r="AC948" s="153" t="str">
        <f t="shared" si="637"/>
        <v/>
      </c>
      <c r="AD948" s="301" t="str">
        <f t="shared" si="638"/>
        <v>,,,,1,</v>
      </c>
      <c r="AE948" s="153" t="str">
        <f t="shared" si="639"/>
        <v/>
      </c>
      <c r="AF948" s="383">
        <f t="shared" si="640"/>
        <v>0</v>
      </c>
      <c r="AG948" s="383">
        <f t="shared" si="641"/>
        <v>0</v>
      </c>
      <c r="AH948" s="383">
        <f t="shared" si="642"/>
        <v>0</v>
      </c>
      <c r="AI948" s="383">
        <f t="shared" si="643"/>
        <v>0</v>
      </c>
      <c r="AJ948" s="383">
        <f t="shared" si="644"/>
        <v>0</v>
      </c>
      <c r="AK948" s="383">
        <f t="shared" si="645"/>
        <v>0</v>
      </c>
      <c r="AM948" s="148" t="str">
        <f t="shared" si="646"/>
        <v>Not Schedulled</v>
      </c>
      <c r="AN948" s="148" t="str">
        <f t="shared" si="647"/>
        <v/>
      </c>
      <c r="AO948" s="156">
        <f t="shared" si="648"/>
        <v>0</v>
      </c>
      <c r="AP948" s="148" t="str">
        <f t="shared" si="649"/>
        <v>01/00/1900 00:00-&gt;</v>
      </c>
      <c r="AQ948" s="374">
        <f t="shared" si="650"/>
        <v>0</v>
      </c>
      <c r="AR948" s="148" t="str">
        <f t="shared" si="651"/>
        <v/>
      </c>
      <c r="AS948" s="148" t="str">
        <f t="shared" si="652"/>
        <v/>
      </c>
      <c r="AT948" s="157" t="str">
        <f t="shared" si="653"/>
        <v/>
      </c>
      <c r="AU948" s="157" t="str">
        <f t="shared" si="654"/>
        <v/>
      </c>
      <c r="AV948" s="157" t="str">
        <f t="shared" si="655"/>
        <v/>
      </c>
      <c r="AW948" s="157" t="str">
        <f t="shared" si="656"/>
        <v/>
      </c>
      <c r="AX948" s="376">
        <f t="shared" si="657"/>
        <v>0</v>
      </c>
      <c r="AY948" s="148" t="str">
        <f t="shared" si="658"/>
        <v>-&gt;</v>
      </c>
      <c r="AZ948" s="148" t="str">
        <f t="shared" si="659"/>
        <v>01/00/1900 00:00-&gt;</v>
      </c>
      <c r="BA948" s="148" t="str">
        <f t="shared" si="660"/>
        <v>01/00/1900 00:00-&gt;</v>
      </c>
      <c r="BB948" s="374">
        <f t="shared" si="661"/>
        <v>0</v>
      </c>
      <c r="BC948" s="374">
        <f t="shared" si="662"/>
        <v>0</v>
      </c>
      <c r="BD948" s="148" t="str">
        <f t="shared" si="663"/>
        <v>no conflict</v>
      </c>
      <c r="BF948" s="148" t="str">
        <f t="shared" si="664"/>
        <v>01/00/1900 00:00-&gt;</v>
      </c>
      <c r="BG948" s="148" t="str">
        <f t="shared" si="665"/>
        <v>01/00/1900 00:00-&gt;</v>
      </c>
      <c r="BH948" s="148" t="str">
        <f t="shared" si="666"/>
        <v>01/00/1900 00:00-&gt;</v>
      </c>
      <c r="BI948" s="148" t="str">
        <f t="shared" si="667"/>
        <v xml:space="preserve"> in  ()</v>
      </c>
      <c r="BJ948" s="148" t="str">
        <f t="shared" si="668"/>
        <v xml:space="preserve">--  vs. </v>
      </c>
      <c r="BK948" s="148" t="str">
        <f t="shared" si="669"/>
        <v/>
      </c>
      <c r="BL948" s="148">
        <f t="shared" si="670"/>
        <v>0</v>
      </c>
      <c r="BM948" s="148">
        <f t="shared" si="671"/>
        <v>0</v>
      </c>
      <c r="BN948" s="148">
        <f t="shared" si="672"/>
        <v>0</v>
      </c>
      <c r="BP948" s="148" t="str">
        <f t="shared" si="673"/>
        <v>no game</v>
      </c>
      <c r="BQ948" s="148" t="str">
        <f t="shared" si="674"/>
        <v xml:space="preserve">  in </v>
      </c>
    </row>
    <row r="949" spans="2:69" ht="15" customHeight="1" x14ac:dyDescent="0.2">
      <c r="B949" s="153"/>
      <c r="C949" s="153"/>
      <c r="D949" s="383"/>
      <c r="E949" s="383"/>
      <c r="F949" s="153"/>
      <c r="G949" s="154"/>
      <c r="H949" s="155"/>
      <c r="I949" s="314"/>
      <c r="J949" s="153"/>
      <c r="K949" s="153"/>
      <c r="L949" s="153"/>
      <c r="M949" s="153"/>
      <c r="N949" s="153"/>
      <c r="O949" s="153" t="str">
        <f>IF(L949&lt;&gt;"",IFERROR(VLOOKUP(B949&amp;L949,Pools!$A$2:$D$130,3,FALSE),""),"")</f>
        <v/>
      </c>
      <c r="P949" s="387"/>
      <c r="Q949" s="387"/>
      <c r="R949" s="306" t="str">
        <f t="shared" si="630"/>
        <v>-</v>
      </c>
      <c r="S949" s="153"/>
      <c r="T949" s="148" t="str">
        <f t="shared" si="631"/>
        <v>Pending</v>
      </c>
      <c r="U949" s="153"/>
      <c r="V949" s="153"/>
      <c r="W949" s="387">
        <f t="shared" si="632"/>
        <v>0</v>
      </c>
      <c r="X949" s="387">
        <f t="shared" si="633"/>
        <v>0</v>
      </c>
      <c r="Y949" s="301" t="str">
        <f t="shared" si="634"/>
        <v>X</v>
      </c>
      <c r="Z949" s="301" t="str">
        <f t="shared" si="635"/>
        <v>X</v>
      </c>
      <c r="AA949" s="323" t="e">
        <f>CONCATENATE("                x[team1,team2,sport,'",IF(OR(I949="x",I949=""),VLOOKUP('Schedule from TM'!J949,Tables!$P$3:$Q$33,2,FALSE),'Schedule from TM'!I949),",",J949,"','",IF(OR(F949="x",F949=""),VLOOKUP('Schedule from TM'!G949,Tables!$U$3:$V$14,2,FALSE),'Schedule from TM'!F949),",",TEXT(G949,"mm/dd/yyyy"),"','",TEXT(H949,"h:mm:ss AM/PM"),"'].ub=0.0      #",B949)</f>
        <v>#N/A</v>
      </c>
      <c r="AB949" s="301" t="str">
        <f t="shared" si="636"/>
        <v>,,,,1,</v>
      </c>
      <c r="AC949" s="153" t="str">
        <f t="shared" si="637"/>
        <v/>
      </c>
      <c r="AD949" s="301" t="str">
        <f t="shared" si="638"/>
        <v>,,,,1,</v>
      </c>
      <c r="AE949" s="153" t="str">
        <f t="shared" si="639"/>
        <v/>
      </c>
      <c r="AF949" s="383">
        <f t="shared" si="640"/>
        <v>0</v>
      </c>
      <c r="AG949" s="383">
        <f t="shared" si="641"/>
        <v>0</v>
      </c>
      <c r="AH949" s="383">
        <f t="shared" si="642"/>
        <v>0</v>
      </c>
      <c r="AI949" s="383">
        <f t="shared" si="643"/>
        <v>0</v>
      </c>
      <c r="AJ949" s="383">
        <f t="shared" si="644"/>
        <v>0</v>
      </c>
      <c r="AK949" s="383">
        <f t="shared" si="645"/>
        <v>0</v>
      </c>
      <c r="AM949" s="148" t="str">
        <f t="shared" si="646"/>
        <v>Not Schedulled</v>
      </c>
      <c r="AN949" s="148" t="str">
        <f t="shared" si="647"/>
        <v/>
      </c>
      <c r="AO949" s="156">
        <f t="shared" si="648"/>
        <v>0</v>
      </c>
      <c r="AP949" s="148" t="str">
        <f t="shared" si="649"/>
        <v>01/00/1900 00:00-&gt;</v>
      </c>
      <c r="AQ949" s="374">
        <f t="shared" si="650"/>
        <v>0</v>
      </c>
      <c r="AR949" s="148" t="str">
        <f t="shared" si="651"/>
        <v/>
      </c>
      <c r="AS949" s="148" t="str">
        <f t="shared" si="652"/>
        <v/>
      </c>
      <c r="AT949" s="157" t="str">
        <f t="shared" si="653"/>
        <v/>
      </c>
      <c r="AU949" s="157" t="str">
        <f t="shared" si="654"/>
        <v/>
      </c>
      <c r="AV949" s="157" t="str">
        <f t="shared" si="655"/>
        <v/>
      </c>
      <c r="AW949" s="157" t="str">
        <f t="shared" si="656"/>
        <v/>
      </c>
      <c r="AX949" s="376">
        <f t="shared" si="657"/>
        <v>0</v>
      </c>
      <c r="AY949" s="148" t="str">
        <f t="shared" si="658"/>
        <v>-&gt;</v>
      </c>
      <c r="AZ949" s="148" t="str">
        <f t="shared" si="659"/>
        <v>01/00/1900 00:00-&gt;</v>
      </c>
      <c r="BA949" s="148" t="str">
        <f t="shared" si="660"/>
        <v>01/00/1900 00:00-&gt;</v>
      </c>
      <c r="BB949" s="374">
        <f t="shared" si="661"/>
        <v>0</v>
      </c>
      <c r="BC949" s="374">
        <f t="shared" si="662"/>
        <v>0</v>
      </c>
      <c r="BD949" s="148" t="str">
        <f t="shared" si="663"/>
        <v>no conflict</v>
      </c>
      <c r="BF949" s="148" t="str">
        <f t="shared" si="664"/>
        <v>01/00/1900 00:00-&gt;</v>
      </c>
      <c r="BG949" s="148" t="str">
        <f t="shared" si="665"/>
        <v>01/00/1900 00:00-&gt;</v>
      </c>
      <c r="BH949" s="148" t="str">
        <f t="shared" si="666"/>
        <v>01/00/1900 00:00-&gt;</v>
      </c>
      <c r="BI949" s="148" t="str">
        <f t="shared" si="667"/>
        <v xml:space="preserve"> in  ()</v>
      </c>
      <c r="BJ949" s="148" t="str">
        <f t="shared" si="668"/>
        <v xml:space="preserve">--  vs. </v>
      </c>
      <c r="BK949" s="148" t="str">
        <f t="shared" si="669"/>
        <v/>
      </c>
      <c r="BL949" s="148">
        <f t="shared" si="670"/>
        <v>0</v>
      </c>
      <c r="BM949" s="148">
        <f t="shared" si="671"/>
        <v>0</v>
      </c>
      <c r="BN949" s="148">
        <f t="shared" si="672"/>
        <v>0</v>
      </c>
      <c r="BP949" s="148" t="str">
        <f t="shared" si="673"/>
        <v>no game</v>
      </c>
      <c r="BQ949" s="148" t="str">
        <f t="shared" si="674"/>
        <v xml:space="preserve">  in </v>
      </c>
    </row>
    <row r="950" spans="2:69" ht="15" customHeight="1" x14ac:dyDescent="0.2">
      <c r="B950" s="153"/>
      <c r="C950" s="153"/>
      <c r="D950" s="383"/>
      <c r="E950" s="383"/>
      <c r="F950" s="153"/>
      <c r="G950" s="154"/>
      <c r="H950" s="155"/>
      <c r="I950" s="314"/>
      <c r="J950" s="153"/>
      <c r="K950" s="153"/>
      <c r="L950" s="153"/>
      <c r="M950" s="153"/>
      <c r="N950" s="153"/>
      <c r="O950" s="153" t="str">
        <f>IF(L950&lt;&gt;"",IFERROR(VLOOKUP(B950&amp;L950,Pools!$A$2:$D$130,3,FALSE),""),"")</f>
        <v/>
      </c>
      <c r="P950" s="387"/>
      <c r="Q950" s="387"/>
      <c r="R950" s="306" t="str">
        <f t="shared" si="630"/>
        <v>-</v>
      </c>
      <c r="S950" s="153"/>
      <c r="T950" s="148" t="str">
        <f t="shared" si="631"/>
        <v>Pending</v>
      </c>
      <c r="U950" s="153"/>
      <c r="V950" s="153"/>
      <c r="W950" s="387">
        <f t="shared" si="632"/>
        <v>0</v>
      </c>
      <c r="X950" s="387">
        <f t="shared" si="633"/>
        <v>0</v>
      </c>
      <c r="Y950" s="301" t="str">
        <f t="shared" si="634"/>
        <v>X</v>
      </c>
      <c r="Z950" s="301" t="str">
        <f t="shared" si="635"/>
        <v>X</v>
      </c>
      <c r="AA950" s="323" t="e">
        <f>CONCATENATE("                x[team1,team2,sport,'",IF(OR(I950="x",I950=""),VLOOKUP('Schedule from TM'!J950,Tables!$P$3:$Q$33,2,FALSE),'Schedule from TM'!I950),",",J950,"','",IF(OR(F950="x",F950=""),VLOOKUP('Schedule from TM'!G950,Tables!$U$3:$V$14,2,FALSE),'Schedule from TM'!F950),",",TEXT(G950,"mm/dd/yyyy"),"','",TEXT(H950,"h:mm:ss AM/PM"),"'].ub=0.0      #",B950)</f>
        <v>#N/A</v>
      </c>
      <c r="AB950" s="301" t="str">
        <f t="shared" si="636"/>
        <v>,,,,1,</v>
      </c>
      <c r="AC950" s="153" t="str">
        <f t="shared" si="637"/>
        <v/>
      </c>
      <c r="AD950" s="301" t="str">
        <f t="shared" si="638"/>
        <v>,,,,1,</v>
      </c>
      <c r="AE950" s="153" t="str">
        <f t="shared" si="639"/>
        <v/>
      </c>
      <c r="AF950" s="383">
        <f t="shared" si="640"/>
        <v>0</v>
      </c>
      <c r="AG950" s="383">
        <f t="shared" si="641"/>
        <v>0</v>
      </c>
      <c r="AH950" s="383">
        <f t="shared" si="642"/>
        <v>0</v>
      </c>
      <c r="AI950" s="383">
        <f t="shared" si="643"/>
        <v>0</v>
      </c>
      <c r="AJ950" s="383">
        <f t="shared" si="644"/>
        <v>0</v>
      </c>
      <c r="AK950" s="383">
        <f t="shared" si="645"/>
        <v>0</v>
      </c>
      <c r="AM950" s="148" t="str">
        <f t="shared" si="646"/>
        <v>Not Schedulled</v>
      </c>
      <c r="AN950" s="148" t="str">
        <f t="shared" si="647"/>
        <v/>
      </c>
      <c r="AO950" s="156">
        <f t="shared" si="648"/>
        <v>0</v>
      </c>
      <c r="AP950" s="148" t="str">
        <f t="shared" si="649"/>
        <v>01/00/1900 00:00-&gt;</v>
      </c>
      <c r="AQ950" s="374">
        <f t="shared" si="650"/>
        <v>0</v>
      </c>
      <c r="AR950" s="148" t="str">
        <f t="shared" si="651"/>
        <v/>
      </c>
      <c r="AS950" s="148" t="str">
        <f t="shared" si="652"/>
        <v/>
      </c>
      <c r="AT950" s="157" t="str">
        <f t="shared" si="653"/>
        <v/>
      </c>
      <c r="AU950" s="157" t="str">
        <f t="shared" si="654"/>
        <v/>
      </c>
      <c r="AV950" s="157" t="str">
        <f t="shared" si="655"/>
        <v/>
      </c>
      <c r="AW950" s="157" t="str">
        <f t="shared" si="656"/>
        <v/>
      </c>
      <c r="AX950" s="376">
        <f t="shared" si="657"/>
        <v>0</v>
      </c>
      <c r="AY950" s="148" t="str">
        <f t="shared" si="658"/>
        <v>-&gt;</v>
      </c>
      <c r="AZ950" s="148" t="str">
        <f t="shared" si="659"/>
        <v>01/00/1900 00:00-&gt;</v>
      </c>
      <c r="BA950" s="148" t="str">
        <f t="shared" si="660"/>
        <v>01/00/1900 00:00-&gt;</v>
      </c>
      <c r="BB950" s="374">
        <f t="shared" si="661"/>
        <v>0</v>
      </c>
      <c r="BC950" s="374">
        <f t="shared" si="662"/>
        <v>0</v>
      </c>
      <c r="BD950" s="148" t="str">
        <f t="shared" si="663"/>
        <v>no conflict</v>
      </c>
      <c r="BF950" s="148" t="str">
        <f t="shared" si="664"/>
        <v>01/00/1900 00:00-&gt;</v>
      </c>
      <c r="BG950" s="148" t="str">
        <f t="shared" si="665"/>
        <v>01/00/1900 00:00-&gt;</v>
      </c>
      <c r="BH950" s="148" t="str">
        <f t="shared" si="666"/>
        <v>01/00/1900 00:00-&gt;</v>
      </c>
      <c r="BI950" s="148" t="str">
        <f t="shared" si="667"/>
        <v xml:space="preserve"> in  ()</v>
      </c>
      <c r="BJ950" s="148" t="str">
        <f t="shared" si="668"/>
        <v xml:space="preserve">--  vs. </v>
      </c>
      <c r="BK950" s="148" t="str">
        <f t="shared" si="669"/>
        <v/>
      </c>
      <c r="BL950" s="148">
        <f t="shared" si="670"/>
        <v>0</v>
      </c>
      <c r="BM950" s="148">
        <f t="shared" si="671"/>
        <v>0</v>
      </c>
      <c r="BN950" s="148">
        <f t="shared" si="672"/>
        <v>0</v>
      </c>
      <c r="BP950" s="148" t="str">
        <f t="shared" si="673"/>
        <v>no game</v>
      </c>
      <c r="BQ950" s="148" t="str">
        <f t="shared" si="674"/>
        <v xml:space="preserve">  in </v>
      </c>
    </row>
    <row r="951" spans="2:69" ht="15" customHeight="1" x14ac:dyDescent="0.2">
      <c r="B951" s="153"/>
      <c r="C951" s="153"/>
      <c r="D951" s="383"/>
      <c r="E951" s="383"/>
      <c r="F951" s="153"/>
      <c r="G951" s="154"/>
      <c r="H951" s="155"/>
      <c r="I951" s="314"/>
      <c r="J951" s="153"/>
      <c r="K951" s="153"/>
      <c r="L951" s="153"/>
      <c r="M951" s="153"/>
      <c r="N951" s="153"/>
      <c r="O951" s="153" t="str">
        <f>IF(L951&lt;&gt;"",IFERROR(VLOOKUP(B951&amp;L951,Pools!$A$2:$D$130,3,FALSE),""),"")</f>
        <v/>
      </c>
      <c r="P951" s="387"/>
      <c r="Q951" s="387"/>
      <c r="R951" s="306" t="str">
        <f t="shared" si="630"/>
        <v>-</v>
      </c>
      <c r="S951" s="153"/>
      <c r="T951" s="148" t="str">
        <f t="shared" si="631"/>
        <v>Pending</v>
      </c>
      <c r="U951" s="153"/>
      <c r="V951" s="153"/>
      <c r="W951" s="387">
        <f t="shared" si="632"/>
        <v>0</v>
      </c>
      <c r="X951" s="387">
        <f t="shared" si="633"/>
        <v>0</v>
      </c>
      <c r="Y951" s="301" t="str">
        <f t="shared" si="634"/>
        <v>X</v>
      </c>
      <c r="Z951" s="301" t="str">
        <f t="shared" si="635"/>
        <v>X</v>
      </c>
      <c r="AA951" s="323" t="e">
        <f>CONCATENATE("                x[team1,team2,sport,'",IF(OR(I951="x",I951=""),VLOOKUP('Schedule from TM'!J951,Tables!$P$3:$Q$33,2,FALSE),'Schedule from TM'!I951),",",J951,"','",IF(OR(F951="x",F951=""),VLOOKUP('Schedule from TM'!G951,Tables!$U$3:$V$14,2,FALSE),'Schedule from TM'!F951),",",TEXT(G951,"mm/dd/yyyy"),"','",TEXT(H951,"h:mm:ss AM/PM"),"'].ub=0.0      #",B951)</f>
        <v>#N/A</v>
      </c>
      <c r="AB951" s="301" t="str">
        <f t="shared" si="636"/>
        <v>,,,,1,</v>
      </c>
      <c r="AC951" s="153" t="str">
        <f t="shared" si="637"/>
        <v/>
      </c>
      <c r="AD951" s="301" t="str">
        <f t="shared" si="638"/>
        <v>,,,,1,</v>
      </c>
      <c r="AE951" s="153" t="str">
        <f t="shared" si="639"/>
        <v/>
      </c>
      <c r="AF951" s="383">
        <f t="shared" si="640"/>
        <v>0</v>
      </c>
      <c r="AG951" s="383">
        <f t="shared" si="641"/>
        <v>0</v>
      </c>
      <c r="AH951" s="383">
        <f t="shared" si="642"/>
        <v>0</v>
      </c>
      <c r="AI951" s="383">
        <f t="shared" si="643"/>
        <v>0</v>
      </c>
      <c r="AJ951" s="383">
        <f t="shared" si="644"/>
        <v>0</v>
      </c>
      <c r="AK951" s="383">
        <f t="shared" si="645"/>
        <v>0</v>
      </c>
      <c r="AM951" s="148" t="str">
        <f t="shared" si="646"/>
        <v>Not Schedulled</v>
      </c>
      <c r="AN951" s="148" t="str">
        <f t="shared" si="647"/>
        <v/>
      </c>
      <c r="AO951" s="156">
        <f t="shared" si="648"/>
        <v>0</v>
      </c>
      <c r="AP951" s="148" t="str">
        <f t="shared" si="649"/>
        <v>01/00/1900 00:00-&gt;</v>
      </c>
      <c r="AQ951" s="374">
        <f t="shared" si="650"/>
        <v>0</v>
      </c>
      <c r="AR951" s="148" t="str">
        <f t="shared" si="651"/>
        <v/>
      </c>
      <c r="AS951" s="148" t="str">
        <f t="shared" si="652"/>
        <v/>
      </c>
      <c r="AT951" s="157" t="str">
        <f t="shared" si="653"/>
        <v/>
      </c>
      <c r="AU951" s="157" t="str">
        <f t="shared" si="654"/>
        <v/>
      </c>
      <c r="AV951" s="157" t="str">
        <f t="shared" si="655"/>
        <v/>
      </c>
      <c r="AW951" s="157" t="str">
        <f t="shared" si="656"/>
        <v/>
      </c>
      <c r="AX951" s="376">
        <f t="shared" si="657"/>
        <v>0</v>
      </c>
      <c r="AY951" s="148" t="str">
        <f t="shared" si="658"/>
        <v>-&gt;</v>
      </c>
      <c r="AZ951" s="148" t="str">
        <f t="shared" si="659"/>
        <v>01/00/1900 00:00-&gt;</v>
      </c>
      <c r="BA951" s="148" t="str">
        <f t="shared" si="660"/>
        <v>01/00/1900 00:00-&gt;</v>
      </c>
      <c r="BB951" s="374">
        <f t="shared" si="661"/>
        <v>0</v>
      </c>
      <c r="BC951" s="374">
        <f t="shared" si="662"/>
        <v>0</v>
      </c>
      <c r="BD951" s="148" t="str">
        <f t="shared" si="663"/>
        <v>no conflict</v>
      </c>
      <c r="BF951" s="148" t="str">
        <f t="shared" si="664"/>
        <v>01/00/1900 00:00-&gt;</v>
      </c>
      <c r="BG951" s="148" t="str">
        <f t="shared" si="665"/>
        <v>01/00/1900 00:00-&gt;</v>
      </c>
      <c r="BH951" s="148" t="str">
        <f t="shared" si="666"/>
        <v>01/00/1900 00:00-&gt;</v>
      </c>
      <c r="BI951" s="148" t="str">
        <f t="shared" si="667"/>
        <v xml:space="preserve"> in  ()</v>
      </c>
      <c r="BJ951" s="148" t="str">
        <f t="shared" si="668"/>
        <v xml:space="preserve">--  vs. </v>
      </c>
      <c r="BK951" s="148" t="str">
        <f t="shared" si="669"/>
        <v/>
      </c>
      <c r="BL951" s="148">
        <f t="shared" si="670"/>
        <v>0</v>
      </c>
      <c r="BM951" s="148">
        <f t="shared" si="671"/>
        <v>0</v>
      </c>
      <c r="BN951" s="148">
        <f t="shared" si="672"/>
        <v>0</v>
      </c>
      <c r="BP951" s="148" t="str">
        <f t="shared" si="673"/>
        <v>no game</v>
      </c>
      <c r="BQ951" s="148" t="str">
        <f t="shared" si="674"/>
        <v xml:space="preserve">  in </v>
      </c>
    </row>
    <row r="952" spans="2:69" ht="15" customHeight="1" x14ac:dyDescent="0.2">
      <c r="B952" s="153"/>
      <c r="C952" s="153"/>
      <c r="D952" s="383"/>
      <c r="E952" s="383"/>
      <c r="F952" s="153"/>
      <c r="G952" s="154"/>
      <c r="H952" s="155"/>
      <c r="I952" s="314"/>
      <c r="J952" s="153"/>
      <c r="K952" s="153"/>
      <c r="L952" s="153"/>
      <c r="M952" s="153"/>
      <c r="N952" s="153"/>
      <c r="O952" s="153" t="str">
        <f>IF(L952&lt;&gt;"",IFERROR(VLOOKUP(B952&amp;L952,Pools!$A$2:$D$130,3,FALSE),""),"")</f>
        <v/>
      </c>
      <c r="P952" s="387"/>
      <c r="Q952" s="387"/>
      <c r="R952" s="306" t="str">
        <f t="shared" si="630"/>
        <v>-</v>
      </c>
      <c r="S952" s="153"/>
      <c r="T952" s="148" t="str">
        <f t="shared" si="631"/>
        <v>Pending</v>
      </c>
      <c r="U952" s="153"/>
      <c r="V952" s="153"/>
      <c r="W952" s="387">
        <f t="shared" si="632"/>
        <v>0</v>
      </c>
      <c r="X952" s="387">
        <f t="shared" si="633"/>
        <v>0</v>
      </c>
      <c r="Y952" s="301" t="str">
        <f t="shared" si="634"/>
        <v>X</v>
      </c>
      <c r="Z952" s="301" t="str">
        <f t="shared" si="635"/>
        <v>X</v>
      </c>
      <c r="AA952" s="323" t="e">
        <f>CONCATENATE("                x[team1,team2,sport,'",IF(OR(I952="x",I952=""),VLOOKUP('Schedule from TM'!J952,Tables!$P$3:$Q$33,2,FALSE),'Schedule from TM'!I952),",",J952,"','",IF(OR(F952="x",F952=""),VLOOKUP('Schedule from TM'!G952,Tables!$U$3:$V$14,2,FALSE),'Schedule from TM'!F952),",",TEXT(G952,"mm/dd/yyyy"),"','",TEXT(H952,"h:mm:ss AM/PM"),"'].ub=0.0      #",B952)</f>
        <v>#N/A</v>
      </c>
      <c r="AB952" s="301" t="str">
        <f t="shared" si="636"/>
        <v>,,,,1,</v>
      </c>
      <c r="AC952" s="153" t="str">
        <f t="shared" si="637"/>
        <v/>
      </c>
      <c r="AD952" s="301" t="str">
        <f t="shared" si="638"/>
        <v>,,,,1,</v>
      </c>
      <c r="AE952" s="153" t="str">
        <f t="shared" si="639"/>
        <v/>
      </c>
      <c r="AF952" s="383">
        <f t="shared" si="640"/>
        <v>0</v>
      </c>
      <c r="AG952" s="383">
        <f t="shared" si="641"/>
        <v>0</v>
      </c>
      <c r="AH952" s="383">
        <f t="shared" si="642"/>
        <v>0</v>
      </c>
      <c r="AI952" s="383">
        <f t="shared" si="643"/>
        <v>0</v>
      </c>
      <c r="AJ952" s="383">
        <f t="shared" si="644"/>
        <v>0</v>
      </c>
      <c r="AK952" s="383">
        <f t="shared" si="645"/>
        <v>0</v>
      </c>
      <c r="AM952" s="148" t="str">
        <f t="shared" si="646"/>
        <v>Not Schedulled</v>
      </c>
      <c r="AN952" s="148" t="str">
        <f t="shared" si="647"/>
        <v/>
      </c>
      <c r="AO952" s="156">
        <f t="shared" si="648"/>
        <v>0</v>
      </c>
      <c r="AP952" s="148" t="str">
        <f t="shared" si="649"/>
        <v>01/00/1900 00:00-&gt;</v>
      </c>
      <c r="AQ952" s="374">
        <f t="shared" si="650"/>
        <v>0</v>
      </c>
      <c r="AR952" s="148" t="str">
        <f t="shared" si="651"/>
        <v/>
      </c>
      <c r="AS952" s="148" t="str">
        <f t="shared" si="652"/>
        <v/>
      </c>
      <c r="AT952" s="157" t="str">
        <f t="shared" si="653"/>
        <v/>
      </c>
      <c r="AU952" s="157" t="str">
        <f t="shared" si="654"/>
        <v/>
      </c>
      <c r="AV952" s="157" t="str">
        <f t="shared" si="655"/>
        <v/>
      </c>
      <c r="AW952" s="157" t="str">
        <f t="shared" si="656"/>
        <v/>
      </c>
      <c r="AX952" s="376">
        <f t="shared" si="657"/>
        <v>0</v>
      </c>
      <c r="AY952" s="148" t="str">
        <f t="shared" si="658"/>
        <v>-&gt;</v>
      </c>
      <c r="AZ952" s="148" t="str">
        <f t="shared" si="659"/>
        <v>01/00/1900 00:00-&gt;</v>
      </c>
      <c r="BA952" s="148" t="str">
        <f t="shared" si="660"/>
        <v>01/00/1900 00:00-&gt;</v>
      </c>
      <c r="BB952" s="374">
        <f t="shared" si="661"/>
        <v>0</v>
      </c>
      <c r="BC952" s="374">
        <f t="shared" si="662"/>
        <v>0</v>
      </c>
      <c r="BD952" s="148" t="str">
        <f t="shared" si="663"/>
        <v>no conflict</v>
      </c>
      <c r="BF952" s="148" t="str">
        <f t="shared" si="664"/>
        <v>01/00/1900 00:00-&gt;</v>
      </c>
      <c r="BG952" s="148" t="str">
        <f t="shared" si="665"/>
        <v>01/00/1900 00:00-&gt;</v>
      </c>
      <c r="BH952" s="148" t="str">
        <f t="shared" si="666"/>
        <v>01/00/1900 00:00-&gt;</v>
      </c>
      <c r="BI952" s="148" t="str">
        <f t="shared" si="667"/>
        <v xml:space="preserve"> in  ()</v>
      </c>
      <c r="BJ952" s="148" t="str">
        <f t="shared" si="668"/>
        <v xml:space="preserve">--  vs. </v>
      </c>
      <c r="BK952" s="148" t="str">
        <f t="shared" si="669"/>
        <v/>
      </c>
      <c r="BL952" s="148">
        <f t="shared" si="670"/>
        <v>0</v>
      </c>
      <c r="BM952" s="148">
        <f t="shared" si="671"/>
        <v>0</v>
      </c>
      <c r="BN952" s="148">
        <f t="shared" si="672"/>
        <v>0</v>
      </c>
      <c r="BP952" s="148" t="str">
        <f t="shared" si="673"/>
        <v>no game</v>
      </c>
      <c r="BQ952" s="148" t="str">
        <f t="shared" si="674"/>
        <v xml:space="preserve">  in </v>
      </c>
    </row>
    <row r="953" spans="2:69" ht="15" customHeight="1" x14ac:dyDescent="0.2">
      <c r="B953" s="153"/>
      <c r="C953" s="153"/>
      <c r="D953" s="383"/>
      <c r="E953" s="383"/>
      <c r="F953" s="153"/>
      <c r="G953" s="154"/>
      <c r="H953" s="155"/>
      <c r="I953" s="314"/>
      <c r="J953" s="153"/>
      <c r="K953" s="153"/>
      <c r="L953" s="153"/>
      <c r="M953" s="153"/>
      <c r="N953" s="153"/>
      <c r="O953" s="153" t="str">
        <f>IF(L953&lt;&gt;"",IFERROR(VLOOKUP(B953&amp;L953,Pools!$A$2:$D$130,3,FALSE),""),"")</f>
        <v/>
      </c>
      <c r="P953" s="387"/>
      <c r="Q953" s="387"/>
      <c r="R953" s="306" t="str">
        <f t="shared" si="630"/>
        <v>-</v>
      </c>
      <c r="S953" s="153"/>
      <c r="T953" s="148" t="str">
        <f t="shared" si="631"/>
        <v>Pending</v>
      </c>
      <c r="U953" s="153"/>
      <c r="V953" s="153"/>
      <c r="W953" s="387">
        <f t="shared" si="632"/>
        <v>0</v>
      </c>
      <c r="X953" s="387">
        <f t="shared" si="633"/>
        <v>0</v>
      </c>
      <c r="Y953" s="301" t="str">
        <f t="shared" si="634"/>
        <v>X</v>
      </c>
      <c r="Z953" s="301" t="str">
        <f t="shared" si="635"/>
        <v>X</v>
      </c>
      <c r="AA953" s="323" t="e">
        <f>CONCATENATE("                x[team1,team2,sport,'",IF(OR(I953="x",I953=""),VLOOKUP('Schedule from TM'!J953,Tables!$P$3:$Q$33,2,FALSE),'Schedule from TM'!I953),",",J953,"','",IF(OR(F953="x",F953=""),VLOOKUP('Schedule from TM'!G953,Tables!$U$3:$V$14,2,FALSE),'Schedule from TM'!F953),",",TEXT(G953,"mm/dd/yyyy"),"','",TEXT(H953,"h:mm:ss AM/PM"),"'].ub=0.0      #",B953)</f>
        <v>#N/A</v>
      </c>
      <c r="AB953" s="301" t="str">
        <f t="shared" si="636"/>
        <v>,,,,1,</v>
      </c>
      <c r="AC953" s="153" t="str">
        <f t="shared" si="637"/>
        <v/>
      </c>
      <c r="AD953" s="301" t="str">
        <f t="shared" si="638"/>
        <v>,,,,1,</v>
      </c>
      <c r="AE953" s="153" t="str">
        <f t="shared" si="639"/>
        <v/>
      </c>
      <c r="AF953" s="383">
        <f t="shared" si="640"/>
        <v>0</v>
      </c>
      <c r="AG953" s="383">
        <f t="shared" si="641"/>
        <v>0</v>
      </c>
      <c r="AH953" s="383">
        <f t="shared" si="642"/>
        <v>0</v>
      </c>
      <c r="AI953" s="383">
        <f t="shared" si="643"/>
        <v>0</v>
      </c>
      <c r="AJ953" s="383">
        <f t="shared" si="644"/>
        <v>0</v>
      </c>
      <c r="AK953" s="383">
        <f t="shared" si="645"/>
        <v>0</v>
      </c>
      <c r="AM953" s="148" t="str">
        <f t="shared" si="646"/>
        <v>Not Schedulled</v>
      </c>
      <c r="AN953" s="148" t="str">
        <f t="shared" si="647"/>
        <v/>
      </c>
      <c r="AO953" s="156">
        <f t="shared" si="648"/>
        <v>0</v>
      </c>
      <c r="AP953" s="148" t="str">
        <f t="shared" si="649"/>
        <v>01/00/1900 00:00-&gt;</v>
      </c>
      <c r="AQ953" s="374">
        <f t="shared" si="650"/>
        <v>0</v>
      </c>
      <c r="AR953" s="148" t="str">
        <f t="shared" si="651"/>
        <v/>
      </c>
      <c r="AS953" s="148" t="str">
        <f t="shared" si="652"/>
        <v/>
      </c>
      <c r="AT953" s="157" t="str">
        <f t="shared" si="653"/>
        <v/>
      </c>
      <c r="AU953" s="157" t="str">
        <f t="shared" si="654"/>
        <v/>
      </c>
      <c r="AV953" s="157" t="str">
        <f t="shared" si="655"/>
        <v/>
      </c>
      <c r="AW953" s="157" t="str">
        <f t="shared" si="656"/>
        <v/>
      </c>
      <c r="AX953" s="376">
        <f t="shared" si="657"/>
        <v>0</v>
      </c>
      <c r="AY953" s="148" t="str">
        <f t="shared" si="658"/>
        <v>-&gt;</v>
      </c>
      <c r="AZ953" s="148" t="str">
        <f t="shared" si="659"/>
        <v>01/00/1900 00:00-&gt;</v>
      </c>
      <c r="BA953" s="148" t="str">
        <f t="shared" si="660"/>
        <v>01/00/1900 00:00-&gt;</v>
      </c>
      <c r="BB953" s="374">
        <f t="shared" si="661"/>
        <v>0</v>
      </c>
      <c r="BC953" s="374">
        <f t="shared" si="662"/>
        <v>0</v>
      </c>
      <c r="BD953" s="148" t="str">
        <f t="shared" si="663"/>
        <v>no conflict</v>
      </c>
      <c r="BF953" s="148" t="str">
        <f t="shared" si="664"/>
        <v>01/00/1900 00:00-&gt;</v>
      </c>
      <c r="BG953" s="148" t="str">
        <f t="shared" si="665"/>
        <v>01/00/1900 00:00-&gt;</v>
      </c>
      <c r="BH953" s="148" t="str">
        <f t="shared" si="666"/>
        <v>01/00/1900 00:00-&gt;</v>
      </c>
      <c r="BI953" s="148" t="str">
        <f t="shared" si="667"/>
        <v xml:space="preserve"> in  ()</v>
      </c>
      <c r="BJ953" s="148" t="str">
        <f t="shared" si="668"/>
        <v xml:space="preserve">--  vs. </v>
      </c>
      <c r="BK953" s="148" t="str">
        <f t="shared" si="669"/>
        <v/>
      </c>
      <c r="BL953" s="148">
        <f t="shared" si="670"/>
        <v>0</v>
      </c>
      <c r="BM953" s="148">
        <f t="shared" si="671"/>
        <v>0</v>
      </c>
      <c r="BN953" s="148">
        <f t="shared" si="672"/>
        <v>0</v>
      </c>
      <c r="BP953" s="148" t="str">
        <f t="shared" si="673"/>
        <v>no game</v>
      </c>
      <c r="BQ953" s="148" t="str">
        <f t="shared" si="674"/>
        <v xml:space="preserve">  in </v>
      </c>
    </row>
    <row r="954" spans="2:69" ht="15" customHeight="1" x14ac:dyDescent="0.2">
      <c r="B954" s="153"/>
      <c r="C954" s="153"/>
      <c r="D954" s="383"/>
      <c r="E954" s="383"/>
      <c r="F954" s="153"/>
      <c r="G954" s="154"/>
      <c r="H954" s="155"/>
      <c r="I954" s="314"/>
      <c r="J954" s="153"/>
      <c r="K954" s="153"/>
      <c r="L954" s="153"/>
      <c r="M954" s="153"/>
      <c r="N954" s="153"/>
      <c r="O954" s="153" t="str">
        <f>IF(L954&lt;&gt;"",IFERROR(VLOOKUP(B954&amp;L954,Pools!$A$2:$D$130,3,FALSE),""),"")</f>
        <v/>
      </c>
      <c r="P954" s="387"/>
      <c r="Q954" s="387"/>
      <c r="R954" s="306" t="str">
        <f t="shared" si="630"/>
        <v>-</v>
      </c>
      <c r="S954" s="153"/>
      <c r="T954" s="148" t="str">
        <f t="shared" si="631"/>
        <v>Pending</v>
      </c>
      <c r="U954" s="153"/>
      <c r="V954" s="153"/>
      <c r="W954" s="387">
        <f t="shared" si="632"/>
        <v>0</v>
      </c>
      <c r="X954" s="387">
        <f t="shared" si="633"/>
        <v>0</v>
      </c>
      <c r="Y954" s="301" t="str">
        <f t="shared" si="634"/>
        <v>X</v>
      </c>
      <c r="Z954" s="301" t="str">
        <f t="shared" si="635"/>
        <v>X</v>
      </c>
      <c r="AA954" s="323" t="e">
        <f>CONCATENATE("                x[team1,team2,sport,'",IF(OR(I954="x",I954=""),VLOOKUP('Schedule from TM'!J954,Tables!$P$3:$Q$33,2,FALSE),'Schedule from TM'!I954),",",J954,"','",IF(OR(F954="x",F954=""),VLOOKUP('Schedule from TM'!G954,Tables!$U$3:$V$14,2,FALSE),'Schedule from TM'!F954),",",TEXT(G954,"mm/dd/yyyy"),"','",TEXT(H954,"h:mm:ss AM/PM"),"'].ub=0.0      #",B954)</f>
        <v>#N/A</v>
      </c>
      <c r="AB954" s="301" t="str">
        <f t="shared" si="636"/>
        <v>,,,,1,</v>
      </c>
      <c r="AC954" s="153" t="str">
        <f t="shared" si="637"/>
        <v/>
      </c>
      <c r="AD954" s="301" t="str">
        <f t="shared" si="638"/>
        <v>,,,,1,</v>
      </c>
      <c r="AE954" s="153" t="str">
        <f t="shared" si="639"/>
        <v/>
      </c>
      <c r="AF954" s="383">
        <f t="shared" si="640"/>
        <v>0</v>
      </c>
      <c r="AG954" s="383">
        <f t="shared" si="641"/>
        <v>0</v>
      </c>
      <c r="AH954" s="383">
        <f t="shared" si="642"/>
        <v>0</v>
      </c>
      <c r="AI954" s="383">
        <f t="shared" si="643"/>
        <v>0</v>
      </c>
      <c r="AJ954" s="383">
        <f t="shared" si="644"/>
        <v>0</v>
      </c>
      <c r="AK954" s="383">
        <f t="shared" si="645"/>
        <v>0</v>
      </c>
      <c r="AM954" s="148" t="str">
        <f t="shared" si="646"/>
        <v>Not Schedulled</v>
      </c>
      <c r="AN954" s="148" t="str">
        <f t="shared" si="647"/>
        <v/>
      </c>
      <c r="AO954" s="156">
        <f t="shared" si="648"/>
        <v>0</v>
      </c>
      <c r="AP954" s="148" t="str">
        <f t="shared" si="649"/>
        <v>01/00/1900 00:00-&gt;</v>
      </c>
      <c r="AQ954" s="374">
        <f t="shared" si="650"/>
        <v>0</v>
      </c>
      <c r="AR954" s="148" t="str">
        <f t="shared" si="651"/>
        <v/>
      </c>
      <c r="AS954" s="148" t="str">
        <f t="shared" si="652"/>
        <v/>
      </c>
      <c r="AT954" s="157" t="str">
        <f t="shared" si="653"/>
        <v/>
      </c>
      <c r="AU954" s="157" t="str">
        <f t="shared" si="654"/>
        <v/>
      </c>
      <c r="AV954" s="157" t="str">
        <f t="shared" si="655"/>
        <v/>
      </c>
      <c r="AW954" s="157" t="str">
        <f t="shared" si="656"/>
        <v/>
      </c>
      <c r="AX954" s="376">
        <f t="shared" si="657"/>
        <v>0</v>
      </c>
      <c r="AY954" s="148" t="str">
        <f t="shared" si="658"/>
        <v>-&gt;</v>
      </c>
      <c r="AZ954" s="148" t="str">
        <f t="shared" si="659"/>
        <v>01/00/1900 00:00-&gt;</v>
      </c>
      <c r="BA954" s="148" t="str">
        <f t="shared" si="660"/>
        <v>01/00/1900 00:00-&gt;</v>
      </c>
      <c r="BB954" s="374">
        <f t="shared" si="661"/>
        <v>0</v>
      </c>
      <c r="BC954" s="374">
        <f t="shared" si="662"/>
        <v>0</v>
      </c>
      <c r="BD954" s="148" t="str">
        <f t="shared" si="663"/>
        <v>no conflict</v>
      </c>
      <c r="BF954" s="148" t="str">
        <f t="shared" si="664"/>
        <v>01/00/1900 00:00-&gt;</v>
      </c>
      <c r="BG954" s="148" t="str">
        <f t="shared" si="665"/>
        <v>01/00/1900 00:00-&gt;</v>
      </c>
      <c r="BH954" s="148" t="str">
        <f t="shared" si="666"/>
        <v>01/00/1900 00:00-&gt;</v>
      </c>
      <c r="BI954" s="148" t="str">
        <f t="shared" si="667"/>
        <v xml:space="preserve"> in  ()</v>
      </c>
      <c r="BJ954" s="148" t="str">
        <f t="shared" si="668"/>
        <v xml:space="preserve">--  vs. </v>
      </c>
      <c r="BK954" s="148" t="str">
        <f t="shared" si="669"/>
        <v/>
      </c>
      <c r="BL954" s="148">
        <f t="shared" si="670"/>
        <v>0</v>
      </c>
      <c r="BM954" s="148">
        <f t="shared" si="671"/>
        <v>0</v>
      </c>
      <c r="BN954" s="148">
        <f t="shared" si="672"/>
        <v>0</v>
      </c>
      <c r="BP954" s="148" t="str">
        <f t="shared" si="673"/>
        <v>no game</v>
      </c>
      <c r="BQ954" s="148" t="str">
        <f t="shared" si="674"/>
        <v xml:space="preserve">  in </v>
      </c>
    </row>
    <row r="955" spans="2:69" ht="15" customHeight="1" x14ac:dyDescent="0.2">
      <c r="B955" s="153"/>
      <c r="C955" s="153"/>
      <c r="D955" s="383"/>
      <c r="E955" s="383"/>
      <c r="F955" s="153"/>
      <c r="G955" s="154"/>
      <c r="H955" s="155"/>
      <c r="I955" s="314"/>
      <c r="J955" s="153"/>
      <c r="K955" s="153"/>
      <c r="L955" s="153"/>
      <c r="M955" s="153"/>
      <c r="N955" s="153"/>
      <c r="O955" s="153" t="str">
        <f>IF(L955&lt;&gt;"",IFERROR(VLOOKUP(B955&amp;L955,Pools!$A$2:$D$130,3,FALSE),""),"")</f>
        <v/>
      </c>
      <c r="P955" s="387"/>
      <c r="Q955" s="387"/>
      <c r="R955" s="306" t="str">
        <f t="shared" si="630"/>
        <v>-</v>
      </c>
      <c r="S955" s="153"/>
      <c r="T955" s="148" t="str">
        <f t="shared" si="631"/>
        <v>Pending</v>
      </c>
      <c r="U955" s="153"/>
      <c r="V955" s="153"/>
      <c r="W955" s="387">
        <f t="shared" si="632"/>
        <v>0</v>
      </c>
      <c r="X955" s="387">
        <f t="shared" si="633"/>
        <v>0</v>
      </c>
      <c r="Y955" s="301" t="str">
        <f t="shared" si="634"/>
        <v>X</v>
      </c>
      <c r="Z955" s="301" t="str">
        <f t="shared" si="635"/>
        <v>X</v>
      </c>
      <c r="AA955" s="323" t="e">
        <f>CONCATENATE("                x[team1,team2,sport,'",IF(OR(I955="x",I955=""),VLOOKUP('Schedule from TM'!J955,Tables!$P$3:$Q$33,2,FALSE),'Schedule from TM'!I955),",",J955,"','",IF(OR(F955="x",F955=""),VLOOKUP('Schedule from TM'!G955,Tables!$U$3:$V$14,2,FALSE),'Schedule from TM'!F955),",",TEXT(G955,"mm/dd/yyyy"),"','",TEXT(H955,"h:mm:ss AM/PM"),"'].ub=0.0      #",B955)</f>
        <v>#N/A</v>
      </c>
      <c r="AB955" s="301" t="str">
        <f t="shared" si="636"/>
        <v>,,,,1,</v>
      </c>
      <c r="AC955" s="153" t="str">
        <f t="shared" si="637"/>
        <v/>
      </c>
      <c r="AD955" s="301" t="str">
        <f t="shared" si="638"/>
        <v>,,,,1,</v>
      </c>
      <c r="AE955" s="153" t="str">
        <f t="shared" si="639"/>
        <v/>
      </c>
      <c r="AF955" s="383">
        <f t="shared" si="640"/>
        <v>0</v>
      </c>
      <c r="AG955" s="383">
        <f t="shared" si="641"/>
        <v>0</v>
      </c>
      <c r="AH955" s="383">
        <f t="shared" si="642"/>
        <v>0</v>
      </c>
      <c r="AI955" s="383">
        <f t="shared" si="643"/>
        <v>0</v>
      </c>
      <c r="AJ955" s="383">
        <f t="shared" si="644"/>
        <v>0</v>
      </c>
      <c r="AK955" s="383">
        <f t="shared" si="645"/>
        <v>0</v>
      </c>
      <c r="AM955" s="148" t="str">
        <f t="shared" si="646"/>
        <v>Not Schedulled</v>
      </c>
      <c r="AN955" s="148" t="str">
        <f t="shared" si="647"/>
        <v/>
      </c>
      <c r="AO955" s="156">
        <f t="shared" si="648"/>
        <v>0</v>
      </c>
      <c r="AP955" s="148" t="str">
        <f t="shared" si="649"/>
        <v>01/00/1900 00:00-&gt;</v>
      </c>
      <c r="AQ955" s="374">
        <f t="shared" si="650"/>
        <v>0</v>
      </c>
      <c r="AR955" s="148" t="str">
        <f t="shared" si="651"/>
        <v/>
      </c>
      <c r="AS955" s="148" t="str">
        <f t="shared" si="652"/>
        <v/>
      </c>
      <c r="AT955" s="157" t="str">
        <f t="shared" si="653"/>
        <v/>
      </c>
      <c r="AU955" s="157" t="str">
        <f t="shared" si="654"/>
        <v/>
      </c>
      <c r="AV955" s="157" t="str">
        <f t="shared" si="655"/>
        <v/>
      </c>
      <c r="AW955" s="157" t="str">
        <f t="shared" si="656"/>
        <v/>
      </c>
      <c r="AX955" s="376">
        <f t="shared" si="657"/>
        <v>0</v>
      </c>
      <c r="AY955" s="148" t="str">
        <f t="shared" si="658"/>
        <v>-&gt;</v>
      </c>
      <c r="AZ955" s="148" t="str">
        <f t="shared" si="659"/>
        <v>01/00/1900 00:00-&gt;</v>
      </c>
      <c r="BA955" s="148" t="str">
        <f t="shared" si="660"/>
        <v>01/00/1900 00:00-&gt;</v>
      </c>
      <c r="BB955" s="374">
        <f t="shared" si="661"/>
        <v>0</v>
      </c>
      <c r="BC955" s="374">
        <f t="shared" si="662"/>
        <v>0</v>
      </c>
      <c r="BD955" s="148" t="str">
        <f t="shared" si="663"/>
        <v>no conflict</v>
      </c>
      <c r="BF955" s="148" t="str">
        <f t="shared" si="664"/>
        <v>01/00/1900 00:00-&gt;</v>
      </c>
      <c r="BG955" s="148" t="str">
        <f t="shared" si="665"/>
        <v>01/00/1900 00:00-&gt;</v>
      </c>
      <c r="BH955" s="148" t="str">
        <f t="shared" si="666"/>
        <v>01/00/1900 00:00-&gt;</v>
      </c>
      <c r="BI955" s="148" t="str">
        <f t="shared" si="667"/>
        <v xml:space="preserve"> in  ()</v>
      </c>
      <c r="BJ955" s="148" t="str">
        <f t="shared" si="668"/>
        <v xml:space="preserve">--  vs. </v>
      </c>
      <c r="BK955" s="148" t="str">
        <f t="shared" si="669"/>
        <v/>
      </c>
      <c r="BL955" s="148">
        <f t="shared" si="670"/>
        <v>0</v>
      </c>
      <c r="BM955" s="148">
        <f t="shared" si="671"/>
        <v>0</v>
      </c>
      <c r="BN955" s="148">
        <f t="shared" si="672"/>
        <v>0</v>
      </c>
      <c r="BP955" s="148" t="str">
        <f t="shared" si="673"/>
        <v>no game</v>
      </c>
      <c r="BQ955" s="148" t="str">
        <f t="shared" si="674"/>
        <v xml:space="preserve">  in </v>
      </c>
    </row>
    <row r="956" spans="2:69" ht="15" customHeight="1" x14ac:dyDescent="0.2">
      <c r="B956" s="153"/>
      <c r="C956" s="153"/>
      <c r="D956" s="383"/>
      <c r="E956" s="383"/>
      <c r="F956" s="153"/>
      <c r="G956" s="154"/>
      <c r="H956" s="155"/>
      <c r="I956" s="314"/>
      <c r="J956" s="153"/>
      <c r="K956" s="153"/>
      <c r="L956" s="153"/>
      <c r="M956" s="153"/>
      <c r="N956" s="153"/>
      <c r="O956" s="153" t="str">
        <f>IF(L956&lt;&gt;"",IFERROR(VLOOKUP(B956&amp;L956,Pools!$A$2:$D$130,3,FALSE),""),"")</f>
        <v/>
      </c>
      <c r="P956" s="387"/>
      <c r="Q956" s="387"/>
      <c r="R956" s="306" t="str">
        <f t="shared" si="630"/>
        <v>-</v>
      </c>
      <c r="S956" s="153"/>
      <c r="T956" s="148" t="str">
        <f t="shared" si="631"/>
        <v>Pending</v>
      </c>
      <c r="U956" s="153"/>
      <c r="V956" s="153"/>
      <c r="W956" s="387">
        <f t="shared" si="632"/>
        <v>0</v>
      </c>
      <c r="X956" s="387">
        <f t="shared" si="633"/>
        <v>0</v>
      </c>
      <c r="Y956" s="301" t="str">
        <f t="shared" si="634"/>
        <v>X</v>
      </c>
      <c r="Z956" s="301" t="str">
        <f t="shared" si="635"/>
        <v>X</v>
      </c>
      <c r="AA956" s="323" t="e">
        <f>CONCATENATE("                x[team1,team2,sport,'",IF(OR(I956="x",I956=""),VLOOKUP('Schedule from TM'!J956,Tables!$P$3:$Q$33,2,FALSE),'Schedule from TM'!I956),",",J956,"','",IF(OR(F956="x",F956=""),VLOOKUP('Schedule from TM'!G956,Tables!$U$3:$V$14,2,FALSE),'Schedule from TM'!F956),",",TEXT(G956,"mm/dd/yyyy"),"','",TEXT(H956,"h:mm:ss AM/PM"),"'].ub=0.0      #",B956)</f>
        <v>#N/A</v>
      </c>
      <c r="AB956" s="301" t="str">
        <f t="shared" si="636"/>
        <v>,,,,1,</v>
      </c>
      <c r="AC956" s="153" t="str">
        <f t="shared" si="637"/>
        <v/>
      </c>
      <c r="AD956" s="301" t="str">
        <f t="shared" si="638"/>
        <v>,,,,1,</v>
      </c>
      <c r="AE956" s="153" t="str">
        <f t="shared" si="639"/>
        <v/>
      </c>
      <c r="AF956" s="383">
        <f t="shared" si="640"/>
        <v>0</v>
      </c>
      <c r="AG956" s="383">
        <f t="shared" si="641"/>
        <v>0</v>
      </c>
      <c r="AH956" s="383">
        <f t="shared" si="642"/>
        <v>0</v>
      </c>
      <c r="AI956" s="383">
        <f t="shared" si="643"/>
        <v>0</v>
      </c>
      <c r="AJ956" s="383">
        <f t="shared" si="644"/>
        <v>0</v>
      </c>
      <c r="AK956" s="383">
        <f t="shared" si="645"/>
        <v>0</v>
      </c>
      <c r="AM956" s="148" t="str">
        <f t="shared" si="646"/>
        <v>Not Schedulled</v>
      </c>
      <c r="AN956" s="148" t="str">
        <f t="shared" si="647"/>
        <v/>
      </c>
      <c r="AO956" s="156">
        <f t="shared" si="648"/>
        <v>0</v>
      </c>
      <c r="AP956" s="148" t="str">
        <f t="shared" si="649"/>
        <v>01/00/1900 00:00-&gt;</v>
      </c>
      <c r="AQ956" s="374">
        <f t="shared" si="650"/>
        <v>0</v>
      </c>
      <c r="AR956" s="148" t="str">
        <f t="shared" si="651"/>
        <v/>
      </c>
      <c r="AS956" s="148" t="str">
        <f t="shared" si="652"/>
        <v/>
      </c>
      <c r="AT956" s="157" t="str">
        <f t="shared" si="653"/>
        <v/>
      </c>
      <c r="AU956" s="157" t="str">
        <f t="shared" si="654"/>
        <v/>
      </c>
      <c r="AV956" s="157" t="str">
        <f t="shared" si="655"/>
        <v/>
      </c>
      <c r="AW956" s="157" t="str">
        <f t="shared" si="656"/>
        <v/>
      </c>
      <c r="AX956" s="376">
        <f t="shared" si="657"/>
        <v>0</v>
      </c>
      <c r="AY956" s="148" t="str">
        <f t="shared" si="658"/>
        <v>-&gt;</v>
      </c>
      <c r="AZ956" s="148" t="str">
        <f t="shared" si="659"/>
        <v>01/00/1900 00:00-&gt;</v>
      </c>
      <c r="BA956" s="148" t="str">
        <f t="shared" si="660"/>
        <v>01/00/1900 00:00-&gt;</v>
      </c>
      <c r="BB956" s="374">
        <f t="shared" si="661"/>
        <v>0</v>
      </c>
      <c r="BC956" s="374">
        <f t="shared" si="662"/>
        <v>0</v>
      </c>
      <c r="BD956" s="148" t="str">
        <f t="shared" si="663"/>
        <v>no conflict</v>
      </c>
      <c r="BF956" s="148" t="str">
        <f t="shared" si="664"/>
        <v>01/00/1900 00:00-&gt;</v>
      </c>
      <c r="BG956" s="148" t="str">
        <f t="shared" si="665"/>
        <v>01/00/1900 00:00-&gt;</v>
      </c>
      <c r="BH956" s="148" t="str">
        <f t="shared" si="666"/>
        <v>01/00/1900 00:00-&gt;</v>
      </c>
      <c r="BI956" s="148" t="str">
        <f t="shared" si="667"/>
        <v xml:space="preserve"> in  ()</v>
      </c>
      <c r="BJ956" s="148" t="str">
        <f t="shared" si="668"/>
        <v xml:space="preserve">--  vs. </v>
      </c>
      <c r="BK956" s="148" t="str">
        <f t="shared" si="669"/>
        <v/>
      </c>
      <c r="BL956" s="148">
        <f t="shared" si="670"/>
        <v>0</v>
      </c>
      <c r="BM956" s="148">
        <f t="shared" si="671"/>
        <v>0</v>
      </c>
      <c r="BN956" s="148">
        <f t="shared" si="672"/>
        <v>0</v>
      </c>
      <c r="BP956" s="148" t="str">
        <f t="shared" si="673"/>
        <v>no game</v>
      </c>
      <c r="BQ956" s="148" t="str">
        <f t="shared" si="674"/>
        <v xml:space="preserve">  in </v>
      </c>
    </row>
    <row r="957" spans="2:69" ht="15" customHeight="1" x14ac:dyDescent="0.2">
      <c r="B957" s="153"/>
      <c r="C957" s="153"/>
      <c r="D957" s="383"/>
      <c r="E957" s="383"/>
      <c r="F957" s="153"/>
      <c r="G957" s="154"/>
      <c r="H957" s="155"/>
      <c r="I957" s="314"/>
      <c r="J957" s="153"/>
      <c r="K957" s="153"/>
      <c r="L957" s="153"/>
      <c r="M957" s="153"/>
      <c r="N957" s="153"/>
      <c r="O957" s="153" t="str">
        <f>IF(L957&lt;&gt;"",IFERROR(VLOOKUP(B957&amp;L957,Pools!$A$2:$D$130,3,FALSE),""),"")</f>
        <v/>
      </c>
      <c r="P957" s="387"/>
      <c r="Q957" s="387"/>
      <c r="R957" s="306" t="str">
        <f t="shared" si="630"/>
        <v>-</v>
      </c>
      <c r="S957" s="153"/>
      <c r="T957" s="148" t="str">
        <f t="shared" si="631"/>
        <v>Pending</v>
      </c>
      <c r="U957" s="153"/>
      <c r="V957" s="153"/>
      <c r="W957" s="387">
        <f t="shared" si="632"/>
        <v>0</v>
      </c>
      <c r="X957" s="387">
        <f t="shared" si="633"/>
        <v>0</v>
      </c>
      <c r="Y957" s="301" t="str">
        <f t="shared" si="634"/>
        <v>X</v>
      </c>
      <c r="Z957" s="301" t="str">
        <f t="shared" si="635"/>
        <v>X</v>
      </c>
      <c r="AA957" s="323" t="e">
        <f>CONCATENATE("                x[team1,team2,sport,'",IF(OR(I957="x",I957=""),VLOOKUP('Schedule from TM'!J957,Tables!$P$3:$Q$33,2,FALSE),'Schedule from TM'!I957),",",J957,"','",IF(OR(F957="x",F957=""),VLOOKUP('Schedule from TM'!G957,Tables!$U$3:$V$14,2,FALSE),'Schedule from TM'!F957),",",TEXT(G957,"mm/dd/yyyy"),"','",TEXT(H957,"h:mm:ss AM/PM"),"'].ub=0.0      #",B957)</f>
        <v>#N/A</v>
      </c>
      <c r="AB957" s="301" t="str">
        <f t="shared" si="636"/>
        <v>,,,,1,</v>
      </c>
      <c r="AC957" s="153" t="str">
        <f t="shared" si="637"/>
        <v/>
      </c>
      <c r="AD957" s="301" t="str">
        <f t="shared" si="638"/>
        <v>,,,,1,</v>
      </c>
      <c r="AE957" s="153" t="str">
        <f t="shared" si="639"/>
        <v/>
      </c>
      <c r="AF957" s="383">
        <f t="shared" si="640"/>
        <v>0</v>
      </c>
      <c r="AG957" s="383">
        <f t="shared" si="641"/>
        <v>0</v>
      </c>
      <c r="AH957" s="383">
        <f t="shared" si="642"/>
        <v>0</v>
      </c>
      <c r="AI957" s="383">
        <f t="shared" si="643"/>
        <v>0</v>
      </c>
      <c r="AJ957" s="383">
        <f t="shared" si="644"/>
        <v>0</v>
      </c>
      <c r="AK957" s="383">
        <f t="shared" si="645"/>
        <v>0</v>
      </c>
      <c r="AM957" s="148" t="str">
        <f t="shared" si="646"/>
        <v>Not Schedulled</v>
      </c>
      <c r="AN957" s="148" t="str">
        <f t="shared" si="647"/>
        <v/>
      </c>
      <c r="AO957" s="156">
        <f t="shared" si="648"/>
        <v>0</v>
      </c>
      <c r="AP957" s="148" t="str">
        <f t="shared" si="649"/>
        <v>01/00/1900 00:00-&gt;</v>
      </c>
      <c r="AQ957" s="374">
        <f t="shared" si="650"/>
        <v>0</v>
      </c>
      <c r="AR957" s="148" t="str">
        <f t="shared" si="651"/>
        <v/>
      </c>
      <c r="AS957" s="148" t="str">
        <f t="shared" si="652"/>
        <v/>
      </c>
      <c r="AT957" s="157" t="str">
        <f t="shared" si="653"/>
        <v/>
      </c>
      <c r="AU957" s="157" t="str">
        <f t="shared" si="654"/>
        <v/>
      </c>
      <c r="AV957" s="157" t="str">
        <f t="shared" si="655"/>
        <v/>
      </c>
      <c r="AW957" s="157" t="str">
        <f t="shared" si="656"/>
        <v/>
      </c>
      <c r="AX957" s="376">
        <f t="shared" si="657"/>
        <v>0</v>
      </c>
      <c r="AY957" s="148" t="str">
        <f t="shared" si="658"/>
        <v>-&gt;</v>
      </c>
      <c r="AZ957" s="148" t="str">
        <f t="shared" si="659"/>
        <v>01/00/1900 00:00-&gt;</v>
      </c>
      <c r="BA957" s="148" t="str">
        <f t="shared" si="660"/>
        <v>01/00/1900 00:00-&gt;</v>
      </c>
      <c r="BB957" s="374">
        <f t="shared" si="661"/>
        <v>0</v>
      </c>
      <c r="BC957" s="374">
        <f t="shared" si="662"/>
        <v>0</v>
      </c>
      <c r="BD957" s="148" t="str">
        <f t="shared" si="663"/>
        <v>no conflict</v>
      </c>
      <c r="BF957" s="148" t="str">
        <f t="shared" si="664"/>
        <v>01/00/1900 00:00-&gt;</v>
      </c>
      <c r="BG957" s="148" t="str">
        <f t="shared" si="665"/>
        <v>01/00/1900 00:00-&gt;</v>
      </c>
      <c r="BH957" s="148" t="str">
        <f t="shared" si="666"/>
        <v>01/00/1900 00:00-&gt;</v>
      </c>
      <c r="BI957" s="148" t="str">
        <f t="shared" si="667"/>
        <v xml:space="preserve"> in  ()</v>
      </c>
      <c r="BJ957" s="148" t="str">
        <f t="shared" si="668"/>
        <v xml:space="preserve">--  vs. </v>
      </c>
      <c r="BK957" s="148" t="str">
        <f t="shared" si="669"/>
        <v/>
      </c>
      <c r="BL957" s="148">
        <f t="shared" si="670"/>
        <v>0</v>
      </c>
      <c r="BM957" s="148">
        <f t="shared" si="671"/>
        <v>0</v>
      </c>
      <c r="BN957" s="148">
        <f t="shared" si="672"/>
        <v>0</v>
      </c>
      <c r="BP957" s="148" t="str">
        <f t="shared" si="673"/>
        <v>no game</v>
      </c>
      <c r="BQ957" s="148" t="str">
        <f t="shared" si="674"/>
        <v xml:space="preserve">  in </v>
      </c>
    </row>
    <row r="958" spans="2:69" ht="15" customHeight="1" x14ac:dyDescent="0.2">
      <c r="B958" s="153"/>
      <c r="C958" s="153"/>
      <c r="D958" s="383"/>
      <c r="E958" s="383"/>
      <c r="F958" s="153"/>
      <c r="G958" s="154"/>
      <c r="H958" s="155"/>
      <c r="I958" s="314"/>
      <c r="J958" s="153"/>
      <c r="K958" s="153"/>
      <c r="L958" s="153"/>
      <c r="M958" s="153"/>
      <c r="N958" s="153"/>
      <c r="O958" s="153" t="str">
        <f>IF(L958&lt;&gt;"",IFERROR(VLOOKUP(B958&amp;L958,Pools!$A$2:$D$130,3,FALSE),""),"")</f>
        <v/>
      </c>
      <c r="P958" s="387"/>
      <c r="Q958" s="387"/>
      <c r="R958" s="306" t="str">
        <f t="shared" si="630"/>
        <v>-</v>
      </c>
      <c r="S958" s="153"/>
      <c r="T958" s="148" t="str">
        <f t="shared" si="631"/>
        <v>Pending</v>
      </c>
      <c r="U958" s="153"/>
      <c r="V958" s="153"/>
      <c r="W958" s="387">
        <f t="shared" si="632"/>
        <v>0</v>
      </c>
      <c r="X958" s="387">
        <f t="shared" si="633"/>
        <v>0</v>
      </c>
      <c r="Y958" s="301" t="str">
        <f t="shared" si="634"/>
        <v>X</v>
      </c>
      <c r="Z958" s="301" t="str">
        <f t="shared" si="635"/>
        <v>X</v>
      </c>
      <c r="AA958" s="323" t="e">
        <f>CONCATENATE("                x[team1,team2,sport,'",IF(OR(I958="x",I958=""),VLOOKUP('Schedule from TM'!J958,Tables!$P$3:$Q$33,2,FALSE),'Schedule from TM'!I958),",",J958,"','",IF(OR(F958="x",F958=""),VLOOKUP('Schedule from TM'!G958,Tables!$U$3:$V$14,2,FALSE),'Schedule from TM'!F958),",",TEXT(G958,"mm/dd/yyyy"),"','",TEXT(H958,"h:mm:ss AM/PM"),"'].ub=0.0      #",B958)</f>
        <v>#N/A</v>
      </c>
      <c r="AB958" s="301" t="str">
        <f t="shared" si="636"/>
        <v>,,,,1,</v>
      </c>
      <c r="AC958" s="153" t="str">
        <f t="shared" si="637"/>
        <v/>
      </c>
      <c r="AD958" s="301" t="str">
        <f t="shared" si="638"/>
        <v>,,,,1,</v>
      </c>
      <c r="AE958" s="153" t="str">
        <f t="shared" si="639"/>
        <v/>
      </c>
      <c r="AF958" s="383">
        <f t="shared" si="640"/>
        <v>0</v>
      </c>
      <c r="AG958" s="383">
        <f t="shared" si="641"/>
        <v>0</v>
      </c>
      <c r="AH958" s="383">
        <f t="shared" si="642"/>
        <v>0</v>
      </c>
      <c r="AI958" s="383">
        <f t="shared" si="643"/>
        <v>0</v>
      </c>
      <c r="AJ958" s="383">
        <f t="shared" si="644"/>
        <v>0</v>
      </c>
      <c r="AK958" s="383">
        <f t="shared" si="645"/>
        <v>0</v>
      </c>
      <c r="AM958" s="148" t="str">
        <f t="shared" si="646"/>
        <v>Not Schedulled</v>
      </c>
      <c r="AN958" s="148" t="str">
        <f t="shared" si="647"/>
        <v/>
      </c>
      <c r="AO958" s="156">
        <f t="shared" si="648"/>
        <v>0</v>
      </c>
      <c r="AP958" s="148" t="str">
        <f t="shared" si="649"/>
        <v>01/00/1900 00:00-&gt;</v>
      </c>
      <c r="AQ958" s="374">
        <f t="shared" si="650"/>
        <v>0</v>
      </c>
      <c r="AR958" s="148" t="str">
        <f t="shared" si="651"/>
        <v/>
      </c>
      <c r="AS958" s="148" t="str">
        <f t="shared" si="652"/>
        <v/>
      </c>
      <c r="AT958" s="157" t="str">
        <f t="shared" si="653"/>
        <v/>
      </c>
      <c r="AU958" s="157" t="str">
        <f t="shared" si="654"/>
        <v/>
      </c>
      <c r="AV958" s="157" t="str">
        <f t="shared" si="655"/>
        <v/>
      </c>
      <c r="AW958" s="157" t="str">
        <f t="shared" si="656"/>
        <v/>
      </c>
      <c r="AX958" s="376">
        <f t="shared" si="657"/>
        <v>0</v>
      </c>
      <c r="AY958" s="148" t="str">
        <f t="shared" si="658"/>
        <v>-&gt;</v>
      </c>
      <c r="AZ958" s="148" t="str">
        <f t="shared" si="659"/>
        <v>01/00/1900 00:00-&gt;</v>
      </c>
      <c r="BA958" s="148" t="str">
        <f t="shared" si="660"/>
        <v>01/00/1900 00:00-&gt;</v>
      </c>
      <c r="BB958" s="374">
        <f t="shared" si="661"/>
        <v>0</v>
      </c>
      <c r="BC958" s="374">
        <f t="shared" si="662"/>
        <v>0</v>
      </c>
      <c r="BD958" s="148" t="str">
        <f t="shared" si="663"/>
        <v>no conflict</v>
      </c>
      <c r="BF958" s="148" t="str">
        <f t="shared" si="664"/>
        <v>01/00/1900 00:00-&gt;</v>
      </c>
      <c r="BG958" s="148" t="str">
        <f t="shared" si="665"/>
        <v>01/00/1900 00:00-&gt;</v>
      </c>
      <c r="BH958" s="148" t="str">
        <f t="shared" si="666"/>
        <v>01/00/1900 00:00-&gt;</v>
      </c>
      <c r="BI958" s="148" t="str">
        <f t="shared" si="667"/>
        <v xml:space="preserve"> in  ()</v>
      </c>
      <c r="BJ958" s="148" t="str">
        <f t="shared" si="668"/>
        <v xml:space="preserve">--  vs. </v>
      </c>
      <c r="BK958" s="148" t="str">
        <f t="shared" si="669"/>
        <v/>
      </c>
      <c r="BL958" s="148">
        <f t="shared" si="670"/>
        <v>0</v>
      </c>
      <c r="BM958" s="148">
        <f t="shared" si="671"/>
        <v>0</v>
      </c>
      <c r="BN958" s="148">
        <f t="shared" si="672"/>
        <v>0</v>
      </c>
      <c r="BP958" s="148" t="str">
        <f t="shared" si="673"/>
        <v>no game</v>
      </c>
      <c r="BQ958" s="148" t="str">
        <f t="shared" si="674"/>
        <v xml:space="preserve">  in </v>
      </c>
    </row>
    <row r="959" spans="2:69" ht="15" customHeight="1" x14ac:dyDescent="0.2">
      <c r="B959" s="153"/>
      <c r="C959" s="153"/>
      <c r="D959" s="383"/>
      <c r="E959" s="383"/>
      <c r="F959" s="153"/>
      <c r="G959" s="154"/>
      <c r="H959" s="155"/>
      <c r="I959" s="314"/>
      <c r="J959" s="153"/>
      <c r="K959" s="153"/>
      <c r="L959" s="153"/>
      <c r="M959" s="153"/>
      <c r="N959" s="153"/>
      <c r="O959" s="153" t="str">
        <f>IF(L959&lt;&gt;"",IFERROR(VLOOKUP(B959&amp;L959,Pools!$A$2:$D$130,3,FALSE),""),"")</f>
        <v/>
      </c>
      <c r="P959" s="387"/>
      <c r="Q959" s="387"/>
      <c r="R959" s="306" t="str">
        <f t="shared" si="630"/>
        <v>-</v>
      </c>
      <c r="S959" s="153"/>
      <c r="T959" s="148" t="str">
        <f t="shared" si="631"/>
        <v>Pending</v>
      </c>
      <c r="U959" s="153"/>
      <c r="V959" s="153"/>
      <c r="W959" s="387">
        <f t="shared" si="632"/>
        <v>0</v>
      </c>
      <c r="X959" s="387">
        <f t="shared" si="633"/>
        <v>0</v>
      </c>
      <c r="Y959" s="301" t="str">
        <f t="shared" si="634"/>
        <v>X</v>
      </c>
      <c r="Z959" s="301" t="str">
        <f t="shared" si="635"/>
        <v>X</v>
      </c>
      <c r="AA959" s="323" t="e">
        <f>CONCATENATE("                x[team1,team2,sport,'",IF(OR(I959="x",I959=""),VLOOKUP('Schedule from TM'!J959,Tables!$P$3:$Q$33,2,FALSE),'Schedule from TM'!I959),",",J959,"','",IF(OR(F959="x",F959=""),VLOOKUP('Schedule from TM'!G959,Tables!$U$3:$V$14,2,FALSE),'Schedule from TM'!F959),",",TEXT(G959,"mm/dd/yyyy"),"','",TEXT(H959,"h:mm:ss AM/PM"),"'].ub=0.0      #",B959)</f>
        <v>#N/A</v>
      </c>
      <c r="AB959" s="301" t="str">
        <f t="shared" si="636"/>
        <v>,,,,1,</v>
      </c>
      <c r="AC959" s="153" t="str">
        <f t="shared" si="637"/>
        <v/>
      </c>
      <c r="AD959" s="301" t="str">
        <f t="shared" si="638"/>
        <v>,,,,1,</v>
      </c>
      <c r="AE959" s="153" t="str">
        <f t="shared" si="639"/>
        <v/>
      </c>
      <c r="AF959" s="383">
        <f t="shared" si="640"/>
        <v>0</v>
      </c>
      <c r="AG959" s="383">
        <f t="shared" si="641"/>
        <v>0</v>
      </c>
      <c r="AH959" s="383">
        <f t="shared" si="642"/>
        <v>0</v>
      </c>
      <c r="AI959" s="383">
        <f t="shared" si="643"/>
        <v>0</v>
      </c>
      <c r="AJ959" s="383">
        <f t="shared" si="644"/>
        <v>0</v>
      </c>
      <c r="AK959" s="383">
        <f t="shared" si="645"/>
        <v>0</v>
      </c>
      <c r="AM959" s="148" t="str">
        <f t="shared" si="646"/>
        <v>Not Schedulled</v>
      </c>
      <c r="AN959" s="148" t="str">
        <f t="shared" si="647"/>
        <v/>
      </c>
      <c r="AO959" s="156">
        <f t="shared" si="648"/>
        <v>0</v>
      </c>
      <c r="AP959" s="148" t="str">
        <f t="shared" si="649"/>
        <v>01/00/1900 00:00-&gt;</v>
      </c>
      <c r="AQ959" s="374">
        <f t="shared" si="650"/>
        <v>0</v>
      </c>
      <c r="AR959" s="148" t="str">
        <f t="shared" si="651"/>
        <v/>
      </c>
      <c r="AS959" s="148" t="str">
        <f t="shared" si="652"/>
        <v/>
      </c>
      <c r="AT959" s="157" t="str">
        <f t="shared" si="653"/>
        <v/>
      </c>
      <c r="AU959" s="157" t="str">
        <f t="shared" si="654"/>
        <v/>
      </c>
      <c r="AV959" s="157" t="str">
        <f t="shared" si="655"/>
        <v/>
      </c>
      <c r="AW959" s="157" t="str">
        <f t="shared" si="656"/>
        <v/>
      </c>
      <c r="AX959" s="376">
        <f t="shared" si="657"/>
        <v>0</v>
      </c>
      <c r="AY959" s="148" t="str">
        <f t="shared" si="658"/>
        <v>-&gt;</v>
      </c>
      <c r="AZ959" s="148" t="str">
        <f t="shared" si="659"/>
        <v>01/00/1900 00:00-&gt;</v>
      </c>
      <c r="BA959" s="148" t="str">
        <f t="shared" si="660"/>
        <v>01/00/1900 00:00-&gt;</v>
      </c>
      <c r="BB959" s="374">
        <f t="shared" si="661"/>
        <v>0</v>
      </c>
      <c r="BC959" s="374">
        <f t="shared" si="662"/>
        <v>0</v>
      </c>
      <c r="BD959" s="148" t="str">
        <f t="shared" si="663"/>
        <v>no conflict</v>
      </c>
      <c r="BF959" s="148" t="str">
        <f t="shared" si="664"/>
        <v>01/00/1900 00:00-&gt;</v>
      </c>
      <c r="BG959" s="148" t="str">
        <f t="shared" si="665"/>
        <v>01/00/1900 00:00-&gt;</v>
      </c>
      <c r="BH959" s="148" t="str">
        <f t="shared" si="666"/>
        <v>01/00/1900 00:00-&gt;</v>
      </c>
      <c r="BI959" s="148" t="str">
        <f t="shared" si="667"/>
        <v xml:space="preserve"> in  ()</v>
      </c>
      <c r="BJ959" s="148" t="str">
        <f t="shared" si="668"/>
        <v xml:space="preserve">--  vs. </v>
      </c>
      <c r="BK959" s="148" t="str">
        <f t="shared" si="669"/>
        <v/>
      </c>
      <c r="BL959" s="148">
        <f t="shared" si="670"/>
        <v>0</v>
      </c>
      <c r="BM959" s="148">
        <f t="shared" si="671"/>
        <v>0</v>
      </c>
      <c r="BN959" s="148">
        <f t="shared" si="672"/>
        <v>0</v>
      </c>
      <c r="BP959" s="148" t="str">
        <f t="shared" si="673"/>
        <v>no game</v>
      </c>
      <c r="BQ959" s="148" t="str">
        <f t="shared" si="674"/>
        <v xml:space="preserve">  in </v>
      </c>
    </row>
    <row r="960" spans="2:69" ht="15" customHeight="1" x14ac:dyDescent="0.2">
      <c r="B960" s="153"/>
      <c r="C960" s="153"/>
      <c r="D960" s="383"/>
      <c r="E960" s="383"/>
      <c r="F960" s="153"/>
      <c r="G960" s="154"/>
      <c r="H960" s="155"/>
      <c r="I960" s="314"/>
      <c r="J960" s="153"/>
      <c r="K960" s="153"/>
      <c r="L960" s="153"/>
      <c r="M960" s="153"/>
      <c r="N960" s="153"/>
      <c r="O960" s="153" t="str">
        <f>IF(L960&lt;&gt;"",IFERROR(VLOOKUP(B960&amp;L960,Pools!$A$2:$D$130,3,FALSE),""),"")</f>
        <v/>
      </c>
      <c r="P960" s="387"/>
      <c r="Q960" s="387"/>
      <c r="R960" s="306" t="str">
        <f t="shared" si="630"/>
        <v>-</v>
      </c>
      <c r="S960" s="153"/>
      <c r="T960" s="148" t="str">
        <f t="shared" si="631"/>
        <v>Pending</v>
      </c>
      <c r="U960" s="153"/>
      <c r="V960" s="153"/>
      <c r="W960" s="387">
        <f t="shared" si="632"/>
        <v>0</v>
      </c>
      <c r="X960" s="387">
        <f t="shared" si="633"/>
        <v>0</v>
      </c>
      <c r="Y960" s="301" t="str">
        <f t="shared" si="634"/>
        <v>X</v>
      </c>
      <c r="Z960" s="301" t="str">
        <f t="shared" si="635"/>
        <v>X</v>
      </c>
      <c r="AA960" s="323" t="e">
        <f>CONCATENATE("                x[team1,team2,sport,'",IF(OR(I960="x",I960=""),VLOOKUP('Schedule from TM'!J960,Tables!$P$3:$Q$33,2,FALSE),'Schedule from TM'!I960),",",J960,"','",IF(OR(F960="x",F960=""),VLOOKUP('Schedule from TM'!G960,Tables!$U$3:$V$14,2,FALSE),'Schedule from TM'!F960),",",TEXT(G960,"mm/dd/yyyy"),"','",TEXT(H960,"h:mm:ss AM/PM"),"'].ub=0.0      #",B960)</f>
        <v>#N/A</v>
      </c>
      <c r="AB960" s="301" t="str">
        <f t="shared" si="636"/>
        <v>,,,,1,</v>
      </c>
      <c r="AC960" s="153" t="str">
        <f t="shared" si="637"/>
        <v/>
      </c>
      <c r="AD960" s="301" t="str">
        <f t="shared" si="638"/>
        <v>,,,,1,</v>
      </c>
      <c r="AE960" s="153" t="str">
        <f t="shared" si="639"/>
        <v/>
      </c>
      <c r="AF960" s="383">
        <f t="shared" si="640"/>
        <v>0</v>
      </c>
      <c r="AG960" s="383">
        <f t="shared" si="641"/>
        <v>0</v>
      </c>
      <c r="AH960" s="383">
        <f t="shared" si="642"/>
        <v>0</v>
      </c>
      <c r="AI960" s="383">
        <f t="shared" si="643"/>
        <v>0</v>
      </c>
      <c r="AJ960" s="383">
        <f t="shared" si="644"/>
        <v>0</v>
      </c>
      <c r="AK960" s="383">
        <f t="shared" si="645"/>
        <v>0</v>
      </c>
      <c r="AM960" s="148" t="str">
        <f t="shared" si="646"/>
        <v>Not Schedulled</v>
      </c>
      <c r="AN960" s="148" t="str">
        <f t="shared" si="647"/>
        <v/>
      </c>
      <c r="AO960" s="156">
        <f t="shared" si="648"/>
        <v>0</v>
      </c>
      <c r="AP960" s="148" t="str">
        <f t="shared" si="649"/>
        <v>01/00/1900 00:00-&gt;</v>
      </c>
      <c r="AQ960" s="374">
        <f t="shared" si="650"/>
        <v>0</v>
      </c>
      <c r="AR960" s="148" t="str">
        <f t="shared" si="651"/>
        <v/>
      </c>
      <c r="AS960" s="148" t="str">
        <f t="shared" si="652"/>
        <v/>
      </c>
      <c r="AT960" s="157" t="str">
        <f t="shared" si="653"/>
        <v/>
      </c>
      <c r="AU960" s="157" t="str">
        <f t="shared" si="654"/>
        <v/>
      </c>
      <c r="AV960" s="157" t="str">
        <f t="shared" si="655"/>
        <v/>
      </c>
      <c r="AW960" s="157" t="str">
        <f t="shared" si="656"/>
        <v/>
      </c>
      <c r="AX960" s="376">
        <f t="shared" si="657"/>
        <v>0</v>
      </c>
      <c r="AY960" s="148" t="str">
        <f t="shared" si="658"/>
        <v>-&gt;</v>
      </c>
      <c r="AZ960" s="148" t="str">
        <f t="shared" si="659"/>
        <v>01/00/1900 00:00-&gt;</v>
      </c>
      <c r="BA960" s="148" t="str">
        <f t="shared" si="660"/>
        <v>01/00/1900 00:00-&gt;</v>
      </c>
      <c r="BB960" s="374">
        <f t="shared" si="661"/>
        <v>0</v>
      </c>
      <c r="BC960" s="374">
        <f t="shared" si="662"/>
        <v>0</v>
      </c>
      <c r="BD960" s="148" t="str">
        <f t="shared" si="663"/>
        <v>no conflict</v>
      </c>
      <c r="BF960" s="148" t="str">
        <f t="shared" si="664"/>
        <v>01/00/1900 00:00-&gt;</v>
      </c>
      <c r="BG960" s="148" t="str">
        <f t="shared" si="665"/>
        <v>01/00/1900 00:00-&gt;</v>
      </c>
      <c r="BH960" s="148" t="str">
        <f t="shared" si="666"/>
        <v>01/00/1900 00:00-&gt;</v>
      </c>
      <c r="BI960" s="148" t="str">
        <f t="shared" si="667"/>
        <v xml:space="preserve"> in  ()</v>
      </c>
      <c r="BJ960" s="148" t="str">
        <f t="shared" si="668"/>
        <v xml:space="preserve">--  vs. </v>
      </c>
      <c r="BK960" s="148" t="str">
        <f t="shared" si="669"/>
        <v/>
      </c>
      <c r="BL960" s="148">
        <f t="shared" si="670"/>
        <v>0</v>
      </c>
      <c r="BM960" s="148">
        <f t="shared" si="671"/>
        <v>0</v>
      </c>
      <c r="BN960" s="148">
        <f t="shared" si="672"/>
        <v>0</v>
      </c>
      <c r="BP960" s="148" t="str">
        <f t="shared" si="673"/>
        <v>no game</v>
      </c>
      <c r="BQ960" s="148" t="str">
        <f t="shared" si="674"/>
        <v xml:space="preserve">  in </v>
      </c>
    </row>
    <row r="961" spans="2:69" ht="15" customHeight="1" x14ac:dyDescent="0.2">
      <c r="B961" s="153"/>
      <c r="C961" s="153"/>
      <c r="D961" s="383"/>
      <c r="E961" s="383"/>
      <c r="F961" s="153"/>
      <c r="G961" s="154"/>
      <c r="H961" s="155"/>
      <c r="I961" s="314"/>
      <c r="J961" s="153"/>
      <c r="K961" s="153"/>
      <c r="L961" s="153"/>
      <c r="M961" s="153"/>
      <c r="N961" s="153"/>
      <c r="O961" s="153" t="str">
        <f>IF(L961&lt;&gt;"",IFERROR(VLOOKUP(B961&amp;L961,Pools!$A$2:$D$130,3,FALSE),""),"")</f>
        <v/>
      </c>
      <c r="P961" s="387"/>
      <c r="Q961" s="387"/>
      <c r="R961" s="306" t="str">
        <f t="shared" si="630"/>
        <v>-</v>
      </c>
      <c r="S961" s="153"/>
      <c r="T961" s="148" t="str">
        <f t="shared" si="631"/>
        <v>Pending</v>
      </c>
      <c r="U961" s="153"/>
      <c r="V961" s="153"/>
      <c r="W961" s="387">
        <f t="shared" si="632"/>
        <v>0</v>
      </c>
      <c r="X961" s="387">
        <f t="shared" si="633"/>
        <v>0</v>
      </c>
      <c r="Y961" s="301" t="str">
        <f t="shared" si="634"/>
        <v>X</v>
      </c>
      <c r="Z961" s="301" t="str">
        <f t="shared" si="635"/>
        <v>X</v>
      </c>
      <c r="AA961" s="323" t="e">
        <f>CONCATENATE("                x[team1,team2,sport,'",IF(OR(I961="x",I961=""),VLOOKUP('Schedule from TM'!J961,Tables!$P$3:$Q$33,2,FALSE),'Schedule from TM'!I961),",",J961,"','",IF(OR(F961="x",F961=""),VLOOKUP('Schedule from TM'!G961,Tables!$U$3:$V$14,2,FALSE),'Schedule from TM'!F961),",",TEXT(G961,"mm/dd/yyyy"),"','",TEXT(H961,"h:mm:ss AM/PM"),"'].ub=0.0      #",B961)</f>
        <v>#N/A</v>
      </c>
      <c r="AB961" s="301" t="str">
        <f t="shared" si="636"/>
        <v>,,,,1,</v>
      </c>
      <c r="AC961" s="153" t="str">
        <f t="shared" si="637"/>
        <v/>
      </c>
      <c r="AD961" s="301" t="str">
        <f t="shared" si="638"/>
        <v>,,,,1,</v>
      </c>
      <c r="AE961" s="153" t="str">
        <f t="shared" si="639"/>
        <v/>
      </c>
      <c r="AF961" s="383">
        <f t="shared" si="640"/>
        <v>0</v>
      </c>
      <c r="AG961" s="383">
        <f t="shared" si="641"/>
        <v>0</v>
      </c>
      <c r="AH961" s="383">
        <f t="shared" si="642"/>
        <v>0</v>
      </c>
      <c r="AI961" s="383">
        <f t="shared" si="643"/>
        <v>0</v>
      </c>
      <c r="AJ961" s="383">
        <f t="shared" si="644"/>
        <v>0</v>
      </c>
      <c r="AK961" s="383">
        <f t="shared" si="645"/>
        <v>0</v>
      </c>
      <c r="AM961" s="148" t="str">
        <f t="shared" si="646"/>
        <v>Not Schedulled</v>
      </c>
      <c r="AN961" s="148" t="str">
        <f t="shared" si="647"/>
        <v/>
      </c>
      <c r="AO961" s="156">
        <f t="shared" si="648"/>
        <v>0</v>
      </c>
      <c r="AP961" s="148" t="str">
        <f t="shared" si="649"/>
        <v>01/00/1900 00:00-&gt;</v>
      </c>
      <c r="AQ961" s="374">
        <f t="shared" si="650"/>
        <v>0</v>
      </c>
      <c r="AR961" s="148" t="str">
        <f t="shared" si="651"/>
        <v/>
      </c>
      <c r="AS961" s="148" t="str">
        <f t="shared" si="652"/>
        <v/>
      </c>
      <c r="AT961" s="157" t="str">
        <f t="shared" si="653"/>
        <v/>
      </c>
      <c r="AU961" s="157" t="str">
        <f t="shared" si="654"/>
        <v/>
      </c>
      <c r="AV961" s="157" t="str">
        <f t="shared" si="655"/>
        <v/>
      </c>
      <c r="AW961" s="157" t="str">
        <f t="shared" si="656"/>
        <v/>
      </c>
      <c r="AX961" s="376">
        <f t="shared" si="657"/>
        <v>0</v>
      </c>
      <c r="AY961" s="148" t="str">
        <f t="shared" si="658"/>
        <v>-&gt;</v>
      </c>
      <c r="AZ961" s="148" t="str">
        <f t="shared" si="659"/>
        <v>01/00/1900 00:00-&gt;</v>
      </c>
      <c r="BA961" s="148" t="str">
        <f t="shared" si="660"/>
        <v>01/00/1900 00:00-&gt;</v>
      </c>
      <c r="BB961" s="374">
        <f t="shared" si="661"/>
        <v>0</v>
      </c>
      <c r="BC961" s="374">
        <f t="shared" si="662"/>
        <v>0</v>
      </c>
      <c r="BD961" s="148" t="str">
        <f t="shared" si="663"/>
        <v>no conflict</v>
      </c>
      <c r="BF961" s="148" t="str">
        <f t="shared" si="664"/>
        <v>01/00/1900 00:00-&gt;</v>
      </c>
      <c r="BG961" s="148" t="str">
        <f t="shared" si="665"/>
        <v>01/00/1900 00:00-&gt;</v>
      </c>
      <c r="BH961" s="148" t="str">
        <f t="shared" si="666"/>
        <v>01/00/1900 00:00-&gt;</v>
      </c>
      <c r="BI961" s="148" t="str">
        <f t="shared" si="667"/>
        <v xml:space="preserve"> in  ()</v>
      </c>
      <c r="BJ961" s="148" t="str">
        <f t="shared" si="668"/>
        <v xml:space="preserve">--  vs. </v>
      </c>
      <c r="BK961" s="148" t="str">
        <f t="shared" si="669"/>
        <v/>
      </c>
      <c r="BL961" s="148">
        <f t="shared" si="670"/>
        <v>0</v>
      </c>
      <c r="BM961" s="148">
        <f t="shared" si="671"/>
        <v>0</v>
      </c>
      <c r="BN961" s="148">
        <f t="shared" si="672"/>
        <v>0</v>
      </c>
      <c r="BP961" s="148" t="str">
        <f t="shared" si="673"/>
        <v>no game</v>
      </c>
      <c r="BQ961" s="148" t="str">
        <f t="shared" si="674"/>
        <v xml:space="preserve">  in </v>
      </c>
    </row>
    <row r="962" spans="2:69" ht="15" customHeight="1" x14ac:dyDescent="0.2">
      <c r="B962" s="153"/>
      <c r="C962" s="153"/>
      <c r="D962" s="383"/>
      <c r="E962" s="383"/>
      <c r="F962" s="153"/>
      <c r="G962" s="154"/>
      <c r="H962" s="155"/>
      <c r="I962" s="314"/>
      <c r="J962" s="153"/>
      <c r="K962" s="153"/>
      <c r="L962" s="153"/>
      <c r="M962" s="153"/>
      <c r="N962" s="153"/>
      <c r="O962" s="153" t="str">
        <f>IF(L962&lt;&gt;"",IFERROR(VLOOKUP(B962&amp;L962,Pools!$A$2:$D$130,3,FALSE),""),"")</f>
        <v/>
      </c>
      <c r="P962" s="387"/>
      <c r="Q962" s="387"/>
      <c r="R962" s="306" t="str">
        <f t="shared" si="630"/>
        <v>-</v>
      </c>
      <c r="S962" s="153"/>
      <c r="T962" s="148" t="str">
        <f t="shared" si="631"/>
        <v>Pending</v>
      </c>
      <c r="U962" s="153"/>
      <c r="V962" s="153"/>
      <c r="W962" s="387">
        <f t="shared" si="632"/>
        <v>0</v>
      </c>
      <c r="X962" s="387">
        <f t="shared" si="633"/>
        <v>0</v>
      </c>
      <c r="Y962" s="301" t="str">
        <f t="shared" si="634"/>
        <v>X</v>
      </c>
      <c r="Z962" s="301" t="str">
        <f t="shared" si="635"/>
        <v>X</v>
      </c>
      <c r="AA962" s="323" t="e">
        <f>CONCATENATE("                x[team1,team2,sport,'",IF(OR(I962="x",I962=""),VLOOKUP('Schedule from TM'!J962,Tables!$P$3:$Q$33,2,FALSE),'Schedule from TM'!I962),",",J962,"','",IF(OR(F962="x",F962=""),VLOOKUP('Schedule from TM'!G962,Tables!$U$3:$V$14,2,FALSE),'Schedule from TM'!F962),",",TEXT(G962,"mm/dd/yyyy"),"','",TEXT(H962,"h:mm:ss AM/PM"),"'].ub=0.0      #",B962)</f>
        <v>#N/A</v>
      </c>
      <c r="AB962" s="301" t="str">
        <f t="shared" si="636"/>
        <v>,,,,1,</v>
      </c>
      <c r="AC962" s="153" t="str">
        <f t="shared" si="637"/>
        <v/>
      </c>
      <c r="AD962" s="301" t="str">
        <f t="shared" si="638"/>
        <v>,,,,1,</v>
      </c>
      <c r="AE962" s="153" t="str">
        <f t="shared" si="639"/>
        <v/>
      </c>
      <c r="AF962" s="383">
        <f t="shared" si="640"/>
        <v>0</v>
      </c>
      <c r="AG962" s="383">
        <f t="shared" si="641"/>
        <v>0</v>
      </c>
      <c r="AH962" s="383">
        <f t="shared" si="642"/>
        <v>0</v>
      </c>
      <c r="AI962" s="383">
        <f t="shared" si="643"/>
        <v>0</v>
      </c>
      <c r="AJ962" s="383">
        <f t="shared" si="644"/>
        <v>0</v>
      </c>
      <c r="AK962" s="383">
        <f t="shared" si="645"/>
        <v>0</v>
      </c>
      <c r="AM962" s="148" t="str">
        <f t="shared" si="646"/>
        <v>Not Schedulled</v>
      </c>
      <c r="AN962" s="148" t="str">
        <f t="shared" si="647"/>
        <v/>
      </c>
      <c r="AO962" s="156">
        <f t="shared" si="648"/>
        <v>0</v>
      </c>
      <c r="AP962" s="148" t="str">
        <f t="shared" si="649"/>
        <v>01/00/1900 00:00-&gt;</v>
      </c>
      <c r="AQ962" s="374">
        <f t="shared" si="650"/>
        <v>0</v>
      </c>
      <c r="AR962" s="148" t="str">
        <f t="shared" si="651"/>
        <v/>
      </c>
      <c r="AS962" s="148" t="str">
        <f t="shared" si="652"/>
        <v/>
      </c>
      <c r="AT962" s="157" t="str">
        <f t="shared" si="653"/>
        <v/>
      </c>
      <c r="AU962" s="157" t="str">
        <f t="shared" si="654"/>
        <v/>
      </c>
      <c r="AV962" s="157" t="str">
        <f t="shared" si="655"/>
        <v/>
      </c>
      <c r="AW962" s="157" t="str">
        <f t="shared" si="656"/>
        <v/>
      </c>
      <c r="AX962" s="376">
        <f t="shared" si="657"/>
        <v>0</v>
      </c>
      <c r="AY962" s="148" t="str">
        <f t="shared" si="658"/>
        <v>-&gt;</v>
      </c>
      <c r="AZ962" s="148" t="str">
        <f t="shared" si="659"/>
        <v>01/00/1900 00:00-&gt;</v>
      </c>
      <c r="BA962" s="148" t="str">
        <f t="shared" si="660"/>
        <v>01/00/1900 00:00-&gt;</v>
      </c>
      <c r="BB962" s="374">
        <f t="shared" si="661"/>
        <v>0</v>
      </c>
      <c r="BC962" s="374">
        <f t="shared" si="662"/>
        <v>0</v>
      </c>
      <c r="BD962" s="148" t="str">
        <f t="shared" si="663"/>
        <v>no conflict</v>
      </c>
      <c r="BF962" s="148" t="str">
        <f t="shared" si="664"/>
        <v>01/00/1900 00:00-&gt;</v>
      </c>
      <c r="BG962" s="148" t="str">
        <f t="shared" si="665"/>
        <v>01/00/1900 00:00-&gt;</v>
      </c>
      <c r="BH962" s="148" t="str">
        <f t="shared" si="666"/>
        <v>01/00/1900 00:00-&gt;</v>
      </c>
      <c r="BI962" s="148" t="str">
        <f t="shared" si="667"/>
        <v xml:space="preserve"> in  ()</v>
      </c>
      <c r="BJ962" s="148" t="str">
        <f t="shared" si="668"/>
        <v xml:space="preserve">--  vs. </v>
      </c>
      <c r="BK962" s="148" t="str">
        <f t="shared" si="669"/>
        <v/>
      </c>
      <c r="BL962" s="148">
        <f t="shared" si="670"/>
        <v>0</v>
      </c>
      <c r="BM962" s="148">
        <f t="shared" si="671"/>
        <v>0</v>
      </c>
      <c r="BN962" s="148">
        <f t="shared" si="672"/>
        <v>0</v>
      </c>
      <c r="BP962" s="148" t="str">
        <f t="shared" si="673"/>
        <v>no game</v>
      </c>
      <c r="BQ962" s="148" t="str">
        <f t="shared" si="674"/>
        <v xml:space="preserve">  in </v>
      </c>
    </row>
    <row r="963" spans="2:69" ht="15" customHeight="1" x14ac:dyDescent="0.2">
      <c r="B963" s="153"/>
      <c r="C963" s="153"/>
      <c r="D963" s="383"/>
      <c r="E963" s="383"/>
      <c r="F963" s="153"/>
      <c r="G963" s="154"/>
      <c r="H963" s="155"/>
      <c r="I963" s="314"/>
      <c r="J963" s="153"/>
      <c r="K963" s="153"/>
      <c r="L963" s="153"/>
      <c r="M963" s="153"/>
      <c r="N963" s="153"/>
      <c r="O963" s="153" t="str">
        <f>IF(L963&lt;&gt;"",IFERROR(VLOOKUP(B963&amp;L963,Pools!$A$2:$D$130,3,FALSE),""),"")</f>
        <v/>
      </c>
      <c r="P963" s="387"/>
      <c r="Q963" s="387"/>
      <c r="R963" s="306" t="str">
        <f t="shared" si="630"/>
        <v>-</v>
      </c>
      <c r="S963" s="153"/>
      <c r="T963" s="148" t="str">
        <f t="shared" si="631"/>
        <v>Pending</v>
      </c>
      <c r="U963" s="153"/>
      <c r="V963" s="153"/>
      <c r="W963" s="387">
        <f t="shared" si="632"/>
        <v>0</v>
      </c>
      <c r="X963" s="387">
        <f t="shared" si="633"/>
        <v>0</v>
      </c>
      <c r="Y963" s="301" t="str">
        <f t="shared" si="634"/>
        <v>X</v>
      </c>
      <c r="Z963" s="301" t="str">
        <f t="shared" si="635"/>
        <v>X</v>
      </c>
      <c r="AA963" s="323" t="e">
        <f>CONCATENATE("                x[team1,team2,sport,'",IF(OR(I963="x",I963=""),VLOOKUP('Schedule from TM'!J963,Tables!$P$3:$Q$33,2,FALSE),'Schedule from TM'!I963),",",J963,"','",IF(OR(F963="x",F963=""),VLOOKUP('Schedule from TM'!G963,Tables!$U$3:$V$14,2,FALSE),'Schedule from TM'!F963),",",TEXT(G963,"mm/dd/yyyy"),"','",TEXT(H963,"h:mm:ss AM/PM"),"'].ub=0.0      #",B963)</f>
        <v>#N/A</v>
      </c>
      <c r="AB963" s="301" t="str">
        <f t="shared" si="636"/>
        <v>,,,,1,</v>
      </c>
      <c r="AC963" s="153" t="str">
        <f t="shared" si="637"/>
        <v/>
      </c>
      <c r="AD963" s="301" t="str">
        <f t="shared" si="638"/>
        <v>,,,,1,</v>
      </c>
      <c r="AE963" s="153" t="str">
        <f t="shared" si="639"/>
        <v/>
      </c>
      <c r="AF963" s="383">
        <f t="shared" si="640"/>
        <v>0</v>
      </c>
      <c r="AG963" s="383">
        <f t="shared" si="641"/>
        <v>0</v>
      </c>
      <c r="AH963" s="383">
        <f t="shared" si="642"/>
        <v>0</v>
      </c>
      <c r="AI963" s="383">
        <f t="shared" si="643"/>
        <v>0</v>
      </c>
      <c r="AJ963" s="383">
        <f t="shared" si="644"/>
        <v>0</v>
      </c>
      <c r="AK963" s="383">
        <f t="shared" si="645"/>
        <v>0</v>
      </c>
      <c r="AM963" s="148" t="str">
        <f t="shared" si="646"/>
        <v>Not Schedulled</v>
      </c>
      <c r="AN963" s="148" t="str">
        <f t="shared" si="647"/>
        <v/>
      </c>
      <c r="AO963" s="156">
        <f t="shared" si="648"/>
        <v>0</v>
      </c>
      <c r="AP963" s="148" t="str">
        <f t="shared" si="649"/>
        <v>01/00/1900 00:00-&gt;</v>
      </c>
      <c r="AQ963" s="374">
        <f t="shared" si="650"/>
        <v>0</v>
      </c>
      <c r="AR963" s="148" t="str">
        <f t="shared" si="651"/>
        <v/>
      </c>
      <c r="AS963" s="148" t="str">
        <f t="shared" si="652"/>
        <v/>
      </c>
      <c r="AT963" s="157" t="str">
        <f t="shared" si="653"/>
        <v/>
      </c>
      <c r="AU963" s="157" t="str">
        <f t="shared" si="654"/>
        <v/>
      </c>
      <c r="AV963" s="157" t="str">
        <f t="shared" si="655"/>
        <v/>
      </c>
      <c r="AW963" s="157" t="str">
        <f t="shared" si="656"/>
        <v/>
      </c>
      <c r="AX963" s="376">
        <f t="shared" si="657"/>
        <v>0</v>
      </c>
      <c r="AY963" s="148" t="str">
        <f t="shared" si="658"/>
        <v>-&gt;</v>
      </c>
      <c r="AZ963" s="148" t="str">
        <f t="shared" si="659"/>
        <v>01/00/1900 00:00-&gt;</v>
      </c>
      <c r="BA963" s="148" t="str">
        <f t="shared" si="660"/>
        <v>01/00/1900 00:00-&gt;</v>
      </c>
      <c r="BB963" s="374">
        <f t="shared" si="661"/>
        <v>0</v>
      </c>
      <c r="BC963" s="374">
        <f t="shared" si="662"/>
        <v>0</v>
      </c>
      <c r="BD963" s="148" t="str">
        <f t="shared" si="663"/>
        <v>no conflict</v>
      </c>
      <c r="BF963" s="148" t="str">
        <f t="shared" si="664"/>
        <v>01/00/1900 00:00-&gt;</v>
      </c>
      <c r="BG963" s="148" t="str">
        <f t="shared" si="665"/>
        <v>01/00/1900 00:00-&gt;</v>
      </c>
      <c r="BH963" s="148" t="str">
        <f t="shared" si="666"/>
        <v>01/00/1900 00:00-&gt;</v>
      </c>
      <c r="BI963" s="148" t="str">
        <f t="shared" si="667"/>
        <v xml:space="preserve"> in  ()</v>
      </c>
      <c r="BJ963" s="148" t="str">
        <f t="shared" si="668"/>
        <v xml:space="preserve">--  vs. </v>
      </c>
      <c r="BK963" s="148" t="str">
        <f t="shared" si="669"/>
        <v/>
      </c>
      <c r="BL963" s="148">
        <f t="shared" si="670"/>
        <v>0</v>
      </c>
      <c r="BM963" s="148">
        <f t="shared" si="671"/>
        <v>0</v>
      </c>
      <c r="BN963" s="148">
        <f t="shared" si="672"/>
        <v>0</v>
      </c>
      <c r="BP963" s="148" t="str">
        <f t="shared" si="673"/>
        <v>no game</v>
      </c>
      <c r="BQ963" s="148" t="str">
        <f t="shared" si="674"/>
        <v xml:space="preserve">  in </v>
      </c>
    </row>
    <row r="964" spans="2:69" ht="15" customHeight="1" x14ac:dyDescent="0.2">
      <c r="B964" s="153"/>
      <c r="C964" s="153"/>
      <c r="D964" s="383"/>
      <c r="E964" s="383"/>
      <c r="F964" s="153"/>
      <c r="G964" s="154"/>
      <c r="H964" s="155"/>
      <c r="I964" s="314"/>
      <c r="J964" s="153"/>
      <c r="K964" s="153"/>
      <c r="L964" s="153"/>
      <c r="M964" s="153"/>
      <c r="N964" s="153"/>
      <c r="O964" s="153" t="str">
        <f>IF(L964&lt;&gt;"",IFERROR(VLOOKUP(B964&amp;L964,Pools!$A$2:$D$130,3,FALSE),""),"")</f>
        <v/>
      </c>
      <c r="P964" s="387"/>
      <c r="Q964" s="387"/>
      <c r="R964" s="306" t="str">
        <f t="shared" si="630"/>
        <v>-</v>
      </c>
      <c r="S964" s="153"/>
      <c r="T964" s="148" t="str">
        <f t="shared" si="631"/>
        <v>Pending</v>
      </c>
      <c r="U964" s="153"/>
      <c r="V964" s="153"/>
      <c r="W964" s="387">
        <f t="shared" si="632"/>
        <v>0</v>
      </c>
      <c r="X964" s="387">
        <f t="shared" si="633"/>
        <v>0</v>
      </c>
      <c r="Y964" s="301" t="str">
        <f t="shared" si="634"/>
        <v>X</v>
      </c>
      <c r="Z964" s="301" t="str">
        <f t="shared" si="635"/>
        <v>X</v>
      </c>
      <c r="AA964" s="323" t="e">
        <f>CONCATENATE("                x[team1,team2,sport,'",IF(OR(I964="x",I964=""),VLOOKUP('Schedule from TM'!J964,Tables!$P$3:$Q$33,2,FALSE),'Schedule from TM'!I964),",",J964,"','",IF(OR(F964="x",F964=""),VLOOKUP('Schedule from TM'!G964,Tables!$U$3:$V$14,2,FALSE),'Schedule from TM'!F964),",",TEXT(G964,"mm/dd/yyyy"),"','",TEXT(H964,"h:mm:ss AM/PM"),"'].ub=0.0      #",B964)</f>
        <v>#N/A</v>
      </c>
      <c r="AB964" s="301" t="str">
        <f t="shared" si="636"/>
        <v>,,,,1,</v>
      </c>
      <c r="AC964" s="153" t="str">
        <f t="shared" si="637"/>
        <v/>
      </c>
      <c r="AD964" s="301" t="str">
        <f t="shared" si="638"/>
        <v>,,,,1,</v>
      </c>
      <c r="AE964" s="153" t="str">
        <f t="shared" si="639"/>
        <v/>
      </c>
      <c r="AF964" s="383">
        <f t="shared" si="640"/>
        <v>0</v>
      </c>
      <c r="AG964" s="383">
        <f t="shared" si="641"/>
        <v>0</v>
      </c>
      <c r="AH964" s="383">
        <f t="shared" si="642"/>
        <v>0</v>
      </c>
      <c r="AI964" s="383">
        <f t="shared" si="643"/>
        <v>0</v>
      </c>
      <c r="AJ964" s="383">
        <f t="shared" si="644"/>
        <v>0</v>
      </c>
      <c r="AK964" s="383">
        <f t="shared" si="645"/>
        <v>0</v>
      </c>
      <c r="AM964" s="148" t="str">
        <f t="shared" si="646"/>
        <v>Not Schedulled</v>
      </c>
      <c r="AN964" s="148" t="str">
        <f t="shared" si="647"/>
        <v/>
      </c>
      <c r="AO964" s="156">
        <f t="shared" si="648"/>
        <v>0</v>
      </c>
      <c r="AP964" s="148" t="str">
        <f t="shared" si="649"/>
        <v>01/00/1900 00:00-&gt;</v>
      </c>
      <c r="AQ964" s="374">
        <f t="shared" si="650"/>
        <v>0</v>
      </c>
      <c r="AR964" s="148" t="str">
        <f t="shared" si="651"/>
        <v/>
      </c>
      <c r="AS964" s="148" t="str">
        <f t="shared" si="652"/>
        <v/>
      </c>
      <c r="AT964" s="157" t="str">
        <f t="shared" si="653"/>
        <v/>
      </c>
      <c r="AU964" s="157" t="str">
        <f t="shared" si="654"/>
        <v/>
      </c>
      <c r="AV964" s="157" t="str">
        <f t="shared" si="655"/>
        <v/>
      </c>
      <c r="AW964" s="157" t="str">
        <f t="shared" si="656"/>
        <v/>
      </c>
      <c r="AX964" s="376">
        <f t="shared" si="657"/>
        <v>0</v>
      </c>
      <c r="AY964" s="148" t="str">
        <f t="shared" si="658"/>
        <v>-&gt;</v>
      </c>
      <c r="AZ964" s="148" t="str">
        <f t="shared" si="659"/>
        <v>01/00/1900 00:00-&gt;</v>
      </c>
      <c r="BA964" s="148" t="str">
        <f t="shared" si="660"/>
        <v>01/00/1900 00:00-&gt;</v>
      </c>
      <c r="BB964" s="374">
        <f t="shared" si="661"/>
        <v>0</v>
      </c>
      <c r="BC964" s="374">
        <f t="shared" si="662"/>
        <v>0</v>
      </c>
      <c r="BD964" s="148" t="str">
        <f t="shared" si="663"/>
        <v>no conflict</v>
      </c>
      <c r="BF964" s="148" t="str">
        <f t="shared" si="664"/>
        <v>01/00/1900 00:00-&gt;</v>
      </c>
      <c r="BG964" s="148" t="str">
        <f t="shared" si="665"/>
        <v>01/00/1900 00:00-&gt;</v>
      </c>
      <c r="BH964" s="148" t="str">
        <f t="shared" si="666"/>
        <v>01/00/1900 00:00-&gt;</v>
      </c>
      <c r="BI964" s="148" t="str">
        <f t="shared" si="667"/>
        <v xml:space="preserve"> in  ()</v>
      </c>
      <c r="BJ964" s="148" t="str">
        <f t="shared" si="668"/>
        <v xml:space="preserve">--  vs. </v>
      </c>
      <c r="BK964" s="148" t="str">
        <f t="shared" si="669"/>
        <v/>
      </c>
      <c r="BL964" s="148">
        <f t="shared" si="670"/>
        <v>0</v>
      </c>
      <c r="BM964" s="148">
        <f t="shared" si="671"/>
        <v>0</v>
      </c>
      <c r="BN964" s="148">
        <f t="shared" si="672"/>
        <v>0</v>
      </c>
      <c r="BP964" s="148" t="str">
        <f t="shared" si="673"/>
        <v>no game</v>
      </c>
      <c r="BQ964" s="148" t="str">
        <f t="shared" si="674"/>
        <v xml:space="preserve">  in </v>
      </c>
    </row>
    <row r="965" spans="2:69" ht="15" customHeight="1" x14ac:dyDescent="0.2">
      <c r="B965" s="153"/>
      <c r="C965" s="153"/>
      <c r="D965" s="383"/>
      <c r="E965" s="383"/>
      <c r="F965" s="153"/>
      <c r="G965" s="154"/>
      <c r="H965" s="155"/>
      <c r="I965" s="314"/>
      <c r="J965" s="153"/>
      <c r="K965" s="153"/>
      <c r="L965" s="153"/>
      <c r="M965" s="153"/>
      <c r="N965" s="153"/>
      <c r="O965" s="153" t="str">
        <f>IF(L965&lt;&gt;"",IFERROR(VLOOKUP(B965&amp;L965,Pools!$A$2:$D$130,3,FALSE),""),"")</f>
        <v/>
      </c>
      <c r="P965" s="387"/>
      <c r="Q965" s="387"/>
      <c r="R965" s="306" t="str">
        <f t="shared" si="630"/>
        <v>-</v>
      </c>
      <c r="S965" s="153"/>
      <c r="T965" s="148" t="str">
        <f t="shared" si="631"/>
        <v>Pending</v>
      </c>
      <c r="U965" s="153"/>
      <c r="V965" s="153"/>
      <c r="W965" s="387">
        <f t="shared" si="632"/>
        <v>0</v>
      </c>
      <c r="X965" s="387">
        <f t="shared" si="633"/>
        <v>0</v>
      </c>
      <c r="Y965" s="301" t="str">
        <f t="shared" si="634"/>
        <v>X</v>
      </c>
      <c r="Z965" s="301" t="str">
        <f t="shared" si="635"/>
        <v>X</v>
      </c>
      <c r="AA965" s="323" t="e">
        <f>CONCATENATE("                x[team1,team2,sport,'",IF(OR(I965="x",I965=""),VLOOKUP('Schedule from TM'!J965,Tables!$P$3:$Q$33,2,FALSE),'Schedule from TM'!I965),",",J965,"','",IF(OR(F965="x",F965=""),VLOOKUP('Schedule from TM'!G965,Tables!$U$3:$V$14,2,FALSE),'Schedule from TM'!F965),",",TEXT(G965,"mm/dd/yyyy"),"','",TEXT(H965,"h:mm:ss AM/PM"),"'].ub=0.0      #",B965)</f>
        <v>#N/A</v>
      </c>
      <c r="AB965" s="301" t="str">
        <f t="shared" si="636"/>
        <v>,,,,1,</v>
      </c>
      <c r="AC965" s="153" t="str">
        <f t="shared" si="637"/>
        <v/>
      </c>
      <c r="AD965" s="301" t="str">
        <f t="shared" si="638"/>
        <v>,,,,1,</v>
      </c>
      <c r="AE965" s="153" t="str">
        <f t="shared" si="639"/>
        <v/>
      </c>
      <c r="AF965" s="383">
        <f t="shared" si="640"/>
        <v>0</v>
      </c>
      <c r="AG965" s="383">
        <f t="shared" si="641"/>
        <v>0</v>
      </c>
      <c r="AH965" s="383">
        <f t="shared" si="642"/>
        <v>0</v>
      </c>
      <c r="AI965" s="383">
        <f t="shared" si="643"/>
        <v>0</v>
      </c>
      <c r="AJ965" s="383">
        <f t="shared" si="644"/>
        <v>0</v>
      </c>
      <c r="AK965" s="383">
        <f t="shared" si="645"/>
        <v>0</v>
      </c>
      <c r="AM965" s="148" t="str">
        <f t="shared" si="646"/>
        <v>Not Schedulled</v>
      </c>
      <c r="AN965" s="148" t="str">
        <f t="shared" si="647"/>
        <v/>
      </c>
      <c r="AO965" s="156">
        <f t="shared" si="648"/>
        <v>0</v>
      </c>
      <c r="AP965" s="148" t="str">
        <f t="shared" si="649"/>
        <v>01/00/1900 00:00-&gt;</v>
      </c>
      <c r="AQ965" s="374">
        <f t="shared" si="650"/>
        <v>0</v>
      </c>
      <c r="AR965" s="148" t="str">
        <f t="shared" si="651"/>
        <v/>
      </c>
      <c r="AS965" s="148" t="str">
        <f t="shared" si="652"/>
        <v/>
      </c>
      <c r="AT965" s="157" t="str">
        <f t="shared" si="653"/>
        <v/>
      </c>
      <c r="AU965" s="157" t="str">
        <f t="shared" si="654"/>
        <v/>
      </c>
      <c r="AV965" s="157" t="str">
        <f t="shared" si="655"/>
        <v/>
      </c>
      <c r="AW965" s="157" t="str">
        <f t="shared" si="656"/>
        <v/>
      </c>
      <c r="AX965" s="376">
        <f t="shared" si="657"/>
        <v>0</v>
      </c>
      <c r="AY965" s="148" t="str">
        <f t="shared" si="658"/>
        <v>-&gt;</v>
      </c>
      <c r="AZ965" s="148" t="str">
        <f t="shared" si="659"/>
        <v>01/00/1900 00:00-&gt;</v>
      </c>
      <c r="BA965" s="148" t="str">
        <f t="shared" si="660"/>
        <v>01/00/1900 00:00-&gt;</v>
      </c>
      <c r="BB965" s="374">
        <f t="shared" si="661"/>
        <v>0</v>
      </c>
      <c r="BC965" s="374">
        <f t="shared" si="662"/>
        <v>0</v>
      </c>
      <c r="BD965" s="148" t="str">
        <f t="shared" si="663"/>
        <v>no conflict</v>
      </c>
      <c r="BF965" s="148" t="str">
        <f t="shared" si="664"/>
        <v>01/00/1900 00:00-&gt;</v>
      </c>
      <c r="BG965" s="148" t="str">
        <f t="shared" si="665"/>
        <v>01/00/1900 00:00-&gt;</v>
      </c>
      <c r="BH965" s="148" t="str">
        <f t="shared" si="666"/>
        <v>01/00/1900 00:00-&gt;</v>
      </c>
      <c r="BI965" s="148" t="str">
        <f t="shared" si="667"/>
        <v xml:space="preserve"> in  ()</v>
      </c>
      <c r="BJ965" s="148" t="str">
        <f t="shared" si="668"/>
        <v xml:space="preserve">--  vs. </v>
      </c>
      <c r="BK965" s="148" t="str">
        <f t="shared" si="669"/>
        <v/>
      </c>
      <c r="BL965" s="148">
        <f t="shared" si="670"/>
        <v>0</v>
      </c>
      <c r="BM965" s="148">
        <f t="shared" si="671"/>
        <v>0</v>
      </c>
      <c r="BN965" s="148">
        <f t="shared" si="672"/>
        <v>0</v>
      </c>
      <c r="BP965" s="148" t="str">
        <f t="shared" si="673"/>
        <v>no game</v>
      </c>
      <c r="BQ965" s="148" t="str">
        <f t="shared" si="674"/>
        <v xml:space="preserve">  in </v>
      </c>
    </row>
    <row r="966" spans="2:69" ht="15" customHeight="1" x14ac:dyDescent="0.2">
      <c r="B966" s="153"/>
      <c r="C966" s="153"/>
      <c r="D966" s="383"/>
      <c r="E966" s="383"/>
      <c r="F966" s="153"/>
      <c r="G966" s="154"/>
      <c r="H966" s="155"/>
      <c r="I966" s="314"/>
      <c r="J966" s="153"/>
      <c r="K966" s="153"/>
      <c r="L966" s="153"/>
      <c r="M966" s="153"/>
      <c r="N966" s="153"/>
      <c r="O966" s="153" t="str">
        <f>IF(L966&lt;&gt;"",IFERROR(VLOOKUP(B966&amp;L966,Pools!$A$2:$D$130,3,FALSE),""),"")</f>
        <v/>
      </c>
      <c r="P966" s="387"/>
      <c r="Q966" s="387"/>
      <c r="R966" s="306" t="str">
        <f t="shared" si="630"/>
        <v>-</v>
      </c>
      <c r="S966" s="153"/>
      <c r="T966" s="148" t="str">
        <f t="shared" si="631"/>
        <v>Pending</v>
      </c>
      <c r="U966" s="153"/>
      <c r="V966" s="153"/>
      <c r="W966" s="387">
        <f t="shared" si="632"/>
        <v>0</v>
      </c>
      <c r="X966" s="387">
        <f t="shared" si="633"/>
        <v>0</v>
      </c>
      <c r="Y966" s="301" t="str">
        <f t="shared" si="634"/>
        <v>X</v>
      </c>
      <c r="Z966" s="301" t="str">
        <f t="shared" si="635"/>
        <v>X</v>
      </c>
      <c r="AA966" s="323" t="e">
        <f>CONCATENATE("                x[team1,team2,sport,'",IF(OR(I966="x",I966=""),VLOOKUP('Schedule from TM'!J966,Tables!$P$3:$Q$33,2,FALSE),'Schedule from TM'!I966),",",J966,"','",IF(OR(F966="x",F966=""),VLOOKUP('Schedule from TM'!G966,Tables!$U$3:$V$14,2,FALSE),'Schedule from TM'!F966),",",TEXT(G966,"mm/dd/yyyy"),"','",TEXT(H966,"h:mm:ss AM/PM"),"'].ub=0.0      #",B966)</f>
        <v>#N/A</v>
      </c>
      <c r="AB966" s="301" t="str">
        <f t="shared" si="636"/>
        <v>,,,,1,</v>
      </c>
      <c r="AC966" s="153" t="str">
        <f t="shared" si="637"/>
        <v/>
      </c>
      <c r="AD966" s="301" t="str">
        <f t="shared" si="638"/>
        <v>,,,,1,</v>
      </c>
      <c r="AE966" s="153" t="str">
        <f t="shared" si="639"/>
        <v/>
      </c>
      <c r="AF966" s="383">
        <f t="shared" si="640"/>
        <v>0</v>
      </c>
      <c r="AG966" s="383">
        <f t="shared" si="641"/>
        <v>0</v>
      </c>
      <c r="AH966" s="383">
        <f t="shared" si="642"/>
        <v>0</v>
      </c>
      <c r="AI966" s="383">
        <f t="shared" si="643"/>
        <v>0</v>
      </c>
      <c r="AJ966" s="383">
        <f t="shared" si="644"/>
        <v>0</v>
      </c>
      <c r="AK966" s="383">
        <f t="shared" si="645"/>
        <v>0</v>
      </c>
      <c r="AM966" s="148" t="str">
        <f t="shared" si="646"/>
        <v>Not Schedulled</v>
      </c>
      <c r="AN966" s="148" t="str">
        <f t="shared" si="647"/>
        <v/>
      </c>
      <c r="AO966" s="156">
        <f t="shared" si="648"/>
        <v>0</v>
      </c>
      <c r="AP966" s="148" t="str">
        <f t="shared" si="649"/>
        <v>01/00/1900 00:00-&gt;</v>
      </c>
      <c r="AQ966" s="374">
        <f t="shared" si="650"/>
        <v>0</v>
      </c>
      <c r="AR966" s="148" t="str">
        <f t="shared" si="651"/>
        <v/>
      </c>
      <c r="AS966" s="148" t="str">
        <f t="shared" si="652"/>
        <v/>
      </c>
      <c r="AT966" s="157" t="str">
        <f t="shared" si="653"/>
        <v/>
      </c>
      <c r="AU966" s="157" t="str">
        <f t="shared" si="654"/>
        <v/>
      </c>
      <c r="AV966" s="157" t="str">
        <f t="shared" si="655"/>
        <v/>
      </c>
      <c r="AW966" s="157" t="str">
        <f t="shared" si="656"/>
        <v/>
      </c>
      <c r="AX966" s="376">
        <f t="shared" si="657"/>
        <v>0</v>
      </c>
      <c r="AY966" s="148" t="str">
        <f t="shared" si="658"/>
        <v>-&gt;</v>
      </c>
      <c r="AZ966" s="148" t="str">
        <f t="shared" si="659"/>
        <v>01/00/1900 00:00-&gt;</v>
      </c>
      <c r="BA966" s="148" t="str">
        <f t="shared" si="660"/>
        <v>01/00/1900 00:00-&gt;</v>
      </c>
      <c r="BB966" s="374">
        <f t="shared" si="661"/>
        <v>0</v>
      </c>
      <c r="BC966" s="374">
        <f t="shared" si="662"/>
        <v>0</v>
      </c>
      <c r="BD966" s="148" t="str">
        <f t="shared" si="663"/>
        <v>no conflict</v>
      </c>
      <c r="BF966" s="148" t="str">
        <f t="shared" si="664"/>
        <v>01/00/1900 00:00-&gt;</v>
      </c>
      <c r="BG966" s="148" t="str">
        <f t="shared" si="665"/>
        <v>01/00/1900 00:00-&gt;</v>
      </c>
      <c r="BH966" s="148" t="str">
        <f t="shared" si="666"/>
        <v>01/00/1900 00:00-&gt;</v>
      </c>
      <c r="BI966" s="148" t="str">
        <f t="shared" si="667"/>
        <v xml:space="preserve"> in  ()</v>
      </c>
      <c r="BJ966" s="148" t="str">
        <f t="shared" si="668"/>
        <v xml:space="preserve">--  vs. </v>
      </c>
      <c r="BK966" s="148" t="str">
        <f t="shared" si="669"/>
        <v/>
      </c>
      <c r="BL966" s="148">
        <f t="shared" si="670"/>
        <v>0</v>
      </c>
      <c r="BM966" s="148">
        <f t="shared" si="671"/>
        <v>0</v>
      </c>
      <c r="BN966" s="148">
        <f t="shared" si="672"/>
        <v>0</v>
      </c>
      <c r="BP966" s="148" t="str">
        <f t="shared" si="673"/>
        <v>no game</v>
      </c>
      <c r="BQ966" s="148" t="str">
        <f t="shared" si="674"/>
        <v xml:space="preserve">  in </v>
      </c>
    </row>
    <row r="967" spans="2:69" ht="15" customHeight="1" x14ac:dyDescent="0.2">
      <c r="B967" s="153"/>
      <c r="C967" s="153"/>
      <c r="D967" s="383"/>
      <c r="E967" s="383"/>
      <c r="F967" s="153"/>
      <c r="G967" s="154"/>
      <c r="H967" s="155"/>
      <c r="I967" s="314"/>
      <c r="J967" s="153"/>
      <c r="K967" s="153"/>
      <c r="L967" s="153"/>
      <c r="M967" s="153"/>
      <c r="N967" s="153"/>
      <c r="O967" s="153" t="str">
        <f>IF(L967&lt;&gt;"",IFERROR(VLOOKUP(B967&amp;L967,Pools!$A$2:$D$130,3,FALSE),""),"")</f>
        <v/>
      </c>
      <c r="P967" s="387"/>
      <c r="Q967" s="387"/>
      <c r="R967" s="306" t="str">
        <f t="shared" si="630"/>
        <v>-</v>
      </c>
      <c r="S967" s="153"/>
      <c r="T967" s="148" t="str">
        <f t="shared" si="631"/>
        <v>Pending</v>
      </c>
      <c r="U967" s="153"/>
      <c r="V967" s="153"/>
      <c r="W967" s="387">
        <f t="shared" si="632"/>
        <v>0</v>
      </c>
      <c r="X967" s="387">
        <f t="shared" si="633"/>
        <v>0</v>
      </c>
      <c r="Y967" s="301" t="str">
        <f t="shared" si="634"/>
        <v>X</v>
      </c>
      <c r="Z967" s="301" t="str">
        <f t="shared" si="635"/>
        <v>X</v>
      </c>
      <c r="AA967" s="323" t="e">
        <f>CONCATENATE("                x[team1,team2,sport,'",IF(OR(I967="x",I967=""),VLOOKUP('Schedule from TM'!J967,Tables!$P$3:$Q$33,2,FALSE),'Schedule from TM'!I967),",",J967,"','",IF(OR(F967="x",F967=""),VLOOKUP('Schedule from TM'!G967,Tables!$U$3:$V$14,2,FALSE),'Schedule from TM'!F967),",",TEXT(G967,"mm/dd/yyyy"),"','",TEXT(H967,"h:mm:ss AM/PM"),"'].ub=0.0      #",B967)</f>
        <v>#N/A</v>
      </c>
      <c r="AB967" s="301" t="str">
        <f t="shared" si="636"/>
        <v>,,,,1,</v>
      </c>
      <c r="AC967" s="153" t="str">
        <f t="shared" si="637"/>
        <v/>
      </c>
      <c r="AD967" s="301" t="str">
        <f t="shared" si="638"/>
        <v>,,,,1,</v>
      </c>
      <c r="AE967" s="153" t="str">
        <f t="shared" si="639"/>
        <v/>
      </c>
      <c r="AF967" s="383">
        <f t="shared" si="640"/>
        <v>0</v>
      </c>
      <c r="AG967" s="383">
        <f t="shared" si="641"/>
        <v>0</v>
      </c>
      <c r="AH967" s="383">
        <f t="shared" si="642"/>
        <v>0</v>
      </c>
      <c r="AI967" s="383">
        <f t="shared" si="643"/>
        <v>0</v>
      </c>
      <c r="AJ967" s="383">
        <f t="shared" si="644"/>
        <v>0</v>
      </c>
      <c r="AK967" s="383">
        <f t="shared" si="645"/>
        <v>0</v>
      </c>
      <c r="AM967" s="148" t="str">
        <f t="shared" si="646"/>
        <v>Not Schedulled</v>
      </c>
      <c r="AN967" s="148" t="str">
        <f t="shared" si="647"/>
        <v/>
      </c>
      <c r="AO967" s="156">
        <f t="shared" si="648"/>
        <v>0</v>
      </c>
      <c r="AP967" s="148" t="str">
        <f t="shared" si="649"/>
        <v>01/00/1900 00:00-&gt;</v>
      </c>
      <c r="AQ967" s="374">
        <f t="shared" si="650"/>
        <v>0</v>
      </c>
      <c r="AR967" s="148" t="str">
        <f t="shared" si="651"/>
        <v/>
      </c>
      <c r="AS967" s="148" t="str">
        <f t="shared" si="652"/>
        <v/>
      </c>
      <c r="AT967" s="157" t="str">
        <f t="shared" si="653"/>
        <v/>
      </c>
      <c r="AU967" s="157" t="str">
        <f t="shared" si="654"/>
        <v/>
      </c>
      <c r="AV967" s="157" t="str">
        <f t="shared" si="655"/>
        <v/>
      </c>
      <c r="AW967" s="157" t="str">
        <f t="shared" si="656"/>
        <v/>
      </c>
      <c r="AX967" s="376">
        <f t="shared" si="657"/>
        <v>0</v>
      </c>
      <c r="AY967" s="148" t="str">
        <f t="shared" si="658"/>
        <v>-&gt;</v>
      </c>
      <c r="AZ967" s="148" t="str">
        <f t="shared" si="659"/>
        <v>01/00/1900 00:00-&gt;</v>
      </c>
      <c r="BA967" s="148" t="str">
        <f t="shared" si="660"/>
        <v>01/00/1900 00:00-&gt;</v>
      </c>
      <c r="BB967" s="374">
        <f t="shared" si="661"/>
        <v>0</v>
      </c>
      <c r="BC967" s="374">
        <f t="shared" si="662"/>
        <v>0</v>
      </c>
      <c r="BD967" s="148" t="str">
        <f t="shared" si="663"/>
        <v>no conflict</v>
      </c>
      <c r="BF967" s="148" t="str">
        <f t="shared" si="664"/>
        <v>01/00/1900 00:00-&gt;</v>
      </c>
      <c r="BG967" s="148" t="str">
        <f t="shared" si="665"/>
        <v>01/00/1900 00:00-&gt;</v>
      </c>
      <c r="BH967" s="148" t="str">
        <f t="shared" si="666"/>
        <v>01/00/1900 00:00-&gt;</v>
      </c>
      <c r="BI967" s="148" t="str">
        <f t="shared" si="667"/>
        <v xml:space="preserve"> in  ()</v>
      </c>
      <c r="BJ967" s="148" t="str">
        <f t="shared" si="668"/>
        <v xml:space="preserve">--  vs. </v>
      </c>
      <c r="BK967" s="148" t="str">
        <f t="shared" si="669"/>
        <v/>
      </c>
      <c r="BL967" s="148">
        <f t="shared" si="670"/>
        <v>0</v>
      </c>
      <c r="BM967" s="148">
        <f t="shared" si="671"/>
        <v>0</v>
      </c>
      <c r="BN967" s="148">
        <f t="shared" si="672"/>
        <v>0</v>
      </c>
      <c r="BP967" s="148" t="str">
        <f t="shared" si="673"/>
        <v>no game</v>
      </c>
      <c r="BQ967" s="148" t="str">
        <f t="shared" si="674"/>
        <v xml:space="preserve">  in </v>
      </c>
    </row>
    <row r="968" spans="2:69" ht="15" customHeight="1" x14ac:dyDescent="0.2">
      <c r="B968" s="153"/>
      <c r="C968" s="153"/>
      <c r="D968" s="383"/>
      <c r="E968" s="383"/>
      <c r="F968" s="153"/>
      <c r="G968" s="154"/>
      <c r="H968" s="155"/>
      <c r="I968" s="314"/>
      <c r="J968" s="153"/>
      <c r="K968" s="153"/>
      <c r="L968" s="153"/>
      <c r="M968" s="153"/>
      <c r="N968" s="153"/>
      <c r="O968" s="153" t="str">
        <f>IF(L968&lt;&gt;"",IFERROR(VLOOKUP(B968&amp;L968,Pools!$A$2:$D$130,3,FALSE),""),"")</f>
        <v/>
      </c>
      <c r="P968" s="387"/>
      <c r="Q968" s="387"/>
      <c r="R968" s="306" t="str">
        <f t="shared" si="630"/>
        <v>-</v>
      </c>
      <c r="S968" s="153"/>
      <c r="T968" s="148" t="str">
        <f t="shared" si="631"/>
        <v>Pending</v>
      </c>
      <c r="U968" s="153"/>
      <c r="V968" s="153"/>
      <c r="W968" s="387">
        <f t="shared" si="632"/>
        <v>0</v>
      </c>
      <c r="X968" s="387">
        <f t="shared" si="633"/>
        <v>0</v>
      </c>
      <c r="Y968" s="301" t="str">
        <f t="shared" si="634"/>
        <v>X</v>
      </c>
      <c r="Z968" s="301" t="str">
        <f t="shared" si="635"/>
        <v>X</v>
      </c>
      <c r="AA968" s="323" t="e">
        <f>CONCATENATE("                x[team1,team2,sport,'",IF(OR(I968="x",I968=""),VLOOKUP('Schedule from TM'!J968,Tables!$P$3:$Q$33,2,FALSE),'Schedule from TM'!I968),",",J968,"','",IF(OR(F968="x",F968=""),VLOOKUP('Schedule from TM'!G968,Tables!$U$3:$V$14,2,FALSE),'Schedule from TM'!F968),",",TEXT(G968,"mm/dd/yyyy"),"','",TEXT(H968,"h:mm:ss AM/PM"),"'].ub=0.0      #",B968)</f>
        <v>#N/A</v>
      </c>
      <c r="AB968" s="301" t="str">
        <f t="shared" si="636"/>
        <v>,,,,1,</v>
      </c>
      <c r="AC968" s="153" t="str">
        <f t="shared" si="637"/>
        <v/>
      </c>
      <c r="AD968" s="301" t="str">
        <f t="shared" si="638"/>
        <v>,,,,1,</v>
      </c>
      <c r="AE968" s="153" t="str">
        <f t="shared" si="639"/>
        <v/>
      </c>
      <c r="AF968" s="383">
        <f t="shared" si="640"/>
        <v>0</v>
      </c>
      <c r="AG968" s="383">
        <f t="shared" si="641"/>
        <v>0</v>
      </c>
      <c r="AH968" s="383">
        <f t="shared" si="642"/>
        <v>0</v>
      </c>
      <c r="AI968" s="383">
        <f t="shared" si="643"/>
        <v>0</v>
      </c>
      <c r="AJ968" s="383">
        <f t="shared" si="644"/>
        <v>0</v>
      </c>
      <c r="AK968" s="383">
        <f t="shared" si="645"/>
        <v>0</v>
      </c>
      <c r="AM968" s="148" t="str">
        <f t="shared" si="646"/>
        <v>Not Schedulled</v>
      </c>
      <c r="AN968" s="148" t="str">
        <f t="shared" si="647"/>
        <v/>
      </c>
      <c r="AO968" s="156">
        <f t="shared" si="648"/>
        <v>0</v>
      </c>
      <c r="AP968" s="148" t="str">
        <f t="shared" si="649"/>
        <v>01/00/1900 00:00-&gt;</v>
      </c>
      <c r="AQ968" s="374">
        <f t="shared" si="650"/>
        <v>0</v>
      </c>
      <c r="AR968" s="148" t="str">
        <f t="shared" si="651"/>
        <v/>
      </c>
      <c r="AS968" s="148" t="str">
        <f t="shared" si="652"/>
        <v/>
      </c>
      <c r="AT968" s="157" t="str">
        <f t="shared" si="653"/>
        <v/>
      </c>
      <c r="AU968" s="157" t="str">
        <f t="shared" si="654"/>
        <v/>
      </c>
      <c r="AV968" s="157" t="str">
        <f t="shared" si="655"/>
        <v/>
      </c>
      <c r="AW968" s="157" t="str">
        <f t="shared" si="656"/>
        <v/>
      </c>
      <c r="AX968" s="376">
        <f t="shared" si="657"/>
        <v>0</v>
      </c>
      <c r="AY968" s="148" t="str">
        <f t="shared" si="658"/>
        <v>-&gt;</v>
      </c>
      <c r="AZ968" s="148" t="str">
        <f t="shared" si="659"/>
        <v>01/00/1900 00:00-&gt;</v>
      </c>
      <c r="BA968" s="148" t="str">
        <f t="shared" si="660"/>
        <v>01/00/1900 00:00-&gt;</v>
      </c>
      <c r="BB968" s="374">
        <f t="shared" si="661"/>
        <v>0</v>
      </c>
      <c r="BC968" s="374">
        <f t="shared" si="662"/>
        <v>0</v>
      </c>
      <c r="BD968" s="148" t="str">
        <f t="shared" si="663"/>
        <v>no conflict</v>
      </c>
      <c r="BF968" s="148" t="str">
        <f t="shared" si="664"/>
        <v>01/00/1900 00:00-&gt;</v>
      </c>
      <c r="BG968" s="148" t="str">
        <f t="shared" si="665"/>
        <v>01/00/1900 00:00-&gt;</v>
      </c>
      <c r="BH968" s="148" t="str">
        <f t="shared" si="666"/>
        <v>01/00/1900 00:00-&gt;</v>
      </c>
      <c r="BI968" s="148" t="str">
        <f t="shared" si="667"/>
        <v xml:space="preserve"> in  ()</v>
      </c>
      <c r="BJ968" s="148" t="str">
        <f t="shared" si="668"/>
        <v xml:space="preserve">--  vs. </v>
      </c>
      <c r="BK968" s="148" t="str">
        <f t="shared" si="669"/>
        <v/>
      </c>
      <c r="BL968" s="148">
        <f t="shared" si="670"/>
        <v>0</v>
      </c>
      <c r="BM968" s="148">
        <f t="shared" si="671"/>
        <v>0</v>
      </c>
      <c r="BN968" s="148">
        <f t="shared" si="672"/>
        <v>0</v>
      </c>
      <c r="BP968" s="148" t="str">
        <f t="shared" si="673"/>
        <v>no game</v>
      </c>
      <c r="BQ968" s="148" t="str">
        <f t="shared" si="674"/>
        <v xml:space="preserve">  in </v>
      </c>
    </row>
    <row r="969" spans="2:69" ht="15" customHeight="1" x14ac:dyDescent="0.2">
      <c r="B969" s="153"/>
      <c r="C969" s="153"/>
      <c r="D969" s="383"/>
      <c r="E969" s="383"/>
      <c r="F969" s="153"/>
      <c r="G969" s="154"/>
      <c r="H969" s="155"/>
      <c r="I969" s="314"/>
      <c r="J969" s="153"/>
      <c r="K969" s="153"/>
      <c r="L969" s="153"/>
      <c r="M969" s="153"/>
      <c r="N969" s="153"/>
      <c r="O969" s="153" t="str">
        <f>IF(L969&lt;&gt;"",IFERROR(VLOOKUP(B969&amp;L969,Pools!$A$2:$D$130,3,FALSE),""),"")</f>
        <v/>
      </c>
      <c r="P969" s="387"/>
      <c r="Q969" s="387"/>
      <c r="R969" s="306" t="str">
        <f t="shared" si="630"/>
        <v>-</v>
      </c>
      <c r="S969" s="153"/>
      <c r="T969" s="148" t="str">
        <f t="shared" si="631"/>
        <v>Pending</v>
      </c>
      <c r="U969" s="153"/>
      <c r="V969" s="153"/>
      <c r="W969" s="387">
        <f t="shared" si="632"/>
        <v>0</v>
      </c>
      <c r="X969" s="387">
        <f t="shared" si="633"/>
        <v>0</v>
      </c>
      <c r="Y969" s="301" t="str">
        <f t="shared" si="634"/>
        <v>X</v>
      </c>
      <c r="Z969" s="301" t="str">
        <f t="shared" si="635"/>
        <v>X</v>
      </c>
      <c r="AA969" s="323" t="e">
        <f>CONCATENATE("                x[team1,team2,sport,'",IF(OR(I969="x",I969=""),VLOOKUP('Schedule from TM'!J969,Tables!$P$3:$Q$33,2,FALSE),'Schedule from TM'!I969),",",J969,"','",IF(OR(F969="x",F969=""),VLOOKUP('Schedule from TM'!G969,Tables!$U$3:$V$14,2,FALSE),'Schedule from TM'!F969),",",TEXT(G969,"mm/dd/yyyy"),"','",TEXT(H969,"h:mm:ss AM/PM"),"'].ub=0.0      #",B969)</f>
        <v>#N/A</v>
      </c>
      <c r="AB969" s="301" t="str">
        <f t="shared" si="636"/>
        <v>,,,,1,</v>
      </c>
      <c r="AC969" s="153" t="str">
        <f t="shared" si="637"/>
        <v/>
      </c>
      <c r="AD969" s="301" t="str">
        <f t="shared" si="638"/>
        <v>,,,,1,</v>
      </c>
      <c r="AE969" s="153" t="str">
        <f t="shared" si="639"/>
        <v/>
      </c>
      <c r="AF969" s="383">
        <f t="shared" si="640"/>
        <v>0</v>
      </c>
      <c r="AG969" s="383">
        <f t="shared" si="641"/>
        <v>0</v>
      </c>
      <c r="AH969" s="383">
        <f t="shared" si="642"/>
        <v>0</v>
      </c>
      <c r="AI969" s="383">
        <f t="shared" si="643"/>
        <v>0</v>
      </c>
      <c r="AJ969" s="383">
        <f t="shared" si="644"/>
        <v>0</v>
      </c>
      <c r="AK969" s="383">
        <f t="shared" si="645"/>
        <v>0</v>
      </c>
      <c r="AM969" s="148" t="str">
        <f t="shared" si="646"/>
        <v>Not Schedulled</v>
      </c>
      <c r="AN969" s="148" t="str">
        <f t="shared" si="647"/>
        <v/>
      </c>
      <c r="AO969" s="156">
        <f t="shared" si="648"/>
        <v>0</v>
      </c>
      <c r="AP969" s="148" t="str">
        <f t="shared" si="649"/>
        <v>01/00/1900 00:00-&gt;</v>
      </c>
      <c r="AQ969" s="374">
        <f t="shared" si="650"/>
        <v>0</v>
      </c>
      <c r="AR969" s="148" t="str">
        <f t="shared" si="651"/>
        <v/>
      </c>
      <c r="AS969" s="148" t="str">
        <f t="shared" si="652"/>
        <v/>
      </c>
      <c r="AT969" s="157" t="str">
        <f t="shared" si="653"/>
        <v/>
      </c>
      <c r="AU969" s="157" t="str">
        <f t="shared" si="654"/>
        <v/>
      </c>
      <c r="AV969" s="157" t="str">
        <f t="shared" si="655"/>
        <v/>
      </c>
      <c r="AW969" s="157" t="str">
        <f t="shared" si="656"/>
        <v/>
      </c>
      <c r="AX969" s="376">
        <f t="shared" si="657"/>
        <v>0</v>
      </c>
      <c r="AY969" s="148" t="str">
        <f t="shared" si="658"/>
        <v>-&gt;</v>
      </c>
      <c r="AZ969" s="148" t="str">
        <f t="shared" si="659"/>
        <v>01/00/1900 00:00-&gt;</v>
      </c>
      <c r="BA969" s="148" t="str">
        <f t="shared" si="660"/>
        <v>01/00/1900 00:00-&gt;</v>
      </c>
      <c r="BB969" s="374">
        <f t="shared" si="661"/>
        <v>0</v>
      </c>
      <c r="BC969" s="374">
        <f t="shared" si="662"/>
        <v>0</v>
      </c>
      <c r="BD969" s="148" t="str">
        <f t="shared" si="663"/>
        <v>no conflict</v>
      </c>
      <c r="BF969" s="148" t="str">
        <f t="shared" si="664"/>
        <v>01/00/1900 00:00-&gt;</v>
      </c>
      <c r="BG969" s="148" t="str">
        <f t="shared" si="665"/>
        <v>01/00/1900 00:00-&gt;</v>
      </c>
      <c r="BH969" s="148" t="str">
        <f t="shared" si="666"/>
        <v>01/00/1900 00:00-&gt;</v>
      </c>
      <c r="BI969" s="148" t="str">
        <f t="shared" si="667"/>
        <v xml:space="preserve"> in  ()</v>
      </c>
      <c r="BJ969" s="148" t="str">
        <f t="shared" si="668"/>
        <v xml:space="preserve">--  vs. </v>
      </c>
      <c r="BK969" s="148" t="str">
        <f t="shared" si="669"/>
        <v/>
      </c>
      <c r="BL969" s="148">
        <f t="shared" si="670"/>
        <v>0</v>
      </c>
      <c r="BM969" s="148">
        <f t="shared" si="671"/>
        <v>0</v>
      </c>
      <c r="BN969" s="148">
        <f t="shared" si="672"/>
        <v>0</v>
      </c>
      <c r="BP969" s="148" t="str">
        <f t="shared" si="673"/>
        <v>no game</v>
      </c>
      <c r="BQ969" s="148" t="str">
        <f t="shared" si="674"/>
        <v xml:space="preserve">  in </v>
      </c>
    </row>
    <row r="970" spans="2:69" ht="15" customHeight="1" x14ac:dyDescent="0.2">
      <c r="B970" s="153"/>
      <c r="C970" s="153"/>
      <c r="D970" s="383"/>
      <c r="E970" s="383"/>
      <c r="F970" s="153"/>
      <c r="G970" s="154"/>
      <c r="H970" s="155"/>
      <c r="I970" s="314"/>
      <c r="J970" s="153"/>
      <c r="K970" s="153"/>
      <c r="L970" s="153"/>
      <c r="M970" s="153"/>
      <c r="N970" s="153"/>
      <c r="O970" s="153" t="str">
        <f>IF(L970&lt;&gt;"",IFERROR(VLOOKUP(B970&amp;L970,Pools!$A$2:$D$130,3,FALSE),""),"")</f>
        <v/>
      </c>
      <c r="P970" s="387"/>
      <c r="Q970" s="387"/>
      <c r="R970" s="306" t="str">
        <f t="shared" si="630"/>
        <v>-</v>
      </c>
      <c r="S970" s="153"/>
      <c r="T970" s="148" t="str">
        <f t="shared" si="631"/>
        <v>Pending</v>
      </c>
      <c r="U970" s="153"/>
      <c r="V970" s="153"/>
      <c r="W970" s="387">
        <f t="shared" si="632"/>
        <v>0</v>
      </c>
      <c r="X970" s="387">
        <f t="shared" si="633"/>
        <v>0</v>
      </c>
      <c r="Y970" s="301" t="str">
        <f t="shared" si="634"/>
        <v>X</v>
      </c>
      <c r="Z970" s="301" t="str">
        <f t="shared" si="635"/>
        <v>X</v>
      </c>
      <c r="AA970" s="323" t="e">
        <f>CONCATENATE("                x[team1,team2,sport,'",IF(OR(I970="x",I970=""),VLOOKUP('Schedule from TM'!J970,Tables!$P$3:$Q$33,2,FALSE),'Schedule from TM'!I970),",",J970,"','",IF(OR(F970="x",F970=""),VLOOKUP('Schedule from TM'!G970,Tables!$U$3:$V$14,2,FALSE),'Schedule from TM'!F970),",",TEXT(G970,"mm/dd/yyyy"),"','",TEXT(H970,"h:mm:ss AM/PM"),"'].ub=0.0      #",B970)</f>
        <v>#N/A</v>
      </c>
      <c r="AB970" s="301" t="str">
        <f t="shared" si="636"/>
        <v>,,,,1,</v>
      </c>
      <c r="AC970" s="153" t="str">
        <f t="shared" si="637"/>
        <v/>
      </c>
      <c r="AD970" s="301" t="str">
        <f t="shared" si="638"/>
        <v>,,,,1,</v>
      </c>
      <c r="AE970" s="153" t="str">
        <f t="shared" si="639"/>
        <v/>
      </c>
      <c r="AF970" s="383">
        <f t="shared" si="640"/>
        <v>0</v>
      </c>
      <c r="AG970" s="383">
        <f t="shared" si="641"/>
        <v>0</v>
      </c>
      <c r="AH970" s="383">
        <f t="shared" si="642"/>
        <v>0</v>
      </c>
      <c r="AI970" s="383">
        <f t="shared" si="643"/>
        <v>0</v>
      </c>
      <c r="AJ970" s="383">
        <f t="shared" si="644"/>
        <v>0</v>
      </c>
      <c r="AK970" s="383">
        <f t="shared" si="645"/>
        <v>0</v>
      </c>
      <c r="AM970" s="148" t="str">
        <f t="shared" si="646"/>
        <v>Not Schedulled</v>
      </c>
      <c r="AN970" s="148" t="str">
        <f t="shared" si="647"/>
        <v/>
      </c>
      <c r="AO970" s="156">
        <f t="shared" si="648"/>
        <v>0</v>
      </c>
      <c r="AP970" s="148" t="str">
        <f t="shared" si="649"/>
        <v>01/00/1900 00:00-&gt;</v>
      </c>
      <c r="AQ970" s="374">
        <f t="shared" si="650"/>
        <v>0</v>
      </c>
      <c r="AR970" s="148" t="str">
        <f t="shared" si="651"/>
        <v/>
      </c>
      <c r="AS970" s="148" t="str">
        <f t="shared" si="652"/>
        <v/>
      </c>
      <c r="AT970" s="157" t="str">
        <f t="shared" si="653"/>
        <v/>
      </c>
      <c r="AU970" s="157" t="str">
        <f t="shared" si="654"/>
        <v/>
      </c>
      <c r="AV970" s="157" t="str">
        <f t="shared" si="655"/>
        <v/>
      </c>
      <c r="AW970" s="157" t="str">
        <f t="shared" si="656"/>
        <v/>
      </c>
      <c r="AX970" s="376">
        <f t="shared" si="657"/>
        <v>0</v>
      </c>
      <c r="AY970" s="148" t="str">
        <f t="shared" si="658"/>
        <v>-&gt;</v>
      </c>
      <c r="AZ970" s="148" t="str">
        <f t="shared" si="659"/>
        <v>01/00/1900 00:00-&gt;</v>
      </c>
      <c r="BA970" s="148" t="str">
        <f t="shared" si="660"/>
        <v>01/00/1900 00:00-&gt;</v>
      </c>
      <c r="BB970" s="374">
        <f t="shared" si="661"/>
        <v>0</v>
      </c>
      <c r="BC970" s="374">
        <f t="shared" si="662"/>
        <v>0</v>
      </c>
      <c r="BD970" s="148" t="str">
        <f t="shared" si="663"/>
        <v>no conflict</v>
      </c>
      <c r="BF970" s="148" t="str">
        <f t="shared" si="664"/>
        <v>01/00/1900 00:00-&gt;</v>
      </c>
      <c r="BG970" s="148" t="str">
        <f t="shared" si="665"/>
        <v>01/00/1900 00:00-&gt;</v>
      </c>
      <c r="BH970" s="148" t="str">
        <f t="shared" si="666"/>
        <v>01/00/1900 00:00-&gt;</v>
      </c>
      <c r="BI970" s="148" t="str">
        <f t="shared" si="667"/>
        <v xml:space="preserve"> in  ()</v>
      </c>
      <c r="BJ970" s="148" t="str">
        <f t="shared" si="668"/>
        <v xml:space="preserve">--  vs. </v>
      </c>
      <c r="BK970" s="148" t="str">
        <f t="shared" si="669"/>
        <v/>
      </c>
      <c r="BL970" s="148">
        <f t="shared" si="670"/>
        <v>0</v>
      </c>
      <c r="BM970" s="148">
        <f t="shared" si="671"/>
        <v>0</v>
      </c>
      <c r="BN970" s="148">
        <f t="shared" si="672"/>
        <v>0</v>
      </c>
      <c r="BP970" s="148" t="str">
        <f t="shared" si="673"/>
        <v>no game</v>
      </c>
      <c r="BQ970" s="148" t="str">
        <f t="shared" si="674"/>
        <v xml:space="preserve">  in </v>
      </c>
    </row>
    <row r="971" spans="2:69" ht="15" customHeight="1" x14ac:dyDescent="0.2">
      <c r="B971" s="153"/>
      <c r="C971" s="153"/>
      <c r="D971" s="383"/>
      <c r="E971" s="383"/>
      <c r="F971" s="153"/>
      <c r="G971" s="154"/>
      <c r="H971" s="155"/>
      <c r="I971" s="314"/>
      <c r="J971" s="153"/>
      <c r="K971" s="153"/>
      <c r="L971" s="153"/>
      <c r="M971" s="153"/>
      <c r="N971" s="153"/>
      <c r="O971" s="153" t="str">
        <f>IF(L971&lt;&gt;"",IFERROR(VLOOKUP(B971&amp;L971,Pools!$A$2:$D$130,3,FALSE),""),"")</f>
        <v/>
      </c>
      <c r="P971" s="387"/>
      <c r="Q971" s="387"/>
      <c r="R971" s="306" t="str">
        <f t="shared" ref="R971:R1034" si="675">P971&amp;"-"&amp;Q971</f>
        <v>-</v>
      </c>
      <c r="S971" s="153"/>
      <c r="T971" s="148" t="str">
        <f t="shared" ref="T971:T1034" si="676">IF(AND(P971&lt;&gt;"",Q971&lt;&gt;""),"Completed","Pending")</f>
        <v>Pending</v>
      </c>
      <c r="U971" s="153"/>
      <c r="V971" s="153"/>
      <c r="W971" s="387">
        <f t="shared" ref="W971:W1034" si="677">IF(AW971="Basketball",(IF(P971-Q971&gt;15,15,IF(P971-Q971&lt;-15,-15,(P971-Q971)))),IF(AW971="Soccer",(IF(P971-Q971&gt;3,3,IF(P971-Q971&lt;-3,-3,(P971-Q971)))),IF(AW971="Kickball",(IF(P971-Q971&gt;5,5,IF(P971-Q971&lt;-5,-5,(P971-Q971)))),IF(AW971="Flag Football",(IF(P971-Q971&gt;21,21,IF(P971-Q971&lt;-21,-21,(P971-Q971)))),P971-Q971))))</f>
        <v>0</v>
      </c>
      <c r="X971" s="387">
        <f t="shared" ref="X971:X1034" si="678">IF(AW971="Basketball",(IF(Q971-P971&gt;15,15,IF(Q971-P971&lt;-15,-15,(Q971-P971)))),IF(AW971="Soccer",(IF(Q971-P971&gt;3,3,IF(Q971-P971&lt;-3,-3,(Q971-P971)))),IF(AW971="Kickball",(IF(Q971-P971&gt;5,5,IF(Q971-P971&lt;-5,-5,(Q971-P971)))),IF(AW971="Flag Football",(IF(Q971-P971&gt;21,21,IF(Q971-P971&lt;-21,-21,(Q971-P971)))),Q971-P971))))</f>
        <v>0</v>
      </c>
      <c r="Y971" s="301" t="str">
        <f t="shared" ref="Y971:Y1034" si="679">IF(T971="Completed",(IF(P971&gt;Q971,2,IF(P971=Q971,1,IF(P971&lt;Q971,0)))),"X")</f>
        <v>X</v>
      </c>
      <c r="Z971" s="301" t="str">
        <f t="shared" ref="Z971:Z1034" si="680">IF(T971="Completed",(IF(Q971&gt;P971,2,IF(Q971=P971,1,IF(Q971&lt;P971,0)))),"X")</f>
        <v>X</v>
      </c>
      <c r="AA971" s="323" t="e">
        <f>CONCATENATE("                x[team1,team2,sport,'",IF(OR(I971="x",I971=""),VLOOKUP('Schedule from TM'!J971,Tables!$P$3:$Q$33,2,FALSE),'Schedule from TM'!I971),",",J971,"','",IF(OR(F971="x",F971=""),VLOOKUP('Schedule from TM'!G971,Tables!$U$3:$V$14,2,FALSE),'Schedule from TM'!F971),",",TEXT(G971,"mm/dd/yyyy"),"','",TEXT(H971,"h:mm:ss AM/PM"),"'].ub=0.0      #",B971)</f>
        <v>#N/A</v>
      </c>
      <c r="AB971" s="301" t="str">
        <f t="shared" ref="AB971:AB1034" si="681">",,"&amp;B971&amp;","&amp;O971&amp;",1,"&amp;L971</f>
        <v>,,,,1,</v>
      </c>
      <c r="AC971" s="153" t="str">
        <f t="shared" ref="AC971:AC1034" si="682">B971&amp;O971&amp;L971</f>
        <v/>
      </c>
      <c r="AD971" s="301" t="str">
        <f t="shared" ref="AD971:AD1034" si="683">",,"&amp;B971&amp;","&amp;O971&amp;",1,"&amp;N971</f>
        <v>,,,,1,</v>
      </c>
      <c r="AE971" s="153" t="str">
        <f t="shared" ref="AE971:AE1034" si="684">B971&amp;O971&amp;N971</f>
        <v/>
      </c>
      <c r="AF971" s="383">
        <f t="shared" ref="AF971:AF1034" si="685">IF(Y971=2,1,0)</f>
        <v>0</v>
      </c>
      <c r="AG971" s="383">
        <f t="shared" ref="AG971:AG1034" si="686">IF(Y971=0,1,0)</f>
        <v>0</v>
      </c>
      <c r="AH971" s="383">
        <f t="shared" ref="AH971:AH1034" si="687">IF(Y971=1,1,0)</f>
        <v>0</v>
      </c>
      <c r="AI971" s="383">
        <f t="shared" ref="AI971:AI1034" si="688">IF(Z971=2,1,0)</f>
        <v>0</v>
      </c>
      <c r="AJ971" s="383">
        <f t="shared" ref="AJ971:AJ1034" si="689">IF(Z971=0,1,0)</f>
        <v>0</v>
      </c>
      <c r="AK971" s="383">
        <f t="shared" ref="AK971:AK1034" si="690">IF(Z971=1,1,0)</f>
        <v>0</v>
      </c>
      <c r="AM971" s="148" t="str">
        <f t="shared" ref="AM971:AM1034" si="691">IF(G971&amp;H971&amp;J971&lt;&gt;"","Schedulled","Not Schedulled")</f>
        <v>Not Schedulled</v>
      </c>
      <c r="AN971" s="148" t="str">
        <f t="shared" ref="AN971:AN1034" si="692">IF(AND(AM971="schedulled",L971&amp;N971=""),"Schedulled no team","")</f>
        <v/>
      </c>
      <c r="AO971" s="156">
        <f t="shared" ref="AO971:AO1034" si="693">G971+H971</f>
        <v>0</v>
      </c>
      <c r="AP971" s="148" t="str">
        <f t="shared" ref="AP971:AP1034" si="694">TEXT(AO971,"MM/DD/YYYY HH:MM")&amp;"-&gt;"&amp;J971</f>
        <v>01/00/1900 00:00-&gt;</v>
      </c>
      <c r="AQ971" s="374">
        <f t="shared" ref="AQ971:AQ1034" si="695">IF(AM971="not schedulled", 0,COUNTIF($AP$11:$AP$1051,AP971))</f>
        <v>0</v>
      </c>
      <c r="AR971" s="148" t="str">
        <f t="shared" ref="AR971:AR1034" si="696">IFERROR(VLOOKUP(L971,teams_table,3,FALSE),"")</f>
        <v/>
      </c>
      <c r="AS971" s="148" t="str">
        <f t="shared" ref="AS971:AS1034" si="697">IFERROR(VLOOKUP(N971,teams_table,3,FALSE),"")</f>
        <v/>
      </c>
      <c r="AT971" s="157" t="str">
        <f t="shared" ref="AT971:AT1034" si="698">IF(AR971&amp;AS971&lt;&gt;"",AR971&amp;"-"&amp;AS971,"")</f>
        <v/>
      </c>
      <c r="AU971" s="157" t="str">
        <f t="shared" ref="AU971:AU1034" si="699">IF(AT971="","",AT971&amp;" ")&amp;IF(C971="final",AW971&amp;" Final","")&amp;IF(C971="semi-final",AW971&amp;" Semi-Final","")&amp;IF(C971="Tournament",AW971&amp;" Tournament","")</f>
        <v/>
      </c>
      <c r="AV971" s="157" t="str">
        <f t="shared" ref="AV971:AV1034" si="700">IFERROR(VLOOKUP(B971,events_table,2,FALSE),"")</f>
        <v/>
      </c>
      <c r="AW971" s="157" t="str">
        <f t="shared" ref="AW971:AW1034" si="701">IFERROR(VLOOKUP(B971,events_table,3,0),"")</f>
        <v/>
      </c>
      <c r="AX971" s="376">
        <f t="shared" ref="AX971:AX1034" si="702">A971</f>
        <v>0</v>
      </c>
      <c r="AY971" s="148" t="str">
        <f t="shared" ref="AY971:AY1034" si="703">L971&amp;"-&gt;"&amp;N971</f>
        <v>-&gt;</v>
      </c>
      <c r="AZ971" s="148" t="str">
        <f t="shared" ref="AZ971:AZ1034" si="704">TEXT(AO971,"MM/DD/YYYY HH:MM")&amp;"-&gt;"&amp;L971</f>
        <v>01/00/1900 00:00-&gt;</v>
      </c>
      <c r="BA971" s="148" t="str">
        <f t="shared" ref="BA971:BA1034" si="705">TEXT(AO971,"MM/DD/YYYY HH:MM")&amp;"-&gt;"&amp;N971</f>
        <v>01/00/1900 00:00-&gt;</v>
      </c>
      <c r="BB971" s="374">
        <f t="shared" ref="BB971:BB1034" si="706">IF(OR(AM971="not schedulled",AN971="schedulled no team"),0,COUNTIF($AZ$11:$BA$1051,AZ971))</f>
        <v>0</v>
      </c>
      <c r="BC971" s="374">
        <f t="shared" ref="BC971:BC1034" si="707">IF(OR(AM971="not schedulled",AN971="schedulled no team"),0,COUNTIF($AZ$11:$BA$1051,BA971))</f>
        <v>0</v>
      </c>
      <c r="BD971" s="148" t="str">
        <f t="shared" ref="BD971:BD1034" si="708">IF(OR(BB971&gt;1,BC971&gt;1),"conflict","no conflict")</f>
        <v>no conflict</v>
      </c>
      <c r="BF971" s="148" t="str">
        <f t="shared" ref="BF971:BF1034" si="709">TEXT(AO971,"MM/DD/YYYY HH:MM")&amp;"-&gt;"&amp;L971</f>
        <v>01/00/1900 00:00-&gt;</v>
      </c>
      <c r="BG971" s="148" t="str">
        <f t="shared" ref="BG971:BG1034" si="710">TEXT(AO971,"MM/DD/YYYY HH:MM")&amp;"-&gt;"&amp;N971</f>
        <v>01/00/1900 00:00-&gt;</v>
      </c>
      <c r="BH971" s="148" t="str">
        <f t="shared" ref="BH971:BH1034" si="711">TEXT(AO971,"MM/DD/YYYY HH:MM")&amp;"-&gt;"&amp;J971</f>
        <v>01/00/1900 00:00-&gt;</v>
      </c>
      <c r="BI971" s="148" t="str">
        <f t="shared" ref="BI971:BI1034" si="712">AW971&amp; " in "&amp;J971 &amp;" ("&amp;AT971&amp;")"</f>
        <v xml:space="preserve"> in  ()</v>
      </c>
      <c r="BJ971" s="148" t="str">
        <f t="shared" ref="BJ971:BJ1034" si="713">B971 &amp;"-- " &amp;L971&amp;" vs. "&amp;N971</f>
        <v xml:space="preserve">--  vs. </v>
      </c>
      <c r="BK971" s="148" t="str">
        <f t="shared" ref="BK971:BK1034" si="714">AW971</f>
        <v/>
      </c>
      <c r="BL971" s="148">
        <f t="shared" ref="BL971:BL1034" si="715">L971</f>
        <v>0</v>
      </c>
      <c r="BM971" s="148">
        <f t="shared" ref="BM971:BM1034" si="716">N971</f>
        <v>0</v>
      </c>
      <c r="BN971" s="148">
        <f t="shared" ref="BN971:BN1034" si="717">C971</f>
        <v>0</v>
      </c>
      <c r="BP971" s="148" t="str">
        <f t="shared" ref="BP971:BP1034" si="718">IF(OR(NOT(ISERR(SEARCH("final",C971))),NOT(ISERR(SEARCH("tournament",C971)))),TEXT(AO971,"MM/DD/YYYY HH:MM")&amp;"-&gt;"&amp;AV971,IF(B971="","no game","no t, f, or sf"))</f>
        <v>no game</v>
      </c>
      <c r="BQ971" s="148" t="str">
        <f t="shared" ref="BQ971:BQ1034" si="719">IF(BP971&lt;&gt;"no t, f, or sf",AW971&amp;" "&amp;C971&amp;" in "&amp;J971,"")</f>
        <v xml:space="preserve">  in </v>
      </c>
    </row>
    <row r="972" spans="2:69" ht="15" customHeight="1" x14ac:dyDescent="0.2">
      <c r="B972" s="153"/>
      <c r="C972" s="153"/>
      <c r="D972" s="383"/>
      <c r="E972" s="383"/>
      <c r="F972" s="153"/>
      <c r="G972" s="154"/>
      <c r="H972" s="155"/>
      <c r="I972" s="314"/>
      <c r="J972" s="153"/>
      <c r="K972" s="153"/>
      <c r="L972" s="153"/>
      <c r="M972" s="153"/>
      <c r="N972" s="153"/>
      <c r="O972" s="153" t="str">
        <f>IF(L972&lt;&gt;"",IFERROR(VLOOKUP(B972&amp;L972,Pools!$A$2:$D$130,3,FALSE),""),"")</f>
        <v/>
      </c>
      <c r="P972" s="387"/>
      <c r="Q972" s="387"/>
      <c r="R972" s="306" t="str">
        <f t="shared" si="675"/>
        <v>-</v>
      </c>
      <c r="S972" s="153"/>
      <c r="T972" s="148" t="str">
        <f t="shared" si="676"/>
        <v>Pending</v>
      </c>
      <c r="U972" s="153"/>
      <c r="V972" s="153"/>
      <c r="W972" s="387">
        <f t="shared" si="677"/>
        <v>0</v>
      </c>
      <c r="X972" s="387">
        <f t="shared" si="678"/>
        <v>0</v>
      </c>
      <c r="Y972" s="301" t="str">
        <f t="shared" si="679"/>
        <v>X</v>
      </c>
      <c r="Z972" s="301" t="str">
        <f t="shared" si="680"/>
        <v>X</v>
      </c>
      <c r="AA972" s="323" t="e">
        <f>CONCATENATE("                x[team1,team2,sport,'",IF(OR(I972="x",I972=""),VLOOKUP('Schedule from TM'!J972,Tables!$P$3:$Q$33,2,FALSE),'Schedule from TM'!I972),",",J972,"','",IF(OR(F972="x",F972=""),VLOOKUP('Schedule from TM'!G972,Tables!$U$3:$V$14,2,FALSE),'Schedule from TM'!F972),",",TEXT(G972,"mm/dd/yyyy"),"','",TEXT(H972,"h:mm:ss AM/PM"),"'].ub=0.0      #",B972)</f>
        <v>#N/A</v>
      </c>
      <c r="AB972" s="301" t="str">
        <f t="shared" si="681"/>
        <v>,,,,1,</v>
      </c>
      <c r="AC972" s="153" t="str">
        <f t="shared" si="682"/>
        <v/>
      </c>
      <c r="AD972" s="301" t="str">
        <f t="shared" si="683"/>
        <v>,,,,1,</v>
      </c>
      <c r="AE972" s="153" t="str">
        <f t="shared" si="684"/>
        <v/>
      </c>
      <c r="AF972" s="383">
        <f t="shared" si="685"/>
        <v>0</v>
      </c>
      <c r="AG972" s="383">
        <f t="shared" si="686"/>
        <v>0</v>
      </c>
      <c r="AH972" s="383">
        <f t="shared" si="687"/>
        <v>0</v>
      </c>
      <c r="AI972" s="383">
        <f t="shared" si="688"/>
        <v>0</v>
      </c>
      <c r="AJ972" s="383">
        <f t="shared" si="689"/>
        <v>0</v>
      </c>
      <c r="AK972" s="383">
        <f t="shared" si="690"/>
        <v>0</v>
      </c>
      <c r="AM972" s="148" t="str">
        <f t="shared" si="691"/>
        <v>Not Schedulled</v>
      </c>
      <c r="AN972" s="148" t="str">
        <f t="shared" si="692"/>
        <v/>
      </c>
      <c r="AO972" s="156">
        <f t="shared" si="693"/>
        <v>0</v>
      </c>
      <c r="AP972" s="148" t="str">
        <f t="shared" si="694"/>
        <v>01/00/1900 00:00-&gt;</v>
      </c>
      <c r="AQ972" s="374">
        <f t="shared" si="695"/>
        <v>0</v>
      </c>
      <c r="AR972" s="148" t="str">
        <f t="shared" si="696"/>
        <v/>
      </c>
      <c r="AS972" s="148" t="str">
        <f t="shared" si="697"/>
        <v/>
      </c>
      <c r="AT972" s="157" t="str">
        <f t="shared" si="698"/>
        <v/>
      </c>
      <c r="AU972" s="157" t="str">
        <f t="shared" si="699"/>
        <v/>
      </c>
      <c r="AV972" s="157" t="str">
        <f t="shared" si="700"/>
        <v/>
      </c>
      <c r="AW972" s="157" t="str">
        <f t="shared" si="701"/>
        <v/>
      </c>
      <c r="AX972" s="376">
        <f t="shared" si="702"/>
        <v>0</v>
      </c>
      <c r="AY972" s="148" t="str">
        <f t="shared" si="703"/>
        <v>-&gt;</v>
      </c>
      <c r="AZ972" s="148" t="str">
        <f t="shared" si="704"/>
        <v>01/00/1900 00:00-&gt;</v>
      </c>
      <c r="BA972" s="148" t="str">
        <f t="shared" si="705"/>
        <v>01/00/1900 00:00-&gt;</v>
      </c>
      <c r="BB972" s="374">
        <f t="shared" si="706"/>
        <v>0</v>
      </c>
      <c r="BC972" s="374">
        <f t="shared" si="707"/>
        <v>0</v>
      </c>
      <c r="BD972" s="148" t="str">
        <f t="shared" si="708"/>
        <v>no conflict</v>
      </c>
      <c r="BF972" s="148" t="str">
        <f t="shared" si="709"/>
        <v>01/00/1900 00:00-&gt;</v>
      </c>
      <c r="BG972" s="148" t="str">
        <f t="shared" si="710"/>
        <v>01/00/1900 00:00-&gt;</v>
      </c>
      <c r="BH972" s="148" t="str">
        <f t="shared" si="711"/>
        <v>01/00/1900 00:00-&gt;</v>
      </c>
      <c r="BI972" s="148" t="str">
        <f t="shared" si="712"/>
        <v xml:space="preserve"> in  ()</v>
      </c>
      <c r="BJ972" s="148" t="str">
        <f t="shared" si="713"/>
        <v xml:space="preserve">--  vs. </v>
      </c>
      <c r="BK972" s="148" t="str">
        <f t="shared" si="714"/>
        <v/>
      </c>
      <c r="BL972" s="148">
        <f t="shared" si="715"/>
        <v>0</v>
      </c>
      <c r="BM972" s="148">
        <f t="shared" si="716"/>
        <v>0</v>
      </c>
      <c r="BN972" s="148">
        <f t="shared" si="717"/>
        <v>0</v>
      </c>
      <c r="BP972" s="148" t="str">
        <f t="shared" si="718"/>
        <v>no game</v>
      </c>
      <c r="BQ972" s="148" t="str">
        <f t="shared" si="719"/>
        <v xml:space="preserve">  in </v>
      </c>
    </row>
    <row r="973" spans="2:69" ht="15" customHeight="1" x14ac:dyDescent="0.2">
      <c r="B973" s="153"/>
      <c r="C973" s="153"/>
      <c r="D973" s="383"/>
      <c r="E973" s="383"/>
      <c r="F973" s="153"/>
      <c r="G973" s="154"/>
      <c r="H973" s="155"/>
      <c r="I973" s="314"/>
      <c r="J973" s="153"/>
      <c r="K973" s="153"/>
      <c r="L973" s="153"/>
      <c r="M973" s="153"/>
      <c r="N973" s="153"/>
      <c r="O973" s="153" t="str">
        <f>IF(L973&lt;&gt;"",IFERROR(VLOOKUP(B973&amp;L973,Pools!$A$2:$D$130,3,FALSE),""),"")</f>
        <v/>
      </c>
      <c r="P973" s="387"/>
      <c r="Q973" s="387"/>
      <c r="R973" s="306" t="str">
        <f t="shared" si="675"/>
        <v>-</v>
      </c>
      <c r="S973" s="153"/>
      <c r="T973" s="148" t="str">
        <f t="shared" si="676"/>
        <v>Pending</v>
      </c>
      <c r="U973" s="153"/>
      <c r="V973" s="153"/>
      <c r="W973" s="387">
        <f t="shared" si="677"/>
        <v>0</v>
      </c>
      <c r="X973" s="387">
        <f t="shared" si="678"/>
        <v>0</v>
      </c>
      <c r="Y973" s="301" t="str">
        <f t="shared" si="679"/>
        <v>X</v>
      </c>
      <c r="Z973" s="301" t="str">
        <f t="shared" si="680"/>
        <v>X</v>
      </c>
      <c r="AA973" s="323" t="e">
        <f>CONCATENATE("                x[team1,team2,sport,'",IF(OR(I973="x",I973=""),VLOOKUP('Schedule from TM'!J973,Tables!$P$3:$Q$33,2,FALSE),'Schedule from TM'!I973),",",J973,"','",IF(OR(F973="x",F973=""),VLOOKUP('Schedule from TM'!G973,Tables!$U$3:$V$14,2,FALSE),'Schedule from TM'!F973),",",TEXT(G973,"mm/dd/yyyy"),"','",TEXT(H973,"h:mm:ss AM/PM"),"'].ub=0.0      #",B973)</f>
        <v>#N/A</v>
      </c>
      <c r="AB973" s="301" t="str">
        <f t="shared" si="681"/>
        <v>,,,,1,</v>
      </c>
      <c r="AC973" s="153" t="str">
        <f t="shared" si="682"/>
        <v/>
      </c>
      <c r="AD973" s="301" t="str">
        <f t="shared" si="683"/>
        <v>,,,,1,</v>
      </c>
      <c r="AE973" s="153" t="str">
        <f t="shared" si="684"/>
        <v/>
      </c>
      <c r="AF973" s="383">
        <f t="shared" si="685"/>
        <v>0</v>
      </c>
      <c r="AG973" s="383">
        <f t="shared" si="686"/>
        <v>0</v>
      </c>
      <c r="AH973" s="383">
        <f t="shared" si="687"/>
        <v>0</v>
      </c>
      <c r="AI973" s="383">
        <f t="shared" si="688"/>
        <v>0</v>
      </c>
      <c r="AJ973" s="383">
        <f t="shared" si="689"/>
        <v>0</v>
      </c>
      <c r="AK973" s="383">
        <f t="shared" si="690"/>
        <v>0</v>
      </c>
      <c r="AM973" s="148" t="str">
        <f t="shared" si="691"/>
        <v>Not Schedulled</v>
      </c>
      <c r="AN973" s="148" t="str">
        <f t="shared" si="692"/>
        <v/>
      </c>
      <c r="AO973" s="156">
        <f t="shared" si="693"/>
        <v>0</v>
      </c>
      <c r="AP973" s="148" t="str">
        <f t="shared" si="694"/>
        <v>01/00/1900 00:00-&gt;</v>
      </c>
      <c r="AQ973" s="374">
        <f t="shared" si="695"/>
        <v>0</v>
      </c>
      <c r="AR973" s="148" t="str">
        <f t="shared" si="696"/>
        <v/>
      </c>
      <c r="AS973" s="148" t="str">
        <f t="shared" si="697"/>
        <v/>
      </c>
      <c r="AT973" s="157" t="str">
        <f t="shared" si="698"/>
        <v/>
      </c>
      <c r="AU973" s="157" t="str">
        <f t="shared" si="699"/>
        <v/>
      </c>
      <c r="AV973" s="157" t="str">
        <f t="shared" si="700"/>
        <v/>
      </c>
      <c r="AW973" s="157" t="str">
        <f t="shared" si="701"/>
        <v/>
      </c>
      <c r="AX973" s="376">
        <f t="shared" si="702"/>
        <v>0</v>
      </c>
      <c r="AY973" s="148" t="str">
        <f t="shared" si="703"/>
        <v>-&gt;</v>
      </c>
      <c r="AZ973" s="148" t="str">
        <f t="shared" si="704"/>
        <v>01/00/1900 00:00-&gt;</v>
      </c>
      <c r="BA973" s="148" t="str">
        <f t="shared" si="705"/>
        <v>01/00/1900 00:00-&gt;</v>
      </c>
      <c r="BB973" s="374">
        <f t="shared" si="706"/>
        <v>0</v>
      </c>
      <c r="BC973" s="374">
        <f t="shared" si="707"/>
        <v>0</v>
      </c>
      <c r="BD973" s="148" t="str">
        <f t="shared" si="708"/>
        <v>no conflict</v>
      </c>
      <c r="BF973" s="148" t="str">
        <f t="shared" si="709"/>
        <v>01/00/1900 00:00-&gt;</v>
      </c>
      <c r="BG973" s="148" t="str">
        <f t="shared" si="710"/>
        <v>01/00/1900 00:00-&gt;</v>
      </c>
      <c r="BH973" s="148" t="str">
        <f t="shared" si="711"/>
        <v>01/00/1900 00:00-&gt;</v>
      </c>
      <c r="BI973" s="148" t="str">
        <f t="shared" si="712"/>
        <v xml:space="preserve"> in  ()</v>
      </c>
      <c r="BJ973" s="148" t="str">
        <f t="shared" si="713"/>
        <v xml:space="preserve">--  vs. </v>
      </c>
      <c r="BK973" s="148" t="str">
        <f t="shared" si="714"/>
        <v/>
      </c>
      <c r="BL973" s="148">
        <f t="shared" si="715"/>
        <v>0</v>
      </c>
      <c r="BM973" s="148">
        <f t="shared" si="716"/>
        <v>0</v>
      </c>
      <c r="BN973" s="148">
        <f t="shared" si="717"/>
        <v>0</v>
      </c>
      <c r="BP973" s="148" t="str">
        <f t="shared" si="718"/>
        <v>no game</v>
      </c>
      <c r="BQ973" s="148" t="str">
        <f t="shared" si="719"/>
        <v xml:space="preserve">  in </v>
      </c>
    </row>
    <row r="974" spans="2:69" ht="15" customHeight="1" x14ac:dyDescent="0.2">
      <c r="B974" s="153"/>
      <c r="C974" s="153"/>
      <c r="D974" s="383"/>
      <c r="E974" s="383"/>
      <c r="F974" s="153"/>
      <c r="G974" s="154"/>
      <c r="H974" s="155"/>
      <c r="I974" s="314"/>
      <c r="J974" s="153"/>
      <c r="K974" s="153"/>
      <c r="L974" s="153"/>
      <c r="M974" s="153"/>
      <c r="N974" s="153"/>
      <c r="O974" s="153" t="str">
        <f>IF(L974&lt;&gt;"",IFERROR(VLOOKUP(B974&amp;L974,Pools!$A$2:$D$130,3,FALSE),""),"")</f>
        <v/>
      </c>
      <c r="P974" s="387"/>
      <c r="Q974" s="387"/>
      <c r="R974" s="306" t="str">
        <f t="shared" si="675"/>
        <v>-</v>
      </c>
      <c r="S974" s="153"/>
      <c r="T974" s="148" t="str">
        <f t="shared" si="676"/>
        <v>Pending</v>
      </c>
      <c r="U974" s="153"/>
      <c r="V974" s="153"/>
      <c r="W974" s="387">
        <f t="shared" si="677"/>
        <v>0</v>
      </c>
      <c r="X974" s="387">
        <f t="shared" si="678"/>
        <v>0</v>
      </c>
      <c r="Y974" s="301" t="str">
        <f t="shared" si="679"/>
        <v>X</v>
      </c>
      <c r="Z974" s="301" t="str">
        <f t="shared" si="680"/>
        <v>X</v>
      </c>
      <c r="AA974" s="323" t="e">
        <f>CONCATENATE("                x[team1,team2,sport,'",IF(OR(I974="x",I974=""),VLOOKUP('Schedule from TM'!J974,Tables!$P$3:$Q$33,2,FALSE),'Schedule from TM'!I974),",",J974,"','",IF(OR(F974="x",F974=""),VLOOKUP('Schedule from TM'!G974,Tables!$U$3:$V$14,2,FALSE),'Schedule from TM'!F974),",",TEXT(G974,"mm/dd/yyyy"),"','",TEXT(H974,"h:mm:ss AM/PM"),"'].ub=0.0      #",B974)</f>
        <v>#N/A</v>
      </c>
      <c r="AB974" s="301" t="str">
        <f t="shared" si="681"/>
        <v>,,,,1,</v>
      </c>
      <c r="AC974" s="153" t="str">
        <f t="shared" si="682"/>
        <v/>
      </c>
      <c r="AD974" s="301" t="str">
        <f t="shared" si="683"/>
        <v>,,,,1,</v>
      </c>
      <c r="AE974" s="153" t="str">
        <f t="shared" si="684"/>
        <v/>
      </c>
      <c r="AF974" s="383">
        <f t="shared" si="685"/>
        <v>0</v>
      </c>
      <c r="AG974" s="383">
        <f t="shared" si="686"/>
        <v>0</v>
      </c>
      <c r="AH974" s="383">
        <f t="shared" si="687"/>
        <v>0</v>
      </c>
      <c r="AI974" s="383">
        <f t="shared" si="688"/>
        <v>0</v>
      </c>
      <c r="AJ974" s="383">
        <f t="shared" si="689"/>
        <v>0</v>
      </c>
      <c r="AK974" s="383">
        <f t="shared" si="690"/>
        <v>0</v>
      </c>
      <c r="AM974" s="148" t="str">
        <f t="shared" si="691"/>
        <v>Not Schedulled</v>
      </c>
      <c r="AN974" s="148" t="str">
        <f t="shared" si="692"/>
        <v/>
      </c>
      <c r="AO974" s="156">
        <f t="shared" si="693"/>
        <v>0</v>
      </c>
      <c r="AP974" s="148" t="str">
        <f t="shared" si="694"/>
        <v>01/00/1900 00:00-&gt;</v>
      </c>
      <c r="AQ974" s="374">
        <f t="shared" si="695"/>
        <v>0</v>
      </c>
      <c r="AR974" s="148" t="str">
        <f t="shared" si="696"/>
        <v/>
      </c>
      <c r="AS974" s="148" t="str">
        <f t="shared" si="697"/>
        <v/>
      </c>
      <c r="AT974" s="157" t="str">
        <f t="shared" si="698"/>
        <v/>
      </c>
      <c r="AU974" s="157" t="str">
        <f t="shared" si="699"/>
        <v/>
      </c>
      <c r="AV974" s="157" t="str">
        <f t="shared" si="700"/>
        <v/>
      </c>
      <c r="AW974" s="157" t="str">
        <f t="shared" si="701"/>
        <v/>
      </c>
      <c r="AX974" s="376">
        <f t="shared" si="702"/>
        <v>0</v>
      </c>
      <c r="AY974" s="148" t="str">
        <f t="shared" si="703"/>
        <v>-&gt;</v>
      </c>
      <c r="AZ974" s="148" t="str">
        <f t="shared" si="704"/>
        <v>01/00/1900 00:00-&gt;</v>
      </c>
      <c r="BA974" s="148" t="str">
        <f t="shared" si="705"/>
        <v>01/00/1900 00:00-&gt;</v>
      </c>
      <c r="BB974" s="374">
        <f t="shared" si="706"/>
        <v>0</v>
      </c>
      <c r="BC974" s="374">
        <f t="shared" si="707"/>
        <v>0</v>
      </c>
      <c r="BD974" s="148" t="str">
        <f t="shared" si="708"/>
        <v>no conflict</v>
      </c>
      <c r="BF974" s="148" t="str">
        <f t="shared" si="709"/>
        <v>01/00/1900 00:00-&gt;</v>
      </c>
      <c r="BG974" s="148" t="str">
        <f t="shared" si="710"/>
        <v>01/00/1900 00:00-&gt;</v>
      </c>
      <c r="BH974" s="148" t="str">
        <f t="shared" si="711"/>
        <v>01/00/1900 00:00-&gt;</v>
      </c>
      <c r="BI974" s="148" t="str">
        <f t="shared" si="712"/>
        <v xml:space="preserve"> in  ()</v>
      </c>
      <c r="BJ974" s="148" t="str">
        <f t="shared" si="713"/>
        <v xml:space="preserve">--  vs. </v>
      </c>
      <c r="BK974" s="148" t="str">
        <f t="shared" si="714"/>
        <v/>
      </c>
      <c r="BL974" s="148">
        <f t="shared" si="715"/>
        <v>0</v>
      </c>
      <c r="BM974" s="148">
        <f t="shared" si="716"/>
        <v>0</v>
      </c>
      <c r="BN974" s="148">
        <f t="shared" si="717"/>
        <v>0</v>
      </c>
      <c r="BP974" s="148" t="str">
        <f t="shared" si="718"/>
        <v>no game</v>
      </c>
      <c r="BQ974" s="148" t="str">
        <f t="shared" si="719"/>
        <v xml:space="preserve">  in </v>
      </c>
    </row>
    <row r="975" spans="2:69" ht="15" customHeight="1" x14ac:dyDescent="0.2">
      <c r="B975" s="153"/>
      <c r="C975" s="153"/>
      <c r="D975" s="383"/>
      <c r="E975" s="383"/>
      <c r="F975" s="153"/>
      <c r="G975" s="154"/>
      <c r="H975" s="155"/>
      <c r="I975" s="314"/>
      <c r="J975" s="153"/>
      <c r="K975" s="153"/>
      <c r="L975" s="153"/>
      <c r="M975" s="153"/>
      <c r="N975" s="153"/>
      <c r="O975" s="153" t="str">
        <f>IF(L975&lt;&gt;"",IFERROR(VLOOKUP(B975&amp;L975,Pools!$A$2:$D$130,3,FALSE),""),"")</f>
        <v/>
      </c>
      <c r="P975" s="387"/>
      <c r="Q975" s="387"/>
      <c r="R975" s="306" t="str">
        <f t="shared" si="675"/>
        <v>-</v>
      </c>
      <c r="S975" s="153"/>
      <c r="T975" s="148" t="str">
        <f t="shared" si="676"/>
        <v>Pending</v>
      </c>
      <c r="U975" s="153"/>
      <c r="V975" s="153"/>
      <c r="W975" s="387">
        <f t="shared" si="677"/>
        <v>0</v>
      </c>
      <c r="X975" s="387">
        <f t="shared" si="678"/>
        <v>0</v>
      </c>
      <c r="Y975" s="301" t="str">
        <f t="shared" si="679"/>
        <v>X</v>
      </c>
      <c r="Z975" s="301" t="str">
        <f t="shared" si="680"/>
        <v>X</v>
      </c>
      <c r="AA975" s="323" t="e">
        <f>CONCATENATE("                x[team1,team2,sport,'",IF(OR(I975="x",I975=""),VLOOKUP('Schedule from TM'!J975,Tables!$P$3:$Q$33,2,FALSE),'Schedule from TM'!I975),",",J975,"','",IF(OR(F975="x",F975=""),VLOOKUP('Schedule from TM'!G975,Tables!$U$3:$V$14,2,FALSE),'Schedule from TM'!F975),",",TEXT(G975,"mm/dd/yyyy"),"','",TEXT(H975,"h:mm:ss AM/PM"),"'].ub=0.0      #",B975)</f>
        <v>#N/A</v>
      </c>
      <c r="AB975" s="301" t="str">
        <f t="shared" si="681"/>
        <v>,,,,1,</v>
      </c>
      <c r="AC975" s="153" t="str">
        <f t="shared" si="682"/>
        <v/>
      </c>
      <c r="AD975" s="301" t="str">
        <f t="shared" si="683"/>
        <v>,,,,1,</v>
      </c>
      <c r="AE975" s="153" t="str">
        <f t="shared" si="684"/>
        <v/>
      </c>
      <c r="AF975" s="383">
        <f t="shared" si="685"/>
        <v>0</v>
      </c>
      <c r="AG975" s="383">
        <f t="shared" si="686"/>
        <v>0</v>
      </c>
      <c r="AH975" s="383">
        <f t="shared" si="687"/>
        <v>0</v>
      </c>
      <c r="AI975" s="383">
        <f t="shared" si="688"/>
        <v>0</v>
      </c>
      <c r="AJ975" s="383">
        <f t="shared" si="689"/>
        <v>0</v>
      </c>
      <c r="AK975" s="383">
        <f t="shared" si="690"/>
        <v>0</v>
      </c>
      <c r="AM975" s="148" t="str">
        <f t="shared" si="691"/>
        <v>Not Schedulled</v>
      </c>
      <c r="AN975" s="148" t="str">
        <f t="shared" si="692"/>
        <v/>
      </c>
      <c r="AO975" s="156">
        <f t="shared" si="693"/>
        <v>0</v>
      </c>
      <c r="AP975" s="148" t="str">
        <f t="shared" si="694"/>
        <v>01/00/1900 00:00-&gt;</v>
      </c>
      <c r="AQ975" s="374">
        <f t="shared" si="695"/>
        <v>0</v>
      </c>
      <c r="AR975" s="148" t="str">
        <f t="shared" si="696"/>
        <v/>
      </c>
      <c r="AS975" s="148" t="str">
        <f t="shared" si="697"/>
        <v/>
      </c>
      <c r="AT975" s="157" t="str">
        <f t="shared" si="698"/>
        <v/>
      </c>
      <c r="AU975" s="157" t="str">
        <f t="shared" si="699"/>
        <v/>
      </c>
      <c r="AV975" s="157" t="str">
        <f t="shared" si="700"/>
        <v/>
      </c>
      <c r="AW975" s="157" t="str">
        <f t="shared" si="701"/>
        <v/>
      </c>
      <c r="AX975" s="376">
        <f t="shared" si="702"/>
        <v>0</v>
      </c>
      <c r="AY975" s="148" t="str">
        <f t="shared" si="703"/>
        <v>-&gt;</v>
      </c>
      <c r="AZ975" s="148" t="str">
        <f t="shared" si="704"/>
        <v>01/00/1900 00:00-&gt;</v>
      </c>
      <c r="BA975" s="148" t="str">
        <f t="shared" si="705"/>
        <v>01/00/1900 00:00-&gt;</v>
      </c>
      <c r="BB975" s="374">
        <f t="shared" si="706"/>
        <v>0</v>
      </c>
      <c r="BC975" s="374">
        <f t="shared" si="707"/>
        <v>0</v>
      </c>
      <c r="BD975" s="148" t="str">
        <f t="shared" si="708"/>
        <v>no conflict</v>
      </c>
      <c r="BF975" s="148" t="str">
        <f t="shared" si="709"/>
        <v>01/00/1900 00:00-&gt;</v>
      </c>
      <c r="BG975" s="148" t="str">
        <f t="shared" si="710"/>
        <v>01/00/1900 00:00-&gt;</v>
      </c>
      <c r="BH975" s="148" t="str">
        <f t="shared" si="711"/>
        <v>01/00/1900 00:00-&gt;</v>
      </c>
      <c r="BI975" s="148" t="str">
        <f t="shared" si="712"/>
        <v xml:space="preserve"> in  ()</v>
      </c>
      <c r="BJ975" s="148" t="str">
        <f t="shared" si="713"/>
        <v xml:space="preserve">--  vs. </v>
      </c>
      <c r="BK975" s="148" t="str">
        <f t="shared" si="714"/>
        <v/>
      </c>
      <c r="BL975" s="148">
        <f t="shared" si="715"/>
        <v>0</v>
      </c>
      <c r="BM975" s="148">
        <f t="shared" si="716"/>
        <v>0</v>
      </c>
      <c r="BN975" s="148">
        <f t="shared" si="717"/>
        <v>0</v>
      </c>
      <c r="BP975" s="148" t="str">
        <f t="shared" si="718"/>
        <v>no game</v>
      </c>
      <c r="BQ975" s="148" t="str">
        <f t="shared" si="719"/>
        <v xml:space="preserve">  in </v>
      </c>
    </row>
    <row r="976" spans="2:69" ht="15" customHeight="1" x14ac:dyDescent="0.2">
      <c r="B976" s="153"/>
      <c r="C976" s="153"/>
      <c r="D976" s="383"/>
      <c r="E976" s="383"/>
      <c r="F976" s="153"/>
      <c r="G976" s="154"/>
      <c r="H976" s="155"/>
      <c r="I976" s="314"/>
      <c r="J976" s="153"/>
      <c r="K976" s="153"/>
      <c r="L976" s="153"/>
      <c r="M976" s="153"/>
      <c r="N976" s="153"/>
      <c r="O976" s="153" t="str">
        <f>IF(L976&lt;&gt;"",IFERROR(VLOOKUP(B976&amp;L976,Pools!$A$2:$D$130,3,FALSE),""),"")</f>
        <v/>
      </c>
      <c r="P976" s="387"/>
      <c r="Q976" s="387"/>
      <c r="R976" s="306" t="str">
        <f t="shared" si="675"/>
        <v>-</v>
      </c>
      <c r="S976" s="153"/>
      <c r="T976" s="148" t="str">
        <f t="shared" si="676"/>
        <v>Pending</v>
      </c>
      <c r="U976" s="153"/>
      <c r="V976" s="153"/>
      <c r="W976" s="387">
        <f t="shared" si="677"/>
        <v>0</v>
      </c>
      <c r="X976" s="387">
        <f t="shared" si="678"/>
        <v>0</v>
      </c>
      <c r="Y976" s="301" t="str">
        <f t="shared" si="679"/>
        <v>X</v>
      </c>
      <c r="Z976" s="301" t="str">
        <f t="shared" si="680"/>
        <v>X</v>
      </c>
      <c r="AA976" s="323" t="e">
        <f>CONCATENATE("                x[team1,team2,sport,'",IF(OR(I976="x",I976=""),VLOOKUP('Schedule from TM'!J976,Tables!$P$3:$Q$33,2,FALSE),'Schedule from TM'!I976),",",J976,"','",IF(OR(F976="x",F976=""),VLOOKUP('Schedule from TM'!G976,Tables!$U$3:$V$14,2,FALSE),'Schedule from TM'!F976),",",TEXT(G976,"mm/dd/yyyy"),"','",TEXT(H976,"h:mm:ss AM/PM"),"'].ub=0.0      #",B976)</f>
        <v>#N/A</v>
      </c>
      <c r="AB976" s="301" t="str">
        <f t="shared" si="681"/>
        <v>,,,,1,</v>
      </c>
      <c r="AC976" s="153" t="str">
        <f t="shared" si="682"/>
        <v/>
      </c>
      <c r="AD976" s="301" t="str">
        <f t="shared" si="683"/>
        <v>,,,,1,</v>
      </c>
      <c r="AE976" s="153" t="str">
        <f t="shared" si="684"/>
        <v/>
      </c>
      <c r="AF976" s="383">
        <f t="shared" si="685"/>
        <v>0</v>
      </c>
      <c r="AG976" s="383">
        <f t="shared" si="686"/>
        <v>0</v>
      </c>
      <c r="AH976" s="383">
        <f t="shared" si="687"/>
        <v>0</v>
      </c>
      <c r="AI976" s="383">
        <f t="shared" si="688"/>
        <v>0</v>
      </c>
      <c r="AJ976" s="383">
        <f t="shared" si="689"/>
        <v>0</v>
      </c>
      <c r="AK976" s="383">
        <f t="shared" si="690"/>
        <v>0</v>
      </c>
      <c r="AM976" s="148" t="str">
        <f t="shared" si="691"/>
        <v>Not Schedulled</v>
      </c>
      <c r="AN976" s="148" t="str">
        <f t="shared" si="692"/>
        <v/>
      </c>
      <c r="AO976" s="156">
        <f t="shared" si="693"/>
        <v>0</v>
      </c>
      <c r="AP976" s="148" t="str">
        <f t="shared" si="694"/>
        <v>01/00/1900 00:00-&gt;</v>
      </c>
      <c r="AQ976" s="374">
        <f t="shared" si="695"/>
        <v>0</v>
      </c>
      <c r="AR976" s="148" t="str">
        <f t="shared" si="696"/>
        <v/>
      </c>
      <c r="AS976" s="148" t="str">
        <f t="shared" si="697"/>
        <v/>
      </c>
      <c r="AT976" s="157" t="str">
        <f t="shared" si="698"/>
        <v/>
      </c>
      <c r="AU976" s="157" t="str">
        <f t="shared" si="699"/>
        <v/>
      </c>
      <c r="AV976" s="157" t="str">
        <f t="shared" si="700"/>
        <v/>
      </c>
      <c r="AW976" s="157" t="str">
        <f t="shared" si="701"/>
        <v/>
      </c>
      <c r="AX976" s="376">
        <f t="shared" si="702"/>
        <v>0</v>
      </c>
      <c r="AY976" s="148" t="str">
        <f t="shared" si="703"/>
        <v>-&gt;</v>
      </c>
      <c r="AZ976" s="148" t="str">
        <f t="shared" si="704"/>
        <v>01/00/1900 00:00-&gt;</v>
      </c>
      <c r="BA976" s="148" t="str">
        <f t="shared" si="705"/>
        <v>01/00/1900 00:00-&gt;</v>
      </c>
      <c r="BB976" s="374">
        <f t="shared" si="706"/>
        <v>0</v>
      </c>
      <c r="BC976" s="374">
        <f t="shared" si="707"/>
        <v>0</v>
      </c>
      <c r="BD976" s="148" t="str">
        <f t="shared" si="708"/>
        <v>no conflict</v>
      </c>
      <c r="BF976" s="148" t="str">
        <f t="shared" si="709"/>
        <v>01/00/1900 00:00-&gt;</v>
      </c>
      <c r="BG976" s="148" t="str">
        <f t="shared" si="710"/>
        <v>01/00/1900 00:00-&gt;</v>
      </c>
      <c r="BH976" s="148" t="str">
        <f t="shared" si="711"/>
        <v>01/00/1900 00:00-&gt;</v>
      </c>
      <c r="BI976" s="148" t="str">
        <f t="shared" si="712"/>
        <v xml:space="preserve"> in  ()</v>
      </c>
      <c r="BJ976" s="148" t="str">
        <f t="shared" si="713"/>
        <v xml:space="preserve">--  vs. </v>
      </c>
      <c r="BK976" s="148" t="str">
        <f t="shared" si="714"/>
        <v/>
      </c>
      <c r="BL976" s="148">
        <f t="shared" si="715"/>
        <v>0</v>
      </c>
      <c r="BM976" s="148">
        <f t="shared" si="716"/>
        <v>0</v>
      </c>
      <c r="BN976" s="148">
        <f t="shared" si="717"/>
        <v>0</v>
      </c>
      <c r="BP976" s="148" t="str">
        <f t="shared" si="718"/>
        <v>no game</v>
      </c>
      <c r="BQ976" s="148" t="str">
        <f t="shared" si="719"/>
        <v xml:space="preserve">  in </v>
      </c>
    </row>
    <row r="977" spans="2:69" ht="15" customHeight="1" x14ac:dyDescent="0.2">
      <c r="B977" s="153"/>
      <c r="C977" s="153"/>
      <c r="D977" s="383"/>
      <c r="E977" s="383"/>
      <c r="F977" s="153"/>
      <c r="G977" s="154"/>
      <c r="H977" s="155"/>
      <c r="I977" s="314"/>
      <c r="J977" s="153"/>
      <c r="K977" s="153"/>
      <c r="L977" s="153"/>
      <c r="M977" s="153"/>
      <c r="N977" s="153"/>
      <c r="O977" s="153" t="str">
        <f>IF(L977&lt;&gt;"",IFERROR(VLOOKUP(B977&amp;L977,Pools!$A$2:$D$130,3,FALSE),""),"")</f>
        <v/>
      </c>
      <c r="P977" s="387"/>
      <c r="Q977" s="387"/>
      <c r="R977" s="306" t="str">
        <f t="shared" si="675"/>
        <v>-</v>
      </c>
      <c r="S977" s="153"/>
      <c r="T977" s="148" t="str">
        <f t="shared" si="676"/>
        <v>Pending</v>
      </c>
      <c r="U977" s="153"/>
      <c r="V977" s="153"/>
      <c r="W977" s="387">
        <f t="shared" si="677"/>
        <v>0</v>
      </c>
      <c r="X977" s="387">
        <f t="shared" si="678"/>
        <v>0</v>
      </c>
      <c r="Y977" s="301" t="str">
        <f t="shared" si="679"/>
        <v>X</v>
      </c>
      <c r="Z977" s="301" t="str">
        <f t="shared" si="680"/>
        <v>X</v>
      </c>
      <c r="AA977" s="323" t="e">
        <f>CONCATENATE("                x[team1,team2,sport,'",IF(OR(I977="x",I977=""),VLOOKUP('Schedule from TM'!J977,Tables!$P$3:$Q$33,2,FALSE),'Schedule from TM'!I977),",",J977,"','",IF(OR(F977="x",F977=""),VLOOKUP('Schedule from TM'!G977,Tables!$U$3:$V$14,2,FALSE),'Schedule from TM'!F977),",",TEXT(G977,"mm/dd/yyyy"),"','",TEXT(H977,"h:mm:ss AM/PM"),"'].ub=0.0      #",B977)</f>
        <v>#N/A</v>
      </c>
      <c r="AB977" s="301" t="str">
        <f t="shared" si="681"/>
        <v>,,,,1,</v>
      </c>
      <c r="AC977" s="153" t="str">
        <f t="shared" si="682"/>
        <v/>
      </c>
      <c r="AD977" s="301" t="str">
        <f t="shared" si="683"/>
        <v>,,,,1,</v>
      </c>
      <c r="AE977" s="153" t="str">
        <f t="shared" si="684"/>
        <v/>
      </c>
      <c r="AF977" s="383">
        <f t="shared" si="685"/>
        <v>0</v>
      </c>
      <c r="AG977" s="383">
        <f t="shared" si="686"/>
        <v>0</v>
      </c>
      <c r="AH977" s="383">
        <f t="shared" si="687"/>
        <v>0</v>
      </c>
      <c r="AI977" s="383">
        <f t="shared" si="688"/>
        <v>0</v>
      </c>
      <c r="AJ977" s="383">
        <f t="shared" si="689"/>
        <v>0</v>
      </c>
      <c r="AK977" s="383">
        <f t="shared" si="690"/>
        <v>0</v>
      </c>
      <c r="AM977" s="148" t="str">
        <f t="shared" si="691"/>
        <v>Not Schedulled</v>
      </c>
      <c r="AN977" s="148" t="str">
        <f t="shared" si="692"/>
        <v/>
      </c>
      <c r="AO977" s="156">
        <f t="shared" si="693"/>
        <v>0</v>
      </c>
      <c r="AP977" s="148" t="str">
        <f t="shared" si="694"/>
        <v>01/00/1900 00:00-&gt;</v>
      </c>
      <c r="AQ977" s="374">
        <f t="shared" si="695"/>
        <v>0</v>
      </c>
      <c r="AR977" s="148" t="str">
        <f t="shared" si="696"/>
        <v/>
      </c>
      <c r="AS977" s="148" t="str">
        <f t="shared" si="697"/>
        <v/>
      </c>
      <c r="AT977" s="157" t="str">
        <f t="shared" si="698"/>
        <v/>
      </c>
      <c r="AU977" s="157" t="str">
        <f t="shared" si="699"/>
        <v/>
      </c>
      <c r="AV977" s="157" t="str">
        <f t="shared" si="700"/>
        <v/>
      </c>
      <c r="AW977" s="157" t="str">
        <f t="shared" si="701"/>
        <v/>
      </c>
      <c r="AX977" s="376">
        <f t="shared" si="702"/>
        <v>0</v>
      </c>
      <c r="AY977" s="148" t="str">
        <f t="shared" si="703"/>
        <v>-&gt;</v>
      </c>
      <c r="AZ977" s="148" t="str">
        <f t="shared" si="704"/>
        <v>01/00/1900 00:00-&gt;</v>
      </c>
      <c r="BA977" s="148" t="str">
        <f t="shared" si="705"/>
        <v>01/00/1900 00:00-&gt;</v>
      </c>
      <c r="BB977" s="374">
        <f t="shared" si="706"/>
        <v>0</v>
      </c>
      <c r="BC977" s="374">
        <f t="shared" si="707"/>
        <v>0</v>
      </c>
      <c r="BD977" s="148" t="str">
        <f t="shared" si="708"/>
        <v>no conflict</v>
      </c>
      <c r="BF977" s="148" t="str">
        <f t="shared" si="709"/>
        <v>01/00/1900 00:00-&gt;</v>
      </c>
      <c r="BG977" s="148" t="str">
        <f t="shared" si="710"/>
        <v>01/00/1900 00:00-&gt;</v>
      </c>
      <c r="BH977" s="148" t="str">
        <f t="shared" si="711"/>
        <v>01/00/1900 00:00-&gt;</v>
      </c>
      <c r="BI977" s="148" t="str">
        <f t="shared" si="712"/>
        <v xml:space="preserve"> in  ()</v>
      </c>
      <c r="BJ977" s="148" t="str">
        <f t="shared" si="713"/>
        <v xml:space="preserve">--  vs. </v>
      </c>
      <c r="BK977" s="148" t="str">
        <f t="shared" si="714"/>
        <v/>
      </c>
      <c r="BL977" s="148">
        <f t="shared" si="715"/>
        <v>0</v>
      </c>
      <c r="BM977" s="148">
        <f t="shared" si="716"/>
        <v>0</v>
      </c>
      <c r="BN977" s="148">
        <f t="shared" si="717"/>
        <v>0</v>
      </c>
      <c r="BP977" s="148" t="str">
        <f t="shared" si="718"/>
        <v>no game</v>
      </c>
      <c r="BQ977" s="148" t="str">
        <f t="shared" si="719"/>
        <v xml:space="preserve">  in </v>
      </c>
    </row>
    <row r="978" spans="2:69" ht="15" customHeight="1" x14ac:dyDescent="0.2">
      <c r="B978" s="153"/>
      <c r="C978" s="153"/>
      <c r="D978" s="383"/>
      <c r="E978" s="383"/>
      <c r="F978" s="153"/>
      <c r="G978" s="154"/>
      <c r="H978" s="155"/>
      <c r="I978" s="314"/>
      <c r="J978" s="153"/>
      <c r="K978" s="153"/>
      <c r="L978" s="153"/>
      <c r="M978" s="153"/>
      <c r="N978" s="153"/>
      <c r="O978" s="153" t="str">
        <f>IF(L978&lt;&gt;"",IFERROR(VLOOKUP(B978&amp;L978,Pools!$A$2:$D$130,3,FALSE),""),"")</f>
        <v/>
      </c>
      <c r="P978" s="387"/>
      <c r="Q978" s="387"/>
      <c r="R978" s="306" t="str">
        <f t="shared" si="675"/>
        <v>-</v>
      </c>
      <c r="S978" s="153"/>
      <c r="T978" s="148" t="str">
        <f t="shared" si="676"/>
        <v>Pending</v>
      </c>
      <c r="U978" s="153"/>
      <c r="V978" s="153"/>
      <c r="W978" s="387">
        <f t="shared" si="677"/>
        <v>0</v>
      </c>
      <c r="X978" s="387">
        <f t="shared" si="678"/>
        <v>0</v>
      </c>
      <c r="Y978" s="301" t="str">
        <f t="shared" si="679"/>
        <v>X</v>
      </c>
      <c r="Z978" s="301" t="str">
        <f t="shared" si="680"/>
        <v>X</v>
      </c>
      <c r="AA978" s="323" t="e">
        <f>CONCATENATE("                x[team1,team2,sport,'",IF(OR(I978="x",I978=""),VLOOKUP('Schedule from TM'!J978,Tables!$P$3:$Q$33,2,FALSE),'Schedule from TM'!I978),",",J978,"','",IF(OR(F978="x",F978=""),VLOOKUP('Schedule from TM'!G978,Tables!$U$3:$V$14,2,FALSE),'Schedule from TM'!F978),",",TEXT(G978,"mm/dd/yyyy"),"','",TEXT(H978,"h:mm:ss AM/PM"),"'].ub=0.0      #",B978)</f>
        <v>#N/A</v>
      </c>
      <c r="AB978" s="301" t="str">
        <f t="shared" si="681"/>
        <v>,,,,1,</v>
      </c>
      <c r="AC978" s="153" t="str">
        <f t="shared" si="682"/>
        <v/>
      </c>
      <c r="AD978" s="301" t="str">
        <f t="shared" si="683"/>
        <v>,,,,1,</v>
      </c>
      <c r="AE978" s="153" t="str">
        <f t="shared" si="684"/>
        <v/>
      </c>
      <c r="AF978" s="383">
        <f t="shared" si="685"/>
        <v>0</v>
      </c>
      <c r="AG978" s="383">
        <f t="shared" si="686"/>
        <v>0</v>
      </c>
      <c r="AH978" s="383">
        <f t="shared" si="687"/>
        <v>0</v>
      </c>
      <c r="AI978" s="383">
        <f t="shared" si="688"/>
        <v>0</v>
      </c>
      <c r="AJ978" s="383">
        <f t="shared" si="689"/>
        <v>0</v>
      </c>
      <c r="AK978" s="383">
        <f t="shared" si="690"/>
        <v>0</v>
      </c>
      <c r="AM978" s="148" t="str">
        <f t="shared" si="691"/>
        <v>Not Schedulled</v>
      </c>
      <c r="AN978" s="148" t="str">
        <f t="shared" si="692"/>
        <v/>
      </c>
      <c r="AO978" s="156">
        <f t="shared" si="693"/>
        <v>0</v>
      </c>
      <c r="AP978" s="148" t="str">
        <f t="shared" si="694"/>
        <v>01/00/1900 00:00-&gt;</v>
      </c>
      <c r="AQ978" s="374">
        <f t="shared" si="695"/>
        <v>0</v>
      </c>
      <c r="AR978" s="148" t="str">
        <f t="shared" si="696"/>
        <v/>
      </c>
      <c r="AS978" s="148" t="str">
        <f t="shared" si="697"/>
        <v/>
      </c>
      <c r="AT978" s="157" t="str">
        <f t="shared" si="698"/>
        <v/>
      </c>
      <c r="AU978" s="157" t="str">
        <f t="shared" si="699"/>
        <v/>
      </c>
      <c r="AV978" s="157" t="str">
        <f t="shared" si="700"/>
        <v/>
      </c>
      <c r="AW978" s="157" t="str">
        <f t="shared" si="701"/>
        <v/>
      </c>
      <c r="AX978" s="376">
        <f t="shared" si="702"/>
        <v>0</v>
      </c>
      <c r="AY978" s="148" t="str">
        <f t="shared" si="703"/>
        <v>-&gt;</v>
      </c>
      <c r="AZ978" s="148" t="str">
        <f t="shared" si="704"/>
        <v>01/00/1900 00:00-&gt;</v>
      </c>
      <c r="BA978" s="148" t="str">
        <f t="shared" si="705"/>
        <v>01/00/1900 00:00-&gt;</v>
      </c>
      <c r="BB978" s="374">
        <f t="shared" si="706"/>
        <v>0</v>
      </c>
      <c r="BC978" s="374">
        <f t="shared" si="707"/>
        <v>0</v>
      </c>
      <c r="BD978" s="148" t="str">
        <f t="shared" si="708"/>
        <v>no conflict</v>
      </c>
      <c r="BF978" s="148" t="str">
        <f t="shared" si="709"/>
        <v>01/00/1900 00:00-&gt;</v>
      </c>
      <c r="BG978" s="148" t="str">
        <f t="shared" si="710"/>
        <v>01/00/1900 00:00-&gt;</v>
      </c>
      <c r="BH978" s="148" t="str">
        <f t="shared" si="711"/>
        <v>01/00/1900 00:00-&gt;</v>
      </c>
      <c r="BI978" s="148" t="str">
        <f t="shared" si="712"/>
        <v xml:space="preserve"> in  ()</v>
      </c>
      <c r="BJ978" s="148" t="str">
        <f t="shared" si="713"/>
        <v xml:space="preserve">--  vs. </v>
      </c>
      <c r="BK978" s="148" t="str">
        <f t="shared" si="714"/>
        <v/>
      </c>
      <c r="BL978" s="148">
        <f t="shared" si="715"/>
        <v>0</v>
      </c>
      <c r="BM978" s="148">
        <f t="shared" si="716"/>
        <v>0</v>
      </c>
      <c r="BN978" s="148">
        <f t="shared" si="717"/>
        <v>0</v>
      </c>
      <c r="BP978" s="148" t="str">
        <f t="shared" si="718"/>
        <v>no game</v>
      </c>
      <c r="BQ978" s="148" t="str">
        <f t="shared" si="719"/>
        <v xml:space="preserve">  in </v>
      </c>
    </row>
    <row r="979" spans="2:69" ht="15" customHeight="1" x14ac:dyDescent="0.2">
      <c r="B979" s="153"/>
      <c r="C979" s="153"/>
      <c r="D979" s="383"/>
      <c r="E979" s="383"/>
      <c r="F979" s="153"/>
      <c r="G979" s="154"/>
      <c r="H979" s="155"/>
      <c r="I979" s="314"/>
      <c r="J979" s="153"/>
      <c r="K979" s="153"/>
      <c r="L979" s="153"/>
      <c r="M979" s="153"/>
      <c r="N979" s="153"/>
      <c r="O979" s="153" t="str">
        <f>IF(L979&lt;&gt;"",IFERROR(VLOOKUP(B979&amp;L979,Pools!$A$2:$D$130,3,FALSE),""),"")</f>
        <v/>
      </c>
      <c r="P979" s="387"/>
      <c r="Q979" s="387"/>
      <c r="R979" s="306" t="str">
        <f t="shared" si="675"/>
        <v>-</v>
      </c>
      <c r="S979" s="153"/>
      <c r="T979" s="148" t="str">
        <f t="shared" si="676"/>
        <v>Pending</v>
      </c>
      <c r="U979" s="153"/>
      <c r="V979" s="153"/>
      <c r="W979" s="387">
        <f t="shared" si="677"/>
        <v>0</v>
      </c>
      <c r="X979" s="387">
        <f t="shared" si="678"/>
        <v>0</v>
      </c>
      <c r="Y979" s="301" t="str">
        <f t="shared" si="679"/>
        <v>X</v>
      </c>
      <c r="Z979" s="301" t="str">
        <f t="shared" si="680"/>
        <v>X</v>
      </c>
      <c r="AA979" s="323" t="e">
        <f>CONCATENATE("                x[team1,team2,sport,'",IF(OR(I979="x",I979=""),VLOOKUP('Schedule from TM'!J979,Tables!$P$3:$Q$33,2,FALSE),'Schedule from TM'!I979),",",J979,"','",IF(OR(F979="x",F979=""),VLOOKUP('Schedule from TM'!G979,Tables!$U$3:$V$14,2,FALSE),'Schedule from TM'!F979),",",TEXT(G979,"mm/dd/yyyy"),"','",TEXT(H979,"h:mm:ss AM/PM"),"'].ub=0.0      #",B979)</f>
        <v>#N/A</v>
      </c>
      <c r="AB979" s="301" t="str">
        <f t="shared" si="681"/>
        <v>,,,,1,</v>
      </c>
      <c r="AC979" s="153" t="str">
        <f t="shared" si="682"/>
        <v/>
      </c>
      <c r="AD979" s="301" t="str">
        <f t="shared" si="683"/>
        <v>,,,,1,</v>
      </c>
      <c r="AE979" s="153" t="str">
        <f t="shared" si="684"/>
        <v/>
      </c>
      <c r="AF979" s="383">
        <f t="shared" si="685"/>
        <v>0</v>
      </c>
      <c r="AG979" s="383">
        <f t="shared" si="686"/>
        <v>0</v>
      </c>
      <c r="AH979" s="383">
        <f t="shared" si="687"/>
        <v>0</v>
      </c>
      <c r="AI979" s="383">
        <f t="shared" si="688"/>
        <v>0</v>
      </c>
      <c r="AJ979" s="383">
        <f t="shared" si="689"/>
        <v>0</v>
      </c>
      <c r="AK979" s="383">
        <f t="shared" si="690"/>
        <v>0</v>
      </c>
      <c r="AM979" s="148" t="str">
        <f t="shared" si="691"/>
        <v>Not Schedulled</v>
      </c>
      <c r="AN979" s="148" t="str">
        <f t="shared" si="692"/>
        <v/>
      </c>
      <c r="AO979" s="156">
        <f t="shared" si="693"/>
        <v>0</v>
      </c>
      <c r="AP979" s="148" t="str">
        <f t="shared" si="694"/>
        <v>01/00/1900 00:00-&gt;</v>
      </c>
      <c r="AQ979" s="374">
        <f t="shared" si="695"/>
        <v>0</v>
      </c>
      <c r="AR979" s="148" t="str">
        <f t="shared" si="696"/>
        <v/>
      </c>
      <c r="AS979" s="148" t="str">
        <f t="shared" si="697"/>
        <v/>
      </c>
      <c r="AT979" s="157" t="str">
        <f t="shared" si="698"/>
        <v/>
      </c>
      <c r="AU979" s="157" t="str">
        <f t="shared" si="699"/>
        <v/>
      </c>
      <c r="AV979" s="157" t="str">
        <f t="shared" si="700"/>
        <v/>
      </c>
      <c r="AW979" s="157" t="str">
        <f t="shared" si="701"/>
        <v/>
      </c>
      <c r="AX979" s="376">
        <f t="shared" si="702"/>
        <v>0</v>
      </c>
      <c r="AY979" s="148" t="str">
        <f t="shared" si="703"/>
        <v>-&gt;</v>
      </c>
      <c r="AZ979" s="148" t="str">
        <f t="shared" si="704"/>
        <v>01/00/1900 00:00-&gt;</v>
      </c>
      <c r="BA979" s="148" t="str">
        <f t="shared" si="705"/>
        <v>01/00/1900 00:00-&gt;</v>
      </c>
      <c r="BB979" s="374">
        <f t="shared" si="706"/>
        <v>0</v>
      </c>
      <c r="BC979" s="374">
        <f t="shared" si="707"/>
        <v>0</v>
      </c>
      <c r="BD979" s="148" t="str">
        <f t="shared" si="708"/>
        <v>no conflict</v>
      </c>
      <c r="BF979" s="148" t="str">
        <f t="shared" si="709"/>
        <v>01/00/1900 00:00-&gt;</v>
      </c>
      <c r="BG979" s="148" t="str">
        <f t="shared" si="710"/>
        <v>01/00/1900 00:00-&gt;</v>
      </c>
      <c r="BH979" s="148" t="str">
        <f t="shared" si="711"/>
        <v>01/00/1900 00:00-&gt;</v>
      </c>
      <c r="BI979" s="148" t="str">
        <f t="shared" si="712"/>
        <v xml:space="preserve"> in  ()</v>
      </c>
      <c r="BJ979" s="148" t="str">
        <f t="shared" si="713"/>
        <v xml:space="preserve">--  vs. </v>
      </c>
      <c r="BK979" s="148" t="str">
        <f t="shared" si="714"/>
        <v/>
      </c>
      <c r="BL979" s="148">
        <f t="shared" si="715"/>
        <v>0</v>
      </c>
      <c r="BM979" s="148">
        <f t="shared" si="716"/>
        <v>0</v>
      </c>
      <c r="BN979" s="148">
        <f t="shared" si="717"/>
        <v>0</v>
      </c>
      <c r="BP979" s="148" t="str">
        <f t="shared" si="718"/>
        <v>no game</v>
      </c>
      <c r="BQ979" s="148" t="str">
        <f t="shared" si="719"/>
        <v xml:space="preserve">  in </v>
      </c>
    </row>
    <row r="980" spans="2:69" ht="15" customHeight="1" x14ac:dyDescent="0.2">
      <c r="B980" s="153"/>
      <c r="C980" s="153"/>
      <c r="D980" s="383"/>
      <c r="E980" s="383"/>
      <c r="F980" s="153"/>
      <c r="G980" s="154"/>
      <c r="H980" s="155"/>
      <c r="I980" s="314"/>
      <c r="J980" s="153"/>
      <c r="K980" s="153"/>
      <c r="L980" s="153"/>
      <c r="M980" s="153"/>
      <c r="N980" s="153"/>
      <c r="O980" s="153" t="str">
        <f>IF(L980&lt;&gt;"",IFERROR(VLOOKUP(B980&amp;L980,Pools!$A$2:$D$130,3,FALSE),""),"")</f>
        <v/>
      </c>
      <c r="P980" s="387"/>
      <c r="Q980" s="387"/>
      <c r="R980" s="306" t="str">
        <f t="shared" si="675"/>
        <v>-</v>
      </c>
      <c r="S980" s="153"/>
      <c r="T980" s="148" t="str">
        <f t="shared" si="676"/>
        <v>Pending</v>
      </c>
      <c r="U980" s="153"/>
      <c r="V980" s="153"/>
      <c r="W980" s="387">
        <f t="shared" si="677"/>
        <v>0</v>
      </c>
      <c r="X980" s="387">
        <f t="shared" si="678"/>
        <v>0</v>
      </c>
      <c r="Y980" s="301" t="str">
        <f t="shared" si="679"/>
        <v>X</v>
      </c>
      <c r="Z980" s="301" t="str">
        <f t="shared" si="680"/>
        <v>X</v>
      </c>
      <c r="AA980" s="323" t="e">
        <f>CONCATENATE("                x[team1,team2,sport,'",IF(OR(I980="x",I980=""),VLOOKUP('Schedule from TM'!J980,Tables!$P$3:$Q$33,2,FALSE),'Schedule from TM'!I980),",",J980,"','",IF(OR(F980="x",F980=""),VLOOKUP('Schedule from TM'!G980,Tables!$U$3:$V$14,2,FALSE),'Schedule from TM'!F980),",",TEXT(G980,"mm/dd/yyyy"),"','",TEXT(H980,"h:mm:ss AM/PM"),"'].ub=0.0      #",B980)</f>
        <v>#N/A</v>
      </c>
      <c r="AB980" s="301" t="str">
        <f t="shared" si="681"/>
        <v>,,,,1,</v>
      </c>
      <c r="AC980" s="153" t="str">
        <f t="shared" si="682"/>
        <v/>
      </c>
      <c r="AD980" s="301" t="str">
        <f t="shared" si="683"/>
        <v>,,,,1,</v>
      </c>
      <c r="AE980" s="153" t="str">
        <f t="shared" si="684"/>
        <v/>
      </c>
      <c r="AF980" s="383">
        <f t="shared" si="685"/>
        <v>0</v>
      </c>
      <c r="AG980" s="383">
        <f t="shared" si="686"/>
        <v>0</v>
      </c>
      <c r="AH980" s="383">
        <f t="shared" si="687"/>
        <v>0</v>
      </c>
      <c r="AI980" s="383">
        <f t="shared" si="688"/>
        <v>0</v>
      </c>
      <c r="AJ980" s="383">
        <f t="shared" si="689"/>
        <v>0</v>
      </c>
      <c r="AK980" s="383">
        <f t="shared" si="690"/>
        <v>0</v>
      </c>
      <c r="AM980" s="148" t="str">
        <f t="shared" si="691"/>
        <v>Not Schedulled</v>
      </c>
      <c r="AN980" s="148" t="str">
        <f t="shared" si="692"/>
        <v/>
      </c>
      <c r="AO980" s="156">
        <f t="shared" si="693"/>
        <v>0</v>
      </c>
      <c r="AP980" s="148" t="str">
        <f t="shared" si="694"/>
        <v>01/00/1900 00:00-&gt;</v>
      </c>
      <c r="AQ980" s="374">
        <f t="shared" si="695"/>
        <v>0</v>
      </c>
      <c r="AR980" s="148" t="str">
        <f t="shared" si="696"/>
        <v/>
      </c>
      <c r="AS980" s="148" t="str">
        <f t="shared" si="697"/>
        <v/>
      </c>
      <c r="AT980" s="157" t="str">
        <f t="shared" si="698"/>
        <v/>
      </c>
      <c r="AU980" s="157" t="str">
        <f t="shared" si="699"/>
        <v/>
      </c>
      <c r="AV980" s="157" t="str">
        <f t="shared" si="700"/>
        <v/>
      </c>
      <c r="AW980" s="157" t="str">
        <f t="shared" si="701"/>
        <v/>
      </c>
      <c r="AX980" s="376">
        <f t="shared" si="702"/>
        <v>0</v>
      </c>
      <c r="AY980" s="148" t="str">
        <f t="shared" si="703"/>
        <v>-&gt;</v>
      </c>
      <c r="AZ980" s="148" t="str">
        <f t="shared" si="704"/>
        <v>01/00/1900 00:00-&gt;</v>
      </c>
      <c r="BA980" s="148" t="str">
        <f t="shared" si="705"/>
        <v>01/00/1900 00:00-&gt;</v>
      </c>
      <c r="BB980" s="374">
        <f t="shared" si="706"/>
        <v>0</v>
      </c>
      <c r="BC980" s="374">
        <f t="shared" si="707"/>
        <v>0</v>
      </c>
      <c r="BD980" s="148" t="str">
        <f t="shared" si="708"/>
        <v>no conflict</v>
      </c>
      <c r="BF980" s="148" t="str">
        <f t="shared" si="709"/>
        <v>01/00/1900 00:00-&gt;</v>
      </c>
      <c r="BG980" s="148" t="str">
        <f t="shared" si="710"/>
        <v>01/00/1900 00:00-&gt;</v>
      </c>
      <c r="BH980" s="148" t="str">
        <f t="shared" si="711"/>
        <v>01/00/1900 00:00-&gt;</v>
      </c>
      <c r="BI980" s="148" t="str">
        <f t="shared" si="712"/>
        <v xml:space="preserve"> in  ()</v>
      </c>
      <c r="BJ980" s="148" t="str">
        <f t="shared" si="713"/>
        <v xml:space="preserve">--  vs. </v>
      </c>
      <c r="BK980" s="148" t="str">
        <f t="shared" si="714"/>
        <v/>
      </c>
      <c r="BL980" s="148">
        <f t="shared" si="715"/>
        <v>0</v>
      </c>
      <c r="BM980" s="148">
        <f t="shared" si="716"/>
        <v>0</v>
      </c>
      <c r="BN980" s="148">
        <f t="shared" si="717"/>
        <v>0</v>
      </c>
      <c r="BP980" s="148" t="str">
        <f t="shared" si="718"/>
        <v>no game</v>
      </c>
      <c r="BQ980" s="148" t="str">
        <f t="shared" si="719"/>
        <v xml:space="preserve">  in </v>
      </c>
    </row>
    <row r="981" spans="2:69" ht="15" customHeight="1" x14ac:dyDescent="0.2">
      <c r="B981" s="153"/>
      <c r="C981" s="153"/>
      <c r="D981" s="383"/>
      <c r="E981" s="383"/>
      <c r="F981" s="153"/>
      <c r="G981" s="154"/>
      <c r="H981" s="155"/>
      <c r="I981" s="314"/>
      <c r="J981" s="153"/>
      <c r="K981" s="153"/>
      <c r="L981" s="153"/>
      <c r="M981" s="153"/>
      <c r="N981" s="153"/>
      <c r="O981" s="153" t="str">
        <f>IF(L981&lt;&gt;"",IFERROR(VLOOKUP(B981&amp;L981,Pools!$A$2:$D$130,3,FALSE),""),"")</f>
        <v/>
      </c>
      <c r="P981" s="387"/>
      <c r="Q981" s="387"/>
      <c r="R981" s="306" t="str">
        <f t="shared" si="675"/>
        <v>-</v>
      </c>
      <c r="S981" s="153"/>
      <c r="T981" s="148" t="str">
        <f t="shared" si="676"/>
        <v>Pending</v>
      </c>
      <c r="U981" s="153"/>
      <c r="V981" s="153"/>
      <c r="W981" s="387">
        <f t="shared" si="677"/>
        <v>0</v>
      </c>
      <c r="X981" s="387">
        <f t="shared" si="678"/>
        <v>0</v>
      </c>
      <c r="Y981" s="301" t="str">
        <f t="shared" si="679"/>
        <v>X</v>
      </c>
      <c r="Z981" s="301" t="str">
        <f t="shared" si="680"/>
        <v>X</v>
      </c>
      <c r="AA981" s="323" t="e">
        <f>CONCATENATE("                x[team1,team2,sport,'",IF(OR(I981="x",I981=""),VLOOKUP('Schedule from TM'!J981,Tables!$P$3:$Q$33,2,FALSE),'Schedule from TM'!I981),",",J981,"','",IF(OR(F981="x",F981=""),VLOOKUP('Schedule from TM'!G981,Tables!$U$3:$V$14,2,FALSE),'Schedule from TM'!F981),",",TEXT(G981,"mm/dd/yyyy"),"','",TEXT(H981,"h:mm:ss AM/PM"),"'].ub=0.0      #",B981)</f>
        <v>#N/A</v>
      </c>
      <c r="AB981" s="301" t="str">
        <f t="shared" si="681"/>
        <v>,,,,1,</v>
      </c>
      <c r="AC981" s="153" t="str">
        <f t="shared" si="682"/>
        <v/>
      </c>
      <c r="AD981" s="301" t="str">
        <f t="shared" si="683"/>
        <v>,,,,1,</v>
      </c>
      <c r="AE981" s="153" t="str">
        <f t="shared" si="684"/>
        <v/>
      </c>
      <c r="AF981" s="383">
        <f t="shared" si="685"/>
        <v>0</v>
      </c>
      <c r="AG981" s="383">
        <f t="shared" si="686"/>
        <v>0</v>
      </c>
      <c r="AH981" s="383">
        <f t="shared" si="687"/>
        <v>0</v>
      </c>
      <c r="AI981" s="383">
        <f t="shared" si="688"/>
        <v>0</v>
      </c>
      <c r="AJ981" s="383">
        <f t="shared" si="689"/>
        <v>0</v>
      </c>
      <c r="AK981" s="383">
        <f t="shared" si="690"/>
        <v>0</v>
      </c>
      <c r="AM981" s="148" t="str">
        <f t="shared" si="691"/>
        <v>Not Schedulled</v>
      </c>
      <c r="AN981" s="148" t="str">
        <f t="shared" si="692"/>
        <v/>
      </c>
      <c r="AO981" s="156">
        <f t="shared" si="693"/>
        <v>0</v>
      </c>
      <c r="AP981" s="148" t="str">
        <f t="shared" si="694"/>
        <v>01/00/1900 00:00-&gt;</v>
      </c>
      <c r="AQ981" s="374">
        <f t="shared" si="695"/>
        <v>0</v>
      </c>
      <c r="AR981" s="148" t="str">
        <f t="shared" si="696"/>
        <v/>
      </c>
      <c r="AS981" s="148" t="str">
        <f t="shared" si="697"/>
        <v/>
      </c>
      <c r="AT981" s="157" t="str">
        <f t="shared" si="698"/>
        <v/>
      </c>
      <c r="AU981" s="157" t="str">
        <f t="shared" si="699"/>
        <v/>
      </c>
      <c r="AV981" s="157" t="str">
        <f t="shared" si="700"/>
        <v/>
      </c>
      <c r="AW981" s="157" t="str">
        <f t="shared" si="701"/>
        <v/>
      </c>
      <c r="AX981" s="376">
        <f t="shared" si="702"/>
        <v>0</v>
      </c>
      <c r="AY981" s="148" t="str">
        <f t="shared" si="703"/>
        <v>-&gt;</v>
      </c>
      <c r="AZ981" s="148" t="str">
        <f t="shared" si="704"/>
        <v>01/00/1900 00:00-&gt;</v>
      </c>
      <c r="BA981" s="148" t="str">
        <f t="shared" si="705"/>
        <v>01/00/1900 00:00-&gt;</v>
      </c>
      <c r="BB981" s="374">
        <f t="shared" si="706"/>
        <v>0</v>
      </c>
      <c r="BC981" s="374">
        <f t="shared" si="707"/>
        <v>0</v>
      </c>
      <c r="BD981" s="148" t="str">
        <f t="shared" si="708"/>
        <v>no conflict</v>
      </c>
      <c r="BF981" s="148" t="str">
        <f t="shared" si="709"/>
        <v>01/00/1900 00:00-&gt;</v>
      </c>
      <c r="BG981" s="148" t="str">
        <f t="shared" si="710"/>
        <v>01/00/1900 00:00-&gt;</v>
      </c>
      <c r="BH981" s="148" t="str">
        <f t="shared" si="711"/>
        <v>01/00/1900 00:00-&gt;</v>
      </c>
      <c r="BI981" s="148" t="str">
        <f t="shared" si="712"/>
        <v xml:space="preserve"> in  ()</v>
      </c>
      <c r="BJ981" s="148" t="str">
        <f t="shared" si="713"/>
        <v xml:space="preserve">--  vs. </v>
      </c>
      <c r="BK981" s="148" t="str">
        <f t="shared" si="714"/>
        <v/>
      </c>
      <c r="BL981" s="148">
        <f t="shared" si="715"/>
        <v>0</v>
      </c>
      <c r="BM981" s="148">
        <f t="shared" si="716"/>
        <v>0</v>
      </c>
      <c r="BN981" s="148">
        <f t="shared" si="717"/>
        <v>0</v>
      </c>
      <c r="BP981" s="148" t="str">
        <f t="shared" si="718"/>
        <v>no game</v>
      </c>
      <c r="BQ981" s="148" t="str">
        <f t="shared" si="719"/>
        <v xml:space="preserve">  in </v>
      </c>
    </row>
    <row r="982" spans="2:69" ht="15" customHeight="1" x14ac:dyDescent="0.2">
      <c r="B982" s="153"/>
      <c r="C982" s="153"/>
      <c r="D982" s="383"/>
      <c r="E982" s="383"/>
      <c r="F982" s="153"/>
      <c r="G982" s="154"/>
      <c r="H982" s="155"/>
      <c r="I982" s="314"/>
      <c r="J982" s="153"/>
      <c r="K982" s="153"/>
      <c r="L982" s="153"/>
      <c r="M982" s="153"/>
      <c r="N982" s="153"/>
      <c r="O982" s="153" t="str">
        <f>IF(L982&lt;&gt;"",IFERROR(VLOOKUP(B982&amp;L982,Pools!$A$2:$D$130,3,FALSE),""),"")</f>
        <v/>
      </c>
      <c r="P982" s="387"/>
      <c r="Q982" s="387"/>
      <c r="R982" s="306" t="str">
        <f t="shared" si="675"/>
        <v>-</v>
      </c>
      <c r="S982" s="153"/>
      <c r="T982" s="148" t="str">
        <f t="shared" si="676"/>
        <v>Pending</v>
      </c>
      <c r="U982" s="153"/>
      <c r="V982" s="153"/>
      <c r="W982" s="387">
        <f t="shared" si="677"/>
        <v>0</v>
      </c>
      <c r="X982" s="387">
        <f t="shared" si="678"/>
        <v>0</v>
      </c>
      <c r="Y982" s="301" t="str">
        <f t="shared" si="679"/>
        <v>X</v>
      </c>
      <c r="Z982" s="301" t="str">
        <f t="shared" si="680"/>
        <v>X</v>
      </c>
      <c r="AA982" s="323" t="e">
        <f>CONCATENATE("                x[team1,team2,sport,'",IF(OR(I982="x",I982=""),VLOOKUP('Schedule from TM'!J982,Tables!$P$3:$Q$33,2,FALSE),'Schedule from TM'!I982),",",J982,"','",IF(OR(F982="x",F982=""),VLOOKUP('Schedule from TM'!G982,Tables!$U$3:$V$14,2,FALSE),'Schedule from TM'!F982),",",TEXT(G982,"mm/dd/yyyy"),"','",TEXT(H982,"h:mm:ss AM/PM"),"'].ub=0.0      #",B982)</f>
        <v>#N/A</v>
      </c>
      <c r="AB982" s="301" t="str">
        <f t="shared" si="681"/>
        <v>,,,,1,</v>
      </c>
      <c r="AC982" s="153" t="str">
        <f t="shared" si="682"/>
        <v/>
      </c>
      <c r="AD982" s="301" t="str">
        <f t="shared" si="683"/>
        <v>,,,,1,</v>
      </c>
      <c r="AE982" s="153" t="str">
        <f t="shared" si="684"/>
        <v/>
      </c>
      <c r="AF982" s="383">
        <f t="shared" si="685"/>
        <v>0</v>
      </c>
      <c r="AG982" s="383">
        <f t="shared" si="686"/>
        <v>0</v>
      </c>
      <c r="AH982" s="383">
        <f t="shared" si="687"/>
        <v>0</v>
      </c>
      <c r="AI982" s="383">
        <f t="shared" si="688"/>
        <v>0</v>
      </c>
      <c r="AJ982" s="383">
        <f t="shared" si="689"/>
        <v>0</v>
      </c>
      <c r="AK982" s="383">
        <f t="shared" si="690"/>
        <v>0</v>
      </c>
      <c r="AM982" s="148" t="str">
        <f t="shared" si="691"/>
        <v>Not Schedulled</v>
      </c>
      <c r="AN982" s="148" t="str">
        <f t="shared" si="692"/>
        <v/>
      </c>
      <c r="AO982" s="156">
        <f t="shared" si="693"/>
        <v>0</v>
      </c>
      <c r="AP982" s="148" t="str">
        <f t="shared" si="694"/>
        <v>01/00/1900 00:00-&gt;</v>
      </c>
      <c r="AQ982" s="374">
        <f t="shared" si="695"/>
        <v>0</v>
      </c>
      <c r="AR982" s="148" t="str">
        <f t="shared" si="696"/>
        <v/>
      </c>
      <c r="AS982" s="148" t="str">
        <f t="shared" si="697"/>
        <v/>
      </c>
      <c r="AT982" s="157" t="str">
        <f t="shared" si="698"/>
        <v/>
      </c>
      <c r="AU982" s="157" t="str">
        <f t="shared" si="699"/>
        <v/>
      </c>
      <c r="AV982" s="157" t="str">
        <f t="shared" si="700"/>
        <v/>
      </c>
      <c r="AW982" s="157" t="str">
        <f t="shared" si="701"/>
        <v/>
      </c>
      <c r="AX982" s="376">
        <f t="shared" si="702"/>
        <v>0</v>
      </c>
      <c r="AY982" s="148" t="str">
        <f t="shared" si="703"/>
        <v>-&gt;</v>
      </c>
      <c r="AZ982" s="148" t="str">
        <f t="shared" si="704"/>
        <v>01/00/1900 00:00-&gt;</v>
      </c>
      <c r="BA982" s="148" t="str">
        <f t="shared" si="705"/>
        <v>01/00/1900 00:00-&gt;</v>
      </c>
      <c r="BB982" s="374">
        <f t="shared" si="706"/>
        <v>0</v>
      </c>
      <c r="BC982" s="374">
        <f t="shared" si="707"/>
        <v>0</v>
      </c>
      <c r="BD982" s="148" t="str">
        <f t="shared" si="708"/>
        <v>no conflict</v>
      </c>
      <c r="BF982" s="148" t="str">
        <f t="shared" si="709"/>
        <v>01/00/1900 00:00-&gt;</v>
      </c>
      <c r="BG982" s="148" t="str">
        <f t="shared" si="710"/>
        <v>01/00/1900 00:00-&gt;</v>
      </c>
      <c r="BH982" s="148" t="str">
        <f t="shared" si="711"/>
        <v>01/00/1900 00:00-&gt;</v>
      </c>
      <c r="BI982" s="148" t="str">
        <f t="shared" si="712"/>
        <v xml:space="preserve"> in  ()</v>
      </c>
      <c r="BJ982" s="148" t="str">
        <f t="shared" si="713"/>
        <v xml:space="preserve">--  vs. </v>
      </c>
      <c r="BK982" s="148" t="str">
        <f t="shared" si="714"/>
        <v/>
      </c>
      <c r="BL982" s="148">
        <f t="shared" si="715"/>
        <v>0</v>
      </c>
      <c r="BM982" s="148">
        <f t="shared" si="716"/>
        <v>0</v>
      </c>
      <c r="BN982" s="148">
        <f t="shared" si="717"/>
        <v>0</v>
      </c>
      <c r="BP982" s="148" t="str">
        <f t="shared" si="718"/>
        <v>no game</v>
      </c>
      <c r="BQ982" s="148" t="str">
        <f t="shared" si="719"/>
        <v xml:space="preserve">  in </v>
      </c>
    </row>
    <row r="983" spans="2:69" ht="15" customHeight="1" x14ac:dyDescent="0.2">
      <c r="B983" s="153"/>
      <c r="C983" s="153"/>
      <c r="D983" s="383"/>
      <c r="E983" s="383"/>
      <c r="F983" s="153"/>
      <c r="G983" s="154"/>
      <c r="H983" s="155"/>
      <c r="I983" s="314"/>
      <c r="J983" s="153"/>
      <c r="K983" s="153"/>
      <c r="L983" s="153"/>
      <c r="M983" s="153"/>
      <c r="N983" s="153"/>
      <c r="O983" s="153" t="str">
        <f>IF(L983&lt;&gt;"",IFERROR(VLOOKUP(B983&amp;L983,Pools!$A$2:$D$130,3,FALSE),""),"")</f>
        <v/>
      </c>
      <c r="P983" s="387"/>
      <c r="Q983" s="387"/>
      <c r="R983" s="306" t="str">
        <f t="shared" si="675"/>
        <v>-</v>
      </c>
      <c r="S983" s="153"/>
      <c r="T983" s="148" t="str">
        <f t="shared" si="676"/>
        <v>Pending</v>
      </c>
      <c r="U983" s="153"/>
      <c r="V983" s="153"/>
      <c r="W983" s="387">
        <f t="shared" si="677"/>
        <v>0</v>
      </c>
      <c r="X983" s="387">
        <f t="shared" si="678"/>
        <v>0</v>
      </c>
      <c r="Y983" s="301" t="str">
        <f t="shared" si="679"/>
        <v>X</v>
      </c>
      <c r="Z983" s="301" t="str">
        <f t="shared" si="680"/>
        <v>X</v>
      </c>
      <c r="AA983" s="323" t="e">
        <f>CONCATENATE("                x[team1,team2,sport,'",IF(OR(I983="x",I983=""),VLOOKUP('Schedule from TM'!J983,Tables!$P$3:$Q$33,2,FALSE),'Schedule from TM'!I983),",",J983,"','",IF(OR(F983="x",F983=""),VLOOKUP('Schedule from TM'!G983,Tables!$U$3:$V$14,2,FALSE),'Schedule from TM'!F983),",",TEXT(G983,"mm/dd/yyyy"),"','",TEXT(H983,"h:mm:ss AM/PM"),"'].ub=0.0      #",B983)</f>
        <v>#N/A</v>
      </c>
      <c r="AB983" s="301" t="str">
        <f t="shared" si="681"/>
        <v>,,,,1,</v>
      </c>
      <c r="AC983" s="153" t="str">
        <f t="shared" si="682"/>
        <v/>
      </c>
      <c r="AD983" s="301" t="str">
        <f t="shared" si="683"/>
        <v>,,,,1,</v>
      </c>
      <c r="AE983" s="153" t="str">
        <f t="shared" si="684"/>
        <v/>
      </c>
      <c r="AF983" s="383">
        <f t="shared" si="685"/>
        <v>0</v>
      </c>
      <c r="AG983" s="383">
        <f t="shared" si="686"/>
        <v>0</v>
      </c>
      <c r="AH983" s="383">
        <f t="shared" si="687"/>
        <v>0</v>
      </c>
      <c r="AI983" s="383">
        <f t="shared" si="688"/>
        <v>0</v>
      </c>
      <c r="AJ983" s="383">
        <f t="shared" si="689"/>
        <v>0</v>
      </c>
      <c r="AK983" s="383">
        <f t="shared" si="690"/>
        <v>0</v>
      </c>
      <c r="AM983" s="148" t="str">
        <f t="shared" si="691"/>
        <v>Not Schedulled</v>
      </c>
      <c r="AN983" s="148" t="str">
        <f t="shared" si="692"/>
        <v/>
      </c>
      <c r="AO983" s="156">
        <f t="shared" si="693"/>
        <v>0</v>
      </c>
      <c r="AP983" s="148" t="str">
        <f t="shared" si="694"/>
        <v>01/00/1900 00:00-&gt;</v>
      </c>
      <c r="AQ983" s="374">
        <f t="shared" si="695"/>
        <v>0</v>
      </c>
      <c r="AR983" s="148" t="str">
        <f t="shared" si="696"/>
        <v/>
      </c>
      <c r="AS983" s="148" t="str">
        <f t="shared" si="697"/>
        <v/>
      </c>
      <c r="AT983" s="157" t="str">
        <f t="shared" si="698"/>
        <v/>
      </c>
      <c r="AU983" s="157" t="str">
        <f t="shared" si="699"/>
        <v/>
      </c>
      <c r="AV983" s="157" t="str">
        <f t="shared" si="700"/>
        <v/>
      </c>
      <c r="AW983" s="157" t="str">
        <f t="shared" si="701"/>
        <v/>
      </c>
      <c r="AX983" s="376">
        <f t="shared" si="702"/>
        <v>0</v>
      </c>
      <c r="AY983" s="148" t="str">
        <f t="shared" si="703"/>
        <v>-&gt;</v>
      </c>
      <c r="AZ983" s="148" t="str">
        <f t="shared" si="704"/>
        <v>01/00/1900 00:00-&gt;</v>
      </c>
      <c r="BA983" s="148" t="str">
        <f t="shared" si="705"/>
        <v>01/00/1900 00:00-&gt;</v>
      </c>
      <c r="BB983" s="374">
        <f t="shared" si="706"/>
        <v>0</v>
      </c>
      <c r="BC983" s="374">
        <f t="shared" si="707"/>
        <v>0</v>
      </c>
      <c r="BD983" s="148" t="str">
        <f t="shared" si="708"/>
        <v>no conflict</v>
      </c>
      <c r="BF983" s="148" t="str">
        <f t="shared" si="709"/>
        <v>01/00/1900 00:00-&gt;</v>
      </c>
      <c r="BG983" s="148" t="str">
        <f t="shared" si="710"/>
        <v>01/00/1900 00:00-&gt;</v>
      </c>
      <c r="BH983" s="148" t="str">
        <f t="shared" si="711"/>
        <v>01/00/1900 00:00-&gt;</v>
      </c>
      <c r="BI983" s="148" t="str">
        <f t="shared" si="712"/>
        <v xml:space="preserve"> in  ()</v>
      </c>
      <c r="BJ983" s="148" t="str">
        <f t="shared" si="713"/>
        <v xml:space="preserve">--  vs. </v>
      </c>
      <c r="BK983" s="148" t="str">
        <f t="shared" si="714"/>
        <v/>
      </c>
      <c r="BL983" s="148">
        <f t="shared" si="715"/>
        <v>0</v>
      </c>
      <c r="BM983" s="148">
        <f t="shared" si="716"/>
        <v>0</v>
      </c>
      <c r="BN983" s="148">
        <f t="shared" si="717"/>
        <v>0</v>
      </c>
      <c r="BP983" s="148" t="str">
        <f t="shared" si="718"/>
        <v>no game</v>
      </c>
      <c r="BQ983" s="148" t="str">
        <f t="shared" si="719"/>
        <v xml:space="preserve">  in </v>
      </c>
    </row>
    <row r="984" spans="2:69" ht="15" customHeight="1" x14ac:dyDescent="0.2">
      <c r="B984" s="153"/>
      <c r="C984" s="153"/>
      <c r="D984" s="383"/>
      <c r="E984" s="383"/>
      <c r="F984" s="153"/>
      <c r="G984" s="154"/>
      <c r="H984" s="155"/>
      <c r="I984" s="314"/>
      <c r="J984" s="153"/>
      <c r="K984" s="153"/>
      <c r="L984" s="153"/>
      <c r="M984" s="153"/>
      <c r="N984" s="153"/>
      <c r="O984" s="153" t="str">
        <f>IF(L984&lt;&gt;"",IFERROR(VLOOKUP(B984&amp;L984,Pools!$A$2:$D$130,3,FALSE),""),"")</f>
        <v/>
      </c>
      <c r="P984" s="387"/>
      <c r="Q984" s="387"/>
      <c r="R984" s="306" t="str">
        <f t="shared" si="675"/>
        <v>-</v>
      </c>
      <c r="S984" s="153"/>
      <c r="T984" s="148" t="str">
        <f t="shared" si="676"/>
        <v>Pending</v>
      </c>
      <c r="U984" s="153"/>
      <c r="V984" s="153"/>
      <c r="W984" s="387">
        <f t="shared" si="677"/>
        <v>0</v>
      </c>
      <c r="X984" s="387">
        <f t="shared" si="678"/>
        <v>0</v>
      </c>
      <c r="Y984" s="301" t="str">
        <f t="shared" si="679"/>
        <v>X</v>
      </c>
      <c r="Z984" s="301" t="str">
        <f t="shared" si="680"/>
        <v>X</v>
      </c>
      <c r="AA984" s="323" t="e">
        <f>CONCATENATE("                x[team1,team2,sport,'",IF(OR(I984="x",I984=""),VLOOKUP('Schedule from TM'!J984,Tables!$P$3:$Q$33,2,FALSE),'Schedule from TM'!I984),",",J984,"','",IF(OR(F984="x",F984=""),VLOOKUP('Schedule from TM'!G984,Tables!$U$3:$V$14,2,FALSE),'Schedule from TM'!F984),",",TEXT(G984,"mm/dd/yyyy"),"','",TEXT(H984,"h:mm:ss AM/PM"),"'].ub=0.0      #",B984)</f>
        <v>#N/A</v>
      </c>
      <c r="AB984" s="301" t="str">
        <f t="shared" si="681"/>
        <v>,,,,1,</v>
      </c>
      <c r="AC984" s="153" t="str">
        <f t="shared" si="682"/>
        <v/>
      </c>
      <c r="AD984" s="301" t="str">
        <f t="shared" si="683"/>
        <v>,,,,1,</v>
      </c>
      <c r="AE984" s="153" t="str">
        <f t="shared" si="684"/>
        <v/>
      </c>
      <c r="AF984" s="383">
        <f t="shared" si="685"/>
        <v>0</v>
      </c>
      <c r="AG984" s="383">
        <f t="shared" si="686"/>
        <v>0</v>
      </c>
      <c r="AH984" s="383">
        <f t="shared" si="687"/>
        <v>0</v>
      </c>
      <c r="AI984" s="383">
        <f t="shared" si="688"/>
        <v>0</v>
      </c>
      <c r="AJ984" s="383">
        <f t="shared" si="689"/>
        <v>0</v>
      </c>
      <c r="AK984" s="383">
        <f t="shared" si="690"/>
        <v>0</v>
      </c>
      <c r="AM984" s="148" t="str">
        <f t="shared" si="691"/>
        <v>Not Schedulled</v>
      </c>
      <c r="AN984" s="148" t="str">
        <f t="shared" si="692"/>
        <v/>
      </c>
      <c r="AO984" s="156">
        <f t="shared" si="693"/>
        <v>0</v>
      </c>
      <c r="AP984" s="148" t="str">
        <f t="shared" si="694"/>
        <v>01/00/1900 00:00-&gt;</v>
      </c>
      <c r="AQ984" s="374">
        <f t="shared" si="695"/>
        <v>0</v>
      </c>
      <c r="AR984" s="148" t="str">
        <f t="shared" si="696"/>
        <v/>
      </c>
      <c r="AS984" s="148" t="str">
        <f t="shared" si="697"/>
        <v/>
      </c>
      <c r="AT984" s="157" t="str">
        <f t="shared" si="698"/>
        <v/>
      </c>
      <c r="AU984" s="157" t="str">
        <f t="shared" si="699"/>
        <v/>
      </c>
      <c r="AV984" s="157" t="str">
        <f t="shared" si="700"/>
        <v/>
      </c>
      <c r="AW984" s="157" t="str">
        <f t="shared" si="701"/>
        <v/>
      </c>
      <c r="AX984" s="376">
        <f t="shared" si="702"/>
        <v>0</v>
      </c>
      <c r="AY984" s="148" t="str">
        <f t="shared" si="703"/>
        <v>-&gt;</v>
      </c>
      <c r="AZ984" s="148" t="str">
        <f t="shared" si="704"/>
        <v>01/00/1900 00:00-&gt;</v>
      </c>
      <c r="BA984" s="148" t="str">
        <f t="shared" si="705"/>
        <v>01/00/1900 00:00-&gt;</v>
      </c>
      <c r="BB984" s="374">
        <f t="shared" si="706"/>
        <v>0</v>
      </c>
      <c r="BC984" s="374">
        <f t="shared" si="707"/>
        <v>0</v>
      </c>
      <c r="BD984" s="148" t="str">
        <f t="shared" si="708"/>
        <v>no conflict</v>
      </c>
      <c r="BF984" s="148" t="str">
        <f t="shared" si="709"/>
        <v>01/00/1900 00:00-&gt;</v>
      </c>
      <c r="BG984" s="148" t="str">
        <f t="shared" si="710"/>
        <v>01/00/1900 00:00-&gt;</v>
      </c>
      <c r="BH984" s="148" t="str">
        <f t="shared" si="711"/>
        <v>01/00/1900 00:00-&gt;</v>
      </c>
      <c r="BI984" s="148" t="str">
        <f t="shared" si="712"/>
        <v xml:space="preserve"> in  ()</v>
      </c>
      <c r="BJ984" s="148" t="str">
        <f t="shared" si="713"/>
        <v xml:space="preserve">--  vs. </v>
      </c>
      <c r="BK984" s="148" t="str">
        <f t="shared" si="714"/>
        <v/>
      </c>
      <c r="BL984" s="148">
        <f t="shared" si="715"/>
        <v>0</v>
      </c>
      <c r="BM984" s="148">
        <f t="shared" si="716"/>
        <v>0</v>
      </c>
      <c r="BN984" s="148">
        <f t="shared" si="717"/>
        <v>0</v>
      </c>
      <c r="BP984" s="148" t="str">
        <f t="shared" si="718"/>
        <v>no game</v>
      </c>
      <c r="BQ984" s="148" t="str">
        <f t="shared" si="719"/>
        <v xml:space="preserve">  in </v>
      </c>
    </row>
    <row r="985" spans="2:69" ht="15" customHeight="1" x14ac:dyDescent="0.2">
      <c r="B985" s="153"/>
      <c r="C985" s="153"/>
      <c r="D985" s="383"/>
      <c r="E985" s="383"/>
      <c r="F985" s="153"/>
      <c r="G985" s="154"/>
      <c r="H985" s="155"/>
      <c r="I985" s="314"/>
      <c r="J985" s="153"/>
      <c r="K985" s="153"/>
      <c r="L985" s="153"/>
      <c r="M985" s="153"/>
      <c r="N985" s="153"/>
      <c r="O985" s="153" t="str">
        <f>IF(L985&lt;&gt;"",IFERROR(VLOOKUP(B985&amp;L985,Pools!$A$2:$D$130,3,FALSE),""),"")</f>
        <v/>
      </c>
      <c r="P985" s="387"/>
      <c r="Q985" s="387"/>
      <c r="R985" s="306" t="str">
        <f t="shared" si="675"/>
        <v>-</v>
      </c>
      <c r="S985" s="153"/>
      <c r="T985" s="148" t="str">
        <f t="shared" si="676"/>
        <v>Pending</v>
      </c>
      <c r="U985" s="153"/>
      <c r="V985" s="153"/>
      <c r="W985" s="387">
        <f t="shared" si="677"/>
        <v>0</v>
      </c>
      <c r="X985" s="387">
        <f t="shared" si="678"/>
        <v>0</v>
      </c>
      <c r="Y985" s="301" t="str">
        <f t="shared" si="679"/>
        <v>X</v>
      </c>
      <c r="Z985" s="301" t="str">
        <f t="shared" si="680"/>
        <v>X</v>
      </c>
      <c r="AA985" s="323" t="e">
        <f>CONCATENATE("                x[team1,team2,sport,'",IF(OR(I985="x",I985=""),VLOOKUP('Schedule from TM'!J985,Tables!$P$3:$Q$33,2,FALSE),'Schedule from TM'!I985),",",J985,"','",IF(OR(F985="x",F985=""),VLOOKUP('Schedule from TM'!G985,Tables!$U$3:$V$14,2,FALSE),'Schedule from TM'!F985),",",TEXT(G985,"mm/dd/yyyy"),"','",TEXT(H985,"h:mm:ss AM/PM"),"'].ub=0.0      #",B985)</f>
        <v>#N/A</v>
      </c>
      <c r="AB985" s="301" t="str">
        <f t="shared" si="681"/>
        <v>,,,,1,</v>
      </c>
      <c r="AC985" s="153" t="str">
        <f t="shared" si="682"/>
        <v/>
      </c>
      <c r="AD985" s="301" t="str">
        <f t="shared" si="683"/>
        <v>,,,,1,</v>
      </c>
      <c r="AE985" s="153" t="str">
        <f t="shared" si="684"/>
        <v/>
      </c>
      <c r="AF985" s="383">
        <f t="shared" si="685"/>
        <v>0</v>
      </c>
      <c r="AG985" s="383">
        <f t="shared" si="686"/>
        <v>0</v>
      </c>
      <c r="AH985" s="383">
        <f t="shared" si="687"/>
        <v>0</v>
      </c>
      <c r="AI985" s="383">
        <f t="shared" si="688"/>
        <v>0</v>
      </c>
      <c r="AJ985" s="383">
        <f t="shared" si="689"/>
        <v>0</v>
      </c>
      <c r="AK985" s="383">
        <f t="shared" si="690"/>
        <v>0</v>
      </c>
      <c r="AM985" s="148" t="str">
        <f t="shared" si="691"/>
        <v>Not Schedulled</v>
      </c>
      <c r="AN985" s="148" t="str">
        <f t="shared" si="692"/>
        <v/>
      </c>
      <c r="AO985" s="156">
        <f t="shared" si="693"/>
        <v>0</v>
      </c>
      <c r="AP985" s="148" t="str">
        <f t="shared" si="694"/>
        <v>01/00/1900 00:00-&gt;</v>
      </c>
      <c r="AQ985" s="374">
        <f t="shared" si="695"/>
        <v>0</v>
      </c>
      <c r="AR985" s="148" t="str">
        <f t="shared" si="696"/>
        <v/>
      </c>
      <c r="AS985" s="148" t="str">
        <f t="shared" si="697"/>
        <v/>
      </c>
      <c r="AT985" s="157" t="str">
        <f t="shared" si="698"/>
        <v/>
      </c>
      <c r="AU985" s="157" t="str">
        <f t="shared" si="699"/>
        <v/>
      </c>
      <c r="AV985" s="157" t="str">
        <f t="shared" si="700"/>
        <v/>
      </c>
      <c r="AW985" s="157" t="str">
        <f t="shared" si="701"/>
        <v/>
      </c>
      <c r="AX985" s="376">
        <f t="shared" si="702"/>
        <v>0</v>
      </c>
      <c r="AY985" s="148" t="str">
        <f t="shared" si="703"/>
        <v>-&gt;</v>
      </c>
      <c r="AZ985" s="148" t="str">
        <f t="shared" si="704"/>
        <v>01/00/1900 00:00-&gt;</v>
      </c>
      <c r="BA985" s="148" t="str">
        <f t="shared" si="705"/>
        <v>01/00/1900 00:00-&gt;</v>
      </c>
      <c r="BB985" s="374">
        <f t="shared" si="706"/>
        <v>0</v>
      </c>
      <c r="BC985" s="374">
        <f t="shared" si="707"/>
        <v>0</v>
      </c>
      <c r="BD985" s="148" t="str">
        <f t="shared" si="708"/>
        <v>no conflict</v>
      </c>
      <c r="BF985" s="148" t="str">
        <f t="shared" si="709"/>
        <v>01/00/1900 00:00-&gt;</v>
      </c>
      <c r="BG985" s="148" t="str">
        <f t="shared" si="710"/>
        <v>01/00/1900 00:00-&gt;</v>
      </c>
      <c r="BH985" s="148" t="str">
        <f t="shared" si="711"/>
        <v>01/00/1900 00:00-&gt;</v>
      </c>
      <c r="BI985" s="148" t="str">
        <f t="shared" si="712"/>
        <v xml:space="preserve"> in  ()</v>
      </c>
      <c r="BJ985" s="148" t="str">
        <f t="shared" si="713"/>
        <v xml:space="preserve">--  vs. </v>
      </c>
      <c r="BK985" s="148" t="str">
        <f t="shared" si="714"/>
        <v/>
      </c>
      <c r="BL985" s="148">
        <f t="shared" si="715"/>
        <v>0</v>
      </c>
      <c r="BM985" s="148">
        <f t="shared" si="716"/>
        <v>0</v>
      </c>
      <c r="BN985" s="148">
        <f t="shared" si="717"/>
        <v>0</v>
      </c>
      <c r="BP985" s="148" t="str">
        <f t="shared" si="718"/>
        <v>no game</v>
      </c>
      <c r="BQ985" s="148" t="str">
        <f t="shared" si="719"/>
        <v xml:space="preserve">  in </v>
      </c>
    </row>
    <row r="986" spans="2:69" ht="15" customHeight="1" x14ac:dyDescent="0.2">
      <c r="B986" s="153"/>
      <c r="C986" s="153"/>
      <c r="D986" s="383"/>
      <c r="E986" s="383"/>
      <c r="F986" s="153"/>
      <c r="G986" s="154"/>
      <c r="H986" s="155"/>
      <c r="I986" s="314"/>
      <c r="J986" s="153"/>
      <c r="K986" s="153"/>
      <c r="L986" s="153"/>
      <c r="M986" s="153"/>
      <c r="N986" s="153"/>
      <c r="O986" s="153" t="str">
        <f>IF(L986&lt;&gt;"",IFERROR(VLOOKUP(B986&amp;L986,Pools!$A$2:$D$130,3,FALSE),""),"")</f>
        <v/>
      </c>
      <c r="P986" s="387"/>
      <c r="Q986" s="387"/>
      <c r="R986" s="306" t="str">
        <f t="shared" si="675"/>
        <v>-</v>
      </c>
      <c r="S986" s="153"/>
      <c r="T986" s="148" t="str">
        <f t="shared" si="676"/>
        <v>Pending</v>
      </c>
      <c r="U986" s="153"/>
      <c r="V986" s="153"/>
      <c r="W986" s="387">
        <f t="shared" si="677"/>
        <v>0</v>
      </c>
      <c r="X986" s="387">
        <f t="shared" si="678"/>
        <v>0</v>
      </c>
      <c r="Y986" s="301" t="str">
        <f t="shared" si="679"/>
        <v>X</v>
      </c>
      <c r="Z986" s="301" t="str">
        <f t="shared" si="680"/>
        <v>X</v>
      </c>
      <c r="AA986" s="323" t="e">
        <f>CONCATENATE("                x[team1,team2,sport,'",IF(OR(I986="x",I986=""),VLOOKUP('Schedule from TM'!J986,Tables!$P$3:$Q$33,2,FALSE),'Schedule from TM'!I986),",",J986,"','",IF(OR(F986="x",F986=""),VLOOKUP('Schedule from TM'!G986,Tables!$U$3:$V$14,2,FALSE),'Schedule from TM'!F986),",",TEXT(G986,"mm/dd/yyyy"),"','",TEXT(H986,"h:mm:ss AM/PM"),"'].ub=0.0      #",B986)</f>
        <v>#N/A</v>
      </c>
      <c r="AB986" s="301" t="str">
        <f t="shared" si="681"/>
        <v>,,,,1,</v>
      </c>
      <c r="AC986" s="153" t="str">
        <f t="shared" si="682"/>
        <v/>
      </c>
      <c r="AD986" s="301" t="str">
        <f t="shared" si="683"/>
        <v>,,,,1,</v>
      </c>
      <c r="AE986" s="153" t="str">
        <f t="shared" si="684"/>
        <v/>
      </c>
      <c r="AF986" s="383">
        <f t="shared" si="685"/>
        <v>0</v>
      </c>
      <c r="AG986" s="383">
        <f t="shared" si="686"/>
        <v>0</v>
      </c>
      <c r="AH986" s="383">
        <f t="shared" si="687"/>
        <v>0</v>
      </c>
      <c r="AI986" s="383">
        <f t="shared" si="688"/>
        <v>0</v>
      </c>
      <c r="AJ986" s="383">
        <f t="shared" si="689"/>
        <v>0</v>
      </c>
      <c r="AK986" s="383">
        <f t="shared" si="690"/>
        <v>0</v>
      </c>
      <c r="AM986" s="148" t="str">
        <f t="shared" si="691"/>
        <v>Not Schedulled</v>
      </c>
      <c r="AN986" s="148" t="str">
        <f t="shared" si="692"/>
        <v/>
      </c>
      <c r="AO986" s="156">
        <f t="shared" si="693"/>
        <v>0</v>
      </c>
      <c r="AP986" s="148" t="str">
        <f t="shared" si="694"/>
        <v>01/00/1900 00:00-&gt;</v>
      </c>
      <c r="AQ986" s="374">
        <f t="shared" si="695"/>
        <v>0</v>
      </c>
      <c r="AR986" s="148" t="str">
        <f t="shared" si="696"/>
        <v/>
      </c>
      <c r="AS986" s="148" t="str">
        <f t="shared" si="697"/>
        <v/>
      </c>
      <c r="AT986" s="157" t="str">
        <f t="shared" si="698"/>
        <v/>
      </c>
      <c r="AU986" s="157" t="str">
        <f t="shared" si="699"/>
        <v/>
      </c>
      <c r="AV986" s="157" t="str">
        <f t="shared" si="700"/>
        <v/>
      </c>
      <c r="AW986" s="157" t="str">
        <f t="shared" si="701"/>
        <v/>
      </c>
      <c r="AX986" s="376">
        <f t="shared" si="702"/>
        <v>0</v>
      </c>
      <c r="AY986" s="148" t="str">
        <f t="shared" si="703"/>
        <v>-&gt;</v>
      </c>
      <c r="AZ986" s="148" t="str">
        <f t="shared" si="704"/>
        <v>01/00/1900 00:00-&gt;</v>
      </c>
      <c r="BA986" s="148" t="str">
        <f t="shared" si="705"/>
        <v>01/00/1900 00:00-&gt;</v>
      </c>
      <c r="BB986" s="374">
        <f t="shared" si="706"/>
        <v>0</v>
      </c>
      <c r="BC986" s="374">
        <f t="shared" si="707"/>
        <v>0</v>
      </c>
      <c r="BD986" s="148" t="str">
        <f t="shared" si="708"/>
        <v>no conflict</v>
      </c>
      <c r="BF986" s="148" t="str">
        <f t="shared" si="709"/>
        <v>01/00/1900 00:00-&gt;</v>
      </c>
      <c r="BG986" s="148" t="str">
        <f t="shared" si="710"/>
        <v>01/00/1900 00:00-&gt;</v>
      </c>
      <c r="BH986" s="148" t="str">
        <f t="shared" si="711"/>
        <v>01/00/1900 00:00-&gt;</v>
      </c>
      <c r="BI986" s="148" t="str">
        <f t="shared" si="712"/>
        <v xml:space="preserve"> in  ()</v>
      </c>
      <c r="BJ986" s="148" t="str">
        <f t="shared" si="713"/>
        <v xml:space="preserve">--  vs. </v>
      </c>
      <c r="BK986" s="148" t="str">
        <f t="shared" si="714"/>
        <v/>
      </c>
      <c r="BL986" s="148">
        <f t="shared" si="715"/>
        <v>0</v>
      </c>
      <c r="BM986" s="148">
        <f t="shared" si="716"/>
        <v>0</v>
      </c>
      <c r="BN986" s="148">
        <f t="shared" si="717"/>
        <v>0</v>
      </c>
      <c r="BP986" s="148" t="str">
        <f t="shared" si="718"/>
        <v>no game</v>
      </c>
      <c r="BQ986" s="148" t="str">
        <f t="shared" si="719"/>
        <v xml:space="preserve">  in </v>
      </c>
    </row>
    <row r="987" spans="2:69" ht="15" customHeight="1" x14ac:dyDescent="0.2">
      <c r="B987" s="153"/>
      <c r="C987" s="153"/>
      <c r="D987" s="383"/>
      <c r="E987" s="383"/>
      <c r="F987" s="153"/>
      <c r="G987" s="154"/>
      <c r="H987" s="155"/>
      <c r="I987" s="314"/>
      <c r="J987" s="153"/>
      <c r="K987" s="153"/>
      <c r="L987" s="153"/>
      <c r="M987" s="153"/>
      <c r="N987" s="153"/>
      <c r="O987" s="153" t="str">
        <f>IF(L987&lt;&gt;"",IFERROR(VLOOKUP(B987&amp;L987,Pools!$A$2:$D$130,3,FALSE),""),"")</f>
        <v/>
      </c>
      <c r="P987" s="387"/>
      <c r="Q987" s="387"/>
      <c r="R987" s="306" t="str">
        <f t="shared" si="675"/>
        <v>-</v>
      </c>
      <c r="S987" s="153"/>
      <c r="T987" s="148" t="str">
        <f t="shared" si="676"/>
        <v>Pending</v>
      </c>
      <c r="U987" s="153"/>
      <c r="V987" s="153"/>
      <c r="W987" s="387">
        <f t="shared" si="677"/>
        <v>0</v>
      </c>
      <c r="X987" s="387">
        <f t="shared" si="678"/>
        <v>0</v>
      </c>
      <c r="Y987" s="301" t="str">
        <f t="shared" si="679"/>
        <v>X</v>
      </c>
      <c r="Z987" s="301" t="str">
        <f t="shared" si="680"/>
        <v>X</v>
      </c>
      <c r="AA987" s="323" t="e">
        <f>CONCATENATE("                x[team1,team2,sport,'",IF(OR(I987="x",I987=""),VLOOKUP('Schedule from TM'!J987,Tables!$P$3:$Q$33,2,FALSE),'Schedule from TM'!I987),",",J987,"','",IF(OR(F987="x",F987=""),VLOOKUP('Schedule from TM'!G987,Tables!$U$3:$V$14,2,FALSE),'Schedule from TM'!F987),",",TEXT(G987,"mm/dd/yyyy"),"','",TEXT(H987,"h:mm:ss AM/PM"),"'].ub=0.0      #",B987)</f>
        <v>#N/A</v>
      </c>
      <c r="AB987" s="301" t="str">
        <f t="shared" si="681"/>
        <v>,,,,1,</v>
      </c>
      <c r="AC987" s="153" t="str">
        <f t="shared" si="682"/>
        <v/>
      </c>
      <c r="AD987" s="301" t="str">
        <f t="shared" si="683"/>
        <v>,,,,1,</v>
      </c>
      <c r="AE987" s="153" t="str">
        <f t="shared" si="684"/>
        <v/>
      </c>
      <c r="AF987" s="383">
        <f t="shared" si="685"/>
        <v>0</v>
      </c>
      <c r="AG987" s="383">
        <f t="shared" si="686"/>
        <v>0</v>
      </c>
      <c r="AH987" s="383">
        <f t="shared" si="687"/>
        <v>0</v>
      </c>
      <c r="AI987" s="383">
        <f t="shared" si="688"/>
        <v>0</v>
      </c>
      <c r="AJ987" s="383">
        <f t="shared" si="689"/>
        <v>0</v>
      </c>
      <c r="AK987" s="383">
        <f t="shared" si="690"/>
        <v>0</v>
      </c>
      <c r="AM987" s="148" t="str">
        <f t="shared" si="691"/>
        <v>Not Schedulled</v>
      </c>
      <c r="AN987" s="148" t="str">
        <f t="shared" si="692"/>
        <v/>
      </c>
      <c r="AO987" s="156">
        <f t="shared" si="693"/>
        <v>0</v>
      </c>
      <c r="AP987" s="148" t="str">
        <f t="shared" si="694"/>
        <v>01/00/1900 00:00-&gt;</v>
      </c>
      <c r="AQ987" s="374">
        <f t="shared" si="695"/>
        <v>0</v>
      </c>
      <c r="AR987" s="148" t="str">
        <f t="shared" si="696"/>
        <v/>
      </c>
      <c r="AS987" s="148" t="str">
        <f t="shared" si="697"/>
        <v/>
      </c>
      <c r="AT987" s="157" t="str">
        <f t="shared" si="698"/>
        <v/>
      </c>
      <c r="AU987" s="157" t="str">
        <f t="shared" si="699"/>
        <v/>
      </c>
      <c r="AV987" s="157" t="str">
        <f t="shared" si="700"/>
        <v/>
      </c>
      <c r="AW987" s="157" t="str">
        <f t="shared" si="701"/>
        <v/>
      </c>
      <c r="AX987" s="376">
        <f t="shared" si="702"/>
        <v>0</v>
      </c>
      <c r="AY987" s="148" t="str">
        <f t="shared" si="703"/>
        <v>-&gt;</v>
      </c>
      <c r="AZ987" s="148" t="str">
        <f t="shared" si="704"/>
        <v>01/00/1900 00:00-&gt;</v>
      </c>
      <c r="BA987" s="148" t="str">
        <f t="shared" si="705"/>
        <v>01/00/1900 00:00-&gt;</v>
      </c>
      <c r="BB987" s="374">
        <f t="shared" si="706"/>
        <v>0</v>
      </c>
      <c r="BC987" s="374">
        <f t="shared" si="707"/>
        <v>0</v>
      </c>
      <c r="BD987" s="148" t="str">
        <f t="shared" si="708"/>
        <v>no conflict</v>
      </c>
      <c r="BF987" s="148" t="str">
        <f t="shared" si="709"/>
        <v>01/00/1900 00:00-&gt;</v>
      </c>
      <c r="BG987" s="148" t="str">
        <f t="shared" si="710"/>
        <v>01/00/1900 00:00-&gt;</v>
      </c>
      <c r="BH987" s="148" t="str">
        <f t="shared" si="711"/>
        <v>01/00/1900 00:00-&gt;</v>
      </c>
      <c r="BI987" s="148" t="str">
        <f t="shared" si="712"/>
        <v xml:space="preserve"> in  ()</v>
      </c>
      <c r="BJ987" s="148" t="str">
        <f t="shared" si="713"/>
        <v xml:space="preserve">--  vs. </v>
      </c>
      <c r="BK987" s="148" t="str">
        <f t="shared" si="714"/>
        <v/>
      </c>
      <c r="BL987" s="148">
        <f t="shared" si="715"/>
        <v>0</v>
      </c>
      <c r="BM987" s="148">
        <f t="shared" si="716"/>
        <v>0</v>
      </c>
      <c r="BN987" s="148">
        <f t="shared" si="717"/>
        <v>0</v>
      </c>
      <c r="BP987" s="148" t="str">
        <f t="shared" si="718"/>
        <v>no game</v>
      </c>
      <c r="BQ987" s="148" t="str">
        <f t="shared" si="719"/>
        <v xml:space="preserve">  in </v>
      </c>
    </row>
    <row r="988" spans="2:69" ht="15" customHeight="1" x14ac:dyDescent="0.2">
      <c r="B988" s="153"/>
      <c r="C988" s="153"/>
      <c r="D988" s="383"/>
      <c r="E988" s="383"/>
      <c r="F988" s="153"/>
      <c r="G988" s="154"/>
      <c r="H988" s="155"/>
      <c r="I988" s="314"/>
      <c r="J988" s="153"/>
      <c r="K988" s="153"/>
      <c r="L988" s="153"/>
      <c r="M988" s="153"/>
      <c r="N988" s="153"/>
      <c r="O988" s="153" t="str">
        <f>IF(L988&lt;&gt;"",IFERROR(VLOOKUP(B988&amp;L988,Pools!$A$2:$D$130,3,FALSE),""),"")</f>
        <v/>
      </c>
      <c r="P988" s="387"/>
      <c r="Q988" s="387"/>
      <c r="R988" s="306" t="str">
        <f t="shared" si="675"/>
        <v>-</v>
      </c>
      <c r="S988" s="153"/>
      <c r="T988" s="148" t="str">
        <f t="shared" si="676"/>
        <v>Pending</v>
      </c>
      <c r="U988" s="153"/>
      <c r="V988" s="153"/>
      <c r="W988" s="387">
        <f t="shared" si="677"/>
        <v>0</v>
      </c>
      <c r="X988" s="387">
        <f t="shared" si="678"/>
        <v>0</v>
      </c>
      <c r="Y988" s="301" t="str">
        <f t="shared" si="679"/>
        <v>X</v>
      </c>
      <c r="Z988" s="301" t="str">
        <f t="shared" si="680"/>
        <v>X</v>
      </c>
      <c r="AA988" s="323" t="e">
        <f>CONCATENATE("                x[team1,team2,sport,'",IF(OR(I988="x",I988=""),VLOOKUP('Schedule from TM'!J988,Tables!$P$3:$Q$33,2,FALSE),'Schedule from TM'!I988),",",J988,"','",IF(OR(F988="x",F988=""),VLOOKUP('Schedule from TM'!G988,Tables!$U$3:$V$14,2,FALSE),'Schedule from TM'!F988),",",TEXT(G988,"mm/dd/yyyy"),"','",TEXT(H988,"h:mm:ss AM/PM"),"'].ub=0.0      #",B988)</f>
        <v>#N/A</v>
      </c>
      <c r="AB988" s="301" t="str">
        <f t="shared" si="681"/>
        <v>,,,,1,</v>
      </c>
      <c r="AC988" s="153" t="str">
        <f t="shared" si="682"/>
        <v/>
      </c>
      <c r="AD988" s="301" t="str">
        <f t="shared" si="683"/>
        <v>,,,,1,</v>
      </c>
      <c r="AE988" s="153" t="str">
        <f t="shared" si="684"/>
        <v/>
      </c>
      <c r="AF988" s="383">
        <f t="shared" si="685"/>
        <v>0</v>
      </c>
      <c r="AG988" s="383">
        <f t="shared" si="686"/>
        <v>0</v>
      </c>
      <c r="AH988" s="383">
        <f t="shared" si="687"/>
        <v>0</v>
      </c>
      <c r="AI988" s="383">
        <f t="shared" si="688"/>
        <v>0</v>
      </c>
      <c r="AJ988" s="383">
        <f t="shared" si="689"/>
        <v>0</v>
      </c>
      <c r="AK988" s="383">
        <f t="shared" si="690"/>
        <v>0</v>
      </c>
      <c r="AM988" s="148" t="str">
        <f t="shared" si="691"/>
        <v>Not Schedulled</v>
      </c>
      <c r="AN988" s="148" t="str">
        <f t="shared" si="692"/>
        <v/>
      </c>
      <c r="AO988" s="156">
        <f t="shared" si="693"/>
        <v>0</v>
      </c>
      <c r="AP988" s="148" t="str">
        <f t="shared" si="694"/>
        <v>01/00/1900 00:00-&gt;</v>
      </c>
      <c r="AQ988" s="374">
        <f t="shared" si="695"/>
        <v>0</v>
      </c>
      <c r="AR988" s="148" t="str">
        <f t="shared" si="696"/>
        <v/>
      </c>
      <c r="AS988" s="148" t="str">
        <f t="shared" si="697"/>
        <v/>
      </c>
      <c r="AT988" s="157" t="str">
        <f t="shared" si="698"/>
        <v/>
      </c>
      <c r="AU988" s="157" t="str">
        <f t="shared" si="699"/>
        <v/>
      </c>
      <c r="AV988" s="157" t="str">
        <f t="shared" si="700"/>
        <v/>
      </c>
      <c r="AW988" s="157" t="str">
        <f t="shared" si="701"/>
        <v/>
      </c>
      <c r="AX988" s="376">
        <f t="shared" si="702"/>
        <v>0</v>
      </c>
      <c r="AY988" s="148" t="str">
        <f t="shared" si="703"/>
        <v>-&gt;</v>
      </c>
      <c r="AZ988" s="148" t="str">
        <f t="shared" si="704"/>
        <v>01/00/1900 00:00-&gt;</v>
      </c>
      <c r="BA988" s="148" t="str">
        <f t="shared" si="705"/>
        <v>01/00/1900 00:00-&gt;</v>
      </c>
      <c r="BB988" s="374">
        <f t="shared" si="706"/>
        <v>0</v>
      </c>
      <c r="BC988" s="374">
        <f t="shared" si="707"/>
        <v>0</v>
      </c>
      <c r="BD988" s="148" t="str">
        <f t="shared" si="708"/>
        <v>no conflict</v>
      </c>
      <c r="BF988" s="148" t="str">
        <f t="shared" si="709"/>
        <v>01/00/1900 00:00-&gt;</v>
      </c>
      <c r="BG988" s="148" t="str">
        <f t="shared" si="710"/>
        <v>01/00/1900 00:00-&gt;</v>
      </c>
      <c r="BH988" s="148" t="str">
        <f t="shared" si="711"/>
        <v>01/00/1900 00:00-&gt;</v>
      </c>
      <c r="BI988" s="148" t="str">
        <f t="shared" si="712"/>
        <v xml:space="preserve"> in  ()</v>
      </c>
      <c r="BJ988" s="148" t="str">
        <f t="shared" si="713"/>
        <v xml:space="preserve">--  vs. </v>
      </c>
      <c r="BK988" s="148" t="str">
        <f t="shared" si="714"/>
        <v/>
      </c>
      <c r="BL988" s="148">
        <f t="shared" si="715"/>
        <v>0</v>
      </c>
      <c r="BM988" s="148">
        <f t="shared" si="716"/>
        <v>0</v>
      </c>
      <c r="BN988" s="148">
        <f t="shared" si="717"/>
        <v>0</v>
      </c>
      <c r="BP988" s="148" t="str">
        <f t="shared" si="718"/>
        <v>no game</v>
      </c>
      <c r="BQ988" s="148" t="str">
        <f t="shared" si="719"/>
        <v xml:space="preserve">  in </v>
      </c>
    </row>
    <row r="989" spans="2:69" ht="15" customHeight="1" x14ac:dyDescent="0.2">
      <c r="B989" s="153"/>
      <c r="C989" s="153"/>
      <c r="D989" s="383"/>
      <c r="E989" s="383"/>
      <c r="F989" s="153"/>
      <c r="G989" s="154"/>
      <c r="H989" s="155"/>
      <c r="I989" s="314"/>
      <c r="J989" s="153"/>
      <c r="K989" s="153"/>
      <c r="L989" s="153"/>
      <c r="M989" s="153"/>
      <c r="N989" s="153"/>
      <c r="O989" s="153" t="str">
        <f>IF(L989&lt;&gt;"",IFERROR(VLOOKUP(B989&amp;L989,Pools!$A$2:$D$130,3,FALSE),""),"")</f>
        <v/>
      </c>
      <c r="P989" s="387"/>
      <c r="Q989" s="387"/>
      <c r="R989" s="306" t="str">
        <f t="shared" si="675"/>
        <v>-</v>
      </c>
      <c r="S989" s="153"/>
      <c r="T989" s="148" t="str">
        <f t="shared" si="676"/>
        <v>Pending</v>
      </c>
      <c r="U989" s="153"/>
      <c r="V989" s="153"/>
      <c r="W989" s="387">
        <f t="shared" si="677"/>
        <v>0</v>
      </c>
      <c r="X989" s="387">
        <f t="shared" si="678"/>
        <v>0</v>
      </c>
      <c r="Y989" s="301" t="str">
        <f t="shared" si="679"/>
        <v>X</v>
      </c>
      <c r="Z989" s="301" t="str">
        <f t="shared" si="680"/>
        <v>X</v>
      </c>
      <c r="AA989" s="323" t="e">
        <f>CONCATENATE("                x[team1,team2,sport,'",IF(OR(I989="x",I989=""),VLOOKUP('Schedule from TM'!J989,Tables!$P$3:$Q$33,2,FALSE),'Schedule from TM'!I989),",",J989,"','",IF(OR(F989="x",F989=""),VLOOKUP('Schedule from TM'!G989,Tables!$U$3:$V$14,2,FALSE),'Schedule from TM'!F989),",",TEXT(G989,"mm/dd/yyyy"),"','",TEXT(H989,"h:mm:ss AM/PM"),"'].ub=0.0      #",B989)</f>
        <v>#N/A</v>
      </c>
      <c r="AB989" s="301" t="str">
        <f t="shared" si="681"/>
        <v>,,,,1,</v>
      </c>
      <c r="AC989" s="153" t="str">
        <f t="shared" si="682"/>
        <v/>
      </c>
      <c r="AD989" s="301" t="str">
        <f t="shared" si="683"/>
        <v>,,,,1,</v>
      </c>
      <c r="AE989" s="153" t="str">
        <f t="shared" si="684"/>
        <v/>
      </c>
      <c r="AF989" s="383">
        <f t="shared" si="685"/>
        <v>0</v>
      </c>
      <c r="AG989" s="383">
        <f t="shared" si="686"/>
        <v>0</v>
      </c>
      <c r="AH989" s="383">
        <f t="shared" si="687"/>
        <v>0</v>
      </c>
      <c r="AI989" s="383">
        <f t="shared" si="688"/>
        <v>0</v>
      </c>
      <c r="AJ989" s="383">
        <f t="shared" si="689"/>
        <v>0</v>
      </c>
      <c r="AK989" s="383">
        <f t="shared" si="690"/>
        <v>0</v>
      </c>
      <c r="AM989" s="148" t="str">
        <f t="shared" si="691"/>
        <v>Not Schedulled</v>
      </c>
      <c r="AN989" s="148" t="str">
        <f t="shared" si="692"/>
        <v/>
      </c>
      <c r="AO989" s="156">
        <f t="shared" si="693"/>
        <v>0</v>
      </c>
      <c r="AP989" s="148" t="str">
        <f t="shared" si="694"/>
        <v>01/00/1900 00:00-&gt;</v>
      </c>
      <c r="AQ989" s="374">
        <f t="shared" si="695"/>
        <v>0</v>
      </c>
      <c r="AR989" s="148" t="str">
        <f t="shared" si="696"/>
        <v/>
      </c>
      <c r="AS989" s="148" t="str">
        <f t="shared" si="697"/>
        <v/>
      </c>
      <c r="AT989" s="157" t="str">
        <f t="shared" si="698"/>
        <v/>
      </c>
      <c r="AU989" s="157" t="str">
        <f t="shared" si="699"/>
        <v/>
      </c>
      <c r="AV989" s="157" t="str">
        <f t="shared" si="700"/>
        <v/>
      </c>
      <c r="AW989" s="157" t="str">
        <f t="shared" si="701"/>
        <v/>
      </c>
      <c r="AX989" s="376">
        <f t="shared" si="702"/>
        <v>0</v>
      </c>
      <c r="AY989" s="148" t="str">
        <f t="shared" si="703"/>
        <v>-&gt;</v>
      </c>
      <c r="AZ989" s="148" t="str">
        <f t="shared" si="704"/>
        <v>01/00/1900 00:00-&gt;</v>
      </c>
      <c r="BA989" s="148" t="str">
        <f t="shared" si="705"/>
        <v>01/00/1900 00:00-&gt;</v>
      </c>
      <c r="BB989" s="374">
        <f t="shared" si="706"/>
        <v>0</v>
      </c>
      <c r="BC989" s="374">
        <f t="shared" si="707"/>
        <v>0</v>
      </c>
      <c r="BD989" s="148" t="str">
        <f t="shared" si="708"/>
        <v>no conflict</v>
      </c>
      <c r="BF989" s="148" t="str">
        <f t="shared" si="709"/>
        <v>01/00/1900 00:00-&gt;</v>
      </c>
      <c r="BG989" s="148" t="str">
        <f t="shared" si="710"/>
        <v>01/00/1900 00:00-&gt;</v>
      </c>
      <c r="BH989" s="148" t="str">
        <f t="shared" si="711"/>
        <v>01/00/1900 00:00-&gt;</v>
      </c>
      <c r="BI989" s="148" t="str">
        <f t="shared" si="712"/>
        <v xml:space="preserve"> in  ()</v>
      </c>
      <c r="BJ989" s="148" t="str">
        <f t="shared" si="713"/>
        <v xml:space="preserve">--  vs. </v>
      </c>
      <c r="BK989" s="148" t="str">
        <f t="shared" si="714"/>
        <v/>
      </c>
      <c r="BL989" s="148">
        <f t="shared" si="715"/>
        <v>0</v>
      </c>
      <c r="BM989" s="148">
        <f t="shared" si="716"/>
        <v>0</v>
      </c>
      <c r="BN989" s="148">
        <f t="shared" si="717"/>
        <v>0</v>
      </c>
      <c r="BP989" s="148" t="str">
        <f t="shared" si="718"/>
        <v>no game</v>
      </c>
      <c r="BQ989" s="148" t="str">
        <f t="shared" si="719"/>
        <v xml:space="preserve">  in </v>
      </c>
    </row>
    <row r="990" spans="2:69" ht="15" customHeight="1" x14ac:dyDescent="0.2">
      <c r="B990" s="153"/>
      <c r="C990" s="153"/>
      <c r="D990" s="383"/>
      <c r="E990" s="383"/>
      <c r="F990" s="153"/>
      <c r="G990" s="154"/>
      <c r="H990" s="155"/>
      <c r="I990" s="314"/>
      <c r="J990" s="153"/>
      <c r="K990" s="153"/>
      <c r="L990" s="153"/>
      <c r="M990" s="153"/>
      <c r="N990" s="153"/>
      <c r="O990" s="153" t="str">
        <f>IF(L990&lt;&gt;"",IFERROR(VLOOKUP(B990&amp;L990,Pools!$A$2:$D$130,3,FALSE),""),"")</f>
        <v/>
      </c>
      <c r="P990" s="387"/>
      <c r="Q990" s="387"/>
      <c r="R990" s="306" t="str">
        <f t="shared" si="675"/>
        <v>-</v>
      </c>
      <c r="S990" s="153"/>
      <c r="T990" s="148" t="str">
        <f t="shared" si="676"/>
        <v>Pending</v>
      </c>
      <c r="U990" s="153"/>
      <c r="V990" s="153"/>
      <c r="W990" s="387">
        <f t="shared" si="677"/>
        <v>0</v>
      </c>
      <c r="X990" s="387">
        <f t="shared" si="678"/>
        <v>0</v>
      </c>
      <c r="Y990" s="301" t="str">
        <f t="shared" si="679"/>
        <v>X</v>
      </c>
      <c r="Z990" s="301" t="str">
        <f t="shared" si="680"/>
        <v>X</v>
      </c>
      <c r="AA990" s="323" t="e">
        <f>CONCATENATE("                x[team1,team2,sport,'",IF(OR(I990="x",I990=""),VLOOKUP('Schedule from TM'!J990,Tables!$P$3:$Q$33,2,FALSE),'Schedule from TM'!I990),",",J990,"','",IF(OR(F990="x",F990=""),VLOOKUP('Schedule from TM'!G990,Tables!$U$3:$V$14,2,FALSE),'Schedule from TM'!F990),",",TEXT(G990,"mm/dd/yyyy"),"','",TEXT(H990,"h:mm:ss AM/PM"),"'].ub=0.0      #",B990)</f>
        <v>#N/A</v>
      </c>
      <c r="AB990" s="301" t="str">
        <f t="shared" si="681"/>
        <v>,,,,1,</v>
      </c>
      <c r="AC990" s="153" t="str">
        <f t="shared" si="682"/>
        <v/>
      </c>
      <c r="AD990" s="301" t="str">
        <f t="shared" si="683"/>
        <v>,,,,1,</v>
      </c>
      <c r="AE990" s="153" t="str">
        <f t="shared" si="684"/>
        <v/>
      </c>
      <c r="AF990" s="383">
        <f t="shared" si="685"/>
        <v>0</v>
      </c>
      <c r="AG990" s="383">
        <f t="shared" si="686"/>
        <v>0</v>
      </c>
      <c r="AH990" s="383">
        <f t="shared" si="687"/>
        <v>0</v>
      </c>
      <c r="AI990" s="383">
        <f t="shared" si="688"/>
        <v>0</v>
      </c>
      <c r="AJ990" s="383">
        <f t="shared" si="689"/>
        <v>0</v>
      </c>
      <c r="AK990" s="383">
        <f t="shared" si="690"/>
        <v>0</v>
      </c>
      <c r="AM990" s="148" t="str">
        <f t="shared" si="691"/>
        <v>Not Schedulled</v>
      </c>
      <c r="AN990" s="148" t="str">
        <f t="shared" si="692"/>
        <v/>
      </c>
      <c r="AO990" s="156">
        <f t="shared" si="693"/>
        <v>0</v>
      </c>
      <c r="AP990" s="148" t="str">
        <f t="shared" si="694"/>
        <v>01/00/1900 00:00-&gt;</v>
      </c>
      <c r="AQ990" s="374">
        <f t="shared" si="695"/>
        <v>0</v>
      </c>
      <c r="AR990" s="148" t="str">
        <f t="shared" si="696"/>
        <v/>
      </c>
      <c r="AS990" s="148" t="str">
        <f t="shared" si="697"/>
        <v/>
      </c>
      <c r="AT990" s="157" t="str">
        <f t="shared" si="698"/>
        <v/>
      </c>
      <c r="AU990" s="157" t="str">
        <f t="shared" si="699"/>
        <v/>
      </c>
      <c r="AV990" s="157" t="str">
        <f t="shared" si="700"/>
        <v/>
      </c>
      <c r="AW990" s="157" t="str">
        <f t="shared" si="701"/>
        <v/>
      </c>
      <c r="AX990" s="376">
        <f t="shared" si="702"/>
        <v>0</v>
      </c>
      <c r="AY990" s="148" t="str">
        <f t="shared" si="703"/>
        <v>-&gt;</v>
      </c>
      <c r="AZ990" s="148" t="str">
        <f t="shared" si="704"/>
        <v>01/00/1900 00:00-&gt;</v>
      </c>
      <c r="BA990" s="148" t="str">
        <f t="shared" si="705"/>
        <v>01/00/1900 00:00-&gt;</v>
      </c>
      <c r="BB990" s="374">
        <f t="shared" si="706"/>
        <v>0</v>
      </c>
      <c r="BC990" s="374">
        <f t="shared" si="707"/>
        <v>0</v>
      </c>
      <c r="BD990" s="148" t="str">
        <f t="shared" si="708"/>
        <v>no conflict</v>
      </c>
      <c r="BF990" s="148" t="str">
        <f t="shared" si="709"/>
        <v>01/00/1900 00:00-&gt;</v>
      </c>
      <c r="BG990" s="148" t="str">
        <f t="shared" si="710"/>
        <v>01/00/1900 00:00-&gt;</v>
      </c>
      <c r="BH990" s="148" t="str">
        <f t="shared" si="711"/>
        <v>01/00/1900 00:00-&gt;</v>
      </c>
      <c r="BI990" s="148" t="str">
        <f t="shared" si="712"/>
        <v xml:space="preserve"> in  ()</v>
      </c>
      <c r="BJ990" s="148" t="str">
        <f t="shared" si="713"/>
        <v xml:space="preserve">--  vs. </v>
      </c>
      <c r="BK990" s="148" t="str">
        <f t="shared" si="714"/>
        <v/>
      </c>
      <c r="BL990" s="148">
        <f t="shared" si="715"/>
        <v>0</v>
      </c>
      <c r="BM990" s="148">
        <f t="shared" si="716"/>
        <v>0</v>
      </c>
      <c r="BN990" s="148">
        <f t="shared" si="717"/>
        <v>0</v>
      </c>
      <c r="BP990" s="148" t="str">
        <f t="shared" si="718"/>
        <v>no game</v>
      </c>
      <c r="BQ990" s="148" t="str">
        <f t="shared" si="719"/>
        <v xml:space="preserve">  in </v>
      </c>
    </row>
    <row r="991" spans="2:69" ht="15" customHeight="1" x14ac:dyDescent="0.2">
      <c r="B991" s="153"/>
      <c r="C991" s="153"/>
      <c r="D991" s="383"/>
      <c r="E991" s="383"/>
      <c r="F991" s="153"/>
      <c r="G991" s="154"/>
      <c r="H991" s="155"/>
      <c r="I991" s="314"/>
      <c r="J991" s="153"/>
      <c r="K991" s="153"/>
      <c r="L991" s="153"/>
      <c r="M991" s="153"/>
      <c r="N991" s="153"/>
      <c r="O991" s="153" t="str">
        <f>IF(L991&lt;&gt;"",IFERROR(VLOOKUP(B991&amp;L991,Pools!$A$2:$D$130,3,FALSE),""),"")</f>
        <v/>
      </c>
      <c r="P991" s="387"/>
      <c r="Q991" s="387"/>
      <c r="R991" s="306" t="str">
        <f t="shared" si="675"/>
        <v>-</v>
      </c>
      <c r="S991" s="153"/>
      <c r="T991" s="148" t="str">
        <f t="shared" si="676"/>
        <v>Pending</v>
      </c>
      <c r="U991" s="153"/>
      <c r="V991" s="153"/>
      <c r="W991" s="387">
        <f t="shared" si="677"/>
        <v>0</v>
      </c>
      <c r="X991" s="387">
        <f t="shared" si="678"/>
        <v>0</v>
      </c>
      <c r="Y991" s="301" t="str">
        <f t="shared" si="679"/>
        <v>X</v>
      </c>
      <c r="Z991" s="301" t="str">
        <f t="shared" si="680"/>
        <v>X</v>
      </c>
      <c r="AA991" s="323" t="e">
        <f>CONCATENATE("                x[team1,team2,sport,'",IF(OR(I991="x",I991=""),VLOOKUP('Schedule from TM'!J991,Tables!$P$3:$Q$33,2,FALSE),'Schedule from TM'!I991),",",J991,"','",IF(OR(F991="x",F991=""),VLOOKUP('Schedule from TM'!G991,Tables!$U$3:$V$14,2,FALSE),'Schedule from TM'!F991),",",TEXT(G991,"mm/dd/yyyy"),"','",TEXT(H991,"h:mm:ss AM/PM"),"'].ub=0.0      #",B991)</f>
        <v>#N/A</v>
      </c>
      <c r="AB991" s="301" t="str">
        <f t="shared" si="681"/>
        <v>,,,,1,</v>
      </c>
      <c r="AC991" s="153" t="str">
        <f t="shared" si="682"/>
        <v/>
      </c>
      <c r="AD991" s="301" t="str">
        <f t="shared" si="683"/>
        <v>,,,,1,</v>
      </c>
      <c r="AE991" s="153" t="str">
        <f t="shared" si="684"/>
        <v/>
      </c>
      <c r="AF991" s="383">
        <f t="shared" si="685"/>
        <v>0</v>
      </c>
      <c r="AG991" s="383">
        <f t="shared" si="686"/>
        <v>0</v>
      </c>
      <c r="AH991" s="383">
        <f t="shared" si="687"/>
        <v>0</v>
      </c>
      <c r="AI991" s="383">
        <f t="shared" si="688"/>
        <v>0</v>
      </c>
      <c r="AJ991" s="383">
        <f t="shared" si="689"/>
        <v>0</v>
      </c>
      <c r="AK991" s="383">
        <f t="shared" si="690"/>
        <v>0</v>
      </c>
      <c r="AM991" s="148" t="str">
        <f t="shared" si="691"/>
        <v>Not Schedulled</v>
      </c>
      <c r="AN991" s="148" t="str">
        <f t="shared" si="692"/>
        <v/>
      </c>
      <c r="AO991" s="156">
        <f t="shared" si="693"/>
        <v>0</v>
      </c>
      <c r="AP991" s="148" t="str">
        <f t="shared" si="694"/>
        <v>01/00/1900 00:00-&gt;</v>
      </c>
      <c r="AQ991" s="374">
        <f t="shared" si="695"/>
        <v>0</v>
      </c>
      <c r="AR991" s="148" t="str">
        <f t="shared" si="696"/>
        <v/>
      </c>
      <c r="AS991" s="148" t="str">
        <f t="shared" si="697"/>
        <v/>
      </c>
      <c r="AT991" s="157" t="str">
        <f t="shared" si="698"/>
        <v/>
      </c>
      <c r="AU991" s="157" t="str">
        <f t="shared" si="699"/>
        <v/>
      </c>
      <c r="AV991" s="157" t="str">
        <f t="shared" si="700"/>
        <v/>
      </c>
      <c r="AW991" s="157" t="str">
        <f t="shared" si="701"/>
        <v/>
      </c>
      <c r="AX991" s="376">
        <f t="shared" si="702"/>
        <v>0</v>
      </c>
      <c r="AY991" s="148" t="str">
        <f t="shared" si="703"/>
        <v>-&gt;</v>
      </c>
      <c r="AZ991" s="148" t="str">
        <f t="shared" si="704"/>
        <v>01/00/1900 00:00-&gt;</v>
      </c>
      <c r="BA991" s="148" t="str">
        <f t="shared" si="705"/>
        <v>01/00/1900 00:00-&gt;</v>
      </c>
      <c r="BB991" s="374">
        <f t="shared" si="706"/>
        <v>0</v>
      </c>
      <c r="BC991" s="374">
        <f t="shared" si="707"/>
        <v>0</v>
      </c>
      <c r="BD991" s="148" t="str">
        <f t="shared" si="708"/>
        <v>no conflict</v>
      </c>
      <c r="BF991" s="148" t="str">
        <f t="shared" si="709"/>
        <v>01/00/1900 00:00-&gt;</v>
      </c>
      <c r="BG991" s="148" t="str">
        <f t="shared" si="710"/>
        <v>01/00/1900 00:00-&gt;</v>
      </c>
      <c r="BH991" s="148" t="str">
        <f t="shared" si="711"/>
        <v>01/00/1900 00:00-&gt;</v>
      </c>
      <c r="BI991" s="148" t="str">
        <f t="shared" si="712"/>
        <v xml:space="preserve"> in  ()</v>
      </c>
      <c r="BJ991" s="148" t="str">
        <f t="shared" si="713"/>
        <v xml:space="preserve">--  vs. </v>
      </c>
      <c r="BK991" s="148" t="str">
        <f t="shared" si="714"/>
        <v/>
      </c>
      <c r="BL991" s="148">
        <f t="shared" si="715"/>
        <v>0</v>
      </c>
      <c r="BM991" s="148">
        <f t="shared" si="716"/>
        <v>0</v>
      </c>
      <c r="BN991" s="148">
        <f t="shared" si="717"/>
        <v>0</v>
      </c>
      <c r="BP991" s="148" t="str">
        <f t="shared" si="718"/>
        <v>no game</v>
      </c>
      <c r="BQ991" s="148" t="str">
        <f t="shared" si="719"/>
        <v xml:space="preserve">  in </v>
      </c>
    </row>
    <row r="992" spans="2:69" ht="15" customHeight="1" x14ac:dyDescent="0.2">
      <c r="B992" s="153"/>
      <c r="C992" s="153"/>
      <c r="D992" s="383"/>
      <c r="E992" s="383"/>
      <c r="F992" s="153"/>
      <c r="G992" s="154"/>
      <c r="H992" s="155"/>
      <c r="I992" s="314"/>
      <c r="J992" s="153"/>
      <c r="K992" s="153"/>
      <c r="L992" s="153"/>
      <c r="M992" s="153"/>
      <c r="N992" s="153"/>
      <c r="O992" s="153" t="str">
        <f>IF(L992&lt;&gt;"",IFERROR(VLOOKUP(B992&amp;L992,Pools!$A$2:$D$130,3,FALSE),""),"")</f>
        <v/>
      </c>
      <c r="P992" s="387"/>
      <c r="Q992" s="387"/>
      <c r="R992" s="306" t="str">
        <f t="shared" si="675"/>
        <v>-</v>
      </c>
      <c r="S992" s="153"/>
      <c r="T992" s="148" t="str">
        <f t="shared" si="676"/>
        <v>Pending</v>
      </c>
      <c r="U992" s="153"/>
      <c r="V992" s="153"/>
      <c r="W992" s="387">
        <f t="shared" si="677"/>
        <v>0</v>
      </c>
      <c r="X992" s="387">
        <f t="shared" si="678"/>
        <v>0</v>
      </c>
      <c r="Y992" s="301" t="str">
        <f t="shared" si="679"/>
        <v>X</v>
      </c>
      <c r="Z992" s="301" t="str">
        <f t="shared" si="680"/>
        <v>X</v>
      </c>
      <c r="AA992" s="323" t="e">
        <f>CONCATENATE("                x[team1,team2,sport,'",IF(OR(I992="x",I992=""),VLOOKUP('Schedule from TM'!J992,Tables!$P$3:$Q$33,2,FALSE),'Schedule from TM'!I992),",",J992,"','",IF(OR(F992="x",F992=""),VLOOKUP('Schedule from TM'!G992,Tables!$U$3:$V$14,2,FALSE),'Schedule from TM'!F992),",",TEXT(G992,"mm/dd/yyyy"),"','",TEXT(H992,"h:mm:ss AM/PM"),"'].ub=0.0      #",B992)</f>
        <v>#N/A</v>
      </c>
      <c r="AB992" s="301" t="str">
        <f t="shared" si="681"/>
        <v>,,,,1,</v>
      </c>
      <c r="AC992" s="153" t="str">
        <f t="shared" si="682"/>
        <v/>
      </c>
      <c r="AD992" s="301" t="str">
        <f t="shared" si="683"/>
        <v>,,,,1,</v>
      </c>
      <c r="AE992" s="153" t="str">
        <f t="shared" si="684"/>
        <v/>
      </c>
      <c r="AF992" s="383">
        <f t="shared" si="685"/>
        <v>0</v>
      </c>
      <c r="AG992" s="383">
        <f t="shared" si="686"/>
        <v>0</v>
      </c>
      <c r="AH992" s="383">
        <f t="shared" si="687"/>
        <v>0</v>
      </c>
      <c r="AI992" s="383">
        <f t="shared" si="688"/>
        <v>0</v>
      </c>
      <c r="AJ992" s="383">
        <f t="shared" si="689"/>
        <v>0</v>
      </c>
      <c r="AK992" s="383">
        <f t="shared" si="690"/>
        <v>0</v>
      </c>
      <c r="AM992" s="148" t="str">
        <f t="shared" si="691"/>
        <v>Not Schedulled</v>
      </c>
      <c r="AN992" s="148" t="str">
        <f t="shared" si="692"/>
        <v/>
      </c>
      <c r="AO992" s="156">
        <f t="shared" si="693"/>
        <v>0</v>
      </c>
      <c r="AP992" s="148" t="str">
        <f t="shared" si="694"/>
        <v>01/00/1900 00:00-&gt;</v>
      </c>
      <c r="AQ992" s="374">
        <f t="shared" si="695"/>
        <v>0</v>
      </c>
      <c r="AR992" s="148" t="str">
        <f t="shared" si="696"/>
        <v/>
      </c>
      <c r="AS992" s="148" t="str">
        <f t="shared" si="697"/>
        <v/>
      </c>
      <c r="AT992" s="157" t="str">
        <f t="shared" si="698"/>
        <v/>
      </c>
      <c r="AU992" s="157" t="str">
        <f t="shared" si="699"/>
        <v/>
      </c>
      <c r="AV992" s="157" t="str">
        <f t="shared" si="700"/>
        <v/>
      </c>
      <c r="AW992" s="157" t="str">
        <f t="shared" si="701"/>
        <v/>
      </c>
      <c r="AX992" s="376">
        <f t="shared" si="702"/>
        <v>0</v>
      </c>
      <c r="AY992" s="148" t="str">
        <f t="shared" si="703"/>
        <v>-&gt;</v>
      </c>
      <c r="AZ992" s="148" t="str">
        <f t="shared" si="704"/>
        <v>01/00/1900 00:00-&gt;</v>
      </c>
      <c r="BA992" s="148" t="str">
        <f t="shared" si="705"/>
        <v>01/00/1900 00:00-&gt;</v>
      </c>
      <c r="BB992" s="374">
        <f t="shared" si="706"/>
        <v>0</v>
      </c>
      <c r="BC992" s="374">
        <f t="shared" si="707"/>
        <v>0</v>
      </c>
      <c r="BD992" s="148" t="str">
        <f t="shared" si="708"/>
        <v>no conflict</v>
      </c>
      <c r="BF992" s="148" t="str">
        <f t="shared" si="709"/>
        <v>01/00/1900 00:00-&gt;</v>
      </c>
      <c r="BG992" s="148" t="str">
        <f t="shared" si="710"/>
        <v>01/00/1900 00:00-&gt;</v>
      </c>
      <c r="BH992" s="148" t="str">
        <f t="shared" si="711"/>
        <v>01/00/1900 00:00-&gt;</v>
      </c>
      <c r="BI992" s="148" t="str">
        <f t="shared" si="712"/>
        <v xml:space="preserve"> in  ()</v>
      </c>
      <c r="BJ992" s="148" t="str">
        <f t="shared" si="713"/>
        <v xml:space="preserve">--  vs. </v>
      </c>
      <c r="BK992" s="148" t="str">
        <f t="shared" si="714"/>
        <v/>
      </c>
      <c r="BL992" s="148">
        <f t="shared" si="715"/>
        <v>0</v>
      </c>
      <c r="BM992" s="148">
        <f t="shared" si="716"/>
        <v>0</v>
      </c>
      <c r="BN992" s="148">
        <f t="shared" si="717"/>
        <v>0</v>
      </c>
      <c r="BP992" s="148" t="str">
        <f t="shared" si="718"/>
        <v>no game</v>
      </c>
      <c r="BQ992" s="148" t="str">
        <f t="shared" si="719"/>
        <v xml:space="preserve">  in </v>
      </c>
    </row>
    <row r="993" spans="2:69" ht="15" customHeight="1" x14ac:dyDescent="0.2">
      <c r="B993" s="153"/>
      <c r="C993" s="153"/>
      <c r="D993" s="383"/>
      <c r="E993" s="383"/>
      <c r="F993" s="153"/>
      <c r="G993" s="154"/>
      <c r="H993" s="155"/>
      <c r="I993" s="314"/>
      <c r="J993" s="153"/>
      <c r="K993" s="153"/>
      <c r="L993" s="153"/>
      <c r="M993" s="153"/>
      <c r="N993" s="153"/>
      <c r="O993" s="153" t="str">
        <f>IF(L993&lt;&gt;"",IFERROR(VLOOKUP(B993&amp;L993,Pools!$A$2:$D$130,3,FALSE),""),"")</f>
        <v/>
      </c>
      <c r="P993" s="387"/>
      <c r="Q993" s="387"/>
      <c r="R993" s="306" t="str">
        <f t="shared" si="675"/>
        <v>-</v>
      </c>
      <c r="S993" s="153"/>
      <c r="T993" s="148" t="str">
        <f t="shared" si="676"/>
        <v>Pending</v>
      </c>
      <c r="U993" s="153"/>
      <c r="V993" s="153"/>
      <c r="W993" s="387">
        <f t="shared" si="677"/>
        <v>0</v>
      </c>
      <c r="X993" s="387">
        <f t="shared" si="678"/>
        <v>0</v>
      </c>
      <c r="Y993" s="301" t="str">
        <f t="shared" si="679"/>
        <v>X</v>
      </c>
      <c r="Z993" s="301" t="str">
        <f t="shared" si="680"/>
        <v>X</v>
      </c>
      <c r="AA993" s="323" t="e">
        <f>CONCATENATE("                x[team1,team2,sport,'",IF(OR(I993="x",I993=""),VLOOKUP('Schedule from TM'!J993,Tables!$P$3:$Q$33,2,FALSE),'Schedule from TM'!I993),",",J993,"','",IF(OR(F993="x",F993=""),VLOOKUP('Schedule from TM'!G993,Tables!$U$3:$V$14,2,FALSE),'Schedule from TM'!F993),",",TEXT(G993,"mm/dd/yyyy"),"','",TEXT(H993,"h:mm:ss AM/PM"),"'].ub=0.0      #",B993)</f>
        <v>#N/A</v>
      </c>
      <c r="AB993" s="301" t="str">
        <f t="shared" si="681"/>
        <v>,,,,1,</v>
      </c>
      <c r="AC993" s="153" t="str">
        <f t="shared" si="682"/>
        <v/>
      </c>
      <c r="AD993" s="301" t="str">
        <f t="shared" si="683"/>
        <v>,,,,1,</v>
      </c>
      <c r="AE993" s="153" t="str">
        <f t="shared" si="684"/>
        <v/>
      </c>
      <c r="AF993" s="383">
        <f t="shared" si="685"/>
        <v>0</v>
      </c>
      <c r="AG993" s="383">
        <f t="shared" si="686"/>
        <v>0</v>
      </c>
      <c r="AH993" s="383">
        <f t="shared" si="687"/>
        <v>0</v>
      </c>
      <c r="AI993" s="383">
        <f t="shared" si="688"/>
        <v>0</v>
      </c>
      <c r="AJ993" s="383">
        <f t="shared" si="689"/>
        <v>0</v>
      </c>
      <c r="AK993" s="383">
        <f t="shared" si="690"/>
        <v>0</v>
      </c>
      <c r="AM993" s="148" t="str">
        <f t="shared" si="691"/>
        <v>Not Schedulled</v>
      </c>
      <c r="AN993" s="148" t="str">
        <f t="shared" si="692"/>
        <v/>
      </c>
      <c r="AO993" s="156">
        <f t="shared" si="693"/>
        <v>0</v>
      </c>
      <c r="AP993" s="148" t="str">
        <f t="shared" si="694"/>
        <v>01/00/1900 00:00-&gt;</v>
      </c>
      <c r="AQ993" s="374">
        <f t="shared" si="695"/>
        <v>0</v>
      </c>
      <c r="AR993" s="148" t="str">
        <f t="shared" si="696"/>
        <v/>
      </c>
      <c r="AS993" s="148" t="str">
        <f t="shared" si="697"/>
        <v/>
      </c>
      <c r="AT993" s="157" t="str">
        <f t="shared" si="698"/>
        <v/>
      </c>
      <c r="AU993" s="157" t="str">
        <f t="shared" si="699"/>
        <v/>
      </c>
      <c r="AV993" s="157" t="str">
        <f t="shared" si="700"/>
        <v/>
      </c>
      <c r="AW993" s="157" t="str">
        <f t="shared" si="701"/>
        <v/>
      </c>
      <c r="AX993" s="376">
        <f t="shared" si="702"/>
        <v>0</v>
      </c>
      <c r="AY993" s="148" t="str">
        <f t="shared" si="703"/>
        <v>-&gt;</v>
      </c>
      <c r="AZ993" s="148" t="str">
        <f t="shared" si="704"/>
        <v>01/00/1900 00:00-&gt;</v>
      </c>
      <c r="BA993" s="148" t="str">
        <f t="shared" si="705"/>
        <v>01/00/1900 00:00-&gt;</v>
      </c>
      <c r="BB993" s="374">
        <f t="shared" si="706"/>
        <v>0</v>
      </c>
      <c r="BC993" s="374">
        <f t="shared" si="707"/>
        <v>0</v>
      </c>
      <c r="BD993" s="148" t="str">
        <f t="shared" si="708"/>
        <v>no conflict</v>
      </c>
      <c r="BF993" s="148" t="str">
        <f t="shared" si="709"/>
        <v>01/00/1900 00:00-&gt;</v>
      </c>
      <c r="BG993" s="148" t="str">
        <f t="shared" si="710"/>
        <v>01/00/1900 00:00-&gt;</v>
      </c>
      <c r="BH993" s="148" t="str">
        <f t="shared" si="711"/>
        <v>01/00/1900 00:00-&gt;</v>
      </c>
      <c r="BI993" s="148" t="str">
        <f t="shared" si="712"/>
        <v xml:space="preserve"> in  ()</v>
      </c>
      <c r="BJ993" s="148" t="str">
        <f t="shared" si="713"/>
        <v xml:space="preserve">--  vs. </v>
      </c>
      <c r="BK993" s="148" t="str">
        <f t="shared" si="714"/>
        <v/>
      </c>
      <c r="BL993" s="148">
        <f t="shared" si="715"/>
        <v>0</v>
      </c>
      <c r="BM993" s="148">
        <f t="shared" si="716"/>
        <v>0</v>
      </c>
      <c r="BN993" s="148">
        <f t="shared" si="717"/>
        <v>0</v>
      </c>
      <c r="BP993" s="148" t="str">
        <f t="shared" si="718"/>
        <v>no game</v>
      </c>
      <c r="BQ993" s="148" t="str">
        <f t="shared" si="719"/>
        <v xml:space="preserve">  in </v>
      </c>
    </row>
    <row r="994" spans="2:69" ht="15" customHeight="1" x14ac:dyDescent="0.2">
      <c r="B994" s="153"/>
      <c r="C994" s="153"/>
      <c r="D994" s="383"/>
      <c r="E994" s="383"/>
      <c r="F994" s="153"/>
      <c r="G994" s="154"/>
      <c r="H994" s="155"/>
      <c r="I994" s="314"/>
      <c r="J994" s="153"/>
      <c r="K994" s="153"/>
      <c r="L994" s="153"/>
      <c r="M994" s="153"/>
      <c r="N994" s="153"/>
      <c r="O994" s="153" t="str">
        <f>IF(L994&lt;&gt;"",IFERROR(VLOOKUP(B994&amp;L994,Pools!$A$2:$D$130,3,FALSE),""),"")</f>
        <v/>
      </c>
      <c r="P994" s="387"/>
      <c r="Q994" s="387"/>
      <c r="R994" s="306" t="str">
        <f t="shared" si="675"/>
        <v>-</v>
      </c>
      <c r="S994" s="153"/>
      <c r="T994" s="148" t="str">
        <f t="shared" si="676"/>
        <v>Pending</v>
      </c>
      <c r="U994" s="153"/>
      <c r="V994" s="153"/>
      <c r="W994" s="387">
        <f t="shared" si="677"/>
        <v>0</v>
      </c>
      <c r="X994" s="387">
        <f t="shared" si="678"/>
        <v>0</v>
      </c>
      <c r="Y994" s="301" t="str">
        <f t="shared" si="679"/>
        <v>X</v>
      </c>
      <c r="Z994" s="301" t="str">
        <f t="shared" si="680"/>
        <v>X</v>
      </c>
      <c r="AA994" s="323" t="e">
        <f>CONCATENATE("                x[team1,team2,sport,'",IF(OR(I994="x",I994=""),VLOOKUP('Schedule from TM'!J994,Tables!$P$3:$Q$33,2,FALSE),'Schedule from TM'!I994),",",J994,"','",IF(OR(F994="x",F994=""),VLOOKUP('Schedule from TM'!G994,Tables!$U$3:$V$14,2,FALSE),'Schedule from TM'!F994),",",TEXT(G994,"mm/dd/yyyy"),"','",TEXT(H994,"h:mm:ss AM/PM"),"'].ub=0.0      #",B994)</f>
        <v>#N/A</v>
      </c>
      <c r="AB994" s="301" t="str">
        <f t="shared" si="681"/>
        <v>,,,,1,</v>
      </c>
      <c r="AC994" s="153" t="str">
        <f t="shared" si="682"/>
        <v/>
      </c>
      <c r="AD994" s="301" t="str">
        <f t="shared" si="683"/>
        <v>,,,,1,</v>
      </c>
      <c r="AE994" s="153" t="str">
        <f t="shared" si="684"/>
        <v/>
      </c>
      <c r="AF994" s="383">
        <f t="shared" si="685"/>
        <v>0</v>
      </c>
      <c r="AG994" s="383">
        <f t="shared" si="686"/>
        <v>0</v>
      </c>
      <c r="AH994" s="383">
        <f t="shared" si="687"/>
        <v>0</v>
      </c>
      <c r="AI994" s="383">
        <f t="shared" si="688"/>
        <v>0</v>
      </c>
      <c r="AJ994" s="383">
        <f t="shared" si="689"/>
        <v>0</v>
      </c>
      <c r="AK994" s="383">
        <f t="shared" si="690"/>
        <v>0</v>
      </c>
      <c r="AM994" s="148" t="str">
        <f t="shared" si="691"/>
        <v>Not Schedulled</v>
      </c>
      <c r="AN994" s="148" t="str">
        <f t="shared" si="692"/>
        <v/>
      </c>
      <c r="AO994" s="156">
        <f t="shared" si="693"/>
        <v>0</v>
      </c>
      <c r="AP994" s="148" t="str">
        <f t="shared" si="694"/>
        <v>01/00/1900 00:00-&gt;</v>
      </c>
      <c r="AQ994" s="374">
        <f t="shared" si="695"/>
        <v>0</v>
      </c>
      <c r="AR994" s="148" t="str">
        <f t="shared" si="696"/>
        <v/>
      </c>
      <c r="AS994" s="148" t="str">
        <f t="shared" si="697"/>
        <v/>
      </c>
      <c r="AT994" s="157" t="str">
        <f t="shared" si="698"/>
        <v/>
      </c>
      <c r="AU994" s="157" t="str">
        <f t="shared" si="699"/>
        <v/>
      </c>
      <c r="AV994" s="157" t="str">
        <f t="shared" si="700"/>
        <v/>
      </c>
      <c r="AW994" s="157" t="str">
        <f t="shared" si="701"/>
        <v/>
      </c>
      <c r="AX994" s="376">
        <f t="shared" si="702"/>
        <v>0</v>
      </c>
      <c r="AY994" s="148" t="str">
        <f t="shared" si="703"/>
        <v>-&gt;</v>
      </c>
      <c r="AZ994" s="148" t="str">
        <f t="shared" si="704"/>
        <v>01/00/1900 00:00-&gt;</v>
      </c>
      <c r="BA994" s="148" t="str">
        <f t="shared" si="705"/>
        <v>01/00/1900 00:00-&gt;</v>
      </c>
      <c r="BB994" s="374">
        <f t="shared" si="706"/>
        <v>0</v>
      </c>
      <c r="BC994" s="374">
        <f t="shared" si="707"/>
        <v>0</v>
      </c>
      <c r="BD994" s="148" t="str">
        <f t="shared" si="708"/>
        <v>no conflict</v>
      </c>
      <c r="BF994" s="148" t="str">
        <f t="shared" si="709"/>
        <v>01/00/1900 00:00-&gt;</v>
      </c>
      <c r="BG994" s="148" t="str">
        <f t="shared" si="710"/>
        <v>01/00/1900 00:00-&gt;</v>
      </c>
      <c r="BH994" s="148" t="str">
        <f t="shared" si="711"/>
        <v>01/00/1900 00:00-&gt;</v>
      </c>
      <c r="BI994" s="148" t="str">
        <f t="shared" si="712"/>
        <v xml:space="preserve"> in  ()</v>
      </c>
      <c r="BJ994" s="148" t="str">
        <f t="shared" si="713"/>
        <v xml:space="preserve">--  vs. </v>
      </c>
      <c r="BK994" s="148" t="str">
        <f t="shared" si="714"/>
        <v/>
      </c>
      <c r="BL994" s="148">
        <f t="shared" si="715"/>
        <v>0</v>
      </c>
      <c r="BM994" s="148">
        <f t="shared" si="716"/>
        <v>0</v>
      </c>
      <c r="BN994" s="148">
        <f t="shared" si="717"/>
        <v>0</v>
      </c>
      <c r="BP994" s="148" t="str">
        <f t="shared" si="718"/>
        <v>no game</v>
      </c>
      <c r="BQ994" s="148" t="str">
        <f t="shared" si="719"/>
        <v xml:space="preserve">  in </v>
      </c>
    </row>
    <row r="995" spans="2:69" ht="15" customHeight="1" x14ac:dyDescent="0.2">
      <c r="B995" s="153"/>
      <c r="C995" s="153"/>
      <c r="D995" s="383"/>
      <c r="E995" s="383"/>
      <c r="F995" s="153"/>
      <c r="G995" s="154"/>
      <c r="H995" s="155"/>
      <c r="I995" s="314"/>
      <c r="J995" s="153"/>
      <c r="K995" s="153"/>
      <c r="L995" s="153"/>
      <c r="M995" s="153"/>
      <c r="N995" s="153"/>
      <c r="O995" s="153" t="str">
        <f>IF(L995&lt;&gt;"",IFERROR(VLOOKUP(B995&amp;L995,Pools!$A$2:$D$130,3,FALSE),""),"")</f>
        <v/>
      </c>
      <c r="P995" s="387"/>
      <c r="Q995" s="387"/>
      <c r="R995" s="306" t="str">
        <f t="shared" si="675"/>
        <v>-</v>
      </c>
      <c r="S995" s="153"/>
      <c r="T995" s="148" t="str">
        <f t="shared" si="676"/>
        <v>Pending</v>
      </c>
      <c r="U995" s="153"/>
      <c r="V995" s="153"/>
      <c r="W995" s="387">
        <f t="shared" si="677"/>
        <v>0</v>
      </c>
      <c r="X995" s="387">
        <f t="shared" si="678"/>
        <v>0</v>
      </c>
      <c r="Y995" s="301" t="str">
        <f t="shared" si="679"/>
        <v>X</v>
      </c>
      <c r="Z995" s="301" t="str">
        <f t="shared" si="680"/>
        <v>X</v>
      </c>
      <c r="AA995" s="323" t="e">
        <f>CONCATENATE("                x[team1,team2,sport,'",IF(OR(I995="x",I995=""),VLOOKUP('Schedule from TM'!J995,Tables!$P$3:$Q$33,2,FALSE),'Schedule from TM'!I995),",",J995,"','",IF(OR(F995="x",F995=""),VLOOKUP('Schedule from TM'!G995,Tables!$U$3:$V$14,2,FALSE),'Schedule from TM'!F995),",",TEXT(G995,"mm/dd/yyyy"),"','",TEXT(H995,"h:mm:ss AM/PM"),"'].ub=0.0      #",B995)</f>
        <v>#N/A</v>
      </c>
      <c r="AB995" s="301" t="str">
        <f t="shared" si="681"/>
        <v>,,,,1,</v>
      </c>
      <c r="AC995" s="153" t="str">
        <f t="shared" si="682"/>
        <v/>
      </c>
      <c r="AD995" s="301" t="str">
        <f t="shared" si="683"/>
        <v>,,,,1,</v>
      </c>
      <c r="AE995" s="153" t="str">
        <f t="shared" si="684"/>
        <v/>
      </c>
      <c r="AF995" s="383">
        <f t="shared" si="685"/>
        <v>0</v>
      </c>
      <c r="AG995" s="383">
        <f t="shared" si="686"/>
        <v>0</v>
      </c>
      <c r="AH995" s="383">
        <f t="shared" si="687"/>
        <v>0</v>
      </c>
      <c r="AI995" s="383">
        <f t="shared" si="688"/>
        <v>0</v>
      </c>
      <c r="AJ995" s="383">
        <f t="shared" si="689"/>
        <v>0</v>
      </c>
      <c r="AK995" s="383">
        <f t="shared" si="690"/>
        <v>0</v>
      </c>
      <c r="AM995" s="148" t="str">
        <f t="shared" si="691"/>
        <v>Not Schedulled</v>
      </c>
      <c r="AN995" s="148" t="str">
        <f t="shared" si="692"/>
        <v/>
      </c>
      <c r="AO995" s="156">
        <f t="shared" si="693"/>
        <v>0</v>
      </c>
      <c r="AP995" s="148" t="str">
        <f t="shared" si="694"/>
        <v>01/00/1900 00:00-&gt;</v>
      </c>
      <c r="AQ995" s="374">
        <f t="shared" si="695"/>
        <v>0</v>
      </c>
      <c r="AR995" s="148" t="str">
        <f t="shared" si="696"/>
        <v/>
      </c>
      <c r="AS995" s="148" t="str">
        <f t="shared" si="697"/>
        <v/>
      </c>
      <c r="AT995" s="157" t="str">
        <f t="shared" si="698"/>
        <v/>
      </c>
      <c r="AU995" s="157" t="str">
        <f t="shared" si="699"/>
        <v/>
      </c>
      <c r="AV995" s="157" t="str">
        <f t="shared" si="700"/>
        <v/>
      </c>
      <c r="AW995" s="157" t="str">
        <f t="shared" si="701"/>
        <v/>
      </c>
      <c r="AX995" s="376">
        <f t="shared" si="702"/>
        <v>0</v>
      </c>
      <c r="AY995" s="148" t="str">
        <f t="shared" si="703"/>
        <v>-&gt;</v>
      </c>
      <c r="AZ995" s="148" t="str">
        <f t="shared" si="704"/>
        <v>01/00/1900 00:00-&gt;</v>
      </c>
      <c r="BA995" s="148" t="str">
        <f t="shared" si="705"/>
        <v>01/00/1900 00:00-&gt;</v>
      </c>
      <c r="BB995" s="374">
        <f t="shared" si="706"/>
        <v>0</v>
      </c>
      <c r="BC995" s="374">
        <f t="shared" si="707"/>
        <v>0</v>
      </c>
      <c r="BD995" s="148" t="str">
        <f t="shared" si="708"/>
        <v>no conflict</v>
      </c>
      <c r="BF995" s="148" t="str">
        <f t="shared" si="709"/>
        <v>01/00/1900 00:00-&gt;</v>
      </c>
      <c r="BG995" s="148" t="str">
        <f t="shared" si="710"/>
        <v>01/00/1900 00:00-&gt;</v>
      </c>
      <c r="BH995" s="148" t="str">
        <f t="shared" si="711"/>
        <v>01/00/1900 00:00-&gt;</v>
      </c>
      <c r="BI995" s="148" t="str">
        <f t="shared" si="712"/>
        <v xml:space="preserve"> in  ()</v>
      </c>
      <c r="BJ995" s="148" t="str">
        <f t="shared" si="713"/>
        <v xml:space="preserve">--  vs. </v>
      </c>
      <c r="BK995" s="148" t="str">
        <f t="shared" si="714"/>
        <v/>
      </c>
      <c r="BL995" s="148">
        <f t="shared" si="715"/>
        <v>0</v>
      </c>
      <c r="BM995" s="148">
        <f t="shared" si="716"/>
        <v>0</v>
      </c>
      <c r="BN995" s="148">
        <f t="shared" si="717"/>
        <v>0</v>
      </c>
      <c r="BP995" s="148" t="str">
        <f t="shared" si="718"/>
        <v>no game</v>
      </c>
      <c r="BQ995" s="148" t="str">
        <f t="shared" si="719"/>
        <v xml:space="preserve">  in </v>
      </c>
    </row>
    <row r="996" spans="2:69" ht="15" customHeight="1" x14ac:dyDescent="0.2">
      <c r="B996" s="153"/>
      <c r="C996" s="153"/>
      <c r="D996" s="383"/>
      <c r="E996" s="383"/>
      <c r="F996" s="153"/>
      <c r="G996" s="154"/>
      <c r="H996" s="155"/>
      <c r="I996" s="314"/>
      <c r="J996" s="153"/>
      <c r="K996" s="153"/>
      <c r="L996" s="153"/>
      <c r="M996" s="153"/>
      <c r="N996" s="153"/>
      <c r="O996" s="153" t="str">
        <f>IF(L996&lt;&gt;"",IFERROR(VLOOKUP(B996&amp;L996,Pools!$A$2:$D$130,3,FALSE),""),"")</f>
        <v/>
      </c>
      <c r="P996" s="387"/>
      <c r="Q996" s="387"/>
      <c r="R996" s="306" t="str">
        <f t="shared" si="675"/>
        <v>-</v>
      </c>
      <c r="S996" s="153"/>
      <c r="T996" s="148" t="str">
        <f t="shared" si="676"/>
        <v>Pending</v>
      </c>
      <c r="U996" s="153"/>
      <c r="V996" s="153"/>
      <c r="W996" s="387">
        <f t="shared" si="677"/>
        <v>0</v>
      </c>
      <c r="X996" s="387">
        <f t="shared" si="678"/>
        <v>0</v>
      </c>
      <c r="Y996" s="301" t="str">
        <f t="shared" si="679"/>
        <v>X</v>
      </c>
      <c r="Z996" s="301" t="str">
        <f t="shared" si="680"/>
        <v>X</v>
      </c>
      <c r="AA996" s="323" t="e">
        <f>CONCATENATE("                x[team1,team2,sport,'",IF(OR(I996="x",I996=""),VLOOKUP('Schedule from TM'!J996,Tables!$P$3:$Q$33,2,FALSE),'Schedule from TM'!I996),",",J996,"','",IF(OR(F996="x",F996=""),VLOOKUP('Schedule from TM'!G996,Tables!$U$3:$V$14,2,FALSE),'Schedule from TM'!F996),",",TEXT(G996,"mm/dd/yyyy"),"','",TEXT(H996,"h:mm:ss AM/PM"),"'].ub=0.0      #",B996)</f>
        <v>#N/A</v>
      </c>
      <c r="AB996" s="301" t="str">
        <f t="shared" si="681"/>
        <v>,,,,1,</v>
      </c>
      <c r="AC996" s="153" t="str">
        <f t="shared" si="682"/>
        <v/>
      </c>
      <c r="AD996" s="301" t="str">
        <f t="shared" si="683"/>
        <v>,,,,1,</v>
      </c>
      <c r="AE996" s="153" t="str">
        <f t="shared" si="684"/>
        <v/>
      </c>
      <c r="AF996" s="383">
        <f t="shared" si="685"/>
        <v>0</v>
      </c>
      <c r="AG996" s="383">
        <f t="shared" si="686"/>
        <v>0</v>
      </c>
      <c r="AH996" s="383">
        <f t="shared" si="687"/>
        <v>0</v>
      </c>
      <c r="AI996" s="383">
        <f t="shared" si="688"/>
        <v>0</v>
      </c>
      <c r="AJ996" s="383">
        <f t="shared" si="689"/>
        <v>0</v>
      </c>
      <c r="AK996" s="383">
        <f t="shared" si="690"/>
        <v>0</v>
      </c>
      <c r="AM996" s="148" t="str">
        <f t="shared" si="691"/>
        <v>Not Schedulled</v>
      </c>
      <c r="AN996" s="148" t="str">
        <f t="shared" si="692"/>
        <v/>
      </c>
      <c r="AO996" s="156">
        <f t="shared" si="693"/>
        <v>0</v>
      </c>
      <c r="AP996" s="148" t="str">
        <f t="shared" si="694"/>
        <v>01/00/1900 00:00-&gt;</v>
      </c>
      <c r="AQ996" s="374">
        <f t="shared" si="695"/>
        <v>0</v>
      </c>
      <c r="AR996" s="148" t="str">
        <f t="shared" si="696"/>
        <v/>
      </c>
      <c r="AS996" s="148" t="str">
        <f t="shared" si="697"/>
        <v/>
      </c>
      <c r="AT996" s="157" t="str">
        <f t="shared" si="698"/>
        <v/>
      </c>
      <c r="AU996" s="157" t="str">
        <f t="shared" si="699"/>
        <v/>
      </c>
      <c r="AV996" s="157" t="str">
        <f t="shared" si="700"/>
        <v/>
      </c>
      <c r="AW996" s="157" t="str">
        <f t="shared" si="701"/>
        <v/>
      </c>
      <c r="AX996" s="376">
        <f t="shared" si="702"/>
        <v>0</v>
      </c>
      <c r="AY996" s="148" t="str">
        <f t="shared" si="703"/>
        <v>-&gt;</v>
      </c>
      <c r="AZ996" s="148" t="str">
        <f t="shared" si="704"/>
        <v>01/00/1900 00:00-&gt;</v>
      </c>
      <c r="BA996" s="148" t="str">
        <f t="shared" si="705"/>
        <v>01/00/1900 00:00-&gt;</v>
      </c>
      <c r="BB996" s="374">
        <f t="shared" si="706"/>
        <v>0</v>
      </c>
      <c r="BC996" s="374">
        <f t="shared" si="707"/>
        <v>0</v>
      </c>
      <c r="BD996" s="148" t="str">
        <f t="shared" si="708"/>
        <v>no conflict</v>
      </c>
      <c r="BF996" s="148" t="str">
        <f t="shared" si="709"/>
        <v>01/00/1900 00:00-&gt;</v>
      </c>
      <c r="BG996" s="148" t="str">
        <f t="shared" si="710"/>
        <v>01/00/1900 00:00-&gt;</v>
      </c>
      <c r="BH996" s="148" t="str">
        <f t="shared" si="711"/>
        <v>01/00/1900 00:00-&gt;</v>
      </c>
      <c r="BI996" s="148" t="str">
        <f t="shared" si="712"/>
        <v xml:space="preserve"> in  ()</v>
      </c>
      <c r="BJ996" s="148" t="str">
        <f t="shared" si="713"/>
        <v xml:space="preserve">--  vs. </v>
      </c>
      <c r="BK996" s="148" t="str">
        <f t="shared" si="714"/>
        <v/>
      </c>
      <c r="BL996" s="148">
        <f t="shared" si="715"/>
        <v>0</v>
      </c>
      <c r="BM996" s="148">
        <f t="shared" si="716"/>
        <v>0</v>
      </c>
      <c r="BN996" s="148">
        <f t="shared" si="717"/>
        <v>0</v>
      </c>
      <c r="BP996" s="148" t="str">
        <f t="shared" si="718"/>
        <v>no game</v>
      </c>
      <c r="BQ996" s="148" t="str">
        <f t="shared" si="719"/>
        <v xml:space="preserve">  in </v>
      </c>
    </row>
    <row r="997" spans="2:69" ht="15" customHeight="1" x14ac:dyDescent="0.2">
      <c r="B997" s="153"/>
      <c r="C997" s="153"/>
      <c r="D997" s="383"/>
      <c r="E997" s="383"/>
      <c r="F997" s="153"/>
      <c r="G997" s="154"/>
      <c r="H997" s="155"/>
      <c r="I997" s="314"/>
      <c r="J997" s="153"/>
      <c r="K997" s="153"/>
      <c r="L997" s="153"/>
      <c r="M997" s="153"/>
      <c r="N997" s="153"/>
      <c r="O997" s="153" t="str">
        <f>IF(L997&lt;&gt;"",IFERROR(VLOOKUP(B997&amp;L997,Pools!$A$2:$D$130,3,FALSE),""),"")</f>
        <v/>
      </c>
      <c r="P997" s="387"/>
      <c r="Q997" s="387"/>
      <c r="R997" s="306" t="str">
        <f t="shared" si="675"/>
        <v>-</v>
      </c>
      <c r="S997" s="153"/>
      <c r="T997" s="148" t="str">
        <f t="shared" si="676"/>
        <v>Pending</v>
      </c>
      <c r="U997" s="153"/>
      <c r="V997" s="153"/>
      <c r="W997" s="387">
        <f t="shared" si="677"/>
        <v>0</v>
      </c>
      <c r="X997" s="387">
        <f t="shared" si="678"/>
        <v>0</v>
      </c>
      <c r="Y997" s="301" t="str">
        <f t="shared" si="679"/>
        <v>X</v>
      </c>
      <c r="Z997" s="301" t="str">
        <f t="shared" si="680"/>
        <v>X</v>
      </c>
      <c r="AA997" s="323" t="e">
        <f>CONCATENATE("                x[team1,team2,sport,'",IF(OR(I997="x",I997=""),VLOOKUP('Schedule from TM'!J997,Tables!$P$3:$Q$33,2,FALSE),'Schedule from TM'!I997),",",J997,"','",IF(OR(F997="x",F997=""),VLOOKUP('Schedule from TM'!G997,Tables!$U$3:$V$14,2,FALSE),'Schedule from TM'!F997),",",TEXT(G997,"mm/dd/yyyy"),"','",TEXT(H997,"h:mm:ss AM/PM"),"'].ub=0.0      #",B997)</f>
        <v>#N/A</v>
      </c>
      <c r="AB997" s="301" t="str">
        <f t="shared" si="681"/>
        <v>,,,,1,</v>
      </c>
      <c r="AC997" s="153" t="str">
        <f t="shared" si="682"/>
        <v/>
      </c>
      <c r="AD997" s="301" t="str">
        <f t="shared" si="683"/>
        <v>,,,,1,</v>
      </c>
      <c r="AE997" s="153" t="str">
        <f t="shared" si="684"/>
        <v/>
      </c>
      <c r="AF997" s="383">
        <f t="shared" si="685"/>
        <v>0</v>
      </c>
      <c r="AG997" s="383">
        <f t="shared" si="686"/>
        <v>0</v>
      </c>
      <c r="AH997" s="383">
        <f t="shared" si="687"/>
        <v>0</v>
      </c>
      <c r="AI997" s="383">
        <f t="shared" si="688"/>
        <v>0</v>
      </c>
      <c r="AJ997" s="383">
        <f t="shared" si="689"/>
        <v>0</v>
      </c>
      <c r="AK997" s="383">
        <f t="shared" si="690"/>
        <v>0</v>
      </c>
      <c r="AM997" s="148" t="str">
        <f t="shared" si="691"/>
        <v>Not Schedulled</v>
      </c>
      <c r="AN997" s="148" t="str">
        <f t="shared" si="692"/>
        <v/>
      </c>
      <c r="AO997" s="156">
        <f t="shared" si="693"/>
        <v>0</v>
      </c>
      <c r="AP997" s="148" t="str">
        <f t="shared" si="694"/>
        <v>01/00/1900 00:00-&gt;</v>
      </c>
      <c r="AQ997" s="374">
        <f t="shared" si="695"/>
        <v>0</v>
      </c>
      <c r="AR997" s="148" t="str">
        <f t="shared" si="696"/>
        <v/>
      </c>
      <c r="AS997" s="148" t="str">
        <f t="shared" si="697"/>
        <v/>
      </c>
      <c r="AT997" s="157" t="str">
        <f t="shared" si="698"/>
        <v/>
      </c>
      <c r="AU997" s="157" t="str">
        <f t="shared" si="699"/>
        <v/>
      </c>
      <c r="AV997" s="157" t="str">
        <f t="shared" si="700"/>
        <v/>
      </c>
      <c r="AW997" s="157" t="str">
        <f t="shared" si="701"/>
        <v/>
      </c>
      <c r="AX997" s="376">
        <f t="shared" si="702"/>
        <v>0</v>
      </c>
      <c r="AY997" s="148" t="str">
        <f t="shared" si="703"/>
        <v>-&gt;</v>
      </c>
      <c r="AZ997" s="148" t="str">
        <f t="shared" si="704"/>
        <v>01/00/1900 00:00-&gt;</v>
      </c>
      <c r="BA997" s="148" t="str">
        <f t="shared" si="705"/>
        <v>01/00/1900 00:00-&gt;</v>
      </c>
      <c r="BB997" s="374">
        <f t="shared" si="706"/>
        <v>0</v>
      </c>
      <c r="BC997" s="374">
        <f t="shared" si="707"/>
        <v>0</v>
      </c>
      <c r="BD997" s="148" t="str">
        <f t="shared" si="708"/>
        <v>no conflict</v>
      </c>
      <c r="BF997" s="148" t="str">
        <f t="shared" si="709"/>
        <v>01/00/1900 00:00-&gt;</v>
      </c>
      <c r="BG997" s="148" t="str">
        <f t="shared" si="710"/>
        <v>01/00/1900 00:00-&gt;</v>
      </c>
      <c r="BH997" s="148" t="str">
        <f t="shared" si="711"/>
        <v>01/00/1900 00:00-&gt;</v>
      </c>
      <c r="BI997" s="148" t="str">
        <f t="shared" si="712"/>
        <v xml:space="preserve"> in  ()</v>
      </c>
      <c r="BJ997" s="148" t="str">
        <f t="shared" si="713"/>
        <v xml:space="preserve">--  vs. </v>
      </c>
      <c r="BK997" s="148" t="str">
        <f t="shared" si="714"/>
        <v/>
      </c>
      <c r="BL997" s="148">
        <f t="shared" si="715"/>
        <v>0</v>
      </c>
      <c r="BM997" s="148">
        <f t="shared" si="716"/>
        <v>0</v>
      </c>
      <c r="BN997" s="148">
        <f t="shared" si="717"/>
        <v>0</v>
      </c>
      <c r="BP997" s="148" t="str">
        <f t="shared" si="718"/>
        <v>no game</v>
      </c>
      <c r="BQ997" s="148" t="str">
        <f t="shared" si="719"/>
        <v xml:space="preserve">  in </v>
      </c>
    </row>
    <row r="998" spans="2:69" ht="15" customHeight="1" x14ac:dyDescent="0.2">
      <c r="B998" s="153"/>
      <c r="C998" s="153"/>
      <c r="D998" s="383"/>
      <c r="E998" s="383"/>
      <c r="F998" s="153"/>
      <c r="G998" s="154"/>
      <c r="H998" s="155"/>
      <c r="I998" s="314"/>
      <c r="J998" s="153"/>
      <c r="K998" s="153"/>
      <c r="L998" s="153"/>
      <c r="M998" s="153"/>
      <c r="N998" s="153"/>
      <c r="O998" s="153" t="str">
        <f>IF(L998&lt;&gt;"",IFERROR(VLOOKUP(B998&amp;L998,Pools!$A$2:$D$130,3,FALSE),""),"")</f>
        <v/>
      </c>
      <c r="P998" s="387"/>
      <c r="Q998" s="387"/>
      <c r="R998" s="306" t="str">
        <f t="shared" si="675"/>
        <v>-</v>
      </c>
      <c r="S998" s="153"/>
      <c r="T998" s="148" t="str">
        <f t="shared" si="676"/>
        <v>Pending</v>
      </c>
      <c r="U998" s="153"/>
      <c r="V998" s="153"/>
      <c r="W998" s="387">
        <f t="shared" si="677"/>
        <v>0</v>
      </c>
      <c r="X998" s="387">
        <f t="shared" si="678"/>
        <v>0</v>
      </c>
      <c r="Y998" s="301" t="str">
        <f t="shared" si="679"/>
        <v>X</v>
      </c>
      <c r="Z998" s="301" t="str">
        <f t="shared" si="680"/>
        <v>X</v>
      </c>
      <c r="AA998" s="323" t="e">
        <f>CONCATENATE("                x[team1,team2,sport,'",IF(OR(I998="x",I998=""),VLOOKUP('Schedule from TM'!J998,Tables!$P$3:$Q$33,2,FALSE),'Schedule from TM'!I998),",",J998,"','",IF(OR(F998="x",F998=""),VLOOKUP('Schedule from TM'!G998,Tables!$U$3:$V$14,2,FALSE),'Schedule from TM'!F998),",",TEXT(G998,"mm/dd/yyyy"),"','",TEXT(H998,"h:mm:ss AM/PM"),"'].ub=0.0      #",B998)</f>
        <v>#N/A</v>
      </c>
      <c r="AB998" s="301" t="str">
        <f t="shared" si="681"/>
        <v>,,,,1,</v>
      </c>
      <c r="AC998" s="153" t="str">
        <f t="shared" si="682"/>
        <v/>
      </c>
      <c r="AD998" s="301" t="str">
        <f t="shared" si="683"/>
        <v>,,,,1,</v>
      </c>
      <c r="AE998" s="153" t="str">
        <f t="shared" si="684"/>
        <v/>
      </c>
      <c r="AF998" s="383">
        <f t="shared" si="685"/>
        <v>0</v>
      </c>
      <c r="AG998" s="383">
        <f t="shared" si="686"/>
        <v>0</v>
      </c>
      <c r="AH998" s="383">
        <f t="shared" si="687"/>
        <v>0</v>
      </c>
      <c r="AI998" s="383">
        <f t="shared" si="688"/>
        <v>0</v>
      </c>
      <c r="AJ998" s="383">
        <f t="shared" si="689"/>
        <v>0</v>
      </c>
      <c r="AK998" s="383">
        <f t="shared" si="690"/>
        <v>0</v>
      </c>
      <c r="AM998" s="148" t="str">
        <f t="shared" si="691"/>
        <v>Not Schedulled</v>
      </c>
      <c r="AN998" s="148" t="str">
        <f t="shared" si="692"/>
        <v/>
      </c>
      <c r="AO998" s="156">
        <f t="shared" si="693"/>
        <v>0</v>
      </c>
      <c r="AP998" s="148" t="str">
        <f t="shared" si="694"/>
        <v>01/00/1900 00:00-&gt;</v>
      </c>
      <c r="AQ998" s="374">
        <f t="shared" si="695"/>
        <v>0</v>
      </c>
      <c r="AR998" s="148" t="str">
        <f t="shared" si="696"/>
        <v/>
      </c>
      <c r="AS998" s="148" t="str">
        <f t="shared" si="697"/>
        <v/>
      </c>
      <c r="AT998" s="157" t="str">
        <f t="shared" si="698"/>
        <v/>
      </c>
      <c r="AU998" s="157" t="str">
        <f t="shared" si="699"/>
        <v/>
      </c>
      <c r="AV998" s="157" t="str">
        <f t="shared" si="700"/>
        <v/>
      </c>
      <c r="AW998" s="157" t="str">
        <f t="shared" si="701"/>
        <v/>
      </c>
      <c r="AX998" s="376">
        <f t="shared" si="702"/>
        <v>0</v>
      </c>
      <c r="AY998" s="148" t="str">
        <f t="shared" si="703"/>
        <v>-&gt;</v>
      </c>
      <c r="AZ998" s="148" t="str">
        <f t="shared" si="704"/>
        <v>01/00/1900 00:00-&gt;</v>
      </c>
      <c r="BA998" s="148" t="str">
        <f t="shared" si="705"/>
        <v>01/00/1900 00:00-&gt;</v>
      </c>
      <c r="BB998" s="374">
        <f t="shared" si="706"/>
        <v>0</v>
      </c>
      <c r="BC998" s="374">
        <f t="shared" si="707"/>
        <v>0</v>
      </c>
      <c r="BD998" s="148" t="str">
        <f t="shared" si="708"/>
        <v>no conflict</v>
      </c>
      <c r="BF998" s="148" t="str">
        <f t="shared" si="709"/>
        <v>01/00/1900 00:00-&gt;</v>
      </c>
      <c r="BG998" s="148" t="str">
        <f t="shared" si="710"/>
        <v>01/00/1900 00:00-&gt;</v>
      </c>
      <c r="BH998" s="148" t="str">
        <f t="shared" si="711"/>
        <v>01/00/1900 00:00-&gt;</v>
      </c>
      <c r="BI998" s="148" t="str">
        <f t="shared" si="712"/>
        <v xml:space="preserve"> in  ()</v>
      </c>
      <c r="BJ998" s="148" t="str">
        <f t="shared" si="713"/>
        <v xml:space="preserve">--  vs. </v>
      </c>
      <c r="BK998" s="148" t="str">
        <f t="shared" si="714"/>
        <v/>
      </c>
      <c r="BL998" s="148">
        <f t="shared" si="715"/>
        <v>0</v>
      </c>
      <c r="BM998" s="148">
        <f t="shared" si="716"/>
        <v>0</v>
      </c>
      <c r="BN998" s="148">
        <f t="shared" si="717"/>
        <v>0</v>
      </c>
      <c r="BP998" s="148" t="str">
        <f t="shared" si="718"/>
        <v>no game</v>
      </c>
      <c r="BQ998" s="148" t="str">
        <f t="shared" si="719"/>
        <v xml:space="preserve">  in </v>
      </c>
    </row>
    <row r="999" spans="2:69" ht="15" customHeight="1" x14ac:dyDescent="0.2">
      <c r="B999" s="153"/>
      <c r="C999" s="153"/>
      <c r="D999" s="383"/>
      <c r="E999" s="383"/>
      <c r="F999" s="153"/>
      <c r="G999" s="154"/>
      <c r="H999" s="155"/>
      <c r="I999" s="314"/>
      <c r="J999" s="153"/>
      <c r="K999" s="153"/>
      <c r="L999" s="153"/>
      <c r="M999" s="153"/>
      <c r="N999" s="153"/>
      <c r="O999" s="153" t="str">
        <f>IF(L999&lt;&gt;"",IFERROR(VLOOKUP(B999&amp;L999,Pools!$A$2:$D$130,3,FALSE),""),"")</f>
        <v/>
      </c>
      <c r="P999" s="387"/>
      <c r="Q999" s="387"/>
      <c r="R999" s="306" t="str">
        <f t="shared" si="675"/>
        <v>-</v>
      </c>
      <c r="S999" s="153"/>
      <c r="T999" s="148" t="str">
        <f t="shared" si="676"/>
        <v>Pending</v>
      </c>
      <c r="U999" s="153"/>
      <c r="V999" s="153"/>
      <c r="W999" s="387">
        <f t="shared" si="677"/>
        <v>0</v>
      </c>
      <c r="X999" s="387">
        <f t="shared" si="678"/>
        <v>0</v>
      </c>
      <c r="Y999" s="301" t="str">
        <f t="shared" si="679"/>
        <v>X</v>
      </c>
      <c r="Z999" s="301" t="str">
        <f t="shared" si="680"/>
        <v>X</v>
      </c>
      <c r="AA999" s="323" t="e">
        <f>CONCATENATE("                x[team1,team2,sport,'",IF(OR(I999="x",I999=""),VLOOKUP('Schedule from TM'!J999,Tables!$P$3:$Q$33,2,FALSE),'Schedule from TM'!I999),",",J999,"','",IF(OR(F999="x",F999=""),VLOOKUP('Schedule from TM'!G999,Tables!$U$3:$V$14,2,FALSE),'Schedule from TM'!F999),",",TEXT(G999,"mm/dd/yyyy"),"','",TEXT(H999,"h:mm:ss AM/PM"),"'].ub=0.0      #",B999)</f>
        <v>#N/A</v>
      </c>
      <c r="AB999" s="301" t="str">
        <f t="shared" si="681"/>
        <v>,,,,1,</v>
      </c>
      <c r="AC999" s="153" t="str">
        <f t="shared" si="682"/>
        <v/>
      </c>
      <c r="AD999" s="301" t="str">
        <f t="shared" si="683"/>
        <v>,,,,1,</v>
      </c>
      <c r="AE999" s="153" t="str">
        <f t="shared" si="684"/>
        <v/>
      </c>
      <c r="AF999" s="383">
        <f t="shared" si="685"/>
        <v>0</v>
      </c>
      <c r="AG999" s="383">
        <f t="shared" si="686"/>
        <v>0</v>
      </c>
      <c r="AH999" s="383">
        <f t="shared" si="687"/>
        <v>0</v>
      </c>
      <c r="AI999" s="383">
        <f t="shared" si="688"/>
        <v>0</v>
      </c>
      <c r="AJ999" s="383">
        <f t="shared" si="689"/>
        <v>0</v>
      </c>
      <c r="AK999" s="383">
        <f t="shared" si="690"/>
        <v>0</v>
      </c>
      <c r="AM999" s="148" t="str">
        <f t="shared" si="691"/>
        <v>Not Schedulled</v>
      </c>
      <c r="AN999" s="148" t="str">
        <f t="shared" si="692"/>
        <v/>
      </c>
      <c r="AO999" s="156">
        <f t="shared" si="693"/>
        <v>0</v>
      </c>
      <c r="AP999" s="148" t="str">
        <f t="shared" si="694"/>
        <v>01/00/1900 00:00-&gt;</v>
      </c>
      <c r="AQ999" s="374">
        <f t="shared" si="695"/>
        <v>0</v>
      </c>
      <c r="AR999" s="148" t="str">
        <f t="shared" si="696"/>
        <v/>
      </c>
      <c r="AS999" s="148" t="str">
        <f t="shared" si="697"/>
        <v/>
      </c>
      <c r="AT999" s="157" t="str">
        <f t="shared" si="698"/>
        <v/>
      </c>
      <c r="AU999" s="157" t="str">
        <f t="shared" si="699"/>
        <v/>
      </c>
      <c r="AV999" s="157" t="str">
        <f t="shared" si="700"/>
        <v/>
      </c>
      <c r="AW999" s="157" t="str">
        <f t="shared" si="701"/>
        <v/>
      </c>
      <c r="AX999" s="376">
        <f t="shared" si="702"/>
        <v>0</v>
      </c>
      <c r="AY999" s="148" t="str">
        <f t="shared" si="703"/>
        <v>-&gt;</v>
      </c>
      <c r="AZ999" s="148" t="str">
        <f t="shared" si="704"/>
        <v>01/00/1900 00:00-&gt;</v>
      </c>
      <c r="BA999" s="148" t="str">
        <f t="shared" si="705"/>
        <v>01/00/1900 00:00-&gt;</v>
      </c>
      <c r="BB999" s="374">
        <f t="shared" si="706"/>
        <v>0</v>
      </c>
      <c r="BC999" s="374">
        <f t="shared" si="707"/>
        <v>0</v>
      </c>
      <c r="BD999" s="148" t="str">
        <f t="shared" si="708"/>
        <v>no conflict</v>
      </c>
      <c r="BF999" s="148" t="str">
        <f t="shared" si="709"/>
        <v>01/00/1900 00:00-&gt;</v>
      </c>
      <c r="BG999" s="148" t="str">
        <f t="shared" si="710"/>
        <v>01/00/1900 00:00-&gt;</v>
      </c>
      <c r="BH999" s="148" t="str">
        <f t="shared" si="711"/>
        <v>01/00/1900 00:00-&gt;</v>
      </c>
      <c r="BI999" s="148" t="str">
        <f t="shared" si="712"/>
        <v xml:space="preserve"> in  ()</v>
      </c>
      <c r="BJ999" s="148" t="str">
        <f t="shared" si="713"/>
        <v xml:space="preserve">--  vs. </v>
      </c>
      <c r="BK999" s="148" t="str">
        <f t="shared" si="714"/>
        <v/>
      </c>
      <c r="BL999" s="148">
        <f t="shared" si="715"/>
        <v>0</v>
      </c>
      <c r="BM999" s="148">
        <f t="shared" si="716"/>
        <v>0</v>
      </c>
      <c r="BN999" s="148">
        <f t="shared" si="717"/>
        <v>0</v>
      </c>
      <c r="BP999" s="148" t="str">
        <f t="shared" si="718"/>
        <v>no game</v>
      </c>
      <c r="BQ999" s="148" t="str">
        <f t="shared" si="719"/>
        <v xml:space="preserve">  in </v>
      </c>
    </row>
    <row r="1000" spans="2:69" ht="15" customHeight="1" x14ac:dyDescent="0.2">
      <c r="B1000" s="153"/>
      <c r="C1000" s="153"/>
      <c r="D1000" s="383"/>
      <c r="E1000" s="383"/>
      <c r="F1000" s="153"/>
      <c r="G1000" s="154"/>
      <c r="H1000" s="155"/>
      <c r="I1000" s="314"/>
      <c r="J1000" s="153"/>
      <c r="K1000" s="153"/>
      <c r="L1000" s="153"/>
      <c r="M1000" s="153"/>
      <c r="N1000" s="153"/>
      <c r="O1000" s="153" t="str">
        <f>IF(L1000&lt;&gt;"",IFERROR(VLOOKUP(B1000&amp;L1000,Pools!$A$2:$D$130,3,FALSE),""),"")</f>
        <v/>
      </c>
      <c r="P1000" s="387"/>
      <c r="Q1000" s="387"/>
      <c r="R1000" s="306" t="str">
        <f t="shared" si="675"/>
        <v>-</v>
      </c>
      <c r="S1000" s="153"/>
      <c r="T1000" s="148" t="str">
        <f t="shared" si="676"/>
        <v>Pending</v>
      </c>
      <c r="U1000" s="153"/>
      <c r="V1000" s="153"/>
      <c r="W1000" s="387">
        <f t="shared" si="677"/>
        <v>0</v>
      </c>
      <c r="X1000" s="387">
        <f t="shared" si="678"/>
        <v>0</v>
      </c>
      <c r="Y1000" s="301" t="str">
        <f t="shared" si="679"/>
        <v>X</v>
      </c>
      <c r="Z1000" s="301" t="str">
        <f t="shared" si="680"/>
        <v>X</v>
      </c>
      <c r="AA1000" s="323" t="e">
        <f>CONCATENATE("                x[team1,team2,sport,'",IF(OR(I1000="x",I1000=""),VLOOKUP('Schedule from TM'!J1000,Tables!$P$3:$Q$33,2,FALSE),'Schedule from TM'!I1000),",",J1000,"','",IF(OR(F1000="x",F1000=""),VLOOKUP('Schedule from TM'!G1000,Tables!$U$3:$V$14,2,FALSE),'Schedule from TM'!F1000),",",TEXT(G1000,"mm/dd/yyyy"),"','",TEXT(H1000,"h:mm:ss AM/PM"),"'].ub=0.0      #",B1000)</f>
        <v>#N/A</v>
      </c>
      <c r="AB1000" s="301" t="str">
        <f t="shared" si="681"/>
        <v>,,,,1,</v>
      </c>
      <c r="AC1000" s="153" t="str">
        <f t="shared" si="682"/>
        <v/>
      </c>
      <c r="AD1000" s="301" t="str">
        <f t="shared" si="683"/>
        <v>,,,,1,</v>
      </c>
      <c r="AE1000" s="153" t="str">
        <f t="shared" si="684"/>
        <v/>
      </c>
      <c r="AF1000" s="383">
        <f t="shared" si="685"/>
        <v>0</v>
      </c>
      <c r="AG1000" s="383">
        <f t="shared" si="686"/>
        <v>0</v>
      </c>
      <c r="AH1000" s="383">
        <f t="shared" si="687"/>
        <v>0</v>
      </c>
      <c r="AI1000" s="383">
        <f t="shared" si="688"/>
        <v>0</v>
      </c>
      <c r="AJ1000" s="383">
        <f t="shared" si="689"/>
        <v>0</v>
      </c>
      <c r="AK1000" s="383">
        <f t="shared" si="690"/>
        <v>0</v>
      </c>
      <c r="AM1000" s="148" t="str">
        <f t="shared" si="691"/>
        <v>Not Schedulled</v>
      </c>
      <c r="AN1000" s="148" t="str">
        <f t="shared" si="692"/>
        <v/>
      </c>
      <c r="AO1000" s="156">
        <f t="shared" si="693"/>
        <v>0</v>
      </c>
      <c r="AP1000" s="148" t="str">
        <f t="shared" si="694"/>
        <v>01/00/1900 00:00-&gt;</v>
      </c>
      <c r="AQ1000" s="374">
        <f t="shared" si="695"/>
        <v>0</v>
      </c>
      <c r="AR1000" s="148" t="str">
        <f t="shared" si="696"/>
        <v/>
      </c>
      <c r="AS1000" s="148" t="str">
        <f t="shared" si="697"/>
        <v/>
      </c>
      <c r="AT1000" s="157" t="str">
        <f t="shared" si="698"/>
        <v/>
      </c>
      <c r="AU1000" s="157" t="str">
        <f t="shared" si="699"/>
        <v/>
      </c>
      <c r="AV1000" s="157" t="str">
        <f t="shared" si="700"/>
        <v/>
      </c>
      <c r="AW1000" s="157" t="str">
        <f t="shared" si="701"/>
        <v/>
      </c>
      <c r="AX1000" s="376">
        <f t="shared" si="702"/>
        <v>0</v>
      </c>
      <c r="AY1000" s="148" t="str">
        <f t="shared" si="703"/>
        <v>-&gt;</v>
      </c>
      <c r="AZ1000" s="148" t="str">
        <f t="shared" si="704"/>
        <v>01/00/1900 00:00-&gt;</v>
      </c>
      <c r="BA1000" s="148" t="str">
        <f t="shared" si="705"/>
        <v>01/00/1900 00:00-&gt;</v>
      </c>
      <c r="BB1000" s="374">
        <f t="shared" si="706"/>
        <v>0</v>
      </c>
      <c r="BC1000" s="374">
        <f t="shared" si="707"/>
        <v>0</v>
      </c>
      <c r="BD1000" s="148" t="str">
        <f t="shared" si="708"/>
        <v>no conflict</v>
      </c>
      <c r="BF1000" s="148" t="str">
        <f t="shared" si="709"/>
        <v>01/00/1900 00:00-&gt;</v>
      </c>
      <c r="BG1000" s="148" t="str">
        <f t="shared" si="710"/>
        <v>01/00/1900 00:00-&gt;</v>
      </c>
      <c r="BH1000" s="148" t="str">
        <f t="shared" si="711"/>
        <v>01/00/1900 00:00-&gt;</v>
      </c>
      <c r="BI1000" s="148" t="str">
        <f t="shared" si="712"/>
        <v xml:space="preserve"> in  ()</v>
      </c>
      <c r="BJ1000" s="148" t="str">
        <f t="shared" si="713"/>
        <v xml:space="preserve">--  vs. </v>
      </c>
      <c r="BK1000" s="148" t="str">
        <f t="shared" si="714"/>
        <v/>
      </c>
      <c r="BL1000" s="148">
        <f t="shared" si="715"/>
        <v>0</v>
      </c>
      <c r="BM1000" s="148">
        <f t="shared" si="716"/>
        <v>0</v>
      </c>
      <c r="BN1000" s="148">
        <f t="shared" si="717"/>
        <v>0</v>
      </c>
      <c r="BP1000" s="148" t="str">
        <f t="shared" si="718"/>
        <v>no game</v>
      </c>
      <c r="BQ1000" s="148" t="str">
        <f t="shared" si="719"/>
        <v xml:space="preserve">  in </v>
      </c>
    </row>
    <row r="1001" spans="2:69" ht="15" customHeight="1" x14ac:dyDescent="0.2">
      <c r="B1001" s="153"/>
      <c r="C1001" s="153"/>
      <c r="D1001" s="383"/>
      <c r="E1001" s="383"/>
      <c r="F1001" s="153"/>
      <c r="G1001" s="154"/>
      <c r="H1001" s="155"/>
      <c r="I1001" s="314"/>
      <c r="J1001" s="153"/>
      <c r="K1001" s="153"/>
      <c r="L1001" s="153"/>
      <c r="M1001" s="153"/>
      <c r="N1001" s="153"/>
      <c r="O1001" s="153" t="str">
        <f>IF(L1001&lt;&gt;"",IFERROR(VLOOKUP(B1001&amp;L1001,Pools!$A$2:$D$130,3,FALSE),""),"")</f>
        <v/>
      </c>
      <c r="P1001" s="387"/>
      <c r="Q1001" s="387"/>
      <c r="R1001" s="306" t="str">
        <f t="shared" si="675"/>
        <v>-</v>
      </c>
      <c r="S1001" s="153"/>
      <c r="T1001" s="148" t="str">
        <f t="shared" si="676"/>
        <v>Pending</v>
      </c>
      <c r="U1001" s="153"/>
      <c r="V1001" s="153"/>
      <c r="W1001" s="387">
        <f t="shared" si="677"/>
        <v>0</v>
      </c>
      <c r="X1001" s="387">
        <f t="shared" si="678"/>
        <v>0</v>
      </c>
      <c r="Y1001" s="301" t="str">
        <f t="shared" si="679"/>
        <v>X</v>
      </c>
      <c r="Z1001" s="301" t="str">
        <f t="shared" si="680"/>
        <v>X</v>
      </c>
      <c r="AA1001" s="323" t="e">
        <f>CONCATENATE("                x[team1,team2,sport,'",IF(OR(I1001="x",I1001=""),VLOOKUP('Schedule from TM'!J1001,Tables!$P$3:$Q$33,2,FALSE),'Schedule from TM'!I1001),",",J1001,"','",IF(OR(F1001="x",F1001=""),VLOOKUP('Schedule from TM'!G1001,Tables!$U$3:$V$14,2,FALSE),'Schedule from TM'!F1001),",",TEXT(G1001,"mm/dd/yyyy"),"','",TEXT(H1001,"h:mm:ss AM/PM"),"'].ub=0.0      #",B1001)</f>
        <v>#N/A</v>
      </c>
      <c r="AB1001" s="301" t="str">
        <f t="shared" si="681"/>
        <v>,,,,1,</v>
      </c>
      <c r="AC1001" s="153" t="str">
        <f t="shared" si="682"/>
        <v/>
      </c>
      <c r="AD1001" s="301" t="str">
        <f t="shared" si="683"/>
        <v>,,,,1,</v>
      </c>
      <c r="AE1001" s="153" t="str">
        <f t="shared" si="684"/>
        <v/>
      </c>
      <c r="AF1001" s="383">
        <f t="shared" si="685"/>
        <v>0</v>
      </c>
      <c r="AG1001" s="383">
        <f t="shared" si="686"/>
        <v>0</v>
      </c>
      <c r="AH1001" s="383">
        <f t="shared" si="687"/>
        <v>0</v>
      </c>
      <c r="AI1001" s="383">
        <f t="shared" si="688"/>
        <v>0</v>
      </c>
      <c r="AJ1001" s="383">
        <f t="shared" si="689"/>
        <v>0</v>
      </c>
      <c r="AK1001" s="383">
        <f t="shared" si="690"/>
        <v>0</v>
      </c>
      <c r="AM1001" s="148" t="str">
        <f t="shared" si="691"/>
        <v>Not Schedulled</v>
      </c>
      <c r="AN1001" s="148" t="str">
        <f t="shared" si="692"/>
        <v/>
      </c>
      <c r="AO1001" s="156">
        <f t="shared" si="693"/>
        <v>0</v>
      </c>
      <c r="AP1001" s="148" t="str">
        <f t="shared" si="694"/>
        <v>01/00/1900 00:00-&gt;</v>
      </c>
      <c r="AQ1001" s="374">
        <f t="shared" si="695"/>
        <v>0</v>
      </c>
      <c r="AR1001" s="148" t="str">
        <f t="shared" si="696"/>
        <v/>
      </c>
      <c r="AS1001" s="148" t="str">
        <f t="shared" si="697"/>
        <v/>
      </c>
      <c r="AT1001" s="157" t="str">
        <f t="shared" si="698"/>
        <v/>
      </c>
      <c r="AU1001" s="157" t="str">
        <f t="shared" si="699"/>
        <v/>
      </c>
      <c r="AV1001" s="157" t="str">
        <f t="shared" si="700"/>
        <v/>
      </c>
      <c r="AW1001" s="157" t="str">
        <f t="shared" si="701"/>
        <v/>
      </c>
      <c r="AX1001" s="376">
        <f t="shared" si="702"/>
        <v>0</v>
      </c>
      <c r="AY1001" s="148" t="str">
        <f t="shared" si="703"/>
        <v>-&gt;</v>
      </c>
      <c r="AZ1001" s="148" t="str">
        <f t="shared" si="704"/>
        <v>01/00/1900 00:00-&gt;</v>
      </c>
      <c r="BA1001" s="148" t="str">
        <f t="shared" si="705"/>
        <v>01/00/1900 00:00-&gt;</v>
      </c>
      <c r="BB1001" s="374">
        <f t="shared" si="706"/>
        <v>0</v>
      </c>
      <c r="BC1001" s="374">
        <f t="shared" si="707"/>
        <v>0</v>
      </c>
      <c r="BD1001" s="148" t="str">
        <f t="shared" si="708"/>
        <v>no conflict</v>
      </c>
      <c r="BF1001" s="148" t="str">
        <f t="shared" si="709"/>
        <v>01/00/1900 00:00-&gt;</v>
      </c>
      <c r="BG1001" s="148" t="str">
        <f t="shared" si="710"/>
        <v>01/00/1900 00:00-&gt;</v>
      </c>
      <c r="BH1001" s="148" t="str">
        <f t="shared" si="711"/>
        <v>01/00/1900 00:00-&gt;</v>
      </c>
      <c r="BI1001" s="148" t="str">
        <f t="shared" si="712"/>
        <v xml:space="preserve"> in  ()</v>
      </c>
      <c r="BJ1001" s="148" t="str">
        <f t="shared" si="713"/>
        <v xml:space="preserve">--  vs. </v>
      </c>
      <c r="BK1001" s="148" t="str">
        <f t="shared" si="714"/>
        <v/>
      </c>
      <c r="BL1001" s="148">
        <f t="shared" si="715"/>
        <v>0</v>
      </c>
      <c r="BM1001" s="148">
        <f t="shared" si="716"/>
        <v>0</v>
      </c>
      <c r="BN1001" s="148">
        <f t="shared" si="717"/>
        <v>0</v>
      </c>
      <c r="BP1001" s="148" t="str">
        <f t="shared" si="718"/>
        <v>no game</v>
      </c>
      <c r="BQ1001" s="148" t="str">
        <f t="shared" si="719"/>
        <v xml:space="preserve">  in </v>
      </c>
    </row>
    <row r="1002" spans="2:69" ht="15" customHeight="1" x14ac:dyDescent="0.2">
      <c r="B1002" s="153"/>
      <c r="C1002" s="153"/>
      <c r="D1002" s="383"/>
      <c r="E1002" s="383"/>
      <c r="F1002" s="153"/>
      <c r="G1002" s="154"/>
      <c r="H1002" s="155"/>
      <c r="I1002" s="314"/>
      <c r="J1002" s="153"/>
      <c r="K1002" s="153"/>
      <c r="L1002" s="153"/>
      <c r="M1002" s="153"/>
      <c r="N1002" s="153"/>
      <c r="O1002" s="153" t="str">
        <f>IF(L1002&lt;&gt;"",IFERROR(VLOOKUP(B1002&amp;L1002,Pools!$A$2:$D$130,3,FALSE),""),"")</f>
        <v/>
      </c>
      <c r="P1002" s="387"/>
      <c r="Q1002" s="387"/>
      <c r="R1002" s="306" t="str">
        <f t="shared" si="675"/>
        <v>-</v>
      </c>
      <c r="S1002" s="153"/>
      <c r="T1002" s="148" t="str">
        <f t="shared" si="676"/>
        <v>Pending</v>
      </c>
      <c r="U1002" s="153"/>
      <c r="V1002" s="153"/>
      <c r="W1002" s="387">
        <f t="shared" si="677"/>
        <v>0</v>
      </c>
      <c r="X1002" s="387">
        <f t="shared" si="678"/>
        <v>0</v>
      </c>
      <c r="Y1002" s="301" t="str">
        <f t="shared" si="679"/>
        <v>X</v>
      </c>
      <c r="Z1002" s="301" t="str">
        <f t="shared" si="680"/>
        <v>X</v>
      </c>
      <c r="AA1002" s="323" t="e">
        <f>CONCATENATE("                x[team1,team2,sport,'",IF(OR(I1002="x",I1002=""),VLOOKUP('Schedule from TM'!J1002,Tables!$P$3:$Q$33,2,FALSE),'Schedule from TM'!I1002),",",J1002,"','",IF(OR(F1002="x",F1002=""),VLOOKUP('Schedule from TM'!G1002,Tables!$U$3:$V$14,2,FALSE),'Schedule from TM'!F1002),",",TEXT(G1002,"mm/dd/yyyy"),"','",TEXT(H1002,"h:mm:ss AM/PM"),"'].ub=0.0      #",B1002)</f>
        <v>#N/A</v>
      </c>
      <c r="AB1002" s="301" t="str">
        <f t="shared" si="681"/>
        <v>,,,,1,</v>
      </c>
      <c r="AC1002" s="153" t="str">
        <f t="shared" si="682"/>
        <v/>
      </c>
      <c r="AD1002" s="301" t="str">
        <f t="shared" si="683"/>
        <v>,,,,1,</v>
      </c>
      <c r="AE1002" s="153" t="str">
        <f t="shared" si="684"/>
        <v/>
      </c>
      <c r="AF1002" s="383">
        <f t="shared" si="685"/>
        <v>0</v>
      </c>
      <c r="AG1002" s="383">
        <f t="shared" si="686"/>
        <v>0</v>
      </c>
      <c r="AH1002" s="383">
        <f t="shared" si="687"/>
        <v>0</v>
      </c>
      <c r="AI1002" s="383">
        <f t="shared" si="688"/>
        <v>0</v>
      </c>
      <c r="AJ1002" s="383">
        <f t="shared" si="689"/>
        <v>0</v>
      </c>
      <c r="AK1002" s="383">
        <f t="shared" si="690"/>
        <v>0</v>
      </c>
      <c r="AM1002" s="148" t="str">
        <f t="shared" si="691"/>
        <v>Not Schedulled</v>
      </c>
      <c r="AN1002" s="148" t="str">
        <f t="shared" si="692"/>
        <v/>
      </c>
      <c r="AO1002" s="156">
        <f t="shared" si="693"/>
        <v>0</v>
      </c>
      <c r="AP1002" s="148" t="str">
        <f t="shared" si="694"/>
        <v>01/00/1900 00:00-&gt;</v>
      </c>
      <c r="AQ1002" s="374">
        <f t="shared" si="695"/>
        <v>0</v>
      </c>
      <c r="AR1002" s="148" t="str">
        <f t="shared" si="696"/>
        <v/>
      </c>
      <c r="AS1002" s="148" t="str">
        <f t="shared" si="697"/>
        <v/>
      </c>
      <c r="AT1002" s="157" t="str">
        <f t="shared" si="698"/>
        <v/>
      </c>
      <c r="AU1002" s="157" t="str">
        <f t="shared" si="699"/>
        <v/>
      </c>
      <c r="AV1002" s="157" t="str">
        <f t="shared" si="700"/>
        <v/>
      </c>
      <c r="AW1002" s="157" t="str">
        <f t="shared" si="701"/>
        <v/>
      </c>
      <c r="AX1002" s="376">
        <f t="shared" si="702"/>
        <v>0</v>
      </c>
      <c r="AY1002" s="148" t="str">
        <f t="shared" si="703"/>
        <v>-&gt;</v>
      </c>
      <c r="AZ1002" s="148" t="str">
        <f t="shared" si="704"/>
        <v>01/00/1900 00:00-&gt;</v>
      </c>
      <c r="BA1002" s="148" t="str">
        <f t="shared" si="705"/>
        <v>01/00/1900 00:00-&gt;</v>
      </c>
      <c r="BB1002" s="374">
        <f t="shared" si="706"/>
        <v>0</v>
      </c>
      <c r="BC1002" s="374">
        <f t="shared" si="707"/>
        <v>0</v>
      </c>
      <c r="BD1002" s="148" t="str">
        <f t="shared" si="708"/>
        <v>no conflict</v>
      </c>
      <c r="BF1002" s="148" t="str">
        <f t="shared" si="709"/>
        <v>01/00/1900 00:00-&gt;</v>
      </c>
      <c r="BG1002" s="148" t="str">
        <f t="shared" si="710"/>
        <v>01/00/1900 00:00-&gt;</v>
      </c>
      <c r="BH1002" s="148" t="str">
        <f t="shared" si="711"/>
        <v>01/00/1900 00:00-&gt;</v>
      </c>
      <c r="BI1002" s="148" t="str">
        <f t="shared" si="712"/>
        <v xml:space="preserve"> in  ()</v>
      </c>
      <c r="BJ1002" s="148" t="str">
        <f t="shared" si="713"/>
        <v xml:space="preserve">--  vs. </v>
      </c>
      <c r="BK1002" s="148" t="str">
        <f t="shared" si="714"/>
        <v/>
      </c>
      <c r="BL1002" s="148">
        <f t="shared" si="715"/>
        <v>0</v>
      </c>
      <c r="BM1002" s="148">
        <f t="shared" si="716"/>
        <v>0</v>
      </c>
      <c r="BN1002" s="148">
        <f t="shared" si="717"/>
        <v>0</v>
      </c>
      <c r="BP1002" s="148" t="str">
        <f t="shared" si="718"/>
        <v>no game</v>
      </c>
      <c r="BQ1002" s="148" t="str">
        <f t="shared" si="719"/>
        <v xml:space="preserve">  in </v>
      </c>
    </row>
    <row r="1003" spans="2:69" ht="15" customHeight="1" x14ac:dyDescent="0.2">
      <c r="B1003" s="153"/>
      <c r="C1003" s="153"/>
      <c r="D1003" s="383"/>
      <c r="E1003" s="383"/>
      <c r="F1003" s="153"/>
      <c r="G1003" s="154"/>
      <c r="H1003" s="155"/>
      <c r="I1003" s="314"/>
      <c r="J1003" s="153"/>
      <c r="K1003" s="153"/>
      <c r="L1003" s="153"/>
      <c r="M1003" s="153"/>
      <c r="N1003" s="153"/>
      <c r="O1003" s="153" t="str">
        <f>IF(L1003&lt;&gt;"",IFERROR(VLOOKUP(B1003&amp;L1003,Pools!$A$2:$D$130,3,FALSE),""),"")</f>
        <v/>
      </c>
      <c r="P1003" s="387"/>
      <c r="Q1003" s="387"/>
      <c r="R1003" s="306" t="str">
        <f t="shared" si="675"/>
        <v>-</v>
      </c>
      <c r="S1003" s="153"/>
      <c r="T1003" s="148" t="str">
        <f t="shared" si="676"/>
        <v>Pending</v>
      </c>
      <c r="U1003" s="153"/>
      <c r="V1003" s="153"/>
      <c r="W1003" s="387">
        <f t="shared" si="677"/>
        <v>0</v>
      </c>
      <c r="X1003" s="387">
        <f t="shared" si="678"/>
        <v>0</v>
      </c>
      <c r="Y1003" s="301" t="str">
        <f t="shared" si="679"/>
        <v>X</v>
      </c>
      <c r="Z1003" s="301" t="str">
        <f t="shared" si="680"/>
        <v>X</v>
      </c>
      <c r="AA1003" s="323" t="e">
        <f>CONCATENATE("                x[team1,team2,sport,'",IF(OR(I1003="x",I1003=""),VLOOKUP('Schedule from TM'!J1003,Tables!$P$3:$Q$33,2,FALSE),'Schedule from TM'!I1003),",",J1003,"','",IF(OR(F1003="x",F1003=""),VLOOKUP('Schedule from TM'!G1003,Tables!$U$3:$V$14,2,FALSE),'Schedule from TM'!F1003),",",TEXT(G1003,"mm/dd/yyyy"),"','",TEXT(H1003,"h:mm:ss AM/PM"),"'].ub=0.0      #",B1003)</f>
        <v>#N/A</v>
      </c>
      <c r="AB1003" s="301" t="str">
        <f t="shared" si="681"/>
        <v>,,,,1,</v>
      </c>
      <c r="AC1003" s="153" t="str">
        <f t="shared" si="682"/>
        <v/>
      </c>
      <c r="AD1003" s="301" t="str">
        <f t="shared" si="683"/>
        <v>,,,,1,</v>
      </c>
      <c r="AE1003" s="153" t="str">
        <f t="shared" si="684"/>
        <v/>
      </c>
      <c r="AF1003" s="383">
        <f t="shared" si="685"/>
        <v>0</v>
      </c>
      <c r="AG1003" s="383">
        <f t="shared" si="686"/>
        <v>0</v>
      </c>
      <c r="AH1003" s="383">
        <f t="shared" si="687"/>
        <v>0</v>
      </c>
      <c r="AI1003" s="383">
        <f t="shared" si="688"/>
        <v>0</v>
      </c>
      <c r="AJ1003" s="383">
        <f t="shared" si="689"/>
        <v>0</v>
      </c>
      <c r="AK1003" s="383">
        <f t="shared" si="690"/>
        <v>0</v>
      </c>
      <c r="AM1003" s="148" t="str">
        <f t="shared" si="691"/>
        <v>Not Schedulled</v>
      </c>
      <c r="AN1003" s="148" t="str">
        <f t="shared" si="692"/>
        <v/>
      </c>
      <c r="AO1003" s="156">
        <f t="shared" si="693"/>
        <v>0</v>
      </c>
      <c r="AP1003" s="148" t="str">
        <f t="shared" si="694"/>
        <v>01/00/1900 00:00-&gt;</v>
      </c>
      <c r="AQ1003" s="374">
        <f t="shared" si="695"/>
        <v>0</v>
      </c>
      <c r="AR1003" s="148" t="str">
        <f t="shared" si="696"/>
        <v/>
      </c>
      <c r="AS1003" s="148" t="str">
        <f t="shared" si="697"/>
        <v/>
      </c>
      <c r="AT1003" s="157" t="str">
        <f t="shared" si="698"/>
        <v/>
      </c>
      <c r="AU1003" s="157" t="str">
        <f t="shared" si="699"/>
        <v/>
      </c>
      <c r="AV1003" s="157" t="str">
        <f t="shared" si="700"/>
        <v/>
      </c>
      <c r="AW1003" s="157" t="str">
        <f t="shared" si="701"/>
        <v/>
      </c>
      <c r="AX1003" s="376">
        <f t="shared" si="702"/>
        <v>0</v>
      </c>
      <c r="AY1003" s="148" t="str">
        <f t="shared" si="703"/>
        <v>-&gt;</v>
      </c>
      <c r="AZ1003" s="148" t="str">
        <f t="shared" si="704"/>
        <v>01/00/1900 00:00-&gt;</v>
      </c>
      <c r="BA1003" s="148" t="str">
        <f t="shared" si="705"/>
        <v>01/00/1900 00:00-&gt;</v>
      </c>
      <c r="BB1003" s="374">
        <f t="shared" si="706"/>
        <v>0</v>
      </c>
      <c r="BC1003" s="374">
        <f t="shared" si="707"/>
        <v>0</v>
      </c>
      <c r="BD1003" s="148" t="str">
        <f t="shared" si="708"/>
        <v>no conflict</v>
      </c>
      <c r="BF1003" s="148" t="str">
        <f t="shared" si="709"/>
        <v>01/00/1900 00:00-&gt;</v>
      </c>
      <c r="BG1003" s="148" t="str">
        <f t="shared" si="710"/>
        <v>01/00/1900 00:00-&gt;</v>
      </c>
      <c r="BH1003" s="148" t="str">
        <f t="shared" si="711"/>
        <v>01/00/1900 00:00-&gt;</v>
      </c>
      <c r="BI1003" s="148" t="str">
        <f t="shared" si="712"/>
        <v xml:space="preserve"> in  ()</v>
      </c>
      <c r="BJ1003" s="148" t="str">
        <f t="shared" si="713"/>
        <v xml:space="preserve">--  vs. </v>
      </c>
      <c r="BK1003" s="148" t="str">
        <f t="shared" si="714"/>
        <v/>
      </c>
      <c r="BL1003" s="148">
        <f t="shared" si="715"/>
        <v>0</v>
      </c>
      <c r="BM1003" s="148">
        <f t="shared" si="716"/>
        <v>0</v>
      </c>
      <c r="BN1003" s="148">
        <f t="shared" si="717"/>
        <v>0</v>
      </c>
      <c r="BP1003" s="148" t="str">
        <f t="shared" si="718"/>
        <v>no game</v>
      </c>
      <c r="BQ1003" s="148" t="str">
        <f t="shared" si="719"/>
        <v xml:space="preserve">  in </v>
      </c>
    </row>
    <row r="1004" spans="2:69" ht="15" customHeight="1" x14ac:dyDescent="0.2">
      <c r="B1004" s="153"/>
      <c r="C1004" s="153"/>
      <c r="D1004" s="383"/>
      <c r="E1004" s="383"/>
      <c r="F1004" s="153"/>
      <c r="G1004" s="154"/>
      <c r="H1004" s="155"/>
      <c r="I1004" s="314"/>
      <c r="J1004" s="153"/>
      <c r="K1004" s="153"/>
      <c r="L1004" s="153"/>
      <c r="M1004" s="153"/>
      <c r="N1004" s="153"/>
      <c r="O1004" s="153" t="str">
        <f>IF(L1004&lt;&gt;"",IFERROR(VLOOKUP(B1004&amp;L1004,Pools!$A$2:$D$130,3,FALSE),""),"")</f>
        <v/>
      </c>
      <c r="P1004" s="387"/>
      <c r="Q1004" s="387"/>
      <c r="R1004" s="306" t="str">
        <f t="shared" si="675"/>
        <v>-</v>
      </c>
      <c r="S1004" s="153"/>
      <c r="T1004" s="148" t="str">
        <f t="shared" si="676"/>
        <v>Pending</v>
      </c>
      <c r="U1004" s="153"/>
      <c r="V1004" s="153"/>
      <c r="W1004" s="387">
        <f t="shared" si="677"/>
        <v>0</v>
      </c>
      <c r="X1004" s="387">
        <f t="shared" si="678"/>
        <v>0</v>
      </c>
      <c r="Y1004" s="301" t="str">
        <f t="shared" si="679"/>
        <v>X</v>
      </c>
      <c r="Z1004" s="301" t="str">
        <f t="shared" si="680"/>
        <v>X</v>
      </c>
      <c r="AA1004" s="323" t="e">
        <f>CONCATENATE("                x[team1,team2,sport,'",IF(OR(I1004="x",I1004=""),VLOOKUP('Schedule from TM'!J1004,Tables!$P$3:$Q$33,2,FALSE),'Schedule from TM'!I1004),",",J1004,"','",IF(OR(F1004="x",F1004=""),VLOOKUP('Schedule from TM'!G1004,Tables!$U$3:$V$14,2,FALSE),'Schedule from TM'!F1004),",",TEXT(G1004,"mm/dd/yyyy"),"','",TEXT(H1004,"h:mm:ss AM/PM"),"'].ub=0.0      #",B1004)</f>
        <v>#N/A</v>
      </c>
      <c r="AB1004" s="301" t="str">
        <f t="shared" si="681"/>
        <v>,,,,1,</v>
      </c>
      <c r="AC1004" s="153" t="str">
        <f t="shared" si="682"/>
        <v/>
      </c>
      <c r="AD1004" s="301" t="str">
        <f t="shared" si="683"/>
        <v>,,,,1,</v>
      </c>
      <c r="AE1004" s="153" t="str">
        <f t="shared" si="684"/>
        <v/>
      </c>
      <c r="AF1004" s="383">
        <f t="shared" si="685"/>
        <v>0</v>
      </c>
      <c r="AG1004" s="383">
        <f t="shared" si="686"/>
        <v>0</v>
      </c>
      <c r="AH1004" s="383">
        <f t="shared" si="687"/>
        <v>0</v>
      </c>
      <c r="AI1004" s="383">
        <f t="shared" si="688"/>
        <v>0</v>
      </c>
      <c r="AJ1004" s="383">
        <f t="shared" si="689"/>
        <v>0</v>
      </c>
      <c r="AK1004" s="383">
        <f t="shared" si="690"/>
        <v>0</v>
      </c>
      <c r="AM1004" s="148" t="str">
        <f t="shared" si="691"/>
        <v>Not Schedulled</v>
      </c>
      <c r="AN1004" s="148" t="str">
        <f t="shared" si="692"/>
        <v/>
      </c>
      <c r="AO1004" s="156">
        <f t="shared" si="693"/>
        <v>0</v>
      </c>
      <c r="AP1004" s="148" t="str">
        <f t="shared" si="694"/>
        <v>01/00/1900 00:00-&gt;</v>
      </c>
      <c r="AQ1004" s="374">
        <f t="shared" si="695"/>
        <v>0</v>
      </c>
      <c r="AR1004" s="148" t="str">
        <f t="shared" si="696"/>
        <v/>
      </c>
      <c r="AS1004" s="148" t="str">
        <f t="shared" si="697"/>
        <v/>
      </c>
      <c r="AT1004" s="157" t="str">
        <f t="shared" si="698"/>
        <v/>
      </c>
      <c r="AU1004" s="157" t="str">
        <f t="shared" si="699"/>
        <v/>
      </c>
      <c r="AV1004" s="157" t="str">
        <f t="shared" si="700"/>
        <v/>
      </c>
      <c r="AW1004" s="157" t="str">
        <f t="shared" si="701"/>
        <v/>
      </c>
      <c r="AX1004" s="376">
        <f t="shared" si="702"/>
        <v>0</v>
      </c>
      <c r="AY1004" s="148" t="str">
        <f t="shared" si="703"/>
        <v>-&gt;</v>
      </c>
      <c r="AZ1004" s="148" t="str">
        <f t="shared" si="704"/>
        <v>01/00/1900 00:00-&gt;</v>
      </c>
      <c r="BA1004" s="148" t="str">
        <f t="shared" si="705"/>
        <v>01/00/1900 00:00-&gt;</v>
      </c>
      <c r="BB1004" s="374">
        <f t="shared" si="706"/>
        <v>0</v>
      </c>
      <c r="BC1004" s="374">
        <f t="shared" si="707"/>
        <v>0</v>
      </c>
      <c r="BD1004" s="148" t="str">
        <f t="shared" si="708"/>
        <v>no conflict</v>
      </c>
      <c r="BF1004" s="148" t="str">
        <f t="shared" si="709"/>
        <v>01/00/1900 00:00-&gt;</v>
      </c>
      <c r="BG1004" s="148" t="str">
        <f t="shared" si="710"/>
        <v>01/00/1900 00:00-&gt;</v>
      </c>
      <c r="BH1004" s="148" t="str">
        <f t="shared" si="711"/>
        <v>01/00/1900 00:00-&gt;</v>
      </c>
      <c r="BI1004" s="148" t="str">
        <f t="shared" si="712"/>
        <v xml:space="preserve"> in  ()</v>
      </c>
      <c r="BJ1004" s="148" t="str">
        <f t="shared" si="713"/>
        <v xml:space="preserve">--  vs. </v>
      </c>
      <c r="BK1004" s="148" t="str">
        <f t="shared" si="714"/>
        <v/>
      </c>
      <c r="BL1004" s="148">
        <f t="shared" si="715"/>
        <v>0</v>
      </c>
      <c r="BM1004" s="148">
        <f t="shared" si="716"/>
        <v>0</v>
      </c>
      <c r="BN1004" s="148">
        <f t="shared" si="717"/>
        <v>0</v>
      </c>
      <c r="BP1004" s="148" t="str">
        <f t="shared" si="718"/>
        <v>no game</v>
      </c>
      <c r="BQ1004" s="148" t="str">
        <f t="shared" si="719"/>
        <v xml:space="preserve">  in </v>
      </c>
    </row>
    <row r="1005" spans="2:69" ht="15" customHeight="1" x14ac:dyDescent="0.2">
      <c r="B1005" s="153"/>
      <c r="C1005" s="153"/>
      <c r="D1005" s="383"/>
      <c r="E1005" s="383"/>
      <c r="F1005" s="153"/>
      <c r="G1005" s="154"/>
      <c r="H1005" s="155"/>
      <c r="I1005" s="314"/>
      <c r="J1005" s="153"/>
      <c r="K1005" s="153"/>
      <c r="L1005" s="153"/>
      <c r="M1005" s="153"/>
      <c r="N1005" s="153"/>
      <c r="O1005" s="153" t="str">
        <f>IF(L1005&lt;&gt;"",IFERROR(VLOOKUP(B1005&amp;L1005,Pools!$A$2:$D$130,3,FALSE),""),"")</f>
        <v/>
      </c>
      <c r="P1005" s="387"/>
      <c r="Q1005" s="387"/>
      <c r="R1005" s="306" t="str">
        <f t="shared" si="675"/>
        <v>-</v>
      </c>
      <c r="S1005" s="153"/>
      <c r="T1005" s="148" t="str">
        <f t="shared" si="676"/>
        <v>Pending</v>
      </c>
      <c r="U1005" s="153"/>
      <c r="V1005" s="153"/>
      <c r="W1005" s="387">
        <f t="shared" si="677"/>
        <v>0</v>
      </c>
      <c r="X1005" s="387">
        <f t="shared" si="678"/>
        <v>0</v>
      </c>
      <c r="Y1005" s="301" t="str">
        <f t="shared" si="679"/>
        <v>X</v>
      </c>
      <c r="Z1005" s="301" t="str">
        <f t="shared" si="680"/>
        <v>X</v>
      </c>
      <c r="AA1005" s="323" t="e">
        <f>CONCATENATE("                x[team1,team2,sport,'",IF(OR(I1005="x",I1005=""),VLOOKUP('Schedule from TM'!J1005,Tables!$P$3:$Q$33,2,FALSE),'Schedule from TM'!I1005),",",J1005,"','",IF(OR(F1005="x",F1005=""),VLOOKUP('Schedule from TM'!G1005,Tables!$U$3:$V$14,2,FALSE),'Schedule from TM'!F1005),",",TEXT(G1005,"mm/dd/yyyy"),"','",TEXT(H1005,"h:mm:ss AM/PM"),"'].ub=0.0      #",B1005)</f>
        <v>#N/A</v>
      </c>
      <c r="AB1005" s="301" t="str">
        <f t="shared" si="681"/>
        <v>,,,,1,</v>
      </c>
      <c r="AC1005" s="153" t="str">
        <f t="shared" si="682"/>
        <v/>
      </c>
      <c r="AD1005" s="301" t="str">
        <f t="shared" si="683"/>
        <v>,,,,1,</v>
      </c>
      <c r="AE1005" s="153" t="str">
        <f t="shared" si="684"/>
        <v/>
      </c>
      <c r="AF1005" s="383">
        <f t="shared" si="685"/>
        <v>0</v>
      </c>
      <c r="AG1005" s="383">
        <f t="shared" si="686"/>
        <v>0</v>
      </c>
      <c r="AH1005" s="383">
        <f t="shared" si="687"/>
        <v>0</v>
      </c>
      <c r="AI1005" s="383">
        <f t="shared" si="688"/>
        <v>0</v>
      </c>
      <c r="AJ1005" s="383">
        <f t="shared" si="689"/>
        <v>0</v>
      </c>
      <c r="AK1005" s="383">
        <f t="shared" si="690"/>
        <v>0</v>
      </c>
      <c r="AM1005" s="148" t="str">
        <f t="shared" si="691"/>
        <v>Not Schedulled</v>
      </c>
      <c r="AN1005" s="148" t="str">
        <f t="shared" si="692"/>
        <v/>
      </c>
      <c r="AO1005" s="156">
        <f t="shared" si="693"/>
        <v>0</v>
      </c>
      <c r="AP1005" s="148" t="str">
        <f t="shared" si="694"/>
        <v>01/00/1900 00:00-&gt;</v>
      </c>
      <c r="AQ1005" s="374">
        <f t="shared" si="695"/>
        <v>0</v>
      </c>
      <c r="AR1005" s="148" t="str">
        <f t="shared" si="696"/>
        <v/>
      </c>
      <c r="AS1005" s="148" t="str">
        <f t="shared" si="697"/>
        <v/>
      </c>
      <c r="AT1005" s="157" t="str">
        <f t="shared" si="698"/>
        <v/>
      </c>
      <c r="AU1005" s="157" t="str">
        <f t="shared" si="699"/>
        <v/>
      </c>
      <c r="AV1005" s="157" t="str">
        <f t="shared" si="700"/>
        <v/>
      </c>
      <c r="AW1005" s="157" t="str">
        <f t="shared" si="701"/>
        <v/>
      </c>
      <c r="AX1005" s="376">
        <f t="shared" si="702"/>
        <v>0</v>
      </c>
      <c r="AY1005" s="148" t="str">
        <f t="shared" si="703"/>
        <v>-&gt;</v>
      </c>
      <c r="AZ1005" s="148" t="str">
        <f t="shared" si="704"/>
        <v>01/00/1900 00:00-&gt;</v>
      </c>
      <c r="BA1005" s="148" t="str">
        <f t="shared" si="705"/>
        <v>01/00/1900 00:00-&gt;</v>
      </c>
      <c r="BB1005" s="374">
        <f t="shared" si="706"/>
        <v>0</v>
      </c>
      <c r="BC1005" s="374">
        <f t="shared" si="707"/>
        <v>0</v>
      </c>
      <c r="BD1005" s="148" t="str">
        <f t="shared" si="708"/>
        <v>no conflict</v>
      </c>
      <c r="BF1005" s="148" t="str">
        <f t="shared" si="709"/>
        <v>01/00/1900 00:00-&gt;</v>
      </c>
      <c r="BG1005" s="148" t="str">
        <f t="shared" si="710"/>
        <v>01/00/1900 00:00-&gt;</v>
      </c>
      <c r="BH1005" s="148" t="str">
        <f t="shared" si="711"/>
        <v>01/00/1900 00:00-&gt;</v>
      </c>
      <c r="BI1005" s="148" t="str">
        <f t="shared" si="712"/>
        <v xml:space="preserve"> in  ()</v>
      </c>
      <c r="BJ1005" s="148" t="str">
        <f t="shared" si="713"/>
        <v xml:space="preserve">--  vs. </v>
      </c>
      <c r="BK1005" s="148" t="str">
        <f t="shared" si="714"/>
        <v/>
      </c>
      <c r="BL1005" s="148">
        <f t="shared" si="715"/>
        <v>0</v>
      </c>
      <c r="BM1005" s="148">
        <f t="shared" si="716"/>
        <v>0</v>
      </c>
      <c r="BN1005" s="148">
        <f t="shared" si="717"/>
        <v>0</v>
      </c>
      <c r="BP1005" s="148" t="str">
        <f t="shared" si="718"/>
        <v>no game</v>
      </c>
      <c r="BQ1005" s="148" t="str">
        <f t="shared" si="719"/>
        <v xml:space="preserve">  in </v>
      </c>
    </row>
    <row r="1006" spans="2:69" ht="15" customHeight="1" x14ac:dyDescent="0.2">
      <c r="B1006" s="153"/>
      <c r="C1006" s="153"/>
      <c r="D1006" s="383"/>
      <c r="E1006" s="383"/>
      <c r="F1006" s="153"/>
      <c r="G1006" s="154"/>
      <c r="H1006" s="155"/>
      <c r="I1006" s="314"/>
      <c r="J1006" s="153"/>
      <c r="K1006" s="153"/>
      <c r="L1006" s="153"/>
      <c r="M1006" s="153"/>
      <c r="N1006" s="153"/>
      <c r="O1006" s="153" t="str">
        <f>IF(L1006&lt;&gt;"",IFERROR(VLOOKUP(B1006&amp;L1006,Pools!$A$2:$D$130,3,FALSE),""),"")</f>
        <v/>
      </c>
      <c r="P1006" s="387"/>
      <c r="Q1006" s="387"/>
      <c r="R1006" s="306" t="str">
        <f t="shared" si="675"/>
        <v>-</v>
      </c>
      <c r="S1006" s="153"/>
      <c r="T1006" s="148" t="str">
        <f t="shared" si="676"/>
        <v>Pending</v>
      </c>
      <c r="U1006" s="153"/>
      <c r="V1006" s="153"/>
      <c r="W1006" s="387">
        <f t="shared" si="677"/>
        <v>0</v>
      </c>
      <c r="X1006" s="387">
        <f t="shared" si="678"/>
        <v>0</v>
      </c>
      <c r="Y1006" s="301" t="str">
        <f t="shared" si="679"/>
        <v>X</v>
      </c>
      <c r="Z1006" s="301" t="str">
        <f t="shared" si="680"/>
        <v>X</v>
      </c>
      <c r="AA1006" s="323" t="e">
        <f>CONCATENATE("                x[team1,team2,sport,'",IF(OR(I1006="x",I1006=""),VLOOKUP('Schedule from TM'!J1006,Tables!$P$3:$Q$33,2,FALSE),'Schedule from TM'!I1006),",",J1006,"','",IF(OR(F1006="x",F1006=""),VLOOKUP('Schedule from TM'!G1006,Tables!$U$3:$V$14,2,FALSE),'Schedule from TM'!F1006),",",TEXT(G1006,"mm/dd/yyyy"),"','",TEXT(H1006,"h:mm:ss AM/PM"),"'].ub=0.0      #",B1006)</f>
        <v>#N/A</v>
      </c>
      <c r="AB1006" s="301" t="str">
        <f t="shared" si="681"/>
        <v>,,,,1,</v>
      </c>
      <c r="AC1006" s="153" t="str">
        <f t="shared" si="682"/>
        <v/>
      </c>
      <c r="AD1006" s="301" t="str">
        <f t="shared" si="683"/>
        <v>,,,,1,</v>
      </c>
      <c r="AE1006" s="153" t="str">
        <f t="shared" si="684"/>
        <v/>
      </c>
      <c r="AF1006" s="383">
        <f t="shared" si="685"/>
        <v>0</v>
      </c>
      <c r="AG1006" s="383">
        <f t="shared" si="686"/>
        <v>0</v>
      </c>
      <c r="AH1006" s="383">
        <f t="shared" si="687"/>
        <v>0</v>
      </c>
      <c r="AI1006" s="383">
        <f t="shared" si="688"/>
        <v>0</v>
      </c>
      <c r="AJ1006" s="383">
        <f t="shared" si="689"/>
        <v>0</v>
      </c>
      <c r="AK1006" s="383">
        <f t="shared" si="690"/>
        <v>0</v>
      </c>
      <c r="AM1006" s="148" t="str">
        <f t="shared" si="691"/>
        <v>Not Schedulled</v>
      </c>
      <c r="AN1006" s="148" t="str">
        <f t="shared" si="692"/>
        <v/>
      </c>
      <c r="AO1006" s="156">
        <f t="shared" si="693"/>
        <v>0</v>
      </c>
      <c r="AP1006" s="148" t="str">
        <f t="shared" si="694"/>
        <v>01/00/1900 00:00-&gt;</v>
      </c>
      <c r="AQ1006" s="374">
        <f t="shared" si="695"/>
        <v>0</v>
      </c>
      <c r="AR1006" s="148" t="str">
        <f t="shared" si="696"/>
        <v/>
      </c>
      <c r="AS1006" s="148" t="str">
        <f t="shared" si="697"/>
        <v/>
      </c>
      <c r="AT1006" s="157" t="str">
        <f t="shared" si="698"/>
        <v/>
      </c>
      <c r="AU1006" s="157" t="str">
        <f t="shared" si="699"/>
        <v/>
      </c>
      <c r="AV1006" s="157" t="str">
        <f t="shared" si="700"/>
        <v/>
      </c>
      <c r="AW1006" s="157" t="str">
        <f t="shared" si="701"/>
        <v/>
      </c>
      <c r="AX1006" s="376">
        <f t="shared" si="702"/>
        <v>0</v>
      </c>
      <c r="AY1006" s="148" t="str">
        <f t="shared" si="703"/>
        <v>-&gt;</v>
      </c>
      <c r="AZ1006" s="148" t="str">
        <f t="shared" si="704"/>
        <v>01/00/1900 00:00-&gt;</v>
      </c>
      <c r="BA1006" s="148" t="str">
        <f t="shared" si="705"/>
        <v>01/00/1900 00:00-&gt;</v>
      </c>
      <c r="BB1006" s="374">
        <f t="shared" si="706"/>
        <v>0</v>
      </c>
      <c r="BC1006" s="374">
        <f t="shared" si="707"/>
        <v>0</v>
      </c>
      <c r="BD1006" s="148" t="str">
        <f t="shared" si="708"/>
        <v>no conflict</v>
      </c>
      <c r="BF1006" s="148" t="str">
        <f t="shared" si="709"/>
        <v>01/00/1900 00:00-&gt;</v>
      </c>
      <c r="BG1006" s="148" t="str">
        <f t="shared" si="710"/>
        <v>01/00/1900 00:00-&gt;</v>
      </c>
      <c r="BH1006" s="148" t="str">
        <f t="shared" si="711"/>
        <v>01/00/1900 00:00-&gt;</v>
      </c>
      <c r="BI1006" s="148" t="str">
        <f t="shared" si="712"/>
        <v xml:space="preserve"> in  ()</v>
      </c>
      <c r="BJ1006" s="148" t="str">
        <f t="shared" si="713"/>
        <v xml:space="preserve">--  vs. </v>
      </c>
      <c r="BK1006" s="148" t="str">
        <f t="shared" si="714"/>
        <v/>
      </c>
      <c r="BL1006" s="148">
        <f t="shared" si="715"/>
        <v>0</v>
      </c>
      <c r="BM1006" s="148">
        <f t="shared" si="716"/>
        <v>0</v>
      </c>
      <c r="BN1006" s="148">
        <f t="shared" si="717"/>
        <v>0</v>
      </c>
      <c r="BP1006" s="148" t="str">
        <f t="shared" si="718"/>
        <v>no game</v>
      </c>
      <c r="BQ1006" s="148" t="str">
        <f t="shared" si="719"/>
        <v xml:space="preserve">  in </v>
      </c>
    </row>
    <row r="1007" spans="2:69" ht="15" customHeight="1" x14ac:dyDescent="0.2">
      <c r="B1007" s="153"/>
      <c r="C1007" s="153"/>
      <c r="D1007" s="383"/>
      <c r="E1007" s="383"/>
      <c r="F1007" s="153"/>
      <c r="G1007" s="154"/>
      <c r="H1007" s="155"/>
      <c r="I1007" s="314"/>
      <c r="J1007" s="153"/>
      <c r="K1007" s="153"/>
      <c r="L1007" s="153"/>
      <c r="M1007" s="153"/>
      <c r="N1007" s="153"/>
      <c r="O1007" s="153" t="str">
        <f>IF(L1007&lt;&gt;"",IFERROR(VLOOKUP(B1007&amp;L1007,Pools!$A$2:$D$130,3,FALSE),""),"")</f>
        <v/>
      </c>
      <c r="P1007" s="387"/>
      <c r="Q1007" s="387"/>
      <c r="R1007" s="306" t="str">
        <f t="shared" si="675"/>
        <v>-</v>
      </c>
      <c r="S1007" s="153"/>
      <c r="T1007" s="148" t="str">
        <f t="shared" si="676"/>
        <v>Pending</v>
      </c>
      <c r="U1007" s="153"/>
      <c r="V1007" s="153"/>
      <c r="W1007" s="387">
        <f t="shared" si="677"/>
        <v>0</v>
      </c>
      <c r="X1007" s="387">
        <f t="shared" si="678"/>
        <v>0</v>
      </c>
      <c r="Y1007" s="301" t="str">
        <f t="shared" si="679"/>
        <v>X</v>
      </c>
      <c r="Z1007" s="301" t="str">
        <f t="shared" si="680"/>
        <v>X</v>
      </c>
      <c r="AA1007" s="323" t="e">
        <f>CONCATENATE("                x[team1,team2,sport,'",IF(OR(I1007="x",I1007=""),VLOOKUP('Schedule from TM'!J1007,Tables!$P$3:$Q$33,2,FALSE),'Schedule from TM'!I1007),",",J1007,"','",IF(OR(F1007="x",F1007=""),VLOOKUP('Schedule from TM'!G1007,Tables!$U$3:$V$14,2,FALSE),'Schedule from TM'!F1007),",",TEXT(G1007,"mm/dd/yyyy"),"','",TEXT(H1007,"h:mm:ss AM/PM"),"'].ub=0.0      #",B1007)</f>
        <v>#N/A</v>
      </c>
      <c r="AB1007" s="301" t="str">
        <f t="shared" si="681"/>
        <v>,,,,1,</v>
      </c>
      <c r="AC1007" s="153" t="str">
        <f t="shared" si="682"/>
        <v/>
      </c>
      <c r="AD1007" s="301" t="str">
        <f t="shared" si="683"/>
        <v>,,,,1,</v>
      </c>
      <c r="AE1007" s="153" t="str">
        <f t="shared" si="684"/>
        <v/>
      </c>
      <c r="AF1007" s="383">
        <f t="shared" si="685"/>
        <v>0</v>
      </c>
      <c r="AG1007" s="383">
        <f t="shared" si="686"/>
        <v>0</v>
      </c>
      <c r="AH1007" s="383">
        <f t="shared" si="687"/>
        <v>0</v>
      </c>
      <c r="AI1007" s="383">
        <f t="shared" si="688"/>
        <v>0</v>
      </c>
      <c r="AJ1007" s="383">
        <f t="shared" si="689"/>
        <v>0</v>
      </c>
      <c r="AK1007" s="383">
        <f t="shared" si="690"/>
        <v>0</v>
      </c>
      <c r="AM1007" s="148" t="str">
        <f t="shared" si="691"/>
        <v>Not Schedulled</v>
      </c>
      <c r="AN1007" s="148" t="str">
        <f t="shared" si="692"/>
        <v/>
      </c>
      <c r="AO1007" s="156">
        <f t="shared" si="693"/>
        <v>0</v>
      </c>
      <c r="AP1007" s="148" t="str">
        <f t="shared" si="694"/>
        <v>01/00/1900 00:00-&gt;</v>
      </c>
      <c r="AQ1007" s="374">
        <f t="shared" si="695"/>
        <v>0</v>
      </c>
      <c r="AR1007" s="148" t="str">
        <f t="shared" si="696"/>
        <v/>
      </c>
      <c r="AS1007" s="148" t="str">
        <f t="shared" si="697"/>
        <v/>
      </c>
      <c r="AT1007" s="157" t="str">
        <f t="shared" si="698"/>
        <v/>
      </c>
      <c r="AU1007" s="157" t="str">
        <f t="shared" si="699"/>
        <v/>
      </c>
      <c r="AV1007" s="157" t="str">
        <f t="shared" si="700"/>
        <v/>
      </c>
      <c r="AW1007" s="157" t="str">
        <f t="shared" si="701"/>
        <v/>
      </c>
      <c r="AX1007" s="376">
        <f t="shared" si="702"/>
        <v>0</v>
      </c>
      <c r="AY1007" s="148" t="str">
        <f t="shared" si="703"/>
        <v>-&gt;</v>
      </c>
      <c r="AZ1007" s="148" t="str">
        <f t="shared" si="704"/>
        <v>01/00/1900 00:00-&gt;</v>
      </c>
      <c r="BA1007" s="148" t="str">
        <f t="shared" si="705"/>
        <v>01/00/1900 00:00-&gt;</v>
      </c>
      <c r="BB1007" s="374">
        <f t="shared" si="706"/>
        <v>0</v>
      </c>
      <c r="BC1007" s="374">
        <f t="shared" si="707"/>
        <v>0</v>
      </c>
      <c r="BD1007" s="148" t="str">
        <f t="shared" si="708"/>
        <v>no conflict</v>
      </c>
      <c r="BF1007" s="148" t="str">
        <f t="shared" si="709"/>
        <v>01/00/1900 00:00-&gt;</v>
      </c>
      <c r="BG1007" s="148" t="str">
        <f t="shared" si="710"/>
        <v>01/00/1900 00:00-&gt;</v>
      </c>
      <c r="BH1007" s="148" t="str">
        <f t="shared" si="711"/>
        <v>01/00/1900 00:00-&gt;</v>
      </c>
      <c r="BI1007" s="148" t="str">
        <f t="shared" si="712"/>
        <v xml:space="preserve"> in  ()</v>
      </c>
      <c r="BJ1007" s="148" t="str">
        <f t="shared" si="713"/>
        <v xml:space="preserve">--  vs. </v>
      </c>
      <c r="BK1007" s="148" t="str">
        <f t="shared" si="714"/>
        <v/>
      </c>
      <c r="BL1007" s="148">
        <f t="shared" si="715"/>
        <v>0</v>
      </c>
      <c r="BM1007" s="148">
        <f t="shared" si="716"/>
        <v>0</v>
      </c>
      <c r="BN1007" s="148">
        <f t="shared" si="717"/>
        <v>0</v>
      </c>
      <c r="BP1007" s="148" t="str">
        <f t="shared" si="718"/>
        <v>no game</v>
      </c>
      <c r="BQ1007" s="148" t="str">
        <f t="shared" si="719"/>
        <v xml:space="preserve">  in </v>
      </c>
    </row>
    <row r="1008" spans="2:69" ht="15" customHeight="1" x14ac:dyDescent="0.2">
      <c r="B1008" s="153"/>
      <c r="C1008" s="153"/>
      <c r="D1008" s="383"/>
      <c r="E1008" s="383"/>
      <c r="F1008" s="153"/>
      <c r="G1008" s="154"/>
      <c r="H1008" s="155"/>
      <c r="I1008" s="314"/>
      <c r="J1008" s="153"/>
      <c r="K1008" s="153"/>
      <c r="L1008" s="153"/>
      <c r="M1008" s="153"/>
      <c r="N1008" s="153"/>
      <c r="O1008" s="153" t="str">
        <f>IF(L1008&lt;&gt;"",IFERROR(VLOOKUP(B1008&amp;L1008,Pools!$A$2:$D$130,3,FALSE),""),"")</f>
        <v/>
      </c>
      <c r="P1008" s="387"/>
      <c r="Q1008" s="387"/>
      <c r="R1008" s="306" t="str">
        <f t="shared" si="675"/>
        <v>-</v>
      </c>
      <c r="S1008" s="153"/>
      <c r="T1008" s="148" t="str">
        <f t="shared" si="676"/>
        <v>Pending</v>
      </c>
      <c r="U1008" s="153"/>
      <c r="V1008" s="153"/>
      <c r="W1008" s="387">
        <f t="shared" si="677"/>
        <v>0</v>
      </c>
      <c r="X1008" s="387">
        <f t="shared" si="678"/>
        <v>0</v>
      </c>
      <c r="Y1008" s="301" t="str">
        <f t="shared" si="679"/>
        <v>X</v>
      </c>
      <c r="Z1008" s="301" t="str">
        <f t="shared" si="680"/>
        <v>X</v>
      </c>
      <c r="AA1008" s="323" t="e">
        <f>CONCATENATE("                x[team1,team2,sport,'",IF(OR(I1008="x",I1008=""),VLOOKUP('Schedule from TM'!J1008,Tables!$P$3:$Q$33,2,FALSE),'Schedule from TM'!I1008),",",J1008,"','",IF(OR(F1008="x",F1008=""),VLOOKUP('Schedule from TM'!G1008,Tables!$U$3:$V$14,2,FALSE),'Schedule from TM'!F1008),",",TEXT(G1008,"mm/dd/yyyy"),"','",TEXT(H1008,"h:mm:ss AM/PM"),"'].ub=0.0      #",B1008)</f>
        <v>#N/A</v>
      </c>
      <c r="AB1008" s="301" t="str">
        <f t="shared" si="681"/>
        <v>,,,,1,</v>
      </c>
      <c r="AC1008" s="153" t="str">
        <f t="shared" si="682"/>
        <v/>
      </c>
      <c r="AD1008" s="301" t="str">
        <f t="shared" si="683"/>
        <v>,,,,1,</v>
      </c>
      <c r="AE1008" s="153" t="str">
        <f t="shared" si="684"/>
        <v/>
      </c>
      <c r="AF1008" s="383">
        <f t="shared" si="685"/>
        <v>0</v>
      </c>
      <c r="AG1008" s="383">
        <f t="shared" si="686"/>
        <v>0</v>
      </c>
      <c r="AH1008" s="383">
        <f t="shared" si="687"/>
        <v>0</v>
      </c>
      <c r="AI1008" s="383">
        <f t="shared" si="688"/>
        <v>0</v>
      </c>
      <c r="AJ1008" s="383">
        <f t="shared" si="689"/>
        <v>0</v>
      </c>
      <c r="AK1008" s="383">
        <f t="shared" si="690"/>
        <v>0</v>
      </c>
      <c r="AM1008" s="148" t="str">
        <f t="shared" si="691"/>
        <v>Not Schedulled</v>
      </c>
      <c r="AN1008" s="148" t="str">
        <f t="shared" si="692"/>
        <v/>
      </c>
      <c r="AO1008" s="156">
        <f t="shared" si="693"/>
        <v>0</v>
      </c>
      <c r="AP1008" s="148" t="str">
        <f t="shared" si="694"/>
        <v>01/00/1900 00:00-&gt;</v>
      </c>
      <c r="AQ1008" s="374">
        <f t="shared" si="695"/>
        <v>0</v>
      </c>
      <c r="AR1008" s="148" t="str">
        <f t="shared" si="696"/>
        <v/>
      </c>
      <c r="AS1008" s="148" t="str">
        <f t="shared" si="697"/>
        <v/>
      </c>
      <c r="AT1008" s="157" t="str">
        <f t="shared" si="698"/>
        <v/>
      </c>
      <c r="AU1008" s="157" t="str">
        <f t="shared" si="699"/>
        <v/>
      </c>
      <c r="AV1008" s="157" t="str">
        <f t="shared" si="700"/>
        <v/>
      </c>
      <c r="AW1008" s="157" t="str">
        <f t="shared" si="701"/>
        <v/>
      </c>
      <c r="AX1008" s="376">
        <f t="shared" si="702"/>
        <v>0</v>
      </c>
      <c r="AY1008" s="148" t="str">
        <f t="shared" si="703"/>
        <v>-&gt;</v>
      </c>
      <c r="AZ1008" s="148" t="str">
        <f t="shared" si="704"/>
        <v>01/00/1900 00:00-&gt;</v>
      </c>
      <c r="BA1008" s="148" t="str">
        <f t="shared" si="705"/>
        <v>01/00/1900 00:00-&gt;</v>
      </c>
      <c r="BB1008" s="374">
        <f t="shared" si="706"/>
        <v>0</v>
      </c>
      <c r="BC1008" s="374">
        <f t="shared" si="707"/>
        <v>0</v>
      </c>
      <c r="BD1008" s="148" t="str">
        <f t="shared" si="708"/>
        <v>no conflict</v>
      </c>
      <c r="BF1008" s="148" t="str">
        <f t="shared" si="709"/>
        <v>01/00/1900 00:00-&gt;</v>
      </c>
      <c r="BG1008" s="148" t="str">
        <f t="shared" si="710"/>
        <v>01/00/1900 00:00-&gt;</v>
      </c>
      <c r="BH1008" s="148" t="str">
        <f t="shared" si="711"/>
        <v>01/00/1900 00:00-&gt;</v>
      </c>
      <c r="BI1008" s="148" t="str">
        <f t="shared" si="712"/>
        <v xml:space="preserve"> in  ()</v>
      </c>
      <c r="BJ1008" s="148" t="str">
        <f t="shared" si="713"/>
        <v xml:space="preserve">--  vs. </v>
      </c>
      <c r="BK1008" s="148" t="str">
        <f t="shared" si="714"/>
        <v/>
      </c>
      <c r="BL1008" s="148">
        <f t="shared" si="715"/>
        <v>0</v>
      </c>
      <c r="BM1008" s="148">
        <f t="shared" si="716"/>
        <v>0</v>
      </c>
      <c r="BN1008" s="148">
        <f t="shared" si="717"/>
        <v>0</v>
      </c>
      <c r="BP1008" s="148" t="str">
        <f t="shared" si="718"/>
        <v>no game</v>
      </c>
      <c r="BQ1008" s="148" t="str">
        <f t="shared" si="719"/>
        <v xml:space="preserve">  in </v>
      </c>
    </row>
    <row r="1009" spans="2:69" ht="15" customHeight="1" x14ac:dyDescent="0.2">
      <c r="B1009" s="153"/>
      <c r="C1009" s="153"/>
      <c r="D1009" s="383"/>
      <c r="E1009" s="383"/>
      <c r="F1009" s="153"/>
      <c r="G1009" s="154"/>
      <c r="H1009" s="155"/>
      <c r="I1009" s="314"/>
      <c r="J1009" s="153"/>
      <c r="K1009" s="153"/>
      <c r="L1009" s="153"/>
      <c r="M1009" s="153"/>
      <c r="N1009" s="153"/>
      <c r="O1009" s="153" t="str">
        <f>IF(L1009&lt;&gt;"",IFERROR(VLOOKUP(B1009&amp;L1009,Pools!$A$2:$D$130,3,FALSE),""),"")</f>
        <v/>
      </c>
      <c r="P1009" s="387"/>
      <c r="Q1009" s="387"/>
      <c r="R1009" s="306" t="str">
        <f t="shared" si="675"/>
        <v>-</v>
      </c>
      <c r="S1009" s="153"/>
      <c r="T1009" s="148" t="str">
        <f t="shared" si="676"/>
        <v>Pending</v>
      </c>
      <c r="U1009" s="153"/>
      <c r="V1009" s="153"/>
      <c r="W1009" s="387">
        <f t="shared" si="677"/>
        <v>0</v>
      </c>
      <c r="X1009" s="387">
        <f t="shared" si="678"/>
        <v>0</v>
      </c>
      <c r="Y1009" s="301" t="str">
        <f t="shared" si="679"/>
        <v>X</v>
      </c>
      <c r="Z1009" s="301" t="str">
        <f t="shared" si="680"/>
        <v>X</v>
      </c>
      <c r="AA1009" s="323" t="e">
        <f>CONCATENATE("                x[team1,team2,sport,'",IF(OR(I1009="x",I1009=""),VLOOKUP('Schedule from TM'!J1009,Tables!$P$3:$Q$33,2,FALSE),'Schedule from TM'!I1009),",",J1009,"','",IF(OR(F1009="x",F1009=""),VLOOKUP('Schedule from TM'!G1009,Tables!$U$3:$V$14,2,FALSE),'Schedule from TM'!F1009),",",TEXT(G1009,"mm/dd/yyyy"),"','",TEXT(H1009,"h:mm:ss AM/PM"),"'].ub=0.0      #",B1009)</f>
        <v>#N/A</v>
      </c>
      <c r="AB1009" s="301" t="str">
        <f t="shared" si="681"/>
        <v>,,,,1,</v>
      </c>
      <c r="AC1009" s="153" t="str">
        <f t="shared" si="682"/>
        <v/>
      </c>
      <c r="AD1009" s="301" t="str">
        <f t="shared" si="683"/>
        <v>,,,,1,</v>
      </c>
      <c r="AE1009" s="153" t="str">
        <f t="shared" si="684"/>
        <v/>
      </c>
      <c r="AF1009" s="383">
        <f t="shared" si="685"/>
        <v>0</v>
      </c>
      <c r="AG1009" s="383">
        <f t="shared" si="686"/>
        <v>0</v>
      </c>
      <c r="AH1009" s="383">
        <f t="shared" si="687"/>
        <v>0</v>
      </c>
      <c r="AI1009" s="383">
        <f t="shared" si="688"/>
        <v>0</v>
      </c>
      <c r="AJ1009" s="383">
        <f t="shared" si="689"/>
        <v>0</v>
      </c>
      <c r="AK1009" s="383">
        <f t="shared" si="690"/>
        <v>0</v>
      </c>
      <c r="AM1009" s="148" t="str">
        <f t="shared" si="691"/>
        <v>Not Schedulled</v>
      </c>
      <c r="AN1009" s="148" t="str">
        <f t="shared" si="692"/>
        <v/>
      </c>
      <c r="AO1009" s="156">
        <f t="shared" si="693"/>
        <v>0</v>
      </c>
      <c r="AP1009" s="148" t="str">
        <f t="shared" si="694"/>
        <v>01/00/1900 00:00-&gt;</v>
      </c>
      <c r="AQ1009" s="374">
        <f t="shared" si="695"/>
        <v>0</v>
      </c>
      <c r="AR1009" s="148" t="str">
        <f t="shared" si="696"/>
        <v/>
      </c>
      <c r="AS1009" s="148" t="str">
        <f t="shared" si="697"/>
        <v/>
      </c>
      <c r="AT1009" s="157" t="str">
        <f t="shared" si="698"/>
        <v/>
      </c>
      <c r="AU1009" s="157" t="str">
        <f t="shared" si="699"/>
        <v/>
      </c>
      <c r="AV1009" s="157" t="str">
        <f t="shared" si="700"/>
        <v/>
      </c>
      <c r="AW1009" s="157" t="str">
        <f t="shared" si="701"/>
        <v/>
      </c>
      <c r="AX1009" s="376">
        <f t="shared" si="702"/>
        <v>0</v>
      </c>
      <c r="AY1009" s="148" t="str">
        <f t="shared" si="703"/>
        <v>-&gt;</v>
      </c>
      <c r="AZ1009" s="148" t="str">
        <f t="shared" si="704"/>
        <v>01/00/1900 00:00-&gt;</v>
      </c>
      <c r="BA1009" s="148" t="str">
        <f t="shared" si="705"/>
        <v>01/00/1900 00:00-&gt;</v>
      </c>
      <c r="BB1009" s="374">
        <f t="shared" si="706"/>
        <v>0</v>
      </c>
      <c r="BC1009" s="374">
        <f t="shared" si="707"/>
        <v>0</v>
      </c>
      <c r="BD1009" s="148" t="str">
        <f t="shared" si="708"/>
        <v>no conflict</v>
      </c>
      <c r="BF1009" s="148" t="str">
        <f t="shared" si="709"/>
        <v>01/00/1900 00:00-&gt;</v>
      </c>
      <c r="BG1009" s="148" t="str">
        <f t="shared" si="710"/>
        <v>01/00/1900 00:00-&gt;</v>
      </c>
      <c r="BH1009" s="148" t="str">
        <f t="shared" si="711"/>
        <v>01/00/1900 00:00-&gt;</v>
      </c>
      <c r="BI1009" s="148" t="str">
        <f t="shared" si="712"/>
        <v xml:space="preserve"> in  ()</v>
      </c>
      <c r="BJ1009" s="148" t="str">
        <f t="shared" si="713"/>
        <v xml:space="preserve">--  vs. </v>
      </c>
      <c r="BK1009" s="148" t="str">
        <f t="shared" si="714"/>
        <v/>
      </c>
      <c r="BL1009" s="148">
        <f t="shared" si="715"/>
        <v>0</v>
      </c>
      <c r="BM1009" s="148">
        <f t="shared" si="716"/>
        <v>0</v>
      </c>
      <c r="BN1009" s="148">
        <f t="shared" si="717"/>
        <v>0</v>
      </c>
      <c r="BP1009" s="148" t="str">
        <f t="shared" si="718"/>
        <v>no game</v>
      </c>
      <c r="BQ1009" s="148" t="str">
        <f t="shared" si="719"/>
        <v xml:space="preserve">  in </v>
      </c>
    </row>
    <row r="1010" spans="2:69" ht="15" customHeight="1" x14ac:dyDescent="0.2">
      <c r="B1010" s="153"/>
      <c r="C1010" s="153"/>
      <c r="D1010" s="383"/>
      <c r="E1010" s="383"/>
      <c r="F1010" s="153"/>
      <c r="G1010" s="154"/>
      <c r="H1010" s="155"/>
      <c r="I1010" s="314"/>
      <c r="J1010" s="153"/>
      <c r="K1010" s="153"/>
      <c r="L1010" s="153"/>
      <c r="M1010" s="153"/>
      <c r="N1010" s="153"/>
      <c r="O1010" s="153" t="str">
        <f>IF(L1010&lt;&gt;"",IFERROR(VLOOKUP(B1010&amp;L1010,Pools!$A$2:$D$130,3,FALSE),""),"")</f>
        <v/>
      </c>
      <c r="P1010" s="387"/>
      <c r="Q1010" s="387"/>
      <c r="R1010" s="306" t="str">
        <f t="shared" si="675"/>
        <v>-</v>
      </c>
      <c r="S1010" s="153"/>
      <c r="T1010" s="148" t="str">
        <f t="shared" si="676"/>
        <v>Pending</v>
      </c>
      <c r="U1010" s="153"/>
      <c r="V1010" s="153"/>
      <c r="W1010" s="387">
        <f t="shared" si="677"/>
        <v>0</v>
      </c>
      <c r="X1010" s="387">
        <f t="shared" si="678"/>
        <v>0</v>
      </c>
      <c r="Y1010" s="301" t="str">
        <f t="shared" si="679"/>
        <v>X</v>
      </c>
      <c r="Z1010" s="301" t="str">
        <f t="shared" si="680"/>
        <v>X</v>
      </c>
      <c r="AA1010" s="323" t="e">
        <f>CONCATENATE("                x[team1,team2,sport,'",IF(OR(I1010="x",I1010=""),VLOOKUP('Schedule from TM'!J1010,Tables!$P$3:$Q$33,2,FALSE),'Schedule from TM'!I1010),",",J1010,"','",IF(OR(F1010="x",F1010=""),VLOOKUP('Schedule from TM'!G1010,Tables!$U$3:$V$14,2,FALSE),'Schedule from TM'!F1010),",",TEXT(G1010,"mm/dd/yyyy"),"','",TEXT(H1010,"h:mm:ss AM/PM"),"'].ub=0.0      #",B1010)</f>
        <v>#N/A</v>
      </c>
      <c r="AB1010" s="301" t="str">
        <f t="shared" si="681"/>
        <v>,,,,1,</v>
      </c>
      <c r="AC1010" s="153" t="str">
        <f t="shared" si="682"/>
        <v/>
      </c>
      <c r="AD1010" s="301" t="str">
        <f t="shared" si="683"/>
        <v>,,,,1,</v>
      </c>
      <c r="AE1010" s="153" t="str">
        <f t="shared" si="684"/>
        <v/>
      </c>
      <c r="AF1010" s="383">
        <f t="shared" si="685"/>
        <v>0</v>
      </c>
      <c r="AG1010" s="383">
        <f t="shared" si="686"/>
        <v>0</v>
      </c>
      <c r="AH1010" s="383">
        <f t="shared" si="687"/>
        <v>0</v>
      </c>
      <c r="AI1010" s="383">
        <f t="shared" si="688"/>
        <v>0</v>
      </c>
      <c r="AJ1010" s="383">
        <f t="shared" si="689"/>
        <v>0</v>
      </c>
      <c r="AK1010" s="383">
        <f t="shared" si="690"/>
        <v>0</v>
      </c>
      <c r="AM1010" s="148" t="str">
        <f t="shared" si="691"/>
        <v>Not Schedulled</v>
      </c>
      <c r="AN1010" s="148" t="str">
        <f t="shared" si="692"/>
        <v/>
      </c>
      <c r="AO1010" s="156">
        <f t="shared" si="693"/>
        <v>0</v>
      </c>
      <c r="AP1010" s="148" t="str">
        <f t="shared" si="694"/>
        <v>01/00/1900 00:00-&gt;</v>
      </c>
      <c r="AQ1010" s="374">
        <f t="shared" si="695"/>
        <v>0</v>
      </c>
      <c r="AR1010" s="148" t="str">
        <f t="shared" si="696"/>
        <v/>
      </c>
      <c r="AS1010" s="148" t="str">
        <f t="shared" si="697"/>
        <v/>
      </c>
      <c r="AT1010" s="157" t="str">
        <f t="shared" si="698"/>
        <v/>
      </c>
      <c r="AU1010" s="157" t="str">
        <f t="shared" si="699"/>
        <v/>
      </c>
      <c r="AV1010" s="157" t="str">
        <f t="shared" si="700"/>
        <v/>
      </c>
      <c r="AW1010" s="157" t="str">
        <f t="shared" si="701"/>
        <v/>
      </c>
      <c r="AX1010" s="376">
        <f t="shared" si="702"/>
        <v>0</v>
      </c>
      <c r="AY1010" s="148" t="str">
        <f t="shared" si="703"/>
        <v>-&gt;</v>
      </c>
      <c r="AZ1010" s="148" t="str">
        <f t="shared" si="704"/>
        <v>01/00/1900 00:00-&gt;</v>
      </c>
      <c r="BA1010" s="148" t="str">
        <f t="shared" si="705"/>
        <v>01/00/1900 00:00-&gt;</v>
      </c>
      <c r="BB1010" s="374">
        <f t="shared" si="706"/>
        <v>0</v>
      </c>
      <c r="BC1010" s="374">
        <f t="shared" si="707"/>
        <v>0</v>
      </c>
      <c r="BD1010" s="148" t="str">
        <f t="shared" si="708"/>
        <v>no conflict</v>
      </c>
      <c r="BF1010" s="148" t="str">
        <f t="shared" si="709"/>
        <v>01/00/1900 00:00-&gt;</v>
      </c>
      <c r="BG1010" s="148" t="str">
        <f t="shared" si="710"/>
        <v>01/00/1900 00:00-&gt;</v>
      </c>
      <c r="BH1010" s="148" t="str">
        <f t="shared" si="711"/>
        <v>01/00/1900 00:00-&gt;</v>
      </c>
      <c r="BI1010" s="148" t="str">
        <f t="shared" si="712"/>
        <v xml:space="preserve"> in  ()</v>
      </c>
      <c r="BJ1010" s="148" t="str">
        <f t="shared" si="713"/>
        <v xml:space="preserve">--  vs. </v>
      </c>
      <c r="BK1010" s="148" t="str">
        <f t="shared" si="714"/>
        <v/>
      </c>
      <c r="BL1010" s="148">
        <f t="shared" si="715"/>
        <v>0</v>
      </c>
      <c r="BM1010" s="148">
        <f t="shared" si="716"/>
        <v>0</v>
      </c>
      <c r="BN1010" s="148">
        <f t="shared" si="717"/>
        <v>0</v>
      </c>
      <c r="BP1010" s="148" t="str">
        <f t="shared" si="718"/>
        <v>no game</v>
      </c>
      <c r="BQ1010" s="148" t="str">
        <f t="shared" si="719"/>
        <v xml:space="preserve">  in </v>
      </c>
    </row>
    <row r="1011" spans="2:69" ht="15" customHeight="1" x14ac:dyDescent="0.2">
      <c r="B1011" s="153"/>
      <c r="C1011" s="153"/>
      <c r="D1011" s="383"/>
      <c r="E1011" s="383"/>
      <c r="F1011" s="153"/>
      <c r="G1011" s="154"/>
      <c r="H1011" s="155"/>
      <c r="I1011" s="314"/>
      <c r="J1011" s="153"/>
      <c r="K1011" s="153"/>
      <c r="L1011" s="153"/>
      <c r="M1011" s="153"/>
      <c r="N1011" s="153"/>
      <c r="O1011" s="153" t="str">
        <f>IF(L1011&lt;&gt;"",IFERROR(VLOOKUP(B1011&amp;L1011,Pools!$A$2:$D$130,3,FALSE),""),"")</f>
        <v/>
      </c>
      <c r="P1011" s="387"/>
      <c r="Q1011" s="387"/>
      <c r="R1011" s="306" t="str">
        <f t="shared" si="675"/>
        <v>-</v>
      </c>
      <c r="S1011" s="153"/>
      <c r="T1011" s="148" t="str">
        <f t="shared" si="676"/>
        <v>Pending</v>
      </c>
      <c r="U1011" s="153"/>
      <c r="V1011" s="153"/>
      <c r="W1011" s="387">
        <f t="shared" si="677"/>
        <v>0</v>
      </c>
      <c r="X1011" s="387">
        <f t="shared" si="678"/>
        <v>0</v>
      </c>
      <c r="Y1011" s="301" t="str">
        <f t="shared" si="679"/>
        <v>X</v>
      </c>
      <c r="Z1011" s="301" t="str">
        <f t="shared" si="680"/>
        <v>X</v>
      </c>
      <c r="AA1011" s="323" t="e">
        <f>CONCATENATE("                x[team1,team2,sport,'",IF(OR(I1011="x",I1011=""),VLOOKUP('Schedule from TM'!J1011,Tables!$P$3:$Q$33,2,FALSE),'Schedule from TM'!I1011),",",J1011,"','",IF(OR(F1011="x",F1011=""),VLOOKUP('Schedule from TM'!G1011,Tables!$U$3:$V$14,2,FALSE),'Schedule from TM'!F1011),",",TEXT(G1011,"mm/dd/yyyy"),"','",TEXT(H1011,"h:mm:ss AM/PM"),"'].ub=0.0      #",B1011)</f>
        <v>#N/A</v>
      </c>
      <c r="AB1011" s="301" t="str">
        <f t="shared" si="681"/>
        <v>,,,,1,</v>
      </c>
      <c r="AC1011" s="153" t="str">
        <f t="shared" si="682"/>
        <v/>
      </c>
      <c r="AD1011" s="301" t="str">
        <f t="shared" si="683"/>
        <v>,,,,1,</v>
      </c>
      <c r="AE1011" s="153" t="str">
        <f t="shared" si="684"/>
        <v/>
      </c>
      <c r="AF1011" s="383">
        <f t="shared" si="685"/>
        <v>0</v>
      </c>
      <c r="AG1011" s="383">
        <f t="shared" si="686"/>
        <v>0</v>
      </c>
      <c r="AH1011" s="383">
        <f t="shared" si="687"/>
        <v>0</v>
      </c>
      <c r="AI1011" s="383">
        <f t="shared" si="688"/>
        <v>0</v>
      </c>
      <c r="AJ1011" s="383">
        <f t="shared" si="689"/>
        <v>0</v>
      </c>
      <c r="AK1011" s="383">
        <f t="shared" si="690"/>
        <v>0</v>
      </c>
      <c r="AM1011" s="148" t="str">
        <f t="shared" si="691"/>
        <v>Not Schedulled</v>
      </c>
      <c r="AN1011" s="148" t="str">
        <f t="shared" si="692"/>
        <v/>
      </c>
      <c r="AO1011" s="156">
        <f t="shared" si="693"/>
        <v>0</v>
      </c>
      <c r="AP1011" s="148" t="str">
        <f t="shared" si="694"/>
        <v>01/00/1900 00:00-&gt;</v>
      </c>
      <c r="AQ1011" s="374">
        <f t="shared" si="695"/>
        <v>0</v>
      </c>
      <c r="AR1011" s="148" t="str">
        <f t="shared" si="696"/>
        <v/>
      </c>
      <c r="AS1011" s="148" t="str">
        <f t="shared" si="697"/>
        <v/>
      </c>
      <c r="AT1011" s="157" t="str">
        <f t="shared" si="698"/>
        <v/>
      </c>
      <c r="AU1011" s="157" t="str">
        <f t="shared" si="699"/>
        <v/>
      </c>
      <c r="AV1011" s="157" t="str">
        <f t="shared" si="700"/>
        <v/>
      </c>
      <c r="AW1011" s="157" t="str">
        <f t="shared" si="701"/>
        <v/>
      </c>
      <c r="AX1011" s="376">
        <f t="shared" si="702"/>
        <v>0</v>
      </c>
      <c r="AY1011" s="148" t="str">
        <f t="shared" si="703"/>
        <v>-&gt;</v>
      </c>
      <c r="AZ1011" s="148" t="str">
        <f t="shared" si="704"/>
        <v>01/00/1900 00:00-&gt;</v>
      </c>
      <c r="BA1011" s="148" t="str">
        <f t="shared" si="705"/>
        <v>01/00/1900 00:00-&gt;</v>
      </c>
      <c r="BB1011" s="374">
        <f t="shared" si="706"/>
        <v>0</v>
      </c>
      <c r="BC1011" s="374">
        <f t="shared" si="707"/>
        <v>0</v>
      </c>
      <c r="BD1011" s="148" t="str">
        <f t="shared" si="708"/>
        <v>no conflict</v>
      </c>
      <c r="BF1011" s="148" t="str">
        <f t="shared" si="709"/>
        <v>01/00/1900 00:00-&gt;</v>
      </c>
      <c r="BG1011" s="148" t="str">
        <f t="shared" si="710"/>
        <v>01/00/1900 00:00-&gt;</v>
      </c>
      <c r="BH1011" s="148" t="str">
        <f t="shared" si="711"/>
        <v>01/00/1900 00:00-&gt;</v>
      </c>
      <c r="BI1011" s="148" t="str">
        <f t="shared" si="712"/>
        <v xml:space="preserve"> in  ()</v>
      </c>
      <c r="BJ1011" s="148" t="str">
        <f t="shared" si="713"/>
        <v xml:space="preserve">--  vs. </v>
      </c>
      <c r="BK1011" s="148" t="str">
        <f t="shared" si="714"/>
        <v/>
      </c>
      <c r="BL1011" s="148">
        <f t="shared" si="715"/>
        <v>0</v>
      </c>
      <c r="BM1011" s="148">
        <f t="shared" si="716"/>
        <v>0</v>
      </c>
      <c r="BN1011" s="148">
        <f t="shared" si="717"/>
        <v>0</v>
      </c>
      <c r="BP1011" s="148" t="str">
        <f t="shared" si="718"/>
        <v>no game</v>
      </c>
      <c r="BQ1011" s="148" t="str">
        <f t="shared" si="719"/>
        <v xml:space="preserve">  in </v>
      </c>
    </row>
    <row r="1012" spans="2:69" ht="15" customHeight="1" x14ac:dyDescent="0.2">
      <c r="B1012" s="153"/>
      <c r="C1012" s="153"/>
      <c r="D1012" s="383"/>
      <c r="E1012" s="383"/>
      <c r="F1012" s="153"/>
      <c r="G1012" s="154"/>
      <c r="H1012" s="155"/>
      <c r="I1012" s="314"/>
      <c r="J1012" s="153"/>
      <c r="K1012" s="153"/>
      <c r="L1012" s="153"/>
      <c r="M1012" s="153"/>
      <c r="N1012" s="153"/>
      <c r="O1012" s="153" t="str">
        <f>IF(L1012&lt;&gt;"",IFERROR(VLOOKUP(B1012&amp;L1012,Pools!$A$2:$D$130,3,FALSE),""),"")</f>
        <v/>
      </c>
      <c r="P1012" s="387"/>
      <c r="Q1012" s="387"/>
      <c r="R1012" s="306" t="str">
        <f t="shared" si="675"/>
        <v>-</v>
      </c>
      <c r="S1012" s="153"/>
      <c r="T1012" s="148" t="str">
        <f t="shared" si="676"/>
        <v>Pending</v>
      </c>
      <c r="U1012" s="153"/>
      <c r="V1012" s="153"/>
      <c r="W1012" s="387">
        <f t="shared" si="677"/>
        <v>0</v>
      </c>
      <c r="X1012" s="387">
        <f t="shared" si="678"/>
        <v>0</v>
      </c>
      <c r="Y1012" s="301" t="str">
        <f t="shared" si="679"/>
        <v>X</v>
      </c>
      <c r="Z1012" s="301" t="str">
        <f t="shared" si="680"/>
        <v>X</v>
      </c>
      <c r="AA1012" s="323" t="e">
        <f>CONCATENATE("                x[team1,team2,sport,'",IF(OR(I1012="x",I1012=""),VLOOKUP('Schedule from TM'!J1012,Tables!$P$3:$Q$33,2,FALSE),'Schedule from TM'!I1012),",",J1012,"','",IF(OR(F1012="x",F1012=""),VLOOKUP('Schedule from TM'!G1012,Tables!$U$3:$V$14,2,FALSE),'Schedule from TM'!F1012),",",TEXT(G1012,"mm/dd/yyyy"),"','",TEXT(H1012,"h:mm:ss AM/PM"),"'].ub=0.0      #",B1012)</f>
        <v>#N/A</v>
      </c>
      <c r="AB1012" s="301" t="str">
        <f t="shared" si="681"/>
        <v>,,,,1,</v>
      </c>
      <c r="AC1012" s="153" t="str">
        <f t="shared" si="682"/>
        <v/>
      </c>
      <c r="AD1012" s="301" t="str">
        <f t="shared" si="683"/>
        <v>,,,,1,</v>
      </c>
      <c r="AE1012" s="153" t="str">
        <f t="shared" si="684"/>
        <v/>
      </c>
      <c r="AF1012" s="383">
        <f t="shared" si="685"/>
        <v>0</v>
      </c>
      <c r="AG1012" s="383">
        <f t="shared" si="686"/>
        <v>0</v>
      </c>
      <c r="AH1012" s="383">
        <f t="shared" si="687"/>
        <v>0</v>
      </c>
      <c r="AI1012" s="383">
        <f t="shared" si="688"/>
        <v>0</v>
      </c>
      <c r="AJ1012" s="383">
        <f t="shared" si="689"/>
        <v>0</v>
      </c>
      <c r="AK1012" s="383">
        <f t="shared" si="690"/>
        <v>0</v>
      </c>
      <c r="AM1012" s="148" t="str">
        <f t="shared" si="691"/>
        <v>Not Schedulled</v>
      </c>
      <c r="AN1012" s="148" t="str">
        <f t="shared" si="692"/>
        <v/>
      </c>
      <c r="AO1012" s="156">
        <f t="shared" si="693"/>
        <v>0</v>
      </c>
      <c r="AP1012" s="148" t="str">
        <f t="shared" si="694"/>
        <v>01/00/1900 00:00-&gt;</v>
      </c>
      <c r="AQ1012" s="374">
        <f t="shared" si="695"/>
        <v>0</v>
      </c>
      <c r="AR1012" s="148" t="str">
        <f t="shared" si="696"/>
        <v/>
      </c>
      <c r="AS1012" s="148" t="str">
        <f t="shared" si="697"/>
        <v/>
      </c>
      <c r="AT1012" s="157" t="str">
        <f t="shared" si="698"/>
        <v/>
      </c>
      <c r="AU1012" s="157" t="str">
        <f t="shared" si="699"/>
        <v/>
      </c>
      <c r="AV1012" s="157" t="str">
        <f t="shared" si="700"/>
        <v/>
      </c>
      <c r="AW1012" s="157" t="str">
        <f t="shared" si="701"/>
        <v/>
      </c>
      <c r="AX1012" s="376">
        <f t="shared" si="702"/>
        <v>0</v>
      </c>
      <c r="AY1012" s="148" t="str">
        <f t="shared" si="703"/>
        <v>-&gt;</v>
      </c>
      <c r="AZ1012" s="148" t="str">
        <f t="shared" si="704"/>
        <v>01/00/1900 00:00-&gt;</v>
      </c>
      <c r="BA1012" s="148" t="str">
        <f t="shared" si="705"/>
        <v>01/00/1900 00:00-&gt;</v>
      </c>
      <c r="BB1012" s="374">
        <f t="shared" si="706"/>
        <v>0</v>
      </c>
      <c r="BC1012" s="374">
        <f t="shared" si="707"/>
        <v>0</v>
      </c>
      <c r="BD1012" s="148" t="str">
        <f t="shared" si="708"/>
        <v>no conflict</v>
      </c>
      <c r="BF1012" s="148" t="str">
        <f t="shared" si="709"/>
        <v>01/00/1900 00:00-&gt;</v>
      </c>
      <c r="BG1012" s="148" t="str">
        <f t="shared" si="710"/>
        <v>01/00/1900 00:00-&gt;</v>
      </c>
      <c r="BH1012" s="148" t="str">
        <f t="shared" si="711"/>
        <v>01/00/1900 00:00-&gt;</v>
      </c>
      <c r="BI1012" s="148" t="str">
        <f t="shared" si="712"/>
        <v xml:space="preserve"> in  ()</v>
      </c>
      <c r="BJ1012" s="148" t="str">
        <f t="shared" si="713"/>
        <v xml:space="preserve">--  vs. </v>
      </c>
      <c r="BK1012" s="148" t="str">
        <f t="shared" si="714"/>
        <v/>
      </c>
      <c r="BL1012" s="148">
        <f t="shared" si="715"/>
        <v>0</v>
      </c>
      <c r="BM1012" s="148">
        <f t="shared" si="716"/>
        <v>0</v>
      </c>
      <c r="BN1012" s="148">
        <f t="shared" si="717"/>
        <v>0</v>
      </c>
      <c r="BP1012" s="148" t="str">
        <f t="shared" si="718"/>
        <v>no game</v>
      </c>
      <c r="BQ1012" s="148" t="str">
        <f t="shared" si="719"/>
        <v xml:space="preserve">  in </v>
      </c>
    </row>
    <row r="1013" spans="2:69" ht="15" customHeight="1" x14ac:dyDescent="0.2">
      <c r="B1013" s="153"/>
      <c r="C1013" s="153"/>
      <c r="D1013" s="383"/>
      <c r="E1013" s="383"/>
      <c r="F1013" s="153"/>
      <c r="G1013" s="154"/>
      <c r="H1013" s="155"/>
      <c r="I1013" s="314"/>
      <c r="J1013" s="153"/>
      <c r="K1013" s="153"/>
      <c r="L1013" s="153"/>
      <c r="M1013" s="153"/>
      <c r="N1013" s="153"/>
      <c r="O1013" s="153" t="str">
        <f>IF(L1013&lt;&gt;"",IFERROR(VLOOKUP(B1013&amp;L1013,Pools!$A$2:$D$130,3,FALSE),""),"")</f>
        <v/>
      </c>
      <c r="P1013" s="387"/>
      <c r="Q1013" s="387"/>
      <c r="R1013" s="306" t="str">
        <f t="shared" si="675"/>
        <v>-</v>
      </c>
      <c r="S1013" s="153"/>
      <c r="T1013" s="148" t="str">
        <f t="shared" si="676"/>
        <v>Pending</v>
      </c>
      <c r="U1013" s="153"/>
      <c r="V1013" s="153"/>
      <c r="W1013" s="387">
        <f t="shared" si="677"/>
        <v>0</v>
      </c>
      <c r="X1013" s="387">
        <f t="shared" si="678"/>
        <v>0</v>
      </c>
      <c r="Y1013" s="301" t="str">
        <f t="shared" si="679"/>
        <v>X</v>
      </c>
      <c r="Z1013" s="301" t="str">
        <f t="shared" si="680"/>
        <v>X</v>
      </c>
      <c r="AA1013" s="323" t="e">
        <f>CONCATENATE("                x[team1,team2,sport,'",IF(OR(I1013="x",I1013=""),VLOOKUP('Schedule from TM'!J1013,Tables!$P$3:$Q$33,2,FALSE),'Schedule from TM'!I1013),",",J1013,"','",IF(OR(F1013="x",F1013=""),VLOOKUP('Schedule from TM'!G1013,Tables!$U$3:$V$14,2,FALSE),'Schedule from TM'!F1013),",",TEXT(G1013,"mm/dd/yyyy"),"','",TEXT(H1013,"h:mm:ss AM/PM"),"'].ub=0.0      #",B1013)</f>
        <v>#N/A</v>
      </c>
      <c r="AB1013" s="301" t="str">
        <f t="shared" si="681"/>
        <v>,,,,1,</v>
      </c>
      <c r="AC1013" s="153" t="str">
        <f t="shared" si="682"/>
        <v/>
      </c>
      <c r="AD1013" s="301" t="str">
        <f t="shared" si="683"/>
        <v>,,,,1,</v>
      </c>
      <c r="AE1013" s="153" t="str">
        <f t="shared" si="684"/>
        <v/>
      </c>
      <c r="AF1013" s="383">
        <f t="shared" si="685"/>
        <v>0</v>
      </c>
      <c r="AG1013" s="383">
        <f t="shared" si="686"/>
        <v>0</v>
      </c>
      <c r="AH1013" s="383">
        <f t="shared" si="687"/>
        <v>0</v>
      </c>
      <c r="AI1013" s="383">
        <f t="shared" si="688"/>
        <v>0</v>
      </c>
      <c r="AJ1013" s="383">
        <f t="shared" si="689"/>
        <v>0</v>
      </c>
      <c r="AK1013" s="383">
        <f t="shared" si="690"/>
        <v>0</v>
      </c>
      <c r="AM1013" s="148" t="str">
        <f t="shared" si="691"/>
        <v>Not Schedulled</v>
      </c>
      <c r="AN1013" s="148" t="str">
        <f t="shared" si="692"/>
        <v/>
      </c>
      <c r="AO1013" s="156">
        <f t="shared" si="693"/>
        <v>0</v>
      </c>
      <c r="AP1013" s="148" t="str">
        <f t="shared" si="694"/>
        <v>01/00/1900 00:00-&gt;</v>
      </c>
      <c r="AQ1013" s="374">
        <f t="shared" si="695"/>
        <v>0</v>
      </c>
      <c r="AR1013" s="148" t="str">
        <f t="shared" si="696"/>
        <v/>
      </c>
      <c r="AS1013" s="148" t="str">
        <f t="shared" si="697"/>
        <v/>
      </c>
      <c r="AT1013" s="157" t="str">
        <f t="shared" si="698"/>
        <v/>
      </c>
      <c r="AU1013" s="157" t="str">
        <f t="shared" si="699"/>
        <v/>
      </c>
      <c r="AV1013" s="157" t="str">
        <f t="shared" si="700"/>
        <v/>
      </c>
      <c r="AW1013" s="157" t="str">
        <f t="shared" si="701"/>
        <v/>
      </c>
      <c r="AX1013" s="376">
        <f t="shared" si="702"/>
        <v>0</v>
      </c>
      <c r="AY1013" s="148" t="str">
        <f t="shared" si="703"/>
        <v>-&gt;</v>
      </c>
      <c r="AZ1013" s="148" t="str">
        <f t="shared" si="704"/>
        <v>01/00/1900 00:00-&gt;</v>
      </c>
      <c r="BA1013" s="148" t="str">
        <f t="shared" si="705"/>
        <v>01/00/1900 00:00-&gt;</v>
      </c>
      <c r="BB1013" s="374">
        <f t="shared" si="706"/>
        <v>0</v>
      </c>
      <c r="BC1013" s="374">
        <f t="shared" si="707"/>
        <v>0</v>
      </c>
      <c r="BD1013" s="148" t="str">
        <f t="shared" si="708"/>
        <v>no conflict</v>
      </c>
      <c r="BF1013" s="148" t="str">
        <f t="shared" si="709"/>
        <v>01/00/1900 00:00-&gt;</v>
      </c>
      <c r="BG1013" s="148" t="str">
        <f t="shared" si="710"/>
        <v>01/00/1900 00:00-&gt;</v>
      </c>
      <c r="BH1013" s="148" t="str">
        <f t="shared" si="711"/>
        <v>01/00/1900 00:00-&gt;</v>
      </c>
      <c r="BI1013" s="148" t="str">
        <f t="shared" si="712"/>
        <v xml:space="preserve"> in  ()</v>
      </c>
      <c r="BJ1013" s="148" t="str">
        <f t="shared" si="713"/>
        <v xml:space="preserve">--  vs. </v>
      </c>
      <c r="BK1013" s="148" t="str">
        <f t="shared" si="714"/>
        <v/>
      </c>
      <c r="BL1013" s="148">
        <f t="shared" si="715"/>
        <v>0</v>
      </c>
      <c r="BM1013" s="148">
        <f t="shared" si="716"/>
        <v>0</v>
      </c>
      <c r="BN1013" s="148">
        <f t="shared" si="717"/>
        <v>0</v>
      </c>
      <c r="BP1013" s="148" t="str">
        <f t="shared" si="718"/>
        <v>no game</v>
      </c>
      <c r="BQ1013" s="148" t="str">
        <f t="shared" si="719"/>
        <v xml:space="preserve">  in </v>
      </c>
    </row>
    <row r="1014" spans="2:69" ht="15" customHeight="1" x14ac:dyDescent="0.2">
      <c r="B1014" s="153"/>
      <c r="C1014" s="153"/>
      <c r="D1014" s="383"/>
      <c r="E1014" s="383"/>
      <c r="F1014" s="153"/>
      <c r="G1014" s="154"/>
      <c r="H1014" s="155"/>
      <c r="I1014" s="314"/>
      <c r="J1014" s="153"/>
      <c r="K1014" s="153"/>
      <c r="L1014" s="153"/>
      <c r="M1014" s="153"/>
      <c r="N1014" s="153"/>
      <c r="O1014" s="153" t="str">
        <f>IF(L1014&lt;&gt;"",IFERROR(VLOOKUP(B1014&amp;L1014,Pools!$A$2:$D$130,3,FALSE),""),"")</f>
        <v/>
      </c>
      <c r="P1014" s="387"/>
      <c r="Q1014" s="387"/>
      <c r="R1014" s="306" t="str">
        <f t="shared" si="675"/>
        <v>-</v>
      </c>
      <c r="S1014" s="153"/>
      <c r="T1014" s="148" t="str">
        <f t="shared" si="676"/>
        <v>Pending</v>
      </c>
      <c r="U1014" s="153"/>
      <c r="V1014" s="153"/>
      <c r="W1014" s="387">
        <f t="shared" si="677"/>
        <v>0</v>
      </c>
      <c r="X1014" s="387">
        <f t="shared" si="678"/>
        <v>0</v>
      </c>
      <c r="Y1014" s="301" t="str">
        <f t="shared" si="679"/>
        <v>X</v>
      </c>
      <c r="Z1014" s="301" t="str">
        <f t="shared" si="680"/>
        <v>X</v>
      </c>
      <c r="AA1014" s="323" t="e">
        <f>CONCATENATE("                x[team1,team2,sport,'",IF(OR(I1014="x",I1014=""),VLOOKUP('Schedule from TM'!J1014,Tables!$P$3:$Q$33,2,FALSE),'Schedule from TM'!I1014),",",J1014,"','",IF(OR(F1014="x",F1014=""),VLOOKUP('Schedule from TM'!G1014,Tables!$U$3:$V$14,2,FALSE),'Schedule from TM'!F1014),",",TEXT(G1014,"mm/dd/yyyy"),"','",TEXT(H1014,"h:mm:ss AM/PM"),"'].ub=0.0      #",B1014)</f>
        <v>#N/A</v>
      </c>
      <c r="AB1014" s="301" t="str">
        <f t="shared" si="681"/>
        <v>,,,,1,</v>
      </c>
      <c r="AC1014" s="153" t="str">
        <f t="shared" si="682"/>
        <v/>
      </c>
      <c r="AD1014" s="301" t="str">
        <f t="shared" si="683"/>
        <v>,,,,1,</v>
      </c>
      <c r="AE1014" s="153" t="str">
        <f t="shared" si="684"/>
        <v/>
      </c>
      <c r="AF1014" s="383">
        <f t="shared" si="685"/>
        <v>0</v>
      </c>
      <c r="AG1014" s="383">
        <f t="shared" si="686"/>
        <v>0</v>
      </c>
      <c r="AH1014" s="383">
        <f t="shared" si="687"/>
        <v>0</v>
      </c>
      <c r="AI1014" s="383">
        <f t="shared" si="688"/>
        <v>0</v>
      </c>
      <c r="AJ1014" s="383">
        <f t="shared" si="689"/>
        <v>0</v>
      </c>
      <c r="AK1014" s="383">
        <f t="shared" si="690"/>
        <v>0</v>
      </c>
      <c r="AM1014" s="148" t="str">
        <f t="shared" si="691"/>
        <v>Not Schedulled</v>
      </c>
      <c r="AN1014" s="148" t="str">
        <f t="shared" si="692"/>
        <v/>
      </c>
      <c r="AO1014" s="156">
        <f t="shared" si="693"/>
        <v>0</v>
      </c>
      <c r="AP1014" s="148" t="str">
        <f t="shared" si="694"/>
        <v>01/00/1900 00:00-&gt;</v>
      </c>
      <c r="AQ1014" s="374">
        <f t="shared" si="695"/>
        <v>0</v>
      </c>
      <c r="AR1014" s="148" t="str">
        <f t="shared" si="696"/>
        <v/>
      </c>
      <c r="AS1014" s="148" t="str">
        <f t="shared" si="697"/>
        <v/>
      </c>
      <c r="AT1014" s="157" t="str">
        <f t="shared" si="698"/>
        <v/>
      </c>
      <c r="AU1014" s="157" t="str">
        <f t="shared" si="699"/>
        <v/>
      </c>
      <c r="AV1014" s="157" t="str">
        <f t="shared" si="700"/>
        <v/>
      </c>
      <c r="AW1014" s="157" t="str">
        <f t="shared" si="701"/>
        <v/>
      </c>
      <c r="AX1014" s="376">
        <f t="shared" si="702"/>
        <v>0</v>
      </c>
      <c r="AY1014" s="148" t="str">
        <f t="shared" si="703"/>
        <v>-&gt;</v>
      </c>
      <c r="AZ1014" s="148" t="str">
        <f t="shared" si="704"/>
        <v>01/00/1900 00:00-&gt;</v>
      </c>
      <c r="BA1014" s="148" t="str">
        <f t="shared" si="705"/>
        <v>01/00/1900 00:00-&gt;</v>
      </c>
      <c r="BB1014" s="374">
        <f t="shared" si="706"/>
        <v>0</v>
      </c>
      <c r="BC1014" s="374">
        <f t="shared" si="707"/>
        <v>0</v>
      </c>
      <c r="BD1014" s="148" t="str">
        <f t="shared" si="708"/>
        <v>no conflict</v>
      </c>
      <c r="BF1014" s="148" t="str">
        <f t="shared" si="709"/>
        <v>01/00/1900 00:00-&gt;</v>
      </c>
      <c r="BG1014" s="148" t="str">
        <f t="shared" si="710"/>
        <v>01/00/1900 00:00-&gt;</v>
      </c>
      <c r="BH1014" s="148" t="str">
        <f t="shared" si="711"/>
        <v>01/00/1900 00:00-&gt;</v>
      </c>
      <c r="BI1014" s="148" t="str">
        <f t="shared" si="712"/>
        <v xml:space="preserve"> in  ()</v>
      </c>
      <c r="BJ1014" s="148" t="str">
        <f t="shared" si="713"/>
        <v xml:space="preserve">--  vs. </v>
      </c>
      <c r="BK1014" s="148" t="str">
        <f t="shared" si="714"/>
        <v/>
      </c>
      <c r="BL1014" s="148">
        <f t="shared" si="715"/>
        <v>0</v>
      </c>
      <c r="BM1014" s="148">
        <f t="shared" si="716"/>
        <v>0</v>
      </c>
      <c r="BN1014" s="148">
        <f t="shared" si="717"/>
        <v>0</v>
      </c>
      <c r="BP1014" s="148" t="str">
        <f t="shared" si="718"/>
        <v>no game</v>
      </c>
      <c r="BQ1014" s="148" t="str">
        <f t="shared" si="719"/>
        <v xml:space="preserve">  in </v>
      </c>
    </row>
    <row r="1015" spans="2:69" ht="15" customHeight="1" x14ac:dyDescent="0.2">
      <c r="B1015" s="153"/>
      <c r="C1015" s="153"/>
      <c r="D1015" s="383"/>
      <c r="E1015" s="383"/>
      <c r="F1015" s="153"/>
      <c r="G1015" s="154"/>
      <c r="H1015" s="155"/>
      <c r="I1015" s="314"/>
      <c r="J1015" s="153"/>
      <c r="K1015" s="153"/>
      <c r="L1015" s="153"/>
      <c r="M1015" s="153"/>
      <c r="N1015" s="153"/>
      <c r="O1015" s="153" t="str">
        <f>IF(L1015&lt;&gt;"",IFERROR(VLOOKUP(B1015&amp;L1015,Pools!$A$2:$D$130,3,FALSE),""),"")</f>
        <v/>
      </c>
      <c r="P1015" s="387"/>
      <c r="Q1015" s="387"/>
      <c r="R1015" s="306" t="str">
        <f t="shared" si="675"/>
        <v>-</v>
      </c>
      <c r="S1015" s="153"/>
      <c r="T1015" s="148" t="str">
        <f t="shared" si="676"/>
        <v>Pending</v>
      </c>
      <c r="U1015" s="153"/>
      <c r="V1015" s="153"/>
      <c r="W1015" s="387">
        <f t="shared" si="677"/>
        <v>0</v>
      </c>
      <c r="X1015" s="387">
        <f t="shared" si="678"/>
        <v>0</v>
      </c>
      <c r="Y1015" s="301" t="str">
        <f t="shared" si="679"/>
        <v>X</v>
      </c>
      <c r="Z1015" s="301" t="str">
        <f t="shared" si="680"/>
        <v>X</v>
      </c>
      <c r="AA1015" s="323" t="e">
        <f>CONCATENATE("                x[team1,team2,sport,'",IF(OR(I1015="x",I1015=""),VLOOKUP('Schedule from TM'!J1015,Tables!$P$3:$Q$33,2,FALSE),'Schedule from TM'!I1015),",",J1015,"','",IF(OR(F1015="x",F1015=""),VLOOKUP('Schedule from TM'!G1015,Tables!$U$3:$V$14,2,FALSE),'Schedule from TM'!F1015),",",TEXT(G1015,"mm/dd/yyyy"),"','",TEXT(H1015,"h:mm:ss AM/PM"),"'].ub=0.0      #",B1015)</f>
        <v>#N/A</v>
      </c>
      <c r="AB1015" s="301" t="str">
        <f t="shared" si="681"/>
        <v>,,,,1,</v>
      </c>
      <c r="AC1015" s="153" t="str">
        <f t="shared" si="682"/>
        <v/>
      </c>
      <c r="AD1015" s="301" t="str">
        <f t="shared" si="683"/>
        <v>,,,,1,</v>
      </c>
      <c r="AE1015" s="153" t="str">
        <f t="shared" si="684"/>
        <v/>
      </c>
      <c r="AF1015" s="383">
        <f t="shared" si="685"/>
        <v>0</v>
      </c>
      <c r="AG1015" s="383">
        <f t="shared" si="686"/>
        <v>0</v>
      </c>
      <c r="AH1015" s="383">
        <f t="shared" si="687"/>
        <v>0</v>
      </c>
      <c r="AI1015" s="383">
        <f t="shared" si="688"/>
        <v>0</v>
      </c>
      <c r="AJ1015" s="383">
        <f t="shared" si="689"/>
        <v>0</v>
      </c>
      <c r="AK1015" s="383">
        <f t="shared" si="690"/>
        <v>0</v>
      </c>
      <c r="AM1015" s="148" t="str">
        <f t="shared" si="691"/>
        <v>Not Schedulled</v>
      </c>
      <c r="AN1015" s="148" t="str">
        <f t="shared" si="692"/>
        <v/>
      </c>
      <c r="AO1015" s="156">
        <f t="shared" si="693"/>
        <v>0</v>
      </c>
      <c r="AP1015" s="148" t="str">
        <f t="shared" si="694"/>
        <v>01/00/1900 00:00-&gt;</v>
      </c>
      <c r="AQ1015" s="374">
        <f t="shared" si="695"/>
        <v>0</v>
      </c>
      <c r="AR1015" s="148" t="str">
        <f t="shared" si="696"/>
        <v/>
      </c>
      <c r="AS1015" s="148" t="str">
        <f t="shared" si="697"/>
        <v/>
      </c>
      <c r="AT1015" s="157" t="str">
        <f t="shared" si="698"/>
        <v/>
      </c>
      <c r="AU1015" s="157" t="str">
        <f t="shared" si="699"/>
        <v/>
      </c>
      <c r="AV1015" s="157" t="str">
        <f t="shared" si="700"/>
        <v/>
      </c>
      <c r="AW1015" s="157" t="str">
        <f t="shared" si="701"/>
        <v/>
      </c>
      <c r="AX1015" s="376">
        <f t="shared" si="702"/>
        <v>0</v>
      </c>
      <c r="AY1015" s="148" t="str">
        <f t="shared" si="703"/>
        <v>-&gt;</v>
      </c>
      <c r="AZ1015" s="148" t="str">
        <f t="shared" si="704"/>
        <v>01/00/1900 00:00-&gt;</v>
      </c>
      <c r="BA1015" s="148" t="str">
        <f t="shared" si="705"/>
        <v>01/00/1900 00:00-&gt;</v>
      </c>
      <c r="BB1015" s="374">
        <f t="shared" si="706"/>
        <v>0</v>
      </c>
      <c r="BC1015" s="374">
        <f t="shared" si="707"/>
        <v>0</v>
      </c>
      <c r="BD1015" s="148" t="str">
        <f t="shared" si="708"/>
        <v>no conflict</v>
      </c>
      <c r="BF1015" s="148" t="str">
        <f t="shared" si="709"/>
        <v>01/00/1900 00:00-&gt;</v>
      </c>
      <c r="BG1015" s="148" t="str">
        <f t="shared" si="710"/>
        <v>01/00/1900 00:00-&gt;</v>
      </c>
      <c r="BH1015" s="148" t="str">
        <f t="shared" si="711"/>
        <v>01/00/1900 00:00-&gt;</v>
      </c>
      <c r="BI1015" s="148" t="str">
        <f t="shared" si="712"/>
        <v xml:space="preserve"> in  ()</v>
      </c>
      <c r="BJ1015" s="148" t="str">
        <f t="shared" si="713"/>
        <v xml:space="preserve">--  vs. </v>
      </c>
      <c r="BK1015" s="148" t="str">
        <f t="shared" si="714"/>
        <v/>
      </c>
      <c r="BL1015" s="148">
        <f t="shared" si="715"/>
        <v>0</v>
      </c>
      <c r="BM1015" s="148">
        <f t="shared" si="716"/>
        <v>0</v>
      </c>
      <c r="BN1015" s="148">
        <f t="shared" si="717"/>
        <v>0</v>
      </c>
      <c r="BP1015" s="148" t="str">
        <f t="shared" si="718"/>
        <v>no game</v>
      </c>
      <c r="BQ1015" s="148" t="str">
        <f t="shared" si="719"/>
        <v xml:space="preserve">  in </v>
      </c>
    </row>
    <row r="1016" spans="2:69" ht="15" customHeight="1" x14ac:dyDescent="0.2">
      <c r="B1016" s="153"/>
      <c r="C1016" s="153"/>
      <c r="D1016" s="383"/>
      <c r="E1016" s="383"/>
      <c r="F1016" s="153"/>
      <c r="G1016" s="154"/>
      <c r="H1016" s="155"/>
      <c r="I1016" s="314"/>
      <c r="J1016" s="153"/>
      <c r="K1016" s="153"/>
      <c r="L1016" s="153"/>
      <c r="M1016" s="153"/>
      <c r="N1016" s="153"/>
      <c r="O1016" s="153" t="str">
        <f>IF(L1016&lt;&gt;"",IFERROR(VLOOKUP(B1016&amp;L1016,Pools!$A$2:$D$130,3,FALSE),""),"")</f>
        <v/>
      </c>
      <c r="P1016" s="387"/>
      <c r="Q1016" s="387"/>
      <c r="R1016" s="306" t="str">
        <f t="shared" si="675"/>
        <v>-</v>
      </c>
      <c r="S1016" s="153"/>
      <c r="T1016" s="148" t="str">
        <f t="shared" si="676"/>
        <v>Pending</v>
      </c>
      <c r="U1016" s="153"/>
      <c r="V1016" s="153"/>
      <c r="W1016" s="387">
        <f t="shared" si="677"/>
        <v>0</v>
      </c>
      <c r="X1016" s="387">
        <f t="shared" si="678"/>
        <v>0</v>
      </c>
      <c r="Y1016" s="301" t="str">
        <f t="shared" si="679"/>
        <v>X</v>
      </c>
      <c r="Z1016" s="301" t="str">
        <f t="shared" si="680"/>
        <v>X</v>
      </c>
      <c r="AA1016" s="323" t="e">
        <f>CONCATENATE("                x[team1,team2,sport,'",IF(OR(I1016="x",I1016=""),VLOOKUP('Schedule from TM'!J1016,Tables!$P$3:$Q$33,2,FALSE),'Schedule from TM'!I1016),",",J1016,"','",IF(OR(F1016="x",F1016=""),VLOOKUP('Schedule from TM'!G1016,Tables!$U$3:$V$14,2,FALSE),'Schedule from TM'!F1016),",",TEXT(G1016,"mm/dd/yyyy"),"','",TEXT(H1016,"h:mm:ss AM/PM"),"'].ub=0.0      #",B1016)</f>
        <v>#N/A</v>
      </c>
      <c r="AB1016" s="301" t="str">
        <f t="shared" si="681"/>
        <v>,,,,1,</v>
      </c>
      <c r="AC1016" s="153" t="str">
        <f t="shared" si="682"/>
        <v/>
      </c>
      <c r="AD1016" s="301" t="str">
        <f t="shared" si="683"/>
        <v>,,,,1,</v>
      </c>
      <c r="AE1016" s="153" t="str">
        <f t="shared" si="684"/>
        <v/>
      </c>
      <c r="AF1016" s="383">
        <f t="shared" si="685"/>
        <v>0</v>
      </c>
      <c r="AG1016" s="383">
        <f t="shared" si="686"/>
        <v>0</v>
      </c>
      <c r="AH1016" s="383">
        <f t="shared" si="687"/>
        <v>0</v>
      </c>
      <c r="AI1016" s="383">
        <f t="shared" si="688"/>
        <v>0</v>
      </c>
      <c r="AJ1016" s="383">
        <f t="shared" si="689"/>
        <v>0</v>
      </c>
      <c r="AK1016" s="383">
        <f t="shared" si="690"/>
        <v>0</v>
      </c>
      <c r="AM1016" s="148" t="str">
        <f t="shared" si="691"/>
        <v>Not Schedulled</v>
      </c>
      <c r="AN1016" s="148" t="str">
        <f t="shared" si="692"/>
        <v/>
      </c>
      <c r="AO1016" s="156">
        <f t="shared" si="693"/>
        <v>0</v>
      </c>
      <c r="AP1016" s="148" t="str">
        <f t="shared" si="694"/>
        <v>01/00/1900 00:00-&gt;</v>
      </c>
      <c r="AQ1016" s="374">
        <f t="shared" si="695"/>
        <v>0</v>
      </c>
      <c r="AR1016" s="148" t="str">
        <f t="shared" si="696"/>
        <v/>
      </c>
      <c r="AS1016" s="148" t="str">
        <f t="shared" si="697"/>
        <v/>
      </c>
      <c r="AT1016" s="157" t="str">
        <f t="shared" si="698"/>
        <v/>
      </c>
      <c r="AU1016" s="157" t="str">
        <f t="shared" si="699"/>
        <v/>
      </c>
      <c r="AV1016" s="157" t="str">
        <f t="shared" si="700"/>
        <v/>
      </c>
      <c r="AW1016" s="157" t="str">
        <f t="shared" si="701"/>
        <v/>
      </c>
      <c r="AX1016" s="376">
        <f t="shared" si="702"/>
        <v>0</v>
      </c>
      <c r="AY1016" s="148" t="str">
        <f t="shared" si="703"/>
        <v>-&gt;</v>
      </c>
      <c r="AZ1016" s="148" t="str">
        <f t="shared" si="704"/>
        <v>01/00/1900 00:00-&gt;</v>
      </c>
      <c r="BA1016" s="148" t="str">
        <f t="shared" si="705"/>
        <v>01/00/1900 00:00-&gt;</v>
      </c>
      <c r="BB1016" s="374">
        <f t="shared" si="706"/>
        <v>0</v>
      </c>
      <c r="BC1016" s="374">
        <f t="shared" si="707"/>
        <v>0</v>
      </c>
      <c r="BD1016" s="148" t="str">
        <f t="shared" si="708"/>
        <v>no conflict</v>
      </c>
      <c r="BF1016" s="148" t="str">
        <f t="shared" si="709"/>
        <v>01/00/1900 00:00-&gt;</v>
      </c>
      <c r="BG1016" s="148" t="str">
        <f t="shared" si="710"/>
        <v>01/00/1900 00:00-&gt;</v>
      </c>
      <c r="BH1016" s="148" t="str">
        <f t="shared" si="711"/>
        <v>01/00/1900 00:00-&gt;</v>
      </c>
      <c r="BI1016" s="148" t="str">
        <f t="shared" si="712"/>
        <v xml:space="preserve"> in  ()</v>
      </c>
      <c r="BJ1016" s="148" t="str">
        <f t="shared" si="713"/>
        <v xml:space="preserve">--  vs. </v>
      </c>
      <c r="BK1016" s="148" t="str">
        <f t="shared" si="714"/>
        <v/>
      </c>
      <c r="BL1016" s="148">
        <f t="shared" si="715"/>
        <v>0</v>
      </c>
      <c r="BM1016" s="148">
        <f t="shared" si="716"/>
        <v>0</v>
      </c>
      <c r="BN1016" s="148">
        <f t="shared" si="717"/>
        <v>0</v>
      </c>
      <c r="BP1016" s="148" t="str">
        <f t="shared" si="718"/>
        <v>no game</v>
      </c>
      <c r="BQ1016" s="148" t="str">
        <f t="shared" si="719"/>
        <v xml:space="preserve">  in </v>
      </c>
    </row>
    <row r="1017" spans="2:69" ht="15" customHeight="1" x14ac:dyDescent="0.2">
      <c r="B1017" s="153"/>
      <c r="C1017" s="153"/>
      <c r="D1017" s="383"/>
      <c r="E1017" s="383"/>
      <c r="F1017" s="153"/>
      <c r="G1017" s="154"/>
      <c r="H1017" s="155"/>
      <c r="I1017" s="314"/>
      <c r="J1017" s="153"/>
      <c r="K1017" s="153"/>
      <c r="L1017" s="153"/>
      <c r="M1017" s="153"/>
      <c r="N1017" s="153"/>
      <c r="O1017" s="153" t="str">
        <f>IF(L1017&lt;&gt;"",IFERROR(VLOOKUP(B1017&amp;L1017,Pools!$A$2:$D$130,3,FALSE),""),"")</f>
        <v/>
      </c>
      <c r="P1017" s="387"/>
      <c r="Q1017" s="387"/>
      <c r="R1017" s="306" t="str">
        <f t="shared" si="675"/>
        <v>-</v>
      </c>
      <c r="S1017" s="153"/>
      <c r="T1017" s="148" t="str">
        <f t="shared" si="676"/>
        <v>Pending</v>
      </c>
      <c r="U1017" s="153"/>
      <c r="V1017" s="153"/>
      <c r="W1017" s="387">
        <f t="shared" si="677"/>
        <v>0</v>
      </c>
      <c r="X1017" s="387">
        <f t="shared" si="678"/>
        <v>0</v>
      </c>
      <c r="Y1017" s="301" t="str">
        <f t="shared" si="679"/>
        <v>X</v>
      </c>
      <c r="Z1017" s="301" t="str">
        <f t="shared" si="680"/>
        <v>X</v>
      </c>
      <c r="AA1017" s="323" t="e">
        <f>CONCATENATE("                x[team1,team2,sport,'",IF(OR(I1017="x",I1017=""),VLOOKUP('Schedule from TM'!J1017,Tables!$P$3:$Q$33,2,FALSE),'Schedule from TM'!I1017),",",J1017,"','",IF(OR(F1017="x",F1017=""),VLOOKUP('Schedule from TM'!G1017,Tables!$U$3:$V$14,2,FALSE),'Schedule from TM'!F1017),",",TEXT(G1017,"mm/dd/yyyy"),"','",TEXT(H1017,"h:mm:ss AM/PM"),"'].ub=0.0      #",B1017)</f>
        <v>#N/A</v>
      </c>
      <c r="AB1017" s="301" t="str">
        <f t="shared" si="681"/>
        <v>,,,,1,</v>
      </c>
      <c r="AC1017" s="153" t="str">
        <f t="shared" si="682"/>
        <v/>
      </c>
      <c r="AD1017" s="301" t="str">
        <f t="shared" si="683"/>
        <v>,,,,1,</v>
      </c>
      <c r="AE1017" s="153" t="str">
        <f t="shared" si="684"/>
        <v/>
      </c>
      <c r="AF1017" s="383">
        <f t="shared" si="685"/>
        <v>0</v>
      </c>
      <c r="AG1017" s="383">
        <f t="shared" si="686"/>
        <v>0</v>
      </c>
      <c r="AH1017" s="383">
        <f t="shared" si="687"/>
        <v>0</v>
      </c>
      <c r="AI1017" s="383">
        <f t="shared" si="688"/>
        <v>0</v>
      </c>
      <c r="AJ1017" s="383">
        <f t="shared" si="689"/>
        <v>0</v>
      </c>
      <c r="AK1017" s="383">
        <f t="shared" si="690"/>
        <v>0</v>
      </c>
      <c r="AM1017" s="148" t="str">
        <f t="shared" si="691"/>
        <v>Not Schedulled</v>
      </c>
      <c r="AN1017" s="148" t="str">
        <f t="shared" si="692"/>
        <v/>
      </c>
      <c r="AO1017" s="156">
        <f t="shared" si="693"/>
        <v>0</v>
      </c>
      <c r="AP1017" s="148" t="str">
        <f t="shared" si="694"/>
        <v>01/00/1900 00:00-&gt;</v>
      </c>
      <c r="AQ1017" s="374">
        <f t="shared" si="695"/>
        <v>0</v>
      </c>
      <c r="AR1017" s="148" t="str">
        <f t="shared" si="696"/>
        <v/>
      </c>
      <c r="AS1017" s="148" t="str">
        <f t="shared" si="697"/>
        <v/>
      </c>
      <c r="AT1017" s="157" t="str">
        <f t="shared" si="698"/>
        <v/>
      </c>
      <c r="AU1017" s="157" t="str">
        <f t="shared" si="699"/>
        <v/>
      </c>
      <c r="AV1017" s="157" t="str">
        <f t="shared" si="700"/>
        <v/>
      </c>
      <c r="AW1017" s="157" t="str">
        <f t="shared" si="701"/>
        <v/>
      </c>
      <c r="AX1017" s="376">
        <f t="shared" si="702"/>
        <v>0</v>
      </c>
      <c r="AY1017" s="148" t="str">
        <f t="shared" si="703"/>
        <v>-&gt;</v>
      </c>
      <c r="AZ1017" s="148" t="str">
        <f t="shared" si="704"/>
        <v>01/00/1900 00:00-&gt;</v>
      </c>
      <c r="BA1017" s="148" t="str">
        <f t="shared" si="705"/>
        <v>01/00/1900 00:00-&gt;</v>
      </c>
      <c r="BB1017" s="374">
        <f t="shared" si="706"/>
        <v>0</v>
      </c>
      <c r="BC1017" s="374">
        <f t="shared" si="707"/>
        <v>0</v>
      </c>
      <c r="BD1017" s="148" t="str">
        <f t="shared" si="708"/>
        <v>no conflict</v>
      </c>
      <c r="BF1017" s="148" t="str">
        <f t="shared" si="709"/>
        <v>01/00/1900 00:00-&gt;</v>
      </c>
      <c r="BG1017" s="148" t="str">
        <f t="shared" si="710"/>
        <v>01/00/1900 00:00-&gt;</v>
      </c>
      <c r="BH1017" s="148" t="str">
        <f t="shared" si="711"/>
        <v>01/00/1900 00:00-&gt;</v>
      </c>
      <c r="BI1017" s="148" t="str">
        <f t="shared" si="712"/>
        <v xml:space="preserve"> in  ()</v>
      </c>
      <c r="BJ1017" s="148" t="str">
        <f t="shared" si="713"/>
        <v xml:space="preserve">--  vs. </v>
      </c>
      <c r="BK1017" s="148" t="str">
        <f t="shared" si="714"/>
        <v/>
      </c>
      <c r="BL1017" s="148">
        <f t="shared" si="715"/>
        <v>0</v>
      </c>
      <c r="BM1017" s="148">
        <f t="shared" si="716"/>
        <v>0</v>
      </c>
      <c r="BN1017" s="148">
        <f t="shared" si="717"/>
        <v>0</v>
      </c>
      <c r="BP1017" s="148" t="str">
        <f t="shared" si="718"/>
        <v>no game</v>
      </c>
      <c r="BQ1017" s="148" t="str">
        <f t="shared" si="719"/>
        <v xml:space="preserve">  in </v>
      </c>
    </row>
    <row r="1018" spans="2:69" ht="15" customHeight="1" x14ac:dyDescent="0.2">
      <c r="B1018" s="153"/>
      <c r="C1018" s="153"/>
      <c r="D1018" s="383"/>
      <c r="E1018" s="383"/>
      <c r="F1018" s="153"/>
      <c r="G1018" s="154"/>
      <c r="H1018" s="155"/>
      <c r="I1018" s="314"/>
      <c r="J1018" s="153"/>
      <c r="K1018" s="153"/>
      <c r="L1018" s="153"/>
      <c r="M1018" s="153"/>
      <c r="N1018" s="153"/>
      <c r="O1018" s="153" t="str">
        <f>IF(L1018&lt;&gt;"",IFERROR(VLOOKUP(B1018&amp;L1018,Pools!$A$2:$D$130,3,FALSE),""),"")</f>
        <v/>
      </c>
      <c r="P1018" s="387"/>
      <c r="Q1018" s="387"/>
      <c r="R1018" s="306" t="str">
        <f t="shared" si="675"/>
        <v>-</v>
      </c>
      <c r="S1018" s="153"/>
      <c r="T1018" s="148" t="str">
        <f t="shared" si="676"/>
        <v>Pending</v>
      </c>
      <c r="U1018" s="153"/>
      <c r="V1018" s="153"/>
      <c r="W1018" s="387">
        <f t="shared" si="677"/>
        <v>0</v>
      </c>
      <c r="X1018" s="387">
        <f t="shared" si="678"/>
        <v>0</v>
      </c>
      <c r="Y1018" s="301" t="str">
        <f t="shared" si="679"/>
        <v>X</v>
      </c>
      <c r="Z1018" s="301" t="str">
        <f t="shared" si="680"/>
        <v>X</v>
      </c>
      <c r="AA1018" s="323" t="e">
        <f>CONCATENATE("                x[team1,team2,sport,'",IF(OR(I1018="x",I1018=""),VLOOKUP('Schedule from TM'!J1018,Tables!$P$3:$Q$33,2,FALSE),'Schedule from TM'!I1018),",",J1018,"','",IF(OR(F1018="x",F1018=""),VLOOKUP('Schedule from TM'!G1018,Tables!$U$3:$V$14,2,FALSE),'Schedule from TM'!F1018),",",TEXT(G1018,"mm/dd/yyyy"),"','",TEXT(H1018,"h:mm:ss AM/PM"),"'].ub=0.0      #",B1018)</f>
        <v>#N/A</v>
      </c>
      <c r="AB1018" s="301" t="str">
        <f t="shared" si="681"/>
        <v>,,,,1,</v>
      </c>
      <c r="AC1018" s="153" t="str">
        <f t="shared" si="682"/>
        <v/>
      </c>
      <c r="AD1018" s="301" t="str">
        <f t="shared" si="683"/>
        <v>,,,,1,</v>
      </c>
      <c r="AE1018" s="153" t="str">
        <f t="shared" si="684"/>
        <v/>
      </c>
      <c r="AF1018" s="383">
        <f t="shared" si="685"/>
        <v>0</v>
      </c>
      <c r="AG1018" s="383">
        <f t="shared" si="686"/>
        <v>0</v>
      </c>
      <c r="AH1018" s="383">
        <f t="shared" si="687"/>
        <v>0</v>
      </c>
      <c r="AI1018" s="383">
        <f t="shared" si="688"/>
        <v>0</v>
      </c>
      <c r="AJ1018" s="383">
        <f t="shared" si="689"/>
        <v>0</v>
      </c>
      <c r="AK1018" s="383">
        <f t="shared" si="690"/>
        <v>0</v>
      </c>
      <c r="AM1018" s="148" t="str">
        <f t="shared" si="691"/>
        <v>Not Schedulled</v>
      </c>
      <c r="AN1018" s="148" t="str">
        <f t="shared" si="692"/>
        <v/>
      </c>
      <c r="AO1018" s="156">
        <f t="shared" si="693"/>
        <v>0</v>
      </c>
      <c r="AP1018" s="148" t="str">
        <f t="shared" si="694"/>
        <v>01/00/1900 00:00-&gt;</v>
      </c>
      <c r="AQ1018" s="374">
        <f t="shared" si="695"/>
        <v>0</v>
      </c>
      <c r="AR1018" s="148" t="str">
        <f t="shared" si="696"/>
        <v/>
      </c>
      <c r="AS1018" s="148" t="str">
        <f t="shared" si="697"/>
        <v/>
      </c>
      <c r="AT1018" s="157" t="str">
        <f t="shared" si="698"/>
        <v/>
      </c>
      <c r="AU1018" s="157" t="str">
        <f t="shared" si="699"/>
        <v/>
      </c>
      <c r="AV1018" s="157" t="str">
        <f t="shared" si="700"/>
        <v/>
      </c>
      <c r="AW1018" s="157" t="str">
        <f t="shared" si="701"/>
        <v/>
      </c>
      <c r="AX1018" s="376">
        <f t="shared" si="702"/>
        <v>0</v>
      </c>
      <c r="AY1018" s="148" t="str">
        <f t="shared" si="703"/>
        <v>-&gt;</v>
      </c>
      <c r="AZ1018" s="148" t="str">
        <f t="shared" si="704"/>
        <v>01/00/1900 00:00-&gt;</v>
      </c>
      <c r="BA1018" s="148" t="str">
        <f t="shared" si="705"/>
        <v>01/00/1900 00:00-&gt;</v>
      </c>
      <c r="BB1018" s="374">
        <f t="shared" si="706"/>
        <v>0</v>
      </c>
      <c r="BC1018" s="374">
        <f t="shared" si="707"/>
        <v>0</v>
      </c>
      <c r="BD1018" s="148" t="str">
        <f t="shared" si="708"/>
        <v>no conflict</v>
      </c>
      <c r="BF1018" s="148" t="str">
        <f t="shared" si="709"/>
        <v>01/00/1900 00:00-&gt;</v>
      </c>
      <c r="BG1018" s="148" t="str">
        <f t="shared" si="710"/>
        <v>01/00/1900 00:00-&gt;</v>
      </c>
      <c r="BH1018" s="148" t="str">
        <f t="shared" si="711"/>
        <v>01/00/1900 00:00-&gt;</v>
      </c>
      <c r="BI1018" s="148" t="str">
        <f t="shared" si="712"/>
        <v xml:space="preserve"> in  ()</v>
      </c>
      <c r="BJ1018" s="148" t="str">
        <f t="shared" si="713"/>
        <v xml:space="preserve">--  vs. </v>
      </c>
      <c r="BK1018" s="148" t="str">
        <f t="shared" si="714"/>
        <v/>
      </c>
      <c r="BL1018" s="148">
        <f t="shared" si="715"/>
        <v>0</v>
      </c>
      <c r="BM1018" s="148">
        <f t="shared" si="716"/>
        <v>0</v>
      </c>
      <c r="BN1018" s="148">
        <f t="shared" si="717"/>
        <v>0</v>
      </c>
      <c r="BP1018" s="148" t="str">
        <f t="shared" si="718"/>
        <v>no game</v>
      </c>
      <c r="BQ1018" s="148" t="str">
        <f t="shared" si="719"/>
        <v xml:space="preserve">  in </v>
      </c>
    </row>
    <row r="1019" spans="2:69" ht="15" customHeight="1" x14ac:dyDescent="0.2">
      <c r="B1019" s="153"/>
      <c r="C1019" s="153"/>
      <c r="D1019" s="383"/>
      <c r="E1019" s="383"/>
      <c r="F1019" s="153"/>
      <c r="G1019" s="154"/>
      <c r="H1019" s="155"/>
      <c r="I1019" s="314"/>
      <c r="J1019" s="153"/>
      <c r="K1019" s="153"/>
      <c r="L1019" s="153"/>
      <c r="M1019" s="153"/>
      <c r="N1019" s="153"/>
      <c r="O1019" s="153" t="str">
        <f>IF(L1019&lt;&gt;"",IFERROR(VLOOKUP(B1019&amp;L1019,Pools!$A$2:$D$130,3,FALSE),""),"")</f>
        <v/>
      </c>
      <c r="P1019" s="387"/>
      <c r="Q1019" s="387"/>
      <c r="R1019" s="306" t="str">
        <f t="shared" si="675"/>
        <v>-</v>
      </c>
      <c r="S1019" s="153"/>
      <c r="T1019" s="148" t="str">
        <f t="shared" si="676"/>
        <v>Pending</v>
      </c>
      <c r="U1019" s="153"/>
      <c r="V1019" s="153"/>
      <c r="W1019" s="387">
        <f t="shared" si="677"/>
        <v>0</v>
      </c>
      <c r="X1019" s="387">
        <f t="shared" si="678"/>
        <v>0</v>
      </c>
      <c r="Y1019" s="301" t="str">
        <f t="shared" si="679"/>
        <v>X</v>
      </c>
      <c r="Z1019" s="301" t="str">
        <f t="shared" si="680"/>
        <v>X</v>
      </c>
      <c r="AA1019" s="323" t="e">
        <f>CONCATENATE("                x[team1,team2,sport,'",IF(OR(I1019="x",I1019=""),VLOOKUP('Schedule from TM'!J1019,Tables!$P$3:$Q$33,2,FALSE),'Schedule from TM'!I1019),",",J1019,"','",IF(OR(F1019="x",F1019=""),VLOOKUP('Schedule from TM'!G1019,Tables!$U$3:$V$14,2,FALSE),'Schedule from TM'!F1019),",",TEXT(G1019,"mm/dd/yyyy"),"','",TEXT(H1019,"h:mm:ss AM/PM"),"'].ub=0.0      #",B1019)</f>
        <v>#N/A</v>
      </c>
      <c r="AB1019" s="301" t="str">
        <f t="shared" si="681"/>
        <v>,,,,1,</v>
      </c>
      <c r="AC1019" s="153" t="str">
        <f t="shared" si="682"/>
        <v/>
      </c>
      <c r="AD1019" s="301" t="str">
        <f t="shared" si="683"/>
        <v>,,,,1,</v>
      </c>
      <c r="AE1019" s="153" t="str">
        <f t="shared" si="684"/>
        <v/>
      </c>
      <c r="AF1019" s="383">
        <f t="shared" si="685"/>
        <v>0</v>
      </c>
      <c r="AG1019" s="383">
        <f t="shared" si="686"/>
        <v>0</v>
      </c>
      <c r="AH1019" s="383">
        <f t="shared" si="687"/>
        <v>0</v>
      </c>
      <c r="AI1019" s="383">
        <f t="shared" si="688"/>
        <v>0</v>
      </c>
      <c r="AJ1019" s="383">
        <f t="shared" si="689"/>
        <v>0</v>
      </c>
      <c r="AK1019" s="383">
        <f t="shared" si="690"/>
        <v>0</v>
      </c>
      <c r="AM1019" s="148" t="str">
        <f t="shared" si="691"/>
        <v>Not Schedulled</v>
      </c>
      <c r="AN1019" s="148" t="str">
        <f t="shared" si="692"/>
        <v/>
      </c>
      <c r="AO1019" s="156">
        <f t="shared" si="693"/>
        <v>0</v>
      </c>
      <c r="AP1019" s="148" t="str">
        <f t="shared" si="694"/>
        <v>01/00/1900 00:00-&gt;</v>
      </c>
      <c r="AQ1019" s="374">
        <f t="shared" si="695"/>
        <v>0</v>
      </c>
      <c r="AR1019" s="148" t="str">
        <f t="shared" si="696"/>
        <v/>
      </c>
      <c r="AS1019" s="148" t="str">
        <f t="shared" si="697"/>
        <v/>
      </c>
      <c r="AT1019" s="157" t="str">
        <f t="shared" si="698"/>
        <v/>
      </c>
      <c r="AU1019" s="157" t="str">
        <f t="shared" si="699"/>
        <v/>
      </c>
      <c r="AV1019" s="157" t="str">
        <f t="shared" si="700"/>
        <v/>
      </c>
      <c r="AW1019" s="157" t="str">
        <f t="shared" si="701"/>
        <v/>
      </c>
      <c r="AX1019" s="376">
        <f t="shared" si="702"/>
        <v>0</v>
      </c>
      <c r="AY1019" s="148" t="str">
        <f t="shared" si="703"/>
        <v>-&gt;</v>
      </c>
      <c r="AZ1019" s="148" t="str">
        <f t="shared" si="704"/>
        <v>01/00/1900 00:00-&gt;</v>
      </c>
      <c r="BA1019" s="148" t="str">
        <f t="shared" si="705"/>
        <v>01/00/1900 00:00-&gt;</v>
      </c>
      <c r="BB1019" s="374">
        <f t="shared" si="706"/>
        <v>0</v>
      </c>
      <c r="BC1019" s="374">
        <f t="shared" si="707"/>
        <v>0</v>
      </c>
      <c r="BD1019" s="148" t="str">
        <f t="shared" si="708"/>
        <v>no conflict</v>
      </c>
      <c r="BF1019" s="148" t="str">
        <f t="shared" si="709"/>
        <v>01/00/1900 00:00-&gt;</v>
      </c>
      <c r="BG1019" s="148" t="str">
        <f t="shared" si="710"/>
        <v>01/00/1900 00:00-&gt;</v>
      </c>
      <c r="BH1019" s="148" t="str">
        <f t="shared" si="711"/>
        <v>01/00/1900 00:00-&gt;</v>
      </c>
      <c r="BI1019" s="148" t="str">
        <f t="shared" si="712"/>
        <v xml:space="preserve"> in  ()</v>
      </c>
      <c r="BJ1019" s="148" t="str">
        <f t="shared" si="713"/>
        <v xml:space="preserve">--  vs. </v>
      </c>
      <c r="BK1019" s="148" t="str">
        <f t="shared" si="714"/>
        <v/>
      </c>
      <c r="BL1019" s="148">
        <f t="shared" si="715"/>
        <v>0</v>
      </c>
      <c r="BM1019" s="148">
        <f t="shared" si="716"/>
        <v>0</v>
      </c>
      <c r="BN1019" s="148">
        <f t="shared" si="717"/>
        <v>0</v>
      </c>
      <c r="BP1019" s="148" t="str">
        <f t="shared" si="718"/>
        <v>no game</v>
      </c>
      <c r="BQ1019" s="148" t="str">
        <f t="shared" si="719"/>
        <v xml:space="preserve">  in </v>
      </c>
    </row>
    <row r="1020" spans="2:69" ht="15" customHeight="1" x14ac:dyDescent="0.2">
      <c r="B1020" s="153"/>
      <c r="C1020" s="153"/>
      <c r="D1020" s="383"/>
      <c r="E1020" s="383"/>
      <c r="F1020" s="153"/>
      <c r="G1020" s="154"/>
      <c r="H1020" s="155"/>
      <c r="I1020" s="314"/>
      <c r="J1020" s="153"/>
      <c r="K1020" s="153"/>
      <c r="L1020" s="153"/>
      <c r="M1020" s="153"/>
      <c r="N1020" s="153"/>
      <c r="O1020" s="153" t="str">
        <f>IF(L1020&lt;&gt;"",IFERROR(VLOOKUP(B1020&amp;L1020,Pools!$A$2:$D$130,3,FALSE),""),"")</f>
        <v/>
      </c>
      <c r="P1020" s="387"/>
      <c r="Q1020" s="387"/>
      <c r="R1020" s="306" t="str">
        <f t="shared" si="675"/>
        <v>-</v>
      </c>
      <c r="S1020" s="153"/>
      <c r="T1020" s="148" t="str">
        <f t="shared" si="676"/>
        <v>Pending</v>
      </c>
      <c r="U1020" s="153"/>
      <c r="V1020" s="153"/>
      <c r="W1020" s="387">
        <f t="shared" si="677"/>
        <v>0</v>
      </c>
      <c r="X1020" s="387">
        <f t="shared" si="678"/>
        <v>0</v>
      </c>
      <c r="Y1020" s="301" t="str">
        <f t="shared" si="679"/>
        <v>X</v>
      </c>
      <c r="Z1020" s="301" t="str">
        <f t="shared" si="680"/>
        <v>X</v>
      </c>
      <c r="AA1020" s="323" t="e">
        <f>CONCATENATE("                x[team1,team2,sport,'",IF(OR(I1020="x",I1020=""),VLOOKUP('Schedule from TM'!J1020,Tables!$P$3:$Q$33,2,FALSE),'Schedule from TM'!I1020),",",J1020,"','",IF(OR(F1020="x",F1020=""),VLOOKUP('Schedule from TM'!G1020,Tables!$U$3:$V$14,2,FALSE),'Schedule from TM'!F1020),",",TEXT(G1020,"mm/dd/yyyy"),"','",TEXT(H1020,"h:mm:ss AM/PM"),"'].ub=0.0      #",B1020)</f>
        <v>#N/A</v>
      </c>
      <c r="AB1020" s="301" t="str">
        <f t="shared" si="681"/>
        <v>,,,,1,</v>
      </c>
      <c r="AC1020" s="153" t="str">
        <f t="shared" si="682"/>
        <v/>
      </c>
      <c r="AD1020" s="301" t="str">
        <f t="shared" si="683"/>
        <v>,,,,1,</v>
      </c>
      <c r="AE1020" s="153" t="str">
        <f t="shared" si="684"/>
        <v/>
      </c>
      <c r="AF1020" s="383">
        <f t="shared" si="685"/>
        <v>0</v>
      </c>
      <c r="AG1020" s="383">
        <f t="shared" si="686"/>
        <v>0</v>
      </c>
      <c r="AH1020" s="383">
        <f t="shared" si="687"/>
        <v>0</v>
      </c>
      <c r="AI1020" s="383">
        <f t="shared" si="688"/>
        <v>0</v>
      </c>
      <c r="AJ1020" s="383">
        <f t="shared" si="689"/>
        <v>0</v>
      </c>
      <c r="AK1020" s="383">
        <f t="shared" si="690"/>
        <v>0</v>
      </c>
      <c r="AM1020" s="148" t="str">
        <f t="shared" si="691"/>
        <v>Not Schedulled</v>
      </c>
      <c r="AN1020" s="148" t="str">
        <f t="shared" si="692"/>
        <v/>
      </c>
      <c r="AO1020" s="156">
        <f t="shared" si="693"/>
        <v>0</v>
      </c>
      <c r="AP1020" s="148" t="str">
        <f t="shared" si="694"/>
        <v>01/00/1900 00:00-&gt;</v>
      </c>
      <c r="AQ1020" s="374">
        <f t="shared" si="695"/>
        <v>0</v>
      </c>
      <c r="AR1020" s="148" t="str">
        <f t="shared" si="696"/>
        <v/>
      </c>
      <c r="AS1020" s="148" t="str">
        <f t="shared" si="697"/>
        <v/>
      </c>
      <c r="AT1020" s="157" t="str">
        <f t="shared" si="698"/>
        <v/>
      </c>
      <c r="AU1020" s="157" t="str">
        <f t="shared" si="699"/>
        <v/>
      </c>
      <c r="AV1020" s="157" t="str">
        <f t="shared" si="700"/>
        <v/>
      </c>
      <c r="AW1020" s="157" t="str">
        <f t="shared" si="701"/>
        <v/>
      </c>
      <c r="AX1020" s="376">
        <f t="shared" si="702"/>
        <v>0</v>
      </c>
      <c r="AY1020" s="148" t="str">
        <f t="shared" si="703"/>
        <v>-&gt;</v>
      </c>
      <c r="AZ1020" s="148" t="str">
        <f t="shared" si="704"/>
        <v>01/00/1900 00:00-&gt;</v>
      </c>
      <c r="BA1020" s="148" t="str">
        <f t="shared" si="705"/>
        <v>01/00/1900 00:00-&gt;</v>
      </c>
      <c r="BB1020" s="374">
        <f t="shared" si="706"/>
        <v>0</v>
      </c>
      <c r="BC1020" s="374">
        <f t="shared" si="707"/>
        <v>0</v>
      </c>
      <c r="BD1020" s="148" t="str">
        <f t="shared" si="708"/>
        <v>no conflict</v>
      </c>
      <c r="BF1020" s="148" t="str">
        <f t="shared" si="709"/>
        <v>01/00/1900 00:00-&gt;</v>
      </c>
      <c r="BG1020" s="148" t="str">
        <f t="shared" si="710"/>
        <v>01/00/1900 00:00-&gt;</v>
      </c>
      <c r="BH1020" s="148" t="str">
        <f t="shared" si="711"/>
        <v>01/00/1900 00:00-&gt;</v>
      </c>
      <c r="BI1020" s="148" t="str">
        <f t="shared" si="712"/>
        <v xml:space="preserve"> in  ()</v>
      </c>
      <c r="BJ1020" s="148" t="str">
        <f t="shared" si="713"/>
        <v xml:space="preserve">--  vs. </v>
      </c>
      <c r="BK1020" s="148" t="str">
        <f t="shared" si="714"/>
        <v/>
      </c>
      <c r="BL1020" s="148">
        <f t="shared" si="715"/>
        <v>0</v>
      </c>
      <c r="BM1020" s="148">
        <f t="shared" si="716"/>
        <v>0</v>
      </c>
      <c r="BN1020" s="148">
        <f t="shared" si="717"/>
        <v>0</v>
      </c>
      <c r="BP1020" s="148" t="str">
        <f t="shared" si="718"/>
        <v>no game</v>
      </c>
      <c r="BQ1020" s="148" t="str">
        <f t="shared" si="719"/>
        <v xml:space="preserve">  in </v>
      </c>
    </row>
    <row r="1021" spans="2:69" ht="15" customHeight="1" x14ac:dyDescent="0.2">
      <c r="B1021" s="153"/>
      <c r="C1021" s="153"/>
      <c r="D1021" s="383"/>
      <c r="E1021" s="383"/>
      <c r="F1021" s="153"/>
      <c r="G1021" s="154"/>
      <c r="H1021" s="155"/>
      <c r="I1021" s="314"/>
      <c r="J1021" s="153"/>
      <c r="K1021" s="153"/>
      <c r="L1021" s="153"/>
      <c r="M1021" s="153"/>
      <c r="N1021" s="153"/>
      <c r="O1021" s="153" t="str">
        <f>IF(L1021&lt;&gt;"",IFERROR(VLOOKUP(B1021&amp;L1021,Pools!$A$2:$D$130,3,FALSE),""),"")</f>
        <v/>
      </c>
      <c r="P1021" s="387"/>
      <c r="Q1021" s="387"/>
      <c r="R1021" s="306" t="str">
        <f t="shared" si="675"/>
        <v>-</v>
      </c>
      <c r="S1021" s="153"/>
      <c r="T1021" s="148" t="str">
        <f t="shared" si="676"/>
        <v>Pending</v>
      </c>
      <c r="U1021" s="153"/>
      <c r="V1021" s="153"/>
      <c r="W1021" s="387">
        <f t="shared" si="677"/>
        <v>0</v>
      </c>
      <c r="X1021" s="387">
        <f t="shared" si="678"/>
        <v>0</v>
      </c>
      <c r="Y1021" s="301" t="str">
        <f t="shared" si="679"/>
        <v>X</v>
      </c>
      <c r="Z1021" s="301" t="str">
        <f t="shared" si="680"/>
        <v>X</v>
      </c>
      <c r="AA1021" s="323" t="e">
        <f>CONCATENATE("                x[team1,team2,sport,'",IF(OR(I1021="x",I1021=""),VLOOKUP('Schedule from TM'!J1021,Tables!$P$3:$Q$33,2,FALSE),'Schedule from TM'!I1021),",",J1021,"','",IF(OR(F1021="x",F1021=""),VLOOKUP('Schedule from TM'!G1021,Tables!$U$3:$V$14,2,FALSE),'Schedule from TM'!F1021),",",TEXT(G1021,"mm/dd/yyyy"),"','",TEXT(H1021,"h:mm:ss AM/PM"),"'].ub=0.0      #",B1021)</f>
        <v>#N/A</v>
      </c>
      <c r="AB1021" s="301" t="str">
        <f t="shared" si="681"/>
        <v>,,,,1,</v>
      </c>
      <c r="AC1021" s="153" t="str">
        <f t="shared" si="682"/>
        <v/>
      </c>
      <c r="AD1021" s="301" t="str">
        <f t="shared" si="683"/>
        <v>,,,,1,</v>
      </c>
      <c r="AE1021" s="153" t="str">
        <f t="shared" si="684"/>
        <v/>
      </c>
      <c r="AF1021" s="383">
        <f t="shared" si="685"/>
        <v>0</v>
      </c>
      <c r="AG1021" s="383">
        <f t="shared" si="686"/>
        <v>0</v>
      </c>
      <c r="AH1021" s="383">
        <f t="shared" si="687"/>
        <v>0</v>
      </c>
      <c r="AI1021" s="383">
        <f t="shared" si="688"/>
        <v>0</v>
      </c>
      <c r="AJ1021" s="383">
        <f t="shared" si="689"/>
        <v>0</v>
      </c>
      <c r="AK1021" s="383">
        <f t="shared" si="690"/>
        <v>0</v>
      </c>
      <c r="AM1021" s="148" t="str">
        <f t="shared" si="691"/>
        <v>Not Schedulled</v>
      </c>
      <c r="AN1021" s="148" t="str">
        <f t="shared" si="692"/>
        <v/>
      </c>
      <c r="AO1021" s="156">
        <f t="shared" si="693"/>
        <v>0</v>
      </c>
      <c r="AP1021" s="148" t="str">
        <f t="shared" si="694"/>
        <v>01/00/1900 00:00-&gt;</v>
      </c>
      <c r="AQ1021" s="374">
        <f t="shared" si="695"/>
        <v>0</v>
      </c>
      <c r="AR1021" s="148" t="str">
        <f t="shared" si="696"/>
        <v/>
      </c>
      <c r="AS1021" s="148" t="str">
        <f t="shared" si="697"/>
        <v/>
      </c>
      <c r="AT1021" s="157" t="str">
        <f t="shared" si="698"/>
        <v/>
      </c>
      <c r="AU1021" s="157" t="str">
        <f t="shared" si="699"/>
        <v/>
      </c>
      <c r="AV1021" s="157" t="str">
        <f t="shared" si="700"/>
        <v/>
      </c>
      <c r="AW1021" s="157" t="str">
        <f t="shared" si="701"/>
        <v/>
      </c>
      <c r="AX1021" s="376">
        <f t="shared" si="702"/>
        <v>0</v>
      </c>
      <c r="AY1021" s="148" t="str">
        <f t="shared" si="703"/>
        <v>-&gt;</v>
      </c>
      <c r="AZ1021" s="148" t="str">
        <f t="shared" si="704"/>
        <v>01/00/1900 00:00-&gt;</v>
      </c>
      <c r="BA1021" s="148" t="str">
        <f t="shared" si="705"/>
        <v>01/00/1900 00:00-&gt;</v>
      </c>
      <c r="BB1021" s="374">
        <f t="shared" si="706"/>
        <v>0</v>
      </c>
      <c r="BC1021" s="374">
        <f t="shared" si="707"/>
        <v>0</v>
      </c>
      <c r="BD1021" s="148" t="str">
        <f t="shared" si="708"/>
        <v>no conflict</v>
      </c>
      <c r="BF1021" s="148" t="str">
        <f t="shared" si="709"/>
        <v>01/00/1900 00:00-&gt;</v>
      </c>
      <c r="BG1021" s="148" t="str">
        <f t="shared" si="710"/>
        <v>01/00/1900 00:00-&gt;</v>
      </c>
      <c r="BH1021" s="148" t="str">
        <f t="shared" si="711"/>
        <v>01/00/1900 00:00-&gt;</v>
      </c>
      <c r="BI1021" s="148" t="str">
        <f t="shared" si="712"/>
        <v xml:space="preserve"> in  ()</v>
      </c>
      <c r="BJ1021" s="148" t="str">
        <f t="shared" si="713"/>
        <v xml:space="preserve">--  vs. </v>
      </c>
      <c r="BK1021" s="148" t="str">
        <f t="shared" si="714"/>
        <v/>
      </c>
      <c r="BL1021" s="148">
        <f t="shared" si="715"/>
        <v>0</v>
      </c>
      <c r="BM1021" s="148">
        <f t="shared" si="716"/>
        <v>0</v>
      </c>
      <c r="BN1021" s="148">
        <f t="shared" si="717"/>
        <v>0</v>
      </c>
      <c r="BP1021" s="148" t="str">
        <f t="shared" si="718"/>
        <v>no game</v>
      </c>
      <c r="BQ1021" s="148" t="str">
        <f t="shared" si="719"/>
        <v xml:space="preserve">  in </v>
      </c>
    </row>
    <row r="1022" spans="2:69" ht="15" customHeight="1" x14ac:dyDescent="0.2">
      <c r="B1022" s="153"/>
      <c r="C1022" s="153"/>
      <c r="D1022" s="383"/>
      <c r="E1022" s="383"/>
      <c r="F1022" s="153"/>
      <c r="G1022" s="154"/>
      <c r="H1022" s="155"/>
      <c r="I1022" s="314"/>
      <c r="J1022" s="153"/>
      <c r="K1022" s="153"/>
      <c r="L1022" s="153"/>
      <c r="M1022" s="153"/>
      <c r="N1022" s="153"/>
      <c r="O1022" s="153" t="str">
        <f>IF(L1022&lt;&gt;"",IFERROR(VLOOKUP(B1022&amp;L1022,Pools!$A$2:$D$130,3,FALSE),""),"")</f>
        <v/>
      </c>
      <c r="P1022" s="387"/>
      <c r="Q1022" s="387"/>
      <c r="R1022" s="306" t="str">
        <f t="shared" si="675"/>
        <v>-</v>
      </c>
      <c r="S1022" s="153"/>
      <c r="T1022" s="148" t="str">
        <f t="shared" si="676"/>
        <v>Pending</v>
      </c>
      <c r="U1022" s="153"/>
      <c r="V1022" s="153"/>
      <c r="W1022" s="387">
        <f t="shared" si="677"/>
        <v>0</v>
      </c>
      <c r="X1022" s="387">
        <f t="shared" si="678"/>
        <v>0</v>
      </c>
      <c r="Y1022" s="301" t="str">
        <f t="shared" si="679"/>
        <v>X</v>
      </c>
      <c r="Z1022" s="301" t="str">
        <f t="shared" si="680"/>
        <v>X</v>
      </c>
      <c r="AA1022" s="323" t="e">
        <f>CONCATENATE("                x[team1,team2,sport,'",IF(OR(I1022="x",I1022=""),VLOOKUP('Schedule from TM'!J1022,Tables!$P$3:$Q$33,2,FALSE),'Schedule from TM'!I1022),",",J1022,"','",IF(OR(F1022="x",F1022=""),VLOOKUP('Schedule from TM'!G1022,Tables!$U$3:$V$14,2,FALSE),'Schedule from TM'!F1022),",",TEXT(G1022,"mm/dd/yyyy"),"','",TEXT(H1022,"h:mm:ss AM/PM"),"'].ub=0.0      #",B1022)</f>
        <v>#N/A</v>
      </c>
      <c r="AB1022" s="301" t="str">
        <f t="shared" si="681"/>
        <v>,,,,1,</v>
      </c>
      <c r="AC1022" s="153" t="str">
        <f t="shared" si="682"/>
        <v/>
      </c>
      <c r="AD1022" s="301" t="str">
        <f t="shared" si="683"/>
        <v>,,,,1,</v>
      </c>
      <c r="AE1022" s="153" t="str">
        <f t="shared" si="684"/>
        <v/>
      </c>
      <c r="AF1022" s="383">
        <f t="shared" si="685"/>
        <v>0</v>
      </c>
      <c r="AG1022" s="383">
        <f t="shared" si="686"/>
        <v>0</v>
      </c>
      <c r="AH1022" s="383">
        <f t="shared" si="687"/>
        <v>0</v>
      </c>
      <c r="AI1022" s="383">
        <f t="shared" si="688"/>
        <v>0</v>
      </c>
      <c r="AJ1022" s="383">
        <f t="shared" si="689"/>
        <v>0</v>
      </c>
      <c r="AK1022" s="383">
        <f t="shared" si="690"/>
        <v>0</v>
      </c>
      <c r="AM1022" s="148" t="str">
        <f t="shared" si="691"/>
        <v>Not Schedulled</v>
      </c>
      <c r="AN1022" s="148" t="str">
        <f t="shared" si="692"/>
        <v/>
      </c>
      <c r="AO1022" s="156">
        <f t="shared" si="693"/>
        <v>0</v>
      </c>
      <c r="AP1022" s="148" t="str">
        <f t="shared" si="694"/>
        <v>01/00/1900 00:00-&gt;</v>
      </c>
      <c r="AQ1022" s="374">
        <f t="shared" si="695"/>
        <v>0</v>
      </c>
      <c r="AR1022" s="148" t="str">
        <f t="shared" si="696"/>
        <v/>
      </c>
      <c r="AS1022" s="148" t="str">
        <f t="shared" si="697"/>
        <v/>
      </c>
      <c r="AT1022" s="157" t="str">
        <f t="shared" si="698"/>
        <v/>
      </c>
      <c r="AU1022" s="157" t="str">
        <f t="shared" si="699"/>
        <v/>
      </c>
      <c r="AV1022" s="157" t="str">
        <f t="shared" si="700"/>
        <v/>
      </c>
      <c r="AW1022" s="157" t="str">
        <f t="shared" si="701"/>
        <v/>
      </c>
      <c r="AX1022" s="376">
        <f t="shared" si="702"/>
        <v>0</v>
      </c>
      <c r="AY1022" s="148" t="str">
        <f t="shared" si="703"/>
        <v>-&gt;</v>
      </c>
      <c r="AZ1022" s="148" t="str">
        <f t="shared" si="704"/>
        <v>01/00/1900 00:00-&gt;</v>
      </c>
      <c r="BA1022" s="148" t="str">
        <f t="shared" si="705"/>
        <v>01/00/1900 00:00-&gt;</v>
      </c>
      <c r="BB1022" s="374">
        <f t="shared" si="706"/>
        <v>0</v>
      </c>
      <c r="BC1022" s="374">
        <f t="shared" si="707"/>
        <v>0</v>
      </c>
      <c r="BD1022" s="148" t="str">
        <f t="shared" si="708"/>
        <v>no conflict</v>
      </c>
      <c r="BF1022" s="148" t="str">
        <f t="shared" si="709"/>
        <v>01/00/1900 00:00-&gt;</v>
      </c>
      <c r="BG1022" s="148" t="str">
        <f t="shared" si="710"/>
        <v>01/00/1900 00:00-&gt;</v>
      </c>
      <c r="BH1022" s="148" t="str">
        <f t="shared" si="711"/>
        <v>01/00/1900 00:00-&gt;</v>
      </c>
      <c r="BI1022" s="148" t="str">
        <f t="shared" si="712"/>
        <v xml:space="preserve"> in  ()</v>
      </c>
      <c r="BJ1022" s="148" t="str">
        <f t="shared" si="713"/>
        <v xml:space="preserve">--  vs. </v>
      </c>
      <c r="BK1022" s="148" t="str">
        <f t="shared" si="714"/>
        <v/>
      </c>
      <c r="BL1022" s="148">
        <f t="shared" si="715"/>
        <v>0</v>
      </c>
      <c r="BM1022" s="148">
        <f t="shared" si="716"/>
        <v>0</v>
      </c>
      <c r="BN1022" s="148">
        <f t="shared" si="717"/>
        <v>0</v>
      </c>
      <c r="BP1022" s="148" t="str">
        <f t="shared" si="718"/>
        <v>no game</v>
      </c>
      <c r="BQ1022" s="148" t="str">
        <f t="shared" si="719"/>
        <v xml:space="preserve">  in </v>
      </c>
    </row>
    <row r="1023" spans="2:69" ht="15" customHeight="1" x14ac:dyDescent="0.2">
      <c r="B1023" s="153"/>
      <c r="C1023" s="153"/>
      <c r="D1023" s="383"/>
      <c r="E1023" s="383"/>
      <c r="F1023" s="153"/>
      <c r="G1023" s="154"/>
      <c r="H1023" s="155"/>
      <c r="I1023" s="314"/>
      <c r="J1023" s="153"/>
      <c r="K1023" s="153"/>
      <c r="L1023" s="153"/>
      <c r="M1023" s="153"/>
      <c r="N1023" s="153"/>
      <c r="O1023" s="153" t="str">
        <f>IF(L1023&lt;&gt;"",IFERROR(VLOOKUP(B1023&amp;L1023,Pools!$A$2:$D$130,3,FALSE),""),"")</f>
        <v/>
      </c>
      <c r="P1023" s="387"/>
      <c r="Q1023" s="387"/>
      <c r="R1023" s="306" t="str">
        <f t="shared" si="675"/>
        <v>-</v>
      </c>
      <c r="S1023" s="153"/>
      <c r="T1023" s="148" t="str">
        <f t="shared" si="676"/>
        <v>Pending</v>
      </c>
      <c r="U1023" s="153"/>
      <c r="V1023" s="153"/>
      <c r="W1023" s="387">
        <f t="shared" si="677"/>
        <v>0</v>
      </c>
      <c r="X1023" s="387">
        <f t="shared" si="678"/>
        <v>0</v>
      </c>
      <c r="Y1023" s="301" t="str">
        <f t="shared" si="679"/>
        <v>X</v>
      </c>
      <c r="Z1023" s="301" t="str">
        <f t="shared" si="680"/>
        <v>X</v>
      </c>
      <c r="AA1023" s="323" t="e">
        <f>CONCATENATE("                x[team1,team2,sport,'",IF(OR(I1023="x",I1023=""),VLOOKUP('Schedule from TM'!J1023,Tables!$P$3:$Q$33,2,FALSE),'Schedule from TM'!I1023),",",J1023,"','",IF(OR(F1023="x",F1023=""),VLOOKUP('Schedule from TM'!G1023,Tables!$U$3:$V$14,2,FALSE),'Schedule from TM'!F1023),",",TEXT(G1023,"mm/dd/yyyy"),"','",TEXT(H1023,"h:mm:ss AM/PM"),"'].ub=0.0      #",B1023)</f>
        <v>#N/A</v>
      </c>
      <c r="AB1023" s="301" t="str">
        <f t="shared" si="681"/>
        <v>,,,,1,</v>
      </c>
      <c r="AC1023" s="153" t="str">
        <f t="shared" si="682"/>
        <v/>
      </c>
      <c r="AD1023" s="301" t="str">
        <f t="shared" si="683"/>
        <v>,,,,1,</v>
      </c>
      <c r="AE1023" s="153" t="str">
        <f t="shared" si="684"/>
        <v/>
      </c>
      <c r="AF1023" s="383">
        <f t="shared" si="685"/>
        <v>0</v>
      </c>
      <c r="AG1023" s="383">
        <f t="shared" si="686"/>
        <v>0</v>
      </c>
      <c r="AH1023" s="383">
        <f t="shared" si="687"/>
        <v>0</v>
      </c>
      <c r="AI1023" s="383">
        <f t="shared" si="688"/>
        <v>0</v>
      </c>
      <c r="AJ1023" s="383">
        <f t="shared" si="689"/>
        <v>0</v>
      </c>
      <c r="AK1023" s="383">
        <f t="shared" si="690"/>
        <v>0</v>
      </c>
      <c r="AM1023" s="148" t="str">
        <f t="shared" si="691"/>
        <v>Not Schedulled</v>
      </c>
      <c r="AN1023" s="148" t="str">
        <f t="shared" si="692"/>
        <v/>
      </c>
      <c r="AO1023" s="156">
        <f t="shared" si="693"/>
        <v>0</v>
      </c>
      <c r="AP1023" s="148" t="str">
        <f t="shared" si="694"/>
        <v>01/00/1900 00:00-&gt;</v>
      </c>
      <c r="AQ1023" s="374">
        <f t="shared" si="695"/>
        <v>0</v>
      </c>
      <c r="AR1023" s="148" t="str">
        <f t="shared" si="696"/>
        <v/>
      </c>
      <c r="AS1023" s="148" t="str">
        <f t="shared" si="697"/>
        <v/>
      </c>
      <c r="AT1023" s="157" t="str">
        <f t="shared" si="698"/>
        <v/>
      </c>
      <c r="AU1023" s="157" t="str">
        <f t="shared" si="699"/>
        <v/>
      </c>
      <c r="AV1023" s="157" t="str">
        <f t="shared" si="700"/>
        <v/>
      </c>
      <c r="AW1023" s="157" t="str">
        <f t="shared" si="701"/>
        <v/>
      </c>
      <c r="AX1023" s="376">
        <f t="shared" si="702"/>
        <v>0</v>
      </c>
      <c r="AY1023" s="148" t="str">
        <f t="shared" si="703"/>
        <v>-&gt;</v>
      </c>
      <c r="AZ1023" s="148" t="str">
        <f t="shared" si="704"/>
        <v>01/00/1900 00:00-&gt;</v>
      </c>
      <c r="BA1023" s="148" t="str">
        <f t="shared" si="705"/>
        <v>01/00/1900 00:00-&gt;</v>
      </c>
      <c r="BB1023" s="374">
        <f t="shared" si="706"/>
        <v>0</v>
      </c>
      <c r="BC1023" s="374">
        <f t="shared" si="707"/>
        <v>0</v>
      </c>
      <c r="BD1023" s="148" t="str">
        <f t="shared" si="708"/>
        <v>no conflict</v>
      </c>
      <c r="BF1023" s="148" t="str">
        <f t="shared" si="709"/>
        <v>01/00/1900 00:00-&gt;</v>
      </c>
      <c r="BG1023" s="148" t="str">
        <f t="shared" si="710"/>
        <v>01/00/1900 00:00-&gt;</v>
      </c>
      <c r="BH1023" s="148" t="str">
        <f t="shared" si="711"/>
        <v>01/00/1900 00:00-&gt;</v>
      </c>
      <c r="BI1023" s="148" t="str">
        <f t="shared" si="712"/>
        <v xml:space="preserve"> in  ()</v>
      </c>
      <c r="BJ1023" s="148" t="str">
        <f t="shared" si="713"/>
        <v xml:space="preserve">--  vs. </v>
      </c>
      <c r="BK1023" s="148" t="str">
        <f t="shared" si="714"/>
        <v/>
      </c>
      <c r="BL1023" s="148">
        <f t="shared" si="715"/>
        <v>0</v>
      </c>
      <c r="BM1023" s="148">
        <f t="shared" si="716"/>
        <v>0</v>
      </c>
      <c r="BN1023" s="148">
        <f t="shared" si="717"/>
        <v>0</v>
      </c>
      <c r="BP1023" s="148" t="str">
        <f t="shared" si="718"/>
        <v>no game</v>
      </c>
      <c r="BQ1023" s="148" t="str">
        <f t="shared" si="719"/>
        <v xml:space="preserve">  in </v>
      </c>
    </row>
    <row r="1024" spans="2:69" ht="15" customHeight="1" x14ac:dyDescent="0.2">
      <c r="B1024" s="153"/>
      <c r="C1024" s="153"/>
      <c r="D1024" s="383"/>
      <c r="E1024" s="383"/>
      <c r="F1024" s="153"/>
      <c r="G1024" s="154"/>
      <c r="H1024" s="155"/>
      <c r="I1024" s="314"/>
      <c r="J1024" s="153"/>
      <c r="K1024" s="153"/>
      <c r="L1024" s="153"/>
      <c r="M1024" s="153"/>
      <c r="N1024" s="153"/>
      <c r="O1024" s="153" t="str">
        <f>IF(L1024&lt;&gt;"",IFERROR(VLOOKUP(B1024&amp;L1024,Pools!$A$2:$D$130,3,FALSE),""),"")</f>
        <v/>
      </c>
      <c r="P1024" s="387"/>
      <c r="Q1024" s="387"/>
      <c r="R1024" s="306" t="str">
        <f t="shared" si="675"/>
        <v>-</v>
      </c>
      <c r="S1024" s="153"/>
      <c r="T1024" s="148" t="str">
        <f t="shared" si="676"/>
        <v>Pending</v>
      </c>
      <c r="U1024" s="153"/>
      <c r="V1024" s="153"/>
      <c r="W1024" s="387">
        <f t="shared" si="677"/>
        <v>0</v>
      </c>
      <c r="X1024" s="387">
        <f t="shared" si="678"/>
        <v>0</v>
      </c>
      <c r="Y1024" s="301" t="str">
        <f t="shared" si="679"/>
        <v>X</v>
      </c>
      <c r="Z1024" s="301" t="str">
        <f t="shared" si="680"/>
        <v>X</v>
      </c>
      <c r="AA1024" s="323" t="e">
        <f>CONCATENATE("                x[team1,team2,sport,'",IF(OR(I1024="x",I1024=""),VLOOKUP('Schedule from TM'!J1024,Tables!$P$3:$Q$33,2,FALSE),'Schedule from TM'!I1024),",",J1024,"','",IF(OR(F1024="x",F1024=""),VLOOKUP('Schedule from TM'!G1024,Tables!$U$3:$V$14,2,FALSE),'Schedule from TM'!F1024),",",TEXT(G1024,"mm/dd/yyyy"),"','",TEXT(H1024,"h:mm:ss AM/PM"),"'].ub=0.0      #",B1024)</f>
        <v>#N/A</v>
      </c>
      <c r="AB1024" s="301" t="str">
        <f t="shared" si="681"/>
        <v>,,,,1,</v>
      </c>
      <c r="AC1024" s="153" t="str">
        <f t="shared" si="682"/>
        <v/>
      </c>
      <c r="AD1024" s="301" t="str">
        <f t="shared" si="683"/>
        <v>,,,,1,</v>
      </c>
      <c r="AE1024" s="153" t="str">
        <f t="shared" si="684"/>
        <v/>
      </c>
      <c r="AF1024" s="383">
        <f t="shared" si="685"/>
        <v>0</v>
      </c>
      <c r="AG1024" s="383">
        <f t="shared" si="686"/>
        <v>0</v>
      </c>
      <c r="AH1024" s="383">
        <f t="shared" si="687"/>
        <v>0</v>
      </c>
      <c r="AI1024" s="383">
        <f t="shared" si="688"/>
        <v>0</v>
      </c>
      <c r="AJ1024" s="383">
        <f t="shared" si="689"/>
        <v>0</v>
      </c>
      <c r="AK1024" s="383">
        <f t="shared" si="690"/>
        <v>0</v>
      </c>
      <c r="AM1024" s="148" t="str">
        <f t="shared" si="691"/>
        <v>Not Schedulled</v>
      </c>
      <c r="AN1024" s="148" t="str">
        <f t="shared" si="692"/>
        <v/>
      </c>
      <c r="AO1024" s="156">
        <f t="shared" si="693"/>
        <v>0</v>
      </c>
      <c r="AP1024" s="148" t="str">
        <f t="shared" si="694"/>
        <v>01/00/1900 00:00-&gt;</v>
      </c>
      <c r="AQ1024" s="374">
        <f t="shared" si="695"/>
        <v>0</v>
      </c>
      <c r="AR1024" s="148" t="str">
        <f t="shared" si="696"/>
        <v/>
      </c>
      <c r="AS1024" s="148" t="str">
        <f t="shared" si="697"/>
        <v/>
      </c>
      <c r="AT1024" s="157" t="str">
        <f t="shared" si="698"/>
        <v/>
      </c>
      <c r="AU1024" s="157" t="str">
        <f t="shared" si="699"/>
        <v/>
      </c>
      <c r="AV1024" s="157" t="str">
        <f t="shared" si="700"/>
        <v/>
      </c>
      <c r="AW1024" s="157" t="str">
        <f t="shared" si="701"/>
        <v/>
      </c>
      <c r="AX1024" s="376">
        <f t="shared" si="702"/>
        <v>0</v>
      </c>
      <c r="AY1024" s="148" t="str">
        <f t="shared" si="703"/>
        <v>-&gt;</v>
      </c>
      <c r="AZ1024" s="148" t="str">
        <f t="shared" si="704"/>
        <v>01/00/1900 00:00-&gt;</v>
      </c>
      <c r="BA1024" s="148" t="str">
        <f t="shared" si="705"/>
        <v>01/00/1900 00:00-&gt;</v>
      </c>
      <c r="BB1024" s="374">
        <f t="shared" si="706"/>
        <v>0</v>
      </c>
      <c r="BC1024" s="374">
        <f t="shared" si="707"/>
        <v>0</v>
      </c>
      <c r="BD1024" s="148" t="str">
        <f t="shared" si="708"/>
        <v>no conflict</v>
      </c>
      <c r="BF1024" s="148" t="str">
        <f t="shared" si="709"/>
        <v>01/00/1900 00:00-&gt;</v>
      </c>
      <c r="BG1024" s="148" t="str">
        <f t="shared" si="710"/>
        <v>01/00/1900 00:00-&gt;</v>
      </c>
      <c r="BH1024" s="148" t="str">
        <f t="shared" si="711"/>
        <v>01/00/1900 00:00-&gt;</v>
      </c>
      <c r="BI1024" s="148" t="str">
        <f t="shared" si="712"/>
        <v xml:space="preserve"> in  ()</v>
      </c>
      <c r="BJ1024" s="148" t="str">
        <f t="shared" si="713"/>
        <v xml:space="preserve">--  vs. </v>
      </c>
      <c r="BK1024" s="148" t="str">
        <f t="shared" si="714"/>
        <v/>
      </c>
      <c r="BL1024" s="148">
        <f t="shared" si="715"/>
        <v>0</v>
      </c>
      <c r="BM1024" s="148">
        <f t="shared" si="716"/>
        <v>0</v>
      </c>
      <c r="BN1024" s="148">
        <f t="shared" si="717"/>
        <v>0</v>
      </c>
      <c r="BP1024" s="148" t="str">
        <f t="shared" si="718"/>
        <v>no game</v>
      </c>
      <c r="BQ1024" s="148" t="str">
        <f t="shared" si="719"/>
        <v xml:space="preserve">  in </v>
      </c>
    </row>
    <row r="1025" spans="2:69" ht="15" customHeight="1" x14ac:dyDescent="0.2">
      <c r="B1025" s="153"/>
      <c r="C1025" s="153"/>
      <c r="D1025" s="383"/>
      <c r="E1025" s="383"/>
      <c r="F1025" s="153"/>
      <c r="G1025" s="154"/>
      <c r="H1025" s="155"/>
      <c r="I1025" s="314"/>
      <c r="J1025" s="153"/>
      <c r="K1025" s="153"/>
      <c r="L1025" s="153"/>
      <c r="M1025" s="153"/>
      <c r="N1025" s="153"/>
      <c r="O1025" s="153" t="str">
        <f>IF(L1025&lt;&gt;"",IFERROR(VLOOKUP(B1025&amp;L1025,Pools!$A$2:$D$130,3,FALSE),""),"")</f>
        <v/>
      </c>
      <c r="P1025" s="387"/>
      <c r="Q1025" s="387"/>
      <c r="R1025" s="306" t="str">
        <f t="shared" si="675"/>
        <v>-</v>
      </c>
      <c r="S1025" s="153"/>
      <c r="T1025" s="148" t="str">
        <f t="shared" si="676"/>
        <v>Pending</v>
      </c>
      <c r="U1025" s="153"/>
      <c r="V1025" s="153"/>
      <c r="W1025" s="387">
        <f t="shared" si="677"/>
        <v>0</v>
      </c>
      <c r="X1025" s="387">
        <f t="shared" si="678"/>
        <v>0</v>
      </c>
      <c r="Y1025" s="301" t="str">
        <f t="shared" si="679"/>
        <v>X</v>
      </c>
      <c r="Z1025" s="301" t="str">
        <f t="shared" si="680"/>
        <v>X</v>
      </c>
      <c r="AA1025" s="323" t="e">
        <f>CONCATENATE("                x[team1,team2,sport,'",IF(OR(I1025="x",I1025=""),VLOOKUP('Schedule from TM'!J1025,Tables!$P$3:$Q$33,2,FALSE),'Schedule from TM'!I1025),",",J1025,"','",IF(OR(F1025="x",F1025=""),VLOOKUP('Schedule from TM'!G1025,Tables!$U$3:$V$14,2,FALSE),'Schedule from TM'!F1025),",",TEXT(G1025,"mm/dd/yyyy"),"','",TEXT(H1025,"h:mm:ss AM/PM"),"'].ub=0.0      #",B1025)</f>
        <v>#N/A</v>
      </c>
      <c r="AB1025" s="301" t="str">
        <f t="shared" si="681"/>
        <v>,,,,1,</v>
      </c>
      <c r="AC1025" s="153" t="str">
        <f t="shared" si="682"/>
        <v/>
      </c>
      <c r="AD1025" s="301" t="str">
        <f t="shared" si="683"/>
        <v>,,,,1,</v>
      </c>
      <c r="AE1025" s="153" t="str">
        <f t="shared" si="684"/>
        <v/>
      </c>
      <c r="AF1025" s="383">
        <f t="shared" si="685"/>
        <v>0</v>
      </c>
      <c r="AG1025" s="383">
        <f t="shared" si="686"/>
        <v>0</v>
      </c>
      <c r="AH1025" s="383">
        <f t="shared" si="687"/>
        <v>0</v>
      </c>
      <c r="AI1025" s="383">
        <f t="shared" si="688"/>
        <v>0</v>
      </c>
      <c r="AJ1025" s="383">
        <f t="shared" si="689"/>
        <v>0</v>
      </c>
      <c r="AK1025" s="383">
        <f t="shared" si="690"/>
        <v>0</v>
      </c>
      <c r="AM1025" s="148" t="str">
        <f t="shared" si="691"/>
        <v>Not Schedulled</v>
      </c>
      <c r="AN1025" s="148" t="str">
        <f t="shared" si="692"/>
        <v/>
      </c>
      <c r="AO1025" s="156">
        <f t="shared" si="693"/>
        <v>0</v>
      </c>
      <c r="AP1025" s="148" t="str">
        <f t="shared" si="694"/>
        <v>01/00/1900 00:00-&gt;</v>
      </c>
      <c r="AQ1025" s="374">
        <f t="shared" si="695"/>
        <v>0</v>
      </c>
      <c r="AR1025" s="148" t="str">
        <f t="shared" si="696"/>
        <v/>
      </c>
      <c r="AS1025" s="148" t="str">
        <f t="shared" si="697"/>
        <v/>
      </c>
      <c r="AT1025" s="157" t="str">
        <f t="shared" si="698"/>
        <v/>
      </c>
      <c r="AU1025" s="157" t="str">
        <f t="shared" si="699"/>
        <v/>
      </c>
      <c r="AV1025" s="157" t="str">
        <f t="shared" si="700"/>
        <v/>
      </c>
      <c r="AW1025" s="157" t="str">
        <f t="shared" si="701"/>
        <v/>
      </c>
      <c r="AX1025" s="376">
        <f t="shared" si="702"/>
        <v>0</v>
      </c>
      <c r="AY1025" s="148" t="str">
        <f t="shared" si="703"/>
        <v>-&gt;</v>
      </c>
      <c r="AZ1025" s="148" t="str">
        <f t="shared" si="704"/>
        <v>01/00/1900 00:00-&gt;</v>
      </c>
      <c r="BA1025" s="148" t="str">
        <f t="shared" si="705"/>
        <v>01/00/1900 00:00-&gt;</v>
      </c>
      <c r="BB1025" s="374">
        <f t="shared" si="706"/>
        <v>0</v>
      </c>
      <c r="BC1025" s="374">
        <f t="shared" si="707"/>
        <v>0</v>
      </c>
      <c r="BD1025" s="148" t="str">
        <f t="shared" si="708"/>
        <v>no conflict</v>
      </c>
      <c r="BF1025" s="148" t="str">
        <f t="shared" si="709"/>
        <v>01/00/1900 00:00-&gt;</v>
      </c>
      <c r="BG1025" s="148" t="str">
        <f t="shared" si="710"/>
        <v>01/00/1900 00:00-&gt;</v>
      </c>
      <c r="BH1025" s="148" t="str">
        <f t="shared" si="711"/>
        <v>01/00/1900 00:00-&gt;</v>
      </c>
      <c r="BI1025" s="148" t="str">
        <f t="shared" si="712"/>
        <v xml:space="preserve"> in  ()</v>
      </c>
      <c r="BJ1025" s="148" t="str">
        <f t="shared" si="713"/>
        <v xml:space="preserve">--  vs. </v>
      </c>
      <c r="BK1025" s="148" t="str">
        <f t="shared" si="714"/>
        <v/>
      </c>
      <c r="BL1025" s="148">
        <f t="shared" si="715"/>
        <v>0</v>
      </c>
      <c r="BM1025" s="148">
        <f t="shared" si="716"/>
        <v>0</v>
      </c>
      <c r="BN1025" s="148">
        <f t="shared" si="717"/>
        <v>0</v>
      </c>
      <c r="BP1025" s="148" t="str">
        <f t="shared" si="718"/>
        <v>no game</v>
      </c>
      <c r="BQ1025" s="148" t="str">
        <f t="shared" si="719"/>
        <v xml:space="preserve">  in </v>
      </c>
    </row>
    <row r="1026" spans="2:69" ht="15" customHeight="1" x14ac:dyDescent="0.2">
      <c r="B1026" s="153"/>
      <c r="C1026" s="153"/>
      <c r="D1026" s="383"/>
      <c r="E1026" s="383"/>
      <c r="F1026" s="153"/>
      <c r="G1026" s="154"/>
      <c r="H1026" s="155"/>
      <c r="I1026" s="314"/>
      <c r="J1026" s="153"/>
      <c r="K1026" s="153"/>
      <c r="L1026" s="153"/>
      <c r="M1026" s="153"/>
      <c r="N1026" s="153"/>
      <c r="O1026" s="153" t="str">
        <f>IF(L1026&lt;&gt;"",IFERROR(VLOOKUP(B1026&amp;L1026,Pools!$A$2:$D$130,3,FALSE),""),"")</f>
        <v/>
      </c>
      <c r="P1026" s="387"/>
      <c r="Q1026" s="387"/>
      <c r="R1026" s="306" t="str">
        <f t="shared" si="675"/>
        <v>-</v>
      </c>
      <c r="S1026" s="153"/>
      <c r="T1026" s="148" t="str">
        <f t="shared" si="676"/>
        <v>Pending</v>
      </c>
      <c r="U1026" s="153"/>
      <c r="V1026" s="153"/>
      <c r="W1026" s="387">
        <f t="shared" si="677"/>
        <v>0</v>
      </c>
      <c r="X1026" s="387">
        <f t="shared" si="678"/>
        <v>0</v>
      </c>
      <c r="Y1026" s="301" t="str">
        <f t="shared" si="679"/>
        <v>X</v>
      </c>
      <c r="Z1026" s="301" t="str">
        <f t="shared" si="680"/>
        <v>X</v>
      </c>
      <c r="AA1026" s="323" t="e">
        <f>CONCATENATE("                x[team1,team2,sport,'",IF(OR(I1026="x",I1026=""),VLOOKUP('Schedule from TM'!J1026,Tables!$P$3:$Q$33,2,FALSE),'Schedule from TM'!I1026),",",J1026,"','",IF(OR(F1026="x",F1026=""),VLOOKUP('Schedule from TM'!G1026,Tables!$U$3:$V$14,2,FALSE),'Schedule from TM'!F1026),",",TEXT(G1026,"mm/dd/yyyy"),"','",TEXT(H1026,"h:mm:ss AM/PM"),"'].ub=0.0      #",B1026)</f>
        <v>#N/A</v>
      </c>
      <c r="AB1026" s="301" t="str">
        <f t="shared" si="681"/>
        <v>,,,,1,</v>
      </c>
      <c r="AC1026" s="153" t="str">
        <f t="shared" si="682"/>
        <v/>
      </c>
      <c r="AD1026" s="301" t="str">
        <f t="shared" si="683"/>
        <v>,,,,1,</v>
      </c>
      <c r="AE1026" s="153" t="str">
        <f t="shared" si="684"/>
        <v/>
      </c>
      <c r="AF1026" s="383">
        <f t="shared" si="685"/>
        <v>0</v>
      </c>
      <c r="AG1026" s="383">
        <f t="shared" si="686"/>
        <v>0</v>
      </c>
      <c r="AH1026" s="383">
        <f t="shared" si="687"/>
        <v>0</v>
      </c>
      <c r="AI1026" s="383">
        <f t="shared" si="688"/>
        <v>0</v>
      </c>
      <c r="AJ1026" s="383">
        <f t="shared" si="689"/>
        <v>0</v>
      </c>
      <c r="AK1026" s="383">
        <f t="shared" si="690"/>
        <v>0</v>
      </c>
      <c r="AM1026" s="148" t="str">
        <f t="shared" si="691"/>
        <v>Not Schedulled</v>
      </c>
      <c r="AN1026" s="148" t="str">
        <f t="shared" si="692"/>
        <v/>
      </c>
      <c r="AO1026" s="156">
        <f t="shared" si="693"/>
        <v>0</v>
      </c>
      <c r="AP1026" s="148" t="str">
        <f t="shared" si="694"/>
        <v>01/00/1900 00:00-&gt;</v>
      </c>
      <c r="AQ1026" s="374">
        <f t="shared" si="695"/>
        <v>0</v>
      </c>
      <c r="AR1026" s="148" t="str">
        <f t="shared" si="696"/>
        <v/>
      </c>
      <c r="AS1026" s="148" t="str">
        <f t="shared" si="697"/>
        <v/>
      </c>
      <c r="AT1026" s="157" t="str">
        <f t="shared" si="698"/>
        <v/>
      </c>
      <c r="AU1026" s="157" t="str">
        <f t="shared" si="699"/>
        <v/>
      </c>
      <c r="AV1026" s="157" t="str">
        <f t="shared" si="700"/>
        <v/>
      </c>
      <c r="AW1026" s="157" t="str">
        <f t="shared" si="701"/>
        <v/>
      </c>
      <c r="AX1026" s="376">
        <f t="shared" si="702"/>
        <v>0</v>
      </c>
      <c r="AY1026" s="148" t="str">
        <f t="shared" si="703"/>
        <v>-&gt;</v>
      </c>
      <c r="AZ1026" s="148" t="str">
        <f t="shared" si="704"/>
        <v>01/00/1900 00:00-&gt;</v>
      </c>
      <c r="BA1026" s="148" t="str">
        <f t="shared" si="705"/>
        <v>01/00/1900 00:00-&gt;</v>
      </c>
      <c r="BB1026" s="374">
        <f t="shared" si="706"/>
        <v>0</v>
      </c>
      <c r="BC1026" s="374">
        <f t="shared" si="707"/>
        <v>0</v>
      </c>
      <c r="BD1026" s="148" t="str">
        <f t="shared" si="708"/>
        <v>no conflict</v>
      </c>
      <c r="BF1026" s="148" t="str">
        <f t="shared" si="709"/>
        <v>01/00/1900 00:00-&gt;</v>
      </c>
      <c r="BG1026" s="148" t="str">
        <f t="shared" si="710"/>
        <v>01/00/1900 00:00-&gt;</v>
      </c>
      <c r="BH1026" s="148" t="str">
        <f t="shared" si="711"/>
        <v>01/00/1900 00:00-&gt;</v>
      </c>
      <c r="BI1026" s="148" t="str">
        <f t="shared" si="712"/>
        <v xml:space="preserve"> in  ()</v>
      </c>
      <c r="BJ1026" s="148" t="str">
        <f t="shared" si="713"/>
        <v xml:space="preserve">--  vs. </v>
      </c>
      <c r="BK1026" s="148" t="str">
        <f t="shared" si="714"/>
        <v/>
      </c>
      <c r="BL1026" s="148">
        <f t="shared" si="715"/>
        <v>0</v>
      </c>
      <c r="BM1026" s="148">
        <f t="shared" si="716"/>
        <v>0</v>
      </c>
      <c r="BN1026" s="148">
        <f t="shared" si="717"/>
        <v>0</v>
      </c>
      <c r="BP1026" s="148" t="str">
        <f t="shared" si="718"/>
        <v>no game</v>
      </c>
      <c r="BQ1026" s="148" t="str">
        <f t="shared" si="719"/>
        <v xml:space="preserve">  in </v>
      </c>
    </row>
    <row r="1027" spans="2:69" ht="15" customHeight="1" x14ac:dyDescent="0.2">
      <c r="O1027" s="153" t="str">
        <f>IF(L1027&lt;&gt;"",IFERROR(VLOOKUP(B1027&amp;L1027,Pools!$A$2:$D$130,3,FALSE),""),"")</f>
        <v/>
      </c>
      <c r="P1027" s="387"/>
      <c r="Q1027" s="387"/>
      <c r="R1027" s="306" t="str">
        <f t="shared" si="675"/>
        <v>-</v>
      </c>
      <c r="S1027" s="153"/>
      <c r="T1027" s="148" t="str">
        <f t="shared" si="676"/>
        <v>Pending</v>
      </c>
      <c r="U1027" s="153"/>
      <c r="V1027" s="153"/>
      <c r="W1027" s="387">
        <f t="shared" si="677"/>
        <v>0</v>
      </c>
      <c r="X1027" s="387">
        <f t="shared" si="678"/>
        <v>0</v>
      </c>
      <c r="Y1027" s="301" t="str">
        <f t="shared" si="679"/>
        <v>X</v>
      </c>
      <c r="Z1027" s="301" t="str">
        <f t="shared" si="680"/>
        <v>X</v>
      </c>
      <c r="AA1027" s="323" t="e">
        <f>CONCATENATE("                x[team1,team2,sport,'",IF(OR(I1027="x",I1027=""),VLOOKUP('Schedule from TM'!J1027,Tables!$P$3:$Q$33,2,FALSE),'Schedule from TM'!I1027),",",J1027,"','",IF(OR(F1027="x",F1027=""),VLOOKUP('Schedule from TM'!G1027,Tables!$U$3:$V$14,2,FALSE),'Schedule from TM'!F1027),",",TEXT(G1027,"mm/dd/yyyy"),"','",TEXT(H1027,"h:mm:ss AM/PM"),"'].ub=0.0      #",B1027)</f>
        <v>#N/A</v>
      </c>
      <c r="AB1027" s="301" t="str">
        <f t="shared" si="681"/>
        <v>,,,,1,</v>
      </c>
      <c r="AC1027" s="153" t="str">
        <f t="shared" si="682"/>
        <v/>
      </c>
      <c r="AD1027" s="301" t="str">
        <f t="shared" si="683"/>
        <v>,,,,1,</v>
      </c>
      <c r="AE1027" s="153" t="str">
        <f t="shared" si="684"/>
        <v/>
      </c>
      <c r="AF1027" s="383">
        <f t="shared" si="685"/>
        <v>0</v>
      </c>
      <c r="AG1027" s="383">
        <f t="shared" si="686"/>
        <v>0</v>
      </c>
      <c r="AH1027" s="383">
        <f t="shared" si="687"/>
        <v>0</v>
      </c>
      <c r="AI1027" s="383">
        <f t="shared" si="688"/>
        <v>0</v>
      </c>
      <c r="AJ1027" s="383">
        <f t="shared" si="689"/>
        <v>0</v>
      </c>
      <c r="AK1027" s="383">
        <f t="shared" si="690"/>
        <v>0</v>
      </c>
      <c r="AM1027" s="148" t="str">
        <f t="shared" si="691"/>
        <v>Not Schedulled</v>
      </c>
      <c r="AN1027" s="148" t="str">
        <f t="shared" si="692"/>
        <v/>
      </c>
      <c r="AO1027" s="156">
        <f t="shared" si="693"/>
        <v>0</v>
      </c>
      <c r="AP1027" s="148" t="str">
        <f t="shared" si="694"/>
        <v>01/00/1900 00:00-&gt;</v>
      </c>
      <c r="AQ1027" s="374">
        <f t="shared" si="695"/>
        <v>0</v>
      </c>
      <c r="AR1027" s="148" t="str">
        <f t="shared" si="696"/>
        <v/>
      </c>
      <c r="AS1027" s="148" t="str">
        <f t="shared" si="697"/>
        <v/>
      </c>
      <c r="AT1027" s="157" t="str">
        <f t="shared" si="698"/>
        <v/>
      </c>
      <c r="AU1027" s="157" t="str">
        <f t="shared" si="699"/>
        <v/>
      </c>
      <c r="AV1027" s="157" t="str">
        <f t="shared" si="700"/>
        <v/>
      </c>
      <c r="AW1027" s="157" t="str">
        <f t="shared" si="701"/>
        <v/>
      </c>
      <c r="AX1027" s="376">
        <f t="shared" si="702"/>
        <v>0</v>
      </c>
      <c r="AY1027" s="148" t="str">
        <f t="shared" si="703"/>
        <v>-&gt;</v>
      </c>
      <c r="AZ1027" s="148" t="str">
        <f t="shared" si="704"/>
        <v>01/00/1900 00:00-&gt;</v>
      </c>
      <c r="BA1027" s="148" t="str">
        <f t="shared" si="705"/>
        <v>01/00/1900 00:00-&gt;</v>
      </c>
      <c r="BB1027" s="374">
        <f t="shared" si="706"/>
        <v>0</v>
      </c>
      <c r="BC1027" s="374">
        <f t="shared" si="707"/>
        <v>0</v>
      </c>
      <c r="BD1027" s="148" t="str">
        <f t="shared" si="708"/>
        <v>no conflict</v>
      </c>
      <c r="BF1027" s="148" t="str">
        <f t="shared" si="709"/>
        <v>01/00/1900 00:00-&gt;</v>
      </c>
      <c r="BG1027" s="148" t="str">
        <f t="shared" si="710"/>
        <v>01/00/1900 00:00-&gt;</v>
      </c>
      <c r="BH1027" s="148" t="str">
        <f t="shared" si="711"/>
        <v>01/00/1900 00:00-&gt;</v>
      </c>
      <c r="BI1027" s="148" t="str">
        <f t="shared" si="712"/>
        <v xml:space="preserve"> in  ()</v>
      </c>
      <c r="BJ1027" s="148" t="str">
        <f t="shared" si="713"/>
        <v xml:space="preserve">--  vs. </v>
      </c>
      <c r="BK1027" s="148" t="str">
        <f t="shared" si="714"/>
        <v/>
      </c>
      <c r="BL1027" s="148">
        <f t="shared" si="715"/>
        <v>0</v>
      </c>
      <c r="BM1027" s="148">
        <f t="shared" si="716"/>
        <v>0</v>
      </c>
      <c r="BN1027" s="148">
        <f t="shared" si="717"/>
        <v>0</v>
      </c>
      <c r="BP1027" s="148" t="str">
        <f t="shared" si="718"/>
        <v>no game</v>
      </c>
      <c r="BQ1027" s="148" t="str">
        <f t="shared" si="719"/>
        <v xml:space="preserve">  in </v>
      </c>
    </row>
    <row r="1028" spans="2:69" ht="15" customHeight="1" x14ac:dyDescent="0.2">
      <c r="O1028" s="153" t="str">
        <f>IF(L1028&lt;&gt;"",IFERROR(VLOOKUP(B1028&amp;L1028,Pools!$A$2:$D$130,3,FALSE),""),"")</f>
        <v/>
      </c>
      <c r="P1028" s="387"/>
      <c r="Q1028" s="387"/>
      <c r="R1028" s="306" t="str">
        <f t="shared" si="675"/>
        <v>-</v>
      </c>
      <c r="S1028" s="153"/>
      <c r="T1028" s="148" t="str">
        <f t="shared" si="676"/>
        <v>Pending</v>
      </c>
      <c r="U1028" s="153"/>
      <c r="V1028" s="153"/>
      <c r="W1028" s="387">
        <f t="shared" si="677"/>
        <v>0</v>
      </c>
      <c r="X1028" s="387">
        <f t="shared" si="678"/>
        <v>0</v>
      </c>
      <c r="Y1028" s="301" t="str">
        <f t="shared" si="679"/>
        <v>X</v>
      </c>
      <c r="Z1028" s="301" t="str">
        <f t="shared" si="680"/>
        <v>X</v>
      </c>
      <c r="AA1028" s="323" t="e">
        <f>CONCATENATE("                x[team1,team2,sport,'",IF(OR(I1028="x",I1028=""),VLOOKUP('Schedule from TM'!J1028,Tables!$P$3:$Q$33,2,FALSE),'Schedule from TM'!I1028),",",J1028,"','",IF(OR(F1028="x",F1028=""),VLOOKUP('Schedule from TM'!G1028,Tables!$U$3:$V$14,2,FALSE),'Schedule from TM'!F1028),",",TEXT(G1028,"mm/dd/yyyy"),"','",TEXT(H1028,"h:mm:ss AM/PM"),"'].ub=0.0      #",B1028)</f>
        <v>#N/A</v>
      </c>
      <c r="AB1028" s="301" t="str">
        <f t="shared" si="681"/>
        <v>,,,,1,</v>
      </c>
      <c r="AC1028" s="153" t="str">
        <f t="shared" si="682"/>
        <v/>
      </c>
      <c r="AD1028" s="301" t="str">
        <f t="shared" si="683"/>
        <v>,,,,1,</v>
      </c>
      <c r="AE1028" s="153" t="str">
        <f t="shared" si="684"/>
        <v/>
      </c>
      <c r="AF1028" s="383">
        <f t="shared" si="685"/>
        <v>0</v>
      </c>
      <c r="AG1028" s="383">
        <f t="shared" si="686"/>
        <v>0</v>
      </c>
      <c r="AH1028" s="383">
        <f t="shared" si="687"/>
        <v>0</v>
      </c>
      <c r="AI1028" s="383">
        <f t="shared" si="688"/>
        <v>0</v>
      </c>
      <c r="AJ1028" s="383">
        <f t="shared" si="689"/>
        <v>0</v>
      </c>
      <c r="AK1028" s="383">
        <f t="shared" si="690"/>
        <v>0</v>
      </c>
      <c r="AM1028" s="148" t="str">
        <f t="shared" si="691"/>
        <v>Not Schedulled</v>
      </c>
      <c r="AN1028" s="148" t="str">
        <f t="shared" si="692"/>
        <v/>
      </c>
      <c r="AO1028" s="156">
        <f t="shared" si="693"/>
        <v>0</v>
      </c>
      <c r="AP1028" s="148" t="str">
        <f t="shared" si="694"/>
        <v>01/00/1900 00:00-&gt;</v>
      </c>
      <c r="AQ1028" s="374">
        <f t="shared" si="695"/>
        <v>0</v>
      </c>
      <c r="AR1028" s="148" t="str">
        <f t="shared" si="696"/>
        <v/>
      </c>
      <c r="AS1028" s="148" t="str">
        <f t="shared" si="697"/>
        <v/>
      </c>
      <c r="AT1028" s="157" t="str">
        <f t="shared" si="698"/>
        <v/>
      </c>
      <c r="AU1028" s="157" t="str">
        <f t="shared" si="699"/>
        <v/>
      </c>
      <c r="AV1028" s="157" t="str">
        <f t="shared" si="700"/>
        <v/>
      </c>
      <c r="AW1028" s="157" t="str">
        <f t="shared" si="701"/>
        <v/>
      </c>
      <c r="AX1028" s="376">
        <f t="shared" si="702"/>
        <v>0</v>
      </c>
      <c r="AY1028" s="148" t="str">
        <f t="shared" si="703"/>
        <v>-&gt;</v>
      </c>
      <c r="AZ1028" s="148" t="str">
        <f t="shared" si="704"/>
        <v>01/00/1900 00:00-&gt;</v>
      </c>
      <c r="BA1028" s="148" t="str">
        <f t="shared" si="705"/>
        <v>01/00/1900 00:00-&gt;</v>
      </c>
      <c r="BB1028" s="374">
        <f t="shared" si="706"/>
        <v>0</v>
      </c>
      <c r="BC1028" s="374">
        <f t="shared" si="707"/>
        <v>0</v>
      </c>
      <c r="BD1028" s="148" t="str">
        <f t="shared" si="708"/>
        <v>no conflict</v>
      </c>
      <c r="BF1028" s="148" t="str">
        <f t="shared" si="709"/>
        <v>01/00/1900 00:00-&gt;</v>
      </c>
      <c r="BG1028" s="148" t="str">
        <f t="shared" si="710"/>
        <v>01/00/1900 00:00-&gt;</v>
      </c>
      <c r="BH1028" s="148" t="str">
        <f t="shared" si="711"/>
        <v>01/00/1900 00:00-&gt;</v>
      </c>
      <c r="BI1028" s="148" t="str">
        <f t="shared" si="712"/>
        <v xml:space="preserve"> in  ()</v>
      </c>
      <c r="BJ1028" s="148" t="str">
        <f t="shared" si="713"/>
        <v xml:space="preserve">--  vs. </v>
      </c>
      <c r="BK1028" s="148" t="str">
        <f t="shared" si="714"/>
        <v/>
      </c>
      <c r="BL1028" s="148">
        <f t="shared" si="715"/>
        <v>0</v>
      </c>
      <c r="BM1028" s="148">
        <f t="shared" si="716"/>
        <v>0</v>
      </c>
      <c r="BN1028" s="148">
        <f t="shared" si="717"/>
        <v>0</v>
      </c>
      <c r="BP1028" s="148" t="str">
        <f t="shared" si="718"/>
        <v>no game</v>
      </c>
      <c r="BQ1028" s="148" t="str">
        <f t="shared" si="719"/>
        <v xml:space="preserve">  in </v>
      </c>
    </row>
    <row r="1029" spans="2:69" ht="15" customHeight="1" x14ac:dyDescent="0.2">
      <c r="O1029" s="153" t="str">
        <f>IF(L1029&lt;&gt;"",IFERROR(VLOOKUP(B1029&amp;L1029,Pools!$A$2:$D$130,3,FALSE),""),"")</f>
        <v/>
      </c>
      <c r="P1029" s="387"/>
      <c r="Q1029" s="387"/>
      <c r="R1029" s="306" t="str">
        <f t="shared" si="675"/>
        <v>-</v>
      </c>
      <c r="S1029" s="153"/>
      <c r="T1029" s="148" t="str">
        <f t="shared" si="676"/>
        <v>Pending</v>
      </c>
      <c r="U1029" s="153"/>
      <c r="V1029" s="153"/>
      <c r="W1029" s="387">
        <f t="shared" si="677"/>
        <v>0</v>
      </c>
      <c r="X1029" s="387">
        <f t="shared" si="678"/>
        <v>0</v>
      </c>
      <c r="Y1029" s="301" t="str">
        <f t="shared" si="679"/>
        <v>X</v>
      </c>
      <c r="Z1029" s="301" t="str">
        <f t="shared" si="680"/>
        <v>X</v>
      </c>
      <c r="AA1029" s="323" t="e">
        <f>CONCATENATE("                x[team1,team2,sport,'",IF(OR(I1029="x",I1029=""),VLOOKUP('Schedule from TM'!J1029,Tables!$P$3:$Q$33,2,FALSE),'Schedule from TM'!I1029),",",J1029,"','",IF(OR(F1029="x",F1029=""),VLOOKUP('Schedule from TM'!G1029,Tables!$U$3:$V$14,2,FALSE),'Schedule from TM'!F1029),",",TEXT(G1029,"mm/dd/yyyy"),"','",TEXT(H1029,"h:mm:ss AM/PM"),"'].ub=0.0      #",B1029)</f>
        <v>#N/A</v>
      </c>
      <c r="AB1029" s="301" t="str">
        <f t="shared" si="681"/>
        <v>,,,,1,</v>
      </c>
      <c r="AC1029" s="153" t="str">
        <f t="shared" si="682"/>
        <v/>
      </c>
      <c r="AD1029" s="301" t="str">
        <f t="shared" si="683"/>
        <v>,,,,1,</v>
      </c>
      <c r="AE1029" s="153" t="str">
        <f t="shared" si="684"/>
        <v/>
      </c>
      <c r="AF1029" s="383">
        <f t="shared" si="685"/>
        <v>0</v>
      </c>
      <c r="AG1029" s="383">
        <f t="shared" si="686"/>
        <v>0</v>
      </c>
      <c r="AH1029" s="383">
        <f t="shared" si="687"/>
        <v>0</v>
      </c>
      <c r="AI1029" s="383">
        <f t="shared" si="688"/>
        <v>0</v>
      </c>
      <c r="AJ1029" s="383">
        <f t="shared" si="689"/>
        <v>0</v>
      </c>
      <c r="AK1029" s="383">
        <f t="shared" si="690"/>
        <v>0</v>
      </c>
      <c r="AM1029" s="148" t="str">
        <f t="shared" si="691"/>
        <v>Not Schedulled</v>
      </c>
      <c r="AN1029" s="148" t="str">
        <f t="shared" si="692"/>
        <v/>
      </c>
      <c r="AO1029" s="156">
        <f t="shared" si="693"/>
        <v>0</v>
      </c>
      <c r="AP1029" s="148" t="str">
        <f t="shared" si="694"/>
        <v>01/00/1900 00:00-&gt;</v>
      </c>
      <c r="AQ1029" s="374">
        <f t="shared" si="695"/>
        <v>0</v>
      </c>
      <c r="AR1029" s="148" t="str">
        <f t="shared" si="696"/>
        <v/>
      </c>
      <c r="AS1029" s="148" t="str">
        <f t="shared" si="697"/>
        <v/>
      </c>
      <c r="AT1029" s="157" t="str">
        <f t="shared" si="698"/>
        <v/>
      </c>
      <c r="AU1029" s="157" t="str">
        <f t="shared" si="699"/>
        <v/>
      </c>
      <c r="AV1029" s="157" t="str">
        <f t="shared" si="700"/>
        <v/>
      </c>
      <c r="AW1029" s="157" t="str">
        <f t="shared" si="701"/>
        <v/>
      </c>
      <c r="AX1029" s="376">
        <f t="shared" si="702"/>
        <v>0</v>
      </c>
      <c r="AY1029" s="148" t="str">
        <f t="shared" si="703"/>
        <v>-&gt;</v>
      </c>
      <c r="AZ1029" s="148" t="str">
        <f t="shared" si="704"/>
        <v>01/00/1900 00:00-&gt;</v>
      </c>
      <c r="BA1029" s="148" t="str">
        <f t="shared" si="705"/>
        <v>01/00/1900 00:00-&gt;</v>
      </c>
      <c r="BB1029" s="374">
        <f t="shared" si="706"/>
        <v>0</v>
      </c>
      <c r="BC1029" s="374">
        <f t="shared" si="707"/>
        <v>0</v>
      </c>
      <c r="BD1029" s="148" t="str">
        <f t="shared" si="708"/>
        <v>no conflict</v>
      </c>
      <c r="BF1029" s="148" t="str">
        <f t="shared" si="709"/>
        <v>01/00/1900 00:00-&gt;</v>
      </c>
      <c r="BG1029" s="148" t="str">
        <f t="shared" si="710"/>
        <v>01/00/1900 00:00-&gt;</v>
      </c>
      <c r="BH1029" s="148" t="str">
        <f t="shared" si="711"/>
        <v>01/00/1900 00:00-&gt;</v>
      </c>
      <c r="BI1029" s="148" t="str">
        <f t="shared" si="712"/>
        <v xml:space="preserve"> in  ()</v>
      </c>
      <c r="BJ1029" s="148" t="str">
        <f t="shared" si="713"/>
        <v xml:space="preserve">--  vs. </v>
      </c>
      <c r="BK1029" s="148" t="str">
        <f t="shared" si="714"/>
        <v/>
      </c>
      <c r="BL1029" s="148">
        <f t="shared" si="715"/>
        <v>0</v>
      </c>
      <c r="BM1029" s="148">
        <f t="shared" si="716"/>
        <v>0</v>
      </c>
      <c r="BN1029" s="148">
        <f t="shared" si="717"/>
        <v>0</v>
      </c>
      <c r="BP1029" s="148" t="str">
        <f t="shared" si="718"/>
        <v>no game</v>
      </c>
      <c r="BQ1029" s="148" t="str">
        <f t="shared" si="719"/>
        <v xml:space="preserve">  in </v>
      </c>
    </row>
    <row r="1030" spans="2:69" ht="15" customHeight="1" x14ac:dyDescent="0.2">
      <c r="O1030" s="153" t="str">
        <f>IF(L1030&lt;&gt;"",IFERROR(VLOOKUP(B1030&amp;L1030,Pools!$A$2:$D$130,3,FALSE),""),"")</f>
        <v/>
      </c>
      <c r="P1030" s="387"/>
      <c r="Q1030" s="387"/>
      <c r="R1030" s="306" t="str">
        <f t="shared" si="675"/>
        <v>-</v>
      </c>
      <c r="S1030" s="153"/>
      <c r="T1030" s="148" t="str">
        <f t="shared" si="676"/>
        <v>Pending</v>
      </c>
      <c r="U1030" s="153"/>
      <c r="V1030" s="153"/>
      <c r="W1030" s="387">
        <f t="shared" si="677"/>
        <v>0</v>
      </c>
      <c r="X1030" s="387">
        <f t="shared" si="678"/>
        <v>0</v>
      </c>
      <c r="Y1030" s="301" t="str">
        <f t="shared" si="679"/>
        <v>X</v>
      </c>
      <c r="Z1030" s="301" t="str">
        <f t="shared" si="680"/>
        <v>X</v>
      </c>
      <c r="AA1030" s="323" t="e">
        <f>CONCATENATE("                x[team1,team2,sport,'",IF(OR(I1030="x",I1030=""),VLOOKUP('Schedule from TM'!J1030,Tables!$P$3:$Q$33,2,FALSE),'Schedule from TM'!I1030),",",J1030,"','",IF(OR(F1030="x",F1030=""),VLOOKUP('Schedule from TM'!G1030,Tables!$U$3:$V$14,2,FALSE),'Schedule from TM'!F1030),",",TEXT(G1030,"mm/dd/yyyy"),"','",TEXT(H1030,"h:mm:ss AM/PM"),"'].ub=0.0      #",B1030)</f>
        <v>#N/A</v>
      </c>
      <c r="AB1030" s="301" t="str">
        <f t="shared" si="681"/>
        <v>,,,,1,</v>
      </c>
      <c r="AC1030" s="153" t="str">
        <f t="shared" si="682"/>
        <v/>
      </c>
      <c r="AD1030" s="301" t="str">
        <f t="shared" si="683"/>
        <v>,,,,1,</v>
      </c>
      <c r="AE1030" s="153" t="str">
        <f t="shared" si="684"/>
        <v/>
      </c>
      <c r="AF1030" s="383">
        <f t="shared" si="685"/>
        <v>0</v>
      </c>
      <c r="AG1030" s="383">
        <f t="shared" si="686"/>
        <v>0</v>
      </c>
      <c r="AH1030" s="383">
        <f t="shared" si="687"/>
        <v>0</v>
      </c>
      <c r="AI1030" s="383">
        <f t="shared" si="688"/>
        <v>0</v>
      </c>
      <c r="AJ1030" s="383">
        <f t="shared" si="689"/>
        <v>0</v>
      </c>
      <c r="AK1030" s="383">
        <f t="shared" si="690"/>
        <v>0</v>
      </c>
      <c r="AM1030" s="148" t="str">
        <f t="shared" si="691"/>
        <v>Not Schedulled</v>
      </c>
      <c r="AN1030" s="148" t="str">
        <f t="shared" si="692"/>
        <v/>
      </c>
      <c r="AO1030" s="156">
        <f t="shared" si="693"/>
        <v>0</v>
      </c>
      <c r="AP1030" s="148" t="str">
        <f t="shared" si="694"/>
        <v>01/00/1900 00:00-&gt;</v>
      </c>
      <c r="AQ1030" s="374">
        <f t="shared" si="695"/>
        <v>0</v>
      </c>
      <c r="AR1030" s="148" t="str">
        <f t="shared" si="696"/>
        <v/>
      </c>
      <c r="AS1030" s="148" t="str">
        <f t="shared" si="697"/>
        <v/>
      </c>
      <c r="AT1030" s="157" t="str">
        <f t="shared" si="698"/>
        <v/>
      </c>
      <c r="AU1030" s="157" t="str">
        <f t="shared" si="699"/>
        <v/>
      </c>
      <c r="AV1030" s="157" t="str">
        <f t="shared" si="700"/>
        <v/>
      </c>
      <c r="AW1030" s="157" t="str">
        <f t="shared" si="701"/>
        <v/>
      </c>
      <c r="AX1030" s="376">
        <f t="shared" si="702"/>
        <v>0</v>
      </c>
      <c r="AY1030" s="148" t="str">
        <f t="shared" si="703"/>
        <v>-&gt;</v>
      </c>
      <c r="AZ1030" s="148" t="str">
        <f t="shared" si="704"/>
        <v>01/00/1900 00:00-&gt;</v>
      </c>
      <c r="BA1030" s="148" t="str">
        <f t="shared" si="705"/>
        <v>01/00/1900 00:00-&gt;</v>
      </c>
      <c r="BB1030" s="374">
        <f t="shared" si="706"/>
        <v>0</v>
      </c>
      <c r="BC1030" s="374">
        <f t="shared" si="707"/>
        <v>0</v>
      </c>
      <c r="BD1030" s="148" t="str">
        <f t="shared" si="708"/>
        <v>no conflict</v>
      </c>
      <c r="BF1030" s="148" t="str">
        <f t="shared" si="709"/>
        <v>01/00/1900 00:00-&gt;</v>
      </c>
      <c r="BG1030" s="148" t="str">
        <f t="shared" si="710"/>
        <v>01/00/1900 00:00-&gt;</v>
      </c>
      <c r="BH1030" s="148" t="str">
        <f t="shared" si="711"/>
        <v>01/00/1900 00:00-&gt;</v>
      </c>
      <c r="BI1030" s="148" t="str">
        <f t="shared" si="712"/>
        <v xml:space="preserve"> in  ()</v>
      </c>
      <c r="BJ1030" s="148" t="str">
        <f t="shared" si="713"/>
        <v xml:space="preserve">--  vs. </v>
      </c>
      <c r="BK1030" s="148" t="str">
        <f t="shared" si="714"/>
        <v/>
      </c>
      <c r="BL1030" s="148">
        <f t="shared" si="715"/>
        <v>0</v>
      </c>
      <c r="BM1030" s="148">
        <f t="shared" si="716"/>
        <v>0</v>
      </c>
      <c r="BN1030" s="148">
        <f t="shared" si="717"/>
        <v>0</v>
      </c>
      <c r="BP1030" s="148" t="str">
        <f t="shared" si="718"/>
        <v>no game</v>
      </c>
      <c r="BQ1030" s="148" t="str">
        <f t="shared" si="719"/>
        <v xml:space="preserve">  in </v>
      </c>
    </row>
    <row r="1031" spans="2:69" ht="15" customHeight="1" x14ac:dyDescent="0.2">
      <c r="O1031" s="153" t="str">
        <f>IF(L1031&lt;&gt;"",IFERROR(VLOOKUP(B1031&amp;L1031,Pools!$A$2:$D$130,3,FALSE),""),"")</f>
        <v/>
      </c>
      <c r="P1031" s="387"/>
      <c r="Q1031" s="387"/>
      <c r="R1031" s="306" t="str">
        <f t="shared" si="675"/>
        <v>-</v>
      </c>
      <c r="S1031" s="153"/>
      <c r="T1031" s="148" t="str">
        <f t="shared" si="676"/>
        <v>Pending</v>
      </c>
      <c r="U1031" s="153"/>
      <c r="V1031" s="153"/>
      <c r="W1031" s="387">
        <f t="shared" si="677"/>
        <v>0</v>
      </c>
      <c r="X1031" s="387">
        <f t="shared" si="678"/>
        <v>0</v>
      </c>
      <c r="Y1031" s="301" t="str">
        <f t="shared" si="679"/>
        <v>X</v>
      </c>
      <c r="Z1031" s="301" t="str">
        <f t="shared" si="680"/>
        <v>X</v>
      </c>
      <c r="AA1031" s="323" t="e">
        <f>CONCATENATE("                x[team1,team2,sport,'",IF(OR(I1031="x",I1031=""),VLOOKUP('Schedule from TM'!J1031,Tables!$P$3:$Q$33,2,FALSE),'Schedule from TM'!I1031),",",J1031,"','",IF(OR(F1031="x",F1031=""),VLOOKUP('Schedule from TM'!G1031,Tables!$U$3:$V$14,2,FALSE),'Schedule from TM'!F1031),",",TEXT(G1031,"mm/dd/yyyy"),"','",TEXT(H1031,"h:mm:ss AM/PM"),"'].ub=0.0      #",B1031)</f>
        <v>#N/A</v>
      </c>
      <c r="AB1031" s="301" t="str">
        <f t="shared" si="681"/>
        <v>,,,,1,</v>
      </c>
      <c r="AC1031" s="153" t="str">
        <f t="shared" si="682"/>
        <v/>
      </c>
      <c r="AD1031" s="301" t="str">
        <f t="shared" si="683"/>
        <v>,,,,1,</v>
      </c>
      <c r="AE1031" s="153" t="str">
        <f t="shared" si="684"/>
        <v/>
      </c>
      <c r="AF1031" s="383">
        <f t="shared" si="685"/>
        <v>0</v>
      </c>
      <c r="AG1031" s="383">
        <f t="shared" si="686"/>
        <v>0</v>
      </c>
      <c r="AH1031" s="383">
        <f t="shared" si="687"/>
        <v>0</v>
      </c>
      <c r="AI1031" s="383">
        <f t="shared" si="688"/>
        <v>0</v>
      </c>
      <c r="AJ1031" s="383">
        <f t="shared" si="689"/>
        <v>0</v>
      </c>
      <c r="AK1031" s="383">
        <f t="shared" si="690"/>
        <v>0</v>
      </c>
      <c r="AM1031" s="148" t="str">
        <f t="shared" si="691"/>
        <v>Not Schedulled</v>
      </c>
      <c r="AN1031" s="148" t="str">
        <f t="shared" si="692"/>
        <v/>
      </c>
      <c r="AO1031" s="156">
        <f t="shared" si="693"/>
        <v>0</v>
      </c>
      <c r="AP1031" s="148" t="str">
        <f t="shared" si="694"/>
        <v>01/00/1900 00:00-&gt;</v>
      </c>
      <c r="AQ1031" s="374">
        <f t="shared" si="695"/>
        <v>0</v>
      </c>
      <c r="AR1031" s="148" t="str">
        <f t="shared" si="696"/>
        <v/>
      </c>
      <c r="AS1031" s="148" t="str">
        <f t="shared" si="697"/>
        <v/>
      </c>
      <c r="AT1031" s="157" t="str">
        <f t="shared" si="698"/>
        <v/>
      </c>
      <c r="AU1031" s="157" t="str">
        <f t="shared" si="699"/>
        <v/>
      </c>
      <c r="AV1031" s="157" t="str">
        <f t="shared" si="700"/>
        <v/>
      </c>
      <c r="AW1031" s="157" t="str">
        <f t="shared" si="701"/>
        <v/>
      </c>
      <c r="AX1031" s="376">
        <f t="shared" si="702"/>
        <v>0</v>
      </c>
      <c r="AY1031" s="148" t="str">
        <f t="shared" si="703"/>
        <v>-&gt;</v>
      </c>
      <c r="AZ1031" s="148" t="str">
        <f t="shared" si="704"/>
        <v>01/00/1900 00:00-&gt;</v>
      </c>
      <c r="BA1031" s="148" t="str">
        <f t="shared" si="705"/>
        <v>01/00/1900 00:00-&gt;</v>
      </c>
      <c r="BB1031" s="374">
        <f t="shared" si="706"/>
        <v>0</v>
      </c>
      <c r="BC1031" s="374">
        <f t="shared" si="707"/>
        <v>0</v>
      </c>
      <c r="BD1031" s="148" t="str">
        <f t="shared" si="708"/>
        <v>no conflict</v>
      </c>
      <c r="BF1031" s="148" t="str">
        <f t="shared" si="709"/>
        <v>01/00/1900 00:00-&gt;</v>
      </c>
      <c r="BG1031" s="148" t="str">
        <f t="shared" si="710"/>
        <v>01/00/1900 00:00-&gt;</v>
      </c>
      <c r="BH1031" s="148" t="str">
        <f t="shared" si="711"/>
        <v>01/00/1900 00:00-&gt;</v>
      </c>
      <c r="BI1031" s="148" t="str">
        <f t="shared" si="712"/>
        <v xml:space="preserve"> in  ()</v>
      </c>
      <c r="BJ1031" s="148" t="str">
        <f t="shared" si="713"/>
        <v xml:space="preserve">--  vs. </v>
      </c>
      <c r="BK1031" s="148" t="str">
        <f t="shared" si="714"/>
        <v/>
      </c>
      <c r="BL1031" s="148">
        <f t="shared" si="715"/>
        <v>0</v>
      </c>
      <c r="BM1031" s="148">
        <f t="shared" si="716"/>
        <v>0</v>
      </c>
      <c r="BN1031" s="148">
        <f t="shared" si="717"/>
        <v>0</v>
      </c>
      <c r="BP1031" s="148" t="str">
        <f t="shared" si="718"/>
        <v>no game</v>
      </c>
      <c r="BQ1031" s="148" t="str">
        <f t="shared" si="719"/>
        <v xml:space="preserve">  in </v>
      </c>
    </row>
    <row r="1032" spans="2:69" ht="15" customHeight="1" x14ac:dyDescent="0.2">
      <c r="O1032" s="153" t="str">
        <f>IF(L1032&lt;&gt;"",IFERROR(VLOOKUP(B1032&amp;L1032,Pools!$A$2:$D$130,3,FALSE),""),"")</f>
        <v/>
      </c>
      <c r="P1032" s="387"/>
      <c r="Q1032" s="387"/>
      <c r="R1032" s="306" t="str">
        <f t="shared" si="675"/>
        <v>-</v>
      </c>
      <c r="S1032" s="153"/>
      <c r="T1032" s="148" t="str">
        <f t="shared" si="676"/>
        <v>Pending</v>
      </c>
      <c r="U1032" s="153"/>
      <c r="V1032" s="153"/>
      <c r="W1032" s="387">
        <f t="shared" si="677"/>
        <v>0</v>
      </c>
      <c r="X1032" s="387">
        <f t="shared" si="678"/>
        <v>0</v>
      </c>
      <c r="Y1032" s="301" t="str">
        <f t="shared" si="679"/>
        <v>X</v>
      </c>
      <c r="Z1032" s="301" t="str">
        <f t="shared" si="680"/>
        <v>X</v>
      </c>
      <c r="AA1032" s="323" t="e">
        <f>CONCATENATE("                x[team1,team2,sport,'",IF(OR(I1032="x",I1032=""),VLOOKUP('Schedule from TM'!J1032,Tables!$P$3:$Q$33,2,FALSE),'Schedule from TM'!I1032),",",J1032,"','",IF(OR(F1032="x",F1032=""),VLOOKUP('Schedule from TM'!G1032,Tables!$U$3:$V$14,2,FALSE),'Schedule from TM'!F1032),",",TEXT(G1032,"mm/dd/yyyy"),"','",TEXT(H1032,"h:mm:ss AM/PM"),"'].ub=0.0      #",B1032)</f>
        <v>#N/A</v>
      </c>
      <c r="AB1032" s="301" t="str">
        <f t="shared" si="681"/>
        <v>,,,,1,</v>
      </c>
      <c r="AC1032" s="153" t="str">
        <f t="shared" si="682"/>
        <v/>
      </c>
      <c r="AD1032" s="301" t="str">
        <f t="shared" si="683"/>
        <v>,,,,1,</v>
      </c>
      <c r="AE1032" s="153" t="str">
        <f t="shared" si="684"/>
        <v/>
      </c>
      <c r="AF1032" s="383">
        <f t="shared" si="685"/>
        <v>0</v>
      </c>
      <c r="AG1032" s="383">
        <f t="shared" si="686"/>
        <v>0</v>
      </c>
      <c r="AH1032" s="383">
        <f t="shared" si="687"/>
        <v>0</v>
      </c>
      <c r="AI1032" s="383">
        <f t="shared" si="688"/>
        <v>0</v>
      </c>
      <c r="AJ1032" s="383">
        <f t="shared" si="689"/>
        <v>0</v>
      </c>
      <c r="AK1032" s="383">
        <f t="shared" si="690"/>
        <v>0</v>
      </c>
      <c r="AM1032" s="148" t="str">
        <f t="shared" si="691"/>
        <v>Not Schedulled</v>
      </c>
      <c r="AN1032" s="148" t="str">
        <f t="shared" si="692"/>
        <v/>
      </c>
      <c r="AO1032" s="156">
        <f t="shared" si="693"/>
        <v>0</v>
      </c>
      <c r="AP1032" s="148" t="str">
        <f t="shared" si="694"/>
        <v>01/00/1900 00:00-&gt;</v>
      </c>
      <c r="AQ1032" s="374">
        <f t="shared" si="695"/>
        <v>0</v>
      </c>
      <c r="AR1032" s="148" t="str">
        <f t="shared" si="696"/>
        <v/>
      </c>
      <c r="AS1032" s="148" t="str">
        <f t="shared" si="697"/>
        <v/>
      </c>
      <c r="AT1032" s="157" t="str">
        <f t="shared" si="698"/>
        <v/>
      </c>
      <c r="AU1032" s="157" t="str">
        <f t="shared" si="699"/>
        <v/>
      </c>
      <c r="AV1032" s="157" t="str">
        <f t="shared" si="700"/>
        <v/>
      </c>
      <c r="AW1032" s="157" t="str">
        <f t="shared" si="701"/>
        <v/>
      </c>
      <c r="AX1032" s="376">
        <f t="shared" si="702"/>
        <v>0</v>
      </c>
      <c r="AY1032" s="148" t="str">
        <f t="shared" si="703"/>
        <v>-&gt;</v>
      </c>
      <c r="AZ1032" s="148" t="str">
        <f t="shared" si="704"/>
        <v>01/00/1900 00:00-&gt;</v>
      </c>
      <c r="BA1032" s="148" t="str">
        <f t="shared" si="705"/>
        <v>01/00/1900 00:00-&gt;</v>
      </c>
      <c r="BB1032" s="374">
        <f t="shared" si="706"/>
        <v>0</v>
      </c>
      <c r="BC1032" s="374">
        <f t="shared" si="707"/>
        <v>0</v>
      </c>
      <c r="BD1032" s="148" t="str">
        <f t="shared" si="708"/>
        <v>no conflict</v>
      </c>
      <c r="BF1032" s="148" t="str">
        <f t="shared" si="709"/>
        <v>01/00/1900 00:00-&gt;</v>
      </c>
      <c r="BG1032" s="148" t="str">
        <f t="shared" si="710"/>
        <v>01/00/1900 00:00-&gt;</v>
      </c>
      <c r="BH1032" s="148" t="str">
        <f t="shared" si="711"/>
        <v>01/00/1900 00:00-&gt;</v>
      </c>
      <c r="BI1032" s="148" t="str">
        <f t="shared" si="712"/>
        <v xml:space="preserve"> in  ()</v>
      </c>
      <c r="BJ1032" s="148" t="str">
        <f t="shared" si="713"/>
        <v xml:space="preserve">--  vs. </v>
      </c>
      <c r="BK1032" s="148" t="str">
        <f t="shared" si="714"/>
        <v/>
      </c>
      <c r="BL1032" s="148">
        <f t="shared" si="715"/>
        <v>0</v>
      </c>
      <c r="BM1032" s="148">
        <f t="shared" si="716"/>
        <v>0</v>
      </c>
      <c r="BN1032" s="148">
        <f t="shared" si="717"/>
        <v>0</v>
      </c>
      <c r="BP1032" s="148" t="str">
        <f t="shared" si="718"/>
        <v>no game</v>
      </c>
      <c r="BQ1032" s="148" t="str">
        <f t="shared" si="719"/>
        <v xml:space="preserve">  in </v>
      </c>
    </row>
    <row r="1033" spans="2:69" ht="15" customHeight="1" x14ac:dyDescent="0.2">
      <c r="O1033" s="153" t="str">
        <f>IF(L1033&lt;&gt;"",IFERROR(VLOOKUP(B1033&amp;L1033,Pools!$A$2:$D$130,3,FALSE),""),"")</f>
        <v/>
      </c>
      <c r="P1033" s="387"/>
      <c r="Q1033" s="387"/>
      <c r="R1033" s="306" t="str">
        <f t="shared" si="675"/>
        <v>-</v>
      </c>
      <c r="S1033" s="153"/>
      <c r="T1033" s="148" t="str">
        <f t="shared" si="676"/>
        <v>Pending</v>
      </c>
      <c r="U1033" s="153"/>
      <c r="V1033" s="153"/>
      <c r="W1033" s="387">
        <f t="shared" si="677"/>
        <v>0</v>
      </c>
      <c r="X1033" s="387">
        <f t="shared" si="678"/>
        <v>0</v>
      </c>
      <c r="Y1033" s="301" t="str">
        <f t="shared" si="679"/>
        <v>X</v>
      </c>
      <c r="Z1033" s="301" t="str">
        <f t="shared" si="680"/>
        <v>X</v>
      </c>
      <c r="AA1033" s="323" t="e">
        <f>CONCATENATE("                x[team1,team2,sport,'",IF(OR(I1033="x",I1033=""),VLOOKUP('Schedule from TM'!J1033,Tables!$P$3:$Q$33,2,FALSE),'Schedule from TM'!I1033),",",J1033,"','",IF(OR(F1033="x",F1033=""),VLOOKUP('Schedule from TM'!G1033,Tables!$U$3:$V$14,2,FALSE),'Schedule from TM'!F1033),",",TEXT(G1033,"mm/dd/yyyy"),"','",TEXT(H1033,"h:mm:ss AM/PM"),"'].ub=0.0      #",B1033)</f>
        <v>#N/A</v>
      </c>
      <c r="AB1033" s="301" t="str">
        <f t="shared" si="681"/>
        <v>,,,,1,</v>
      </c>
      <c r="AC1033" s="153" t="str">
        <f t="shared" si="682"/>
        <v/>
      </c>
      <c r="AD1033" s="301" t="str">
        <f t="shared" si="683"/>
        <v>,,,,1,</v>
      </c>
      <c r="AE1033" s="153" t="str">
        <f t="shared" si="684"/>
        <v/>
      </c>
      <c r="AF1033" s="383">
        <f t="shared" si="685"/>
        <v>0</v>
      </c>
      <c r="AG1033" s="383">
        <f t="shared" si="686"/>
        <v>0</v>
      </c>
      <c r="AH1033" s="383">
        <f t="shared" si="687"/>
        <v>0</v>
      </c>
      <c r="AI1033" s="383">
        <f t="shared" si="688"/>
        <v>0</v>
      </c>
      <c r="AJ1033" s="383">
        <f t="shared" si="689"/>
        <v>0</v>
      </c>
      <c r="AK1033" s="383">
        <f t="shared" si="690"/>
        <v>0</v>
      </c>
      <c r="AM1033" s="148" t="str">
        <f t="shared" si="691"/>
        <v>Not Schedulled</v>
      </c>
      <c r="AN1033" s="148" t="str">
        <f t="shared" si="692"/>
        <v/>
      </c>
      <c r="AO1033" s="156">
        <f t="shared" si="693"/>
        <v>0</v>
      </c>
      <c r="AP1033" s="148" t="str">
        <f t="shared" si="694"/>
        <v>01/00/1900 00:00-&gt;</v>
      </c>
      <c r="AQ1033" s="374">
        <f t="shared" si="695"/>
        <v>0</v>
      </c>
      <c r="AR1033" s="148" t="str">
        <f t="shared" si="696"/>
        <v/>
      </c>
      <c r="AS1033" s="148" t="str">
        <f t="shared" si="697"/>
        <v/>
      </c>
      <c r="AT1033" s="157" t="str">
        <f t="shared" si="698"/>
        <v/>
      </c>
      <c r="AU1033" s="157" t="str">
        <f t="shared" si="699"/>
        <v/>
      </c>
      <c r="AV1033" s="157" t="str">
        <f t="shared" si="700"/>
        <v/>
      </c>
      <c r="AW1033" s="157" t="str">
        <f t="shared" si="701"/>
        <v/>
      </c>
      <c r="AX1033" s="376">
        <f t="shared" si="702"/>
        <v>0</v>
      </c>
      <c r="AY1033" s="148" t="str">
        <f t="shared" si="703"/>
        <v>-&gt;</v>
      </c>
      <c r="AZ1033" s="148" t="str">
        <f t="shared" si="704"/>
        <v>01/00/1900 00:00-&gt;</v>
      </c>
      <c r="BA1033" s="148" t="str">
        <f t="shared" si="705"/>
        <v>01/00/1900 00:00-&gt;</v>
      </c>
      <c r="BB1033" s="374">
        <f t="shared" si="706"/>
        <v>0</v>
      </c>
      <c r="BC1033" s="374">
        <f t="shared" si="707"/>
        <v>0</v>
      </c>
      <c r="BD1033" s="148" t="str">
        <f t="shared" si="708"/>
        <v>no conflict</v>
      </c>
      <c r="BF1033" s="148" t="str">
        <f t="shared" si="709"/>
        <v>01/00/1900 00:00-&gt;</v>
      </c>
      <c r="BG1033" s="148" t="str">
        <f t="shared" si="710"/>
        <v>01/00/1900 00:00-&gt;</v>
      </c>
      <c r="BH1033" s="148" t="str">
        <f t="shared" si="711"/>
        <v>01/00/1900 00:00-&gt;</v>
      </c>
      <c r="BI1033" s="148" t="str">
        <f t="shared" si="712"/>
        <v xml:space="preserve"> in  ()</v>
      </c>
      <c r="BJ1033" s="148" t="str">
        <f t="shared" si="713"/>
        <v xml:space="preserve">--  vs. </v>
      </c>
      <c r="BK1033" s="148" t="str">
        <f t="shared" si="714"/>
        <v/>
      </c>
      <c r="BL1033" s="148">
        <f t="shared" si="715"/>
        <v>0</v>
      </c>
      <c r="BM1033" s="148">
        <f t="shared" si="716"/>
        <v>0</v>
      </c>
      <c r="BN1033" s="148">
        <f t="shared" si="717"/>
        <v>0</v>
      </c>
      <c r="BP1033" s="148" t="str">
        <f t="shared" si="718"/>
        <v>no game</v>
      </c>
      <c r="BQ1033" s="148" t="str">
        <f t="shared" si="719"/>
        <v xml:space="preserve">  in </v>
      </c>
    </row>
    <row r="1034" spans="2:69" ht="15" customHeight="1" x14ac:dyDescent="0.2">
      <c r="O1034" s="153" t="str">
        <f>IF(L1034&lt;&gt;"",IFERROR(VLOOKUP(B1034&amp;L1034,Pools!$A$2:$D$130,3,FALSE),""),"")</f>
        <v/>
      </c>
      <c r="P1034" s="387"/>
      <c r="Q1034" s="387"/>
      <c r="R1034" s="306" t="str">
        <f t="shared" si="675"/>
        <v>-</v>
      </c>
      <c r="S1034" s="153"/>
      <c r="T1034" s="148" t="str">
        <f t="shared" si="676"/>
        <v>Pending</v>
      </c>
      <c r="U1034" s="153"/>
      <c r="V1034" s="153"/>
      <c r="W1034" s="387">
        <f t="shared" si="677"/>
        <v>0</v>
      </c>
      <c r="X1034" s="387">
        <f t="shared" si="678"/>
        <v>0</v>
      </c>
      <c r="Y1034" s="301" t="str">
        <f t="shared" si="679"/>
        <v>X</v>
      </c>
      <c r="Z1034" s="301" t="str">
        <f t="shared" si="680"/>
        <v>X</v>
      </c>
      <c r="AA1034" s="323" t="e">
        <f>CONCATENATE("                x[team1,team2,sport,'",IF(OR(I1034="x",I1034=""),VLOOKUP('Schedule from TM'!J1034,Tables!$P$3:$Q$33,2,FALSE),'Schedule from TM'!I1034),",",J1034,"','",IF(OR(F1034="x",F1034=""),VLOOKUP('Schedule from TM'!G1034,Tables!$U$3:$V$14,2,FALSE),'Schedule from TM'!F1034),",",TEXT(G1034,"mm/dd/yyyy"),"','",TEXT(H1034,"h:mm:ss AM/PM"),"'].ub=0.0      #",B1034)</f>
        <v>#N/A</v>
      </c>
      <c r="AB1034" s="301" t="str">
        <f t="shared" si="681"/>
        <v>,,,,1,</v>
      </c>
      <c r="AC1034" s="153" t="str">
        <f t="shared" si="682"/>
        <v/>
      </c>
      <c r="AD1034" s="301" t="str">
        <f t="shared" si="683"/>
        <v>,,,,1,</v>
      </c>
      <c r="AE1034" s="153" t="str">
        <f t="shared" si="684"/>
        <v/>
      </c>
      <c r="AF1034" s="383">
        <f t="shared" si="685"/>
        <v>0</v>
      </c>
      <c r="AG1034" s="383">
        <f t="shared" si="686"/>
        <v>0</v>
      </c>
      <c r="AH1034" s="383">
        <f t="shared" si="687"/>
        <v>0</v>
      </c>
      <c r="AI1034" s="383">
        <f t="shared" si="688"/>
        <v>0</v>
      </c>
      <c r="AJ1034" s="383">
        <f t="shared" si="689"/>
        <v>0</v>
      </c>
      <c r="AK1034" s="383">
        <f t="shared" si="690"/>
        <v>0</v>
      </c>
      <c r="AM1034" s="148" t="str">
        <f t="shared" si="691"/>
        <v>Not Schedulled</v>
      </c>
      <c r="AN1034" s="148" t="str">
        <f t="shared" si="692"/>
        <v/>
      </c>
      <c r="AO1034" s="156">
        <f t="shared" si="693"/>
        <v>0</v>
      </c>
      <c r="AP1034" s="148" t="str">
        <f t="shared" si="694"/>
        <v>01/00/1900 00:00-&gt;</v>
      </c>
      <c r="AQ1034" s="374">
        <f t="shared" si="695"/>
        <v>0</v>
      </c>
      <c r="AR1034" s="148" t="str">
        <f t="shared" si="696"/>
        <v/>
      </c>
      <c r="AS1034" s="148" t="str">
        <f t="shared" si="697"/>
        <v/>
      </c>
      <c r="AT1034" s="157" t="str">
        <f t="shared" si="698"/>
        <v/>
      </c>
      <c r="AU1034" s="157" t="str">
        <f t="shared" si="699"/>
        <v/>
      </c>
      <c r="AV1034" s="157" t="str">
        <f t="shared" si="700"/>
        <v/>
      </c>
      <c r="AW1034" s="157" t="str">
        <f t="shared" si="701"/>
        <v/>
      </c>
      <c r="AX1034" s="376">
        <f t="shared" si="702"/>
        <v>0</v>
      </c>
      <c r="AY1034" s="148" t="str">
        <f t="shared" si="703"/>
        <v>-&gt;</v>
      </c>
      <c r="AZ1034" s="148" t="str">
        <f t="shared" si="704"/>
        <v>01/00/1900 00:00-&gt;</v>
      </c>
      <c r="BA1034" s="148" t="str">
        <f t="shared" si="705"/>
        <v>01/00/1900 00:00-&gt;</v>
      </c>
      <c r="BB1034" s="374">
        <f t="shared" si="706"/>
        <v>0</v>
      </c>
      <c r="BC1034" s="374">
        <f t="shared" si="707"/>
        <v>0</v>
      </c>
      <c r="BD1034" s="148" t="str">
        <f t="shared" si="708"/>
        <v>no conflict</v>
      </c>
      <c r="BF1034" s="148" t="str">
        <f t="shared" si="709"/>
        <v>01/00/1900 00:00-&gt;</v>
      </c>
      <c r="BG1034" s="148" t="str">
        <f t="shared" si="710"/>
        <v>01/00/1900 00:00-&gt;</v>
      </c>
      <c r="BH1034" s="148" t="str">
        <f t="shared" si="711"/>
        <v>01/00/1900 00:00-&gt;</v>
      </c>
      <c r="BI1034" s="148" t="str">
        <f t="shared" si="712"/>
        <v xml:space="preserve"> in  ()</v>
      </c>
      <c r="BJ1034" s="148" t="str">
        <f t="shared" si="713"/>
        <v xml:space="preserve">--  vs. </v>
      </c>
      <c r="BK1034" s="148" t="str">
        <f t="shared" si="714"/>
        <v/>
      </c>
      <c r="BL1034" s="148">
        <f t="shared" si="715"/>
        <v>0</v>
      </c>
      <c r="BM1034" s="148">
        <f t="shared" si="716"/>
        <v>0</v>
      </c>
      <c r="BN1034" s="148">
        <f t="shared" si="717"/>
        <v>0</v>
      </c>
      <c r="BP1034" s="148" t="str">
        <f t="shared" si="718"/>
        <v>no game</v>
      </c>
      <c r="BQ1034" s="148" t="str">
        <f t="shared" si="719"/>
        <v xml:space="preserve">  in </v>
      </c>
    </row>
    <row r="1035" spans="2:69" ht="15" customHeight="1" x14ac:dyDescent="0.2">
      <c r="O1035" s="153" t="str">
        <f>IF(L1035&lt;&gt;"",IFERROR(VLOOKUP(B1035&amp;L1035,Pools!$A$2:$D$130,3,FALSE),""),"")</f>
        <v/>
      </c>
      <c r="P1035" s="387"/>
      <c r="Q1035" s="387"/>
      <c r="R1035" s="306" t="str">
        <f t="shared" ref="R1035:R1098" si="720">P1035&amp;"-"&amp;Q1035</f>
        <v>-</v>
      </c>
      <c r="S1035" s="153"/>
      <c r="T1035" s="148" t="str">
        <f t="shared" ref="T1035:T1040" si="721">IF(AND(P1035&lt;&gt;"",Q1035&lt;&gt;""),"Completed","Pending")</f>
        <v>Pending</v>
      </c>
      <c r="U1035" s="153"/>
      <c r="V1035" s="153"/>
      <c r="W1035" s="387">
        <f t="shared" ref="W1035:W1040" si="722">IF(AW1035="Basketball",(IF(P1035-Q1035&gt;15,15,IF(P1035-Q1035&lt;-15,-15,(P1035-Q1035)))),IF(AW1035="Soccer",(IF(P1035-Q1035&gt;3,3,IF(P1035-Q1035&lt;-3,-3,(P1035-Q1035)))),IF(AW1035="Kickball",(IF(P1035-Q1035&gt;5,5,IF(P1035-Q1035&lt;-5,-5,(P1035-Q1035)))),IF(AW1035="Flag Football",(IF(P1035-Q1035&gt;21,21,IF(P1035-Q1035&lt;-21,-21,(P1035-Q1035)))),P1035-Q1035))))</f>
        <v>0</v>
      </c>
      <c r="X1035" s="387">
        <f t="shared" ref="X1035:X1040" si="723">IF(AW1035="Basketball",(IF(Q1035-P1035&gt;15,15,IF(Q1035-P1035&lt;-15,-15,(Q1035-P1035)))),IF(AW1035="Soccer",(IF(Q1035-P1035&gt;3,3,IF(Q1035-P1035&lt;-3,-3,(Q1035-P1035)))),IF(AW1035="Kickball",(IF(Q1035-P1035&gt;5,5,IF(Q1035-P1035&lt;-5,-5,(Q1035-P1035)))),IF(AW1035="Flag Football",(IF(Q1035-P1035&gt;21,21,IF(Q1035-P1035&lt;-21,-21,(Q1035-P1035)))),Q1035-P1035))))</f>
        <v>0</v>
      </c>
      <c r="Y1035" s="301" t="str">
        <f t="shared" ref="Y1035:Y1040" si="724">IF(T1035="Completed",(IF(P1035&gt;Q1035,2,IF(P1035=Q1035,1,IF(P1035&lt;Q1035,0)))),"X")</f>
        <v>X</v>
      </c>
      <c r="Z1035" s="301" t="str">
        <f t="shared" ref="Z1035:Z1040" si="725">IF(T1035="Completed",(IF(Q1035&gt;P1035,2,IF(Q1035=P1035,1,IF(Q1035&lt;P1035,0)))),"X")</f>
        <v>X</v>
      </c>
      <c r="AA1035" s="323" t="e">
        <f>CONCATENATE("                x[team1,team2,sport,'",IF(OR(I1035="x",I1035=""),VLOOKUP('Schedule from TM'!J1035,Tables!$P$3:$Q$33,2,FALSE),'Schedule from TM'!I1035),",",J1035,"','",IF(OR(F1035="x",F1035=""),VLOOKUP('Schedule from TM'!G1035,Tables!$U$3:$V$14,2,FALSE),'Schedule from TM'!F1035),",",TEXT(G1035,"mm/dd/yyyy"),"','",TEXT(H1035,"h:mm:ss AM/PM"),"'].ub=0.0      #",B1035)</f>
        <v>#N/A</v>
      </c>
      <c r="AB1035" s="301" t="str">
        <f t="shared" ref="AB1035:AB1040" si="726">",,"&amp;B1035&amp;","&amp;O1035&amp;",1,"&amp;L1035</f>
        <v>,,,,1,</v>
      </c>
      <c r="AC1035" s="153" t="str">
        <f t="shared" ref="AC1035:AC1040" si="727">B1035&amp;O1035&amp;L1035</f>
        <v/>
      </c>
      <c r="AD1035" s="301" t="str">
        <f t="shared" ref="AD1035:AD1040" si="728">",,"&amp;B1035&amp;","&amp;O1035&amp;",1,"&amp;N1035</f>
        <v>,,,,1,</v>
      </c>
      <c r="AE1035" s="153" t="str">
        <f t="shared" ref="AE1035:AE1040" si="729">B1035&amp;O1035&amp;N1035</f>
        <v/>
      </c>
      <c r="AF1035" s="383">
        <f t="shared" ref="AF1035:AF1040" si="730">IF(Y1035=2,1,0)</f>
        <v>0</v>
      </c>
      <c r="AG1035" s="383">
        <f t="shared" ref="AG1035:AG1040" si="731">IF(Y1035=0,1,0)</f>
        <v>0</v>
      </c>
      <c r="AH1035" s="383">
        <f t="shared" ref="AH1035:AH1040" si="732">IF(Y1035=1,1,0)</f>
        <v>0</v>
      </c>
      <c r="AI1035" s="383">
        <f t="shared" ref="AI1035:AI1040" si="733">IF(Z1035=2,1,0)</f>
        <v>0</v>
      </c>
      <c r="AJ1035" s="383">
        <f t="shared" ref="AJ1035:AJ1040" si="734">IF(Z1035=0,1,0)</f>
        <v>0</v>
      </c>
      <c r="AK1035" s="383">
        <f t="shared" ref="AK1035:AK1040" si="735">IF(Z1035=1,1,0)</f>
        <v>0</v>
      </c>
      <c r="AM1035" s="148" t="str">
        <f t="shared" ref="AM1035:AM1040" si="736">IF(G1035&amp;H1035&amp;J1035&lt;&gt;"","Schedulled","Not Schedulled")</f>
        <v>Not Schedulled</v>
      </c>
      <c r="AN1035" s="148" t="str">
        <f t="shared" ref="AN1035:AN1098" si="737">IF(AND(AM1035="schedulled",L1035&amp;N1035=""),"Schedulled no team","")</f>
        <v/>
      </c>
      <c r="AO1035" s="156">
        <f t="shared" ref="AO1035:AO1040" si="738">G1035+H1035</f>
        <v>0</v>
      </c>
      <c r="AP1035" s="148" t="str">
        <f t="shared" ref="AP1035:AP1098" si="739">TEXT(AO1035,"MM/DD/YYYY HH:MM")&amp;"-&gt;"&amp;J1035</f>
        <v>01/00/1900 00:00-&gt;</v>
      </c>
      <c r="AQ1035" s="374">
        <f t="shared" ref="AQ1035:AQ1098" si="740">IF(AM1035="not schedulled", 0,COUNTIF($AP$11:$AP$1051,AP1035))</f>
        <v>0</v>
      </c>
      <c r="AR1035" s="148" t="str">
        <f t="shared" ref="AR1035:AR1040" si="741">IFERROR(VLOOKUP(L1035,teams_table,3,FALSE),"")</f>
        <v/>
      </c>
      <c r="AS1035" s="148" t="str">
        <f t="shared" ref="AS1035:AS1040" si="742">IFERROR(VLOOKUP(N1035,teams_table,3,FALSE),"")</f>
        <v/>
      </c>
      <c r="AT1035" s="157" t="str">
        <f t="shared" ref="AT1035:AT1098" si="743">IF(AR1035&amp;AS1035&lt;&gt;"",AR1035&amp;"-"&amp;AS1035,"")</f>
        <v/>
      </c>
      <c r="AU1035" s="157" t="str">
        <f t="shared" ref="AU1035:AU1098" si="744">IF(AT1035="","",AT1035&amp;" ")&amp;IF(C1035="final",AW1035&amp;" Final","")&amp;IF(C1035="semi-final",AW1035&amp;" Semi-Final","")&amp;IF(C1035="Tournament",AW1035&amp;" Tournament","")</f>
        <v/>
      </c>
      <c r="AV1035" s="157" t="str">
        <f t="shared" ref="AV1035:AV1040" si="745">IFERROR(VLOOKUP(B1035,events_table,2,FALSE),"")</f>
        <v/>
      </c>
      <c r="AW1035" s="157" t="str">
        <f t="shared" ref="AW1035:AW1040" si="746">IFERROR(VLOOKUP(B1035,events_table,3,0),"")</f>
        <v/>
      </c>
      <c r="AX1035" s="376">
        <f t="shared" ref="AX1035:AX1040" si="747">A1035</f>
        <v>0</v>
      </c>
      <c r="AY1035" s="148" t="str">
        <f t="shared" ref="AY1035:AY1040" si="748">L1035&amp;"-&gt;"&amp;N1035</f>
        <v>-&gt;</v>
      </c>
      <c r="AZ1035" s="148" t="str">
        <f t="shared" ref="AZ1035:AZ1040" si="749">TEXT(AO1035,"MM/DD/YYYY HH:MM")&amp;"-&gt;"&amp;L1035</f>
        <v>01/00/1900 00:00-&gt;</v>
      </c>
      <c r="BA1035" s="148" t="str">
        <f t="shared" ref="BA1035:BA1040" si="750">TEXT(AO1035,"MM/DD/YYYY HH:MM")&amp;"-&gt;"&amp;N1035</f>
        <v>01/00/1900 00:00-&gt;</v>
      </c>
      <c r="BB1035" s="374">
        <f t="shared" ref="BB1035:BB1040" si="751">IF(OR(AM1035="not schedulled",AN1035="schedulled no team"),0,COUNTIF($AZ$11:$BA$1051,AZ1035))</f>
        <v>0</v>
      </c>
      <c r="BC1035" s="374">
        <f t="shared" ref="BC1035:BC1040" si="752">IF(OR(AM1035="not schedulled",AN1035="schedulled no team"),0,COUNTIF($AZ$11:$BA$1051,BA1035))</f>
        <v>0</v>
      </c>
      <c r="BD1035" s="148" t="str">
        <f t="shared" ref="BD1035:BD1098" si="753">IF(OR(BB1035&gt;1,BC1035&gt;1),"conflict","no conflict")</f>
        <v>no conflict</v>
      </c>
      <c r="BF1035" s="148" t="str">
        <f t="shared" ref="BF1035:BF1040" si="754">TEXT(AO1035,"MM/DD/YYYY HH:MM")&amp;"-&gt;"&amp;L1035</f>
        <v>01/00/1900 00:00-&gt;</v>
      </c>
      <c r="BG1035" s="148" t="str">
        <f t="shared" ref="BG1035:BG1040" si="755">TEXT(AO1035,"MM/DD/YYYY HH:MM")&amp;"-&gt;"&amp;N1035</f>
        <v>01/00/1900 00:00-&gt;</v>
      </c>
      <c r="BH1035" s="148" t="str">
        <f t="shared" ref="BH1035:BH1040" si="756">TEXT(AO1035,"MM/DD/YYYY HH:MM")&amp;"-&gt;"&amp;J1035</f>
        <v>01/00/1900 00:00-&gt;</v>
      </c>
      <c r="BI1035" s="148" t="str">
        <f t="shared" ref="BI1035:BI1040" si="757">AW1035&amp; " in "&amp;J1035 &amp;" ("&amp;AT1035&amp;")"</f>
        <v xml:space="preserve"> in  ()</v>
      </c>
      <c r="BJ1035" s="148" t="str">
        <f t="shared" ref="BJ1035:BJ1040" si="758">B1035 &amp;"-- " &amp;L1035&amp;" vs. "&amp;N1035</f>
        <v xml:space="preserve">--  vs. </v>
      </c>
      <c r="BK1035" s="148" t="str">
        <f t="shared" ref="BK1035:BK1040" si="759">AW1035</f>
        <v/>
      </c>
      <c r="BL1035" s="148">
        <f t="shared" ref="BL1035:BL1040" si="760">L1035</f>
        <v>0</v>
      </c>
      <c r="BM1035" s="148">
        <f t="shared" ref="BM1035:BM1040" si="761">N1035</f>
        <v>0</v>
      </c>
      <c r="BN1035" s="148">
        <f t="shared" ref="BN1035:BN1040" si="762">C1035</f>
        <v>0</v>
      </c>
      <c r="BP1035" s="148" t="str">
        <f t="shared" ref="BP1035:BP1040" si="763">IF(OR(NOT(ISERR(SEARCH("final",C1035))),NOT(ISERR(SEARCH("tournament",C1035)))),TEXT(AO1035,"MM/DD/YYYY HH:MM")&amp;"-&gt;"&amp;AV1035,IF(B1035="","no game","no t, f, or sf"))</f>
        <v>no game</v>
      </c>
      <c r="BQ1035" s="148" t="str">
        <f t="shared" ref="BQ1035:BQ1098" si="764">IF(BP1035&lt;&gt;"no t, f, or sf",AW1035&amp;" "&amp;C1035&amp;" in "&amp;J1035,"")</f>
        <v xml:space="preserve">  in </v>
      </c>
    </row>
    <row r="1036" spans="2:69" ht="15" customHeight="1" x14ac:dyDescent="0.2">
      <c r="O1036" s="153" t="str">
        <f>IF(L1036&lt;&gt;"",IFERROR(VLOOKUP(B1036&amp;L1036,Pools!$A$2:$D$130,3,FALSE),""),"")</f>
        <v/>
      </c>
      <c r="P1036" s="387"/>
      <c r="Q1036" s="387"/>
      <c r="R1036" s="306" t="str">
        <f t="shared" si="720"/>
        <v>-</v>
      </c>
      <c r="S1036" s="153"/>
      <c r="T1036" s="148" t="str">
        <f t="shared" si="721"/>
        <v>Pending</v>
      </c>
      <c r="U1036" s="153"/>
      <c r="V1036" s="153"/>
      <c r="W1036" s="387">
        <f t="shared" si="722"/>
        <v>0</v>
      </c>
      <c r="X1036" s="387">
        <f t="shared" si="723"/>
        <v>0</v>
      </c>
      <c r="Y1036" s="301" t="str">
        <f t="shared" si="724"/>
        <v>X</v>
      </c>
      <c r="Z1036" s="301" t="str">
        <f t="shared" si="725"/>
        <v>X</v>
      </c>
      <c r="AA1036" s="323" t="e">
        <f>CONCATENATE("                x[team1,team2,sport,'",IF(OR(I1036="x",I1036=""),VLOOKUP('Schedule from TM'!J1036,Tables!$P$3:$Q$33,2,FALSE),'Schedule from TM'!I1036),",",J1036,"','",IF(OR(F1036="x",F1036=""),VLOOKUP('Schedule from TM'!G1036,Tables!$U$3:$V$14,2,FALSE),'Schedule from TM'!F1036),",",TEXT(G1036,"mm/dd/yyyy"),"','",TEXT(H1036,"h:mm:ss AM/PM"),"'].ub=0.0      #",B1036)</f>
        <v>#N/A</v>
      </c>
      <c r="AB1036" s="301" t="str">
        <f t="shared" si="726"/>
        <v>,,,,1,</v>
      </c>
      <c r="AC1036" s="153" t="str">
        <f t="shared" si="727"/>
        <v/>
      </c>
      <c r="AD1036" s="301" t="str">
        <f t="shared" si="728"/>
        <v>,,,,1,</v>
      </c>
      <c r="AE1036" s="153" t="str">
        <f t="shared" si="729"/>
        <v/>
      </c>
      <c r="AF1036" s="383">
        <f t="shared" si="730"/>
        <v>0</v>
      </c>
      <c r="AG1036" s="383">
        <f t="shared" si="731"/>
        <v>0</v>
      </c>
      <c r="AH1036" s="383">
        <f t="shared" si="732"/>
        <v>0</v>
      </c>
      <c r="AI1036" s="383">
        <f t="shared" si="733"/>
        <v>0</v>
      </c>
      <c r="AJ1036" s="383">
        <f t="shared" si="734"/>
        <v>0</v>
      </c>
      <c r="AK1036" s="383">
        <f t="shared" si="735"/>
        <v>0</v>
      </c>
      <c r="AM1036" s="148" t="str">
        <f t="shared" si="736"/>
        <v>Not Schedulled</v>
      </c>
      <c r="AN1036" s="148" t="str">
        <f t="shared" si="737"/>
        <v/>
      </c>
      <c r="AO1036" s="156">
        <f t="shared" si="738"/>
        <v>0</v>
      </c>
      <c r="AP1036" s="148" t="str">
        <f t="shared" si="739"/>
        <v>01/00/1900 00:00-&gt;</v>
      </c>
      <c r="AQ1036" s="374">
        <f t="shared" si="740"/>
        <v>0</v>
      </c>
      <c r="AR1036" s="148" t="str">
        <f t="shared" si="741"/>
        <v/>
      </c>
      <c r="AS1036" s="148" t="str">
        <f t="shared" si="742"/>
        <v/>
      </c>
      <c r="AT1036" s="157" t="str">
        <f t="shared" si="743"/>
        <v/>
      </c>
      <c r="AU1036" s="157" t="str">
        <f t="shared" si="744"/>
        <v/>
      </c>
      <c r="AV1036" s="157" t="str">
        <f t="shared" si="745"/>
        <v/>
      </c>
      <c r="AW1036" s="157" t="str">
        <f t="shared" si="746"/>
        <v/>
      </c>
      <c r="AX1036" s="376">
        <f t="shared" si="747"/>
        <v>0</v>
      </c>
      <c r="AY1036" s="148" t="str">
        <f t="shared" si="748"/>
        <v>-&gt;</v>
      </c>
      <c r="AZ1036" s="148" t="str">
        <f t="shared" si="749"/>
        <v>01/00/1900 00:00-&gt;</v>
      </c>
      <c r="BA1036" s="148" t="str">
        <f t="shared" si="750"/>
        <v>01/00/1900 00:00-&gt;</v>
      </c>
      <c r="BB1036" s="374">
        <f t="shared" si="751"/>
        <v>0</v>
      </c>
      <c r="BC1036" s="374">
        <f t="shared" si="752"/>
        <v>0</v>
      </c>
      <c r="BD1036" s="148" t="str">
        <f t="shared" si="753"/>
        <v>no conflict</v>
      </c>
      <c r="BF1036" s="148" t="str">
        <f t="shared" si="754"/>
        <v>01/00/1900 00:00-&gt;</v>
      </c>
      <c r="BG1036" s="148" t="str">
        <f t="shared" si="755"/>
        <v>01/00/1900 00:00-&gt;</v>
      </c>
      <c r="BH1036" s="148" t="str">
        <f t="shared" si="756"/>
        <v>01/00/1900 00:00-&gt;</v>
      </c>
      <c r="BI1036" s="148" t="str">
        <f t="shared" si="757"/>
        <v xml:space="preserve"> in  ()</v>
      </c>
      <c r="BJ1036" s="148" t="str">
        <f t="shared" si="758"/>
        <v xml:space="preserve">--  vs. </v>
      </c>
      <c r="BK1036" s="148" t="str">
        <f t="shared" si="759"/>
        <v/>
      </c>
      <c r="BL1036" s="148">
        <f t="shared" si="760"/>
        <v>0</v>
      </c>
      <c r="BM1036" s="148">
        <f t="shared" si="761"/>
        <v>0</v>
      </c>
      <c r="BN1036" s="148">
        <f t="shared" si="762"/>
        <v>0</v>
      </c>
      <c r="BP1036" s="148" t="str">
        <f t="shared" si="763"/>
        <v>no game</v>
      </c>
      <c r="BQ1036" s="148" t="str">
        <f t="shared" si="764"/>
        <v xml:space="preserve">  in </v>
      </c>
    </row>
    <row r="1037" spans="2:69" ht="15" customHeight="1" x14ac:dyDescent="0.2">
      <c r="O1037" s="153" t="str">
        <f>IF(L1037&lt;&gt;"",IFERROR(VLOOKUP(B1037&amp;L1037,Pools!$A$2:$D$130,3,FALSE),""),"")</f>
        <v/>
      </c>
      <c r="P1037" s="387"/>
      <c r="Q1037" s="387"/>
      <c r="R1037" s="306" t="str">
        <f t="shared" si="720"/>
        <v>-</v>
      </c>
      <c r="S1037" s="153"/>
      <c r="T1037" s="148" t="str">
        <f t="shared" si="721"/>
        <v>Pending</v>
      </c>
      <c r="U1037" s="153"/>
      <c r="V1037" s="153"/>
      <c r="W1037" s="387">
        <f t="shared" si="722"/>
        <v>0</v>
      </c>
      <c r="X1037" s="387">
        <f t="shared" si="723"/>
        <v>0</v>
      </c>
      <c r="Y1037" s="301" t="str">
        <f t="shared" si="724"/>
        <v>X</v>
      </c>
      <c r="Z1037" s="301" t="str">
        <f t="shared" si="725"/>
        <v>X</v>
      </c>
      <c r="AA1037" s="323" t="e">
        <f>CONCATENATE("                x[team1,team2,sport,'",IF(OR(I1037="x",I1037=""),VLOOKUP('Schedule from TM'!J1037,Tables!$P$3:$Q$33,2,FALSE),'Schedule from TM'!I1037),",",J1037,"','",IF(OR(F1037="x",F1037=""),VLOOKUP('Schedule from TM'!G1037,Tables!$U$3:$V$14,2,FALSE),'Schedule from TM'!F1037),",",TEXT(G1037,"mm/dd/yyyy"),"','",TEXT(H1037,"h:mm:ss AM/PM"),"'].ub=0.0      #",B1037)</f>
        <v>#N/A</v>
      </c>
      <c r="AB1037" s="301" t="str">
        <f t="shared" si="726"/>
        <v>,,,,1,</v>
      </c>
      <c r="AC1037" s="153" t="str">
        <f t="shared" si="727"/>
        <v/>
      </c>
      <c r="AD1037" s="301" t="str">
        <f t="shared" si="728"/>
        <v>,,,,1,</v>
      </c>
      <c r="AE1037" s="153" t="str">
        <f t="shared" si="729"/>
        <v/>
      </c>
      <c r="AF1037" s="383">
        <f t="shared" si="730"/>
        <v>0</v>
      </c>
      <c r="AG1037" s="383">
        <f t="shared" si="731"/>
        <v>0</v>
      </c>
      <c r="AH1037" s="383">
        <f t="shared" si="732"/>
        <v>0</v>
      </c>
      <c r="AI1037" s="383">
        <f t="shared" si="733"/>
        <v>0</v>
      </c>
      <c r="AJ1037" s="383">
        <f t="shared" si="734"/>
        <v>0</v>
      </c>
      <c r="AK1037" s="383">
        <f t="shared" si="735"/>
        <v>0</v>
      </c>
      <c r="AM1037" s="148" t="str">
        <f t="shared" si="736"/>
        <v>Not Schedulled</v>
      </c>
      <c r="AN1037" s="148" t="str">
        <f t="shared" si="737"/>
        <v/>
      </c>
      <c r="AO1037" s="156">
        <f t="shared" si="738"/>
        <v>0</v>
      </c>
      <c r="AP1037" s="148" t="str">
        <f t="shared" si="739"/>
        <v>01/00/1900 00:00-&gt;</v>
      </c>
      <c r="AQ1037" s="374">
        <f t="shared" si="740"/>
        <v>0</v>
      </c>
      <c r="AR1037" s="148" t="str">
        <f t="shared" si="741"/>
        <v/>
      </c>
      <c r="AS1037" s="148" t="str">
        <f t="shared" si="742"/>
        <v/>
      </c>
      <c r="AT1037" s="157" t="str">
        <f t="shared" si="743"/>
        <v/>
      </c>
      <c r="AU1037" s="157" t="str">
        <f t="shared" si="744"/>
        <v/>
      </c>
      <c r="AV1037" s="157" t="str">
        <f t="shared" si="745"/>
        <v/>
      </c>
      <c r="AW1037" s="157" t="str">
        <f t="shared" si="746"/>
        <v/>
      </c>
      <c r="AX1037" s="376">
        <f t="shared" si="747"/>
        <v>0</v>
      </c>
      <c r="AY1037" s="148" t="str">
        <f t="shared" si="748"/>
        <v>-&gt;</v>
      </c>
      <c r="AZ1037" s="148" t="str">
        <f t="shared" si="749"/>
        <v>01/00/1900 00:00-&gt;</v>
      </c>
      <c r="BA1037" s="148" t="str">
        <f t="shared" si="750"/>
        <v>01/00/1900 00:00-&gt;</v>
      </c>
      <c r="BB1037" s="374">
        <f t="shared" si="751"/>
        <v>0</v>
      </c>
      <c r="BC1037" s="374">
        <f t="shared" si="752"/>
        <v>0</v>
      </c>
      <c r="BD1037" s="148" t="str">
        <f t="shared" si="753"/>
        <v>no conflict</v>
      </c>
      <c r="BF1037" s="148" t="str">
        <f t="shared" si="754"/>
        <v>01/00/1900 00:00-&gt;</v>
      </c>
      <c r="BG1037" s="148" t="str">
        <f t="shared" si="755"/>
        <v>01/00/1900 00:00-&gt;</v>
      </c>
      <c r="BH1037" s="148" t="str">
        <f t="shared" si="756"/>
        <v>01/00/1900 00:00-&gt;</v>
      </c>
      <c r="BI1037" s="148" t="str">
        <f t="shared" si="757"/>
        <v xml:space="preserve"> in  ()</v>
      </c>
      <c r="BJ1037" s="148" t="str">
        <f t="shared" si="758"/>
        <v xml:space="preserve">--  vs. </v>
      </c>
      <c r="BK1037" s="148" t="str">
        <f t="shared" si="759"/>
        <v/>
      </c>
      <c r="BL1037" s="148">
        <f t="shared" si="760"/>
        <v>0</v>
      </c>
      <c r="BM1037" s="148">
        <f t="shared" si="761"/>
        <v>0</v>
      </c>
      <c r="BN1037" s="148">
        <f t="shared" si="762"/>
        <v>0</v>
      </c>
      <c r="BP1037" s="148" t="str">
        <f t="shared" si="763"/>
        <v>no game</v>
      </c>
      <c r="BQ1037" s="148" t="str">
        <f t="shared" si="764"/>
        <v xml:space="preserve">  in </v>
      </c>
    </row>
    <row r="1038" spans="2:69" ht="15" customHeight="1" x14ac:dyDescent="0.2">
      <c r="O1038" s="153" t="str">
        <f>IF(L1038&lt;&gt;"",IFERROR(VLOOKUP(B1038&amp;L1038,Pools!$A$2:$D$130,3,FALSE),""),"")</f>
        <v/>
      </c>
      <c r="P1038" s="387"/>
      <c r="Q1038" s="387"/>
      <c r="R1038" s="306" t="str">
        <f t="shared" si="720"/>
        <v>-</v>
      </c>
      <c r="S1038" s="153"/>
      <c r="T1038" s="148" t="str">
        <f t="shared" si="721"/>
        <v>Pending</v>
      </c>
      <c r="U1038" s="153"/>
      <c r="V1038" s="153"/>
      <c r="W1038" s="387">
        <f t="shared" si="722"/>
        <v>0</v>
      </c>
      <c r="X1038" s="387">
        <f t="shared" si="723"/>
        <v>0</v>
      </c>
      <c r="Y1038" s="301" t="str">
        <f t="shared" si="724"/>
        <v>X</v>
      </c>
      <c r="Z1038" s="301" t="str">
        <f t="shared" si="725"/>
        <v>X</v>
      </c>
      <c r="AA1038" s="323" t="e">
        <f>CONCATENATE("                x[team1,team2,sport,'",IF(OR(I1038="x",I1038=""),VLOOKUP('Schedule from TM'!J1038,Tables!$P$3:$Q$33,2,FALSE),'Schedule from TM'!I1038),",",J1038,"','",IF(OR(F1038="x",F1038=""),VLOOKUP('Schedule from TM'!G1038,Tables!$U$3:$V$14,2,FALSE),'Schedule from TM'!F1038),",",TEXT(G1038,"mm/dd/yyyy"),"','",TEXT(H1038,"h:mm:ss AM/PM"),"'].ub=0.0      #",B1038)</f>
        <v>#N/A</v>
      </c>
      <c r="AB1038" s="301" t="str">
        <f t="shared" si="726"/>
        <v>,,,,1,</v>
      </c>
      <c r="AC1038" s="153" t="str">
        <f t="shared" si="727"/>
        <v/>
      </c>
      <c r="AD1038" s="301" t="str">
        <f t="shared" si="728"/>
        <v>,,,,1,</v>
      </c>
      <c r="AE1038" s="153" t="str">
        <f t="shared" si="729"/>
        <v/>
      </c>
      <c r="AF1038" s="383">
        <f t="shared" si="730"/>
        <v>0</v>
      </c>
      <c r="AG1038" s="383">
        <f t="shared" si="731"/>
        <v>0</v>
      </c>
      <c r="AH1038" s="383">
        <f t="shared" si="732"/>
        <v>0</v>
      </c>
      <c r="AI1038" s="383">
        <f t="shared" si="733"/>
        <v>0</v>
      </c>
      <c r="AJ1038" s="383">
        <f t="shared" si="734"/>
        <v>0</v>
      </c>
      <c r="AK1038" s="383">
        <f t="shared" si="735"/>
        <v>0</v>
      </c>
      <c r="AM1038" s="148" t="str">
        <f t="shared" si="736"/>
        <v>Not Schedulled</v>
      </c>
      <c r="AN1038" s="148" t="str">
        <f t="shared" si="737"/>
        <v/>
      </c>
      <c r="AO1038" s="156">
        <f t="shared" si="738"/>
        <v>0</v>
      </c>
      <c r="AP1038" s="148" t="str">
        <f t="shared" si="739"/>
        <v>01/00/1900 00:00-&gt;</v>
      </c>
      <c r="AQ1038" s="374">
        <f t="shared" si="740"/>
        <v>0</v>
      </c>
      <c r="AR1038" s="148" t="str">
        <f t="shared" si="741"/>
        <v/>
      </c>
      <c r="AS1038" s="148" t="str">
        <f t="shared" si="742"/>
        <v/>
      </c>
      <c r="AT1038" s="157" t="str">
        <f t="shared" si="743"/>
        <v/>
      </c>
      <c r="AU1038" s="157" t="str">
        <f t="shared" si="744"/>
        <v/>
      </c>
      <c r="AV1038" s="157" t="str">
        <f t="shared" si="745"/>
        <v/>
      </c>
      <c r="AW1038" s="157" t="str">
        <f t="shared" si="746"/>
        <v/>
      </c>
      <c r="AX1038" s="376">
        <f t="shared" si="747"/>
        <v>0</v>
      </c>
      <c r="AY1038" s="148" t="str">
        <f t="shared" si="748"/>
        <v>-&gt;</v>
      </c>
      <c r="AZ1038" s="148" t="str">
        <f t="shared" si="749"/>
        <v>01/00/1900 00:00-&gt;</v>
      </c>
      <c r="BA1038" s="148" t="str">
        <f t="shared" si="750"/>
        <v>01/00/1900 00:00-&gt;</v>
      </c>
      <c r="BB1038" s="374">
        <f t="shared" si="751"/>
        <v>0</v>
      </c>
      <c r="BC1038" s="374">
        <f t="shared" si="752"/>
        <v>0</v>
      </c>
      <c r="BD1038" s="148" t="str">
        <f t="shared" si="753"/>
        <v>no conflict</v>
      </c>
      <c r="BF1038" s="148" t="str">
        <f t="shared" si="754"/>
        <v>01/00/1900 00:00-&gt;</v>
      </c>
      <c r="BG1038" s="148" t="str">
        <f t="shared" si="755"/>
        <v>01/00/1900 00:00-&gt;</v>
      </c>
      <c r="BH1038" s="148" t="str">
        <f t="shared" si="756"/>
        <v>01/00/1900 00:00-&gt;</v>
      </c>
      <c r="BI1038" s="148" t="str">
        <f t="shared" si="757"/>
        <v xml:space="preserve"> in  ()</v>
      </c>
      <c r="BJ1038" s="148" t="str">
        <f t="shared" si="758"/>
        <v xml:space="preserve">--  vs. </v>
      </c>
      <c r="BK1038" s="148" t="str">
        <f t="shared" si="759"/>
        <v/>
      </c>
      <c r="BL1038" s="148">
        <f t="shared" si="760"/>
        <v>0</v>
      </c>
      <c r="BM1038" s="148">
        <f t="shared" si="761"/>
        <v>0</v>
      </c>
      <c r="BN1038" s="148">
        <f t="shared" si="762"/>
        <v>0</v>
      </c>
      <c r="BP1038" s="148" t="str">
        <f t="shared" si="763"/>
        <v>no game</v>
      </c>
      <c r="BQ1038" s="148" t="str">
        <f t="shared" si="764"/>
        <v xml:space="preserve">  in </v>
      </c>
    </row>
    <row r="1039" spans="2:69" ht="15" customHeight="1" x14ac:dyDescent="0.2">
      <c r="O1039" s="153" t="str">
        <f>IF(L1039&lt;&gt;"",IFERROR(VLOOKUP(B1039&amp;L1039,Pools!$A$2:$D$130,3,FALSE),""),"")</f>
        <v/>
      </c>
      <c r="P1039" s="387"/>
      <c r="Q1039" s="387"/>
      <c r="R1039" s="306" t="str">
        <f t="shared" si="720"/>
        <v>-</v>
      </c>
      <c r="S1039" s="153"/>
      <c r="T1039" s="148" t="str">
        <f t="shared" si="721"/>
        <v>Pending</v>
      </c>
      <c r="U1039" s="153"/>
      <c r="V1039" s="153"/>
      <c r="W1039" s="387">
        <f t="shared" si="722"/>
        <v>0</v>
      </c>
      <c r="X1039" s="387">
        <f t="shared" si="723"/>
        <v>0</v>
      </c>
      <c r="Y1039" s="301" t="str">
        <f t="shared" si="724"/>
        <v>X</v>
      </c>
      <c r="Z1039" s="301" t="str">
        <f t="shared" si="725"/>
        <v>X</v>
      </c>
      <c r="AA1039" s="323" t="e">
        <f>CONCATENATE("                x[team1,team2,sport,'",IF(OR(I1039="x",I1039=""),VLOOKUP('Schedule from TM'!J1039,Tables!$P$3:$Q$33,2,FALSE),'Schedule from TM'!I1039),",",J1039,"','",IF(OR(F1039="x",F1039=""),VLOOKUP('Schedule from TM'!G1039,Tables!$U$3:$V$14,2,FALSE),'Schedule from TM'!F1039),",",TEXT(G1039,"mm/dd/yyyy"),"','",TEXT(H1039,"h:mm:ss AM/PM"),"'].ub=0.0      #",B1039)</f>
        <v>#N/A</v>
      </c>
      <c r="AB1039" s="301" t="str">
        <f t="shared" si="726"/>
        <v>,,,,1,</v>
      </c>
      <c r="AC1039" s="153" t="str">
        <f t="shared" si="727"/>
        <v/>
      </c>
      <c r="AD1039" s="301" t="str">
        <f t="shared" si="728"/>
        <v>,,,,1,</v>
      </c>
      <c r="AE1039" s="153" t="str">
        <f t="shared" si="729"/>
        <v/>
      </c>
      <c r="AF1039" s="383">
        <f t="shared" si="730"/>
        <v>0</v>
      </c>
      <c r="AG1039" s="383">
        <f t="shared" si="731"/>
        <v>0</v>
      </c>
      <c r="AH1039" s="383">
        <f t="shared" si="732"/>
        <v>0</v>
      </c>
      <c r="AI1039" s="383">
        <f t="shared" si="733"/>
        <v>0</v>
      </c>
      <c r="AJ1039" s="383">
        <f t="shared" si="734"/>
        <v>0</v>
      </c>
      <c r="AK1039" s="383">
        <f t="shared" si="735"/>
        <v>0</v>
      </c>
      <c r="AM1039" s="148" t="str">
        <f t="shared" si="736"/>
        <v>Not Schedulled</v>
      </c>
      <c r="AN1039" s="148" t="str">
        <f t="shared" si="737"/>
        <v/>
      </c>
      <c r="AO1039" s="156">
        <f t="shared" si="738"/>
        <v>0</v>
      </c>
      <c r="AP1039" s="148" t="str">
        <f t="shared" si="739"/>
        <v>01/00/1900 00:00-&gt;</v>
      </c>
      <c r="AQ1039" s="374">
        <f t="shared" si="740"/>
        <v>0</v>
      </c>
      <c r="AR1039" s="148" t="str">
        <f t="shared" si="741"/>
        <v/>
      </c>
      <c r="AS1039" s="148" t="str">
        <f t="shared" si="742"/>
        <v/>
      </c>
      <c r="AT1039" s="157" t="str">
        <f t="shared" si="743"/>
        <v/>
      </c>
      <c r="AU1039" s="157" t="str">
        <f t="shared" si="744"/>
        <v/>
      </c>
      <c r="AV1039" s="157" t="str">
        <f t="shared" si="745"/>
        <v/>
      </c>
      <c r="AW1039" s="157" t="str">
        <f t="shared" si="746"/>
        <v/>
      </c>
      <c r="AX1039" s="376">
        <f t="shared" si="747"/>
        <v>0</v>
      </c>
      <c r="AY1039" s="148" t="str">
        <f t="shared" si="748"/>
        <v>-&gt;</v>
      </c>
      <c r="AZ1039" s="148" t="str">
        <f t="shared" si="749"/>
        <v>01/00/1900 00:00-&gt;</v>
      </c>
      <c r="BA1039" s="148" t="str">
        <f t="shared" si="750"/>
        <v>01/00/1900 00:00-&gt;</v>
      </c>
      <c r="BB1039" s="374">
        <f t="shared" si="751"/>
        <v>0</v>
      </c>
      <c r="BC1039" s="374">
        <f t="shared" si="752"/>
        <v>0</v>
      </c>
      <c r="BD1039" s="148" t="str">
        <f t="shared" si="753"/>
        <v>no conflict</v>
      </c>
      <c r="BF1039" s="148" t="str">
        <f t="shared" si="754"/>
        <v>01/00/1900 00:00-&gt;</v>
      </c>
      <c r="BG1039" s="148" t="str">
        <f t="shared" si="755"/>
        <v>01/00/1900 00:00-&gt;</v>
      </c>
      <c r="BH1039" s="148" t="str">
        <f t="shared" si="756"/>
        <v>01/00/1900 00:00-&gt;</v>
      </c>
      <c r="BI1039" s="148" t="str">
        <f t="shared" si="757"/>
        <v xml:space="preserve"> in  ()</v>
      </c>
      <c r="BJ1039" s="148" t="str">
        <f t="shared" si="758"/>
        <v xml:space="preserve">--  vs. </v>
      </c>
      <c r="BK1039" s="148" t="str">
        <f t="shared" si="759"/>
        <v/>
      </c>
      <c r="BL1039" s="148">
        <f t="shared" si="760"/>
        <v>0</v>
      </c>
      <c r="BM1039" s="148">
        <f t="shared" si="761"/>
        <v>0</v>
      </c>
      <c r="BN1039" s="148">
        <f t="shared" si="762"/>
        <v>0</v>
      </c>
      <c r="BP1039" s="148" t="str">
        <f t="shared" si="763"/>
        <v>no game</v>
      </c>
      <c r="BQ1039" s="148" t="str">
        <f t="shared" si="764"/>
        <v xml:space="preserve">  in </v>
      </c>
    </row>
    <row r="1040" spans="2:69" ht="15" customHeight="1" x14ac:dyDescent="0.2">
      <c r="O1040" s="153" t="str">
        <f>IF(L1040&lt;&gt;"",IFERROR(VLOOKUP(B1040&amp;L1040,Pools!$A$2:$D$130,3,FALSE),""),"")</f>
        <v/>
      </c>
      <c r="P1040" s="387"/>
      <c r="Q1040" s="387"/>
      <c r="R1040" s="306" t="str">
        <f t="shared" si="720"/>
        <v>-</v>
      </c>
      <c r="S1040" s="153"/>
      <c r="T1040" s="148" t="str">
        <f t="shared" si="721"/>
        <v>Pending</v>
      </c>
      <c r="U1040" s="153"/>
      <c r="V1040" s="153"/>
      <c r="W1040" s="387">
        <f t="shared" si="722"/>
        <v>0</v>
      </c>
      <c r="X1040" s="387">
        <f t="shared" si="723"/>
        <v>0</v>
      </c>
      <c r="Y1040" s="301" t="str">
        <f t="shared" si="724"/>
        <v>X</v>
      </c>
      <c r="Z1040" s="301" t="str">
        <f t="shared" si="725"/>
        <v>X</v>
      </c>
      <c r="AA1040" s="323" t="e">
        <f>CONCATENATE("                x[team1,team2,sport,'",IF(OR(I1040="x",I1040=""),VLOOKUP('Schedule from TM'!J1040,Tables!$P$3:$Q$33,2,FALSE),'Schedule from TM'!I1040),",",J1040,"','",IF(OR(F1040="x",F1040=""),VLOOKUP('Schedule from TM'!G1040,Tables!$U$3:$V$14,2,FALSE),'Schedule from TM'!F1040),",",TEXT(G1040,"mm/dd/yyyy"),"','",TEXT(H1040,"h:mm:ss AM/PM"),"'].ub=0.0      #",B1040)</f>
        <v>#N/A</v>
      </c>
      <c r="AB1040" s="301" t="str">
        <f t="shared" si="726"/>
        <v>,,,,1,</v>
      </c>
      <c r="AC1040" s="153" t="str">
        <f t="shared" si="727"/>
        <v/>
      </c>
      <c r="AD1040" s="301" t="str">
        <f t="shared" si="728"/>
        <v>,,,,1,</v>
      </c>
      <c r="AE1040" s="153" t="str">
        <f t="shared" si="729"/>
        <v/>
      </c>
      <c r="AF1040" s="383">
        <f t="shared" si="730"/>
        <v>0</v>
      </c>
      <c r="AG1040" s="383">
        <f t="shared" si="731"/>
        <v>0</v>
      </c>
      <c r="AH1040" s="383">
        <f t="shared" si="732"/>
        <v>0</v>
      </c>
      <c r="AI1040" s="383">
        <f t="shared" si="733"/>
        <v>0</v>
      </c>
      <c r="AJ1040" s="383">
        <f t="shared" si="734"/>
        <v>0</v>
      </c>
      <c r="AK1040" s="383">
        <f t="shared" si="735"/>
        <v>0</v>
      </c>
      <c r="AM1040" s="148" t="str">
        <f t="shared" si="736"/>
        <v>Not Schedulled</v>
      </c>
      <c r="AN1040" s="148" t="str">
        <f t="shared" si="737"/>
        <v/>
      </c>
      <c r="AO1040" s="156">
        <f t="shared" si="738"/>
        <v>0</v>
      </c>
      <c r="AP1040" s="148" t="str">
        <f t="shared" si="739"/>
        <v>01/00/1900 00:00-&gt;</v>
      </c>
      <c r="AQ1040" s="374">
        <f t="shared" si="740"/>
        <v>0</v>
      </c>
      <c r="AR1040" s="148" t="str">
        <f t="shared" si="741"/>
        <v/>
      </c>
      <c r="AS1040" s="148" t="str">
        <f t="shared" si="742"/>
        <v/>
      </c>
      <c r="AT1040" s="157" t="str">
        <f t="shared" si="743"/>
        <v/>
      </c>
      <c r="AU1040" s="157" t="str">
        <f t="shared" si="744"/>
        <v/>
      </c>
      <c r="AV1040" s="157" t="str">
        <f t="shared" si="745"/>
        <v/>
      </c>
      <c r="AW1040" s="157" t="str">
        <f t="shared" si="746"/>
        <v/>
      </c>
      <c r="AX1040" s="376">
        <f t="shared" si="747"/>
        <v>0</v>
      </c>
      <c r="AY1040" s="148" t="str">
        <f t="shared" si="748"/>
        <v>-&gt;</v>
      </c>
      <c r="AZ1040" s="148" t="str">
        <f t="shared" si="749"/>
        <v>01/00/1900 00:00-&gt;</v>
      </c>
      <c r="BA1040" s="148" t="str">
        <f t="shared" si="750"/>
        <v>01/00/1900 00:00-&gt;</v>
      </c>
      <c r="BB1040" s="374">
        <f t="shared" si="751"/>
        <v>0</v>
      </c>
      <c r="BC1040" s="374">
        <f t="shared" si="752"/>
        <v>0</v>
      </c>
      <c r="BD1040" s="148" t="str">
        <f t="shared" si="753"/>
        <v>no conflict</v>
      </c>
      <c r="BF1040" s="148" t="str">
        <f t="shared" si="754"/>
        <v>01/00/1900 00:00-&gt;</v>
      </c>
      <c r="BG1040" s="148" t="str">
        <f t="shared" si="755"/>
        <v>01/00/1900 00:00-&gt;</v>
      </c>
      <c r="BH1040" s="148" t="str">
        <f t="shared" si="756"/>
        <v>01/00/1900 00:00-&gt;</v>
      </c>
      <c r="BI1040" s="148" t="str">
        <f t="shared" si="757"/>
        <v xml:space="preserve"> in  ()</v>
      </c>
      <c r="BJ1040" s="148" t="str">
        <f t="shared" si="758"/>
        <v xml:space="preserve">--  vs. </v>
      </c>
      <c r="BK1040" s="148" t="str">
        <f t="shared" si="759"/>
        <v/>
      </c>
      <c r="BL1040" s="148">
        <f t="shared" si="760"/>
        <v>0</v>
      </c>
      <c r="BM1040" s="148">
        <f t="shared" si="761"/>
        <v>0</v>
      </c>
      <c r="BN1040" s="148">
        <f t="shared" si="762"/>
        <v>0</v>
      </c>
      <c r="BP1040" s="148" t="str">
        <f t="shared" si="763"/>
        <v>no game</v>
      </c>
      <c r="BQ1040" s="148" t="str">
        <f t="shared" si="764"/>
        <v xml:space="preserve">  in </v>
      </c>
    </row>
    <row r="1041" spans="10:83" ht="15" customHeight="1" x14ac:dyDescent="0.2">
      <c r="AO1041" s="156"/>
      <c r="AT1041" s="157"/>
      <c r="AU1041" s="157"/>
      <c r="AV1041" s="157"/>
      <c r="AW1041" s="157"/>
    </row>
    <row r="1042" spans="10:83" ht="15" customHeight="1" x14ac:dyDescent="0.2">
      <c r="N1042" s="365"/>
      <c r="O1042" s="365"/>
      <c r="P1042" s="370"/>
      <c r="Q1042" s="370"/>
      <c r="AO1042" s="156"/>
      <c r="AT1042" s="157"/>
      <c r="AU1042" s="157"/>
      <c r="AV1042" s="157"/>
      <c r="AW1042" s="157"/>
    </row>
    <row r="1043" spans="10:83" ht="15" customHeight="1" x14ac:dyDescent="0.2">
      <c r="N1043" s="365"/>
      <c r="O1043" s="365"/>
      <c r="P1043" s="370"/>
      <c r="Q1043" s="370"/>
      <c r="AO1043" s="156"/>
      <c r="AT1043" s="157"/>
      <c r="AU1043" s="157"/>
      <c r="AV1043" s="157"/>
      <c r="AW1043" s="157"/>
    </row>
    <row r="1044" spans="10:83" ht="15" customHeight="1" x14ac:dyDescent="0.2">
      <c r="N1044" s="365"/>
      <c r="O1044" s="365"/>
      <c r="P1044" s="370"/>
      <c r="Q1044" s="370"/>
      <c r="AO1044" s="156"/>
      <c r="AT1044" s="157"/>
      <c r="AU1044" s="157"/>
      <c r="AV1044" s="157"/>
      <c r="AW1044" s="157"/>
    </row>
    <row r="1045" spans="10:83" x14ac:dyDescent="0.2">
      <c r="N1045" s="365"/>
      <c r="O1045" s="365"/>
      <c r="P1045" s="370"/>
      <c r="Q1045" s="370"/>
      <c r="S1045" s="296"/>
      <c r="AO1045" s="156"/>
      <c r="AT1045" s="157"/>
      <c r="AU1045" s="157"/>
      <c r="AV1045" s="157"/>
      <c r="AW1045" s="157"/>
    </row>
    <row r="1046" spans="10:83" x14ac:dyDescent="0.2">
      <c r="N1046" s="365"/>
      <c r="O1046" s="365"/>
      <c r="P1046" s="371"/>
      <c r="Q1046" s="371"/>
      <c r="AO1046" s="156"/>
      <c r="AT1046" s="157"/>
      <c r="AU1046" s="157"/>
      <c r="AV1046" s="157"/>
      <c r="AW1046" s="157"/>
    </row>
    <row r="1047" spans="10:83" x14ac:dyDescent="0.2">
      <c r="J1047" s="315"/>
      <c r="N1047" s="365"/>
      <c r="O1047" s="365"/>
      <c r="P1047" s="371"/>
      <c r="Q1047" s="371"/>
      <c r="AO1047" s="156"/>
      <c r="AT1047" s="157"/>
      <c r="AU1047" s="157"/>
      <c r="AV1047" s="157"/>
      <c r="AW1047" s="157"/>
    </row>
    <row r="1048" spans="10:83" x14ac:dyDescent="0.2">
      <c r="N1048" s="365"/>
      <c r="O1048" s="365"/>
      <c r="P1048" s="371"/>
      <c r="Q1048" s="371"/>
      <c r="AO1048" s="156"/>
      <c r="AT1048" s="157"/>
      <c r="AU1048" s="157"/>
      <c r="AV1048" s="157"/>
      <c r="AW1048" s="157"/>
    </row>
    <row r="1049" spans="10:83" x14ac:dyDescent="0.2">
      <c r="N1049" s="365"/>
      <c r="O1049" s="365"/>
      <c r="P1049" s="371"/>
      <c r="Q1049" s="371"/>
      <c r="AM1049" s="148" t="e">
        <f>IF(#REF!&amp;#REF!&amp;#REF!&lt;&gt;"","Schedulled","Not Schedulled")</f>
        <v>#REF!</v>
      </c>
      <c r="AN1049" s="148" t="e">
        <f>IF(AND(AM1049="schedulled",#REF!&amp;#REF!=""),"Schedulled no team","")</f>
        <v>#REF!</v>
      </c>
      <c r="AO1049" s="156" t="e">
        <f>#REF!+#REF!</f>
        <v>#REF!</v>
      </c>
      <c r="AP1049" s="148" t="e">
        <f>TEXT(AO1049,"MM/DD/YYYY HH:MM")&amp;"-&gt;"&amp;#REF!</f>
        <v>#REF!</v>
      </c>
      <c r="AQ1049" s="374" t="e">
        <f>IF(AM1049="not schedulled", 0,COUNTIF($AP$11:$AP$1051,AP1049))</f>
        <v>#REF!</v>
      </c>
      <c r="AR1049" s="148" t="str">
        <f>IFERROR(VLOOKUP(#REF!,teams_table,3,FALSE),"")</f>
        <v/>
      </c>
      <c r="AS1049" s="148" t="str">
        <f>IFERROR(VLOOKUP(#REF!,teams_table,3,FALSE),"")</f>
        <v/>
      </c>
      <c r="AT1049" s="157" t="str">
        <f>IF(AR1049&amp;AS1049&lt;&gt;"",AR1049&amp;"-"&amp;AS1049,"")</f>
        <v/>
      </c>
      <c r="AU1049" s="157" t="e">
        <f>IF(AT1049="","",AT1049&amp;" ")&amp;IF(#REF!="final",AW1049&amp;" Final","")&amp;IF(#REF!="semi-final",AW1049&amp;" Semi-Final","")</f>
        <v>#REF!</v>
      </c>
      <c r="AV1049" s="157" t="str">
        <f>IFERROR(VLOOKUP(B876,events_table,2,FALSE),"")</f>
        <v>Adults FEMALE</v>
      </c>
      <c r="AW1049" s="157" t="str">
        <f>IFERROR(VLOOKUP(B876,events_table,3,0),"")</f>
        <v>Soccer</v>
      </c>
      <c r="AY1049" s="148" t="e">
        <f>#REF!&amp;"-&gt;"&amp;#REF!</f>
        <v>#REF!</v>
      </c>
      <c r="AZ1049" s="148" t="e">
        <f>TEXT(AO1049,"MM/DD/YYYY HH:MM")&amp;"-&gt;"&amp;#REF!</f>
        <v>#REF!</v>
      </c>
      <c r="BA1049" s="148" t="e">
        <f>TEXT(AO1049,"MM/DD/YYYY HH:MM")&amp;"-&gt;"&amp;#REF!</f>
        <v>#REF!</v>
      </c>
      <c r="BB1049" s="374" t="e">
        <f>IF(OR(AM1049="not schedulled",AN1049="schedulled no team"),0,COUNTIF($AZ$11:$BA$1051,AZ1049))</f>
        <v>#REF!</v>
      </c>
      <c r="BC1049" s="374" t="e">
        <f>IF(OR(AM1049="not schedulled",AN1049="schedulled no team"),0,COUNTIF($AZ$11:$BA$1051,BA1049))</f>
        <v>#REF!</v>
      </c>
      <c r="BD1049" s="148" t="e">
        <f>IF(OR(BB1049&gt;1,BC1049&gt;1),"conflict","no conflict")</f>
        <v>#REF!</v>
      </c>
      <c r="BF1049" s="148" t="e">
        <f>TEXT(AO1049,"MM/DD/YYYY HH:MM")&amp;"-&gt;"&amp;#REF!</f>
        <v>#REF!</v>
      </c>
      <c r="BG1049" s="148" t="e">
        <f>TEXT(AO1049,"MM/DD/YYYY HH:MM")&amp;"-&gt;"&amp;#REF!</f>
        <v>#REF!</v>
      </c>
      <c r="BH1049" s="148" t="e">
        <f>TEXT(AO1049,"MM/DD/YYYY HH:MM")&amp;"-&gt;"&amp;#REF!</f>
        <v>#REF!</v>
      </c>
      <c r="BI1049" s="148" t="e">
        <f>AW1049&amp; " in "&amp;#REF! &amp;" ("&amp;AT1049&amp;")"</f>
        <v>#REF!</v>
      </c>
      <c r="BJ1049" s="148" t="e">
        <f>B876 &amp;"-- " &amp;#REF!&amp;" vs. "&amp;#REF!</f>
        <v>#REF!</v>
      </c>
      <c r="BK1049" s="148" t="str">
        <f>AW1049</f>
        <v>Soccer</v>
      </c>
      <c r="BL1049" s="148" t="e">
        <f>#REF!</f>
        <v>#REF!</v>
      </c>
      <c r="BM1049" s="148" t="e">
        <f>#REF!</f>
        <v>#REF!</v>
      </c>
      <c r="BN1049" s="148" t="e">
        <f>#REF!</f>
        <v>#REF!</v>
      </c>
      <c r="BP1049" s="148" t="str">
        <f>IF(NOT(ISERR(SEARCH("final",#REF!))),TEXT(AO1049,"MM/DD/YYYY HH:MM")&amp;"-&gt;"&amp;AV1049,IF(B876="","no game","no f or sf"))</f>
        <v>no f or sf</v>
      </c>
      <c r="BQ1049" s="148" t="str">
        <f>IF(BP1049&lt;&gt;"no f or sf",AW1049&amp;" "&amp;#REF!&amp;" in "&amp;#REF!,"")</f>
        <v/>
      </c>
    </row>
    <row r="1050" spans="10:83" x14ac:dyDescent="0.2">
      <c r="J1050" s="319"/>
      <c r="N1050" s="365"/>
      <c r="O1050" s="365"/>
      <c r="P1050" s="371"/>
      <c r="Q1050" s="371"/>
      <c r="AM1050" s="148" t="e">
        <f>IF(#REF!&amp;#REF!&amp;#REF!&lt;&gt;"","Schedulled","Not Schedulled")</f>
        <v>#REF!</v>
      </c>
      <c r="AN1050" s="148" t="e">
        <f>IF(AND(AM1050="schedulled",#REF!&amp;#REF!=""),"Schedulled no team","")</f>
        <v>#REF!</v>
      </c>
      <c r="AO1050" s="156" t="e">
        <f>#REF!+#REF!</f>
        <v>#REF!</v>
      </c>
      <c r="AP1050" s="148" t="e">
        <f>TEXT(AO1050,"MM/DD/YYYY HH:MM")&amp;"-&gt;"&amp;#REF!</f>
        <v>#REF!</v>
      </c>
      <c r="AQ1050" s="374" t="e">
        <f>IF(AM1050="not schedulled", 0,COUNTIF($AP$11:$AP$1051,AP1050))</f>
        <v>#REF!</v>
      </c>
      <c r="AR1050" s="148" t="str">
        <f>IFERROR(VLOOKUP(#REF!,teams_table,3,FALSE),"")</f>
        <v/>
      </c>
      <c r="AS1050" s="148" t="str">
        <f>IFERROR(VLOOKUP(#REF!,teams_table,3,FALSE),"")</f>
        <v/>
      </c>
      <c r="AT1050" s="157" t="str">
        <f>IF(AR1050&amp;AS1050&lt;&gt;"",AR1050&amp;"-"&amp;AS1050,"")</f>
        <v/>
      </c>
      <c r="AU1050" s="157" t="e">
        <f>IF(AT1050="","",AT1050&amp;" ")&amp;IF(#REF!="final",AW1050&amp;" Final","")&amp;IF(#REF!="semi-final",AW1050&amp;" Semi-Final","")</f>
        <v>#REF!</v>
      </c>
      <c r="AV1050" s="157" t="str">
        <f>IFERROR(VLOOKUP(B1045,events_table,2,FALSE),"")</f>
        <v/>
      </c>
      <c r="AW1050" s="157" t="str">
        <f>IFERROR(VLOOKUP(B1045,events_table,3,0),"")</f>
        <v/>
      </c>
      <c r="AY1050" s="148" t="e">
        <f>#REF!&amp;"-&gt;"&amp;#REF!</f>
        <v>#REF!</v>
      </c>
      <c r="AZ1050" s="148" t="e">
        <f>TEXT(AO1050,"MM/DD/YYYY HH:MM")&amp;"-&gt;"&amp;#REF!</f>
        <v>#REF!</v>
      </c>
      <c r="BA1050" s="148" t="e">
        <f>TEXT(AO1050,"MM/DD/YYYY HH:MM")&amp;"-&gt;"&amp;#REF!</f>
        <v>#REF!</v>
      </c>
      <c r="BB1050" s="374" t="e">
        <f>IF(OR(AM1050="not schedulled",AN1050="schedulled no team"),0,COUNTIF($AZ$11:$BA$1051,AZ1050))</f>
        <v>#REF!</v>
      </c>
      <c r="BC1050" s="374" t="e">
        <f>IF(OR(AM1050="not schedulled",AN1050="schedulled no team"),0,COUNTIF($AZ$11:$BA$1051,BA1050))</f>
        <v>#REF!</v>
      </c>
      <c r="BD1050" s="148" t="e">
        <f>IF(OR(BB1050&gt;1,BC1050&gt;1),"conflict","no conflict")</f>
        <v>#REF!</v>
      </c>
      <c r="BF1050" s="148" t="e">
        <f>TEXT(AO1050,"MM/DD/YYYY HH:MM")&amp;"-&gt;"&amp;#REF!</f>
        <v>#REF!</v>
      </c>
      <c r="BG1050" s="148" t="e">
        <f>TEXT(AO1050,"MM/DD/YYYY HH:MM")&amp;"-&gt;"&amp;#REF!</f>
        <v>#REF!</v>
      </c>
      <c r="BH1050" s="148" t="e">
        <f>TEXT(AO1050,"MM/DD/YYYY HH:MM")&amp;"-&gt;"&amp;#REF!</f>
        <v>#REF!</v>
      </c>
      <c r="BI1050" s="148" t="e">
        <f>AW1050&amp; " in "&amp;#REF! &amp;" ("&amp;AT1050&amp;")"</f>
        <v>#REF!</v>
      </c>
      <c r="BJ1050" s="148" t="e">
        <f>B1045 &amp;"-- " &amp;#REF!&amp;" vs. "&amp;#REF!</f>
        <v>#REF!</v>
      </c>
      <c r="BK1050" s="148" t="str">
        <f>AW1050</f>
        <v/>
      </c>
      <c r="BL1050" s="148" t="e">
        <f>#REF!</f>
        <v>#REF!</v>
      </c>
      <c r="BM1050" s="148" t="e">
        <f>#REF!</f>
        <v>#REF!</v>
      </c>
      <c r="BN1050" s="148" t="e">
        <f>#REF!</f>
        <v>#REF!</v>
      </c>
      <c r="BP1050" s="148" t="str">
        <f>IF(NOT(ISERR(SEARCH("final",#REF!))),TEXT(AO1050,"MM/DD/YYYY HH:MM")&amp;"-&gt;"&amp;AV1050,IF(B1045="","no game","no f or sf"))</f>
        <v>no game</v>
      </c>
      <c r="BQ1050" s="148" t="e">
        <f>IF(BP1050&lt;&gt;"no f or sf",AW1050&amp;" "&amp;#REF!&amp;" in "&amp;#REF!,"")</f>
        <v>#REF!</v>
      </c>
    </row>
    <row r="1051" spans="10:83" x14ac:dyDescent="0.2">
      <c r="N1051" s="365"/>
      <c r="P1051" s="372"/>
      <c r="Q1051" s="372"/>
      <c r="AM1051" s="148" t="e">
        <f>IF(#REF!&amp;#REF!&amp;#REF!&lt;&gt;"","Schedulled","Not Schedulled")</f>
        <v>#REF!</v>
      </c>
      <c r="AN1051" s="148" t="e">
        <f>IF(AND(AM1051="schedulled",#REF!&amp;#REF!=""),"Schedulled no team","")</f>
        <v>#REF!</v>
      </c>
      <c r="AO1051" s="156" t="e">
        <f>#REF!+#REF!</f>
        <v>#REF!</v>
      </c>
      <c r="AP1051" s="148" t="e">
        <f>TEXT(AO1051,"MM/DD/YYYY HH:MM")&amp;"-&gt;"&amp;#REF!</f>
        <v>#REF!</v>
      </c>
      <c r="AQ1051" s="374" t="e">
        <f>IF(AM1051="not schedulled", 0,COUNTIF($AP$11:$AP$1051,AP1051))</f>
        <v>#REF!</v>
      </c>
      <c r="AR1051" s="148" t="str">
        <f>IFERROR(VLOOKUP(#REF!,teams_table,3,FALSE),"")</f>
        <v/>
      </c>
      <c r="AS1051" s="148" t="str">
        <f>IFERROR(VLOOKUP(#REF!,teams_table,3,FALSE),"")</f>
        <v/>
      </c>
      <c r="AT1051" s="157" t="str">
        <f>IF(AR1051&amp;AS1051&lt;&gt;"",AR1051&amp;"-"&amp;AS1051,"")</f>
        <v/>
      </c>
      <c r="AU1051" s="157" t="e">
        <f>IF(AT1051="","",AT1051&amp;" ")&amp;IF(#REF!="final",AW1051&amp;" Final","")&amp;IF(#REF!="semi-final",AW1051&amp;" Semi-Final","")</f>
        <v>#REF!</v>
      </c>
      <c r="AV1051" s="157" t="str">
        <f>IFERROR(VLOOKUP(#REF!,events_table,2,FALSE),"")</f>
        <v/>
      </c>
      <c r="AW1051" s="157" t="str">
        <f>IFERROR(VLOOKUP(#REF!,events_table,3,0),"")</f>
        <v/>
      </c>
      <c r="AY1051" s="148" t="e">
        <f>#REF!&amp;"-&gt;"&amp;#REF!</f>
        <v>#REF!</v>
      </c>
      <c r="AZ1051" s="148" t="e">
        <f>TEXT(AO1051,"MM/DD/YYYY HH:MM")&amp;"-&gt;"&amp;#REF!</f>
        <v>#REF!</v>
      </c>
      <c r="BA1051" s="148" t="e">
        <f>TEXT(AO1051,"MM/DD/YYYY HH:MM")&amp;"-&gt;"&amp;#REF!</f>
        <v>#REF!</v>
      </c>
      <c r="BB1051" s="374" t="e">
        <f>IF(OR(AM1051="not schedulled",AN1051="schedulled no team"),0,COUNTIF($AZ$11:$BA$1051,AZ1051))</f>
        <v>#REF!</v>
      </c>
      <c r="BC1051" s="374" t="e">
        <f>IF(OR(AM1051="not schedulled",AN1051="schedulled no team"),0,COUNTIF($AZ$11:$BA$1051,BA1051))</f>
        <v>#REF!</v>
      </c>
      <c r="BD1051" s="148" t="e">
        <f>IF(OR(BB1051&gt;1,BC1051&gt;1),"conflict","no conflict")</f>
        <v>#REF!</v>
      </c>
      <c r="BE1051" s="148" t="s">
        <v>50</v>
      </c>
      <c r="BF1051" s="148" t="s">
        <v>50</v>
      </c>
      <c r="BG1051" s="148" t="s">
        <v>50</v>
      </c>
      <c r="BH1051" s="148" t="e">
        <f>TEXT(AO1051,"MM/DD/YYYY HH:MM")&amp;"-&gt;"&amp;#REF!</f>
        <v>#REF!</v>
      </c>
      <c r="BI1051" s="148" t="e">
        <f>AW1051&amp; " in "&amp;#REF! &amp;" ("&amp;AT1051&amp;")"</f>
        <v>#REF!</v>
      </c>
      <c r="BJ1051" s="148" t="e">
        <f>#REF! &amp;"-- " &amp;#REF!&amp;" vs. "&amp;#REF!</f>
        <v>#REF!</v>
      </c>
      <c r="BK1051" s="148" t="s">
        <v>50</v>
      </c>
      <c r="BL1051" s="148" t="s">
        <v>50</v>
      </c>
      <c r="BM1051" s="148" t="s">
        <v>50</v>
      </c>
      <c r="BN1051" s="148" t="s">
        <v>50</v>
      </c>
      <c r="BO1051" s="148" t="s">
        <v>50</v>
      </c>
      <c r="BP1051" s="148" t="s">
        <v>50</v>
      </c>
      <c r="BQ1051" s="148" t="s">
        <v>50</v>
      </c>
      <c r="BR1051" s="148" t="s">
        <v>50</v>
      </c>
      <c r="BS1051" s="148" t="str">
        <f>IF(NOT(ISERR(SEARCH("final",#REF!))),TEXT(AO1051,"MM/DD/YYYY HH:MM")&amp;"-&gt;"&amp;AV1051,"no f or sf")</f>
        <v>no f or sf</v>
      </c>
      <c r="BT1051" s="148" t="s">
        <v>50</v>
      </c>
      <c r="BU1051" s="148" t="s">
        <v>50</v>
      </c>
      <c r="BV1051" s="148" t="s">
        <v>50</v>
      </c>
      <c r="BW1051" s="148" t="s">
        <v>50</v>
      </c>
      <c r="BX1051" s="148" t="s">
        <v>50</v>
      </c>
      <c r="BY1051" s="148" t="s">
        <v>50</v>
      </c>
      <c r="BZ1051" s="148" t="s">
        <v>50</v>
      </c>
      <c r="CA1051" s="148" t="s">
        <v>50</v>
      </c>
      <c r="CB1051" s="148" t="s">
        <v>50</v>
      </c>
      <c r="CC1051" s="148" t="s">
        <v>50</v>
      </c>
      <c r="CD1051" s="148" t="s">
        <v>50</v>
      </c>
      <c r="CE1051" s="148" t="s">
        <v>50</v>
      </c>
    </row>
    <row r="1052" spans="10:83" x14ac:dyDescent="0.2">
      <c r="N1052" s="365"/>
      <c r="O1052" s="365"/>
      <c r="P1052" s="371"/>
      <c r="Q1052" s="371"/>
    </row>
    <row r="1053" spans="10:83" x14ac:dyDescent="0.2">
      <c r="P1053" s="372"/>
      <c r="Q1053" s="373"/>
    </row>
    <row r="1054" spans="10:83" x14ac:dyDescent="0.2">
      <c r="P1054" s="372"/>
      <c r="Q1054" s="372"/>
    </row>
    <row r="1055" spans="10:83" x14ac:dyDescent="0.2">
      <c r="P1055" s="372"/>
      <c r="Q1055" s="372"/>
    </row>
    <row r="1056" spans="10:83" x14ac:dyDescent="0.2">
      <c r="P1056" s="372"/>
      <c r="Q1056" s="372"/>
    </row>
    <row r="1057" spans="16:17" x14ac:dyDescent="0.2">
      <c r="P1057" s="372"/>
      <c r="Q1057" s="372"/>
    </row>
    <row r="1058" spans="16:17" x14ac:dyDescent="0.2">
      <c r="P1058" s="372"/>
      <c r="Q1058" s="372"/>
    </row>
    <row r="1059" spans="16:17" x14ac:dyDescent="0.2">
      <c r="P1059" s="372"/>
      <c r="Q1059" s="372"/>
    </row>
    <row r="1060" spans="16:17" x14ac:dyDescent="0.2">
      <c r="P1060" s="372"/>
      <c r="Q1060" s="372"/>
    </row>
    <row r="1061" spans="16:17" x14ac:dyDescent="0.2">
      <c r="P1061" s="372"/>
      <c r="Q1061" s="372"/>
    </row>
    <row r="1062" spans="16:17" x14ac:dyDescent="0.2">
      <c r="P1062" s="372"/>
      <c r="Q1062" s="372"/>
    </row>
    <row r="1063" spans="16:17" x14ac:dyDescent="0.2">
      <c r="P1063" s="372"/>
      <c r="Q1063" s="372"/>
    </row>
  </sheetData>
  <autoFilter ref="A10:CE1044" xr:uid="{00000000-0009-0000-0000-000000000000}">
    <sortState ref="A11:CE1044">
      <sortCondition ref="A10:A1044"/>
    </sortState>
  </autoFilter>
  <sortState ref="AC11:AC806">
    <sortCondition descending="1" ref="AC11"/>
  </sortState>
  <conditionalFormatting sqref="AP11:AP563 AP565:AP1050">
    <cfRule type="expression" dxfId="845" priority="13">
      <formula>AQ11&gt;1</formula>
    </cfRule>
  </conditionalFormatting>
  <conditionalFormatting sqref="AZ11:BA563 AZ565:BA1050">
    <cfRule type="expression" dxfId="844" priority="12">
      <formula>BB11&gt;1</formula>
    </cfRule>
  </conditionalFormatting>
  <conditionalFormatting sqref="AA1:AA563 AA565:AA1048576">
    <cfRule type="expression" priority="4">
      <formula>"IF(&lt;&gt;                x[team1,team2,sport,'','12:00:00 AM','01/00/1900'].ub=0.0 #))"</formula>
    </cfRule>
  </conditionalFormatting>
  <conditionalFormatting sqref="AP564">
    <cfRule type="expression" dxfId="843" priority="3">
      <formula>AQ564&gt;1</formula>
    </cfRule>
  </conditionalFormatting>
  <conditionalFormatting sqref="AZ564:BA564">
    <cfRule type="expression" dxfId="842" priority="2">
      <formula>BB564&gt;1</formula>
    </cfRule>
  </conditionalFormatting>
  <conditionalFormatting sqref="AA564">
    <cfRule type="expression" priority="1">
      <formula>"IF(&lt;&gt;                x[team1,team2,sport,'','12:00:00 AM','01/00/1900'].ub=0.0 #))"</formula>
    </cfRule>
  </conditionalFormatting>
  <printOptions gridLines="1"/>
  <pageMargins left="0.7" right="0.7" top="0.75" bottom="0.75" header="0.3" footer="0.3"/>
  <pageSetup scale="10" fitToHeight="0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pageSetUpPr fitToPage="1"/>
  </sheetPr>
  <dimension ref="A1:AI83"/>
  <sheetViews>
    <sheetView zoomScale="75" zoomScaleNormal="75" workbookViewId="0">
      <selection activeCell="H23" sqref="H23"/>
    </sheetView>
  </sheetViews>
  <sheetFormatPr baseColWidth="10" defaultColWidth="9.1640625" defaultRowHeight="15" x14ac:dyDescent="0.2"/>
  <cols>
    <col min="1" max="1" width="13.1640625" style="208" customWidth="1"/>
    <col min="2" max="2" width="32.33203125" style="208" customWidth="1"/>
    <col min="3" max="3" width="28" style="208" hidden="1" customWidth="1"/>
    <col min="4" max="4" width="9.33203125" style="208" hidden="1" customWidth="1"/>
    <col min="5" max="5" width="32.33203125" style="208" customWidth="1"/>
    <col min="6" max="6" width="0.1640625" style="208" hidden="1" customWidth="1"/>
    <col min="7" max="7" width="0.33203125" style="208" hidden="1" customWidth="1"/>
    <col min="8" max="8" width="32.33203125" style="208" customWidth="1"/>
    <col min="9" max="9" width="0.5" style="208" hidden="1" customWidth="1"/>
    <col min="10" max="10" width="0.33203125" style="208" hidden="1" customWidth="1"/>
    <col min="11" max="11" width="28.1640625" style="208" customWidth="1"/>
    <col min="12" max="13" width="0.5" style="208" hidden="1" customWidth="1"/>
    <col min="14" max="14" width="32.33203125" style="208" customWidth="1"/>
    <col min="15" max="15" width="28" style="208" hidden="1" customWidth="1"/>
    <col min="16" max="16" width="14.5" style="208" hidden="1" customWidth="1"/>
    <col min="17" max="17" width="32.33203125" style="208" customWidth="1"/>
    <col min="18" max="18" width="0.5" style="208" hidden="1" customWidth="1"/>
    <col min="19" max="19" width="0.33203125" style="208" hidden="1" customWidth="1"/>
    <col min="20" max="20" width="32.33203125" style="208" customWidth="1"/>
    <col min="21" max="22" width="0.1640625" style="208" hidden="1" customWidth="1"/>
    <col min="23" max="23" width="32.33203125" style="208" customWidth="1"/>
    <col min="24" max="24" width="0.33203125" style="208" hidden="1" customWidth="1"/>
    <col min="25" max="25" width="0.1640625" style="208" hidden="1" customWidth="1"/>
    <col min="26" max="26" width="19.83203125" style="208" customWidth="1"/>
    <col min="27" max="27" width="25.1640625" style="208" hidden="1" customWidth="1"/>
    <col min="28" max="28" width="10.83203125" style="208" hidden="1" customWidth="1"/>
    <col min="29" max="29" width="24.5" style="208" customWidth="1"/>
    <col min="30" max="30" width="0.33203125" style="208" hidden="1" customWidth="1"/>
    <col min="31" max="31" width="14.33203125" style="208" hidden="1" customWidth="1"/>
    <col min="32" max="32" width="18.33203125" style="208" hidden="1" customWidth="1"/>
    <col min="33" max="33" width="6.1640625" style="208" hidden="1" customWidth="1"/>
    <col min="34" max="34" width="7.33203125" style="208" hidden="1" customWidth="1"/>
    <col min="35" max="35" width="2.6640625" style="209" customWidth="1"/>
    <col min="36" max="16384" width="9.1640625" style="208"/>
  </cols>
  <sheetData>
    <row r="1" spans="1:35" ht="19" thickBot="1" x14ac:dyDescent="0.25">
      <c r="A1" s="207" t="s">
        <v>710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</row>
    <row r="2" spans="1:35" ht="29.25" customHeight="1" x14ac:dyDescent="0.2">
      <c r="A2" s="210"/>
      <c r="B2" s="211" t="s">
        <v>695</v>
      </c>
      <c r="C2" s="212"/>
      <c r="D2" s="212"/>
      <c r="E2" s="212" t="s">
        <v>693</v>
      </c>
      <c r="F2" s="212"/>
      <c r="G2" s="212"/>
      <c r="H2" s="213" t="s">
        <v>696</v>
      </c>
      <c r="I2" s="214"/>
      <c r="J2" s="215"/>
      <c r="K2" s="211" t="s">
        <v>688</v>
      </c>
      <c r="L2" s="214"/>
      <c r="M2" s="215"/>
      <c r="N2" s="216" t="s">
        <v>702</v>
      </c>
      <c r="O2" s="215" t="s">
        <v>391</v>
      </c>
      <c r="P2" s="216" t="s">
        <v>391</v>
      </c>
      <c r="Q2" s="211" t="s">
        <v>703</v>
      </c>
      <c r="R2" s="212"/>
      <c r="S2" s="212"/>
      <c r="T2" s="217" t="s">
        <v>704</v>
      </c>
      <c r="U2" s="216" t="s">
        <v>703</v>
      </c>
      <c r="V2" s="216" t="s">
        <v>703</v>
      </c>
      <c r="W2" s="211" t="s">
        <v>707</v>
      </c>
      <c r="X2" s="212"/>
      <c r="Y2" s="212"/>
      <c r="Z2" s="217" t="s">
        <v>683</v>
      </c>
      <c r="AA2" s="214"/>
      <c r="AB2" s="215"/>
      <c r="AC2" s="211" t="s">
        <v>684</v>
      </c>
      <c r="AD2" s="212"/>
      <c r="AE2" s="212"/>
      <c r="AF2" s="217" t="s">
        <v>698</v>
      </c>
      <c r="AG2" s="214"/>
      <c r="AH2" s="215"/>
    </row>
    <row r="3" spans="1:35" ht="29.25" customHeight="1" thickBot="1" x14ac:dyDescent="0.25">
      <c r="A3" s="218"/>
      <c r="B3" s="219" t="s">
        <v>692</v>
      </c>
      <c r="C3" s="220"/>
      <c r="D3" s="220"/>
      <c r="E3" s="220" t="s">
        <v>694</v>
      </c>
      <c r="F3" s="220"/>
      <c r="G3" s="220"/>
      <c r="H3" s="221" t="s">
        <v>697</v>
      </c>
      <c r="I3" s="222"/>
      <c r="J3" s="223"/>
      <c r="K3" s="219" t="s">
        <v>709</v>
      </c>
      <c r="L3" s="224"/>
      <c r="M3" s="225"/>
      <c r="N3" s="226" t="s">
        <v>701</v>
      </c>
      <c r="O3" s="223" t="s">
        <v>391</v>
      </c>
      <c r="P3" s="226" t="s">
        <v>391</v>
      </c>
      <c r="Q3" s="227" t="s">
        <v>705</v>
      </c>
      <c r="R3" s="220"/>
      <c r="S3" s="220"/>
      <c r="T3" s="227" t="s">
        <v>706</v>
      </c>
      <c r="U3" s="226" t="s">
        <v>704</v>
      </c>
      <c r="V3" s="226" t="s">
        <v>704</v>
      </c>
      <c r="W3" s="219" t="s">
        <v>708</v>
      </c>
      <c r="X3" s="220"/>
      <c r="Y3" s="220"/>
      <c r="Z3" s="227" t="s">
        <v>685</v>
      </c>
      <c r="AA3" s="222"/>
      <c r="AB3" s="223"/>
      <c r="AC3" s="219" t="s">
        <v>686</v>
      </c>
      <c r="AD3" s="220"/>
      <c r="AE3" s="220"/>
      <c r="AF3" s="227" t="s">
        <v>699</v>
      </c>
      <c r="AG3" s="222"/>
      <c r="AH3" s="223"/>
    </row>
    <row r="4" spans="1:35" x14ac:dyDescent="0.2">
      <c r="B4" s="228"/>
      <c r="C4" s="229"/>
      <c r="D4" s="230"/>
      <c r="E4" s="231"/>
      <c r="F4" s="232"/>
      <c r="G4" s="232"/>
      <c r="H4" s="233"/>
      <c r="J4" s="234"/>
      <c r="K4" s="235"/>
      <c r="M4" s="234"/>
      <c r="N4" s="236"/>
      <c r="P4" s="234"/>
      <c r="Q4" s="235"/>
      <c r="R4" s="232"/>
      <c r="S4" s="232"/>
      <c r="T4" s="230"/>
      <c r="V4" s="234"/>
      <c r="W4" s="235"/>
      <c r="X4" s="232"/>
      <c r="Y4" s="232"/>
      <c r="Z4" s="230"/>
      <c r="AB4" s="234"/>
      <c r="AC4" s="235"/>
      <c r="AD4" s="232"/>
      <c r="AE4" s="232"/>
      <c r="AF4" s="230"/>
      <c r="AH4" s="234"/>
    </row>
    <row r="5" spans="1:35" x14ac:dyDescent="0.2">
      <c r="B5" s="237" t="s">
        <v>163</v>
      </c>
      <c r="C5" s="229"/>
      <c r="D5" s="230"/>
      <c r="E5" s="238" t="s">
        <v>163</v>
      </c>
      <c r="F5" s="232"/>
      <c r="G5" s="232"/>
      <c r="H5" s="239" t="s">
        <v>164</v>
      </c>
      <c r="J5" s="234"/>
      <c r="K5" s="240" t="s">
        <v>165</v>
      </c>
      <c r="M5" s="234"/>
      <c r="N5" s="241" t="s">
        <v>164</v>
      </c>
      <c r="P5" s="234"/>
      <c r="Q5" s="240" t="s">
        <v>166</v>
      </c>
      <c r="R5" s="232"/>
      <c r="S5" s="230"/>
      <c r="T5" s="242" t="s">
        <v>166</v>
      </c>
      <c r="V5" s="234"/>
      <c r="W5" s="240" t="s">
        <v>164</v>
      </c>
      <c r="X5" s="243"/>
      <c r="Y5" s="243"/>
      <c r="Z5" s="244" t="s">
        <v>164</v>
      </c>
      <c r="AB5" s="234"/>
      <c r="AC5" s="240" t="s">
        <v>164</v>
      </c>
      <c r="AD5" s="232"/>
      <c r="AE5" s="232"/>
      <c r="AF5" s="244" t="s">
        <v>167</v>
      </c>
      <c r="AH5" s="234"/>
    </row>
    <row r="6" spans="1:35" x14ac:dyDescent="0.2">
      <c r="A6" s="407">
        <v>43065</v>
      </c>
      <c r="B6" s="237" t="s">
        <v>163</v>
      </c>
      <c r="C6" s="245"/>
      <c r="D6" s="243"/>
      <c r="E6" s="243" t="s">
        <v>163</v>
      </c>
      <c r="F6" s="243"/>
      <c r="G6" s="243"/>
      <c r="H6" s="239" t="s">
        <v>165</v>
      </c>
      <c r="I6" s="246"/>
      <c r="J6" s="247"/>
      <c r="K6" s="240" t="s">
        <v>168</v>
      </c>
      <c r="M6" s="234"/>
      <c r="N6" s="241" t="s">
        <v>169</v>
      </c>
      <c r="O6" s="246"/>
      <c r="P6" s="247"/>
      <c r="Q6" s="240" t="s">
        <v>166</v>
      </c>
      <c r="R6" s="243"/>
      <c r="S6" s="243"/>
      <c r="T6" s="244" t="s">
        <v>166</v>
      </c>
      <c r="U6" s="246"/>
      <c r="V6" s="247"/>
      <c r="W6" s="240" t="s">
        <v>164</v>
      </c>
      <c r="X6" s="243"/>
      <c r="Y6" s="243"/>
      <c r="Z6" s="244" t="s">
        <v>164</v>
      </c>
      <c r="AA6" s="246"/>
      <c r="AB6" s="247"/>
      <c r="AC6" s="240" t="s">
        <v>167</v>
      </c>
      <c r="AD6" s="243"/>
      <c r="AE6" s="243"/>
      <c r="AF6" s="244" t="s">
        <v>167</v>
      </c>
      <c r="AG6" s="246"/>
      <c r="AH6" s="247"/>
    </row>
    <row r="7" spans="1:35" s="408" customFormat="1" ht="16" thickBot="1" x14ac:dyDescent="0.25">
      <c r="B7" s="409">
        <f>COUNTIF(D8:D47,"&lt;&gt;"&amp;B6)-COUNTBLANK(D8:D47)</f>
        <v>0</v>
      </c>
      <c r="C7" s="410"/>
      <c r="D7" s="411"/>
      <c r="E7" s="412">
        <f>COUNTIF(G8:G47,"&lt;&gt;"&amp;E6)-COUNTBLANK(G8:G47)</f>
        <v>0</v>
      </c>
      <c r="F7" s="410"/>
      <c r="G7" s="411"/>
      <c r="H7" s="412">
        <f>COUNTIF(J8:J47,"&lt;&gt;"&amp;H6)-COUNTBLANK(J8:J47)</f>
        <v>17</v>
      </c>
      <c r="I7" s="413"/>
      <c r="J7" s="414"/>
      <c r="K7" s="409">
        <f>COUNTIF(M8:M47,"&lt;&gt;"&amp;K6)-COUNTBLANK(M8:M47)</f>
        <v>9</v>
      </c>
      <c r="L7" s="413"/>
      <c r="M7" s="414"/>
      <c r="N7" s="415">
        <f>COUNTIF(P8:P47,"&lt;&gt;"&amp;N6)-COUNTBLANK(P8:P47)</f>
        <v>7</v>
      </c>
      <c r="O7" s="413"/>
      <c r="P7" s="414"/>
      <c r="Q7" s="409">
        <f>COUNTIF(S8:S47,"&lt;&gt;"&amp;Q6)-COUNTBLANK(S8:S47)</f>
        <v>11</v>
      </c>
      <c r="R7" s="410"/>
      <c r="S7" s="411"/>
      <c r="T7" s="412">
        <f>COUNTIF(V8:V47,"&lt;&gt;"&amp;T6)-COUNTBLANK(V8:V47)</f>
        <v>11</v>
      </c>
      <c r="U7" s="413"/>
      <c r="V7" s="414"/>
      <c r="W7" s="409">
        <f>COUNTIF(Y8:Y47,"&lt;&gt;"&amp;W6)-COUNTBLANK(Y8:Y47)</f>
        <v>8</v>
      </c>
      <c r="X7" s="410"/>
      <c r="Y7" s="411"/>
      <c r="Z7" s="412">
        <f>COUNTIF(AB8:AB47,"&lt;&gt;"&amp;Z6)-COUNTBLANK(AB8:AB47)</f>
        <v>3</v>
      </c>
      <c r="AA7" s="413"/>
      <c r="AB7" s="414"/>
      <c r="AC7" s="409">
        <f>COUNTIF(AE8:AE47,"&lt;&gt;"&amp;AC6)-COUNTBLANK(AE8:AE47)</f>
        <v>6</v>
      </c>
      <c r="AD7" s="410"/>
      <c r="AE7" s="411"/>
      <c r="AF7" s="412">
        <f>COUNTIF(AH8:AH47,"&lt;&gt;"&amp;AF6)-COUNTBLANK(AH8:AH47)</f>
        <v>0</v>
      </c>
      <c r="AG7" s="413"/>
      <c r="AH7" s="414"/>
      <c r="AI7" s="416"/>
    </row>
    <row r="8" spans="1:35" s="256" customFormat="1" ht="38.25" customHeight="1" x14ac:dyDescent="0.3">
      <c r="A8" s="248">
        <v>0.33333333333333331</v>
      </c>
      <c r="B8" s="426" t="str">
        <f>IF(D8="flag football",LOWER(IFERROR(VLOOKUP(TEXT($A$6+$A8,"MM/DD/YYYY HH:MM")&amp;"-&gt;"&amp;B$2,search_location_2,6,0)&amp;VLOOKUP(TEXT($A$6+$A8,"MM/DD/YYYY HH:MM")&amp;"-&gt;"&amp;B$2,search_location_2,9,0),"")),IFERROR(VLOOKUP(TEXT($A$6+$A8,"MM/DD/YYYY HH:MM")&amp;"-&gt;"&amp;B$2,search_location_2,6,0)&amp;VLOOKUP(TEXT($A$6+$A8,"MM/DD/YYYY HH:MM")&amp;"-&gt;"&amp;B$2,search_location_2,9,0),""))</f>
        <v>USA1-USA2 168</v>
      </c>
      <c r="C8" s="434" t="str">
        <f>IFERROR(VLOOKUP(TEXT($A$6+$A8,"MM/DD/YYYY HH:MM")&amp;"-&gt;"&amp;B$2,search_location_2,7,0),"")</f>
        <v>CHILDREN C FEMALE</v>
      </c>
      <c r="D8" s="434" t="str">
        <f>IFERROR(VLOOKUP(TEXT($A$6+$A8,"MM/DD/YYYY HH:MM")&amp;"-&gt;"&amp;B$2,search_location_2,8,0),"")</f>
        <v>Soccer</v>
      </c>
      <c r="E8" s="426" t="str">
        <f>IF(G8="flag football",LOWER(IFERROR(VLOOKUP(TEXT($A$6+$A8,"MM/DD/YYYY HH:MM")&amp;"-&gt;"&amp;E$2,search_location_2,6,0)&amp;VLOOKUP(TEXT($A$6+$A8,"MM/DD/YYYY HH:MM")&amp;"-&gt;"&amp;E$2,search_location_2,9,0),"")),IFERROR(VLOOKUP(TEXT($A$6+$A8,"MM/DD/YYYY HH:MM")&amp;"-&gt;"&amp;E$2,search_location_2,6,0)&amp;VLOOKUP(TEXT($A$6+$A8,"MM/DD/YYYY HH:MM")&amp;"-&gt;"&amp;E$2,search_location_2,9,0),""))</f>
        <v>VEN1-COL1 214</v>
      </c>
      <c r="F8" s="434" t="str">
        <f>IFERROR(VLOOKUP(TEXT($A$6+$A8,"MM/DD/YYYY HH:MM")&amp;"-&gt;"&amp;E$2,search_location_2,7,0),"")</f>
        <v>CHILDREN C MALE</v>
      </c>
      <c r="G8" s="434" t="str">
        <f>IFERROR(VLOOKUP(TEXT($A$6+$A8,"MM/DD/YYYY HH:MM")&amp;"-&gt;"&amp;E$2,search_location_2,8,0),"")</f>
        <v>Soccer</v>
      </c>
      <c r="H8" s="426" t="str">
        <f>IF(J8="Kickball",LOWER(IFERROR(VLOOKUP(TEXT($A$6+$A8,"MM/DD/YYYY HH:MM")&amp;"-&gt;"&amp;H$2,search_location_2,6,0)&amp;VLOOKUP(TEXT($A$6+$A8,"MM/DD/YYYY HH:MM")&amp;"-&gt;"&amp;H$2,search_location_2,9,0),"")),IFERROR(VLOOKUP(TEXT($A$6+$A8,"MM/DD/YYYY HH:MM")&amp;"-&gt;"&amp;H$2,search_location_2,6,0)&amp;VLOOKUP(TEXT($A$6+$A8,"MM/DD/YYYY HH:MM")&amp;"-&gt;"&amp;H$2,search_location_2,9,0),""))</f>
        <v/>
      </c>
      <c r="I8" s="424" t="str">
        <f>IFERROR(VLOOKUP(TEXT($A$6+$A8,"MM/DD/YYYY HH:MM")&amp;"-&gt;"&amp;H$2,search_location_2,7,0),"")</f>
        <v/>
      </c>
      <c r="J8" s="424" t="str">
        <f>IFERROR(VLOOKUP(TEXT($A$6+$A8,"MM/DD/YYYY HH:MM")&amp;"-&gt;"&amp;H$2,search_location_2,8,0),"")</f>
        <v/>
      </c>
      <c r="K8" s="426" t="str">
        <f>IFERROR(VLOOKUP(TEXT($A$6+$A8,"MM/DD/YYYY HH:MM")&amp;"-&gt;"&amp;K$2,search_location_2,6,0)&amp;VLOOKUP(TEXT($A$6+$A8,"MM/DD/YYYY HH:MM")&amp;"-&gt;"&amp;K$2,search_location_2,9,0),"")</f>
        <v/>
      </c>
      <c r="L8" s="424" t="str">
        <f>IFERROR(VLOOKUP(TEXT($A$6+$A8,"MM/DD/YYYY HH:MM")&amp;"-&gt;"&amp;K$2,search_location_2,7,0),"")</f>
        <v/>
      </c>
      <c r="M8" s="436" t="str">
        <f>IFERROR(VLOOKUP(TEXT($A$6+$A8,"MM/DD/YYYY HH:MM")&amp;"-&gt;"&amp;K$2,search_location_2,8,0),"")</f>
        <v/>
      </c>
      <c r="N8" s="437" t="str">
        <f>IFERROR(VLOOKUP(TEXT($A$6+$A8,"MM/DD/YYYY HH:MM")&amp;"-&gt;"&amp;N$2,search_location_2,6,0)&amp;VLOOKUP(TEXT($A$6+$A8,"MM/DD/YYYY HH:MM")&amp;"-&gt;"&amp;N$2,search_location_2,9,0),"")</f>
        <v/>
      </c>
      <c r="O8" s="424" t="str">
        <f>IFERROR(VLOOKUP(TEXT($A$6+$A8,"MM/DD/YYYY HH:MM")&amp;"-&gt;"&amp;N$2,search_location_2,7,0),"")</f>
        <v/>
      </c>
      <c r="P8" s="424" t="str">
        <f>IFERROR(VLOOKUP(TEXT($A$6+$A8,"MM/DD/YYYY HH:MM")&amp;"-&gt;"&amp;N$2,search_location_2,8,0),"")</f>
        <v/>
      </c>
      <c r="Q8" s="437" t="str">
        <f>IF(S8="Kickball",LOWER(IFERROR(VLOOKUP(TEXT($A$6+$A8,"MM/DD/YYYY HH:MM")&amp;"-&gt;"&amp;Q$2,search_location_2,6,0)&amp;VLOOKUP(TEXT($A$6+$A8,"MM/DD/YYYY HH:MM")&amp;"-&gt;"&amp;Q$2,search_location_2,9,0),"")),IFERROR(VLOOKUP(TEXT($A$6+$A8,"MM/DD/YYYY HH:MM")&amp;"-&gt;"&amp;Q$2,search_location_2,6,0)&amp;VLOOKUP(TEXT($A$6+$A8,"MM/DD/YYYY HH:MM")&amp;"-&gt;"&amp;Q$2,search_location_2,9,0),""))</f>
        <v>col1-usa1 238</v>
      </c>
      <c r="R8" s="432" t="str">
        <f>IFERROR(VLOOKUP(TEXT($A$6+$A8,"MM/DD/YYYY HH:MM")&amp;"-&gt;"&amp;Q$2,search_location_2,7,0),"")</f>
        <v>CHILDREN D FEMALE</v>
      </c>
      <c r="S8" s="434" t="str">
        <f>IFERROR(VLOOKUP(TEXT($A$6+$A8,"MM/DD/YYYY HH:MM")&amp;"-&gt;"&amp;Q$2,search_location_2,8,0),"")</f>
        <v>Kickball</v>
      </c>
      <c r="T8" s="439" t="str">
        <f>IF(V8="Kickball",LOWER(IFERROR(VLOOKUP(TEXT($A$6+$A8,"MM/DD/YYYY HH:MM")&amp;"-&gt;"&amp;T$2,search_location_2,6,0)&amp;VLOOKUP(TEXT($A$6+$A8,"MM/DD/YYYY HH:MM")&amp;"-&gt;"&amp;T$2,search_location_2,9,0),"")),IFERROR(VLOOKUP(TEXT($A$6+$A8,"MM/DD/YYYY HH:MM")&amp;"-&gt;"&amp;T$2,search_location_2,6,0)&amp;VLOOKUP(TEXT($A$6+$A8,"MM/DD/YYYY HH:MM")&amp;"-&gt;"&amp;T$2,search_location_2,9,0),""))</f>
        <v>mex1-ven2 423</v>
      </c>
      <c r="U8" s="424" t="str">
        <f>IFERROR(VLOOKUP(TEXT($A$6+$A8,"MM/DD/YYYY HH:MM")&amp;"-&gt;"&amp;T$2,search_location_2,7,0),"")</f>
        <v>CHILDREN E MALE</v>
      </c>
      <c r="V8" s="436" t="str">
        <f>IFERROR(VLOOKUP(TEXT($A$6+$A8,"MM/DD/YYYY HH:MM")&amp;"-&gt;"&amp;T$2,search_location_2,8,0),"")</f>
        <v>Kickball</v>
      </c>
      <c r="W8" s="426" t="str">
        <f>IFERROR(VLOOKUP(TEXT($A$6+$A8,"MM/DD/YYYY HH:MM")&amp;"-&gt;"&amp;W$2,search_location_2,6,0)&amp;VLOOKUP(TEXT($A$6+$A8,"MM/DD/YYYY HH:MM")&amp;"-&gt;"&amp;W$2,search_location_2,9,0),"")</f>
        <v/>
      </c>
      <c r="X8" s="250" t="str">
        <f>IFERROR(VLOOKUP(TEXT($A$6+$A8,"MM/DD/YYYY HH:MM")&amp;"-&gt;"&amp;W$2,search_location_2,7,0),"")</f>
        <v/>
      </c>
      <c r="Y8" s="250" t="str">
        <f>IFERROR(VLOOKUP(TEXT($A$6+$A8,"MM/DD/YYYY HH:MM")&amp;"-&gt;"&amp;W$2,search_location_2,8,0),"")</f>
        <v/>
      </c>
      <c r="Z8" s="254" t="str">
        <f>IFERROR(VLOOKUP(TEXT($A$6+$A8,"MM/DD/YYYY HH:MM")&amp;"-&gt;"&amp;Z$2,search_location_2,6,0)&amp;VLOOKUP(TEXT($A$6+$A8,"MM/DD/YYYY HH:MM")&amp;"-&gt;"&amp;Z$2,search_location_2,9,0),"")</f>
        <v/>
      </c>
      <c r="AA8" s="251" t="str">
        <f>IFERROR(VLOOKUP(TEXT($A$6+$A8,"MM/DD/YYYY HH:MM")&amp;"-&gt;"&amp;Z$2,search_location_2,7,0),"")</f>
        <v/>
      </c>
      <c r="AB8" s="252" t="str">
        <f>IFERROR(VLOOKUP(TEXT($A$6+$A8,"MM/DD/YYYY HH:MM")&amp;"-&gt;"&amp;Z$2,search_location_2,8,0),"")</f>
        <v/>
      </c>
      <c r="AC8" s="249" t="str">
        <f>IFERROR(VLOOKUP(TEXT($A$6+$A8,"MM/DD/YYYY HH:MM")&amp;"-&gt;"&amp;AC$2,search_location_2,6,0)&amp;VLOOKUP(TEXT($A$6+$A8,"MM/DD/YYYY HH:MM")&amp;"-&gt;"&amp;AC$2,search_location_2,9,0),"")</f>
        <v/>
      </c>
      <c r="AD8" s="250" t="str">
        <f>IFERROR(VLOOKUP(TEXT($A$6+$A8,"MM/DD/YYYY HH:MM")&amp;"-&gt;"&amp;AC$2,search_location_2,7,0),"")</f>
        <v/>
      </c>
      <c r="AE8" s="250" t="str">
        <f>IFERROR(VLOOKUP(TEXT($A$6+$A8,"MM/DD/YYYY HH:MM")&amp;"-&gt;"&amp;AC$2,search_location_2,8,0),"")</f>
        <v/>
      </c>
      <c r="AF8" s="254" t="str">
        <f>IFERROR(VLOOKUP(TEXT($A$6+$A8,"MM/DD/YYYY HH:MM")&amp;"-&gt;"&amp;AF$2,search_location_2,6,0)&amp;VLOOKUP(TEXT($A$6+$A8,"MM/DD/YYYY HH:MM")&amp;"-&gt;"&amp;AF$2,search_location_2,9,0),"")</f>
        <v/>
      </c>
      <c r="AG8" s="251" t="str">
        <f>IFERROR(VLOOKUP(TEXT($A$6+$A8,"MM/DD/YYYY HH:MM")&amp;"-&gt;"&amp;AF$2,search_location_2,7,0),"")</f>
        <v/>
      </c>
      <c r="AH8" s="252" t="str">
        <f>IFERROR(VLOOKUP(TEXT($A$6+$A8,"MM/DD/YYYY HH:MM")&amp;"-&gt;"&amp;AF$2,search_location_2,8,0),"")</f>
        <v/>
      </c>
      <c r="AI8" s="255"/>
    </row>
    <row r="9" spans="1:35" s="256" customFormat="1" ht="38.25" customHeight="1" thickBot="1" x14ac:dyDescent="0.35">
      <c r="A9" s="257"/>
      <c r="B9" s="466" t="str">
        <f>IF(D9="flag football",LOWER(IFERROR(VLOOKUP(TEXT($A$6+$A8,"MM/DD/YYYY HH:MM")&amp;"-&gt;"&amp;B$3,search_location_2,6,0)&amp;VLOOKUP(TEXT($A$6+$A8,"MM/DD/YYYY HH:MM")&amp;"-&gt;"&amp;B$3,search_location_2,9,0),"")),IFERROR(VLOOKUP(TEXT($A$6+$A8,"MM/DD/YYYY HH:MM")&amp;"-&gt;"&amp;B$3,search_location_2,6,0)&amp;VLOOKUP(TEXT($A$6+$A8,"MM/DD/YYYY HH:MM")&amp;"-&gt;"&amp;B$3,search_location_2,9,0),""))</f>
        <v>MEX-VEN2 Soccer Semi-Final782</v>
      </c>
      <c r="C9" s="467" t="str">
        <f>IFERROR(VLOOKUP(TEXT($A$6+$A8,"MM/DD/YYYY HH:MM")&amp;"-&gt;"&amp;B$3,search_location_2,7,0),"")</f>
        <v>CHILDREN D MALE</v>
      </c>
      <c r="D9" s="467" t="str">
        <f>IFERROR(VLOOKUP(TEXT($A$6+$A8,"MM/DD/YYYY HH:MM")&amp;"-&gt;"&amp;B$3,search_location_2,8,0),"")</f>
        <v>Soccer</v>
      </c>
      <c r="E9" s="466" t="str">
        <f>IF(G9="flag football",LOWER(IFERROR(VLOOKUP(TEXT($A$6+$A8,"MM/DD/YYYY HH:MM")&amp;"-&gt;"&amp;E$3,search_location_2,6,0)&amp;VLOOKUP(TEXT($A$6+$A8,"MM/DD/YYYY HH:MM")&amp;"-&gt;"&amp;E$3,search_location_2,9,0),"")),IFERROR(VLOOKUP(TEXT($A$6+$A8,"MM/DD/YYYY HH:MM")&amp;"-&gt;"&amp;E$3,search_location_2,6,0)&amp;VLOOKUP(TEXT($A$6+$A8,"MM/DD/YYYY HH:MM")&amp;"-&gt;"&amp;E$3,search_location_2,9,0),""))</f>
        <v>PER-ARG1 Soccer Semi-Final783</v>
      </c>
      <c r="F9" s="467" t="str">
        <f>IFERROR(VLOOKUP(TEXT($A$6+$A8,"MM/DD/YYYY HH:MM")&amp;"-&gt;"&amp;E$3,search_location_2,7,0),"")</f>
        <v>CHILDREN D MALE</v>
      </c>
      <c r="G9" s="467" t="str">
        <f>IFERROR(VLOOKUP(TEXT($A$6+$A8,"MM/DD/YYYY HH:MM")&amp;"-&gt;"&amp;E$3,search_location_2,8,0),"")</f>
        <v>Soccer</v>
      </c>
      <c r="H9" s="466" t="str">
        <f>IF(J9="Kickball",LOWER(IFERROR(VLOOKUP(TEXT($A$6+$A8,"MM/DD/YYYY HH:MM")&amp;"-&gt;"&amp;H$3,search_location_2,6,0)&amp;VLOOKUP(TEXT($A$6+$A8,"MM/DD/YYYY HH:MM")&amp;"-&gt;"&amp;H$3,search_location_2,9,0),"")),IFERROR(VLOOKUP(TEXT($A$6+$A8,"MM/DD/YYYY HH:MM")&amp;"-&gt;"&amp;H$3,search_location_2,6,0)&amp;VLOOKUP(TEXT($A$6+$A8,"MM/DD/YYYY HH:MM")&amp;"-&gt;"&amp;H$3,search_location_2,9,0),""))</f>
        <v>MEX2-PER 453</v>
      </c>
      <c r="I9" s="468" t="str">
        <f>IFERROR(VLOOKUP(TEXT($A$6+$A8,"MM/DD/YYYY HH:MM")&amp;"-&gt;"&amp;H$3,search_location_2,7,0),"")</f>
        <v>CHILDREN E MALE</v>
      </c>
      <c r="J9" s="468" t="str">
        <f>IFERROR(VLOOKUP(TEXT($A$6+$A8,"MM/DD/YYYY HH:MM")&amp;"-&gt;"&amp;H$3,search_location_2,8,0),"")</f>
        <v>Volleyball</v>
      </c>
      <c r="K9" s="466" t="str">
        <f>IFERROR(VLOOKUP(TEXT($A$6+$A8,"MM/DD/YYYY HH:MM")&amp;"-&gt;"&amp;K$3,search_location_2,6,0)&amp;VLOOKUP(TEXT($A$6+$A8,"MM/DD/YYYY HH:MM")&amp;"-&gt;"&amp;K$3,search_location_2,9,0),"")</f>
        <v>VEN2-MEX 226</v>
      </c>
      <c r="L9" s="468" t="str">
        <f>IFERROR(VLOOKUP(TEXT($A$6+$A8,"MM/DD/YYYY HH:MM")&amp;"-&gt;"&amp;K$3,search_location_2,7,0),"")</f>
        <v>CHILDREN D FEMALE</v>
      </c>
      <c r="M9" s="469" t="str">
        <f>IFERROR(VLOOKUP(TEXT($A$6+$A8,"MM/DD/YYYY HH:MM")&amp;"-&gt;"&amp;K$3,search_location_2,8,0),"")</f>
        <v>Basketball</v>
      </c>
      <c r="N9" s="470" t="str">
        <f>IFERROR(VLOOKUP(TEXT($A$6+$A8,"MM/DD/YYYY HH:MM")&amp;"-&gt;"&amp;N$3,search_location_2,6,0)&amp;VLOOKUP(TEXT($A$6+$A8,"MM/DD/YYYY HH:MM")&amp;"-&gt;"&amp;N$3,search_location_2,9,0),"")</f>
        <v>VEN1-COL1 177</v>
      </c>
      <c r="O9" s="468" t="str">
        <f>IFERROR(VLOOKUP(TEXT($A$6+$A8,"MM/DD/YYYY HH:MM")&amp;"-&gt;"&amp;N$3,search_location_2,7,0),"")</f>
        <v>CHILDREN C FEMALE</v>
      </c>
      <c r="P9" s="468" t="str">
        <f>IFERROR(VLOOKUP(TEXT($A$6+$A8,"MM/DD/YYYY HH:MM")&amp;"-&gt;"&amp;N$3,search_location_2,8,0),"")</f>
        <v>Newcomb</v>
      </c>
      <c r="Q9" s="470" t="str">
        <f>IF(S9="Kickball",LOWER(IFERROR(VLOOKUP(TEXT($A$6+$A8,"MM/DD/YYYY HH:MM")&amp;"-&gt;"&amp;Q$3,search_location_2,6,0)&amp;VLOOKUP(TEXT($A$6+$A8,"MM/DD/YYYY HH:MM")&amp;"-&gt;"&amp;Q$3,search_location_2,9,0),"")),IFERROR(VLOOKUP(TEXT($A$6+$A8,"MM/DD/YYYY HH:MM")&amp;"-&gt;"&amp;Q$3,search_location_2,6,0)&amp;VLOOKUP(TEXT($A$6+$A8,"MM/DD/YYYY HH:MM")&amp;"-&gt;"&amp;Q$3,search_location_2,9,0),""))</f>
        <v/>
      </c>
      <c r="R9" s="471" t="str">
        <f>IFERROR(VLOOKUP(TEXT($A$6+$A8,"MM/DD/YYYY HH:MM")&amp;"-&gt;"&amp;Q$3,search_location_2,7,0),"")</f>
        <v/>
      </c>
      <c r="S9" s="467" t="str">
        <f>IFERROR(VLOOKUP(TEXT($A$6+$A8,"MM/DD/YYYY HH:MM")&amp;"-&gt;"&amp;Q$3,search_location_2,8,0),"")</f>
        <v/>
      </c>
      <c r="T9" s="472" t="str">
        <f>IF(V9="Kickball",LOWER(IFERROR(VLOOKUP(TEXT($A$6+$A8,"MM/DD/YYYY HH:MM")&amp;"-&gt;"&amp;T$3,search_location_2,6,0)&amp;VLOOKUP(TEXT($A$6+$A8,"MM/DD/YYYY HH:MM")&amp;"-&gt;"&amp;T$3,search_location_2,9,0),"")),IFERROR(VLOOKUP(TEXT($A$6+$A8,"MM/DD/YYYY HH:MM")&amp;"-&gt;"&amp;T$3,search_location_2,6,0)&amp;VLOOKUP(TEXT($A$6+$A8,"MM/DD/YYYY HH:MM")&amp;"-&gt;"&amp;T$3,search_location_2,9,0),""))</f>
        <v/>
      </c>
      <c r="U9" s="468" t="str">
        <f>IFERROR(VLOOKUP(TEXT($A$6+$A8,"MM/DD/YYYY HH:MM")&amp;"-&gt;"&amp;T$3,search_location_2,7,0),"")</f>
        <v/>
      </c>
      <c r="V9" s="469" t="str">
        <f>IFERROR(VLOOKUP(TEXT($A$6+$A8,"MM/DD/YYYY HH:MM")&amp;"-&gt;"&amp;T$3,search_location_2,8,0),"")</f>
        <v/>
      </c>
      <c r="W9" s="466" t="str">
        <f>IFERROR(VLOOKUP(TEXT($A$6+$A8,"MM/DD/YYYY HH:MM")&amp;"-&gt;"&amp;W$3,search_location_2,6,0)&amp;VLOOKUP(TEXT($A$6+$A8,"MM/DD/YYYY HH:MM")&amp;"-&gt;"&amp;W$3,search_location_2,9,0),"")</f>
        <v/>
      </c>
      <c r="X9" s="259" t="str">
        <f>IFERROR(VLOOKUP(TEXT($A$6+$A8,"MM/DD/YYYY HH:MM")&amp;"-&gt;"&amp;W$3,search_location_2,7,0),"")</f>
        <v/>
      </c>
      <c r="Y9" s="259" t="str">
        <f>IFERROR(VLOOKUP(TEXT($A$6+$A8,"MM/DD/YYYY HH:MM")&amp;"-&gt;"&amp;W$3,search_location_2,8,0),"")</f>
        <v/>
      </c>
      <c r="Z9" s="263" t="str">
        <f>IFERROR(VLOOKUP(TEXT($A$6+$A8,"MM/DD/YYYY HH:MM")&amp;"-&gt;"&amp;Z$3,search_location_2,6,0)&amp;VLOOKUP(TEXT($A$6+$A8,"MM/DD/YYYY HH:MM")&amp;"-&gt;"&amp;Z$3,search_location_2,9,0),"")</f>
        <v/>
      </c>
      <c r="AA9" s="260" t="str">
        <f>IFERROR(VLOOKUP(TEXT($A$6+$A8,"MM/DD/YYYY HH:MM")&amp;"-&gt;"&amp;Z$3,search_location_2,7,0),"")</f>
        <v/>
      </c>
      <c r="AB9" s="261" t="str">
        <f>IFERROR(VLOOKUP(TEXT($A$6+$A8,"MM/DD/YYYY HH:MM")&amp;"-&gt;"&amp;Z$3,search_location_2,8,0),"")</f>
        <v/>
      </c>
      <c r="AC9" s="258" t="str">
        <f>IFERROR(VLOOKUP(TEXT($A$6+$A8,"MM/DD/YYYY HH:MM")&amp;"-&gt;"&amp;AC$3,search_location_2,6,0)&amp;VLOOKUP(TEXT($A$6+$A8,"MM/DD/YYYY HH:MM")&amp;"-&gt;"&amp;AC$3,search_location_2,9,0),"")</f>
        <v/>
      </c>
      <c r="AD9" s="259" t="str">
        <f>IFERROR(VLOOKUP(TEXT($A$6+$A8,"MM/DD/YYYY HH:MM")&amp;"-&gt;"&amp;AC$3,search_location_2,7,0),"")</f>
        <v/>
      </c>
      <c r="AE9" s="259" t="str">
        <f>IFERROR(VLOOKUP(TEXT($A$6+$A8,"MM/DD/YYYY HH:MM")&amp;"-&gt;"&amp;AC$3,search_location_2,8,0),"")</f>
        <v/>
      </c>
      <c r="AF9" s="263" t="str">
        <f>IFERROR(VLOOKUP(TEXT($A$6+$A8,"MM/DD/YYYY HH:MM")&amp;"-&gt;"&amp;AF$3,search_location_2,6,0)&amp;VLOOKUP(TEXT($A$6+$A8,"MM/DD/YYYY HH:MM")&amp;"-&gt;"&amp;AF$3,search_location_2,9,0),"")</f>
        <v/>
      </c>
      <c r="AG9" s="260" t="str">
        <f>IFERROR(VLOOKUP(TEXT($A$6+$A8,"MM/DD/YYYY HH:MM")&amp;"-&gt;"&amp;AF$3,search_location_2,7,0),"")</f>
        <v/>
      </c>
      <c r="AH9" s="261" t="str">
        <f>IFERROR(VLOOKUP(TEXT($A$6+$A8,"MM/DD/YYYY HH:MM")&amp;"-&gt;"&amp;AF$3,search_location_2,8,0),"")</f>
        <v/>
      </c>
      <c r="AI9" s="255"/>
    </row>
    <row r="10" spans="1:35" s="256" customFormat="1" ht="38.25" customHeight="1" x14ac:dyDescent="0.3">
      <c r="A10" s="264">
        <f>A8+Time_Slots</f>
        <v>0.36805555555555552</v>
      </c>
      <c r="B10" s="426" t="str">
        <f>IF(D10="flag football",LOWER(IFERROR(VLOOKUP(TEXT($A$6+$A10,"MM/DD/YYYY HH:MM")&amp;"-&gt;"&amp;B$2,search_location_2,6,0)&amp;VLOOKUP(TEXT($A$6+$A10,"MM/DD/YYYY HH:MM")&amp;"-&gt;"&amp;B$2,search_location_2,9,0),"")),IFERROR(VLOOKUP(TEXT($A$6+$A10,"MM/DD/YYYY HH:MM")&amp;"-&gt;"&amp;B$2,search_location_2,6,0)&amp;VLOOKUP(TEXT($A$6+$A10,"MM/DD/YYYY HH:MM")&amp;"-&gt;"&amp;B$2,search_location_2,9,0),""))</f>
        <v/>
      </c>
      <c r="C10" s="434" t="str">
        <f>IFERROR(VLOOKUP(TEXT($A$6+$A10,"MM/DD/YYYY HH:MM")&amp;"-&gt;"&amp;B$2,search_location_2,7,0),"")</f>
        <v/>
      </c>
      <c r="D10" s="434" t="str">
        <f>IFERROR(VLOOKUP(TEXT($A$6+$A10,"MM/DD/YYYY HH:MM")&amp;"-&gt;"&amp;B$2,search_location_2,8,0),"")</f>
        <v/>
      </c>
      <c r="E10" s="426" t="str">
        <f>IF(G10="flag football",LOWER(IFERROR(VLOOKUP(TEXT($A$6+$A10,"MM/DD/YYYY HH:MM")&amp;"-&gt;"&amp;E$2,search_location_2,6,0)&amp;VLOOKUP(TEXT($A$6+$A10,"MM/DD/YYYY HH:MM")&amp;"-&gt;"&amp;E$2,search_location_2,9,0),"")),IFERROR(VLOOKUP(TEXT($A$6+$A10,"MM/DD/YYYY HH:MM")&amp;"-&gt;"&amp;E$2,search_location_2,6,0)&amp;VLOOKUP(TEXT($A$6+$A10,"MM/DD/YYYY HH:MM")&amp;"-&gt;"&amp;E$2,search_location_2,9,0),""))</f>
        <v>ARG1-USA2 250</v>
      </c>
      <c r="F10" s="434" t="str">
        <f>IFERROR(VLOOKUP(TEXT($A$6+$A10,"MM/DD/YYYY HH:MM")&amp;"-&gt;"&amp;E$2,search_location_2,7,0),"")</f>
        <v>CHILDREN D FEMALE</v>
      </c>
      <c r="G10" s="434" t="str">
        <f>IFERROR(VLOOKUP(TEXT($A$6+$A10,"MM/DD/YYYY HH:MM")&amp;"-&gt;"&amp;E$2,search_location_2,8,0),"")</f>
        <v>Soccer</v>
      </c>
      <c r="H10" s="426" t="str">
        <f>IF(J10="Kickball",LOWER(IFERROR(VLOOKUP(TEXT($A$6+$A10,"MM/DD/YYYY HH:MM")&amp;"-&gt;"&amp;H$2,search_location_2,6,0)&amp;VLOOKUP(TEXT($A$6+$A10,"MM/DD/YYYY HH:MM")&amp;"-&gt;"&amp;H$2,search_location_2,9,0),"")),IFERROR(VLOOKUP(TEXT($A$6+$A10,"MM/DD/YYYY HH:MM")&amp;"-&gt;"&amp;H$2,search_location_2,6,0)&amp;VLOOKUP(TEXT($A$6+$A10,"MM/DD/YYYY HH:MM")&amp;"-&gt;"&amp;H$2,search_location_2,9,0),""))</f>
        <v>MEX1-PER Basketball Semi-Final784</v>
      </c>
      <c r="I10" s="424" t="str">
        <f>IFERROR(VLOOKUP(TEXT($A$6+$A10,"MM/DD/YYYY HH:MM")&amp;"-&gt;"&amp;H$2,search_location_2,7,0),"")</f>
        <v>CHILDREN E MALE</v>
      </c>
      <c r="J10" s="424" t="str">
        <f>IFERROR(VLOOKUP(TEXT($A$6+$A10,"MM/DD/YYYY HH:MM")&amp;"-&gt;"&amp;H$2,search_location_2,8,0),"")</f>
        <v>Basketball</v>
      </c>
      <c r="K10" s="426" t="str">
        <f>IFERROR(VLOOKUP(TEXT($A$6+$A10,"MM/DD/YYYY HH:MM")&amp;"-&gt;"&amp;K$2,search_location_2,6,0)&amp;VLOOKUP(TEXT($A$6+$A10,"MM/DD/YYYY HH:MM")&amp;"-&gt;"&amp;K$2,search_location_2,9,0),"")</f>
        <v/>
      </c>
      <c r="L10" s="424" t="str">
        <f>IFERROR(VLOOKUP(TEXT($A$6+$A10,"MM/DD/YYYY HH:MM")&amp;"-&gt;"&amp;K$2,search_location_2,7,0),"")</f>
        <v/>
      </c>
      <c r="M10" s="436" t="str">
        <f>IFERROR(VLOOKUP(TEXT($A$6+$A10,"MM/DD/YYYY HH:MM")&amp;"-&gt;"&amp;K$2,search_location_2,8,0),"")</f>
        <v/>
      </c>
      <c r="N10" s="437" t="str">
        <f>IFERROR(VLOOKUP(TEXT($A$6+$A10,"MM/DD/YYYY HH:MM")&amp;"-&gt;"&amp;N$2,search_location_2,6,0)&amp;VLOOKUP(TEXT($A$6+$A10,"MM/DD/YYYY HH:MM")&amp;"-&gt;"&amp;N$2,search_location_2,9,0),"")</f>
        <v>ARG1-COL1 Basketball Semi-Final776</v>
      </c>
      <c r="O10" s="424" t="str">
        <f>IFERROR(VLOOKUP(TEXT($A$6+$A10,"MM/DD/YYYY HH:MM")&amp;"-&gt;"&amp;N$2,search_location_2,7,0),"")</f>
        <v>CHILDREN D MALE</v>
      </c>
      <c r="P10" s="424" t="str">
        <f>IFERROR(VLOOKUP(TEXT($A$6+$A10,"MM/DD/YYYY HH:MM")&amp;"-&gt;"&amp;N$2,search_location_2,8,0),"")</f>
        <v>Basketball</v>
      </c>
      <c r="Q10" s="437" t="str">
        <f>IF(S10="Kickball",LOWER(IFERROR(VLOOKUP(TEXT($A$6+$A10,"MM/DD/YYYY HH:MM")&amp;"-&gt;"&amp;Q$2,search_location_2,6,0)&amp;VLOOKUP(TEXT($A$6+$A10,"MM/DD/YYYY HH:MM")&amp;"-&gt;"&amp;Q$2,search_location_2,9,0),"")),IFERROR(VLOOKUP(TEXT($A$6+$A10,"MM/DD/YYYY HH:MM")&amp;"-&gt;"&amp;Q$2,search_location_2,6,0)&amp;VLOOKUP(TEXT($A$6+$A10,"MM/DD/YYYY HH:MM")&amp;"-&gt;"&amp;Q$2,search_location_2,9,0),""))</f>
        <v>arg1-per 13</v>
      </c>
      <c r="R10" s="432" t="str">
        <f>IFERROR(VLOOKUP(TEXT($A$6+$A10,"MM/DD/YYYY HH:MM")&amp;"-&gt;"&amp;Q$2,search_location_2,7,0),"")</f>
        <v>Adults FEMALE</v>
      </c>
      <c r="S10" s="434" t="str">
        <f>IFERROR(VLOOKUP(TEXT($A$6+$A10,"MM/DD/YYYY HH:MM")&amp;"-&gt;"&amp;Q$2,search_location_2,8,0),"")</f>
        <v>Kickball</v>
      </c>
      <c r="T10" s="439" t="str">
        <f>IF(V10="Kickball",LOWER(IFERROR(VLOOKUP(TEXT($A$6+$A10,"MM/DD/YYYY HH:MM")&amp;"-&gt;"&amp;T$2,search_location_2,6,0)&amp;VLOOKUP(TEXT($A$6+$A10,"MM/DD/YYYY HH:MM")&amp;"-&gt;"&amp;T$2,search_location_2,9,0),"")),IFERROR(VLOOKUP(TEXT($A$6+$A10,"MM/DD/YYYY HH:MM")&amp;"-&gt;"&amp;T$2,search_location_2,6,0)&amp;VLOOKUP(TEXT($A$6+$A10,"MM/DD/YYYY HH:MM")&amp;"-&gt;"&amp;T$2,search_location_2,9,0),""))</f>
        <v>arg1-col1 116</v>
      </c>
      <c r="U10" s="424" t="str">
        <f>IFERROR(VLOOKUP(TEXT($A$6+$A10,"MM/DD/YYYY HH:MM")&amp;"-&gt;"&amp;T$2,search_location_2,7,0),"")</f>
        <v>CHILDREN B COED</v>
      </c>
      <c r="V10" s="436" t="str">
        <f>IFERROR(VLOOKUP(TEXT($A$6+$A10,"MM/DD/YYYY HH:MM")&amp;"-&gt;"&amp;T$2,search_location_2,8,0),"")</f>
        <v>Kickball</v>
      </c>
      <c r="W10" s="426" t="str">
        <f>IFERROR(VLOOKUP(TEXT($A$6+$A10,"MM/DD/YYYY HH:MM")&amp;"-&gt;"&amp;W$2,search_location_2,6,0)&amp;VLOOKUP(TEXT($A$6+$A10,"MM/DD/YYYY HH:MM")&amp;"-&gt;"&amp;W$2,search_location_2,9,0),"")</f>
        <v>COL1-MEX2 Basketball Semi-Final785</v>
      </c>
      <c r="X10" s="250" t="str">
        <f>IFERROR(VLOOKUP(TEXT($A$6+$A10,"MM/DD/YYYY HH:MM")&amp;"-&gt;"&amp;W$2,search_location_2,7,0),"")</f>
        <v>CHILDREN E MALE</v>
      </c>
      <c r="Y10" s="250" t="str">
        <f>IFERROR(VLOOKUP(TEXT($A$6+$A10,"MM/DD/YYYY HH:MM")&amp;"-&gt;"&amp;W$2,search_location_2,8,0),"")</f>
        <v>Basketball</v>
      </c>
      <c r="Z10" s="254" t="str">
        <f>IFERROR(VLOOKUP(TEXT($A$6+$A10,"MM/DD/YYYY HH:MM")&amp;"-&gt;"&amp;Z$2,search_location_2,6,0)&amp;VLOOKUP(TEXT($A$6+$A10,"MM/DD/YYYY HH:MM")&amp;"-&gt;"&amp;Z$2,search_location_2,9,0),"")</f>
        <v/>
      </c>
      <c r="AA10" s="251" t="str">
        <f>IFERROR(VLOOKUP(TEXT($A$6+$A10,"MM/DD/YYYY HH:MM")&amp;"-&gt;"&amp;Z$2,search_location_2,7,0),"")</f>
        <v/>
      </c>
      <c r="AB10" s="252" t="str">
        <f>IFERROR(VLOOKUP(TEXT($A$6+$A10,"MM/DD/YYYY HH:MM")&amp;"-&gt;"&amp;Z$2,search_location_2,8,0),"")</f>
        <v/>
      </c>
      <c r="AC10" s="249" t="str">
        <f>IFERROR(VLOOKUP(TEXT($A$6+$A10,"MM/DD/YYYY HH:MM")&amp;"-&gt;"&amp;AC$2,search_location_2,6,0)&amp;VLOOKUP(TEXT($A$6+$A10,"MM/DD/YYYY HH:MM")&amp;"-&gt;"&amp;AC$2,search_location_2,9,0),"")</f>
        <v/>
      </c>
      <c r="AD10" s="250" t="str">
        <f>IFERROR(VLOOKUP(TEXT($A$6+$A10,"MM/DD/YYYY HH:MM")&amp;"-&gt;"&amp;AC$2,search_location_2,7,0),"")</f>
        <v/>
      </c>
      <c r="AE10" s="250" t="str">
        <f>IFERROR(VLOOKUP(TEXT($A$6+$A10,"MM/DD/YYYY HH:MM")&amp;"-&gt;"&amp;AC$2,search_location_2,8,0),"")</f>
        <v/>
      </c>
      <c r="AF10" s="254" t="str">
        <f>IFERROR(VLOOKUP(TEXT($A$6+$A10,"MM/DD/YYYY HH:MM")&amp;"-&gt;"&amp;AF$2,search_location_2,6,0)&amp;VLOOKUP(TEXT($A$6+$A10,"MM/DD/YYYY HH:MM")&amp;"-&gt;"&amp;AF$2,search_location_2,9,0),"")</f>
        <v/>
      </c>
      <c r="AG10" s="251" t="str">
        <f>IFERROR(VLOOKUP(TEXT($A$6+$A10,"MM/DD/YYYY HH:MM")&amp;"-&gt;"&amp;AF$2,search_location_2,7,0),"")</f>
        <v/>
      </c>
      <c r="AH10" s="252" t="str">
        <f>IFERROR(VLOOKUP(TEXT($A$6+$A10,"MM/DD/YYYY HH:MM")&amp;"-&gt;"&amp;AF$2,search_location_2,8,0),"")</f>
        <v/>
      </c>
      <c r="AI10" s="255"/>
    </row>
    <row r="11" spans="1:35" s="256" customFormat="1" ht="38.25" customHeight="1" thickBot="1" x14ac:dyDescent="0.35">
      <c r="A11" s="257"/>
      <c r="B11" s="466" t="str">
        <f>IF(D11="flag football",LOWER(IFERROR(VLOOKUP(TEXT($A$6+$A10,"MM/DD/YYYY HH:MM")&amp;"-&gt;"&amp;B$3,search_location_2,6,0)&amp;VLOOKUP(TEXT($A$6+$A10,"MM/DD/YYYY HH:MM")&amp;"-&gt;"&amp;B$3,search_location_2,9,0),"")),IFERROR(VLOOKUP(TEXT($A$6+$A10,"MM/DD/YYYY HH:MM")&amp;"-&gt;"&amp;B$3,search_location_2,6,0)&amp;VLOOKUP(TEXT($A$6+$A10,"MM/DD/YYYY HH:MM")&amp;"-&gt;"&amp;B$3,search_location_2,9,0),""))</f>
        <v>VEN1-ISR1 Soccer Semi-Final812</v>
      </c>
      <c r="C11" s="467" t="str">
        <f>IFERROR(VLOOKUP(TEXT($A$6+$A10,"MM/DD/YYYY HH:MM")&amp;"-&gt;"&amp;B$3,search_location_2,7,0),"")</f>
        <v>VETERANs MAlE</v>
      </c>
      <c r="D11" s="467" t="str">
        <f>IFERROR(VLOOKUP(TEXT($A$6+$A10,"MM/DD/YYYY HH:MM")&amp;"-&gt;"&amp;B$3,search_location_2,8,0),"")</f>
        <v>Soccer</v>
      </c>
      <c r="E11" s="466" t="str">
        <f>IF(G11="flag football",LOWER(IFERROR(VLOOKUP(TEXT($A$6+$A10,"MM/DD/YYYY HH:MM")&amp;"-&gt;"&amp;E$3,search_location_2,6,0)&amp;VLOOKUP(TEXT($A$6+$A10,"MM/DD/YYYY HH:MM")&amp;"-&gt;"&amp;E$3,search_location_2,9,0),"")),IFERROR(VLOOKUP(TEXT($A$6+$A10,"MM/DD/YYYY HH:MM")&amp;"-&gt;"&amp;E$3,search_location_2,6,0)&amp;VLOOKUP(TEXT($A$6+$A10,"MM/DD/YYYY HH:MM")&amp;"-&gt;"&amp;E$3,search_location_2,9,0),""))</f>
        <v>ARG1-MEX Soccer Semi-Final813</v>
      </c>
      <c r="F11" s="467" t="str">
        <f>IFERROR(VLOOKUP(TEXT($A$6+$A10,"MM/DD/YYYY HH:MM")&amp;"-&gt;"&amp;E$3,search_location_2,7,0),"")</f>
        <v>VETERANs MAlE</v>
      </c>
      <c r="G11" s="467" t="str">
        <f>IFERROR(VLOOKUP(TEXT($A$6+$A10,"MM/DD/YYYY HH:MM")&amp;"-&gt;"&amp;E$3,search_location_2,8,0),"")</f>
        <v>Soccer</v>
      </c>
      <c r="H11" s="466" t="str">
        <f>IF(J11="Kickball",LOWER(IFERROR(VLOOKUP(TEXT($A$6+$A10,"MM/DD/YYYY HH:MM")&amp;"-&gt;"&amp;H$3,search_location_2,6,0)&amp;VLOOKUP(TEXT($A$6+$A10,"MM/DD/YYYY HH:MM")&amp;"-&gt;"&amp;H$3,search_location_2,9,0),"")),IFERROR(VLOOKUP(TEXT($A$6+$A10,"MM/DD/YYYY HH:MM")&amp;"-&gt;"&amp;H$3,search_location_2,6,0)&amp;VLOOKUP(TEXT($A$6+$A10,"MM/DD/YYYY HH:MM")&amp;"-&gt;"&amp;H$3,search_location_2,9,0),""))</f>
        <v>ARG1-MEX 377</v>
      </c>
      <c r="I11" s="468" t="str">
        <f>IFERROR(VLOOKUP(TEXT($A$6+$A10,"MM/DD/YYYY HH:MM")&amp;"-&gt;"&amp;H$3,search_location_2,7,0),"")</f>
        <v>CHILDREN E FEMALE</v>
      </c>
      <c r="J11" s="468" t="str">
        <f>IFERROR(VLOOKUP(TEXT($A$6+$A10,"MM/DD/YYYY HH:MM")&amp;"-&gt;"&amp;H$3,search_location_2,8,0),"")</f>
        <v>Volleyball</v>
      </c>
      <c r="K11" s="466" t="str">
        <f>IFERROR(VLOOKUP(TEXT($A$6+$A10,"MM/DD/YYYY HH:MM")&amp;"-&gt;"&amp;K$3,search_location_2,6,0)&amp;VLOOKUP(TEXT($A$6+$A10,"MM/DD/YYYY HH:MM")&amp;"-&gt;"&amp;K$3,search_location_2,9,0),"")</f>
        <v>VEN1-ISR 221</v>
      </c>
      <c r="L11" s="468" t="str">
        <f>IFERROR(VLOOKUP(TEXT($A$6+$A10,"MM/DD/YYYY HH:MM")&amp;"-&gt;"&amp;K$3,search_location_2,7,0),"")</f>
        <v>CHILDREN D FEMALE</v>
      </c>
      <c r="M11" s="469" t="str">
        <f>IFERROR(VLOOKUP(TEXT($A$6+$A10,"MM/DD/YYYY HH:MM")&amp;"-&gt;"&amp;K$3,search_location_2,8,0),"")</f>
        <v>Basketball</v>
      </c>
      <c r="N11" s="470" t="str">
        <f>IFERROR(VLOOKUP(TEXT($A$6+$A10,"MM/DD/YYYY HH:MM")&amp;"-&gt;"&amp;N$3,search_location_2,6,0)&amp;VLOOKUP(TEXT($A$6+$A10,"MM/DD/YYYY HH:MM")&amp;"-&gt;"&amp;N$3,search_location_2,9,0),"")</f>
        <v>COL2-PER 376</v>
      </c>
      <c r="O11" s="468" t="str">
        <f>IFERROR(VLOOKUP(TEXT($A$6+$A10,"MM/DD/YYYY HH:MM")&amp;"-&gt;"&amp;N$3,search_location_2,7,0),"")</f>
        <v>CHILDREN E FEMALE</v>
      </c>
      <c r="P11" s="468" t="str">
        <f>IFERROR(VLOOKUP(TEXT($A$6+$A10,"MM/DD/YYYY HH:MM")&amp;"-&gt;"&amp;N$3,search_location_2,8,0),"")</f>
        <v>Volleyball</v>
      </c>
      <c r="Q11" s="470" t="str">
        <f>IF(S11="Kickball",LOWER(IFERROR(VLOOKUP(TEXT($A$6+$A10,"MM/DD/YYYY HH:MM")&amp;"-&gt;"&amp;Q$3,search_location_2,6,0)&amp;VLOOKUP(TEXT($A$6+$A10,"MM/DD/YYYY HH:MM")&amp;"-&gt;"&amp;Q$3,search_location_2,9,0),"")),IFERROR(VLOOKUP(TEXT($A$6+$A10,"MM/DD/YYYY HH:MM")&amp;"-&gt;"&amp;Q$3,search_location_2,6,0)&amp;VLOOKUP(TEXT($A$6+$A10,"MM/DD/YYYY HH:MM")&amp;"-&gt;"&amp;Q$3,search_location_2,9,0),""))</f>
        <v>ven2-arg1 159</v>
      </c>
      <c r="R11" s="471" t="str">
        <f>IFERROR(VLOOKUP(TEXT($A$6+$A10,"MM/DD/YYYY HH:MM")&amp;"-&gt;"&amp;Q$3,search_location_2,7,0),"")</f>
        <v>CHILDREN C FEMALE</v>
      </c>
      <c r="S11" s="467" t="str">
        <f>IFERROR(VLOOKUP(TEXT($A$6+$A10,"MM/DD/YYYY HH:MM")&amp;"-&gt;"&amp;Q$3,search_location_2,8,0),"")</f>
        <v>Kickball</v>
      </c>
      <c r="T11" s="472" t="str">
        <f>IF(V11="Kickball",LOWER(IFERROR(VLOOKUP(TEXT($A$6+$A10,"MM/DD/YYYY HH:MM")&amp;"-&gt;"&amp;T$3,search_location_2,6,0)&amp;VLOOKUP(TEXT($A$6+$A10,"MM/DD/YYYY HH:MM")&amp;"-&gt;"&amp;T$3,search_location_2,9,0),"")),IFERROR(VLOOKUP(TEXT($A$6+$A10,"MM/DD/YYYY HH:MM")&amp;"-&gt;"&amp;T$3,search_location_2,6,0)&amp;VLOOKUP(TEXT($A$6+$A10,"MM/DD/YYYY HH:MM")&amp;"-&gt;"&amp;T$3,search_location_2,9,0),""))</f>
        <v>ven1-ven2 117</v>
      </c>
      <c r="U11" s="468" t="str">
        <f>IFERROR(VLOOKUP(TEXT($A$6+$A10,"MM/DD/YYYY HH:MM")&amp;"-&gt;"&amp;T$3,search_location_2,7,0),"")</f>
        <v>CHILDREN B COED</v>
      </c>
      <c r="V11" s="469" t="str">
        <f>IFERROR(VLOOKUP(TEXT($A$6+$A10,"MM/DD/YYYY HH:MM")&amp;"-&gt;"&amp;T$3,search_location_2,8,0),"")</f>
        <v>Kickball</v>
      </c>
      <c r="W11" s="466" t="str">
        <f>IFERROR(VLOOKUP(TEXT($A$6+$A10,"MM/DD/YYYY HH:MM")&amp;"-&gt;"&amp;W$3,search_location_2,6,0)&amp;VLOOKUP(TEXT($A$6+$A10,"MM/DD/YYYY HH:MM")&amp;"-&gt;"&amp;W$3,search_location_2,9,0),"")</f>
        <v>COL1-USA1 375</v>
      </c>
      <c r="X11" s="259" t="str">
        <f>IFERROR(VLOOKUP(TEXT($A$6+$A10,"MM/DD/YYYY HH:MM")&amp;"-&gt;"&amp;W$3,search_location_2,7,0),"")</f>
        <v>CHILDREN E FEMALE</v>
      </c>
      <c r="Y11" s="259" t="str">
        <f>IFERROR(VLOOKUP(TEXT($A$6+$A10,"MM/DD/YYYY HH:MM")&amp;"-&gt;"&amp;W$3,search_location_2,8,0),"")</f>
        <v>Volleyball</v>
      </c>
      <c r="Z11" s="263" t="str">
        <f>IFERROR(VLOOKUP(TEXT($A$6+$A10,"MM/DD/YYYY HH:MM")&amp;"-&gt;"&amp;Z$3,search_location_2,6,0)&amp;VLOOKUP(TEXT($A$6+$A10,"MM/DD/YYYY HH:MM")&amp;"-&gt;"&amp;Z$3,search_location_2,9,0),"")</f>
        <v/>
      </c>
      <c r="AA11" s="260" t="str">
        <f>IFERROR(VLOOKUP(TEXT($A$6+$A10,"MM/DD/YYYY HH:MM")&amp;"-&gt;"&amp;Z$3,search_location_2,7,0),"")</f>
        <v/>
      </c>
      <c r="AB11" s="261" t="str">
        <f>IFERROR(VLOOKUP(TEXT($A$6+$A10,"MM/DD/YYYY HH:MM")&amp;"-&gt;"&amp;Z$3,search_location_2,8,0),"")</f>
        <v/>
      </c>
      <c r="AC11" s="258" t="str">
        <f>IFERROR(VLOOKUP(TEXT($A$6+$A10,"MM/DD/YYYY HH:MM")&amp;"-&gt;"&amp;AC$3,search_location_2,6,0)&amp;VLOOKUP(TEXT($A$6+$A10,"MM/DD/YYYY HH:MM")&amp;"-&gt;"&amp;AC$3,search_location_2,9,0),"")</f>
        <v>COL2-USA1 141</v>
      </c>
      <c r="AD11" s="259" t="str">
        <f>IFERROR(VLOOKUP(TEXT($A$6+$A10,"MM/DD/YYYY HH:MM")&amp;"-&gt;"&amp;AC$3,search_location_2,7,0),"")</f>
        <v>CHILDREN B COED</v>
      </c>
      <c r="AE11" s="259" t="str">
        <f>IFERROR(VLOOKUP(TEXT($A$6+$A10,"MM/DD/YYYY HH:MM")&amp;"-&gt;"&amp;AC$3,search_location_2,8,0),"")</f>
        <v>Newcomb</v>
      </c>
      <c r="AF11" s="263" t="str">
        <f>IFERROR(VLOOKUP(TEXT($A$6+$A10,"MM/DD/YYYY HH:MM")&amp;"-&gt;"&amp;AF$3,search_location_2,6,0)&amp;VLOOKUP(TEXT($A$6+$A10,"MM/DD/YYYY HH:MM")&amp;"-&gt;"&amp;AF$3,search_location_2,9,0),"")</f>
        <v/>
      </c>
      <c r="AG11" s="260" t="str">
        <f>IFERROR(VLOOKUP(TEXT($A$6+$A10,"MM/DD/YYYY HH:MM")&amp;"-&gt;"&amp;AF$3,search_location_2,7,0),"")</f>
        <v/>
      </c>
      <c r="AH11" s="261" t="str">
        <f>IFERROR(VLOOKUP(TEXT($A$6+$A10,"MM/DD/YYYY HH:MM")&amp;"-&gt;"&amp;AF$3,search_location_2,8,0),"")</f>
        <v/>
      </c>
      <c r="AI11" s="255"/>
    </row>
    <row r="12" spans="1:35" s="256" customFormat="1" ht="38.25" customHeight="1" x14ac:dyDescent="0.3">
      <c r="A12" s="264">
        <f>A10+Time_Slots</f>
        <v>0.40277777777777773</v>
      </c>
      <c r="B12" s="426" t="str">
        <f>IF(D12="flag football",LOWER(IFERROR(VLOOKUP(TEXT($A$6+$A12,"MM/DD/YYYY HH:MM")&amp;"-&gt;"&amp;B$2,search_location_2,6,0)&amp;VLOOKUP(TEXT($A$6+$A12,"MM/DD/YYYY HH:MM")&amp;"-&gt;"&amp;B$2,search_location_2,9,0),"")),IFERROR(VLOOKUP(TEXT($A$6+$A12,"MM/DD/YYYY HH:MM")&amp;"-&gt;"&amp;B$2,search_location_2,6,0)&amp;VLOOKUP(TEXT($A$6+$A12,"MM/DD/YYYY HH:MM")&amp;"-&gt;"&amp;B$2,search_location_2,9,0),""))</f>
        <v>VEN1-ARG1 Soccer Semi-Final790</v>
      </c>
      <c r="C12" s="434" t="str">
        <f>IFERROR(VLOOKUP(TEXT($A$6+$A12,"MM/DD/YYYY HH:MM")&amp;"-&gt;"&amp;B$2,search_location_2,7,0),"")</f>
        <v>CHILDREN E MALE</v>
      </c>
      <c r="D12" s="434" t="str">
        <f>IFERROR(VLOOKUP(TEXT($A$6+$A12,"MM/DD/YYYY HH:MM")&amp;"-&gt;"&amp;B$2,search_location_2,8,0),"")</f>
        <v>Soccer</v>
      </c>
      <c r="E12" s="426" t="str">
        <f>IF(G12="flag football",LOWER(IFERROR(VLOOKUP(TEXT($A$6+$A12,"MM/DD/YYYY HH:MM")&amp;"-&gt;"&amp;E$2,search_location_2,6,0)&amp;VLOOKUP(TEXT($A$6+$A12,"MM/DD/YYYY HH:MM")&amp;"-&gt;"&amp;E$2,search_location_2,9,0),"")),IFERROR(VLOOKUP(TEXT($A$6+$A12,"MM/DD/YYYY HH:MM")&amp;"-&gt;"&amp;E$2,search_location_2,6,0)&amp;VLOOKUP(TEXT($A$6+$A12,"MM/DD/YYYY HH:MM")&amp;"-&gt;"&amp;E$2,search_location_2,9,0),""))</f>
        <v>PER-MEX2 Soccer Semi-Final791</v>
      </c>
      <c r="F12" s="434" t="str">
        <f>IFERROR(VLOOKUP(TEXT($A$6+$A12,"MM/DD/YYYY HH:MM")&amp;"-&gt;"&amp;E$2,search_location_2,7,0),"")</f>
        <v>CHILDREN E MALE</v>
      </c>
      <c r="G12" s="434" t="str">
        <f>IFERROR(VLOOKUP(TEXT($A$6+$A12,"MM/DD/YYYY HH:MM")&amp;"-&gt;"&amp;E$2,search_location_2,8,0),"")</f>
        <v>Soccer</v>
      </c>
      <c r="H12" s="426" t="str">
        <f>IF(J12="Kickball",LOWER(IFERROR(VLOOKUP(TEXT($A$6+$A12,"MM/DD/YYYY HH:MM")&amp;"-&gt;"&amp;H$2,search_location_2,6,0)&amp;VLOOKUP(TEXT($A$6+$A12,"MM/DD/YYYY HH:MM")&amp;"-&gt;"&amp;H$2,search_location_2,9,0),"")),IFERROR(VLOOKUP(TEXT($A$6+$A12,"MM/DD/YYYY HH:MM")&amp;"-&gt;"&amp;H$2,search_location_2,6,0)&amp;VLOOKUP(TEXT($A$6+$A12,"MM/DD/YYYY HH:MM")&amp;"-&gt;"&amp;H$2,search_location_2,9,0),""))</f>
        <v>VEN1-USA1 Basketball Semi-Final793</v>
      </c>
      <c r="I12" s="424" t="str">
        <f>IFERROR(VLOOKUP(TEXT($A$6+$A12,"MM/DD/YYYY HH:MM")&amp;"-&gt;"&amp;H$2,search_location_2,7,0),"")</f>
        <v>JUNIORS A MALE</v>
      </c>
      <c r="J12" s="424" t="str">
        <f>IFERROR(VLOOKUP(TEXT($A$6+$A12,"MM/DD/YYYY HH:MM")&amp;"-&gt;"&amp;H$2,search_location_2,8,0),"")</f>
        <v>Basketball</v>
      </c>
      <c r="K12" s="426" t="str">
        <f>IFERROR(VLOOKUP(TEXT($A$6+$A12,"MM/DD/YYYY HH:MM")&amp;"-&gt;"&amp;K$2,search_location_2,6,0)&amp;VLOOKUP(TEXT($A$6+$A12,"MM/DD/YYYY HH:MM")&amp;"-&gt;"&amp;K$2,search_location_2,9,0),"")</f>
        <v>MEX-USA2 105</v>
      </c>
      <c r="L12" s="424" t="str">
        <f>IFERROR(VLOOKUP(TEXT($A$6+$A12,"MM/DD/YYYY HH:MM")&amp;"-&gt;"&amp;K$2,search_location_2,7,0),"")</f>
        <v>CHILDREN B COED</v>
      </c>
      <c r="M12" s="436" t="str">
        <f>IFERROR(VLOOKUP(TEXT($A$6+$A12,"MM/DD/YYYY HH:MM")&amp;"-&gt;"&amp;K$2,search_location_2,8,0),"")</f>
        <v>Basketball</v>
      </c>
      <c r="N12" s="437" t="str">
        <f>IFERROR(VLOOKUP(TEXT($A$6+$A12,"MM/DD/YYYY HH:MM")&amp;"-&gt;"&amp;N$2,search_location_2,6,0)&amp;VLOOKUP(TEXT($A$6+$A12,"MM/DD/YYYY HH:MM")&amp;"-&gt;"&amp;N$2,search_location_2,9,0),"")</f>
        <v>USA1-COL2 Basketball Semi-Final777</v>
      </c>
      <c r="O12" s="424" t="str">
        <f>IFERROR(VLOOKUP(TEXT($A$6+$A12,"MM/DD/YYYY HH:MM")&amp;"-&gt;"&amp;N$2,search_location_2,7,0),"")</f>
        <v>CHILDREN D MALE</v>
      </c>
      <c r="P12" s="424" t="str">
        <f>IFERROR(VLOOKUP(TEXT($A$6+$A12,"MM/DD/YYYY HH:MM")&amp;"-&gt;"&amp;N$2,search_location_2,8,0),"")</f>
        <v>Basketball</v>
      </c>
      <c r="Q12" s="437" t="str">
        <f>IF(S12="Kickball",LOWER(IFERROR(VLOOKUP(TEXT($A$6+$A12,"MM/DD/YYYY HH:MM")&amp;"-&gt;"&amp;Q$2,search_location_2,6,0)&amp;VLOOKUP(TEXT($A$6+$A12,"MM/DD/YYYY HH:MM")&amp;"-&gt;"&amp;Q$2,search_location_2,9,0),"")),IFERROR(VLOOKUP(TEXT($A$6+$A12,"MM/DD/YYYY HH:MM")&amp;"-&gt;"&amp;Q$2,search_location_2,6,0)&amp;VLOOKUP(TEXT($A$6+$A12,"MM/DD/YYYY HH:MM")&amp;"-&gt;"&amp;Q$2,search_location_2,9,0),""))</f>
        <v>usa1-col1 160</v>
      </c>
      <c r="R12" s="432" t="str">
        <f>IFERROR(VLOOKUP(TEXT($A$6+$A12,"MM/DD/YYYY HH:MM")&amp;"-&gt;"&amp;Q$2,search_location_2,7,0),"")</f>
        <v>CHILDREN C FEMALE</v>
      </c>
      <c r="S12" s="434" t="str">
        <f>IFERROR(VLOOKUP(TEXT($A$6+$A12,"MM/DD/YYYY HH:MM")&amp;"-&gt;"&amp;Q$2,search_location_2,8,0),"")</f>
        <v>Kickball</v>
      </c>
      <c r="T12" s="439" t="str">
        <f>IF(V12="Kickball",LOWER(IFERROR(VLOOKUP(TEXT($A$6+$A12,"MM/DD/YYYY HH:MM")&amp;"-&gt;"&amp;T$2,search_location_2,6,0)&amp;VLOOKUP(TEXT($A$6+$A12,"MM/DD/YYYY HH:MM")&amp;"-&gt;"&amp;T$2,search_location_2,9,0),"")),IFERROR(VLOOKUP(TEXT($A$6+$A12,"MM/DD/YYYY HH:MM")&amp;"-&gt;"&amp;T$2,search_location_2,6,0)&amp;VLOOKUP(TEXT($A$6+$A12,"MM/DD/YYYY HH:MM")&amp;"-&gt;"&amp;T$2,search_location_2,9,0),""))</f>
        <v>col1-usa1 204</v>
      </c>
      <c r="U12" s="424" t="str">
        <f>IFERROR(VLOOKUP(TEXT($A$6+$A12,"MM/DD/YYYY HH:MM")&amp;"-&gt;"&amp;T$2,search_location_2,7,0),"")</f>
        <v>CHILDREN C MALE</v>
      </c>
      <c r="V12" s="436" t="str">
        <f>IFERROR(VLOOKUP(TEXT($A$6+$A12,"MM/DD/YYYY HH:MM")&amp;"-&gt;"&amp;T$2,search_location_2,8,0),"")</f>
        <v>Kickball</v>
      </c>
      <c r="W12" s="426" t="str">
        <f>IFERROR(VLOOKUP(TEXT($A$6+$A12,"MM/DD/YYYY HH:MM")&amp;"-&gt;"&amp;W$2,search_location_2,6,0)&amp;VLOOKUP(TEXT($A$6+$A12,"MM/DD/YYYY HH:MM")&amp;"-&gt;"&amp;W$2,search_location_2,9,0),"")</f>
        <v>MEX2-COL1 Basketball Semi-Final792</v>
      </c>
      <c r="X12" s="250" t="str">
        <f>IFERROR(VLOOKUP(TEXT($A$6+$A12,"MM/DD/YYYY HH:MM")&amp;"-&gt;"&amp;W$2,search_location_2,7,0),"")</f>
        <v>JUNIORS A MALE</v>
      </c>
      <c r="Y12" s="250" t="str">
        <f>IFERROR(VLOOKUP(TEXT($A$6+$A12,"MM/DD/YYYY HH:MM")&amp;"-&gt;"&amp;W$2,search_location_2,8,0),"")</f>
        <v>Basketball</v>
      </c>
      <c r="Z12" s="254" t="str">
        <f>IFERROR(VLOOKUP(TEXT($A$6+$A12,"MM/DD/YYYY HH:MM")&amp;"-&gt;"&amp;Z$2,search_location_2,6,0)&amp;VLOOKUP(TEXT($A$6+$A12,"MM/DD/YYYY HH:MM")&amp;"-&gt;"&amp;Z$2,search_location_2,9,0),"")</f>
        <v>COL1-USA2 88</v>
      </c>
      <c r="AA12" s="251" t="str">
        <f>IFERROR(VLOOKUP(TEXT($A$6+$A12,"MM/DD/YYYY HH:MM")&amp;"-&gt;"&amp;Z$2,search_location_2,7,0),"")</f>
        <v>CHILDREN A COED</v>
      </c>
      <c r="AB12" s="252" t="str">
        <f>IFERROR(VLOOKUP(TEXT($A$6+$A12,"MM/DD/YYYY HH:MM")&amp;"-&gt;"&amp;Z$2,search_location_2,8,0),"")</f>
        <v>Soccer</v>
      </c>
      <c r="AC12" s="249" t="str">
        <f>IFERROR(VLOOKUP(TEXT($A$6+$A12,"MM/DD/YYYY HH:MM")&amp;"-&gt;"&amp;AC$2,search_location_2,6,0)&amp;VLOOKUP(TEXT($A$6+$A12,"MM/DD/YYYY HH:MM")&amp;"-&gt;"&amp;AC$2,search_location_2,9,0),"")</f>
        <v/>
      </c>
      <c r="AD12" s="250" t="str">
        <f>IFERROR(VLOOKUP(TEXT($A$6+$A12,"MM/DD/YYYY HH:MM")&amp;"-&gt;"&amp;AC$2,search_location_2,7,0),"")</f>
        <v/>
      </c>
      <c r="AE12" s="250" t="str">
        <f>IFERROR(VLOOKUP(TEXT($A$6+$A12,"MM/DD/YYYY HH:MM")&amp;"-&gt;"&amp;AC$2,search_location_2,8,0),"")</f>
        <v/>
      </c>
      <c r="AF12" s="254" t="str">
        <f>IFERROR(VLOOKUP(TEXT($A$6+$A12,"MM/DD/YYYY HH:MM")&amp;"-&gt;"&amp;AF$2,search_location_2,6,0)&amp;VLOOKUP(TEXT($A$6+$A12,"MM/DD/YYYY HH:MM")&amp;"-&gt;"&amp;AF$2,search_location_2,9,0),"")</f>
        <v/>
      </c>
      <c r="AG12" s="251" t="str">
        <f>IFERROR(VLOOKUP(TEXT($A$6+$A12,"MM/DD/YYYY HH:MM")&amp;"-&gt;"&amp;AF$2,search_location_2,7,0),"")</f>
        <v/>
      </c>
      <c r="AH12" s="252" t="str">
        <f>IFERROR(VLOOKUP(TEXT($A$6+$A12,"MM/DD/YYYY HH:MM")&amp;"-&gt;"&amp;AF$2,search_location_2,8,0),"")</f>
        <v/>
      </c>
      <c r="AI12" s="255"/>
    </row>
    <row r="13" spans="1:35" s="256" customFormat="1" ht="38.25" customHeight="1" thickBot="1" x14ac:dyDescent="0.35">
      <c r="A13" s="257"/>
      <c r="B13" s="466" t="str">
        <f>IF(D13="flag football",LOWER(IFERROR(VLOOKUP(TEXT($A$6+$A12,"MM/DD/YYYY HH:MM")&amp;"-&gt;"&amp;B$3,search_location_2,6,0)&amp;VLOOKUP(TEXT($A$6+$A12,"MM/DD/YYYY HH:MM")&amp;"-&gt;"&amp;B$3,search_location_2,9,0),"")),IFERROR(VLOOKUP(TEXT($A$6+$A12,"MM/DD/YYYY HH:MM")&amp;"-&gt;"&amp;B$3,search_location_2,6,0)&amp;VLOOKUP(TEXT($A$6+$A12,"MM/DD/YYYY HH:MM")&amp;"-&gt;"&amp;B$3,search_location_2,9,0),""))</f>
        <v>MEX-ISR1 Soccer Semi-Final802</v>
      </c>
      <c r="C13" s="467" t="str">
        <f>IFERROR(VLOOKUP(TEXT($A$6+$A12,"MM/DD/YYYY HH:MM")&amp;"-&gt;"&amp;B$3,search_location_2,7,0),"")</f>
        <v>JUNIORS B MALE</v>
      </c>
      <c r="D13" s="467" t="str">
        <f>IFERROR(VLOOKUP(TEXT($A$6+$A12,"MM/DD/YYYY HH:MM")&amp;"-&gt;"&amp;B$3,search_location_2,8,0),"")</f>
        <v>Soccer</v>
      </c>
      <c r="E13" s="466" t="str">
        <f>IF(G13="flag football",LOWER(IFERROR(VLOOKUP(TEXT($A$6+$A12,"MM/DD/YYYY HH:MM")&amp;"-&gt;"&amp;E$3,search_location_2,6,0)&amp;VLOOKUP(TEXT($A$6+$A12,"MM/DD/YYYY HH:MM")&amp;"-&gt;"&amp;E$3,search_location_2,9,0),"")),IFERROR(VLOOKUP(TEXT($A$6+$A12,"MM/DD/YYYY HH:MM")&amp;"-&gt;"&amp;E$3,search_location_2,6,0)&amp;VLOOKUP(TEXT($A$6+$A12,"MM/DD/YYYY HH:MM")&amp;"-&gt;"&amp;E$3,search_location_2,9,0),""))</f>
        <v>VEN1-PER Soccer Semi-Final803</v>
      </c>
      <c r="F13" s="467" t="str">
        <f>IFERROR(VLOOKUP(TEXT($A$6+$A12,"MM/DD/YYYY HH:MM")&amp;"-&gt;"&amp;E$3,search_location_2,7,0),"")</f>
        <v>JUNIORS B MALE</v>
      </c>
      <c r="G13" s="467" t="str">
        <f>IFERROR(VLOOKUP(TEXT($A$6+$A12,"MM/DD/YYYY HH:MM")&amp;"-&gt;"&amp;E$3,search_location_2,8,0),"")</f>
        <v>Soccer</v>
      </c>
      <c r="H13" s="466" t="str">
        <f>IF(J13="Kickball",LOWER(IFERROR(VLOOKUP(TEXT($A$6+$A12,"MM/DD/YYYY HH:MM")&amp;"-&gt;"&amp;H$3,search_location_2,6,0)&amp;VLOOKUP(TEXT($A$6+$A12,"MM/DD/YYYY HH:MM")&amp;"-&gt;"&amp;H$3,search_location_2,9,0),"")),IFERROR(VLOOKUP(TEXT($A$6+$A12,"MM/DD/YYYY HH:MM")&amp;"-&gt;"&amp;H$3,search_location_2,6,0)&amp;VLOOKUP(TEXT($A$6+$A12,"MM/DD/YYYY HH:MM")&amp;"-&gt;"&amp;H$3,search_location_2,9,0),""))</f>
        <v>ISR1-MEX Volleyball Semi-Final814</v>
      </c>
      <c r="I13" s="468" t="str">
        <f>IFERROR(VLOOKUP(TEXT($A$6+$A12,"MM/DD/YYYY HH:MM")&amp;"-&gt;"&amp;H$3,search_location_2,7,0),"")</f>
        <v>VETERANs MAlE</v>
      </c>
      <c r="J13" s="468" t="str">
        <f>IFERROR(VLOOKUP(TEXT($A$6+$A12,"MM/DD/YYYY HH:MM")&amp;"-&gt;"&amp;H$3,search_location_2,8,0),"")</f>
        <v>Volleyball</v>
      </c>
      <c r="K13" s="466" t="str">
        <f>IFERROR(VLOOKUP(TEXT($A$6+$A12,"MM/DD/YYYY HH:MM")&amp;"-&gt;"&amp;K$3,search_location_2,6,0)&amp;VLOOKUP(TEXT($A$6+$A12,"MM/DD/YYYY HH:MM")&amp;"-&gt;"&amp;K$3,search_location_2,9,0),"")</f>
        <v/>
      </c>
      <c r="L13" s="468" t="str">
        <f>IFERROR(VLOOKUP(TEXT($A$6+$A12,"MM/DD/YYYY HH:MM")&amp;"-&gt;"&amp;K$3,search_location_2,7,0),"")</f>
        <v/>
      </c>
      <c r="M13" s="469" t="str">
        <f>IFERROR(VLOOKUP(TEXT($A$6+$A12,"MM/DD/YYYY HH:MM")&amp;"-&gt;"&amp;K$3,search_location_2,8,0),"")</f>
        <v/>
      </c>
      <c r="N13" s="470" t="str">
        <f>IFERROR(VLOOKUP(TEXT($A$6+$A12,"MM/DD/YYYY HH:MM")&amp;"-&gt;"&amp;N$3,search_location_2,6,0)&amp;VLOOKUP(TEXT($A$6+$A12,"MM/DD/YYYY HH:MM")&amp;"-&gt;"&amp;N$3,search_location_2,9,0),"")</f>
        <v>VEN1-USA2 178</v>
      </c>
      <c r="O13" s="468" t="str">
        <f>IFERROR(VLOOKUP(TEXT($A$6+$A12,"MM/DD/YYYY HH:MM")&amp;"-&gt;"&amp;N$3,search_location_2,7,0),"")</f>
        <v>CHILDREN C FEMALE</v>
      </c>
      <c r="P13" s="468" t="str">
        <f>IFERROR(VLOOKUP(TEXT($A$6+$A12,"MM/DD/YYYY HH:MM")&amp;"-&gt;"&amp;N$3,search_location_2,8,0),"")</f>
        <v>Newcomb</v>
      </c>
      <c r="Q13" s="470" t="str">
        <f>IF(S13="Kickball",LOWER(IFERROR(VLOOKUP(TEXT($A$6+$A12,"MM/DD/YYYY HH:MM")&amp;"-&gt;"&amp;Q$3,search_location_2,6,0)&amp;VLOOKUP(TEXT($A$6+$A12,"MM/DD/YYYY HH:MM")&amp;"-&gt;"&amp;Q$3,search_location_2,9,0),"")),IFERROR(VLOOKUP(TEXT($A$6+$A12,"MM/DD/YYYY HH:MM")&amp;"-&gt;"&amp;Q$3,search_location_2,6,0)&amp;VLOOKUP(TEXT($A$6+$A12,"MM/DD/YYYY HH:MM")&amp;"-&gt;"&amp;Q$3,search_location_2,9,0),""))</f>
        <v>usa1-per kickball final817</v>
      </c>
      <c r="R13" s="471" t="str">
        <f>IFERROR(VLOOKUP(TEXT($A$6+$A12,"MM/DD/YYYY HH:MM")&amp;"-&gt;"&amp;Q$3,search_location_2,7,0),"")</f>
        <v>Adults FEMALE</v>
      </c>
      <c r="S13" s="467" t="str">
        <f>IFERROR(VLOOKUP(TEXT($A$6+$A12,"MM/DD/YYYY HH:MM")&amp;"-&gt;"&amp;Q$3,search_location_2,8,0),"")</f>
        <v>Kickball</v>
      </c>
      <c r="T13" s="472" t="str">
        <f>IF(V13="Kickball",LOWER(IFERROR(VLOOKUP(TEXT($A$6+$A12,"MM/DD/YYYY HH:MM")&amp;"-&gt;"&amp;T$3,search_location_2,6,0)&amp;VLOOKUP(TEXT($A$6+$A12,"MM/DD/YYYY HH:MM")&amp;"-&gt;"&amp;T$3,search_location_2,9,0),"")),IFERROR(VLOOKUP(TEXT($A$6+$A12,"MM/DD/YYYY HH:MM")&amp;"-&gt;"&amp;T$3,search_location_2,6,0)&amp;VLOOKUP(TEXT($A$6+$A12,"MM/DD/YYYY HH:MM")&amp;"-&gt;"&amp;T$3,search_location_2,9,0),""))</f>
        <v>usa1-arg1 kickball final837</v>
      </c>
      <c r="U13" s="468" t="str">
        <f>IFERROR(VLOOKUP(TEXT($A$6+$A12,"MM/DD/YYYY HH:MM")&amp;"-&gt;"&amp;T$3,search_location_2,7,0),"")</f>
        <v>CHILDREN D FEMALE</v>
      </c>
      <c r="V13" s="469" t="str">
        <f>IFERROR(VLOOKUP(TEXT($A$6+$A12,"MM/DD/YYYY HH:MM")&amp;"-&gt;"&amp;T$3,search_location_2,8,0),"")</f>
        <v>Kickball</v>
      </c>
      <c r="W13" s="466" t="str">
        <f>IFERROR(VLOOKUP(TEXT($A$6+$A12,"MM/DD/YYYY HH:MM")&amp;"-&gt;"&amp;W$3,search_location_2,6,0)&amp;VLOOKUP(TEXT($A$6+$A12,"MM/DD/YYYY HH:MM")&amp;"-&gt;"&amp;W$3,search_location_2,9,0),"")</f>
        <v>USA2-PER Volleyball Semi-Final810</v>
      </c>
      <c r="X13" s="259" t="str">
        <f>IFERROR(VLOOKUP(TEXT($A$6+$A12,"MM/DD/YYYY HH:MM")&amp;"-&gt;"&amp;W$3,search_location_2,7,0),"")</f>
        <v>JUNIORS FEMALE</v>
      </c>
      <c r="Y13" s="259" t="str">
        <f>IFERROR(VLOOKUP(TEXT($A$6+$A12,"MM/DD/YYYY HH:MM")&amp;"-&gt;"&amp;W$3,search_location_2,8,0),"")</f>
        <v>Volleyball</v>
      </c>
      <c r="Z13" s="263" t="str">
        <f>IFERROR(VLOOKUP(TEXT($A$6+$A12,"MM/DD/YYYY HH:MM")&amp;"-&gt;"&amp;Z$3,search_location_2,6,0)&amp;VLOOKUP(TEXT($A$6+$A12,"MM/DD/YYYY HH:MM")&amp;"-&gt;"&amp;Z$3,search_location_2,9,0),"")</f>
        <v/>
      </c>
      <c r="AA13" s="260" t="str">
        <f>IFERROR(VLOOKUP(TEXT($A$6+$A12,"MM/DD/YYYY HH:MM")&amp;"-&gt;"&amp;Z$3,search_location_2,7,0),"")</f>
        <v/>
      </c>
      <c r="AB13" s="261" t="str">
        <f>IFERROR(VLOOKUP(TEXT($A$6+$A12,"MM/DD/YYYY HH:MM")&amp;"-&gt;"&amp;Z$3,search_location_2,8,0),"")</f>
        <v/>
      </c>
      <c r="AC13" s="258" t="str">
        <f>IFERROR(VLOOKUP(TEXT($A$6+$A12,"MM/DD/YYYY HH:MM")&amp;"-&gt;"&amp;AC$3,search_location_2,6,0)&amp;VLOOKUP(TEXT($A$6+$A12,"MM/DD/YYYY HH:MM")&amp;"-&gt;"&amp;AC$3,search_location_2,9,0),"")</f>
        <v>USA1-VEN1 94</v>
      </c>
      <c r="AD13" s="259" t="str">
        <f>IFERROR(VLOOKUP(TEXT($A$6+$A12,"MM/DD/YYYY HH:MM")&amp;"-&gt;"&amp;AC$3,search_location_2,7,0),"")</f>
        <v>CHILDREN A COED</v>
      </c>
      <c r="AE13" s="259" t="str">
        <f>IFERROR(VLOOKUP(TEXT($A$6+$A12,"MM/DD/YYYY HH:MM")&amp;"-&gt;"&amp;AC$3,search_location_2,8,0),"")</f>
        <v>Newcomb</v>
      </c>
      <c r="AF13" s="263" t="str">
        <f>IFERROR(VLOOKUP(TEXT($A$6+$A12,"MM/DD/YYYY HH:MM")&amp;"-&gt;"&amp;AF$3,search_location_2,6,0)&amp;VLOOKUP(TEXT($A$6+$A12,"MM/DD/YYYY HH:MM")&amp;"-&gt;"&amp;AF$3,search_location_2,9,0),"")</f>
        <v/>
      </c>
      <c r="AG13" s="260" t="str">
        <f>IFERROR(VLOOKUP(TEXT($A$6+$A12,"MM/DD/YYYY HH:MM")&amp;"-&gt;"&amp;AF$3,search_location_2,7,0),"")</f>
        <v/>
      </c>
      <c r="AH13" s="261" t="str">
        <f>IFERROR(VLOOKUP(TEXT($A$6+$A12,"MM/DD/YYYY HH:MM")&amp;"-&gt;"&amp;AF$3,search_location_2,8,0),"")</f>
        <v/>
      </c>
      <c r="AI13" s="255"/>
    </row>
    <row r="14" spans="1:35" s="256" customFormat="1" ht="38.25" customHeight="1" x14ac:dyDescent="0.3">
      <c r="A14" s="264">
        <f>A12+Time_Slots</f>
        <v>0.43749999999999994</v>
      </c>
      <c r="B14" s="426" t="str">
        <f>IF(D14="flag football",LOWER(IFERROR(VLOOKUP(TEXT($A$6+$A14,"MM/DD/YYYY HH:MM")&amp;"-&gt;"&amp;B$2,search_location_2,6,0)&amp;VLOOKUP(TEXT($A$6+$A14,"MM/DD/YYYY HH:MM")&amp;"-&gt;"&amp;B$2,search_location_2,9,0),"")),IFERROR(VLOOKUP(TEXT($A$6+$A14,"MM/DD/YYYY HH:MM")&amp;"-&gt;"&amp;B$2,search_location_2,6,0)&amp;VLOOKUP(TEXT($A$6+$A14,"MM/DD/YYYY HH:MM")&amp;"-&gt;"&amp;B$2,search_location_2,9,0),""))</f>
        <v>ARG1-COL1 Soccer Semi-Final796</v>
      </c>
      <c r="C14" s="434" t="str">
        <f>IFERROR(VLOOKUP(TEXT($A$6+$A14,"MM/DD/YYYY HH:MM")&amp;"-&gt;"&amp;B$2,search_location_2,7,0),"")</f>
        <v>JUNIORS A MALE</v>
      </c>
      <c r="D14" s="434" t="str">
        <f>IFERROR(VLOOKUP(TEXT($A$6+$A14,"MM/DD/YYYY HH:MM")&amp;"-&gt;"&amp;B$2,search_location_2,8,0),"")</f>
        <v>Soccer</v>
      </c>
      <c r="E14" s="426" t="str">
        <f>IF(G14="flag football",LOWER(IFERROR(VLOOKUP(TEXT($A$6+$A14,"MM/DD/YYYY HH:MM")&amp;"-&gt;"&amp;E$2,search_location_2,6,0)&amp;VLOOKUP(TEXT($A$6+$A14,"MM/DD/YYYY HH:MM")&amp;"-&gt;"&amp;E$2,search_location_2,9,0),"")),IFERROR(VLOOKUP(TEXT($A$6+$A14,"MM/DD/YYYY HH:MM")&amp;"-&gt;"&amp;E$2,search_location_2,6,0)&amp;VLOOKUP(TEXT($A$6+$A14,"MM/DD/YYYY HH:MM")&amp;"-&gt;"&amp;E$2,search_location_2,9,0),""))</f>
        <v>VEN1-VEN2 Soccer Semi-Final797</v>
      </c>
      <c r="F14" s="434" t="str">
        <f>IFERROR(VLOOKUP(TEXT($A$6+$A14,"MM/DD/YYYY HH:MM")&amp;"-&gt;"&amp;E$2,search_location_2,7,0),"")</f>
        <v>JUNIORS A MALE</v>
      </c>
      <c r="G14" s="434" t="str">
        <f>IFERROR(VLOOKUP(TEXT($A$6+$A14,"MM/DD/YYYY HH:MM")&amp;"-&gt;"&amp;E$2,search_location_2,8,0),"")</f>
        <v>Soccer</v>
      </c>
      <c r="H14" s="426" t="str">
        <f>IF(J14="Kickball",LOWER(IFERROR(VLOOKUP(TEXT($A$6+$A14,"MM/DD/YYYY HH:MM")&amp;"-&gt;"&amp;H$2,search_location_2,6,0)&amp;VLOOKUP(TEXT($A$6+$A14,"MM/DD/YYYY HH:MM")&amp;"-&gt;"&amp;H$2,search_location_2,9,0),"")),IFERROR(VLOOKUP(TEXT($A$6+$A14,"MM/DD/YYYY HH:MM")&amp;"-&gt;"&amp;H$2,search_location_2,6,0)&amp;VLOOKUP(TEXT($A$6+$A14,"MM/DD/YYYY HH:MM")&amp;"-&gt;"&amp;H$2,search_location_2,9,0),""))</f>
        <v>COL2-ISR1 Basketball Semi-Final804</v>
      </c>
      <c r="I14" s="424" t="str">
        <f>IFERROR(VLOOKUP(TEXT($A$6+$A14,"MM/DD/YYYY HH:MM")&amp;"-&gt;"&amp;H$2,search_location_2,7,0),"")</f>
        <v>JUNIORS FEMALE</v>
      </c>
      <c r="J14" s="424" t="str">
        <f>IFERROR(VLOOKUP(TEXT($A$6+$A14,"MM/DD/YYYY HH:MM")&amp;"-&gt;"&amp;H$2,search_location_2,8,0),"")</f>
        <v>Basketball</v>
      </c>
      <c r="K14" s="426" t="str">
        <f>IFERROR(VLOOKUP(TEXT($A$6+$A14,"MM/DD/YYYY HH:MM")&amp;"-&gt;"&amp;K$2,search_location_2,6,0)&amp;VLOOKUP(TEXT($A$6+$A14,"MM/DD/YYYY HH:MM")&amp;"-&gt;"&amp;K$2,search_location_2,9,0),"")</f>
        <v>ARG1-COL2 106</v>
      </c>
      <c r="L14" s="424" t="str">
        <f>IFERROR(VLOOKUP(TEXT($A$6+$A14,"MM/DD/YYYY HH:MM")&amp;"-&gt;"&amp;K$2,search_location_2,7,0),"")</f>
        <v>CHILDREN B COED</v>
      </c>
      <c r="M14" s="436" t="str">
        <f>IFERROR(VLOOKUP(TEXT($A$6+$A14,"MM/DD/YYYY HH:MM")&amp;"-&gt;"&amp;K$2,search_location_2,8,0),"")</f>
        <v>Basketball</v>
      </c>
      <c r="N14" s="437" t="str">
        <f>IFERROR(VLOOKUP(TEXT($A$6+$A14,"MM/DD/YYYY HH:MM")&amp;"-&gt;"&amp;N$2,search_location_2,6,0)&amp;VLOOKUP(TEXT($A$6+$A14,"MM/DD/YYYY HH:MM")&amp;"-&gt;"&amp;N$2,search_location_2,9,0),"")</f>
        <v>ISR1-USA1 335</v>
      </c>
      <c r="O14" s="424" t="str">
        <f>IFERROR(VLOOKUP(TEXT($A$6+$A14,"MM/DD/YYYY HH:MM")&amp;"-&gt;"&amp;N$2,search_location_2,7,0),"")</f>
        <v>CHILDREN E FEMALE</v>
      </c>
      <c r="P14" s="424" t="str">
        <f>IFERROR(VLOOKUP(TEXT($A$6+$A14,"MM/DD/YYYY HH:MM")&amp;"-&gt;"&amp;N$2,search_location_2,8,0),"")</f>
        <v>Basketball</v>
      </c>
      <c r="Q14" s="437" t="str">
        <f>IF(S14="Kickball",LOWER(IFERROR(VLOOKUP(TEXT($A$6+$A14,"MM/DD/YYYY HH:MM")&amp;"-&gt;"&amp;Q$2,search_location_2,6,0)&amp;VLOOKUP(TEXT($A$6+$A14,"MM/DD/YYYY HH:MM")&amp;"-&gt;"&amp;Q$2,search_location_2,9,0),"")),IFERROR(VLOOKUP(TEXT($A$6+$A14,"MM/DD/YYYY HH:MM")&amp;"-&gt;"&amp;Q$2,search_location_2,6,0)&amp;VLOOKUP(TEXT($A$6+$A14,"MM/DD/YYYY HH:MM")&amp;"-&gt;"&amp;Q$2,search_location_2,9,0),""))</f>
        <v>per-mex kickball semi-final780</v>
      </c>
      <c r="R14" s="432" t="str">
        <f>IFERROR(VLOOKUP(TEXT($A$6+$A14,"MM/DD/YYYY HH:MM")&amp;"-&gt;"&amp;Q$2,search_location_2,7,0),"")</f>
        <v>CHILDREN D MALE</v>
      </c>
      <c r="S14" s="434" t="str">
        <f>IFERROR(VLOOKUP(TEXT($A$6+$A14,"MM/DD/YYYY HH:MM")&amp;"-&gt;"&amp;Q$2,search_location_2,8,0),"")</f>
        <v>Kickball</v>
      </c>
      <c r="T14" s="439" t="str">
        <f>IF(V14="Kickball",LOWER(IFERROR(VLOOKUP(TEXT($A$6+$A14,"MM/DD/YYYY HH:MM")&amp;"-&gt;"&amp;T$2,search_location_2,6,0)&amp;VLOOKUP(TEXT($A$6+$A14,"MM/DD/YYYY HH:MM")&amp;"-&gt;"&amp;T$2,search_location_2,9,0),"")),IFERROR(VLOOKUP(TEXT($A$6+$A14,"MM/DD/YYYY HH:MM")&amp;"-&gt;"&amp;T$2,search_location_2,6,0)&amp;VLOOKUP(TEXT($A$6+$A14,"MM/DD/YYYY HH:MM")&amp;"-&gt;"&amp;T$2,search_location_2,9,0),""))</f>
        <v>arg1-ven2 kickball semi-final781</v>
      </c>
      <c r="U14" s="424" t="str">
        <f>IFERROR(VLOOKUP(TEXT($A$6+$A14,"MM/DD/YYYY HH:MM")&amp;"-&gt;"&amp;T$2,search_location_2,7,0),"")</f>
        <v>CHILDREN D MALE</v>
      </c>
      <c r="V14" s="436" t="str">
        <f>IFERROR(VLOOKUP(TEXT($A$6+$A14,"MM/DD/YYYY HH:MM")&amp;"-&gt;"&amp;T$2,search_location_2,8,0),"")</f>
        <v>Kickball</v>
      </c>
      <c r="W14" s="426" t="str">
        <f>IFERROR(VLOOKUP(TEXT($A$6+$A14,"MM/DD/YYYY HH:MM")&amp;"-&gt;"&amp;W$2,search_location_2,6,0)&amp;VLOOKUP(TEXT($A$6+$A14,"MM/DD/YYYY HH:MM")&amp;"-&gt;"&amp;W$2,search_location_2,9,0),"")</f>
        <v>USA2-ARG1 Basketball Semi-Final805</v>
      </c>
      <c r="X14" s="250" t="str">
        <f>IFERROR(VLOOKUP(TEXT($A$6+$A14,"MM/DD/YYYY HH:MM")&amp;"-&gt;"&amp;W$2,search_location_2,7,0),"")</f>
        <v>JUNIORS FEMALE</v>
      </c>
      <c r="Y14" s="250" t="str">
        <f>IFERROR(VLOOKUP(TEXT($A$6+$A14,"MM/DD/YYYY HH:MM")&amp;"-&gt;"&amp;W$2,search_location_2,8,0),"")</f>
        <v>Basketball</v>
      </c>
      <c r="Z14" s="254" t="str">
        <f>IFERROR(VLOOKUP(TEXT($A$6+$A14,"MM/DD/YYYY HH:MM")&amp;"-&gt;"&amp;Z$2,search_location_2,6,0)&amp;VLOOKUP(TEXT($A$6+$A14,"MM/DD/YYYY HH:MM")&amp;"-&gt;"&amp;Z$2,search_location_2,9,0),"")</f>
        <v/>
      </c>
      <c r="AA14" s="251" t="str">
        <f>IFERROR(VLOOKUP(TEXT($A$6+$A14,"MM/DD/YYYY HH:MM")&amp;"-&gt;"&amp;Z$2,search_location_2,7,0),"")</f>
        <v/>
      </c>
      <c r="AB14" s="252" t="str">
        <f>IFERROR(VLOOKUP(TEXT($A$6+$A14,"MM/DD/YYYY HH:MM")&amp;"-&gt;"&amp;Z$2,search_location_2,8,0),"")</f>
        <v/>
      </c>
      <c r="AC14" s="249" t="str">
        <f>IFERROR(VLOOKUP(TEXT($A$6+$A14,"MM/DD/YYYY HH:MM")&amp;"-&gt;"&amp;AC$2,search_location_2,6,0)&amp;VLOOKUP(TEXT($A$6+$A14,"MM/DD/YYYY HH:MM")&amp;"-&gt;"&amp;AC$2,search_location_2,9,0),"")</f>
        <v/>
      </c>
      <c r="AD14" s="250" t="str">
        <f>IFERROR(VLOOKUP(TEXT($A$6+$A14,"MM/DD/YYYY HH:MM")&amp;"-&gt;"&amp;AC$2,search_location_2,7,0),"")</f>
        <v/>
      </c>
      <c r="AE14" s="250" t="str">
        <f>IFERROR(VLOOKUP(TEXT($A$6+$A14,"MM/DD/YYYY HH:MM")&amp;"-&gt;"&amp;AC$2,search_location_2,8,0),"")</f>
        <v/>
      </c>
      <c r="AF14" s="254" t="str">
        <f>IFERROR(VLOOKUP(TEXT($A$6+$A14,"MM/DD/YYYY HH:MM")&amp;"-&gt;"&amp;AF$2,search_location_2,6,0)&amp;VLOOKUP(TEXT($A$6+$A14,"MM/DD/YYYY HH:MM")&amp;"-&gt;"&amp;AF$2,search_location_2,9,0),"")</f>
        <v/>
      </c>
      <c r="AG14" s="251" t="str">
        <f>IFERROR(VLOOKUP(TEXT($A$6+$A14,"MM/DD/YYYY HH:MM")&amp;"-&gt;"&amp;AF$2,search_location_2,7,0),"")</f>
        <v/>
      </c>
      <c r="AH14" s="252" t="str">
        <f>IFERROR(VLOOKUP(TEXT($A$6+$A14,"MM/DD/YYYY HH:MM")&amp;"-&gt;"&amp;AF$2,search_location_2,8,0),"")</f>
        <v/>
      </c>
      <c r="AI14" s="255"/>
    </row>
    <row r="15" spans="1:35" s="256" customFormat="1" ht="38.25" customHeight="1" thickBot="1" x14ac:dyDescent="0.35">
      <c r="A15" s="257"/>
      <c r="B15" s="466" t="str">
        <f>IF(D15="flag football",LOWER(IFERROR(VLOOKUP(TEXT($A$6+$A14,"MM/DD/YYYY HH:MM")&amp;"-&gt;"&amp;B$3,search_location_2,6,0)&amp;VLOOKUP(TEXT($A$6+$A14,"MM/DD/YYYY HH:MM")&amp;"-&gt;"&amp;B$3,search_location_2,9,0),"")),IFERROR(VLOOKUP(TEXT($A$6+$A14,"MM/DD/YYYY HH:MM")&amp;"-&gt;"&amp;B$3,search_location_2,6,0)&amp;VLOOKUP(TEXT($A$6+$A14,"MM/DD/YYYY HH:MM")&amp;"-&gt;"&amp;B$3,search_location_2,9,0),""))</f>
        <v/>
      </c>
      <c r="C15" s="467" t="str">
        <f>IFERROR(VLOOKUP(TEXT($A$6+$A14,"MM/DD/YYYY HH:MM")&amp;"-&gt;"&amp;B$3,search_location_2,7,0),"")</f>
        <v/>
      </c>
      <c r="D15" s="467" t="str">
        <f>IFERROR(VLOOKUP(TEXT($A$6+$A14,"MM/DD/YYYY HH:MM")&amp;"-&gt;"&amp;B$3,search_location_2,8,0),"")</f>
        <v/>
      </c>
      <c r="E15" s="466" t="str">
        <f>IF(G15="flag football",LOWER(IFERROR(VLOOKUP(TEXT($A$6+$A14,"MM/DD/YYYY HH:MM")&amp;"-&gt;"&amp;E$3,search_location_2,6,0)&amp;VLOOKUP(TEXT($A$6+$A14,"MM/DD/YYYY HH:MM")&amp;"-&gt;"&amp;E$3,search_location_2,9,0),"")),IFERROR(VLOOKUP(TEXT($A$6+$A14,"MM/DD/YYYY HH:MM")&amp;"-&gt;"&amp;E$3,search_location_2,6,0)&amp;VLOOKUP(TEXT($A$6+$A14,"MM/DD/YYYY HH:MM")&amp;"-&gt;"&amp;E$3,search_location_2,9,0),""))</f>
        <v>COL1-MEX 772</v>
      </c>
      <c r="F15" s="467" t="str">
        <f>IFERROR(VLOOKUP(TEXT($A$6+$A14,"MM/DD/YYYY HH:MM")&amp;"-&gt;"&amp;E$3,search_location_2,7,0),"")</f>
        <v>Adults FEMALE</v>
      </c>
      <c r="G15" s="467" t="str">
        <f>IFERROR(VLOOKUP(TEXT($A$6+$A14,"MM/DD/YYYY HH:MM")&amp;"-&gt;"&amp;E$3,search_location_2,8,0),"")</f>
        <v>Soccer</v>
      </c>
      <c r="H15" s="466" t="str">
        <f>IF(J15="Kickball",LOWER(IFERROR(VLOOKUP(TEXT($A$6+$A14,"MM/DD/YYYY HH:MM")&amp;"-&gt;"&amp;H$3,search_location_2,6,0)&amp;VLOOKUP(TEXT($A$6+$A14,"MM/DD/YYYY HH:MM")&amp;"-&gt;"&amp;H$3,search_location_2,9,0),"")),IFERROR(VLOOKUP(TEXT($A$6+$A14,"MM/DD/YYYY HH:MM")&amp;"-&gt;"&amp;H$3,search_location_2,6,0)&amp;VLOOKUP(TEXT($A$6+$A14,"MM/DD/YYYY HH:MM")&amp;"-&gt;"&amp;H$3,search_location_2,9,0),""))</f>
        <v>VEN1-COL1 Volleyball Semi-Final815</v>
      </c>
      <c r="I15" s="468" t="str">
        <f>IFERROR(VLOOKUP(TEXT($A$6+$A14,"MM/DD/YYYY HH:MM")&amp;"-&gt;"&amp;H$3,search_location_2,7,0),"")</f>
        <v>VETERANs MAlE</v>
      </c>
      <c r="J15" s="468" t="str">
        <f>IFERROR(VLOOKUP(TEXT($A$6+$A14,"MM/DD/YYYY HH:MM")&amp;"-&gt;"&amp;H$3,search_location_2,8,0),"")</f>
        <v>Volleyball</v>
      </c>
      <c r="K15" s="466" t="str">
        <f>IFERROR(VLOOKUP(TEXT($A$6+$A14,"MM/DD/YYYY HH:MM")&amp;"-&gt;"&amp;K$3,search_location_2,6,0)&amp;VLOOKUP(TEXT($A$6+$A14,"MM/DD/YYYY HH:MM")&amp;"-&gt;"&amp;K$3,search_location_2,9,0),"")</f>
        <v/>
      </c>
      <c r="L15" s="468" t="str">
        <f>IFERROR(VLOOKUP(TEXT($A$6+$A14,"MM/DD/YYYY HH:MM")&amp;"-&gt;"&amp;K$3,search_location_2,7,0),"")</f>
        <v/>
      </c>
      <c r="M15" s="469" t="str">
        <f>IFERROR(VLOOKUP(TEXT($A$6+$A14,"MM/DD/YYYY HH:MM")&amp;"-&gt;"&amp;K$3,search_location_2,8,0),"")</f>
        <v/>
      </c>
      <c r="N15" s="470" t="str">
        <f>IFERROR(VLOOKUP(TEXT($A$6+$A14,"MM/DD/YYYY HH:MM")&amp;"-&gt;"&amp;N$3,search_location_2,6,0)&amp;VLOOKUP(TEXT($A$6+$A14,"MM/DD/YYYY HH:MM")&amp;"-&gt;"&amp;N$3,search_location_2,9,0),"")</f>
        <v/>
      </c>
      <c r="O15" s="468" t="str">
        <f>IFERROR(VLOOKUP(TEXT($A$6+$A14,"MM/DD/YYYY HH:MM")&amp;"-&gt;"&amp;N$3,search_location_2,7,0),"")</f>
        <v/>
      </c>
      <c r="P15" s="468" t="str">
        <f>IFERROR(VLOOKUP(TEXT($A$6+$A14,"MM/DD/YYYY HH:MM")&amp;"-&gt;"&amp;N$3,search_location_2,8,0),"")</f>
        <v/>
      </c>
      <c r="Q15" s="470" t="str">
        <f>IF(S15="Kickball",LOWER(IFERROR(VLOOKUP(TEXT($A$6+$A14,"MM/DD/YYYY HH:MM")&amp;"-&gt;"&amp;Q$3,search_location_2,6,0)&amp;VLOOKUP(TEXT($A$6+$A14,"MM/DD/YYYY HH:MM")&amp;"-&gt;"&amp;Q$3,search_location_2,9,0),"")),IFERROR(VLOOKUP(TEXT($A$6+$A14,"MM/DD/YYYY HH:MM")&amp;"-&gt;"&amp;Q$3,search_location_2,6,0)&amp;VLOOKUP(TEXT($A$6+$A14,"MM/DD/YYYY HH:MM")&amp;"-&gt;"&amp;Q$3,search_location_2,9,0),""))</f>
        <v>ven1-arg1 kickball semi-final789</v>
      </c>
      <c r="R15" s="471" t="str">
        <f>IFERROR(VLOOKUP(TEXT($A$6+$A14,"MM/DD/YYYY HH:MM")&amp;"-&gt;"&amp;Q$3,search_location_2,7,0),"")</f>
        <v>CHILDREN E MALE</v>
      </c>
      <c r="S15" s="467" t="str">
        <f>IFERROR(VLOOKUP(TEXT($A$6+$A14,"MM/DD/YYYY HH:MM")&amp;"-&gt;"&amp;Q$3,search_location_2,8,0),"")</f>
        <v>Kickball</v>
      </c>
      <c r="T15" s="472" t="str">
        <f>IF(V15="Kickball",LOWER(IFERROR(VLOOKUP(TEXT($A$6+$A14,"MM/DD/YYYY HH:MM")&amp;"-&gt;"&amp;T$3,search_location_2,6,0)&amp;VLOOKUP(TEXT($A$6+$A14,"MM/DD/YYYY HH:MM")&amp;"-&gt;"&amp;T$3,search_location_2,9,0),"")),IFERROR(VLOOKUP(TEXT($A$6+$A14,"MM/DD/YYYY HH:MM")&amp;"-&gt;"&amp;T$3,search_location_2,6,0)&amp;VLOOKUP(TEXT($A$6+$A14,"MM/DD/YYYY HH:MM")&amp;"-&gt;"&amp;T$3,search_location_2,9,0),""))</f>
        <v>mex2-ven2 kickball semi-final788</v>
      </c>
      <c r="U15" s="468" t="str">
        <f>IFERROR(VLOOKUP(TEXT($A$6+$A14,"MM/DD/YYYY HH:MM")&amp;"-&gt;"&amp;T$3,search_location_2,7,0),"")</f>
        <v>CHILDREN E MALE</v>
      </c>
      <c r="V15" s="469" t="str">
        <f>IFERROR(VLOOKUP(TEXT($A$6+$A14,"MM/DD/YYYY HH:MM")&amp;"-&gt;"&amp;T$3,search_location_2,8,0),"")</f>
        <v>Kickball</v>
      </c>
      <c r="W15" s="466" t="str">
        <f>IFERROR(VLOOKUP(TEXT($A$6+$A14,"MM/DD/YYYY HH:MM")&amp;"-&gt;"&amp;W$3,search_location_2,6,0)&amp;VLOOKUP(TEXT($A$6+$A14,"MM/DD/YYYY HH:MM")&amp;"-&gt;"&amp;W$3,search_location_2,9,0),"")</f>
        <v>COL1-PER 378</v>
      </c>
      <c r="X15" s="259" t="str">
        <f>IFERROR(VLOOKUP(TEXT($A$6+$A14,"MM/DD/YYYY HH:MM")&amp;"-&gt;"&amp;W$3,search_location_2,7,0),"")</f>
        <v>CHILDREN E FEMALE</v>
      </c>
      <c r="Y15" s="259" t="str">
        <f>IFERROR(VLOOKUP(TEXT($A$6+$A14,"MM/DD/YYYY HH:MM")&amp;"-&gt;"&amp;W$3,search_location_2,8,0),"")</f>
        <v>Volleyball</v>
      </c>
      <c r="Z15" s="263" t="str">
        <f>IFERROR(VLOOKUP(TEXT($A$6+$A14,"MM/DD/YYYY HH:MM")&amp;"-&gt;"&amp;Z$3,search_location_2,6,0)&amp;VLOOKUP(TEXT($A$6+$A14,"MM/DD/YYYY HH:MM")&amp;"-&gt;"&amp;Z$3,search_location_2,9,0),"")</f>
        <v/>
      </c>
      <c r="AA15" s="260" t="str">
        <f>IFERROR(VLOOKUP(TEXT($A$6+$A14,"MM/DD/YYYY HH:MM")&amp;"-&gt;"&amp;Z$3,search_location_2,7,0),"")</f>
        <v/>
      </c>
      <c r="AB15" s="261" t="str">
        <f>IFERROR(VLOOKUP(TEXT($A$6+$A14,"MM/DD/YYYY HH:MM")&amp;"-&gt;"&amp;Z$3,search_location_2,8,0),"")</f>
        <v/>
      </c>
      <c r="AC15" s="258" t="str">
        <f>IFERROR(VLOOKUP(TEXT($A$6+$A14,"MM/DD/YYYY HH:MM")&amp;"-&gt;"&amp;AC$3,search_location_2,6,0)&amp;VLOOKUP(TEXT($A$6+$A14,"MM/DD/YYYY HH:MM")&amp;"-&gt;"&amp;AC$3,search_location_2,9,0),"")</f>
        <v>USA1-VEN2 142</v>
      </c>
      <c r="AD15" s="259" t="str">
        <f>IFERROR(VLOOKUP(TEXT($A$6+$A14,"MM/DD/YYYY HH:MM")&amp;"-&gt;"&amp;AC$3,search_location_2,7,0),"")</f>
        <v>CHILDREN B COED</v>
      </c>
      <c r="AE15" s="259" t="str">
        <f>IFERROR(VLOOKUP(TEXT($A$6+$A14,"MM/DD/YYYY HH:MM")&amp;"-&gt;"&amp;AC$3,search_location_2,8,0),"")</f>
        <v>Newcomb</v>
      </c>
      <c r="AF15" s="263" t="str">
        <f>IFERROR(VLOOKUP(TEXT($A$6+$A14,"MM/DD/YYYY HH:MM")&amp;"-&gt;"&amp;AF$3,search_location_2,6,0)&amp;VLOOKUP(TEXT($A$6+$A14,"MM/DD/YYYY HH:MM")&amp;"-&gt;"&amp;AF$3,search_location_2,9,0),"")</f>
        <v/>
      </c>
      <c r="AG15" s="260" t="str">
        <f>IFERROR(VLOOKUP(TEXT($A$6+$A14,"MM/DD/YYYY HH:MM")&amp;"-&gt;"&amp;AF$3,search_location_2,7,0),"")</f>
        <v/>
      </c>
      <c r="AH15" s="261" t="str">
        <f>IFERROR(VLOOKUP(TEXT($A$6+$A14,"MM/DD/YYYY HH:MM")&amp;"-&gt;"&amp;AF$3,search_location_2,8,0),"")</f>
        <v/>
      </c>
      <c r="AI15" s="255"/>
    </row>
    <row r="16" spans="1:35" s="256" customFormat="1" ht="38.25" customHeight="1" x14ac:dyDescent="0.3">
      <c r="A16" s="264">
        <f>A14+Time_Slots</f>
        <v>0.47222222222222215</v>
      </c>
      <c r="B16" s="426" t="str">
        <f>IF(D16="flag football",LOWER(IFERROR(VLOOKUP(TEXT($A$6+$A16,"MM/DD/YYYY HH:MM")&amp;"-&gt;"&amp;B$2,search_location_2,6,0)&amp;VLOOKUP(TEXT($A$6+$A16,"MM/DD/YYYY HH:MM")&amp;"-&gt;"&amp;B$2,search_location_2,9,0),"")),IFERROR(VLOOKUP(TEXT($A$6+$A16,"MM/DD/YYYY HH:MM")&amp;"-&gt;"&amp;B$2,search_location_2,6,0)&amp;VLOOKUP(TEXT($A$6+$A16,"MM/DD/YYYY HH:MM")&amp;"-&gt;"&amp;B$2,search_location_2,9,0),""))</f>
        <v>VEN2-USA1 169</v>
      </c>
      <c r="C16" s="434" t="str">
        <f>IFERROR(VLOOKUP(TEXT($A$6+$A16,"MM/DD/YYYY HH:MM")&amp;"-&gt;"&amp;B$2,search_location_2,7,0),"")</f>
        <v>CHILDREN C FEMALE</v>
      </c>
      <c r="D16" s="434" t="str">
        <f>IFERROR(VLOOKUP(TEXT($A$6+$A16,"MM/DD/YYYY HH:MM")&amp;"-&gt;"&amp;B$2,search_location_2,8,0),"")</f>
        <v>Soccer</v>
      </c>
      <c r="E16" s="426" t="str">
        <f>IF(G16="flag football",LOWER(IFERROR(VLOOKUP(TEXT($A$6+$A16,"MM/DD/YYYY HH:MM")&amp;"-&gt;"&amp;E$2,search_location_2,6,0)&amp;VLOOKUP(TEXT($A$6+$A16,"MM/DD/YYYY HH:MM")&amp;"-&gt;"&amp;E$2,search_location_2,9,0),"")),IFERROR(VLOOKUP(TEXT($A$6+$A16,"MM/DD/YYYY HH:MM")&amp;"-&gt;"&amp;E$2,search_location_2,6,0)&amp;VLOOKUP(TEXT($A$6+$A16,"MM/DD/YYYY HH:MM")&amp;"-&gt;"&amp;E$2,search_location_2,9,0),""))</f>
        <v>COL1-VEN1 130</v>
      </c>
      <c r="F16" s="434" t="str">
        <f>IFERROR(VLOOKUP(TEXT($A$6+$A16,"MM/DD/YYYY HH:MM")&amp;"-&gt;"&amp;E$2,search_location_2,7,0),"")</f>
        <v>CHILDREN B COED</v>
      </c>
      <c r="G16" s="434" t="str">
        <f>IFERROR(VLOOKUP(TEXT($A$6+$A16,"MM/DD/YYYY HH:MM")&amp;"-&gt;"&amp;E$2,search_location_2,8,0),"")</f>
        <v>Soccer</v>
      </c>
      <c r="H16" s="426" t="str">
        <f>IF(J16="Kickball",LOWER(IFERROR(VLOOKUP(TEXT($A$6+$A16,"MM/DD/YYYY HH:MM")&amp;"-&gt;"&amp;H$2,search_location_2,6,0)&amp;VLOOKUP(TEXT($A$6+$A16,"MM/DD/YYYY HH:MM")&amp;"-&gt;"&amp;H$2,search_location_2,9,0),"")),IFERROR(VLOOKUP(TEXT($A$6+$A16,"MM/DD/YYYY HH:MM")&amp;"-&gt;"&amp;H$2,search_location_2,6,0)&amp;VLOOKUP(TEXT($A$6+$A16,"MM/DD/YYYY HH:MM")&amp;"-&gt;"&amp;H$2,search_location_2,9,0),""))</f>
        <v>PER-MEX Basketball Semi-Final798</v>
      </c>
      <c r="I16" s="424" t="str">
        <f>IFERROR(VLOOKUP(TEXT($A$6+$A16,"MM/DD/YYYY HH:MM")&amp;"-&gt;"&amp;H$2,search_location_2,7,0),"")</f>
        <v>JUNIORS B MALE</v>
      </c>
      <c r="J16" s="424" t="str">
        <f>IFERROR(VLOOKUP(TEXT($A$6+$A16,"MM/DD/YYYY HH:MM")&amp;"-&gt;"&amp;H$2,search_location_2,8,0),"")</f>
        <v>Basketball</v>
      </c>
      <c r="K16" s="426" t="str">
        <f>IFERROR(VLOOKUP(TEXT($A$6+$A16,"MM/DD/YYYY HH:MM")&amp;"-&gt;"&amp;K$2,search_location_2,6,0)&amp;VLOOKUP(TEXT($A$6+$A16,"MM/DD/YYYY HH:MM")&amp;"-&gt;"&amp;K$2,search_location_2,9,0),"")</f>
        <v>VEN1-ARG1 151</v>
      </c>
      <c r="L16" s="424" t="str">
        <f>IFERROR(VLOOKUP(TEXT($A$6+$A16,"MM/DD/YYYY HH:MM")&amp;"-&gt;"&amp;K$2,search_location_2,7,0),"")</f>
        <v>CHILDREN C FEMALE</v>
      </c>
      <c r="M16" s="436" t="str">
        <f>IFERROR(VLOOKUP(TEXT($A$6+$A16,"MM/DD/YYYY HH:MM")&amp;"-&gt;"&amp;K$2,search_location_2,8,0),"")</f>
        <v>Basketball</v>
      </c>
      <c r="N16" s="437" t="str">
        <f>IFERROR(VLOOKUP(TEXT($A$6+$A16,"MM/DD/YYYY HH:MM")&amp;"-&gt;"&amp;N$2,search_location_2,6,0)&amp;VLOOKUP(TEXT($A$6+$A16,"MM/DD/YYYY HH:MM")&amp;"-&gt;"&amp;N$2,search_location_2,9,0),"")</f>
        <v/>
      </c>
      <c r="O16" s="424" t="str">
        <f>IFERROR(VLOOKUP(TEXT($A$6+$A16,"MM/DD/YYYY HH:MM")&amp;"-&gt;"&amp;N$2,search_location_2,7,0),"")</f>
        <v/>
      </c>
      <c r="P16" s="424" t="str">
        <f>IFERROR(VLOOKUP(TEXT($A$6+$A16,"MM/DD/YYYY HH:MM")&amp;"-&gt;"&amp;N$2,search_location_2,8,0),"")</f>
        <v/>
      </c>
      <c r="Q16" s="437" t="str">
        <f>IF(S16="Kickball",LOWER(IFERROR(VLOOKUP(TEXT($A$6+$A16,"MM/DD/YYYY HH:MM")&amp;"-&gt;"&amp;Q$2,search_location_2,6,0)&amp;VLOOKUP(TEXT($A$6+$A16,"MM/DD/YYYY HH:MM")&amp;"-&gt;"&amp;Q$2,search_location_2,9,0),"")),IFERROR(VLOOKUP(TEXT($A$6+$A16,"MM/DD/YYYY HH:MM")&amp;"-&gt;"&amp;Q$2,search_location_2,6,0)&amp;VLOOKUP(TEXT($A$6+$A16,"MM/DD/YYYY HH:MM")&amp;"-&gt;"&amp;Q$2,search_location_2,9,0),""))</f>
        <v>ven2-arg1 kickball final850</v>
      </c>
      <c r="R16" s="432" t="str">
        <f>IFERROR(VLOOKUP(TEXT($A$6+$A16,"MM/DD/YYYY HH:MM")&amp;"-&gt;"&amp;Q$2,search_location_2,7,0),"")</f>
        <v>CHILDREN E MALE</v>
      </c>
      <c r="S16" s="434" t="str">
        <f>IFERROR(VLOOKUP(TEXT($A$6+$A16,"MM/DD/YYYY HH:MM")&amp;"-&gt;"&amp;Q$2,search_location_2,8,0),"")</f>
        <v>Kickball</v>
      </c>
      <c r="T16" s="439" t="str">
        <f>IF(V16="Kickball",LOWER(IFERROR(VLOOKUP(TEXT($A$6+$A16,"MM/DD/YYYY HH:MM")&amp;"-&gt;"&amp;T$2,search_location_2,6,0)&amp;VLOOKUP(TEXT($A$6+$A16,"MM/DD/YYYY HH:MM")&amp;"-&gt;"&amp;T$2,search_location_2,9,0),"")),IFERROR(VLOOKUP(TEXT($A$6+$A16,"MM/DD/YYYY HH:MM")&amp;"-&gt;"&amp;T$2,search_location_2,6,0)&amp;VLOOKUP(TEXT($A$6+$A16,"MM/DD/YYYY HH:MM")&amp;"-&gt;"&amp;T$2,search_location_2,9,0),""))</f>
        <v>per-arg1 kickball final845</v>
      </c>
      <c r="U16" s="424" t="str">
        <f>IFERROR(VLOOKUP(TEXT($A$6+$A16,"MM/DD/YYYY HH:MM")&amp;"-&gt;"&amp;T$2,search_location_2,7,0),"")</f>
        <v>CHILDREN E FEMALE</v>
      </c>
      <c r="V16" s="436" t="str">
        <f>IFERROR(VLOOKUP(TEXT($A$6+$A16,"MM/DD/YYYY HH:MM")&amp;"-&gt;"&amp;T$2,search_location_2,8,0),"")</f>
        <v>Kickball</v>
      </c>
      <c r="W16" s="426" t="str">
        <f>IFERROR(VLOOKUP(TEXT($A$6+$A16,"MM/DD/YYYY HH:MM")&amp;"-&gt;"&amp;W$2,search_location_2,6,0)&amp;VLOOKUP(TEXT($A$6+$A16,"MM/DD/YYYY HH:MM")&amp;"-&gt;"&amp;W$2,search_location_2,9,0),"")</f>
        <v>VEN1-ISR1 Basketball Semi-Final799</v>
      </c>
      <c r="X16" s="250" t="str">
        <f>IFERROR(VLOOKUP(TEXT($A$6+$A16,"MM/DD/YYYY HH:MM")&amp;"-&gt;"&amp;W$2,search_location_2,7,0),"")</f>
        <v>JUNIORS B MALE</v>
      </c>
      <c r="Y16" s="250" t="str">
        <f>IFERROR(VLOOKUP(TEXT($A$6+$A16,"MM/DD/YYYY HH:MM")&amp;"-&gt;"&amp;W$2,search_location_2,8,0),"")</f>
        <v>Basketball</v>
      </c>
      <c r="Z16" s="254" t="str">
        <f>IFERROR(VLOOKUP(TEXT($A$6+$A16,"MM/DD/YYYY HH:MM")&amp;"-&gt;"&amp;Z$2,search_location_2,6,0)&amp;VLOOKUP(TEXT($A$6+$A16,"MM/DD/YYYY HH:MM")&amp;"-&gt;"&amp;Z$2,search_location_2,9,0),"")</f>
        <v/>
      </c>
      <c r="AA16" s="251" t="str">
        <f>IFERROR(VLOOKUP(TEXT($A$6+$A16,"MM/DD/YYYY HH:MM")&amp;"-&gt;"&amp;Z$2,search_location_2,7,0),"")</f>
        <v/>
      </c>
      <c r="AB16" s="252" t="str">
        <f>IFERROR(VLOOKUP(TEXT($A$6+$A16,"MM/DD/YYYY HH:MM")&amp;"-&gt;"&amp;Z$2,search_location_2,8,0),"")</f>
        <v/>
      </c>
      <c r="AC16" s="249" t="str">
        <f>IFERROR(VLOOKUP(TEXT($A$6+$A16,"MM/DD/YYYY HH:MM")&amp;"-&gt;"&amp;AC$2,search_location_2,6,0)&amp;VLOOKUP(TEXT($A$6+$A16,"MM/DD/YYYY HH:MM")&amp;"-&gt;"&amp;AC$2,search_location_2,9,0),"")</f>
        <v/>
      </c>
      <c r="AD16" s="250" t="str">
        <f>IFERROR(VLOOKUP(TEXT($A$6+$A16,"MM/DD/YYYY HH:MM")&amp;"-&gt;"&amp;AC$2,search_location_2,7,0),"")</f>
        <v/>
      </c>
      <c r="AE16" s="250" t="str">
        <f>IFERROR(VLOOKUP(TEXT($A$6+$A16,"MM/DD/YYYY HH:MM")&amp;"-&gt;"&amp;AC$2,search_location_2,8,0),"")</f>
        <v/>
      </c>
      <c r="AF16" s="254" t="str">
        <f>IFERROR(VLOOKUP(TEXT($A$6+$A16,"MM/DD/YYYY HH:MM")&amp;"-&gt;"&amp;AF$2,search_location_2,6,0)&amp;VLOOKUP(TEXT($A$6+$A16,"MM/DD/YYYY HH:MM")&amp;"-&gt;"&amp;AF$2,search_location_2,9,0),"")</f>
        <v/>
      </c>
      <c r="AG16" s="251" t="str">
        <f>IFERROR(VLOOKUP(TEXT($A$6+$A16,"MM/DD/YYYY HH:MM")&amp;"-&gt;"&amp;AF$2,search_location_2,7,0),"")</f>
        <v/>
      </c>
      <c r="AH16" s="252" t="str">
        <f>IFERROR(VLOOKUP(TEXT($A$6+$A16,"MM/DD/YYYY HH:MM")&amp;"-&gt;"&amp;AF$2,search_location_2,8,0),"")</f>
        <v/>
      </c>
      <c r="AI16" s="255"/>
    </row>
    <row r="17" spans="1:35" s="256" customFormat="1" ht="38.25" customHeight="1" thickBot="1" x14ac:dyDescent="0.35">
      <c r="A17" s="257"/>
      <c r="B17" s="466" t="str">
        <f>IF(D17="flag football",LOWER(IFERROR(VLOOKUP(TEXT($A$6+$A16,"MM/DD/YYYY HH:MM")&amp;"-&gt;"&amp;B$3,search_location_2,6,0)&amp;VLOOKUP(TEXT($A$6+$A16,"MM/DD/YYYY HH:MM")&amp;"-&gt;"&amp;B$3,search_location_2,9,0),"")),IFERROR(VLOOKUP(TEXT($A$6+$A16,"MM/DD/YYYY HH:MM")&amp;"-&gt;"&amp;B$3,search_location_2,6,0)&amp;VLOOKUP(TEXT($A$6+$A16,"MM/DD/YYYY HH:MM")&amp;"-&gt;"&amp;B$3,search_location_2,9,0),""))</f>
        <v>USA1-PER Soccer Semi-Final774</v>
      </c>
      <c r="C17" s="467" t="str">
        <f>IFERROR(VLOOKUP(TEXT($A$6+$A16,"MM/DD/YYYY HH:MM")&amp;"-&gt;"&amp;B$3,search_location_2,7,0),"")</f>
        <v>Adults MALE</v>
      </c>
      <c r="D17" s="467" t="str">
        <f>IFERROR(VLOOKUP(TEXT($A$6+$A16,"MM/DD/YYYY HH:MM")&amp;"-&gt;"&amp;B$3,search_location_2,8,0),"")</f>
        <v>Soccer</v>
      </c>
      <c r="E17" s="466" t="str">
        <f>IF(G17="flag football",LOWER(IFERROR(VLOOKUP(TEXT($A$6+$A16,"MM/DD/YYYY HH:MM")&amp;"-&gt;"&amp;E$3,search_location_2,6,0)&amp;VLOOKUP(TEXT($A$6+$A16,"MM/DD/YYYY HH:MM")&amp;"-&gt;"&amp;E$3,search_location_2,9,0),"")),IFERROR(VLOOKUP(TEXT($A$6+$A16,"MM/DD/YYYY HH:MM")&amp;"-&gt;"&amp;E$3,search_location_2,6,0)&amp;VLOOKUP(TEXT($A$6+$A16,"MM/DD/YYYY HH:MM")&amp;"-&gt;"&amp;E$3,search_location_2,9,0),""))</f>
        <v>MEX-ISR1 Soccer Semi-Final775</v>
      </c>
      <c r="F17" s="467" t="str">
        <f>IFERROR(VLOOKUP(TEXT($A$6+$A16,"MM/DD/YYYY HH:MM")&amp;"-&gt;"&amp;E$3,search_location_2,7,0),"")</f>
        <v>Adults MALE</v>
      </c>
      <c r="G17" s="467" t="str">
        <f>IFERROR(VLOOKUP(TEXT($A$6+$A16,"MM/DD/YYYY HH:MM")&amp;"-&gt;"&amp;E$3,search_location_2,8,0),"")</f>
        <v>Soccer</v>
      </c>
      <c r="H17" s="466" t="str">
        <f>IF(J17="Kickball",LOWER(IFERROR(VLOOKUP(TEXT($A$6+$A16,"MM/DD/YYYY HH:MM")&amp;"-&gt;"&amp;H$3,search_location_2,6,0)&amp;VLOOKUP(TEXT($A$6+$A16,"MM/DD/YYYY HH:MM")&amp;"-&gt;"&amp;H$3,search_location_2,9,0),"")),IFERROR(VLOOKUP(TEXT($A$6+$A16,"MM/DD/YYYY HH:MM")&amp;"-&gt;"&amp;H$3,search_location_2,6,0)&amp;VLOOKUP(TEXT($A$6+$A16,"MM/DD/YYYY HH:MM")&amp;"-&gt;"&amp;H$3,search_location_2,9,0),""))</f>
        <v>ARG1-COL1 Volleyball Semi-Final811</v>
      </c>
      <c r="I17" s="468" t="str">
        <f>IFERROR(VLOOKUP(TEXT($A$6+$A16,"MM/DD/YYYY HH:MM")&amp;"-&gt;"&amp;H$3,search_location_2,7,0),"")</f>
        <v>JUNIORS FEMALE</v>
      </c>
      <c r="J17" s="468" t="str">
        <f>IFERROR(VLOOKUP(TEXT($A$6+$A16,"MM/DD/YYYY HH:MM")&amp;"-&gt;"&amp;H$3,search_location_2,8,0),"")</f>
        <v>Volleyball</v>
      </c>
      <c r="K17" s="466" t="str">
        <f>IFERROR(VLOOKUP(TEXT($A$6+$A16,"MM/DD/YYYY HH:MM")&amp;"-&gt;"&amp;K$3,search_location_2,6,0)&amp;VLOOKUP(TEXT($A$6+$A16,"MM/DD/YYYY HH:MM")&amp;"-&gt;"&amp;K$3,search_location_2,9,0),"")</f>
        <v>ARG1-VEN2 187</v>
      </c>
      <c r="L17" s="468" t="str">
        <f>IFERROR(VLOOKUP(TEXT($A$6+$A16,"MM/DD/YYYY HH:MM")&amp;"-&gt;"&amp;K$3,search_location_2,7,0),"")</f>
        <v>CHILDREN C MALE</v>
      </c>
      <c r="M17" s="469" t="str">
        <f>IFERROR(VLOOKUP(TEXT($A$6+$A16,"MM/DD/YYYY HH:MM")&amp;"-&gt;"&amp;K$3,search_location_2,8,0),"")</f>
        <v>Basketball</v>
      </c>
      <c r="N17" s="470" t="str">
        <f>IFERROR(VLOOKUP(TEXT($A$6+$A16,"MM/DD/YYYY HH:MM")&amp;"-&gt;"&amp;N$3,search_location_2,6,0)&amp;VLOOKUP(TEXT($A$6+$A16,"MM/DD/YYYY HH:MM")&amp;"-&gt;"&amp;N$3,search_location_2,9,0),"")</f>
        <v>ARG1-VEN1 261</v>
      </c>
      <c r="O17" s="468" t="str">
        <f>IFERROR(VLOOKUP(TEXT($A$6+$A16,"MM/DD/YYYY HH:MM")&amp;"-&gt;"&amp;N$3,search_location_2,7,0),"")</f>
        <v>CHILDREN D FEMALE</v>
      </c>
      <c r="P17" s="468" t="str">
        <f>IFERROR(VLOOKUP(TEXT($A$6+$A16,"MM/DD/YYYY HH:MM")&amp;"-&gt;"&amp;N$3,search_location_2,8,0),"")</f>
        <v>Volleyball</v>
      </c>
      <c r="Q17" s="470" t="str">
        <f>IF(S17="Kickball",LOWER(IFERROR(VLOOKUP(TEXT($A$6+$A16,"MM/DD/YYYY HH:MM")&amp;"-&gt;"&amp;Q$3,search_location_2,6,0)&amp;VLOOKUP(TEXT($A$6+$A16,"MM/DD/YYYY HH:MM")&amp;"-&gt;"&amp;Q$3,search_location_2,9,0),"")),IFERROR(VLOOKUP(TEXT($A$6+$A16,"MM/DD/YYYY HH:MM")&amp;"-&gt;"&amp;Q$3,search_location_2,6,0)&amp;VLOOKUP(TEXT($A$6+$A16,"MM/DD/YYYY HH:MM")&amp;"-&gt;"&amp;Q$3,search_location_2,9,0),""))</f>
        <v>col1-arg2 205</v>
      </c>
      <c r="R17" s="471" t="str">
        <f>IFERROR(VLOOKUP(TEXT($A$6+$A16,"MM/DD/YYYY HH:MM")&amp;"-&gt;"&amp;Q$3,search_location_2,7,0),"")</f>
        <v>CHILDREN C MALE</v>
      </c>
      <c r="S17" s="467" t="str">
        <f>IFERROR(VLOOKUP(TEXT($A$6+$A16,"MM/DD/YYYY HH:MM")&amp;"-&gt;"&amp;Q$3,search_location_2,8,0),"")</f>
        <v>Kickball</v>
      </c>
      <c r="T17" s="472" t="str">
        <f>IF(V17="Kickball",LOWER(IFERROR(VLOOKUP(TEXT($A$6+$A16,"MM/DD/YYYY HH:MM")&amp;"-&gt;"&amp;T$3,search_location_2,6,0)&amp;VLOOKUP(TEXT($A$6+$A16,"MM/DD/YYYY HH:MM")&amp;"-&gt;"&amp;T$3,search_location_2,9,0),"")),IFERROR(VLOOKUP(TEXT($A$6+$A16,"MM/DD/YYYY HH:MM")&amp;"-&gt;"&amp;T$3,search_location_2,6,0)&amp;VLOOKUP(TEXT($A$6+$A16,"MM/DD/YYYY HH:MM")&amp;"-&gt;"&amp;T$3,search_location_2,9,0),""))</f>
        <v>mex-usa2 118</v>
      </c>
      <c r="U17" s="468" t="str">
        <f>IFERROR(VLOOKUP(TEXT($A$6+$A16,"MM/DD/YYYY HH:MM")&amp;"-&gt;"&amp;T$3,search_location_2,7,0),"")</f>
        <v>CHILDREN B COED</v>
      </c>
      <c r="V17" s="469" t="str">
        <f>IFERROR(VLOOKUP(TEXT($A$6+$A16,"MM/DD/YYYY HH:MM")&amp;"-&gt;"&amp;T$3,search_location_2,8,0),"")</f>
        <v>Kickball</v>
      </c>
      <c r="W17" s="466" t="str">
        <f>IFERROR(VLOOKUP(TEXT($A$6+$A16,"MM/DD/YYYY HH:MM")&amp;"-&gt;"&amp;W$3,search_location_2,6,0)&amp;VLOOKUP(TEXT($A$6+$A16,"MM/DD/YYYY HH:MM")&amp;"-&gt;"&amp;W$3,search_location_2,9,0),"")</f>
        <v>ISR1-ARG1 Volleyball Final859</v>
      </c>
      <c r="X17" s="259" t="str">
        <f>IFERROR(VLOOKUP(TEXT($A$6+$A16,"MM/DD/YYYY HH:MM")&amp;"-&gt;"&amp;W$3,search_location_2,7,0),"")</f>
        <v>JUNIORS A MALE</v>
      </c>
      <c r="Y17" s="259" t="str">
        <f>IFERROR(VLOOKUP(TEXT($A$6+$A16,"MM/DD/YYYY HH:MM")&amp;"-&gt;"&amp;W$3,search_location_2,8,0),"")</f>
        <v>Volleyball</v>
      </c>
      <c r="Z17" s="263" t="str">
        <f>IFERROR(VLOOKUP(TEXT($A$6+$A16,"MM/DD/YYYY HH:MM")&amp;"-&gt;"&amp;Z$3,search_location_2,6,0)&amp;VLOOKUP(TEXT($A$6+$A16,"MM/DD/YYYY HH:MM")&amp;"-&gt;"&amp;Z$3,search_location_2,9,0),"")</f>
        <v/>
      </c>
      <c r="AA17" s="260" t="str">
        <f>IFERROR(VLOOKUP(TEXT($A$6+$A16,"MM/DD/YYYY HH:MM")&amp;"-&gt;"&amp;Z$3,search_location_2,7,0),"")</f>
        <v/>
      </c>
      <c r="AB17" s="261" t="str">
        <f>IFERROR(VLOOKUP(TEXT($A$6+$A16,"MM/DD/YYYY HH:MM")&amp;"-&gt;"&amp;Z$3,search_location_2,8,0),"")</f>
        <v/>
      </c>
      <c r="AC17" s="258" t="str">
        <f>IFERROR(VLOOKUP(TEXT($A$6+$A16,"MM/DD/YYYY HH:MM")&amp;"-&gt;"&amp;AC$3,search_location_2,6,0)&amp;VLOOKUP(TEXT($A$6+$A16,"MM/DD/YYYY HH:MM")&amp;"-&gt;"&amp;AC$3,search_location_2,9,0),"")</f>
        <v/>
      </c>
      <c r="AD17" s="259" t="str">
        <f>IFERROR(VLOOKUP(TEXT($A$6+$A16,"MM/DD/YYYY HH:MM")&amp;"-&gt;"&amp;AC$3,search_location_2,7,0),"")</f>
        <v/>
      </c>
      <c r="AE17" s="259" t="str">
        <f>IFERROR(VLOOKUP(TEXT($A$6+$A16,"MM/DD/YYYY HH:MM")&amp;"-&gt;"&amp;AC$3,search_location_2,8,0),"")</f>
        <v/>
      </c>
      <c r="AF17" s="263" t="str">
        <f>IFERROR(VLOOKUP(TEXT($A$6+$A16,"MM/DD/YYYY HH:MM")&amp;"-&gt;"&amp;AF$3,search_location_2,6,0)&amp;VLOOKUP(TEXT($A$6+$A16,"MM/DD/YYYY HH:MM")&amp;"-&gt;"&amp;AF$3,search_location_2,9,0),"")</f>
        <v/>
      </c>
      <c r="AG17" s="260" t="str">
        <f>IFERROR(VLOOKUP(TEXT($A$6+$A16,"MM/DD/YYYY HH:MM")&amp;"-&gt;"&amp;AF$3,search_location_2,7,0),"")</f>
        <v/>
      </c>
      <c r="AH17" s="261" t="str">
        <f>IFERROR(VLOOKUP(TEXT($A$6+$A16,"MM/DD/YYYY HH:MM")&amp;"-&gt;"&amp;AF$3,search_location_2,8,0),"")</f>
        <v/>
      </c>
      <c r="AI17" s="255"/>
    </row>
    <row r="18" spans="1:35" s="256" customFormat="1" ht="38.25" customHeight="1" x14ac:dyDescent="0.3">
      <c r="A18" s="264">
        <f>A16+Time_Slots</f>
        <v>0.50694444444444442</v>
      </c>
      <c r="B18" s="426" t="str">
        <f>IF(D18="flag football",LOWER(IFERROR(VLOOKUP(TEXT($A$6+$A18,"MM/DD/YYYY HH:MM")&amp;"-&gt;"&amp;B$2,search_location_2,6,0)&amp;VLOOKUP(TEXT($A$6+$A18,"MM/DD/YYYY HH:MM")&amp;"-&gt;"&amp;B$2,search_location_2,9,0),"")),IFERROR(VLOOKUP(TEXT($A$6+$A18,"MM/DD/YYYY HH:MM")&amp;"-&gt;"&amp;B$2,search_location_2,6,0)&amp;VLOOKUP(TEXT($A$6+$A18,"MM/DD/YYYY HH:MM")&amp;"-&gt;"&amp;B$2,search_location_2,9,0),""))</f>
        <v/>
      </c>
      <c r="C18" s="434" t="str">
        <f>IFERROR(VLOOKUP(TEXT($A$6+$A18,"MM/DD/YYYY HH:MM")&amp;"-&gt;"&amp;B$2,search_location_2,7,0),"")</f>
        <v/>
      </c>
      <c r="D18" s="434" t="str">
        <f>IFERROR(VLOOKUP(TEXT($A$6+$A18,"MM/DD/YYYY HH:MM")&amp;"-&gt;"&amp;B$2,search_location_2,8,0),"")</f>
        <v/>
      </c>
      <c r="E18" s="426" t="str">
        <f>IF(G18="flag football",LOWER(IFERROR(VLOOKUP(TEXT($A$6+$A18,"MM/DD/YYYY HH:MM")&amp;"-&gt;"&amp;E$2,search_location_2,6,0)&amp;VLOOKUP(TEXT($A$6+$A18,"MM/DD/YYYY HH:MM")&amp;"-&gt;"&amp;E$2,search_location_2,9,0),"")),IFERROR(VLOOKUP(TEXT($A$6+$A18,"MM/DD/YYYY HH:MM")&amp;"-&gt;"&amp;E$2,search_location_2,6,0)&amp;VLOOKUP(TEXT($A$6+$A18,"MM/DD/YYYY HH:MM")&amp;"-&gt;"&amp;E$2,search_location_2,9,0),""))</f>
        <v/>
      </c>
      <c r="F18" s="434" t="str">
        <f>IFERROR(VLOOKUP(TEXT($A$6+$A18,"MM/DD/YYYY HH:MM")&amp;"-&gt;"&amp;E$2,search_location_2,7,0),"")</f>
        <v/>
      </c>
      <c r="G18" s="434" t="str">
        <f>IFERROR(VLOOKUP(TEXT($A$6+$A18,"MM/DD/YYYY HH:MM")&amp;"-&gt;"&amp;E$2,search_location_2,8,0),"")</f>
        <v/>
      </c>
      <c r="H18" s="426" t="str">
        <f>IF(J18="Kickball",LOWER(IFERROR(VLOOKUP(TEXT($A$6+$A18,"MM/DD/YYYY HH:MM")&amp;"-&gt;"&amp;H$2,search_location_2,6,0)&amp;VLOOKUP(TEXT($A$6+$A18,"MM/DD/YYYY HH:MM")&amp;"-&gt;"&amp;H$2,search_location_2,9,0),"")),IFERROR(VLOOKUP(TEXT($A$6+$A18,"MM/DD/YYYY HH:MM")&amp;"-&gt;"&amp;H$2,search_location_2,6,0)&amp;VLOOKUP(TEXT($A$6+$A18,"MM/DD/YYYY HH:MM")&amp;"-&gt;"&amp;H$2,search_location_2,9,0),""))</f>
        <v>USA1-VEN1 Basketball Final820</v>
      </c>
      <c r="I18" s="424" t="str">
        <f>IFERROR(VLOOKUP(TEXT($A$6+$A18,"MM/DD/YYYY HH:MM")&amp;"-&gt;"&amp;H$2,search_location_2,7,0),"")</f>
        <v>Adults MALE</v>
      </c>
      <c r="J18" s="424" t="str">
        <f>IFERROR(VLOOKUP(TEXT($A$6+$A18,"MM/DD/YYYY HH:MM")&amp;"-&gt;"&amp;H$2,search_location_2,8,0),"")</f>
        <v>Basketball</v>
      </c>
      <c r="K18" s="426" t="str">
        <f>IFERROR(VLOOKUP(TEXT($A$6+$A18,"MM/DD/YYYY HH:MM")&amp;"-&gt;"&amp;K$2,search_location_2,6,0)&amp;VLOOKUP(TEXT($A$6+$A18,"MM/DD/YYYY HH:MM")&amp;"-&gt;"&amp;K$2,search_location_2,9,0),"")</f>
        <v/>
      </c>
      <c r="L18" s="424" t="str">
        <f>IFERROR(VLOOKUP(TEXT($A$6+$A18,"MM/DD/YYYY HH:MM")&amp;"-&gt;"&amp;K$2,search_location_2,7,0),"")</f>
        <v/>
      </c>
      <c r="M18" s="436" t="str">
        <f>IFERROR(VLOOKUP(TEXT($A$6+$A18,"MM/DD/YYYY HH:MM")&amp;"-&gt;"&amp;K$2,search_location_2,8,0),"")</f>
        <v/>
      </c>
      <c r="N18" s="437" t="str">
        <f>IFERROR(VLOOKUP(TEXT($A$6+$A18,"MM/DD/YYYY HH:MM")&amp;"-&gt;"&amp;N$2,search_location_2,6,0)&amp;VLOOKUP(TEXT($A$6+$A18,"MM/DD/YYYY HH:MM")&amp;"-&gt;"&amp;N$2,search_location_2,9,0),"")</f>
        <v>ARG1-ISR1 336</v>
      </c>
      <c r="O18" s="424" t="str">
        <f>IFERROR(VLOOKUP(TEXT($A$6+$A18,"MM/DD/YYYY HH:MM")&amp;"-&gt;"&amp;N$2,search_location_2,7,0),"")</f>
        <v>CHILDREN E FEMALE</v>
      </c>
      <c r="P18" s="424" t="str">
        <f>IFERROR(VLOOKUP(TEXT($A$6+$A18,"MM/DD/YYYY HH:MM")&amp;"-&gt;"&amp;N$2,search_location_2,8,0),"")</f>
        <v>Basketball</v>
      </c>
      <c r="Q18" s="437" t="str">
        <f>IF(S18="Kickball",LOWER(IFERROR(VLOOKUP(TEXT($A$6+$A18,"MM/DD/YYYY HH:MM")&amp;"-&gt;"&amp;Q$2,search_location_2,6,0)&amp;VLOOKUP(TEXT($A$6+$A18,"MM/DD/YYYY HH:MM")&amp;"-&gt;"&amp;Q$2,search_location_2,9,0),"")),IFERROR(VLOOKUP(TEXT($A$6+$A18,"MM/DD/YYYY HH:MM")&amp;"-&gt;"&amp;Q$2,search_location_2,6,0)&amp;VLOOKUP(TEXT($A$6+$A18,"MM/DD/YYYY HH:MM")&amp;"-&gt;"&amp;Q$2,search_location_2,9,0),""))</f>
        <v>ven1-arg1 kickball final834</v>
      </c>
      <c r="R18" s="432" t="str">
        <f>IFERROR(VLOOKUP(TEXT($A$6+$A18,"MM/DD/YYYY HH:MM")&amp;"-&gt;"&amp;Q$2,search_location_2,7,0),"")</f>
        <v>CHILDREN C MALE</v>
      </c>
      <c r="S18" s="434" t="str">
        <f>IFERROR(VLOOKUP(TEXT($A$6+$A18,"MM/DD/YYYY HH:MM")&amp;"-&gt;"&amp;Q$2,search_location_2,8,0),"")</f>
        <v>Kickball</v>
      </c>
      <c r="T18" s="439" t="str">
        <f>IF(V18="Kickball",LOWER(IFERROR(VLOOKUP(TEXT($A$6+$A18,"MM/DD/YYYY HH:MM")&amp;"-&gt;"&amp;T$2,search_location_2,6,0)&amp;VLOOKUP(TEXT($A$6+$A18,"MM/DD/YYYY HH:MM")&amp;"-&gt;"&amp;T$2,search_location_2,9,0),"")),IFERROR(VLOOKUP(TEXT($A$6+$A18,"MM/DD/YYYY HH:MM")&amp;"-&gt;"&amp;T$2,search_location_2,6,0)&amp;VLOOKUP(TEXT($A$6+$A18,"MM/DD/YYYY HH:MM")&amp;"-&gt;"&amp;T$2,search_location_2,9,0),""))</f>
        <v>ven2-col1 kickball final829</v>
      </c>
      <c r="U18" s="424" t="str">
        <f>IFERROR(VLOOKUP(TEXT($A$6+$A18,"MM/DD/YYYY HH:MM")&amp;"-&gt;"&amp;T$2,search_location_2,7,0),"")</f>
        <v>CHILDREN C FEMALE</v>
      </c>
      <c r="V18" s="436" t="str">
        <f>IFERROR(VLOOKUP(TEXT($A$6+$A18,"MM/DD/YYYY HH:MM")&amp;"-&gt;"&amp;T$2,search_location_2,8,0),"")</f>
        <v>Kickball</v>
      </c>
      <c r="W18" s="426" t="str">
        <f>IFERROR(VLOOKUP(TEXT($A$6+$A18,"MM/DD/YYYY HH:MM")&amp;"-&gt;"&amp;W$2,search_location_2,6,0)&amp;VLOOKUP(TEXT($A$6+$A18,"MM/DD/YYYY HH:MM")&amp;"-&gt;"&amp;W$2,search_location_2,9,0),"")</f>
        <v>MEX2-USA1 Basketball Final856</v>
      </c>
      <c r="X18" s="250" t="str">
        <f>IFERROR(VLOOKUP(TEXT($A$6+$A18,"MM/DD/YYYY HH:MM")&amp;"-&gt;"&amp;W$2,search_location_2,7,0),"")</f>
        <v>JUNIORS A MALE</v>
      </c>
      <c r="Y18" s="250" t="str">
        <f>IFERROR(VLOOKUP(TEXT($A$6+$A18,"MM/DD/YYYY HH:MM")&amp;"-&gt;"&amp;W$2,search_location_2,8,0),"")</f>
        <v>Basketball</v>
      </c>
      <c r="Z18" s="254" t="str">
        <f>IFERROR(VLOOKUP(TEXT($A$6+$A18,"MM/DD/YYYY HH:MM")&amp;"-&gt;"&amp;Z$2,search_location_2,6,0)&amp;VLOOKUP(TEXT($A$6+$A18,"MM/DD/YYYY HH:MM")&amp;"-&gt;"&amp;Z$2,search_location_2,9,0),"")</f>
        <v/>
      </c>
      <c r="AA18" s="251" t="str">
        <f>IFERROR(VLOOKUP(TEXT($A$6+$A18,"MM/DD/YYYY HH:MM")&amp;"-&gt;"&amp;Z$2,search_location_2,7,0),"")</f>
        <v/>
      </c>
      <c r="AB18" s="252" t="str">
        <f>IFERROR(VLOOKUP(TEXT($A$6+$A18,"MM/DD/YYYY HH:MM")&amp;"-&gt;"&amp;Z$2,search_location_2,8,0),"")</f>
        <v/>
      </c>
      <c r="AC18" s="249" t="str">
        <f>IFERROR(VLOOKUP(TEXT($A$6+$A18,"MM/DD/YYYY HH:MM")&amp;"-&gt;"&amp;AC$2,search_location_2,6,0)&amp;VLOOKUP(TEXT($A$6+$A18,"MM/DD/YYYY HH:MM")&amp;"-&gt;"&amp;AC$2,search_location_2,9,0),"")</f>
        <v>COL1-VEN1 75</v>
      </c>
      <c r="AD18" s="250" t="str">
        <f>IFERROR(VLOOKUP(TEXT($A$6+$A18,"MM/DD/YYYY HH:MM")&amp;"-&gt;"&amp;AC$2,search_location_2,7,0),"")</f>
        <v>CHILDREN A COED</v>
      </c>
      <c r="AE18" s="250" t="str">
        <f>IFERROR(VLOOKUP(TEXT($A$6+$A18,"MM/DD/YYYY HH:MM")&amp;"-&gt;"&amp;AC$2,search_location_2,8,0),"")</f>
        <v>Basketball</v>
      </c>
      <c r="AF18" s="254" t="str">
        <f>IFERROR(VLOOKUP(TEXT($A$6+$A18,"MM/DD/YYYY HH:MM")&amp;"-&gt;"&amp;AF$2,search_location_2,6,0)&amp;VLOOKUP(TEXT($A$6+$A18,"MM/DD/YYYY HH:MM")&amp;"-&gt;"&amp;AF$2,search_location_2,9,0),"")</f>
        <v/>
      </c>
      <c r="AG18" s="251" t="str">
        <f>IFERROR(VLOOKUP(TEXT($A$6+$A18,"MM/DD/YYYY HH:MM")&amp;"-&gt;"&amp;AF$2,search_location_2,7,0),"")</f>
        <v/>
      </c>
      <c r="AH18" s="252" t="str">
        <f>IFERROR(VLOOKUP(TEXT($A$6+$A18,"MM/DD/YYYY HH:MM")&amp;"-&gt;"&amp;AF$2,search_location_2,8,0),"")</f>
        <v/>
      </c>
      <c r="AI18" s="255"/>
    </row>
    <row r="19" spans="1:35" s="256" customFormat="1" ht="38.25" customHeight="1" thickBot="1" x14ac:dyDescent="0.35">
      <c r="A19" s="257"/>
      <c r="B19" s="466" t="str">
        <f>IF(D19="flag football",LOWER(IFERROR(VLOOKUP(TEXT($A$6+$A18,"MM/DD/YYYY HH:MM")&amp;"-&gt;"&amp;B$3,search_location_2,6,0)&amp;VLOOKUP(TEXT($A$6+$A18,"MM/DD/YYYY HH:MM")&amp;"-&gt;"&amp;B$3,search_location_2,9,0),"")),IFERROR(VLOOKUP(TEXT($A$6+$A18,"MM/DD/YYYY HH:MM")&amp;"-&gt;"&amp;B$3,search_location_2,6,0)&amp;VLOOKUP(TEXT($A$6+$A18,"MM/DD/YYYY HH:MM")&amp;"-&gt;"&amp;B$3,search_location_2,9,0),""))</f>
        <v>ARG1-ISR1 Soccer Semi-Final809</v>
      </c>
      <c r="C19" s="467" t="str">
        <f>IFERROR(VLOOKUP(TEXT($A$6+$A18,"MM/DD/YYYY HH:MM")&amp;"-&gt;"&amp;B$3,search_location_2,7,0),"")</f>
        <v>JUNIORS FEMALE</v>
      </c>
      <c r="D19" s="467" t="str">
        <f>IFERROR(VLOOKUP(TEXT($A$6+$A18,"MM/DD/YYYY HH:MM")&amp;"-&gt;"&amp;B$3,search_location_2,8,0),"")</f>
        <v>Soccer</v>
      </c>
      <c r="E19" s="466" t="str">
        <f>IF(G19="flag football",LOWER(IFERROR(VLOOKUP(TEXT($A$6+$A18,"MM/DD/YYYY HH:MM")&amp;"-&gt;"&amp;E$3,search_location_2,6,0)&amp;VLOOKUP(TEXT($A$6+$A18,"MM/DD/YYYY HH:MM")&amp;"-&gt;"&amp;E$3,search_location_2,9,0),"")),IFERROR(VLOOKUP(TEXT($A$6+$A18,"MM/DD/YYYY HH:MM")&amp;"-&gt;"&amp;E$3,search_location_2,6,0)&amp;VLOOKUP(TEXT($A$6+$A18,"MM/DD/YYYY HH:MM")&amp;"-&gt;"&amp;E$3,search_location_2,9,0),""))</f>
        <v>PER-USA3 Soccer Semi-Final808</v>
      </c>
      <c r="F19" s="467" t="str">
        <f>IFERROR(VLOOKUP(TEXT($A$6+$A18,"MM/DD/YYYY HH:MM")&amp;"-&gt;"&amp;E$3,search_location_2,7,0),"")</f>
        <v>JUNIORS FEMALE</v>
      </c>
      <c r="G19" s="467" t="str">
        <f>IFERROR(VLOOKUP(TEXT($A$6+$A18,"MM/DD/YYYY HH:MM")&amp;"-&gt;"&amp;E$3,search_location_2,8,0),"")</f>
        <v>Soccer</v>
      </c>
      <c r="H19" s="466" t="str">
        <f>IF(J19="Kickball",LOWER(IFERROR(VLOOKUP(TEXT($A$6+$A18,"MM/DD/YYYY HH:MM")&amp;"-&gt;"&amp;H$3,search_location_2,6,0)&amp;VLOOKUP(TEXT($A$6+$A18,"MM/DD/YYYY HH:MM")&amp;"-&gt;"&amp;H$3,search_location_2,9,0),"")),IFERROR(VLOOKUP(TEXT($A$6+$A18,"MM/DD/YYYY HH:MM")&amp;"-&gt;"&amp;H$3,search_location_2,6,0)&amp;VLOOKUP(TEXT($A$6+$A18,"MM/DD/YYYY HH:MM")&amp;"-&gt;"&amp;H$3,search_location_2,9,0),""))</f>
        <v>VEN3-PER Volleyball Final773</v>
      </c>
      <c r="I19" s="468" t="str">
        <f>IFERROR(VLOOKUP(TEXT($A$6+$A18,"MM/DD/YYYY HH:MM")&amp;"-&gt;"&amp;H$3,search_location_2,7,0),"")</f>
        <v>CHILDREN E MALE</v>
      </c>
      <c r="J19" s="468" t="str">
        <f>IFERROR(VLOOKUP(TEXT($A$6+$A18,"MM/DD/YYYY HH:MM")&amp;"-&gt;"&amp;H$3,search_location_2,8,0),"")</f>
        <v>Volleyball</v>
      </c>
      <c r="K19" s="466" t="str">
        <f>IFERROR(VLOOKUP(TEXT($A$6+$A18,"MM/DD/YYYY HH:MM")&amp;"-&gt;"&amp;K$3,search_location_2,6,0)&amp;VLOOKUP(TEXT($A$6+$A18,"MM/DD/YYYY HH:MM")&amp;"-&gt;"&amp;K$3,search_location_2,9,0),"")</f>
        <v/>
      </c>
      <c r="L19" s="468" t="str">
        <f>IFERROR(VLOOKUP(TEXT($A$6+$A18,"MM/DD/YYYY HH:MM")&amp;"-&gt;"&amp;K$3,search_location_2,7,0),"")</f>
        <v/>
      </c>
      <c r="M19" s="469" t="str">
        <f>IFERROR(VLOOKUP(TEXT($A$6+$A18,"MM/DD/YYYY HH:MM")&amp;"-&gt;"&amp;K$3,search_location_2,8,0),"")</f>
        <v/>
      </c>
      <c r="N19" s="470" t="str">
        <f>IFERROR(VLOOKUP(TEXT($A$6+$A18,"MM/DD/YYYY HH:MM")&amp;"-&gt;"&amp;N$3,search_location_2,6,0)&amp;VLOOKUP(TEXT($A$6+$A18,"MM/DD/YYYY HH:MM")&amp;"-&gt;"&amp;N$3,search_location_2,9,0),"")</f>
        <v>USA1-VEN1 262</v>
      </c>
      <c r="O19" s="468" t="str">
        <f>IFERROR(VLOOKUP(TEXT($A$6+$A18,"MM/DD/YYYY HH:MM")&amp;"-&gt;"&amp;N$3,search_location_2,7,0),"")</f>
        <v>CHILDREN D FEMALE</v>
      </c>
      <c r="P19" s="468" t="str">
        <f>IFERROR(VLOOKUP(TEXT($A$6+$A18,"MM/DD/YYYY HH:MM")&amp;"-&gt;"&amp;N$3,search_location_2,8,0),"")</f>
        <v>Volleyball</v>
      </c>
      <c r="Q19" s="470" t="str">
        <f>IF(S19="Kickball",LOWER(IFERROR(VLOOKUP(TEXT($A$6+$A18,"MM/DD/YYYY HH:MM")&amp;"-&gt;"&amp;Q$3,search_location_2,6,0)&amp;VLOOKUP(TEXT($A$6+$A18,"MM/DD/YYYY HH:MM")&amp;"-&gt;"&amp;Q$3,search_location_2,9,0),"")),IFERROR(VLOOKUP(TEXT($A$6+$A18,"MM/DD/YYYY HH:MM")&amp;"-&gt;"&amp;Q$3,search_location_2,6,0)&amp;VLOOKUP(TEXT($A$6+$A18,"MM/DD/YYYY HH:MM")&amp;"-&gt;"&amp;Q$3,search_location_2,9,0),""))</f>
        <v>mex- kickball final825</v>
      </c>
      <c r="R19" s="471" t="str">
        <f>IFERROR(VLOOKUP(TEXT($A$6+$A18,"MM/DD/YYYY HH:MM")&amp;"-&gt;"&amp;Q$3,search_location_2,7,0),"")</f>
        <v>CHILDREN B COED</v>
      </c>
      <c r="S19" s="467" t="str">
        <f>IFERROR(VLOOKUP(TEXT($A$6+$A18,"MM/DD/YYYY HH:MM")&amp;"-&gt;"&amp;Q$3,search_location_2,8,0),"")</f>
        <v>Kickball</v>
      </c>
      <c r="T19" s="472" t="str">
        <f>IF(V19="Kickball",LOWER(IFERROR(VLOOKUP(TEXT($A$6+$A18,"MM/DD/YYYY HH:MM")&amp;"-&gt;"&amp;T$3,search_location_2,6,0)&amp;VLOOKUP(TEXT($A$6+$A18,"MM/DD/YYYY HH:MM")&amp;"-&gt;"&amp;T$3,search_location_2,9,0),"")),IFERROR(VLOOKUP(TEXT($A$6+$A18,"MM/DD/YYYY HH:MM")&amp;"-&gt;"&amp;T$3,search_location_2,6,0)&amp;VLOOKUP(TEXT($A$6+$A18,"MM/DD/YYYY HH:MM")&amp;"-&gt;"&amp;T$3,search_location_2,9,0),""))</f>
        <v>per-arg1 kickball final842</v>
      </c>
      <c r="U19" s="468" t="str">
        <f>IFERROR(VLOOKUP(TEXT($A$6+$A18,"MM/DD/YYYY HH:MM")&amp;"-&gt;"&amp;T$3,search_location_2,7,0),"")</f>
        <v>CHILDREN D MALE</v>
      </c>
      <c r="V19" s="469" t="str">
        <f>IFERROR(VLOOKUP(TEXT($A$6+$A18,"MM/DD/YYYY HH:MM")&amp;"-&gt;"&amp;T$3,search_location_2,8,0),"")</f>
        <v>Kickball</v>
      </c>
      <c r="W19" s="466" t="str">
        <f>IFERROR(VLOOKUP(TEXT($A$6+$A18,"MM/DD/YYYY HH:MM")&amp;"-&gt;"&amp;W$3,search_location_2,6,0)&amp;VLOOKUP(TEXT($A$6+$A18,"MM/DD/YYYY HH:MM")&amp;"-&gt;"&amp;W$3,search_location_2,9,0),"")</f>
        <v>COL1-PER Volleyball Final863</v>
      </c>
      <c r="X19" s="259" t="str">
        <f>IFERROR(VLOOKUP(TEXT($A$6+$A18,"MM/DD/YYYY HH:MM")&amp;"-&gt;"&amp;W$3,search_location_2,7,0),"")</f>
        <v>JUNIORS B MALE</v>
      </c>
      <c r="Y19" s="259" t="str">
        <f>IFERROR(VLOOKUP(TEXT($A$6+$A18,"MM/DD/YYYY HH:MM")&amp;"-&gt;"&amp;W$3,search_location_2,8,0),"")</f>
        <v>Volleyball</v>
      </c>
      <c r="Z19" s="263" t="str">
        <f>IFERROR(VLOOKUP(TEXT($A$6+$A18,"MM/DD/YYYY HH:MM")&amp;"-&gt;"&amp;Z$3,search_location_2,6,0)&amp;VLOOKUP(TEXT($A$6+$A18,"MM/DD/YYYY HH:MM")&amp;"-&gt;"&amp;Z$3,search_location_2,9,0),"")</f>
        <v>USA1-USA2 81</v>
      </c>
      <c r="AA19" s="260" t="str">
        <f>IFERROR(VLOOKUP(TEXT($A$6+$A18,"MM/DD/YYYY HH:MM")&amp;"-&gt;"&amp;Z$3,search_location_2,7,0),"")</f>
        <v>CHILDREN A COED</v>
      </c>
      <c r="AB19" s="261" t="str">
        <f>IFERROR(VLOOKUP(TEXT($A$6+$A18,"MM/DD/YYYY HH:MM")&amp;"-&gt;"&amp;Z$3,search_location_2,8,0),"")</f>
        <v>Kickball</v>
      </c>
      <c r="AC19" s="258" t="str">
        <f>IFERROR(VLOOKUP(TEXT($A$6+$A18,"MM/DD/YYYY HH:MM")&amp;"-&gt;"&amp;AC$3,search_location_2,6,0)&amp;VLOOKUP(TEXT($A$6+$A18,"MM/DD/YYYY HH:MM")&amp;"-&gt;"&amp;AC$3,search_location_2,9,0),"")</f>
        <v/>
      </c>
      <c r="AD19" s="259" t="str">
        <f>IFERROR(VLOOKUP(TEXT($A$6+$A18,"MM/DD/YYYY HH:MM")&amp;"-&gt;"&amp;AC$3,search_location_2,7,0),"")</f>
        <v/>
      </c>
      <c r="AE19" s="259" t="str">
        <f>IFERROR(VLOOKUP(TEXT($A$6+$A18,"MM/DD/YYYY HH:MM")&amp;"-&gt;"&amp;AC$3,search_location_2,8,0),"")</f>
        <v/>
      </c>
      <c r="AF19" s="263" t="str">
        <f>IFERROR(VLOOKUP(TEXT($A$6+$A18,"MM/DD/YYYY HH:MM")&amp;"-&gt;"&amp;AF$3,search_location_2,6,0)&amp;VLOOKUP(TEXT($A$6+$A18,"MM/DD/YYYY HH:MM")&amp;"-&gt;"&amp;AF$3,search_location_2,9,0),"")</f>
        <v/>
      </c>
      <c r="AG19" s="260" t="str">
        <f>IFERROR(VLOOKUP(TEXT($A$6+$A18,"MM/DD/YYYY HH:MM")&amp;"-&gt;"&amp;AF$3,search_location_2,7,0),"")</f>
        <v/>
      </c>
      <c r="AH19" s="261" t="str">
        <f>IFERROR(VLOOKUP(TEXT($A$6+$A18,"MM/DD/YYYY HH:MM")&amp;"-&gt;"&amp;AF$3,search_location_2,8,0),"")</f>
        <v/>
      </c>
      <c r="AI19" s="255"/>
    </row>
    <row r="20" spans="1:35" s="256" customFormat="1" ht="23.25" customHeight="1" x14ac:dyDescent="0.3">
      <c r="A20" s="264">
        <f>A18+Time_Slots</f>
        <v>0.54166666666666663</v>
      </c>
      <c r="B20" s="426" t="str">
        <f>IF(D20="flag football",LOWER(IFERROR(VLOOKUP(TEXT($A$6+$A20,"MM/DD/YYYY HH:MM")&amp;"-&gt;"&amp;B$2,search_location_2,6,0)&amp;VLOOKUP(TEXT($A$6+$A20,"MM/DD/YYYY HH:MM")&amp;"-&gt;"&amp;B$2,search_location_2,9,0),"")),IFERROR(VLOOKUP(TEXT($A$6+$A20,"MM/DD/YYYY HH:MM")&amp;"-&gt;"&amp;B$2,search_location_2,6,0)&amp;VLOOKUP(TEXT($A$6+$A20,"MM/DD/YYYY HH:MM")&amp;"-&gt;"&amp;B$2,search_location_2,9,0),""))</f>
        <v/>
      </c>
      <c r="C20" s="434" t="str">
        <f>IFERROR(VLOOKUP(TEXT($A$6+$A20,"MM/DD/YYYY HH:MM")&amp;"-&gt;"&amp;B$2,search_location_2,7,0),"")</f>
        <v/>
      </c>
      <c r="D20" s="434" t="str">
        <f>IFERROR(VLOOKUP(TEXT($A$6+$A20,"MM/DD/YYYY HH:MM")&amp;"-&gt;"&amp;B$2,search_location_2,8,0),"")</f>
        <v/>
      </c>
      <c r="E20" s="426" t="str">
        <f>IF(G20="flag football",LOWER(IFERROR(VLOOKUP(TEXT($A$6+$A20,"MM/DD/YYYY HH:MM")&amp;"-&gt;"&amp;E$2,search_location_2,6,0)&amp;VLOOKUP(TEXT($A$6+$A20,"MM/DD/YYYY HH:MM")&amp;"-&gt;"&amp;E$2,search_location_2,9,0),"")),IFERROR(VLOOKUP(TEXT($A$6+$A20,"MM/DD/YYYY HH:MM")&amp;"-&gt;"&amp;E$2,search_location_2,6,0)&amp;VLOOKUP(TEXT($A$6+$A20,"MM/DD/YYYY HH:MM")&amp;"-&gt;"&amp;E$2,search_location_2,9,0),""))</f>
        <v/>
      </c>
      <c r="F20" s="434" t="str">
        <f>IFERROR(VLOOKUP(TEXT($A$6+$A20,"MM/DD/YYYY HH:MM")&amp;"-&gt;"&amp;E$2,search_location_2,7,0),"")</f>
        <v/>
      </c>
      <c r="G20" s="434" t="str">
        <f>IFERROR(VLOOKUP(TEXT($A$6+$A20,"MM/DD/YYYY HH:MM")&amp;"-&gt;"&amp;E$2,search_location_2,8,0),"")</f>
        <v/>
      </c>
      <c r="H20" s="426" t="str">
        <f>IF(J20="Kickball",LOWER(IFERROR(VLOOKUP(TEXT($A$6+$A20,"MM/DD/YYYY HH:MM")&amp;"-&gt;"&amp;H$2,search_location_2,6,0)&amp;VLOOKUP(TEXT($A$6+$A20,"MM/DD/YYYY HH:MM")&amp;"-&gt;"&amp;H$2,search_location_2,9,0),"")),IFERROR(VLOOKUP(TEXT($A$6+$A20,"MM/DD/YYYY HH:MM")&amp;"-&gt;"&amp;H$2,search_location_2,6,0)&amp;VLOOKUP(TEXT($A$6+$A20,"MM/DD/YYYY HH:MM")&amp;"-&gt;"&amp;H$2,search_location_2,9,0),""))</f>
        <v/>
      </c>
      <c r="I20" s="424" t="str">
        <f>IFERROR(VLOOKUP(TEXT($A$6+$A20,"MM/DD/YYYY HH:MM")&amp;"-&gt;"&amp;H$2,search_location_2,7,0),"")</f>
        <v/>
      </c>
      <c r="J20" s="424" t="str">
        <f>IFERROR(VLOOKUP(TEXT($A$6+$A20,"MM/DD/YYYY HH:MM")&amp;"-&gt;"&amp;H$2,search_location_2,8,0),"")</f>
        <v/>
      </c>
      <c r="K20" s="426" t="str">
        <f>IFERROR(VLOOKUP(TEXT($A$6+$A20,"MM/DD/YYYY HH:MM")&amp;"-&gt;"&amp;K$2,search_location_2,6,0)&amp;VLOOKUP(TEXT($A$6+$A20,"MM/DD/YYYY HH:MM")&amp;"-&gt;"&amp;K$2,search_location_2,9,0),"")</f>
        <v/>
      </c>
      <c r="L20" s="424" t="str">
        <f>IFERROR(VLOOKUP(TEXT($A$6+$A20,"MM/DD/YYYY HH:MM")&amp;"-&gt;"&amp;K$2,search_location_2,7,0),"")</f>
        <v/>
      </c>
      <c r="M20" s="436" t="str">
        <f>IFERROR(VLOOKUP(TEXT($A$6+$A20,"MM/DD/YYYY HH:MM")&amp;"-&gt;"&amp;K$2,search_location_2,8,0),"")</f>
        <v/>
      </c>
      <c r="N20" s="437" t="str">
        <f>IFERROR(VLOOKUP(TEXT($A$6+$A20,"MM/DD/YYYY HH:MM")&amp;"-&gt;"&amp;N$2,search_location_2,6,0)&amp;VLOOKUP(TEXT($A$6+$A20,"MM/DD/YYYY HH:MM")&amp;"-&gt;"&amp;N$2,search_location_2,9,0),"")</f>
        <v/>
      </c>
      <c r="O20" s="424" t="str">
        <f>IFERROR(VLOOKUP(TEXT($A$6+$A20,"MM/DD/YYYY HH:MM")&amp;"-&gt;"&amp;N$2,search_location_2,7,0),"")</f>
        <v/>
      </c>
      <c r="P20" s="424" t="str">
        <f>IFERROR(VLOOKUP(TEXT($A$6+$A20,"MM/DD/YYYY HH:MM")&amp;"-&gt;"&amp;N$2,search_location_2,8,0),"")</f>
        <v/>
      </c>
      <c r="Q20" s="437" t="str">
        <f>IF(S20="Kickball",LOWER(IFERROR(VLOOKUP(TEXT($A$6+$A20,"MM/DD/YYYY HH:MM")&amp;"-&gt;"&amp;Q$2,search_location_2,6,0)&amp;VLOOKUP(TEXT($A$6+$A20,"MM/DD/YYYY HH:MM")&amp;"-&gt;"&amp;Q$2,search_location_2,9,0),"")),IFERROR(VLOOKUP(TEXT($A$6+$A20,"MM/DD/YYYY HH:MM")&amp;"-&gt;"&amp;Q$2,search_location_2,6,0)&amp;VLOOKUP(TEXT($A$6+$A20,"MM/DD/YYYY HH:MM")&amp;"-&gt;"&amp;Q$2,search_location_2,9,0),""))</f>
        <v/>
      </c>
      <c r="R20" s="432" t="str">
        <f>IFERROR(VLOOKUP(TEXT($A$6+$A20,"MM/DD/YYYY HH:MM")&amp;"-&gt;"&amp;Q$2,search_location_2,7,0),"")</f>
        <v/>
      </c>
      <c r="S20" s="434" t="str">
        <f>IFERROR(VLOOKUP(TEXT($A$6+$A20,"MM/DD/YYYY HH:MM")&amp;"-&gt;"&amp;Q$2,search_location_2,8,0),"")</f>
        <v/>
      </c>
      <c r="T20" s="439" t="str">
        <f>IF(V20="Kickball",LOWER(IFERROR(VLOOKUP(TEXT($A$6+$A20,"MM/DD/YYYY HH:MM")&amp;"-&gt;"&amp;T$2,search_location_2,6,0)&amp;VLOOKUP(TEXT($A$6+$A20,"MM/DD/YYYY HH:MM")&amp;"-&gt;"&amp;T$2,search_location_2,9,0),"")),IFERROR(VLOOKUP(TEXT($A$6+$A20,"MM/DD/YYYY HH:MM")&amp;"-&gt;"&amp;T$2,search_location_2,6,0)&amp;VLOOKUP(TEXT($A$6+$A20,"MM/DD/YYYY HH:MM")&amp;"-&gt;"&amp;T$2,search_location_2,9,0),""))</f>
        <v/>
      </c>
      <c r="U20" s="424" t="str">
        <f>IFERROR(VLOOKUP(TEXT($A$6+$A20,"MM/DD/YYYY HH:MM")&amp;"-&gt;"&amp;T$2,search_location_2,7,0),"")</f>
        <v/>
      </c>
      <c r="V20" s="436" t="str">
        <f>IFERROR(VLOOKUP(TEXT($A$6+$A20,"MM/DD/YYYY HH:MM")&amp;"-&gt;"&amp;T$2,search_location_2,8,0),"")</f>
        <v/>
      </c>
      <c r="W20" s="426" t="str">
        <f>IFERROR(VLOOKUP(TEXT($A$6+$A20,"MM/DD/YYYY HH:MM")&amp;"-&gt;"&amp;W$2,search_location_2,6,0)&amp;VLOOKUP(TEXT($A$6+$A20,"MM/DD/YYYY HH:MM")&amp;"-&gt;"&amp;W$2,search_location_2,9,0),"")</f>
        <v/>
      </c>
      <c r="X20" s="250" t="str">
        <f>IFERROR(VLOOKUP(TEXT($A$6+$A20,"MM/DD/YYYY HH:MM")&amp;"-&gt;"&amp;W$2,search_location_2,7,0),"")</f>
        <v/>
      </c>
      <c r="Y20" s="250" t="str">
        <f>IFERROR(VLOOKUP(TEXT($A$6+$A20,"MM/DD/YYYY HH:MM")&amp;"-&gt;"&amp;W$2,search_location_2,8,0),"")</f>
        <v/>
      </c>
      <c r="Z20" s="254" t="str">
        <f>IFERROR(VLOOKUP(TEXT($A$6+$A20,"MM/DD/YYYY HH:MM")&amp;"-&gt;"&amp;Z$2,search_location_2,6,0)&amp;VLOOKUP(TEXT($A$6+$A20,"MM/DD/YYYY HH:MM")&amp;"-&gt;"&amp;Z$2,search_location_2,9,0),"")</f>
        <v/>
      </c>
      <c r="AA20" s="251" t="str">
        <f>IFERROR(VLOOKUP(TEXT($A$6+$A20,"MM/DD/YYYY HH:MM")&amp;"-&gt;"&amp;Z$2,search_location_2,7,0),"")</f>
        <v/>
      </c>
      <c r="AB20" s="252" t="str">
        <f>IFERROR(VLOOKUP(TEXT($A$6+$A20,"MM/DD/YYYY HH:MM")&amp;"-&gt;"&amp;Z$2,search_location_2,8,0),"")</f>
        <v/>
      </c>
      <c r="AC20" s="249" t="str">
        <f>IFERROR(VLOOKUP(TEXT($A$6+$A20,"MM/DD/YYYY HH:MM")&amp;"-&gt;"&amp;AC$2,search_location_2,6,0)&amp;VLOOKUP(TEXT($A$6+$A20,"MM/DD/YYYY HH:MM")&amp;"-&gt;"&amp;AC$2,search_location_2,9,0),"")</f>
        <v/>
      </c>
      <c r="AD20" s="250" t="str">
        <f>IFERROR(VLOOKUP(TEXT($A$6+$A20,"MM/DD/YYYY HH:MM")&amp;"-&gt;"&amp;AC$2,search_location_2,7,0),"")</f>
        <v/>
      </c>
      <c r="AE20" s="250" t="str">
        <f>IFERROR(VLOOKUP(TEXT($A$6+$A20,"MM/DD/YYYY HH:MM")&amp;"-&gt;"&amp;AC$2,search_location_2,8,0),"")</f>
        <v/>
      </c>
      <c r="AF20" s="254" t="str">
        <f>IFERROR(VLOOKUP(TEXT($A$6+$A20,"MM/DD/YYYY HH:MM")&amp;"-&gt;"&amp;AF$2,search_location_2,6,0)&amp;VLOOKUP(TEXT($A$6+$A20,"MM/DD/YYYY HH:MM")&amp;"-&gt;"&amp;AF$2,search_location_2,9,0),"")</f>
        <v/>
      </c>
      <c r="AG20" s="251" t="str">
        <f>IFERROR(VLOOKUP(TEXT($A$6+$A20,"MM/DD/YYYY HH:MM")&amp;"-&gt;"&amp;AF$2,search_location_2,7,0),"")</f>
        <v/>
      </c>
      <c r="AH20" s="252" t="str">
        <f>IFERROR(VLOOKUP(TEXT($A$6+$A20,"MM/DD/YYYY HH:MM")&amp;"-&gt;"&amp;AF$2,search_location_2,8,0),"")</f>
        <v/>
      </c>
      <c r="AI20" s="255"/>
    </row>
    <row r="21" spans="1:35" s="256" customFormat="1" ht="23.25" customHeight="1" thickBot="1" x14ac:dyDescent="0.35">
      <c r="A21" s="257"/>
      <c r="B21" s="466" t="str">
        <f>IF(D21="flag football",LOWER(IFERROR(VLOOKUP(TEXT($A$6+$A20,"MM/DD/YYYY HH:MM")&amp;"-&gt;"&amp;B$3,search_location_2,6,0)&amp;VLOOKUP(TEXT($A$6+$A20,"MM/DD/YYYY HH:MM")&amp;"-&gt;"&amp;B$3,search_location_2,9,0),"")),IFERROR(VLOOKUP(TEXT($A$6+$A20,"MM/DD/YYYY HH:MM")&amp;"-&gt;"&amp;B$3,search_location_2,6,0)&amp;VLOOKUP(TEXT($A$6+$A20,"MM/DD/YYYY HH:MM")&amp;"-&gt;"&amp;B$3,search_location_2,9,0),""))</f>
        <v/>
      </c>
      <c r="C21" s="467" t="str">
        <f>IFERROR(VLOOKUP(TEXT($A$6+$A20,"MM/DD/YYYY HH:MM")&amp;"-&gt;"&amp;B$3,search_location_2,7,0),"")</f>
        <v/>
      </c>
      <c r="D21" s="467" t="str">
        <f>IFERROR(VLOOKUP(TEXT($A$6+$A20,"MM/DD/YYYY HH:MM")&amp;"-&gt;"&amp;B$3,search_location_2,8,0),"")</f>
        <v/>
      </c>
      <c r="E21" s="466" t="str">
        <f>IF(G21="flag football",LOWER(IFERROR(VLOOKUP(TEXT($A$6+$A20,"MM/DD/YYYY HH:MM")&amp;"-&gt;"&amp;E$3,search_location_2,6,0)&amp;VLOOKUP(TEXT($A$6+$A20,"MM/DD/YYYY HH:MM")&amp;"-&gt;"&amp;E$3,search_location_2,9,0),"")),IFERROR(VLOOKUP(TEXT($A$6+$A20,"MM/DD/YYYY HH:MM")&amp;"-&gt;"&amp;E$3,search_location_2,6,0)&amp;VLOOKUP(TEXT($A$6+$A20,"MM/DD/YYYY HH:MM")&amp;"-&gt;"&amp;E$3,search_location_2,9,0),""))</f>
        <v/>
      </c>
      <c r="F21" s="467" t="str">
        <f>IFERROR(VLOOKUP(TEXT($A$6+$A20,"MM/DD/YYYY HH:MM")&amp;"-&gt;"&amp;E$3,search_location_2,7,0),"")</f>
        <v/>
      </c>
      <c r="G21" s="467" t="str">
        <f>IFERROR(VLOOKUP(TEXT($A$6+$A20,"MM/DD/YYYY HH:MM")&amp;"-&gt;"&amp;E$3,search_location_2,8,0),"")</f>
        <v/>
      </c>
      <c r="H21" s="466" t="str">
        <f>IF(J21="Kickball",LOWER(IFERROR(VLOOKUP(TEXT($A$6+$A20,"MM/DD/YYYY HH:MM")&amp;"-&gt;"&amp;H$3,search_location_2,6,0)&amp;VLOOKUP(TEXT($A$6+$A20,"MM/DD/YYYY HH:MM")&amp;"-&gt;"&amp;H$3,search_location_2,9,0),"")),IFERROR(VLOOKUP(TEXT($A$6+$A20,"MM/DD/YYYY HH:MM")&amp;"-&gt;"&amp;H$3,search_location_2,6,0)&amp;VLOOKUP(TEXT($A$6+$A20,"MM/DD/YYYY HH:MM")&amp;"-&gt;"&amp;H$3,search_location_2,9,0),""))</f>
        <v/>
      </c>
      <c r="I21" s="468" t="str">
        <f>IFERROR(VLOOKUP(TEXT($A$6+$A20,"MM/DD/YYYY HH:MM")&amp;"-&gt;"&amp;H$3,search_location_2,7,0),"")</f>
        <v/>
      </c>
      <c r="J21" s="468" t="str">
        <f>IFERROR(VLOOKUP(TEXT($A$6+$A20,"MM/DD/YYYY HH:MM")&amp;"-&gt;"&amp;H$3,search_location_2,8,0),"")</f>
        <v/>
      </c>
      <c r="K21" s="466" t="str">
        <f>IFERROR(VLOOKUP(TEXT($A$6+$A20,"MM/DD/YYYY HH:MM")&amp;"-&gt;"&amp;K$3,search_location_2,6,0)&amp;VLOOKUP(TEXT($A$6+$A20,"MM/DD/YYYY HH:MM")&amp;"-&gt;"&amp;K$3,search_location_2,9,0),"")</f>
        <v/>
      </c>
      <c r="L21" s="468" t="str">
        <f>IFERROR(VLOOKUP(TEXT($A$6+$A20,"MM/DD/YYYY HH:MM")&amp;"-&gt;"&amp;K$3,search_location_2,7,0),"")</f>
        <v/>
      </c>
      <c r="M21" s="469" t="str">
        <f>IFERROR(VLOOKUP(TEXT($A$6+$A20,"MM/DD/YYYY HH:MM")&amp;"-&gt;"&amp;K$3,search_location_2,8,0),"")</f>
        <v/>
      </c>
      <c r="N21" s="470" t="str">
        <f>IFERROR(VLOOKUP(TEXT($A$6+$A20,"MM/DD/YYYY HH:MM")&amp;"-&gt;"&amp;N$3,search_location_2,6,0)&amp;VLOOKUP(TEXT($A$6+$A20,"MM/DD/YYYY HH:MM")&amp;"-&gt;"&amp;N$3,search_location_2,9,0),"")</f>
        <v/>
      </c>
      <c r="O21" s="468" t="str">
        <f>IFERROR(VLOOKUP(TEXT($A$6+$A20,"MM/DD/YYYY HH:MM")&amp;"-&gt;"&amp;N$3,search_location_2,7,0),"")</f>
        <v/>
      </c>
      <c r="P21" s="468" t="str">
        <f>IFERROR(VLOOKUP(TEXT($A$6+$A20,"MM/DD/YYYY HH:MM")&amp;"-&gt;"&amp;N$3,search_location_2,8,0),"")</f>
        <v/>
      </c>
      <c r="Q21" s="470" t="str">
        <f>IF(S21="Kickball",LOWER(IFERROR(VLOOKUP(TEXT($A$6+$A20,"MM/DD/YYYY HH:MM")&amp;"-&gt;"&amp;Q$3,search_location_2,6,0)&amp;VLOOKUP(TEXT($A$6+$A20,"MM/DD/YYYY HH:MM")&amp;"-&gt;"&amp;Q$3,search_location_2,9,0),"")),IFERROR(VLOOKUP(TEXT($A$6+$A20,"MM/DD/YYYY HH:MM")&amp;"-&gt;"&amp;Q$3,search_location_2,6,0)&amp;VLOOKUP(TEXT($A$6+$A20,"MM/DD/YYYY HH:MM")&amp;"-&gt;"&amp;Q$3,search_location_2,9,0),""))</f>
        <v/>
      </c>
      <c r="R21" s="471" t="str">
        <f>IFERROR(VLOOKUP(TEXT($A$6+$A20,"MM/DD/YYYY HH:MM")&amp;"-&gt;"&amp;Q$3,search_location_2,7,0),"")</f>
        <v/>
      </c>
      <c r="S21" s="467" t="str">
        <f>IFERROR(VLOOKUP(TEXT($A$6+$A20,"MM/DD/YYYY HH:MM")&amp;"-&gt;"&amp;Q$3,search_location_2,8,0),"")</f>
        <v/>
      </c>
      <c r="T21" s="472" t="str">
        <f>IF(V21="Kickball",LOWER(IFERROR(VLOOKUP(TEXT($A$6+$A20,"MM/DD/YYYY HH:MM")&amp;"-&gt;"&amp;T$3,search_location_2,6,0)&amp;VLOOKUP(TEXT($A$6+$A20,"MM/DD/YYYY HH:MM")&amp;"-&gt;"&amp;T$3,search_location_2,9,0),"")),IFERROR(VLOOKUP(TEXT($A$6+$A20,"MM/DD/YYYY HH:MM")&amp;"-&gt;"&amp;T$3,search_location_2,6,0)&amp;VLOOKUP(TEXT($A$6+$A20,"MM/DD/YYYY HH:MM")&amp;"-&gt;"&amp;T$3,search_location_2,9,0),""))</f>
        <v/>
      </c>
      <c r="U21" s="468" t="str">
        <f>IFERROR(VLOOKUP(TEXT($A$6+$A20,"MM/DD/YYYY HH:MM")&amp;"-&gt;"&amp;T$3,search_location_2,7,0),"")</f>
        <v/>
      </c>
      <c r="V21" s="469" t="str">
        <f>IFERROR(VLOOKUP(TEXT($A$6+$A20,"MM/DD/YYYY HH:MM")&amp;"-&gt;"&amp;T$3,search_location_2,8,0),"")</f>
        <v/>
      </c>
      <c r="W21" s="466" t="str">
        <f>IFERROR(VLOOKUP(TEXT($A$6+$A20,"MM/DD/YYYY HH:MM")&amp;"-&gt;"&amp;W$3,search_location_2,6,0)&amp;VLOOKUP(TEXT($A$6+$A20,"MM/DD/YYYY HH:MM")&amp;"-&gt;"&amp;W$3,search_location_2,9,0),"")</f>
        <v/>
      </c>
      <c r="X21" s="259" t="str">
        <f>IFERROR(VLOOKUP(TEXT($A$6+$A20,"MM/DD/YYYY HH:MM")&amp;"-&gt;"&amp;W$3,search_location_2,7,0),"")</f>
        <v/>
      </c>
      <c r="Y21" s="259" t="str">
        <f>IFERROR(VLOOKUP(TEXT($A$6+$A20,"MM/DD/YYYY HH:MM")&amp;"-&gt;"&amp;W$3,search_location_2,8,0),"")</f>
        <v/>
      </c>
      <c r="Z21" s="263" t="str">
        <f>IFERROR(VLOOKUP(TEXT($A$6+$A20,"MM/DD/YYYY HH:MM")&amp;"-&gt;"&amp;Z$3,search_location_2,6,0)&amp;VLOOKUP(TEXT($A$6+$A20,"MM/DD/YYYY HH:MM")&amp;"-&gt;"&amp;Z$3,search_location_2,9,0),"")</f>
        <v/>
      </c>
      <c r="AA21" s="260" t="str">
        <f>IFERROR(VLOOKUP(TEXT($A$6+$A20,"MM/DD/YYYY HH:MM")&amp;"-&gt;"&amp;Z$3,search_location_2,7,0),"")</f>
        <v/>
      </c>
      <c r="AB21" s="261" t="str">
        <f>IFERROR(VLOOKUP(TEXT($A$6+$A20,"MM/DD/YYYY HH:MM")&amp;"-&gt;"&amp;Z$3,search_location_2,8,0),"")</f>
        <v/>
      </c>
      <c r="AC21" s="258" t="str">
        <f>IFERROR(VLOOKUP(TEXT($A$6+$A20,"MM/DD/YYYY HH:MM")&amp;"-&gt;"&amp;AC$3,search_location_2,6,0)&amp;VLOOKUP(TEXT($A$6+$A20,"MM/DD/YYYY HH:MM")&amp;"-&gt;"&amp;AC$3,search_location_2,9,0),"")</f>
        <v/>
      </c>
      <c r="AD21" s="259" t="str">
        <f>IFERROR(VLOOKUP(TEXT($A$6+$A20,"MM/DD/YYYY HH:MM")&amp;"-&gt;"&amp;AC$3,search_location_2,7,0),"")</f>
        <v/>
      </c>
      <c r="AE21" s="259" t="str">
        <f>IFERROR(VLOOKUP(TEXT($A$6+$A20,"MM/DD/YYYY HH:MM")&amp;"-&gt;"&amp;AC$3,search_location_2,8,0),"")</f>
        <v/>
      </c>
      <c r="AF21" s="263" t="str">
        <f>IFERROR(VLOOKUP(TEXT($A$6+$A20,"MM/DD/YYYY HH:MM")&amp;"-&gt;"&amp;AF$3,search_location_2,6,0)&amp;VLOOKUP(TEXT($A$6+$A20,"MM/DD/YYYY HH:MM")&amp;"-&gt;"&amp;AF$3,search_location_2,9,0),"")</f>
        <v/>
      </c>
      <c r="AG21" s="260" t="str">
        <f>IFERROR(VLOOKUP(TEXT($A$6+$A20,"MM/DD/YYYY HH:MM")&amp;"-&gt;"&amp;AF$3,search_location_2,7,0),"")</f>
        <v/>
      </c>
      <c r="AH21" s="261" t="str">
        <f>IFERROR(VLOOKUP(TEXT($A$6+$A20,"MM/DD/YYYY HH:MM")&amp;"-&gt;"&amp;AF$3,search_location_2,8,0),"")</f>
        <v/>
      </c>
      <c r="AI21" s="255"/>
    </row>
    <row r="22" spans="1:35" s="256" customFormat="1" ht="36" customHeight="1" x14ac:dyDescent="0.3">
      <c r="A22" s="264">
        <f>A20+Time_Slots</f>
        <v>0.57638888888888884</v>
      </c>
      <c r="B22" s="426" t="str">
        <f>IF(D22="flag football",LOWER(IFERROR(VLOOKUP(TEXT($A$6+$A22,"MM/DD/YYYY HH:MM")&amp;"-&gt;"&amp;B$2,search_location_2,6,0)&amp;VLOOKUP(TEXT($A$6+$A22,"MM/DD/YYYY HH:MM")&amp;"-&gt;"&amp;B$2,search_location_2,9,0),"")),IFERROR(VLOOKUP(TEXT($A$6+$A22,"MM/DD/YYYY HH:MM")&amp;"-&gt;"&amp;B$2,search_location_2,6,0)&amp;VLOOKUP(TEXT($A$6+$A22,"MM/DD/YYYY HH:MM")&amp;"-&gt;"&amp;B$2,search_location_2,9,0),""))</f>
        <v>VEN2-VEN1 Soccer Final835</v>
      </c>
      <c r="C22" s="434" t="str">
        <f>IFERROR(VLOOKUP(TEXT($A$6+$A22,"MM/DD/YYYY HH:MM")&amp;"-&gt;"&amp;B$2,search_location_2,7,0),"")</f>
        <v>CHILDREN C MALE</v>
      </c>
      <c r="D22" s="434" t="str">
        <f>IFERROR(VLOOKUP(TEXT($A$6+$A22,"MM/DD/YYYY HH:MM")&amp;"-&gt;"&amp;B$2,search_location_2,8,0),"")</f>
        <v>Soccer</v>
      </c>
      <c r="E22" s="426" t="str">
        <f>IF(G22="flag football",LOWER(IFERROR(VLOOKUP(TEXT($A$6+$A22,"MM/DD/YYYY HH:MM")&amp;"-&gt;"&amp;E$2,search_location_2,6,0)&amp;VLOOKUP(TEXT($A$6+$A22,"MM/DD/YYYY HH:MM")&amp;"-&gt;"&amp;E$2,search_location_2,9,0),"")),IFERROR(VLOOKUP(TEXT($A$6+$A22,"MM/DD/YYYY HH:MM")&amp;"-&gt;"&amp;E$2,search_location_2,6,0)&amp;VLOOKUP(TEXT($A$6+$A22,"MM/DD/YYYY HH:MM")&amp;"-&gt;"&amp;E$2,search_location_2,9,0),""))</f>
        <v>ARG1-PER Soccer Final851</v>
      </c>
      <c r="F22" s="434" t="str">
        <f>IFERROR(VLOOKUP(TEXT($A$6+$A22,"MM/DD/YYYY HH:MM")&amp;"-&gt;"&amp;E$2,search_location_2,7,0),"")</f>
        <v>CHILDREN E MALE</v>
      </c>
      <c r="G22" s="434" t="str">
        <f>IFERROR(VLOOKUP(TEXT($A$6+$A22,"MM/DD/YYYY HH:MM")&amp;"-&gt;"&amp;E$2,search_location_2,8,0),"")</f>
        <v>Soccer</v>
      </c>
      <c r="H22" s="426" t="str">
        <f>IF(J22="Kickball",LOWER(IFERROR(VLOOKUP(TEXT($A$6+$A22,"MM/DD/YYYY HH:MM")&amp;"-&gt;"&amp;H$2,search_location_2,6,0)&amp;VLOOKUP(TEXT($A$6+$A22,"MM/DD/YYYY HH:MM")&amp;"-&gt;"&amp;H$2,search_location_2,9,0),"")),IFERROR(VLOOKUP(TEXT($A$6+$A22,"MM/DD/YYYY HH:MM")&amp;"-&gt;"&amp;H$2,search_location_2,6,0)&amp;VLOOKUP(TEXT($A$6+$A22,"MM/DD/YYYY HH:MM")&amp;"-&gt;"&amp;H$2,search_location_2,9,0),""))</f>
        <v>PER-MEX Basketball Final844</v>
      </c>
      <c r="I22" s="424" t="str">
        <f>IFERROR(VLOOKUP(TEXT($A$6+$A22,"MM/DD/YYYY HH:MM")&amp;"-&gt;"&amp;H$2,search_location_2,7,0),"")</f>
        <v>CHILDREN E FEMALE</v>
      </c>
      <c r="J22" s="424" t="str">
        <f>IFERROR(VLOOKUP(TEXT($A$6+$A22,"MM/DD/YYYY HH:MM")&amp;"-&gt;"&amp;H$2,search_location_2,8,0),"")</f>
        <v>Basketball</v>
      </c>
      <c r="K22" s="426" t="str">
        <f>IFERROR(VLOOKUP(TEXT($A$6+$A22,"MM/DD/YYYY HH:MM")&amp;"-&gt;"&amp;K$2,search_location_2,6,0)&amp;VLOOKUP(TEXT($A$6+$A22,"MM/DD/YYYY HH:MM")&amp;"-&gt;"&amp;K$2,search_location_2,9,0),"")</f>
        <v>ARG1-COL1 Basketball Final828</v>
      </c>
      <c r="L22" s="424" t="str">
        <f>IFERROR(VLOOKUP(TEXT($A$6+$A22,"MM/DD/YYYY HH:MM")&amp;"-&gt;"&amp;K$2,search_location_2,7,0),"")</f>
        <v>CHILDREN C FEMALE</v>
      </c>
      <c r="M22" s="436" t="str">
        <f>IFERROR(VLOOKUP(TEXT($A$6+$A22,"MM/DD/YYYY HH:MM")&amp;"-&gt;"&amp;K$2,search_location_2,8,0),"")</f>
        <v>Basketball</v>
      </c>
      <c r="N22" s="437" t="str">
        <f>IFERROR(VLOOKUP(TEXT($A$6+$A22,"MM/DD/YYYY HH:MM")&amp;"-&gt;"&amp;N$2,search_location_2,6,0)&amp;VLOOKUP(TEXT($A$6+$A22,"MM/DD/YYYY HH:MM")&amp;"-&gt;"&amp;N$2,search_location_2,9,0),"")</f>
        <v/>
      </c>
      <c r="O22" s="424" t="str">
        <f>IFERROR(VLOOKUP(TEXT($A$6+$A22,"MM/DD/YYYY HH:MM")&amp;"-&gt;"&amp;N$2,search_location_2,7,0),"")</f>
        <v/>
      </c>
      <c r="P22" s="424" t="str">
        <f>IFERROR(VLOOKUP(TEXT($A$6+$A22,"MM/DD/YYYY HH:MM")&amp;"-&gt;"&amp;N$2,search_location_2,8,0),"")</f>
        <v/>
      </c>
      <c r="Q22" s="437" t="str">
        <f>IF(S22="Kickball",LOWER(IFERROR(VLOOKUP(TEXT($A$6+$A22,"MM/DD/YYYY HH:MM")&amp;"-&gt;"&amp;Q$2,search_location_2,6,0)&amp;VLOOKUP(TEXT($A$6+$A22,"MM/DD/YYYY HH:MM")&amp;"-&gt;"&amp;Q$2,search_location_2,9,0),"")),IFERROR(VLOOKUP(TEXT($A$6+$A22,"MM/DD/YYYY HH:MM")&amp;"-&gt;"&amp;Q$2,search_location_2,6,0)&amp;VLOOKUP(TEXT($A$6+$A22,"MM/DD/YYYY HH:MM")&amp;"-&gt;"&amp;Q$2,search_location_2,9,0),""))</f>
        <v>PER-ISR1 Flag Football Semi-Final806</v>
      </c>
      <c r="R22" s="432" t="str">
        <f>IFERROR(VLOOKUP(TEXT($A$6+$A22,"MM/DD/YYYY HH:MM")&amp;"-&gt;"&amp;Q$2,search_location_2,7,0),"")</f>
        <v>JUNIORS FEMALE</v>
      </c>
      <c r="S22" s="439" t="str">
        <f>IFERROR(VLOOKUP(TEXT($A$6+$A22,"MM/DD/YYYY HH:MM")&amp;"-&gt;"&amp;Q$2,search_location_2,8,0),"")</f>
        <v>Flag Football</v>
      </c>
      <c r="T22" s="439" t="str">
        <f>IF(V22="Kickball",LOWER(IFERROR(VLOOKUP(TEXT($A$6+$A22,"MM/DD/YYYY HH:MM")&amp;"-&gt;"&amp;T$2,search_location_2,6,0)&amp;VLOOKUP(TEXT($A$6+$A22,"MM/DD/YYYY HH:MM")&amp;"-&gt;"&amp;T$2,search_location_2,9,0),"")),IFERROR(VLOOKUP(TEXT($A$6+$A22,"MM/DD/YYYY HH:MM")&amp;"-&gt;"&amp;T$2,search_location_2,6,0)&amp;VLOOKUP(TEXT($A$6+$A22,"MM/DD/YYYY HH:MM")&amp;"-&gt;"&amp;T$2,search_location_2,9,0),""))</f>
        <v>USA2-ARG1 Flag Football Semi-Final807</v>
      </c>
      <c r="U22" s="424" t="str">
        <f>IFERROR(VLOOKUP(TEXT($A$6+$A22,"MM/DD/YYYY HH:MM")&amp;"-&gt;"&amp;T$2,search_location_2,7,0),"")</f>
        <v>JUNIORS FEMALE</v>
      </c>
      <c r="V22" s="436" t="str">
        <f>IFERROR(VLOOKUP(TEXT($A$6+$A22,"MM/DD/YYYY HH:MM")&amp;"-&gt;"&amp;T$2,search_location_2,8,0),"")</f>
        <v>Flag Football</v>
      </c>
      <c r="W22" s="426" t="str">
        <f>IFERROR(VLOOKUP(TEXT($A$6+$A22,"MM/DD/YYYY HH:MM")&amp;"-&gt;"&amp;W$2,search_location_2,6,0)&amp;VLOOKUP(TEXT($A$6+$A22,"MM/DD/YYYY HH:MM")&amp;"-&gt;"&amp;W$2,search_location_2,9,0),"")</f>
        <v>PER-ISR1 Basketball Final860</v>
      </c>
      <c r="X22" s="250" t="str">
        <f>IFERROR(VLOOKUP(TEXT($A$6+$A22,"MM/DD/YYYY HH:MM")&amp;"-&gt;"&amp;W$2,search_location_2,7,0),"")</f>
        <v>JUNIORS B MALE</v>
      </c>
      <c r="Y22" s="250" t="str">
        <f>IFERROR(VLOOKUP(TEXT($A$6+$A22,"MM/DD/YYYY HH:MM")&amp;"-&gt;"&amp;W$2,search_location_2,8,0),"")</f>
        <v>Basketball</v>
      </c>
      <c r="Z22" s="254" t="str">
        <f>IFERROR(VLOOKUP(TEXT($A$6+$A22,"MM/DD/YYYY HH:MM")&amp;"-&gt;"&amp;Z$2,search_location_2,6,0)&amp;VLOOKUP(TEXT($A$6+$A22,"MM/DD/YYYY HH:MM")&amp;"-&gt;"&amp;Z$2,search_location_2,9,0),"")</f>
        <v/>
      </c>
      <c r="AA22" s="251" t="str">
        <f>IFERROR(VLOOKUP(TEXT($A$6+$A22,"MM/DD/YYYY HH:MM")&amp;"-&gt;"&amp;Z$2,search_location_2,7,0),"")</f>
        <v/>
      </c>
      <c r="AB22" s="252" t="str">
        <f>IFERROR(VLOOKUP(TEXT($A$6+$A22,"MM/DD/YYYY HH:MM")&amp;"-&gt;"&amp;Z$2,search_location_2,8,0),"")</f>
        <v/>
      </c>
      <c r="AC22" s="249" t="str">
        <f>IFERROR(VLOOKUP(TEXT($A$6+$A22,"MM/DD/YYYY HH:MM")&amp;"-&gt;"&amp;AC$2,search_location_2,6,0)&amp;VLOOKUP(TEXT($A$6+$A22,"MM/DD/YYYY HH:MM")&amp;"-&gt;"&amp;AC$2,search_location_2,9,0),"")</f>
        <v>COL1-USA1 76</v>
      </c>
      <c r="AD22" s="250" t="str">
        <f>IFERROR(VLOOKUP(TEXT($A$6+$A22,"MM/DD/YYYY HH:MM")&amp;"-&gt;"&amp;AC$2,search_location_2,7,0),"")</f>
        <v>CHILDREN A COED</v>
      </c>
      <c r="AE22" s="250" t="str">
        <f>IFERROR(VLOOKUP(TEXT($A$6+$A22,"MM/DD/YYYY HH:MM")&amp;"-&gt;"&amp;AC$2,search_location_2,8,0),"")</f>
        <v>Basketball</v>
      </c>
      <c r="AF22" s="254" t="str">
        <f>IFERROR(VLOOKUP(TEXT($A$6+$A22,"MM/DD/YYYY HH:MM")&amp;"-&gt;"&amp;AF$2,search_location_2,6,0)&amp;VLOOKUP(TEXT($A$6+$A22,"MM/DD/YYYY HH:MM")&amp;"-&gt;"&amp;AF$2,search_location_2,9,0),"")</f>
        <v/>
      </c>
      <c r="AG22" s="251" t="str">
        <f>IFERROR(VLOOKUP(TEXT($A$6+$A22,"MM/DD/YYYY HH:MM")&amp;"-&gt;"&amp;AF$2,search_location_2,7,0),"")</f>
        <v/>
      </c>
      <c r="AH22" s="252" t="str">
        <f>IFERROR(VLOOKUP(TEXT($A$6+$A22,"MM/DD/YYYY HH:MM")&amp;"-&gt;"&amp;AF$2,search_location_2,8,0),"")</f>
        <v/>
      </c>
      <c r="AI22" s="255"/>
    </row>
    <row r="23" spans="1:35" s="256" customFormat="1" ht="36" customHeight="1" thickBot="1" x14ac:dyDescent="0.35">
      <c r="A23" s="257"/>
      <c r="B23" s="466" t="str">
        <f>IF(D23="flag football",LOWER(IFERROR(VLOOKUP(TEXT($A$6+$A22,"MM/DD/YYYY HH:MM")&amp;"-&gt;"&amp;B$3,search_location_2,6,0)&amp;VLOOKUP(TEXT($A$6+$A22,"MM/DD/YYYY HH:MM")&amp;"-&gt;"&amp;B$3,search_location_2,9,0),"")),IFERROR(VLOOKUP(TEXT($A$6+$A22,"MM/DD/YYYY HH:MM")&amp;"-&gt;"&amp;B$3,search_location_2,6,0)&amp;VLOOKUP(TEXT($A$6+$A22,"MM/DD/YYYY HH:MM")&amp;"-&gt;"&amp;B$3,search_location_2,9,0),""))</f>
        <v>MEX-ARG1 Soccer Final843</v>
      </c>
      <c r="C23" s="467" t="str">
        <f>IFERROR(VLOOKUP(TEXT($A$6+$A22,"MM/DD/YYYY HH:MM")&amp;"-&gt;"&amp;B$3,search_location_2,7,0),"")</f>
        <v>CHILDREN D MALE</v>
      </c>
      <c r="D23" s="467" t="str">
        <f>IFERROR(VLOOKUP(TEXT($A$6+$A22,"MM/DD/YYYY HH:MM")&amp;"-&gt;"&amp;B$3,search_location_2,8,0),"")</f>
        <v>Soccer</v>
      </c>
      <c r="E23" s="466" t="str">
        <f>IF(G23="flag football",LOWER(IFERROR(VLOOKUP(TEXT($A$6+$A22,"MM/DD/YYYY HH:MM")&amp;"-&gt;"&amp;E$3,search_location_2,6,0)&amp;VLOOKUP(TEXT($A$6+$A22,"MM/DD/YYYY HH:MM")&amp;"-&gt;"&amp;E$3,search_location_2,9,0),"")),IFERROR(VLOOKUP(TEXT($A$6+$A22,"MM/DD/YYYY HH:MM")&amp;"-&gt;"&amp;E$3,search_location_2,6,0)&amp;VLOOKUP(TEXT($A$6+$A22,"MM/DD/YYYY HH:MM")&amp;"-&gt;"&amp;E$3,search_location_2,9,0),""))</f>
        <v>VEN1-ARG1 Soccer Final868</v>
      </c>
      <c r="F23" s="467" t="str">
        <f>IFERROR(VLOOKUP(TEXT($A$6+$A22,"MM/DD/YYYY HH:MM")&amp;"-&gt;"&amp;E$3,search_location_2,7,0),"")</f>
        <v>VETERANs MAlE</v>
      </c>
      <c r="G23" s="467" t="str">
        <f>IFERROR(VLOOKUP(TEXT($A$6+$A22,"MM/DD/YYYY HH:MM")&amp;"-&gt;"&amp;E$3,search_location_2,8,0),"")</f>
        <v>Soccer</v>
      </c>
      <c r="H23" s="466" t="str">
        <f>IF(J23="Kickball",LOWER(IFERROR(VLOOKUP(TEXT($A$6+$A22,"MM/DD/YYYY HH:MM")&amp;"-&gt;"&amp;H$3,search_location_2,6,0)&amp;VLOOKUP(TEXT($A$6+$A22,"MM/DD/YYYY HH:MM")&amp;"-&gt;"&amp;H$3,search_location_2,9,0),"")),IFERROR(VLOOKUP(TEXT($A$6+$A22,"MM/DD/YYYY HH:MM")&amp;"-&gt;"&amp;H$3,search_location_2,6,0)&amp;VLOOKUP(TEXT($A$6+$A22,"MM/DD/YYYY HH:MM")&amp;"-&gt;"&amp;H$3,search_location_2,9,0),""))</f>
        <v/>
      </c>
      <c r="I23" s="468" t="str">
        <f>IFERROR(VLOOKUP(TEXT($A$6+$A22,"MM/DD/YYYY HH:MM")&amp;"-&gt;"&amp;H$3,search_location_2,7,0),"")</f>
        <v/>
      </c>
      <c r="J23" s="468" t="str">
        <f>IFERROR(VLOOKUP(TEXT($A$6+$A22,"MM/DD/YYYY HH:MM")&amp;"-&gt;"&amp;H$3,search_location_2,8,0),"")</f>
        <v/>
      </c>
      <c r="K23" s="466" t="str">
        <f>IFERROR(VLOOKUP(TEXT($A$6+$A22,"MM/DD/YYYY HH:MM")&amp;"-&gt;"&amp;K$3,search_location_2,6,0)&amp;VLOOKUP(TEXT($A$6+$A22,"MM/DD/YYYY HH:MM")&amp;"-&gt;"&amp;K$3,search_location_2,9,0),"")</f>
        <v/>
      </c>
      <c r="L23" s="468" t="str">
        <f>IFERROR(VLOOKUP(TEXT($A$6+$A22,"MM/DD/YYYY HH:MM")&amp;"-&gt;"&amp;K$3,search_location_2,7,0),"")</f>
        <v/>
      </c>
      <c r="M23" s="469" t="str">
        <f>IFERROR(VLOOKUP(TEXT($A$6+$A22,"MM/DD/YYYY HH:MM")&amp;"-&gt;"&amp;K$3,search_location_2,8,0),"")</f>
        <v/>
      </c>
      <c r="N23" s="470" t="str">
        <f>IFERROR(VLOOKUP(TEXT($A$6+$A22,"MM/DD/YYYY HH:MM")&amp;"-&gt;"&amp;N$3,search_location_2,6,0)&amp;VLOOKUP(TEXT($A$6+$A22,"MM/DD/YYYY HH:MM")&amp;"-&gt;"&amp;N$3,search_location_2,9,0),"")</f>
        <v/>
      </c>
      <c r="O23" s="468" t="str">
        <f>IFERROR(VLOOKUP(TEXT($A$6+$A22,"MM/DD/YYYY HH:MM")&amp;"-&gt;"&amp;N$3,search_location_2,7,0),"")</f>
        <v/>
      </c>
      <c r="P23" s="468" t="str">
        <f>IFERROR(VLOOKUP(TEXT($A$6+$A22,"MM/DD/YYYY HH:MM")&amp;"-&gt;"&amp;N$3,search_location_2,8,0),"")</f>
        <v/>
      </c>
      <c r="Q23" s="470" t="str">
        <f>IF(S23="Kickball",LOWER(IFERROR(VLOOKUP(TEXT($A$6+$A22,"MM/DD/YYYY HH:MM")&amp;"-&gt;"&amp;Q$3,search_location_2,6,0)&amp;VLOOKUP(TEXT($A$6+$A22,"MM/DD/YYYY HH:MM")&amp;"-&gt;"&amp;Q$3,search_location_2,9,0),"")),IFERROR(VLOOKUP(TEXT($A$6+$A22,"MM/DD/YYYY HH:MM")&amp;"-&gt;"&amp;Q$3,search_location_2,6,0)&amp;VLOOKUP(TEXT($A$6+$A22,"MM/DD/YYYY HH:MM")&amp;"-&gt;"&amp;Q$3,search_location_2,9,0),""))</f>
        <v>MEX2-MEX1 Flag Football Semi-Final794</v>
      </c>
      <c r="R23" s="471" t="str">
        <f>IFERROR(VLOOKUP(TEXT($A$6+$A22,"MM/DD/YYYY HH:MM")&amp;"-&gt;"&amp;Q$3,search_location_2,7,0),"")</f>
        <v>JUNIORS A MALE</v>
      </c>
      <c r="S23" s="472" t="str">
        <f>IFERROR(VLOOKUP(TEXT($A$6+$A22,"MM/DD/YYYY HH:MM")&amp;"-&gt;"&amp;Q$3,search_location_2,8,0),"")</f>
        <v>Flag Football</v>
      </c>
      <c r="T23" s="472" t="str">
        <f>IF(V23="Kickball",LOWER(IFERROR(VLOOKUP(TEXT($A$6+$A22,"MM/DD/YYYY HH:MM")&amp;"-&gt;"&amp;T$3,search_location_2,6,0)&amp;VLOOKUP(TEXT($A$6+$A22,"MM/DD/YYYY HH:MM")&amp;"-&gt;"&amp;T$3,search_location_2,9,0),"")),IFERROR(VLOOKUP(TEXT($A$6+$A22,"MM/DD/YYYY HH:MM")&amp;"-&gt;"&amp;T$3,search_location_2,6,0)&amp;VLOOKUP(TEXT($A$6+$A22,"MM/DD/YYYY HH:MM")&amp;"-&gt;"&amp;T$3,search_location_2,9,0),""))</f>
        <v>USA1-VEN2 Flag Football Semi-Final795</v>
      </c>
      <c r="U23" s="468" t="str">
        <f>IFERROR(VLOOKUP(TEXT($A$6+$A22,"MM/DD/YYYY HH:MM")&amp;"-&gt;"&amp;T$3,search_location_2,7,0),"")</f>
        <v>JUNIORS A MALE</v>
      </c>
      <c r="V23" s="469" t="str">
        <f>IFERROR(VLOOKUP(TEXT($A$6+$A22,"MM/DD/YYYY HH:MM")&amp;"-&gt;"&amp;T$3,search_location_2,8,0),"")</f>
        <v>Flag Football</v>
      </c>
      <c r="W23" s="466" t="str">
        <f>IFERROR(VLOOKUP(TEXT($A$6+$A22,"MM/DD/YYYY HH:MM")&amp;"-&gt;"&amp;W$3,search_location_2,6,0)&amp;VLOOKUP(TEXT($A$6+$A22,"MM/DD/YYYY HH:MM")&amp;"-&gt;"&amp;W$3,search_location_2,9,0),"")</f>
        <v>VEN2-ARG1 Volleyball Final839</v>
      </c>
      <c r="X23" s="259" t="str">
        <f>IFERROR(VLOOKUP(TEXT($A$6+$A22,"MM/DD/YYYY HH:MM")&amp;"-&gt;"&amp;W$3,search_location_2,7,0),"")</f>
        <v>CHILDREN D FEMALE</v>
      </c>
      <c r="Y23" s="259" t="str">
        <f>IFERROR(VLOOKUP(TEXT($A$6+$A22,"MM/DD/YYYY HH:MM")&amp;"-&gt;"&amp;W$3,search_location_2,8,0),"")</f>
        <v>Volleyball</v>
      </c>
      <c r="Z23" s="263" t="str">
        <f>IFERROR(VLOOKUP(TEXT($A$6+$A22,"MM/DD/YYYY HH:MM")&amp;"-&gt;"&amp;Z$3,search_location_2,6,0)&amp;VLOOKUP(TEXT($A$6+$A22,"MM/DD/YYYY HH:MM")&amp;"-&gt;"&amp;Z$3,search_location_2,9,0),"")</f>
        <v>USA2-VEN1 82</v>
      </c>
      <c r="AA23" s="260" t="str">
        <f>IFERROR(VLOOKUP(TEXT($A$6+$A22,"MM/DD/YYYY HH:MM")&amp;"-&gt;"&amp;Z$3,search_location_2,7,0),"")</f>
        <v>CHILDREN A COED</v>
      </c>
      <c r="AB23" s="261" t="str">
        <f>IFERROR(VLOOKUP(TEXT($A$6+$A22,"MM/DD/YYYY HH:MM")&amp;"-&gt;"&amp;Z$3,search_location_2,8,0),"")</f>
        <v>Kickball</v>
      </c>
      <c r="AC23" s="258" t="str">
        <f>IFERROR(VLOOKUP(TEXT($A$6+$A22,"MM/DD/YYYY HH:MM")&amp;"-&gt;"&amp;AC$3,search_location_2,6,0)&amp;VLOOKUP(TEXT($A$6+$A22,"MM/DD/YYYY HH:MM")&amp;"-&gt;"&amp;AC$3,search_location_2,9,0),"")</f>
        <v/>
      </c>
      <c r="AD23" s="259" t="str">
        <f>IFERROR(VLOOKUP(TEXT($A$6+$A22,"MM/DD/YYYY HH:MM")&amp;"-&gt;"&amp;AC$3,search_location_2,7,0),"")</f>
        <v/>
      </c>
      <c r="AE23" s="259" t="str">
        <f>IFERROR(VLOOKUP(TEXT($A$6+$A22,"MM/DD/YYYY HH:MM")&amp;"-&gt;"&amp;AC$3,search_location_2,8,0),"")</f>
        <v/>
      </c>
      <c r="AF23" s="263" t="str">
        <f>IFERROR(VLOOKUP(TEXT($A$6+$A22,"MM/DD/YYYY HH:MM")&amp;"-&gt;"&amp;AF$3,search_location_2,6,0)&amp;VLOOKUP(TEXT($A$6+$A22,"MM/DD/YYYY HH:MM")&amp;"-&gt;"&amp;AF$3,search_location_2,9,0),"")</f>
        <v/>
      </c>
      <c r="AG23" s="260" t="str">
        <f>IFERROR(VLOOKUP(TEXT($A$6+$A22,"MM/DD/YYYY HH:MM")&amp;"-&gt;"&amp;AF$3,search_location_2,7,0),"")</f>
        <v/>
      </c>
      <c r="AH23" s="261" t="str">
        <f>IFERROR(VLOOKUP(TEXT($A$6+$A22,"MM/DD/YYYY HH:MM")&amp;"-&gt;"&amp;AF$3,search_location_2,8,0),"")</f>
        <v/>
      </c>
      <c r="AI23" s="255"/>
    </row>
    <row r="24" spans="1:35" s="256" customFormat="1" ht="36" customHeight="1" x14ac:dyDescent="0.3">
      <c r="A24" s="264">
        <f>A22+Time_Slots</f>
        <v>0.61111111111111105</v>
      </c>
      <c r="B24" s="426" t="str">
        <f>IF(D24="flag football",LOWER(IFERROR(VLOOKUP(TEXT($A$6+$A24,"MM/DD/YYYY HH:MM")&amp;"-&gt;"&amp;B$2,search_location_2,6,0)&amp;VLOOKUP(TEXT($A$6+$A24,"MM/DD/YYYY HH:MM")&amp;"-&gt;"&amp;B$2,search_location_2,9,0),"")),IFERROR(VLOOKUP(TEXT($A$6+$A24,"MM/DD/YYYY HH:MM")&amp;"-&gt;"&amp;B$2,search_location_2,6,0)&amp;VLOOKUP(TEXT($A$6+$A24,"MM/DD/YYYY HH:MM")&amp;"-&gt;"&amp;B$2,search_location_2,9,0),""))</f>
        <v>ARG1-COL1 Soccer Final838</v>
      </c>
      <c r="C24" s="434" t="str">
        <f>IFERROR(VLOOKUP(TEXT($A$6+$A24,"MM/DD/YYYY HH:MM")&amp;"-&gt;"&amp;B$2,search_location_2,7,0),"")</f>
        <v>CHILDREN D FEMALE</v>
      </c>
      <c r="D24" s="434" t="str">
        <f>IFERROR(VLOOKUP(TEXT($A$6+$A24,"MM/DD/YYYY HH:MM")&amp;"-&gt;"&amp;B$2,search_location_2,8,0),"")</f>
        <v>Soccer</v>
      </c>
      <c r="E24" s="426" t="str">
        <f>IF(G24="flag football",LOWER(IFERROR(VLOOKUP(TEXT($A$6+$A24,"MM/DD/YYYY HH:MM")&amp;"-&gt;"&amp;E$2,search_location_2,6,0)&amp;VLOOKUP(TEXT($A$6+$A24,"MM/DD/YYYY HH:MM")&amp;"-&gt;"&amp;E$2,search_location_2,9,0),"")),IFERROR(VLOOKUP(TEXT($A$6+$A24,"MM/DD/YYYY HH:MM")&amp;"-&gt;"&amp;E$2,search_location_2,6,0)&amp;VLOOKUP(TEXT($A$6+$A24,"MM/DD/YYYY HH:MM")&amp;"-&gt;"&amp;E$2,search_location_2,9,0),""))</f>
        <v>VEN1-VEN2 Soccer Final830</v>
      </c>
      <c r="F24" s="434" t="str">
        <f>IFERROR(VLOOKUP(TEXT($A$6+$A24,"MM/DD/YYYY HH:MM")&amp;"-&gt;"&amp;E$2,search_location_2,7,0),"")</f>
        <v>CHILDREN C FEMALE</v>
      </c>
      <c r="G24" s="434" t="str">
        <f>IFERROR(VLOOKUP(TEXT($A$6+$A24,"MM/DD/YYYY HH:MM")&amp;"-&gt;"&amp;E$2,search_location_2,8,0),"")</f>
        <v>Soccer</v>
      </c>
      <c r="H24" s="426" t="str">
        <f>IF(J24="Kickball",LOWER(IFERROR(VLOOKUP(TEXT($A$6+$A24,"MM/DD/YYYY HH:MM")&amp;"-&gt;"&amp;H$2,search_location_2,6,0)&amp;VLOOKUP(TEXT($A$6+$A24,"MM/DD/YYYY HH:MM")&amp;"-&gt;"&amp;H$2,search_location_2,9,0),"")),IFERROR(VLOOKUP(TEXT($A$6+$A24,"MM/DD/YYYY HH:MM")&amp;"-&gt;"&amp;H$2,search_location_2,6,0)&amp;VLOOKUP(TEXT($A$6+$A24,"MM/DD/YYYY HH:MM")&amp;"-&gt;"&amp;H$2,search_location_2,9,0),""))</f>
        <v>ARG1-USA1 Basketball Final840</v>
      </c>
      <c r="I24" s="424" t="str">
        <f>IFERROR(VLOOKUP(TEXT($A$6+$A24,"MM/DD/YYYY HH:MM")&amp;"-&gt;"&amp;H$2,search_location_2,7,0),"")</f>
        <v>CHILDREN D MALE</v>
      </c>
      <c r="J24" s="424" t="str">
        <f>IFERROR(VLOOKUP(TEXT($A$6+$A24,"MM/DD/YYYY HH:MM")&amp;"-&gt;"&amp;H$2,search_location_2,8,0),"")</f>
        <v>Basketball</v>
      </c>
      <c r="K24" s="426" t="str">
        <f>IFERROR(VLOOKUP(TEXT($A$6+$A24,"MM/DD/YYYY HH:MM")&amp;"-&gt;"&amp;K$2,search_location_2,6,0)&amp;VLOOKUP(TEXT($A$6+$A24,"MM/DD/YYYY HH:MM")&amp;"-&gt;"&amp;K$2,search_location_2,9,0),"")</f>
        <v/>
      </c>
      <c r="L24" s="424" t="str">
        <f>IFERROR(VLOOKUP(TEXT($A$6+$A24,"MM/DD/YYYY HH:MM")&amp;"-&gt;"&amp;K$2,search_location_2,7,0),"")</f>
        <v/>
      </c>
      <c r="M24" s="436" t="str">
        <f>IFERROR(VLOOKUP(TEXT($A$6+$A24,"MM/DD/YYYY HH:MM")&amp;"-&gt;"&amp;K$2,search_location_2,8,0),"")</f>
        <v/>
      </c>
      <c r="N24" s="437" t="str">
        <f>IFERROR(VLOOKUP(TEXT($A$6+$A24,"MM/DD/YYYY HH:MM")&amp;"-&gt;"&amp;N$2,search_location_2,6,0)&amp;VLOOKUP(TEXT($A$6+$A24,"MM/DD/YYYY HH:MM")&amp;"-&gt;"&amp;N$2,search_location_2,9,0),"")</f>
        <v/>
      </c>
      <c r="O24" s="424" t="str">
        <f>IFERROR(VLOOKUP(TEXT($A$6+$A24,"MM/DD/YYYY HH:MM")&amp;"-&gt;"&amp;N$2,search_location_2,7,0),"")</f>
        <v/>
      </c>
      <c r="P24" s="424" t="str">
        <f>IFERROR(VLOOKUP(TEXT($A$6+$A24,"MM/DD/YYYY HH:MM")&amp;"-&gt;"&amp;N$2,search_location_2,8,0),"")</f>
        <v/>
      </c>
      <c r="Q24" s="437" t="str">
        <f>IF(S24="Kickball",LOWER(IFERROR(VLOOKUP(TEXT($A$6+$A24,"MM/DD/YYYY HH:MM")&amp;"-&gt;"&amp;Q$2,search_location_2,6,0)&amp;VLOOKUP(TEXT($A$6+$A24,"MM/DD/YYYY HH:MM")&amp;"-&gt;"&amp;Q$2,search_location_2,9,0),"")),IFERROR(VLOOKUP(TEXT($A$6+$A24,"MM/DD/YYYY HH:MM")&amp;"-&gt;"&amp;Q$2,search_location_2,6,0)&amp;VLOOKUP(TEXT($A$6+$A24,"MM/DD/YYYY HH:MM")&amp;"-&gt;"&amp;Q$2,search_location_2,9,0),""))</f>
        <v>MEX2-PER Flag Football Semi-Final786</v>
      </c>
      <c r="R24" s="432" t="str">
        <f>IFERROR(VLOOKUP(TEXT($A$6+$A24,"MM/DD/YYYY HH:MM")&amp;"-&gt;"&amp;Q$2,search_location_2,7,0),"")</f>
        <v>CHILDREN E MALE</v>
      </c>
      <c r="S24" s="434" t="str">
        <f>IFERROR(VLOOKUP(TEXT($A$6+$A24,"MM/DD/YYYY HH:MM")&amp;"-&gt;"&amp;Q$2,search_location_2,8,0),"")</f>
        <v>Flag Football</v>
      </c>
      <c r="T24" s="439" t="str">
        <f>IF(V24="Kickball",LOWER(IFERROR(VLOOKUP(TEXT($A$6+$A24,"MM/DD/YYYY HH:MM")&amp;"-&gt;"&amp;T$2,search_location_2,6,0)&amp;VLOOKUP(TEXT($A$6+$A24,"MM/DD/YYYY HH:MM")&amp;"-&gt;"&amp;T$2,search_location_2,9,0),"")),IFERROR(VLOOKUP(TEXT($A$6+$A24,"MM/DD/YYYY HH:MM")&amp;"-&gt;"&amp;T$2,search_location_2,6,0)&amp;VLOOKUP(TEXT($A$6+$A24,"MM/DD/YYYY HH:MM")&amp;"-&gt;"&amp;T$2,search_location_2,9,0),""))</f>
        <v>MEX1-COL1 Flag Football Semi-Final787</v>
      </c>
      <c r="U24" s="424" t="str">
        <f>IFERROR(VLOOKUP(TEXT($A$6+$A24,"MM/DD/YYYY HH:MM")&amp;"-&gt;"&amp;T$2,search_location_2,7,0),"")</f>
        <v>CHILDREN E MALE</v>
      </c>
      <c r="V24" s="436" t="str">
        <f>IFERROR(VLOOKUP(TEXT($A$6+$A24,"MM/DD/YYYY HH:MM")&amp;"-&gt;"&amp;T$2,search_location_2,8,0),"")</f>
        <v>Flag Football</v>
      </c>
      <c r="W24" s="426" t="str">
        <f>IFERROR(VLOOKUP(TEXT($A$6+$A24,"MM/DD/YYYY HH:MM")&amp;"-&gt;"&amp;W$2,search_location_2,6,0)&amp;VLOOKUP(TEXT($A$6+$A24,"MM/DD/YYYY HH:MM")&amp;"-&gt;"&amp;W$2,search_location_2,9,0),"")</f>
        <v>COL2-USA2 Basketball Final864</v>
      </c>
      <c r="X24" s="250" t="str">
        <f>IFERROR(VLOOKUP(TEXT($A$6+$A24,"MM/DD/YYYY HH:MM")&amp;"-&gt;"&amp;W$2,search_location_2,7,0),"")</f>
        <v>JUNIORS FEMALE</v>
      </c>
      <c r="Y24" s="250" t="str">
        <f>IFERROR(VLOOKUP(TEXT($A$6+$A24,"MM/DD/YYYY HH:MM")&amp;"-&gt;"&amp;W$2,search_location_2,8,0),"")</f>
        <v>Basketball</v>
      </c>
      <c r="Z24" s="254" t="str">
        <f>IFERROR(VLOOKUP(TEXT($A$6+$A24,"MM/DD/YYYY HH:MM")&amp;"-&gt;"&amp;Z$2,search_location_2,6,0)&amp;VLOOKUP(TEXT($A$6+$A24,"MM/DD/YYYY HH:MM")&amp;"-&gt;"&amp;Z$2,search_location_2,9,0),"")</f>
        <v/>
      </c>
      <c r="AA24" s="251" t="str">
        <f>IFERROR(VLOOKUP(TEXT($A$6+$A24,"MM/DD/YYYY HH:MM")&amp;"-&gt;"&amp;Z$2,search_location_2,7,0),"")</f>
        <v/>
      </c>
      <c r="AB24" s="252" t="str">
        <f>IFERROR(VLOOKUP(TEXT($A$6+$A24,"MM/DD/YYYY HH:MM")&amp;"-&gt;"&amp;Z$2,search_location_2,8,0),"")</f>
        <v/>
      </c>
      <c r="AC24" s="249" t="str">
        <f>IFERROR(VLOOKUP(TEXT($A$6+$A24,"MM/DD/YYYY HH:MM")&amp;"-&gt;"&amp;AC$2,search_location_2,6,0)&amp;VLOOKUP(TEXT($A$6+$A24,"MM/DD/YYYY HH:MM")&amp;"-&gt;"&amp;AC$2,search_location_2,9,0),"")</f>
        <v/>
      </c>
      <c r="AD24" s="250" t="str">
        <f>IFERROR(VLOOKUP(TEXT($A$6+$A24,"MM/DD/YYYY HH:MM")&amp;"-&gt;"&amp;AC$2,search_location_2,7,0),"")</f>
        <v/>
      </c>
      <c r="AE24" s="250" t="str">
        <f>IFERROR(VLOOKUP(TEXT($A$6+$A24,"MM/DD/YYYY HH:MM")&amp;"-&gt;"&amp;AC$2,search_location_2,8,0),"")</f>
        <v/>
      </c>
      <c r="AF24" s="254" t="str">
        <f>IFERROR(VLOOKUP(TEXT($A$6+$A24,"MM/DD/YYYY HH:MM")&amp;"-&gt;"&amp;AF$2,search_location_2,6,0)&amp;VLOOKUP(TEXT($A$6+$A24,"MM/DD/YYYY HH:MM")&amp;"-&gt;"&amp;AF$2,search_location_2,9,0),"")</f>
        <v/>
      </c>
      <c r="AG24" s="251" t="str">
        <f>IFERROR(VLOOKUP(TEXT($A$6+$A24,"MM/DD/YYYY HH:MM")&amp;"-&gt;"&amp;AF$2,search_location_2,7,0),"")</f>
        <v/>
      </c>
      <c r="AH24" s="252" t="str">
        <f>IFERROR(VLOOKUP(TEXT($A$6+$A24,"MM/DD/YYYY HH:MM")&amp;"-&gt;"&amp;AF$2,search_location_2,8,0),"")</f>
        <v/>
      </c>
      <c r="AI24" s="255"/>
    </row>
    <row r="25" spans="1:35" s="256" customFormat="1" ht="36" customHeight="1" thickBot="1" x14ac:dyDescent="0.35">
      <c r="A25" s="257"/>
      <c r="B25" s="466" t="str">
        <f>IF(D25="flag football",LOWER(IFERROR(VLOOKUP(TEXT($A$6+$A24,"MM/DD/YYYY HH:MM")&amp;"-&gt;"&amp;B$3,search_location_2,6,0)&amp;VLOOKUP(TEXT($A$6+$A24,"MM/DD/YYYY HH:MM")&amp;"-&gt;"&amp;B$3,search_location_2,9,0),"")),IFERROR(VLOOKUP(TEXT($A$6+$A24,"MM/DD/YYYY HH:MM")&amp;"-&gt;"&amp;B$3,search_location_2,6,0)&amp;VLOOKUP(TEXT($A$6+$A24,"MM/DD/YYYY HH:MM")&amp;"-&gt;"&amp;B$3,search_location_2,9,0),""))</f>
        <v/>
      </c>
      <c r="C25" s="467" t="str">
        <f>IFERROR(VLOOKUP(TEXT($A$6+$A24,"MM/DD/YYYY HH:MM")&amp;"-&gt;"&amp;B$3,search_location_2,7,0),"")</f>
        <v/>
      </c>
      <c r="D25" s="467" t="str">
        <f>IFERROR(VLOOKUP(TEXT($A$6+$A24,"MM/DD/YYYY HH:MM")&amp;"-&gt;"&amp;B$3,search_location_2,8,0),"")</f>
        <v/>
      </c>
      <c r="E25" s="466" t="str">
        <f>IF(G25="flag football",LOWER(IFERROR(VLOOKUP(TEXT($A$6+$A24,"MM/DD/YYYY HH:MM")&amp;"-&gt;"&amp;E$3,search_location_2,6,0)&amp;VLOOKUP(TEXT($A$6+$A24,"MM/DD/YYYY HH:MM")&amp;"-&gt;"&amp;E$3,search_location_2,9,0),"")),IFERROR(VLOOKUP(TEXT($A$6+$A24,"MM/DD/YYYY HH:MM")&amp;"-&gt;"&amp;E$3,search_location_2,6,0)&amp;VLOOKUP(TEXT($A$6+$A24,"MM/DD/YYYY HH:MM")&amp;"-&gt;"&amp;E$3,search_location_2,9,0),""))</f>
        <v/>
      </c>
      <c r="F25" s="467" t="str">
        <f>IFERROR(VLOOKUP(TEXT($A$6+$A24,"MM/DD/YYYY HH:MM")&amp;"-&gt;"&amp;E$3,search_location_2,7,0),"")</f>
        <v/>
      </c>
      <c r="G25" s="467" t="str">
        <f>IFERROR(VLOOKUP(TEXT($A$6+$A24,"MM/DD/YYYY HH:MM")&amp;"-&gt;"&amp;E$3,search_location_2,8,0),"")</f>
        <v/>
      </c>
      <c r="H25" s="466" t="str">
        <f>IF(J25="Kickball",LOWER(IFERROR(VLOOKUP(TEXT($A$6+$A24,"MM/DD/YYYY HH:MM")&amp;"-&gt;"&amp;H$3,search_location_2,6,0)&amp;VLOOKUP(TEXT($A$6+$A24,"MM/DD/YYYY HH:MM")&amp;"-&gt;"&amp;H$3,search_location_2,9,0),"")),IFERROR(VLOOKUP(TEXT($A$6+$A24,"MM/DD/YYYY HH:MM")&amp;"-&gt;"&amp;H$3,search_location_2,6,0)&amp;VLOOKUP(TEXT($A$6+$A24,"MM/DD/YYYY HH:MM")&amp;"-&gt;"&amp;H$3,search_location_2,9,0),""))</f>
        <v>ISR1-VEN1 Volleyball Final869</v>
      </c>
      <c r="I25" s="468" t="str">
        <f>IFERROR(VLOOKUP(TEXT($A$6+$A24,"MM/DD/YYYY HH:MM")&amp;"-&gt;"&amp;H$3,search_location_2,7,0),"")</f>
        <v>VETERANs MAlE</v>
      </c>
      <c r="J25" s="468" t="str">
        <f>IFERROR(VLOOKUP(TEXT($A$6+$A24,"MM/DD/YYYY HH:MM")&amp;"-&gt;"&amp;H$3,search_location_2,8,0),"")</f>
        <v>Volleyball</v>
      </c>
      <c r="K25" s="466" t="str">
        <f>IFERROR(VLOOKUP(TEXT($A$6+$A24,"MM/DD/YYYY HH:MM")&amp;"-&gt;"&amp;K$3,search_location_2,6,0)&amp;VLOOKUP(TEXT($A$6+$A24,"MM/DD/YYYY HH:MM")&amp;"-&gt;"&amp;K$3,search_location_2,9,0),"")</f>
        <v>VEN1-VEN2 Basketball Final832</v>
      </c>
      <c r="L25" s="468" t="str">
        <f>IFERROR(VLOOKUP(TEXT($A$6+$A24,"MM/DD/YYYY HH:MM")&amp;"-&gt;"&amp;K$3,search_location_2,7,0),"")</f>
        <v>CHILDREN C MALE</v>
      </c>
      <c r="M25" s="469" t="str">
        <f>IFERROR(VLOOKUP(TEXT($A$6+$A24,"MM/DD/YYYY HH:MM")&amp;"-&gt;"&amp;K$3,search_location_2,8,0),"")</f>
        <v>Basketball</v>
      </c>
      <c r="N25" s="470" t="str">
        <f>IFERROR(VLOOKUP(TEXT($A$6+$A24,"MM/DD/YYYY HH:MM")&amp;"-&gt;"&amp;N$3,search_location_2,6,0)&amp;VLOOKUP(TEXT($A$6+$A24,"MM/DD/YYYY HH:MM")&amp;"-&gt;"&amp;N$3,search_location_2,9,0),"")</f>
        <v/>
      </c>
      <c r="O25" s="468" t="str">
        <f>IFERROR(VLOOKUP(TEXT($A$6+$A24,"MM/DD/YYYY HH:MM")&amp;"-&gt;"&amp;N$3,search_location_2,7,0),"")</f>
        <v/>
      </c>
      <c r="P25" s="468" t="str">
        <f>IFERROR(VLOOKUP(TEXT($A$6+$A24,"MM/DD/YYYY HH:MM")&amp;"-&gt;"&amp;N$3,search_location_2,8,0),"")</f>
        <v/>
      </c>
      <c r="Q25" s="470" t="str">
        <f>IF(S25="Kickball",LOWER(IFERROR(VLOOKUP(TEXT($A$6+$A24,"MM/DD/YYYY HH:MM")&amp;"-&gt;"&amp;Q$3,search_location_2,6,0)&amp;VLOOKUP(TEXT($A$6+$A24,"MM/DD/YYYY HH:MM")&amp;"-&gt;"&amp;Q$3,search_location_2,9,0),"")),IFERROR(VLOOKUP(TEXT($A$6+$A24,"MM/DD/YYYY HH:MM")&amp;"-&gt;"&amp;Q$3,search_location_2,6,0)&amp;VLOOKUP(TEXT($A$6+$A24,"MM/DD/YYYY HH:MM")&amp;"-&gt;"&amp;Q$3,search_location_2,9,0),""))</f>
        <v>PER-MEX Flag Football Semi-Final800</v>
      </c>
      <c r="R25" s="471" t="str">
        <f>IFERROR(VLOOKUP(TEXT($A$6+$A24,"MM/DD/YYYY HH:MM")&amp;"-&gt;"&amp;Q$3,search_location_2,7,0),"")</f>
        <v>JUNIORS B MALE</v>
      </c>
      <c r="S25" s="467" t="str">
        <f>IFERROR(VLOOKUP(TEXT($A$6+$A24,"MM/DD/YYYY HH:MM")&amp;"-&gt;"&amp;Q$3,search_location_2,8,0),"")</f>
        <v>Flag Football</v>
      </c>
      <c r="T25" s="472" t="str">
        <f>IF(V25="Kickball",LOWER(IFERROR(VLOOKUP(TEXT($A$6+$A24,"MM/DD/YYYY HH:MM")&amp;"-&gt;"&amp;T$3,search_location_2,6,0)&amp;VLOOKUP(TEXT($A$6+$A24,"MM/DD/YYYY HH:MM")&amp;"-&gt;"&amp;T$3,search_location_2,9,0),"")),IFERROR(VLOOKUP(TEXT($A$6+$A24,"MM/DD/YYYY HH:MM")&amp;"-&gt;"&amp;T$3,search_location_2,6,0)&amp;VLOOKUP(TEXT($A$6+$A24,"MM/DD/YYYY HH:MM")&amp;"-&gt;"&amp;T$3,search_location_2,9,0),""))</f>
        <v>USA1-USA2 Flag Football Semi-Final801</v>
      </c>
      <c r="U25" s="468" t="str">
        <f>IFERROR(VLOOKUP(TEXT($A$6+$A24,"MM/DD/YYYY HH:MM")&amp;"-&gt;"&amp;T$3,search_location_2,7,0),"")</f>
        <v>JUNIORS B MALE</v>
      </c>
      <c r="V25" s="469" t="str">
        <f>IFERROR(VLOOKUP(TEXT($A$6+$A24,"MM/DD/YYYY HH:MM")&amp;"-&gt;"&amp;T$3,search_location_2,8,0),"")</f>
        <v>Flag Football</v>
      </c>
      <c r="W25" s="466" t="str">
        <f>IFERROR(VLOOKUP(TEXT($A$6+$A24,"MM/DD/YYYY HH:MM")&amp;"-&gt;"&amp;W$3,search_location_2,6,0)&amp;VLOOKUP(TEXT($A$6+$A24,"MM/DD/YYYY HH:MM")&amp;"-&gt;"&amp;W$3,search_location_2,9,0),"")</f>
        <v>PER-ISR1 Volleyball Final847</v>
      </c>
      <c r="X25" s="259" t="str">
        <f>IFERROR(VLOOKUP(TEXT($A$6+$A24,"MM/DD/YYYY HH:MM")&amp;"-&gt;"&amp;W$3,search_location_2,7,0),"")</f>
        <v>CHILDREN E FEMALE</v>
      </c>
      <c r="Y25" s="259" t="str">
        <f>IFERROR(VLOOKUP(TEXT($A$6+$A24,"MM/DD/YYYY HH:MM")&amp;"-&gt;"&amp;W$3,search_location_2,8,0),"")</f>
        <v>Volleyball</v>
      </c>
      <c r="Z25" s="263" t="str">
        <f>IFERROR(VLOOKUP(TEXT($A$6+$A24,"MM/DD/YYYY HH:MM")&amp;"-&gt;"&amp;Z$3,search_location_2,6,0)&amp;VLOOKUP(TEXT($A$6+$A24,"MM/DD/YYYY HH:MM")&amp;"-&gt;"&amp;Z$3,search_location_2,9,0),"")</f>
        <v/>
      </c>
      <c r="AA25" s="260" t="str">
        <f>IFERROR(VLOOKUP(TEXT($A$6+$A24,"MM/DD/YYYY HH:MM")&amp;"-&gt;"&amp;Z$3,search_location_2,7,0),"")</f>
        <v/>
      </c>
      <c r="AB25" s="261" t="str">
        <f>IFERROR(VLOOKUP(TEXT($A$6+$A24,"MM/DD/YYYY HH:MM")&amp;"-&gt;"&amp;Z$3,search_location_2,8,0),"")</f>
        <v/>
      </c>
      <c r="AC25" s="258" t="str">
        <f>IFERROR(VLOOKUP(TEXT($A$6+$A24,"MM/DD/YYYY HH:MM")&amp;"-&gt;"&amp;AC$3,search_location_2,6,0)&amp;VLOOKUP(TEXT($A$6+$A24,"MM/DD/YYYY HH:MM")&amp;"-&gt;"&amp;AC$3,search_location_2,9,0),"")</f>
        <v>USA2-VEN2 Newcomb Final827</v>
      </c>
      <c r="AD25" s="259" t="str">
        <f>IFERROR(VLOOKUP(TEXT($A$6+$A24,"MM/DD/YYYY HH:MM")&amp;"-&gt;"&amp;AC$3,search_location_2,7,0),"")</f>
        <v>CHILDREN B COED</v>
      </c>
      <c r="AE25" s="259" t="str">
        <f>IFERROR(VLOOKUP(TEXT($A$6+$A24,"MM/DD/YYYY HH:MM")&amp;"-&gt;"&amp;AC$3,search_location_2,8,0),"")</f>
        <v>Newcomb</v>
      </c>
      <c r="AF25" s="263" t="str">
        <f>IFERROR(VLOOKUP(TEXT($A$6+$A24,"MM/DD/YYYY HH:MM")&amp;"-&gt;"&amp;AF$3,search_location_2,6,0)&amp;VLOOKUP(TEXT($A$6+$A24,"MM/DD/YYYY HH:MM")&amp;"-&gt;"&amp;AF$3,search_location_2,9,0),"")</f>
        <v/>
      </c>
      <c r="AG25" s="260" t="str">
        <f>IFERROR(VLOOKUP(TEXT($A$6+$A24,"MM/DD/YYYY HH:MM")&amp;"-&gt;"&amp;AF$3,search_location_2,7,0),"")</f>
        <v/>
      </c>
      <c r="AH25" s="261" t="str">
        <f>IFERROR(VLOOKUP(TEXT($A$6+$A24,"MM/DD/YYYY HH:MM")&amp;"-&gt;"&amp;AF$3,search_location_2,8,0),"")</f>
        <v/>
      </c>
      <c r="AI25" s="255"/>
    </row>
    <row r="26" spans="1:35" s="256" customFormat="1" ht="36" customHeight="1" x14ac:dyDescent="0.3">
      <c r="A26" s="264">
        <f>A24+Time_Slots</f>
        <v>0.64583333333333326</v>
      </c>
      <c r="B26" s="426" t="str">
        <f>IF(D26="flag football",LOWER(IFERROR(VLOOKUP(TEXT($A$6+$A26,"MM/DD/YYYY HH:MM")&amp;"-&gt;"&amp;B$2,search_location_2,6,0)&amp;VLOOKUP(TEXT($A$6+$A26,"MM/DD/YYYY HH:MM")&amp;"-&gt;"&amp;B$2,search_location_2,9,0),"")),IFERROR(VLOOKUP(TEXT($A$6+$A26,"MM/DD/YYYY HH:MM")&amp;"-&gt;"&amp;B$2,search_location_2,6,0)&amp;VLOOKUP(TEXT($A$6+$A26,"MM/DD/YYYY HH:MM")&amp;"-&gt;"&amp;B$2,search_location_2,9,0),""))</f>
        <v>PER-ARG1 Soccer Final866</v>
      </c>
      <c r="C26" s="434" t="str">
        <f>IFERROR(VLOOKUP(TEXT($A$6+$A26,"MM/DD/YYYY HH:MM")&amp;"-&gt;"&amp;B$2,search_location_2,7,0),"")</f>
        <v>JUNIORS FEMALE</v>
      </c>
      <c r="D26" s="434" t="str">
        <f>IFERROR(VLOOKUP(TEXT($A$6+$A26,"MM/DD/YYYY HH:MM")&amp;"-&gt;"&amp;B$2,search_location_2,8,0),"")</f>
        <v>Soccer</v>
      </c>
      <c r="E26" s="426" t="str">
        <f>IF(G26="flag football",LOWER(IFERROR(VLOOKUP(TEXT($A$6+$A26,"MM/DD/YYYY HH:MM")&amp;"-&gt;"&amp;E$2,search_location_2,6,0)&amp;VLOOKUP(TEXT($A$6+$A26,"MM/DD/YYYY HH:MM")&amp;"-&gt;"&amp;E$2,search_location_2,9,0),"")),IFERROR(VLOOKUP(TEXT($A$6+$A26,"MM/DD/YYYY HH:MM")&amp;"-&gt;"&amp;E$2,search_location_2,6,0)&amp;VLOOKUP(TEXT($A$6+$A26,"MM/DD/YYYY HH:MM")&amp;"-&gt;"&amp;E$2,search_location_2,9,0),""))</f>
        <v>ARG1-VEN2 Soccer Final858</v>
      </c>
      <c r="F26" s="434" t="str">
        <f>IFERROR(VLOOKUP(TEXT($A$6+$A26,"MM/DD/YYYY HH:MM")&amp;"-&gt;"&amp;E$2,search_location_2,7,0),"")</f>
        <v>JUNIORS A MALE</v>
      </c>
      <c r="G26" s="434" t="str">
        <f>IFERROR(VLOOKUP(TEXT($A$6+$A26,"MM/DD/YYYY HH:MM")&amp;"-&gt;"&amp;E$2,search_location_2,8,0),"")</f>
        <v>Soccer</v>
      </c>
      <c r="H26" s="426" t="str">
        <f>IF(J26="Kickball",LOWER(IFERROR(VLOOKUP(TEXT($A$6+$A26,"MM/DD/YYYY HH:MM")&amp;"-&gt;"&amp;H$2,search_location_2,6,0)&amp;VLOOKUP(TEXT($A$6+$A26,"MM/DD/YYYY HH:MM")&amp;"-&gt;"&amp;H$2,search_location_2,9,0),"")),IFERROR(VLOOKUP(TEXT($A$6+$A26,"MM/DD/YYYY HH:MM")&amp;"-&gt;"&amp;H$2,search_location_2,6,0)&amp;VLOOKUP(TEXT($A$6+$A26,"MM/DD/YYYY HH:MM")&amp;"-&gt;"&amp;H$2,search_location_2,9,0),""))</f>
        <v>COL1-USA1 Basketball Final816</v>
      </c>
      <c r="I26" s="424" t="str">
        <f>IFERROR(VLOOKUP(TEXT($A$6+$A26,"MM/DD/YYYY HH:MM")&amp;"-&gt;"&amp;H$2,search_location_2,7,0),"")</f>
        <v>Adults FEMALE</v>
      </c>
      <c r="J26" s="424" t="str">
        <f>IFERROR(VLOOKUP(TEXT($A$6+$A26,"MM/DD/YYYY HH:MM")&amp;"-&gt;"&amp;H$2,search_location_2,8,0),"")</f>
        <v>Basketball</v>
      </c>
      <c r="K26" s="426" t="str">
        <f>IFERROR(VLOOKUP(TEXT($A$6+$A26,"MM/DD/YYYY HH:MM")&amp;"-&gt;"&amp;K$2,search_location_2,6,0)&amp;VLOOKUP(TEXT($A$6+$A26,"MM/DD/YYYY HH:MM")&amp;"-&gt;"&amp;K$2,search_location_2,9,0),"")</f>
        <v>USA2-COL2 Basketball Final824</v>
      </c>
      <c r="L26" s="424" t="str">
        <f>IFERROR(VLOOKUP(TEXT($A$6+$A26,"MM/DD/YYYY HH:MM")&amp;"-&gt;"&amp;K$2,search_location_2,7,0),"")</f>
        <v>CHILDREN B COED</v>
      </c>
      <c r="M26" s="436" t="str">
        <f>IFERROR(VLOOKUP(TEXT($A$6+$A26,"MM/DD/YYYY HH:MM")&amp;"-&gt;"&amp;K$2,search_location_2,8,0),"")</f>
        <v>Basketball</v>
      </c>
      <c r="N26" s="437" t="str">
        <f>IFERROR(VLOOKUP(TEXT($A$6+$A26,"MM/DD/YYYY HH:MM")&amp;"-&gt;"&amp;N$2,search_location_2,6,0)&amp;VLOOKUP(TEXT($A$6+$A26,"MM/DD/YYYY HH:MM")&amp;"-&gt;"&amp;N$2,search_location_2,9,0),"")</f>
        <v/>
      </c>
      <c r="O26" s="424" t="str">
        <f>IFERROR(VLOOKUP(TEXT($A$6+$A26,"MM/DD/YYYY HH:MM")&amp;"-&gt;"&amp;N$2,search_location_2,7,0),"")</f>
        <v/>
      </c>
      <c r="P26" s="424" t="str">
        <f>IFERROR(VLOOKUP(TEXT($A$6+$A26,"MM/DD/YYYY HH:MM")&amp;"-&gt;"&amp;N$2,search_location_2,8,0),"")</f>
        <v/>
      </c>
      <c r="Q26" s="437" t="str">
        <f>IF(S26="Kickball",LOWER(IFERROR(VLOOKUP(TEXT($A$6+$A26,"MM/DD/YYYY HH:MM")&amp;"-&gt;"&amp;Q$2,search_location_2,6,0)&amp;VLOOKUP(TEXT($A$6+$A26,"MM/DD/YYYY HH:MM")&amp;"-&gt;"&amp;Q$2,search_location_2,9,0),"")),IFERROR(VLOOKUP(TEXT($A$6+$A26,"MM/DD/YYYY HH:MM")&amp;"-&gt;"&amp;Q$2,search_location_2,6,0)&amp;VLOOKUP(TEXT($A$6+$A26,"MM/DD/YYYY HH:MM")&amp;"-&gt;"&amp;Q$2,search_location_2,9,0),""))</f>
        <v>VEN1-VEN2 Flag Football Final833</v>
      </c>
      <c r="R26" s="432" t="str">
        <f>IFERROR(VLOOKUP(TEXT($A$6+$A26,"MM/DD/YYYY HH:MM")&amp;"-&gt;"&amp;Q$2,search_location_2,7,0),"")</f>
        <v>CHILDREN C MALE</v>
      </c>
      <c r="S26" s="434" t="str">
        <f>IFERROR(VLOOKUP(TEXT($A$6+$A26,"MM/DD/YYYY HH:MM")&amp;"-&gt;"&amp;Q$2,search_location_2,8,0),"")</f>
        <v>Flag Football</v>
      </c>
      <c r="T26" s="439" t="str">
        <f>IF(V26="Kickball",LOWER(IFERROR(VLOOKUP(TEXT($A$6+$A26,"MM/DD/YYYY HH:MM")&amp;"-&gt;"&amp;T$2,search_location_2,6,0)&amp;VLOOKUP(TEXT($A$6+$A26,"MM/DD/YYYY HH:MM")&amp;"-&gt;"&amp;T$2,search_location_2,9,0),"")),IFERROR(VLOOKUP(TEXT($A$6+$A26,"MM/DD/YYYY HH:MM")&amp;"-&gt;"&amp;T$2,search_location_2,6,0)&amp;VLOOKUP(TEXT($A$6+$A26,"MM/DD/YYYY HH:MM")&amp;"-&gt;"&amp;T$2,search_location_2,9,0),""))</f>
        <v>Flag Football Final849</v>
      </c>
      <c r="U26" s="424" t="str">
        <f>IFERROR(VLOOKUP(TEXT($A$6+$A26,"MM/DD/YYYY HH:MM")&amp;"-&gt;"&amp;T$2,search_location_2,7,0),"")</f>
        <v>CHILDREN E MALE</v>
      </c>
      <c r="V26" s="436" t="str">
        <f>IFERROR(VLOOKUP(TEXT($A$6+$A26,"MM/DD/YYYY HH:MM")&amp;"-&gt;"&amp;T$2,search_location_2,8,0),"")</f>
        <v>Flag Football</v>
      </c>
      <c r="W26" s="426" t="str">
        <f>IFERROR(VLOOKUP(TEXT($A$6+$A26,"MM/DD/YYYY HH:MM")&amp;"-&gt;"&amp;W$2,search_location_2,6,0)&amp;VLOOKUP(TEXT($A$6+$A26,"MM/DD/YYYY HH:MM")&amp;"-&gt;"&amp;W$2,search_location_2,9,0),"")</f>
        <v>ARG1-COL1 Basketball Final836</v>
      </c>
      <c r="X26" s="250" t="str">
        <f>IFERROR(VLOOKUP(TEXT($A$6+$A26,"MM/DD/YYYY HH:MM")&amp;"-&gt;"&amp;W$2,search_location_2,7,0),"")</f>
        <v>CHILDREN D FEMALE</v>
      </c>
      <c r="Y26" s="250" t="str">
        <f>IFERROR(VLOOKUP(TEXT($A$6+$A26,"MM/DD/YYYY HH:MM")&amp;"-&gt;"&amp;W$2,search_location_2,8,0),"")</f>
        <v>Basketball</v>
      </c>
      <c r="Z26" s="254" t="str">
        <f>IFERROR(VLOOKUP(TEXT($A$6+$A26,"MM/DD/YYYY HH:MM")&amp;"-&gt;"&amp;Z$2,search_location_2,6,0)&amp;VLOOKUP(TEXT($A$6+$A26,"MM/DD/YYYY HH:MM")&amp;"-&gt;"&amp;Z$2,search_location_2,9,0),"")</f>
        <v/>
      </c>
      <c r="AA26" s="251" t="str">
        <f>IFERROR(VLOOKUP(TEXT($A$6+$A26,"MM/DD/YYYY HH:MM")&amp;"-&gt;"&amp;Z$2,search_location_2,7,0),"")</f>
        <v/>
      </c>
      <c r="AB26" s="252" t="str">
        <f>IFERROR(VLOOKUP(TEXT($A$6+$A26,"MM/DD/YYYY HH:MM")&amp;"-&gt;"&amp;Z$2,search_location_2,8,0),"")</f>
        <v/>
      </c>
      <c r="AC26" s="249" t="str">
        <f>IFERROR(VLOOKUP(TEXT($A$6+$A26,"MM/DD/YYYY HH:MM")&amp;"-&gt;"&amp;AC$2,search_location_2,6,0)&amp;VLOOKUP(TEXT($A$6+$A26,"MM/DD/YYYY HH:MM")&amp;"-&gt;"&amp;AC$2,search_location_2,9,0),"")</f>
        <v/>
      </c>
      <c r="AD26" s="250" t="str">
        <f>IFERROR(VLOOKUP(TEXT($A$6+$A26,"MM/DD/YYYY HH:MM")&amp;"-&gt;"&amp;AC$2,search_location_2,7,0),"")</f>
        <v/>
      </c>
      <c r="AE26" s="250" t="str">
        <f>IFERROR(VLOOKUP(TEXT($A$6+$A26,"MM/DD/YYYY HH:MM")&amp;"-&gt;"&amp;AC$2,search_location_2,8,0),"")</f>
        <v/>
      </c>
      <c r="AF26" s="254" t="str">
        <f>IFERROR(VLOOKUP(TEXT($A$6+$A26,"MM/DD/YYYY HH:MM")&amp;"-&gt;"&amp;AF$2,search_location_2,6,0)&amp;VLOOKUP(TEXT($A$6+$A26,"MM/DD/YYYY HH:MM")&amp;"-&gt;"&amp;AF$2,search_location_2,9,0),"")</f>
        <v/>
      </c>
      <c r="AG26" s="251" t="str">
        <f>IFERROR(VLOOKUP(TEXT($A$6+$A26,"MM/DD/YYYY HH:MM")&amp;"-&gt;"&amp;AF$2,search_location_2,7,0),"")</f>
        <v/>
      </c>
      <c r="AH26" s="252" t="str">
        <f>IFERROR(VLOOKUP(TEXT($A$6+$A26,"MM/DD/YYYY HH:MM")&amp;"-&gt;"&amp;AF$2,search_location_2,8,0),"")</f>
        <v/>
      </c>
      <c r="AI26" s="255"/>
    </row>
    <row r="27" spans="1:35" s="256" customFormat="1" ht="36" customHeight="1" thickBot="1" x14ac:dyDescent="0.35">
      <c r="A27" s="257"/>
      <c r="B27" s="466" t="str">
        <f>IF(D27="flag football",LOWER(IFERROR(VLOOKUP(TEXT($A$6+$A26,"MM/DD/YYYY HH:MM")&amp;"-&gt;"&amp;B$3,search_location_2,6,0)&amp;VLOOKUP(TEXT($A$6+$A26,"MM/DD/YYYY HH:MM")&amp;"-&gt;"&amp;B$3,search_location_2,9,0),"")),IFERROR(VLOOKUP(TEXT($A$6+$A26,"MM/DD/YYYY HH:MM")&amp;"-&gt;"&amp;B$3,search_location_2,6,0)&amp;VLOOKUP(TEXT($A$6+$A26,"MM/DD/YYYY HH:MM")&amp;"-&gt;"&amp;B$3,search_location_2,9,0),""))</f>
        <v/>
      </c>
      <c r="C27" s="467" t="str">
        <f>IFERROR(VLOOKUP(TEXT($A$6+$A26,"MM/DD/YYYY HH:MM")&amp;"-&gt;"&amp;B$3,search_location_2,7,0),"")</f>
        <v/>
      </c>
      <c r="D27" s="467" t="str">
        <f>IFERROR(VLOOKUP(TEXT($A$6+$A26,"MM/DD/YYYY HH:MM")&amp;"-&gt;"&amp;B$3,search_location_2,8,0),"")</f>
        <v/>
      </c>
      <c r="E27" s="466" t="str">
        <f>IF(G27="flag football",LOWER(IFERROR(VLOOKUP(TEXT($A$6+$A26,"MM/DD/YYYY HH:MM")&amp;"-&gt;"&amp;E$3,search_location_2,6,0)&amp;VLOOKUP(TEXT($A$6+$A26,"MM/DD/YYYY HH:MM")&amp;"-&gt;"&amp;E$3,search_location_2,9,0),"")),IFERROR(VLOOKUP(TEXT($A$6+$A26,"MM/DD/YYYY HH:MM")&amp;"-&gt;"&amp;E$3,search_location_2,6,0)&amp;VLOOKUP(TEXT($A$6+$A26,"MM/DD/YYYY HH:MM")&amp;"-&gt;"&amp;E$3,search_location_2,9,0),""))</f>
        <v>ISR1-VEN1 Soccer Final862</v>
      </c>
      <c r="F27" s="467" t="str">
        <f>IFERROR(VLOOKUP(TEXT($A$6+$A26,"MM/DD/YYYY HH:MM")&amp;"-&gt;"&amp;E$3,search_location_2,7,0),"")</f>
        <v>JUNIORS B MALE</v>
      </c>
      <c r="G27" s="467" t="str">
        <f>IFERROR(VLOOKUP(TEXT($A$6+$A26,"MM/DD/YYYY HH:MM")&amp;"-&gt;"&amp;E$3,search_location_2,8,0),"")</f>
        <v>Soccer</v>
      </c>
      <c r="H27" s="466" t="str">
        <f>IF(J27="Kickball",LOWER(IFERROR(VLOOKUP(TEXT($A$6+$A26,"MM/DD/YYYY HH:MM")&amp;"-&gt;"&amp;H$3,search_location_2,6,0)&amp;VLOOKUP(TEXT($A$6+$A26,"MM/DD/YYYY HH:MM")&amp;"-&gt;"&amp;H$3,search_location_2,9,0),"")),IFERROR(VLOOKUP(TEXT($A$6+$A26,"MM/DD/YYYY HH:MM")&amp;"-&gt;"&amp;H$3,search_location_2,6,0)&amp;VLOOKUP(TEXT($A$6+$A26,"MM/DD/YYYY HH:MM")&amp;"-&gt;"&amp;H$3,search_location_2,9,0),""))</f>
        <v>USA1-VEN1 Volleyball Final823</v>
      </c>
      <c r="I27" s="468" t="str">
        <f>IFERROR(VLOOKUP(TEXT($A$6+$A26,"MM/DD/YYYY HH:MM")&amp;"-&gt;"&amp;H$3,search_location_2,7,0),"")</f>
        <v>Adults MALE</v>
      </c>
      <c r="J27" s="468" t="str">
        <f>IFERROR(VLOOKUP(TEXT($A$6+$A26,"MM/DD/YYYY HH:MM")&amp;"-&gt;"&amp;H$3,search_location_2,8,0),"")</f>
        <v>Volleyball</v>
      </c>
      <c r="K27" s="466" t="str">
        <f>IFERROR(VLOOKUP(TEXT($A$6+$A26,"MM/DD/YYYY HH:MM")&amp;"-&gt;"&amp;K$3,search_location_2,6,0)&amp;VLOOKUP(TEXT($A$6+$A26,"MM/DD/YYYY HH:MM")&amp;"-&gt;"&amp;K$3,search_location_2,9,0),"")</f>
        <v/>
      </c>
      <c r="L27" s="468" t="str">
        <f>IFERROR(VLOOKUP(TEXT($A$6+$A26,"MM/DD/YYYY HH:MM")&amp;"-&gt;"&amp;K$3,search_location_2,7,0),"")</f>
        <v/>
      </c>
      <c r="M27" s="469" t="str">
        <f>IFERROR(VLOOKUP(TEXT($A$6+$A26,"MM/DD/YYYY HH:MM")&amp;"-&gt;"&amp;K$3,search_location_2,8,0),"")</f>
        <v/>
      </c>
      <c r="N27" s="470" t="str">
        <f>IFERROR(VLOOKUP(TEXT($A$6+$A26,"MM/DD/YYYY HH:MM")&amp;"-&gt;"&amp;N$3,search_location_2,6,0)&amp;VLOOKUP(TEXT($A$6+$A26,"MM/DD/YYYY HH:MM")&amp;"-&gt;"&amp;N$3,search_location_2,9,0),"")</f>
        <v>USA1-ARG1 Newcomb Final831</v>
      </c>
      <c r="O27" s="468" t="str">
        <f>IFERROR(VLOOKUP(TEXT($A$6+$A26,"MM/DD/YYYY HH:MM")&amp;"-&gt;"&amp;N$3,search_location_2,7,0),"")</f>
        <v>CHILDREN C FEMALE</v>
      </c>
      <c r="P27" s="468" t="str">
        <f>IFERROR(VLOOKUP(TEXT($A$6+$A26,"MM/DD/YYYY HH:MM")&amp;"-&gt;"&amp;N$3,search_location_2,8,0),"")</f>
        <v>Newcomb</v>
      </c>
      <c r="Q27" s="470" t="str">
        <f>IF(S27="Kickball",LOWER(IFERROR(VLOOKUP(TEXT($A$6+$A26,"MM/DD/YYYY HH:MM")&amp;"-&gt;"&amp;Q$3,search_location_2,6,0)&amp;VLOOKUP(TEXT($A$6+$A26,"MM/DD/YYYY HH:MM")&amp;"-&gt;"&amp;Q$3,search_location_2,9,0),"")),IFERROR(VLOOKUP(TEXT($A$6+$A26,"MM/DD/YYYY HH:MM")&amp;"-&gt;"&amp;Q$3,search_location_2,6,0)&amp;VLOOKUP(TEXT($A$6+$A26,"MM/DD/YYYY HH:MM")&amp;"-&gt;"&amp;Q$3,search_location_2,9,0),""))</f>
        <v>COL1-MEX Flag Football Semi-Final778</v>
      </c>
      <c r="R27" s="471" t="str">
        <f>IFERROR(VLOOKUP(TEXT($A$6+$A26,"MM/DD/YYYY HH:MM")&amp;"-&gt;"&amp;Q$3,search_location_2,7,0),"")</f>
        <v>CHILDREN D MALE</v>
      </c>
      <c r="S27" s="467" t="str">
        <f>IFERROR(VLOOKUP(TEXT($A$6+$A26,"MM/DD/YYYY HH:MM")&amp;"-&gt;"&amp;Q$3,search_location_2,8,0),"")</f>
        <v>Flag Football</v>
      </c>
      <c r="T27" s="472" t="str">
        <f>IF(V27="Kickball",LOWER(IFERROR(VLOOKUP(TEXT($A$6+$A26,"MM/DD/YYYY HH:MM")&amp;"-&gt;"&amp;T$3,search_location_2,6,0)&amp;VLOOKUP(TEXT($A$6+$A26,"MM/DD/YYYY HH:MM")&amp;"-&gt;"&amp;T$3,search_location_2,9,0),"")),IFERROR(VLOOKUP(TEXT($A$6+$A26,"MM/DD/YYYY HH:MM")&amp;"-&gt;"&amp;T$3,search_location_2,6,0)&amp;VLOOKUP(TEXT($A$6+$A26,"MM/DD/YYYY HH:MM")&amp;"-&gt;"&amp;T$3,search_location_2,9,0),""))</f>
        <v>COL2-VEN2 Flag Football Semi-Final779</v>
      </c>
      <c r="U27" s="468" t="str">
        <f>IFERROR(VLOOKUP(TEXT($A$6+$A26,"MM/DD/YYYY HH:MM")&amp;"-&gt;"&amp;T$3,search_location_2,7,0),"")</f>
        <v>CHILDREN D MALE</v>
      </c>
      <c r="V27" s="469" t="str">
        <f>IFERROR(VLOOKUP(TEXT($A$6+$A26,"MM/DD/YYYY HH:MM")&amp;"-&gt;"&amp;T$3,search_location_2,8,0),"")</f>
        <v>Flag Football</v>
      </c>
      <c r="W27" s="466" t="str">
        <f>IFERROR(VLOOKUP(TEXT($A$6+$A26,"MM/DD/YYYY HH:MM")&amp;"-&gt;"&amp;W$3,search_location_2,6,0)&amp;VLOOKUP(TEXT($A$6+$A26,"MM/DD/YYYY HH:MM")&amp;"-&gt;"&amp;W$3,search_location_2,9,0),"")</f>
        <v>USA2-ARG1 Volleyball Final867</v>
      </c>
      <c r="X27" s="259" t="str">
        <f>IFERROR(VLOOKUP(TEXT($A$6+$A26,"MM/DD/YYYY HH:MM")&amp;"-&gt;"&amp;W$3,search_location_2,7,0),"")</f>
        <v>JUNIORS FEMALE</v>
      </c>
      <c r="Y27" s="259" t="str">
        <f>IFERROR(VLOOKUP(TEXT($A$6+$A26,"MM/DD/YYYY HH:MM")&amp;"-&gt;"&amp;W$3,search_location_2,8,0),"")</f>
        <v>Volleyball</v>
      </c>
      <c r="Z27" s="263" t="str">
        <f>IFERROR(VLOOKUP(TEXT($A$6+$A26,"MM/DD/YYYY HH:MM")&amp;"-&gt;"&amp;Z$3,search_location_2,6,0)&amp;VLOOKUP(TEXT($A$6+$A26,"MM/DD/YYYY HH:MM")&amp;"-&gt;"&amp;Z$3,search_location_2,9,0),"")</f>
        <v/>
      </c>
      <c r="AA27" s="260" t="str">
        <f>IFERROR(VLOOKUP(TEXT($A$6+$A26,"MM/DD/YYYY HH:MM")&amp;"-&gt;"&amp;Z$3,search_location_2,7,0),"")</f>
        <v/>
      </c>
      <c r="AB27" s="261" t="str">
        <f>IFERROR(VLOOKUP(TEXT($A$6+$A26,"MM/DD/YYYY HH:MM")&amp;"-&gt;"&amp;Z$3,search_location_2,8,0),"")</f>
        <v/>
      </c>
      <c r="AC27" s="258" t="str">
        <f>IFERROR(VLOOKUP(TEXT($A$6+$A26,"MM/DD/YYYY HH:MM")&amp;"-&gt;"&amp;AC$3,search_location_2,6,0)&amp;VLOOKUP(TEXT($A$6+$A26,"MM/DD/YYYY HH:MM")&amp;"-&gt;"&amp;AC$3,search_location_2,9,0),"")</f>
        <v/>
      </c>
      <c r="AD27" s="259" t="str">
        <f>IFERROR(VLOOKUP(TEXT($A$6+$A26,"MM/DD/YYYY HH:MM")&amp;"-&gt;"&amp;AC$3,search_location_2,7,0),"")</f>
        <v/>
      </c>
      <c r="AE27" s="259" t="str">
        <f>IFERROR(VLOOKUP(TEXT($A$6+$A26,"MM/DD/YYYY HH:MM")&amp;"-&gt;"&amp;AC$3,search_location_2,8,0),"")</f>
        <v/>
      </c>
      <c r="AF27" s="263" t="str">
        <f>IFERROR(VLOOKUP(TEXT($A$6+$A26,"MM/DD/YYYY HH:MM")&amp;"-&gt;"&amp;AF$3,search_location_2,6,0)&amp;VLOOKUP(TEXT($A$6+$A26,"MM/DD/YYYY HH:MM")&amp;"-&gt;"&amp;AF$3,search_location_2,9,0),"")</f>
        <v/>
      </c>
      <c r="AG27" s="260" t="str">
        <f>IFERROR(VLOOKUP(TEXT($A$6+$A26,"MM/DD/YYYY HH:MM")&amp;"-&gt;"&amp;AF$3,search_location_2,7,0),"")</f>
        <v/>
      </c>
      <c r="AH27" s="261" t="str">
        <f>IFERROR(VLOOKUP(TEXT($A$6+$A26,"MM/DD/YYYY HH:MM")&amp;"-&gt;"&amp;AF$3,search_location_2,8,0),"")</f>
        <v/>
      </c>
      <c r="AI27" s="255"/>
    </row>
    <row r="28" spans="1:35" s="256" customFormat="1" ht="36" customHeight="1" x14ac:dyDescent="0.3">
      <c r="A28" s="264">
        <f>A26+Time_Slots</f>
        <v>0.68055555555555547</v>
      </c>
      <c r="B28" s="426" t="str">
        <f>IF(D28="flag football",LOWER(IFERROR(VLOOKUP(TEXT($A$6+$A28,"MM/DD/YYYY HH:MM")&amp;"-&gt;"&amp;B$2,search_location_2,6,0)&amp;VLOOKUP(TEXT($A$6+$A28,"MM/DD/YYYY HH:MM")&amp;"-&gt;"&amp;B$2,search_location_2,9,0),"")),IFERROR(VLOOKUP(TEXT($A$6+$A28,"MM/DD/YYYY HH:MM")&amp;"-&gt;"&amp;B$2,search_location_2,6,0)&amp;VLOOKUP(TEXT($A$6+$A28,"MM/DD/YYYY HH:MM")&amp;"-&gt;"&amp;B$2,search_location_2,9,0),""))</f>
        <v>COL2-VEN1 Soccer Final826</v>
      </c>
      <c r="C28" s="434" t="str">
        <f>IFERROR(VLOOKUP(TEXT($A$6+$A28,"MM/DD/YYYY HH:MM")&amp;"-&gt;"&amp;B$2,search_location_2,7,0),"")</f>
        <v>CHILDREN B COED</v>
      </c>
      <c r="D28" s="434" t="str">
        <f>IFERROR(VLOOKUP(TEXT($A$6+$A28,"MM/DD/YYYY HH:MM")&amp;"-&gt;"&amp;B$2,search_location_2,8,0),"")</f>
        <v>Soccer</v>
      </c>
      <c r="E28" s="426" t="str">
        <f>IF(G28="flag football",LOWER(IFERROR(VLOOKUP(TEXT($A$6+$A28,"MM/DD/YYYY HH:MM")&amp;"-&gt;"&amp;E$2,search_location_2,6,0)&amp;VLOOKUP(TEXT($A$6+$A28,"MM/DD/YYYY HH:MM")&amp;"-&gt;"&amp;E$2,search_location_2,9,0),"")),IFERROR(VLOOKUP(TEXT($A$6+$A28,"MM/DD/YYYY HH:MM")&amp;"-&gt;"&amp;E$2,search_location_2,6,0)&amp;VLOOKUP(TEXT($A$6+$A28,"MM/DD/YYYY HH:MM")&amp;"-&gt;"&amp;E$2,search_location_2,9,0),""))</f>
        <v>ARG1-MEX Soccer Final846</v>
      </c>
      <c r="F28" s="434" t="str">
        <f>IFERROR(VLOOKUP(TEXT($A$6+$A28,"MM/DD/YYYY HH:MM")&amp;"-&gt;"&amp;E$2,search_location_2,7,0),"")</f>
        <v>CHILDREN E FEMALE</v>
      </c>
      <c r="G28" s="434" t="str">
        <f>IFERROR(VLOOKUP(TEXT($A$6+$A28,"MM/DD/YYYY HH:MM")&amp;"-&gt;"&amp;E$2,search_location_2,8,0),"")</f>
        <v>Soccer</v>
      </c>
      <c r="H28" s="426" t="str">
        <f>IF(J28="Kickball",LOWER(IFERROR(VLOOKUP(TEXT($A$6+$A28,"MM/DD/YYYY HH:MM")&amp;"-&gt;"&amp;H$2,search_location_2,6,0)&amp;VLOOKUP(TEXT($A$6+$A28,"MM/DD/YYYY HH:MM")&amp;"-&gt;"&amp;H$2,search_location_2,9,0),"")),IFERROR(VLOOKUP(TEXT($A$6+$A28,"MM/DD/YYYY HH:MM")&amp;"-&gt;"&amp;H$2,search_location_2,6,0)&amp;VLOOKUP(TEXT($A$6+$A28,"MM/DD/YYYY HH:MM")&amp;"-&gt;"&amp;H$2,search_location_2,9,0),""))</f>
        <v/>
      </c>
      <c r="I28" s="424" t="str">
        <f>IFERROR(VLOOKUP(TEXT($A$6+$A28,"MM/DD/YYYY HH:MM")&amp;"-&gt;"&amp;H$2,search_location_2,7,0),"")</f>
        <v/>
      </c>
      <c r="J28" s="424" t="str">
        <f>IFERROR(VLOOKUP(TEXT($A$6+$A28,"MM/DD/YYYY HH:MM")&amp;"-&gt;"&amp;H$2,search_location_2,8,0),"")</f>
        <v/>
      </c>
      <c r="K28" s="426" t="str">
        <f>IFERROR(VLOOKUP(TEXT($A$6+$A28,"MM/DD/YYYY HH:MM")&amp;"-&gt;"&amp;K$2,search_location_2,6,0)&amp;VLOOKUP(TEXT($A$6+$A28,"MM/DD/YYYY HH:MM")&amp;"-&gt;"&amp;K$2,search_location_2,9,0),"")</f>
        <v/>
      </c>
      <c r="L28" s="424" t="str">
        <f>IFERROR(VLOOKUP(TEXT($A$6+$A28,"MM/DD/YYYY HH:MM")&amp;"-&gt;"&amp;K$2,search_location_2,7,0),"")</f>
        <v/>
      </c>
      <c r="M28" s="436" t="str">
        <f>IFERROR(VLOOKUP(TEXT($A$6+$A28,"MM/DD/YYYY HH:MM")&amp;"-&gt;"&amp;K$2,search_location_2,8,0),"")</f>
        <v/>
      </c>
      <c r="N28" s="437" t="str">
        <f>IFERROR(VLOOKUP(TEXT($A$6+$A28,"MM/DD/YYYY HH:MM")&amp;"-&gt;"&amp;N$2,search_location_2,6,0)&amp;VLOOKUP(TEXT($A$6+$A28,"MM/DD/YYYY HH:MM")&amp;"-&gt;"&amp;N$2,search_location_2,9,0),"")</f>
        <v/>
      </c>
      <c r="O28" s="424" t="str">
        <f>IFERROR(VLOOKUP(TEXT($A$6+$A28,"MM/DD/YYYY HH:MM")&amp;"-&gt;"&amp;N$2,search_location_2,7,0),"")</f>
        <v/>
      </c>
      <c r="P28" s="424" t="str">
        <f>IFERROR(VLOOKUP(TEXT($A$6+$A28,"MM/DD/YYYY HH:MM")&amp;"-&gt;"&amp;N$2,search_location_2,8,0),"")</f>
        <v/>
      </c>
      <c r="Q28" s="437" t="str">
        <f>IF(S28="Kickball",LOWER(IFERROR(VLOOKUP(TEXT($A$6+$A28,"MM/DD/YYYY HH:MM")&amp;"-&gt;"&amp;Q$2,search_location_2,6,0)&amp;VLOOKUP(TEXT($A$6+$A28,"MM/DD/YYYY HH:MM")&amp;"-&gt;"&amp;Q$2,search_location_2,9,0),"")),IFERROR(VLOOKUP(TEXT($A$6+$A28,"MM/DD/YYYY HH:MM")&amp;"-&gt;"&amp;Q$2,search_location_2,6,0)&amp;VLOOKUP(TEXT($A$6+$A28,"MM/DD/YYYY HH:MM")&amp;"-&gt;"&amp;Q$2,search_location_2,9,0),""))</f>
        <v>PER-MEX1 Flag Football Final841</v>
      </c>
      <c r="R28" s="432" t="str">
        <f>IFERROR(VLOOKUP(TEXT($A$6+$A28,"MM/DD/YYYY HH:MM")&amp;"-&gt;"&amp;Q$2,search_location_2,7,0),"")</f>
        <v>CHILDREN D MALE</v>
      </c>
      <c r="S28" s="434" t="str">
        <f>IFERROR(VLOOKUP(TEXT($A$6+$A28,"MM/DD/YYYY HH:MM")&amp;"-&gt;"&amp;Q$2,search_location_2,8,0),"")</f>
        <v>Flag Football</v>
      </c>
      <c r="T28" s="439" t="str">
        <f>IF(V28="Kickball",LOWER(IFERROR(VLOOKUP(TEXT($A$6+$A28,"MM/DD/YYYY HH:MM")&amp;"-&gt;"&amp;T$2,search_location_2,6,0)&amp;VLOOKUP(TEXT($A$6+$A28,"MM/DD/YYYY HH:MM")&amp;"-&gt;"&amp;T$2,search_location_2,9,0),"")),IFERROR(VLOOKUP(TEXT($A$6+$A28,"MM/DD/YYYY HH:MM")&amp;"-&gt;"&amp;T$2,search_location_2,6,0)&amp;VLOOKUP(TEXT($A$6+$A28,"MM/DD/YYYY HH:MM")&amp;"-&gt;"&amp;T$2,search_location_2,9,0),""))</f>
        <v>MEX1-USA1 Flag Football Final857</v>
      </c>
      <c r="U28" s="424" t="str">
        <f>IFERROR(VLOOKUP(TEXT($A$6+$A28,"MM/DD/YYYY HH:MM")&amp;"-&gt;"&amp;T$2,search_location_2,7,0),"")</f>
        <v>JUNIORS A MALE</v>
      </c>
      <c r="V28" s="436" t="str">
        <f>IFERROR(VLOOKUP(TEXT($A$6+$A28,"MM/DD/YYYY HH:MM")&amp;"-&gt;"&amp;T$2,search_location_2,8,0),"")</f>
        <v>Flag Football</v>
      </c>
      <c r="W28" s="426" t="str">
        <f>IFERROR(VLOOKUP(TEXT($A$6+$A28,"MM/DD/YYYY HH:MM")&amp;"-&gt;"&amp;W$2,search_location_2,6,0)&amp;VLOOKUP(TEXT($A$6+$A28,"MM/DD/YYYY HH:MM")&amp;"-&gt;"&amp;W$2,search_location_2,9,0),"")</f>
        <v>MEX1-COL1 Basketball Final848</v>
      </c>
      <c r="X28" s="250" t="str">
        <f>IFERROR(VLOOKUP(TEXT($A$6+$A28,"MM/DD/YYYY HH:MM")&amp;"-&gt;"&amp;W$2,search_location_2,7,0),"")</f>
        <v>CHILDREN E MALE</v>
      </c>
      <c r="Y28" s="250" t="str">
        <f>IFERROR(VLOOKUP(TEXT($A$6+$A28,"MM/DD/YYYY HH:MM")&amp;"-&gt;"&amp;W$2,search_location_2,8,0),"")</f>
        <v>Basketball</v>
      </c>
      <c r="Z28" s="254" t="str">
        <f>IFERROR(VLOOKUP(TEXT($A$6+$A28,"MM/DD/YYYY HH:MM")&amp;"-&gt;"&amp;Z$2,search_location_2,6,0)&amp;VLOOKUP(TEXT($A$6+$A28,"MM/DD/YYYY HH:MM")&amp;"-&gt;"&amp;Z$2,search_location_2,9,0),"")</f>
        <v/>
      </c>
      <c r="AA28" s="251" t="str">
        <f>IFERROR(VLOOKUP(TEXT($A$6+$A28,"MM/DD/YYYY HH:MM")&amp;"-&gt;"&amp;Z$2,search_location_2,7,0),"")</f>
        <v/>
      </c>
      <c r="AB28" s="252" t="str">
        <f>IFERROR(VLOOKUP(TEXT($A$6+$A28,"MM/DD/YYYY HH:MM")&amp;"-&gt;"&amp;Z$2,search_location_2,8,0),"")</f>
        <v/>
      </c>
      <c r="AC28" s="249" t="str">
        <f>IFERROR(VLOOKUP(TEXT($A$6+$A28,"MM/DD/YYYY HH:MM")&amp;"-&gt;"&amp;AC$2,search_location_2,6,0)&amp;VLOOKUP(TEXT($A$6+$A28,"MM/DD/YYYY HH:MM")&amp;"-&gt;"&amp;AC$2,search_location_2,9,0),"")</f>
        <v/>
      </c>
      <c r="AD28" s="250" t="str">
        <f>IFERROR(VLOOKUP(TEXT($A$6+$A28,"MM/DD/YYYY HH:MM")&amp;"-&gt;"&amp;AC$2,search_location_2,7,0),"")</f>
        <v/>
      </c>
      <c r="AE28" s="250" t="str">
        <f>IFERROR(VLOOKUP(TEXT($A$6+$A28,"MM/DD/YYYY HH:MM")&amp;"-&gt;"&amp;AC$2,search_location_2,8,0),"")</f>
        <v/>
      </c>
      <c r="AF28" s="254" t="str">
        <f>IFERROR(VLOOKUP(TEXT($A$6+$A28,"MM/DD/YYYY HH:MM")&amp;"-&gt;"&amp;AF$2,search_location_2,6,0)&amp;VLOOKUP(TEXT($A$6+$A28,"MM/DD/YYYY HH:MM")&amp;"-&gt;"&amp;AF$2,search_location_2,9,0),"")</f>
        <v/>
      </c>
      <c r="AG28" s="251" t="str">
        <f>IFERROR(VLOOKUP(TEXT($A$6+$A28,"MM/DD/YYYY HH:MM")&amp;"-&gt;"&amp;AF$2,search_location_2,7,0),"")</f>
        <v/>
      </c>
      <c r="AH28" s="252" t="str">
        <f>IFERROR(VLOOKUP(TEXT($A$6+$A28,"MM/DD/YYYY HH:MM")&amp;"-&gt;"&amp;AF$2,search_location_2,8,0),"")</f>
        <v/>
      </c>
      <c r="AI28" s="255"/>
    </row>
    <row r="29" spans="1:35" s="256" customFormat="1" ht="36" customHeight="1" thickBot="1" x14ac:dyDescent="0.35">
      <c r="A29" s="257"/>
      <c r="B29" s="466" t="str">
        <f>IF(D29="flag football",LOWER(IFERROR(VLOOKUP(TEXT($A$6+$A28,"MM/DD/YYYY HH:MM")&amp;"-&gt;"&amp;B$3,search_location_2,6,0)&amp;VLOOKUP(TEXT($A$6+$A28,"MM/DD/YYYY HH:MM")&amp;"-&gt;"&amp;B$3,search_location_2,9,0),"")),IFERROR(VLOOKUP(TEXT($A$6+$A28,"MM/DD/YYYY HH:MM")&amp;"-&gt;"&amp;B$3,search_location_2,6,0)&amp;VLOOKUP(TEXT($A$6+$A28,"MM/DD/YYYY HH:MM")&amp;"-&gt;"&amp;B$3,search_location_2,9,0),""))</f>
        <v/>
      </c>
      <c r="C29" s="467" t="str">
        <f>IFERROR(VLOOKUP(TEXT($A$6+$A28,"MM/DD/YYYY HH:MM")&amp;"-&gt;"&amp;B$3,search_location_2,7,0),"")</f>
        <v/>
      </c>
      <c r="D29" s="467" t="str">
        <f>IFERROR(VLOOKUP(TEXT($A$6+$A28,"MM/DD/YYYY HH:MM")&amp;"-&gt;"&amp;B$3,search_location_2,8,0),"")</f>
        <v/>
      </c>
      <c r="E29" s="466" t="str">
        <f>IF(G29="flag football",LOWER(IFERROR(VLOOKUP(TEXT($A$6+$A28,"MM/DD/YYYY HH:MM")&amp;"-&gt;"&amp;E$3,search_location_2,6,0)&amp;VLOOKUP(TEXT($A$6+$A28,"MM/DD/YYYY HH:MM")&amp;"-&gt;"&amp;E$3,search_location_2,9,0),"")),IFERROR(VLOOKUP(TEXT($A$6+$A28,"MM/DD/YYYY HH:MM")&amp;"-&gt;"&amp;E$3,search_location_2,6,0)&amp;VLOOKUP(TEXT($A$6+$A28,"MM/DD/YYYY HH:MM")&amp;"-&gt;"&amp;E$3,search_location_2,9,0),""))</f>
        <v>USA1-MEX Soccer Final822</v>
      </c>
      <c r="F29" s="467" t="str">
        <f>IFERROR(VLOOKUP(TEXT($A$6+$A28,"MM/DD/YYYY HH:MM")&amp;"-&gt;"&amp;E$3,search_location_2,7,0),"")</f>
        <v>Adults MALE</v>
      </c>
      <c r="G29" s="467" t="str">
        <f>IFERROR(VLOOKUP(TEXT($A$6+$A28,"MM/DD/YYYY HH:MM")&amp;"-&gt;"&amp;E$3,search_location_2,8,0),"")</f>
        <v>Soccer</v>
      </c>
      <c r="H29" s="466" t="str">
        <f>IF(J29="Kickball",LOWER(IFERROR(VLOOKUP(TEXT($A$6+$A28,"MM/DD/YYYY HH:MM")&amp;"-&gt;"&amp;H$3,search_location_2,6,0)&amp;VLOOKUP(TEXT($A$6+$A28,"MM/DD/YYYY HH:MM")&amp;"-&gt;"&amp;H$3,search_location_2,9,0),"")),IFERROR(VLOOKUP(TEXT($A$6+$A28,"MM/DD/YYYY HH:MM")&amp;"-&gt;"&amp;H$3,search_location_2,6,0)&amp;VLOOKUP(TEXT($A$6+$A28,"MM/DD/YYYY HH:MM")&amp;"-&gt;"&amp;H$3,search_location_2,9,0),""))</f>
        <v>COL1-USA1 Volleyball Final819</v>
      </c>
      <c r="I29" s="468" t="str">
        <f>IFERROR(VLOOKUP(TEXT($A$6+$A28,"MM/DD/YYYY HH:MM")&amp;"-&gt;"&amp;H$3,search_location_2,7,0),"")</f>
        <v>Adults FEMALE</v>
      </c>
      <c r="J29" s="468" t="str">
        <f>IFERROR(VLOOKUP(TEXT($A$6+$A28,"MM/DD/YYYY HH:MM")&amp;"-&gt;"&amp;H$3,search_location_2,8,0),"")</f>
        <v>Volleyball</v>
      </c>
      <c r="K29" s="466" t="str">
        <f>IFERROR(VLOOKUP(TEXT($A$6+$A28,"MM/DD/YYYY HH:MM")&amp;"-&gt;"&amp;K$3,search_location_2,6,0)&amp;VLOOKUP(TEXT($A$6+$A28,"MM/DD/YYYY HH:MM")&amp;"-&gt;"&amp;K$3,search_location_2,9,0),"")</f>
        <v/>
      </c>
      <c r="L29" s="468" t="str">
        <f>IFERROR(VLOOKUP(TEXT($A$6+$A28,"MM/DD/YYYY HH:MM")&amp;"-&gt;"&amp;K$3,search_location_2,7,0),"")</f>
        <v/>
      </c>
      <c r="M29" s="469" t="str">
        <f>IFERROR(VLOOKUP(TEXT($A$6+$A28,"MM/DD/YYYY HH:MM")&amp;"-&gt;"&amp;K$3,search_location_2,8,0),"")</f>
        <v/>
      </c>
      <c r="N29" s="470" t="str">
        <f>IFERROR(VLOOKUP(TEXT($A$6+$A28,"MM/DD/YYYY HH:MM")&amp;"-&gt;"&amp;N$3,search_location_2,6,0)&amp;VLOOKUP(TEXT($A$6+$A28,"MM/DD/YYYY HH:MM")&amp;"-&gt;"&amp;N$3,search_location_2,9,0),"")</f>
        <v/>
      </c>
      <c r="O29" s="468" t="str">
        <f>IFERROR(VLOOKUP(TEXT($A$6+$A28,"MM/DD/YYYY HH:MM")&amp;"-&gt;"&amp;N$3,search_location_2,7,0),"")</f>
        <v/>
      </c>
      <c r="P29" s="468" t="str">
        <f>IFERROR(VLOOKUP(TEXT($A$6+$A28,"MM/DD/YYYY HH:MM")&amp;"-&gt;"&amp;N$3,search_location_2,8,0),"")</f>
        <v/>
      </c>
      <c r="Q29" s="470" t="str">
        <f>IF(S29="Kickball",LOWER(IFERROR(VLOOKUP(TEXT($A$6+$A28,"MM/DD/YYYY HH:MM")&amp;"-&gt;"&amp;Q$3,search_location_2,6,0)&amp;VLOOKUP(TEXT($A$6+$A28,"MM/DD/YYYY HH:MM")&amp;"-&gt;"&amp;Q$3,search_location_2,9,0),"")),IFERROR(VLOOKUP(TEXT($A$6+$A28,"MM/DD/YYYY HH:MM")&amp;"-&gt;"&amp;Q$3,search_location_2,6,0)&amp;VLOOKUP(TEXT($A$6+$A28,"MM/DD/YYYY HH:MM")&amp;"-&gt;"&amp;Q$3,search_location_2,9,0),""))</f>
        <v>-USA1 Flag Football Final861</v>
      </c>
      <c r="R29" s="471" t="str">
        <f>IFERROR(VLOOKUP(TEXT($A$6+$A28,"MM/DD/YYYY HH:MM")&amp;"-&gt;"&amp;Q$3,search_location_2,7,0),"")</f>
        <v>JUNIORS B MALE</v>
      </c>
      <c r="S29" s="467" t="str">
        <f>IFERROR(VLOOKUP(TEXT($A$6+$A28,"MM/DD/YYYY HH:MM")&amp;"-&gt;"&amp;Q$3,search_location_2,8,0),"")</f>
        <v>Flag Football</v>
      </c>
      <c r="T29" s="472" t="str">
        <f>IF(V29="Kickball",LOWER(IFERROR(VLOOKUP(TEXT($A$6+$A28,"MM/DD/YYYY HH:MM")&amp;"-&gt;"&amp;T$3,search_location_2,6,0)&amp;VLOOKUP(TEXT($A$6+$A28,"MM/DD/YYYY HH:MM")&amp;"-&gt;"&amp;T$3,search_location_2,9,0),"")),IFERROR(VLOOKUP(TEXT($A$6+$A28,"MM/DD/YYYY HH:MM")&amp;"-&gt;"&amp;T$3,search_location_2,6,0)&amp;VLOOKUP(TEXT($A$6+$A28,"MM/DD/YYYY HH:MM")&amp;"-&gt;"&amp;T$3,search_location_2,9,0),""))</f>
        <v>PER-USA2 Flag Football Final865</v>
      </c>
      <c r="U29" s="468" t="str">
        <f>IFERROR(VLOOKUP(TEXT($A$6+$A28,"MM/DD/YYYY HH:MM")&amp;"-&gt;"&amp;T$3,search_location_2,7,0),"")</f>
        <v>JUNIORS FEMALE</v>
      </c>
      <c r="V29" s="469" t="str">
        <f>IFERROR(VLOOKUP(TEXT($A$6+$A28,"MM/DD/YYYY HH:MM")&amp;"-&gt;"&amp;T$3,search_location_2,8,0),"")</f>
        <v>Flag Football</v>
      </c>
      <c r="W29" s="466" t="str">
        <f>IFERROR(VLOOKUP(TEXT($A$6+$A28,"MM/DD/YYYY HH:MM")&amp;"-&gt;"&amp;W$3,search_location_2,6,0)&amp;VLOOKUP(TEXT($A$6+$A28,"MM/DD/YYYY HH:MM")&amp;"-&gt;"&amp;W$3,search_location_2,9,0),"")</f>
        <v/>
      </c>
      <c r="X29" s="259" t="str">
        <f>IFERROR(VLOOKUP(TEXT($A$6+$A28,"MM/DD/YYYY HH:MM")&amp;"-&gt;"&amp;W$3,search_location_2,7,0),"")</f>
        <v/>
      </c>
      <c r="Y29" s="259" t="str">
        <f>IFERROR(VLOOKUP(TEXT($A$6+$A28,"MM/DD/YYYY HH:MM")&amp;"-&gt;"&amp;W$3,search_location_2,8,0),"")</f>
        <v/>
      </c>
      <c r="Z29" s="263" t="str">
        <f>IFERROR(VLOOKUP(TEXT($A$6+$A28,"MM/DD/YYYY HH:MM")&amp;"-&gt;"&amp;Z$3,search_location_2,6,0)&amp;VLOOKUP(TEXT($A$6+$A28,"MM/DD/YYYY HH:MM")&amp;"-&gt;"&amp;Z$3,search_location_2,9,0),"")</f>
        <v/>
      </c>
      <c r="AA29" s="260" t="str">
        <f>IFERROR(VLOOKUP(TEXT($A$6+$A28,"MM/DD/YYYY HH:MM")&amp;"-&gt;"&amp;Z$3,search_location_2,7,0),"")</f>
        <v/>
      </c>
      <c r="AB29" s="261" t="str">
        <f>IFERROR(VLOOKUP(TEXT($A$6+$A28,"MM/DD/YYYY HH:MM")&amp;"-&gt;"&amp;Z$3,search_location_2,8,0),"")</f>
        <v/>
      </c>
      <c r="AC29" s="258" t="str">
        <f>IFERROR(VLOOKUP(TEXT($A$6+$A28,"MM/DD/YYYY HH:MM")&amp;"-&gt;"&amp;AC$3,search_location_2,6,0)&amp;VLOOKUP(TEXT($A$6+$A28,"MM/DD/YYYY HH:MM")&amp;"-&gt;"&amp;AC$3,search_location_2,9,0),"")</f>
        <v/>
      </c>
      <c r="AD29" s="259" t="str">
        <f>IFERROR(VLOOKUP(TEXT($A$6+$A28,"MM/DD/YYYY HH:MM")&amp;"-&gt;"&amp;AC$3,search_location_2,7,0),"")</f>
        <v/>
      </c>
      <c r="AE29" s="259" t="str">
        <f>IFERROR(VLOOKUP(TEXT($A$6+$A28,"MM/DD/YYYY HH:MM")&amp;"-&gt;"&amp;AC$3,search_location_2,8,0),"")</f>
        <v/>
      </c>
      <c r="AF29" s="263" t="str">
        <f>IFERROR(VLOOKUP(TEXT($A$6+$A28,"MM/DD/YYYY HH:MM")&amp;"-&gt;"&amp;AF$3,search_location_2,6,0)&amp;VLOOKUP(TEXT($A$6+$A28,"MM/DD/YYYY HH:MM")&amp;"-&gt;"&amp;AF$3,search_location_2,9,0),"")</f>
        <v/>
      </c>
      <c r="AG29" s="260" t="str">
        <f>IFERROR(VLOOKUP(TEXT($A$6+$A28,"MM/DD/YYYY HH:MM")&amp;"-&gt;"&amp;AF$3,search_location_2,7,0),"")</f>
        <v/>
      </c>
      <c r="AH29" s="261" t="str">
        <f>IFERROR(VLOOKUP(TEXT($A$6+$A28,"MM/DD/YYYY HH:MM")&amp;"-&gt;"&amp;AF$3,search_location_2,8,0),"")</f>
        <v/>
      </c>
      <c r="AI29" s="255"/>
    </row>
    <row r="30" spans="1:35" s="256" customFormat="1" ht="12.75" customHeight="1" x14ac:dyDescent="0.25">
      <c r="A30" s="264">
        <f>A28+Time_Slots</f>
        <v>0.71527777777777768</v>
      </c>
      <c r="B30" s="249" t="str">
        <f>IF(D30="flag football",LOWER(IFERROR(VLOOKUP(TEXT($A$6+$A30,"MM/DD/YYYY HH:MM")&amp;"-&gt;"&amp;B$2,search_location_2,6,0)&amp;VLOOKUP(TEXT($A$6+$A30,"MM/DD/YYYY HH:MM")&amp;"-&gt;"&amp;B$2,search_location_2,9,0),"")),IFERROR(VLOOKUP(TEXT($A$6+$A30,"MM/DD/YYYY HH:MM")&amp;"-&gt;"&amp;B$2,search_location_2,6,0)&amp;VLOOKUP(TEXT($A$6+$A30,"MM/DD/YYYY HH:MM")&amp;"-&gt;"&amp;B$2,search_location_2,9,0),""))</f>
        <v/>
      </c>
      <c r="C30" s="250" t="str">
        <f>IFERROR(VLOOKUP(TEXT($A$6+$A30,"MM/DD/YYYY HH:MM")&amp;"-&gt;"&amp;B$2,search_location_2,7,0),"")</f>
        <v/>
      </c>
      <c r="D30" s="250" t="str">
        <f>IFERROR(VLOOKUP(TEXT($A$6+$A30,"MM/DD/YYYY HH:MM")&amp;"-&gt;"&amp;B$2,search_location_2,8,0),"")</f>
        <v/>
      </c>
      <c r="E30" s="249" t="str">
        <f>IF(G30="flag football",LOWER(IFERROR(VLOOKUP(TEXT($A$6+$A30,"MM/DD/YYYY HH:MM")&amp;"-&gt;"&amp;E$2,search_location_2,6,0)&amp;VLOOKUP(TEXT($A$6+$A30,"MM/DD/YYYY HH:MM")&amp;"-&gt;"&amp;E$2,search_location_2,9,0),"")),IFERROR(VLOOKUP(TEXT($A$6+$A30,"MM/DD/YYYY HH:MM")&amp;"-&gt;"&amp;E$2,search_location_2,6,0)&amp;VLOOKUP(TEXT($A$6+$A30,"MM/DD/YYYY HH:MM")&amp;"-&gt;"&amp;E$2,search_location_2,9,0),""))</f>
        <v/>
      </c>
      <c r="F30" s="250" t="str">
        <f>IFERROR(VLOOKUP(TEXT($A$6+$A30,"MM/DD/YYYY HH:MM")&amp;"-&gt;"&amp;E$2,search_location_2,7,0),"")</f>
        <v/>
      </c>
      <c r="G30" s="250" t="str">
        <f>IFERROR(VLOOKUP(TEXT($A$6+$A30,"MM/DD/YYYY HH:MM")&amp;"-&gt;"&amp;E$2,search_location_2,8,0),"")</f>
        <v/>
      </c>
      <c r="H30" s="249" t="str">
        <f>IF(J30="Kickball",LOWER(IFERROR(VLOOKUP(TEXT($A$6+$A30,"MM/DD/YYYY HH:MM")&amp;"-&gt;"&amp;H$2,search_location_2,6,0)&amp;VLOOKUP(TEXT($A$6+$A30,"MM/DD/YYYY HH:MM")&amp;"-&gt;"&amp;H$2,search_location_2,9,0),"")),IFERROR(VLOOKUP(TEXT($A$6+$A30,"MM/DD/YYYY HH:MM")&amp;"-&gt;"&amp;H$2,search_location_2,6,0)&amp;VLOOKUP(TEXT($A$6+$A30,"MM/DD/YYYY HH:MM")&amp;"-&gt;"&amp;H$2,search_location_2,9,0),""))</f>
        <v/>
      </c>
      <c r="I30" s="251" t="str">
        <f>IFERROR(VLOOKUP(TEXT($A$6+$A30,"MM/DD/YYYY HH:MM")&amp;"-&gt;"&amp;H$2,search_location_2,7,0),"")</f>
        <v/>
      </c>
      <c r="J30" s="251" t="str">
        <f>IFERROR(VLOOKUP(TEXT($A$6+$A30,"MM/DD/YYYY HH:MM")&amp;"-&gt;"&amp;H$2,search_location_2,8,0),"")</f>
        <v/>
      </c>
      <c r="K30" s="249" t="str">
        <f>IFERROR(VLOOKUP(TEXT($A$6+$A30,"MM/DD/YYYY HH:MM")&amp;"-&gt;"&amp;K$2,search_location_2,6,0)&amp;VLOOKUP(TEXT($A$6+$A30,"MM/DD/YYYY HH:MM")&amp;"-&gt;"&amp;K$2,search_location_2,9,0),"")</f>
        <v/>
      </c>
      <c r="L30" s="251" t="str">
        <f>IFERROR(VLOOKUP(TEXT($A$6+$A30,"MM/DD/YYYY HH:MM")&amp;"-&gt;"&amp;K$2,search_location_2,7,0),"")</f>
        <v/>
      </c>
      <c r="M30" s="252" t="str">
        <f>IFERROR(VLOOKUP(TEXT($A$6+$A30,"MM/DD/YYYY HH:MM")&amp;"-&gt;"&amp;K$2,search_location_2,8,0),"")</f>
        <v/>
      </c>
      <c r="N30" s="253" t="str">
        <f>IFERROR(VLOOKUP(TEXT($A$6+$A30,"MM/DD/YYYY HH:MM")&amp;"-&gt;"&amp;N$2,search_location_2,6,0)&amp;VLOOKUP(TEXT($A$6+$A30,"MM/DD/YYYY HH:MM")&amp;"-&gt;"&amp;N$2,search_location_2,9,0),"")</f>
        <v/>
      </c>
      <c r="O30" s="251" t="str">
        <f>IFERROR(VLOOKUP(TEXT($A$6+$A30,"MM/DD/YYYY HH:MM")&amp;"-&gt;"&amp;N$2,search_location_2,7,0),"")</f>
        <v/>
      </c>
      <c r="P30" s="251" t="str">
        <f>IFERROR(VLOOKUP(TEXT($A$6+$A30,"MM/DD/YYYY HH:MM")&amp;"-&gt;"&amp;N$2,search_location_2,8,0),"")</f>
        <v/>
      </c>
      <c r="Q30" s="253" t="str">
        <f>IF(S30="Kickball",LOWER(IFERROR(VLOOKUP(TEXT($A$6+$A30,"MM/DD/YYYY HH:MM")&amp;"-&gt;"&amp;Q$2,search_location_2,6,0)&amp;VLOOKUP(TEXT($A$6+$A30,"MM/DD/YYYY HH:MM")&amp;"-&gt;"&amp;Q$2,search_location_2,9,0),"")),IFERROR(VLOOKUP(TEXT($A$6+$A30,"MM/DD/YYYY HH:MM")&amp;"-&gt;"&amp;Q$2,search_location_2,6,0)&amp;VLOOKUP(TEXT($A$6+$A30,"MM/DD/YYYY HH:MM")&amp;"-&gt;"&amp;Q$2,search_location_2,9,0),""))</f>
        <v/>
      </c>
      <c r="R30" s="265" t="str">
        <f>IFERROR(VLOOKUP(TEXT($A$6+$A30,"MM/DD/YYYY HH:MM")&amp;"-&gt;"&amp;Q$2,search_location_2,7,0),"")</f>
        <v/>
      </c>
      <c r="S30" s="250" t="str">
        <f>IFERROR(VLOOKUP(TEXT($A$6+$A30,"MM/DD/YYYY HH:MM")&amp;"-&gt;"&amp;Q$2,search_location_2,8,0),"")</f>
        <v/>
      </c>
      <c r="T30" s="254" t="str">
        <f>IF(V30="Kickball",LOWER(IFERROR(VLOOKUP(TEXT($A$6+$A30,"MM/DD/YYYY HH:MM")&amp;"-&gt;"&amp;T$2,search_location_2,6,0)&amp;VLOOKUP(TEXT($A$6+$A30,"MM/DD/YYYY HH:MM")&amp;"-&gt;"&amp;T$2,search_location_2,9,0),"")),IFERROR(VLOOKUP(TEXT($A$6+$A30,"MM/DD/YYYY HH:MM")&amp;"-&gt;"&amp;T$2,search_location_2,6,0)&amp;VLOOKUP(TEXT($A$6+$A30,"MM/DD/YYYY HH:MM")&amp;"-&gt;"&amp;T$2,search_location_2,9,0),""))</f>
        <v/>
      </c>
      <c r="U30" s="251" t="str">
        <f>IFERROR(VLOOKUP(TEXT($A$6+$A30,"MM/DD/YYYY HH:MM")&amp;"-&gt;"&amp;T$2,search_location_2,7,0),"")</f>
        <v/>
      </c>
      <c r="V30" s="252" t="str">
        <f>IFERROR(VLOOKUP(TEXT($A$6+$A30,"MM/DD/YYYY HH:MM")&amp;"-&gt;"&amp;T$2,search_location_2,8,0),"")</f>
        <v/>
      </c>
      <c r="W30" s="249" t="str">
        <f>IFERROR(VLOOKUP(TEXT($A$6+$A30,"MM/DD/YYYY HH:MM")&amp;"-&gt;"&amp;W$2,search_location_2,6,0)&amp;VLOOKUP(TEXT($A$6+$A30,"MM/DD/YYYY HH:MM")&amp;"-&gt;"&amp;W$2,search_location_2,9,0),"")</f>
        <v/>
      </c>
      <c r="X30" s="250" t="str">
        <f>IFERROR(VLOOKUP(TEXT($A$6+$A30,"MM/DD/YYYY HH:MM")&amp;"-&gt;"&amp;W$2,search_location_2,7,0),"")</f>
        <v/>
      </c>
      <c r="Y30" s="250" t="str">
        <f>IFERROR(VLOOKUP(TEXT($A$6+$A30,"MM/DD/YYYY HH:MM")&amp;"-&gt;"&amp;W$2,search_location_2,8,0),"")</f>
        <v/>
      </c>
      <c r="Z30" s="254" t="str">
        <f>IFERROR(VLOOKUP(TEXT($A$6+$A30,"MM/DD/YYYY HH:MM")&amp;"-&gt;"&amp;Z$2,search_location_2,6,0)&amp;VLOOKUP(TEXT($A$6+$A30,"MM/DD/YYYY HH:MM")&amp;"-&gt;"&amp;Z$2,search_location_2,9,0),"")</f>
        <v/>
      </c>
      <c r="AA30" s="251" t="str">
        <f>IFERROR(VLOOKUP(TEXT($A$6+$A30,"MM/DD/YYYY HH:MM")&amp;"-&gt;"&amp;Z$2,search_location_2,7,0),"")</f>
        <v/>
      </c>
      <c r="AB30" s="252" t="str">
        <f>IFERROR(VLOOKUP(TEXT($A$6+$A30,"MM/DD/YYYY HH:MM")&amp;"-&gt;"&amp;Z$2,search_location_2,8,0),"")</f>
        <v/>
      </c>
      <c r="AC30" s="249" t="str">
        <f>IFERROR(VLOOKUP(TEXT($A$6+$A30,"MM/DD/YYYY HH:MM")&amp;"-&gt;"&amp;AC$2,search_location_2,6,0)&amp;VLOOKUP(TEXT($A$6+$A30,"MM/DD/YYYY HH:MM")&amp;"-&gt;"&amp;AC$2,search_location_2,9,0),"")</f>
        <v/>
      </c>
      <c r="AD30" s="250" t="str">
        <f>IFERROR(VLOOKUP(TEXT($A$6+$A30,"MM/DD/YYYY HH:MM")&amp;"-&gt;"&amp;AC$2,search_location_2,7,0),"")</f>
        <v/>
      </c>
      <c r="AE30" s="250" t="str">
        <f>IFERROR(VLOOKUP(TEXT($A$6+$A30,"MM/DD/YYYY HH:MM")&amp;"-&gt;"&amp;AC$2,search_location_2,8,0),"")</f>
        <v/>
      </c>
      <c r="AF30" s="254" t="str">
        <f>IFERROR(VLOOKUP(TEXT($A$6+$A30,"MM/DD/YYYY HH:MM")&amp;"-&gt;"&amp;AF$2,search_location_2,6,0)&amp;VLOOKUP(TEXT($A$6+$A30,"MM/DD/YYYY HH:MM")&amp;"-&gt;"&amp;AF$2,search_location_2,9,0),"")</f>
        <v/>
      </c>
      <c r="AG30" s="251" t="str">
        <f>IFERROR(VLOOKUP(TEXT($A$6+$A30,"MM/DD/YYYY HH:MM")&amp;"-&gt;"&amp;AF$2,search_location_2,7,0),"")</f>
        <v/>
      </c>
      <c r="AH30" s="252" t="str">
        <f>IFERROR(VLOOKUP(TEXT($A$6+$A30,"MM/DD/YYYY HH:MM")&amp;"-&gt;"&amp;AF$2,search_location_2,8,0),"")</f>
        <v/>
      </c>
      <c r="AI30" s="255"/>
    </row>
    <row r="31" spans="1:35" s="256" customFormat="1" ht="12.75" customHeight="1" thickBot="1" x14ac:dyDescent="0.3">
      <c r="A31" s="257"/>
      <c r="B31" s="258" t="str">
        <f>IF(D31="flag football",LOWER(IFERROR(VLOOKUP(TEXT($A$6+$A30,"MM/DD/YYYY HH:MM")&amp;"-&gt;"&amp;B$3,search_location_2,6,0)&amp;VLOOKUP(TEXT($A$6+$A30,"MM/DD/YYYY HH:MM")&amp;"-&gt;"&amp;B$3,search_location_2,9,0),"")),IFERROR(VLOOKUP(TEXT($A$6+$A30,"MM/DD/YYYY HH:MM")&amp;"-&gt;"&amp;B$3,search_location_2,6,0)&amp;VLOOKUP(TEXT($A$6+$A30,"MM/DD/YYYY HH:MM")&amp;"-&gt;"&amp;B$3,search_location_2,9,0),""))</f>
        <v/>
      </c>
      <c r="C31" s="259" t="str">
        <f>IFERROR(VLOOKUP(TEXT($A$6+$A30,"MM/DD/YYYY HH:MM")&amp;"-&gt;"&amp;B$3,search_location_2,7,0),"")</f>
        <v/>
      </c>
      <c r="D31" s="259" t="str">
        <f>IFERROR(VLOOKUP(TEXT($A$6+$A30,"MM/DD/YYYY HH:MM")&amp;"-&gt;"&amp;B$3,search_location_2,8,0),"")</f>
        <v/>
      </c>
      <c r="E31" s="258" t="str">
        <f>IF(G31="flag football",LOWER(IFERROR(VLOOKUP(TEXT($A$6+$A30,"MM/DD/YYYY HH:MM")&amp;"-&gt;"&amp;E$3,search_location_2,6,0)&amp;VLOOKUP(TEXT($A$6+$A30,"MM/DD/YYYY HH:MM")&amp;"-&gt;"&amp;E$3,search_location_2,9,0),"")),IFERROR(VLOOKUP(TEXT($A$6+$A30,"MM/DD/YYYY HH:MM")&amp;"-&gt;"&amp;E$3,search_location_2,6,0)&amp;VLOOKUP(TEXT($A$6+$A30,"MM/DD/YYYY HH:MM")&amp;"-&gt;"&amp;E$3,search_location_2,9,0),""))</f>
        <v/>
      </c>
      <c r="F31" s="259" t="str">
        <f>IFERROR(VLOOKUP(TEXT($A$6+$A30,"MM/DD/YYYY HH:MM")&amp;"-&gt;"&amp;E$3,search_location_2,7,0),"")</f>
        <v/>
      </c>
      <c r="G31" s="259" t="str">
        <f>IFERROR(VLOOKUP(TEXT($A$6+$A30,"MM/DD/YYYY HH:MM")&amp;"-&gt;"&amp;E$3,search_location_2,8,0),"")</f>
        <v/>
      </c>
      <c r="H31" s="258" t="str">
        <f>IF(J31="Kickball",LOWER(IFERROR(VLOOKUP(TEXT($A$6+$A30,"MM/DD/YYYY HH:MM")&amp;"-&gt;"&amp;H$3,search_location_2,6,0)&amp;VLOOKUP(TEXT($A$6+$A30,"MM/DD/YYYY HH:MM")&amp;"-&gt;"&amp;H$3,search_location_2,9,0),"")),IFERROR(VLOOKUP(TEXT($A$6+$A30,"MM/DD/YYYY HH:MM")&amp;"-&gt;"&amp;H$3,search_location_2,6,0)&amp;VLOOKUP(TEXT($A$6+$A30,"MM/DD/YYYY HH:MM")&amp;"-&gt;"&amp;H$3,search_location_2,9,0),""))</f>
        <v/>
      </c>
      <c r="I31" s="260" t="str">
        <f>IFERROR(VLOOKUP(TEXT($A$6+$A30,"MM/DD/YYYY HH:MM")&amp;"-&gt;"&amp;H$3,search_location_2,7,0),"")</f>
        <v/>
      </c>
      <c r="J31" s="260" t="str">
        <f>IFERROR(VLOOKUP(TEXT($A$6+$A30,"MM/DD/YYYY HH:MM")&amp;"-&gt;"&amp;H$3,search_location_2,8,0),"")</f>
        <v/>
      </c>
      <c r="K31" s="258" t="str">
        <f>IFERROR(VLOOKUP(TEXT($A$6+$A30,"MM/DD/YYYY HH:MM")&amp;"-&gt;"&amp;K$3,search_location_2,6,0)&amp;VLOOKUP(TEXT($A$6+$A30,"MM/DD/YYYY HH:MM")&amp;"-&gt;"&amp;K$3,search_location_2,9,0),"")</f>
        <v/>
      </c>
      <c r="L31" s="260" t="str">
        <f>IFERROR(VLOOKUP(TEXT($A$6+$A30,"MM/DD/YYYY HH:MM")&amp;"-&gt;"&amp;K$3,search_location_2,7,0),"")</f>
        <v/>
      </c>
      <c r="M31" s="261" t="str">
        <f>IFERROR(VLOOKUP(TEXT($A$6+$A30,"MM/DD/YYYY HH:MM")&amp;"-&gt;"&amp;K$3,search_location_2,8,0),"")</f>
        <v/>
      </c>
      <c r="N31" s="262" t="str">
        <f>IFERROR(VLOOKUP(TEXT($A$6+$A30,"MM/DD/YYYY HH:MM")&amp;"-&gt;"&amp;N$3,search_location_2,6,0)&amp;VLOOKUP(TEXT($A$6+$A30,"MM/DD/YYYY HH:MM")&amp;"-&gt;"&amp;N$3,search_location_2,9,0),"")</f>
        <v/>
      </c>
      <c r="O31" s="260" t="str">
        <f>IFERROR(VLOOKUP(TEXT($A$6+$A30,"MM/DD/YYYY HH:MM")&amp;"-&gt;"&amp;N$3,search_location_2,7,0),"")</f>
        <v/>
      </c>
      <c r="P31" s="260" t="str">
        <f>IFERROR(VLOOKUP(TEXT($A$6+$A30,"MM/DD/YYYY HH:MM")&amp;"-&gt;"&amp;N$3,search_location_2,8,0),"")</f>
        <v/>
      </c>
      <c r="Q31" s="262" t="str">
        <f>IF(S31="Kickball",LOWER(IFERROR(VLOOKUP(TEXT($A$6+$A30,"MM/DD/YYYY HH:MM")&amp;"-&gt;"&amp;Q$3,search_location_2,6,0)&amp;VLOOKUP(TEXT($A$6+$A30,"MM/DD/YYYY HH:MM")&amp;"-&gt;"&amp;Q$3,search_location_2,9,0),"")),IFERROR(VLOOKUP(TEXT($A$6+$A30,"MM/DD/YYYY HH:MM")&amp;"-&gt;"&amp;Q$3,search_location_2,6,0)&amp;VLOOKUP(TEXT($A$6+$A30,"MM/DD/YYYY HH:MM")&amp;"-&gt;"&amp;Q$3,search_location_2,9,0),""))</f>
        <v/>
      </c>
      <c r="R31" s="266" t="str">
        <f>IFERROR(VLOOKUP(TEXT($A$6+$A30,"MM/DD/YYYY HH:MM")&amp;"-&gt;"&amp;Q$3,search_location_2,7,0),"")</f>
        <v/>
      </c>
      <c r="S31" s="259" t="str">
        <f>IFERROR(VLOOKUP(TEXT($A$6+$A30,"MM/DD/YYYY HH:MM")&amp;"-&gt;"&amp;Q$3,search_location_2,8,0),"")</f>
        <v/>
      </c>
      <c r="T31" s="263" t="str">
        <f>IF(V31="Kickball",LOWER(IFERROR(VLOOKUP(TEXT($A$6+$A30,"MM/DD/YYYY HH:MM")&amp;"-&gt;"&amp;T$3,search_location_2,6,0)&amp;VLOOKUP(TEXT($A$6+$A30,"MM/DD/YYYY HH:MM")&amp;"-&gt;"&amp;T$3,search_location_2,9,0),"")),IFERROR(VLOOKUP(TEXT($A$6+$A30,"MM/DD/YYYY HH:MM")&amp;"-&gt;"&amp;T$3,search_location_2,6,0)&amp;VLOOKUP(TEXT($A$6+$A30,"MM/DD/YYYY HH:MM")&amp;"-&gt;"&amp;T$3,search_location_2,9,0),""))</f>
        <v/>
      </c>
      <c r="U31" s="260" t="str">
        <f>IFERROR(VLOOKUP(TEXT($A$6+$A30,"MM/DD/YYYY HH:MM")&amp;"-&gt;"&amp;T$3,search_location_2,7,0),"")</f>
        <v/>
      </c>
      <c r="V31" s="261" t="str">
        <f>IFERROR(VLOOKUP(TEXT($A$6+$A30,"MM/DD/YYYY HH:MM")&amp;"-&gt;"&amp;T$3,search_location_2,8,0),"")</f>
        <v/>
      </c>
      <c r="W31" s="258" t="str">
        <f>IFERROR(VLOOKUP(TEXT($A$6+$A30,"MM/DD/YYYY HH:MM")&amp;"-&gt;"&amp;W$3,search_location_2,6,0)&amp;VLOOKUP(TEXT($A$6+$A30,"MM/DD/YYYY HH:MM")&amp;"-&gt;"&amp;W$3,search_location_2,9,0),"")</f>
        <v/>
      </c>
      <c r="X31" s="259" t="str">
        <f>IFERROR(VLOOKUP(TEXT($A$6+$A30,"MM/DD/YYYY HH:MM")&amp;"-&gt;"&amp;W$3,search_location_2,7,0),"")</f>
        <v/>
      </c>
      <c r="Y31" s="259" t="str">
        <f>IFERROR(VLOOKUP(TEXT($A$6+$A30,"MM/DD/YYYY HH:MM")&amp;"-&gt;"&amp;W$3,search_location_2,8,0),"")</f>
        <v/>
      </c>
      <c r="Z31" s="263" t="str">
        <f>IFERROR(VLOOKUP(TEXT($A$6+$A30,"MM/DD/YYYY HH:MM")&amp;"-&gt;"&amp;Z$3,search_location_2,6,0)&amp;VLOOKUP(TEXT($A$6+$A30,"MM/DD/YYYY HH:MM")&amp;"-&gt;"&amp;Z$3,search_location_2,9,0),"")</f>
        <v/>
      </c>
      <c r="AA31" s="260" t="str">
        <f>IFERROR(VLOOKUP(TEXT($A$6+$A30,"MM/DD/YYYY HH:MM")&amp;"-&gt;"&amp;Z$3,search_location_2,7,0),"")</f>
        <v/>
      </c>
      <c r="AB31" s="261" t="str">
        <f>IFERROR(VLOOKUP(TEXT($A$6+$A30,"MM/DD/YYYY HH:MM")&amp;"-&gt;"&amp;Z$3,search_location_2,8,0),"")</f>
        <v/>
      </c>
      <c r="AC31" s="258" t="str">
        <f>IFERROR(VLOOKUP(TEXT($A$6+$A30,"MM/DD/YYYY HH:MM")&amp;"-&gt;"&amp;AC$3,search_location_2,6,0)&amp;VLOOKUP(TEXT($A$6+$A30,"MM/DD/YYYY HH:MM")&amp;"-&gt;"&amp;AC$3,search_location_2,9,0),"")</f>
        <v/>
      </c>
      <c r="AD31" s="259" t="str">
        <f>IFERROR(VLOOKUP(TEXT($A$6+$A30,"MM/DD/YYYY HH:MM")&amp;"-&gt;"&amp;AC$3,search_location_2,7,0),"")</f>
        <v/>
      </c>
      <c r="AE31" s="259" t="str">
        <f>IFERROR(VLOOKUP(TEXT($A$6+$A30,"MM/DD/YYYY HH:MM")&amp;"-&gt;"&amp;AC$3,search_location_2,8,0),"")</f>
        <v/>
      </c>
      <c r="AF31" s="263" t="str">
        <f>IFERROR(VLOOKUP(TEXT($A$6+$A30,"MM/DD/YYYY HH:MM")&amp;"-&gt;"&amp;AF$3,search_location_2,6,0)&amp;VLOOKUP(TEXT($A$6+$A30,"MM/DD/YYYY HH:MM")&amp;"-&gt;"&amp;AF$3,search_location_2,9,0),"")</f>
        <v/>
      </c>
      <c r="AG31" s="260" t="str">
        <f>IFERROR(VLOOKUP(TEXT($A$6+$A30,"MM/DD/YYYY HH:MM")&amp;"-&gt;"&amp;AF$3,search_location_2,7,0),"")</f>
        <v/>
      </c>
      <c r="AH31" s="261" t="str">
        <f>IFERROR(VLOOKUP(TEXT($A$6+$A30,"MM/DD/YYYY HH:MM")&amp;"-&gt;"&amp;AF$3,search_location_2,8,0),"")</f>
        <v/>
      </c>
      <c r="AI31" s="255"/>
    </row>
    <row r="32" spans="1:35" s="256" customFormat="1" ht="12.75" customHeight="1" x14ac:dyDescent="0.25">
      <c r="A32" s="264">
        <f>A30+Time_Slots</f>
        <v>0.74999999999999989</v>
      </c>
      <c r="B32" s="249" t="str">
        <f>IF(D32="flag football",LOWER(IFERROR(VLOOKUP(TEXT($A$6+$A32,"MM/DD/YYYY HH:MM")&amp;"-&gt;"&amp;B$2,search_location_2,6,0)&amp;VLOOKUP(TEXT($A$6+$A32,"MM/DD/YYYY HH:MM")&amp;"-&gt;"&amp;B$2,search_location_2,9,0),"")),IFERROR(VLOOKUP(TEXT($A$6+$A32,"MM/DD/YYYY HH:MM")&amp;"-&gt;"&amp;B$2,search_location_2,6,0)&amp;VLOOKUP(TEXT($A$6+$A32,"MM/DD/YYYY HH:MM")&amp;"-&gt;"&amp;B$2,search_location_2,9,0),""))</f>
        <v/>
      </c>
      <c r="C32" s="250" t="str">
        <f>IFERROR(VLOOKUP(TEXT($A$6+$A32,"MM/DD/YYYY HH:MM")&amp;"-&gt;"&amp;B$2,search_location_2,7,0),"")</f>
        <v/>
      </c>
      <c r="D32" s="250" t="str">
        <f>IFERROR(VLOOKUP(TEXT($A$6+$A32,"MM/DD/YYYY HH:MM")&amp;"-&gt;"&amp;B$2,search_location_2,8,0),"")</f>
        <v/>
      </c>
      <c r="E32" s="249" t="str">
        <f>IF(G32="flag football",LOWER(IFERROR(VLOOKUP(TEXT($A$6+$A32,"MM/DD/YYYY HH:MM")&amp;"-&gt;"&amp;E$2,search_location_2,6,0)&amp;VLOOKUP(TEXT($A$6+$A32,"MM/DD/YYYY HH:MM")&amp;"-&gt;"&amp;E$2,search_location_2,9,0),"")),IFERROR(VLOOKUP(TEXT($A$6+$A32,"MM/DD/YYYY HH:MM")&amp;"-&gt;"&amp;E$2,search_location_2,6,0)&amp;VLOOKUP(TEXT($A$6+$A32,"MM/DD/YYYY HH:MM")&amp;"-&gt;"&amp;E$2,search_location_2,9,0),""))</f>
        <v/>
      </c>
      <c r="F32" s="250" t="str">
        <f>IFERROR(VLOOKUP(TEXT($A$6+$A32,"MM/DD/YYYY HH:MM")&amp;"-&gt;"&amp;E$2,search_location_2,7,0),"")</f>
        <v/>
      </c>
      <c r="G32" s="250" t="str">
        <f>IFERROR(VLOOKUP(TEXT($A$6+$A32,"MM/DD/YYYY HH:MM")&amp;"-&gt;"&amp;E$2,search_location_2,8,0),"")</f>
        <v/>
      </c>
      <c r="H32" s="249" t="str">
        <f>IF(J32="Kickball",LOWER(IFERROR(VLOOKUP(TEXT($A$6+$A32,"MM/DD/YYYY HH:MM")&amp;"-&gt;"&amp;H$2,search_location_2,6,0)&amp;VLOOKUP(TEXT($A$6+$A32,"MM/DD/YYYY HH:MM")&amp;"-&gt;"&amp;H$2,search_location_2,9,0),"")),IFERROR(VLOOKUP(TEXT($A$6+$A32,"MM/DD/YYYY HH:MM")&amp;"-&gt;"&amp;H$2,search_location_2,6,0)&amp;VLOOKUP(TEXT($A$6+$A32,"MM/DD/YYYY HH:MM")&amp;"-&gt;"&amp;H$2,search_location_2,9,0),""))</f>
        <v/>
      </c>
      <c r="I32" s="251" t="str">
        <f>IFERROR(VLOOKUP(TEXT($A$6+$A32,"MM/DD/YYYY HH:MM")&amp;"-&gt;"&amp;H$2,search_location_2,7,0),"")</f>
        <v/>
      </c>
      <c r="J32" s="251" t="str">
        <f>IFERROR(VLOOKUP(TEXT($A$6+$A32,"MM/DD/YYYY HH:MM")&amp;"-&gt;"&amp;H$2,search_location_2,8,0),"")</f>
        <v/>
      </c>
      <c r="K32" s="249" t="str">
        <f>IFERROR(VLOOKUP(TEXT($A$6+$A32,"MM/DD/YYYY HH:MM")&amp;"-&gt;"&amp;K$2,search_location_2,6,0)&amp;VLOOKUP(TEXT($A$6+$A32,"MM/DD/YYYY HH:MM")&amp;"-&gt;"&amp;K$2,search_location_2,9,0),"")</f>
        <v/>
      </c>
      <c r="L32" s="251" t="str">
        <f>IFERROR(VLOOKUP(TEXT($A$6+$A32,"MM/DD/YYYY HH:MM")&amp;"-&gt;"&amp;K$2,search_location_2,7,0),"")</f>
        <v/>
      </c>
      <c r="M32" s="252" t="str">
        <f>IFERROR(VLOOKUP(TEXT($A$6+$A32,"MM/DD/YYYY HH:MM")&amp;"-&gt;"&amp;K$2,search_location_2,8,0),"")</f>
        <v/>
      </c>
      <c r="N32" s="253" t="str">
        <f>IFERROR(VLOOKUP(TEXT($A$6+$A32,"MM/DD/YYYY HH:MM")&amp;"-&gt;"&amp;N$2,search_location_2,6,0)&amp;VLOOKUP(TEXT($A$6+$A32,"MM/DD/YYYY HH:MM")&amp;"-&gt;"&amp;N$2,search_location_2,9,0),"")</f>
        <v/>
      </c>
      <c r="O32" s="251" t="str">
        <f>IFERROR(VLOOKUP(TEXT($A$6+$A32,"MM/DD/YYYY HH:MM")&amp;"-&gt;"&amp;N$2,search_location_2,7,0),"")</f>
        <v/>
      </c>
      <c r="P32" s="251" t="str">
        <f>IFERROR(VLOOKUP(TEXT($A$6+$A32,"MM/DD/YYYY HH:MM")&amp;"-&gt;"&amp;N$2,search_location_2,8,0),"")</f>
        <v/>
      </c>
      <c r="Q32" s="253" t="str">
        <f>IF(S32="Kickball",LOWER(IFERROR(VLOOKUP(TEXT($A$6+$A32,"MM/DD/YYYY HH:MM")&amp;"-&gt;"&amp;Q$2,search_location_2,6,0)&amp;VLOOKUP(TEXT($A$6+$A32,"MM/DD/YYYY HH:MM")&amp;"-&gt;"&amp;Q$2,search_location_2,9,0),"")),IFERROR(VLOOKUP(TEXT($A$6+$A32,"MM/DD/YYYY HH:MM")&amp;"-&gt;"&amp;Q$2,search_location_2,6,0)&amp;VLOOKUP(TEXT($A$6+$A32,"MM/DD/YYYY HH:MM")&amp;"-&gt;"&amp;Q$2,search_location_2,9,0),""))</f>
        <v/>
      </c>
      <c r="R32" s="265" t="str">
        <f>IFERROR(VLOOKUP(TEXT($A$6+$A32,"MM/DD/YYYY HH:MM")&amp;"-&gt;"&amp;Q$2,search_location_2,7,0),"")</f>
        <v/>
      </c>
      <c r="S32" s="250" t="str">
        <f>IFERROR(VLOOKUP(TEXT($A$6+$A32,"MM/DD/YYYY HH:MM")&amp;"-&gt;"&amp;Q$2,search_location_2,8,0),"")</f>
        <v/>
      </c>
      <c r="T32" s="254" t="str">
        <f>IF(V32="Kickball",LOWER(IFERROR(VLOOKUP(TEXT($A$6+$A32,"MM/DD/YYYY HH:MM")&amp;"-&gt;"&amp;T$2,search_location_2,6,0)&amp;VLOOKUP(TEXT($A$6+$A32,"MM/DD/YYYY HH:MM")&amp;"-&gt;"&amp;T$2,search_location_2,9,0),"")),IFERROR(VLOOKUP(TEXT($A$6+$A32,"MM/DD/YYYY HH:MM")&amp;"-&gt;"&amp;T$2,search_location_2,6,0)&amp;VLOOKUP(TEXT($A$6+$A32,"MM/DD/YYYY HH:MM")&amp;"-&gt;"&amp;T$2,search_location_2,9,0),""))</f>
        <v/>
      </c>
      <c r="U32" s="251" t="str">
        <f>IFERROR(VLOOKUP(TEXT($A$6+$A32,"MM/DD/YYYY HH:MM")&amp;"-&gt;"&amp;T$2,search_location_2,7,0),"")</f>
        <v/>
      </c>
      <c r="V32" s="252" t="str">
        <f>IFERROR(VLOOKUP(TEXT($A$6+$A32,"MM/DD/YYYY HH:MM")&amp;"-&gt;"&amp;T$2,search_location_2,8,0),"")</f>
        <v/>
      </c>
      <c r="W32" s="249" t="str">
        <f>IFERROR(VLOOKUP(TEXT($A$6+$A32,"MM/DD/YYYY HH:MM")&amp;"-&gt;"&amp;W$2,search_location_2,6,0)&amp;VLOOKUP(TEXT($A$6+$A32,"MM/DD/YYYY HH:MM")&amp;"-&gt;"&amp;W$2,search_location_2,9,0),"")</f>
        <v/>
      </c>
      <c r="X32" s="250" t="str">
        <f>IFERROR(VLOOKUP(TEXT($A$6+$A32,"MM/DD/YYYY HH:MM")&amp;"-&gt;"&amp;W$2,search_location_2,7,0),"")</f>
        <v/>
      </c>
      <c r="Y32" s="250" t="str">
        <f>IFERROR(VLOOKUP(TEXT($A$6+$A32,"MM/DD/YYYY HH:MM")&amp;"-&gt;"&amp;W$2,search_location_2,8,0),"")</f>
        <v/>
      </c>
      <c r="Z32" s="254" t="str">
        <f>IFERROR(VLOOKUP(TEXT($A$6+$A32,"MM/DD/YYYY HH:MM")&amp;"-&gt;"&amp;Z$2,search_location_2,6,0)&amp;VLOOKUP(TEXT($A$6+$A32,"MM/DD/YYYY HH:MM")&amp;"-&gt;"&amp;Z$2,search_location_2,9,0),"")</f>
        <v/>
      </c>
      <c r="AA32" s="251" t="str">
        <f>IFERROR(VLOOKUP(TEXT($A$6+$A32,"MM/DD/YYYY HH:MM")&amp;"-&gt;"&amp;Z$2,search_location_2,7,0),"")</f>
        <v/>
      </c>
      <c r="AB32" s="252" t="str">
        <f>IFERROR(VLOOKUP(TEXT($A$6+$A32,"MM/DD/YYYY HH:MM")&amp;"-&gt;"&amp;Z$2,search_location_2,8,0),"")</f>
        <v/>
      </c>
      <c r="AC32" s="249" t="str">
        <f>IFERROR(VLOOKUP(TEXT($A$6+$A32,"MM/DD/YYYY HH:MM")&amp;"-&gt;"&amp;AC$2,search_location_2,6,0)&amp;VLOOKUP(TEXT($A$6+$A32,"MM/DD/YYYY HH:MM")&amp;"-&gt;"&amp;AC$2,search_location_2,9,0),"")</f>
        <v/>
      </c>
      <c r="AD32" s="250" t="str">
        <f>IFERROR(VLOOKUP(TEXT($A$6+$A32,"MM/DD/YYYY HH:MM")&amp;"-&gt;"&amp;AC$2,search_location_2,7,0),"")</f>
        <v/>
      </c>
      <c r="AE32" s="250" t="str">
        <f>IFERROR(VLOOKUP(TEXT($A$6+$A32,"MM/DD/YYYY HH:MM")&amp;"-&gt;"&amp;AC$2,search_location_2,8,0),"")</f>
        <v/>
      </c>
      <c r="AF32" s="254" t="str">
        <f>IFERROR(VLOOKUP(TEXT($A$6+$A32,"MM/DD/YYYY HH:MM")&amp;"-&gt;"&amp;AF$2,search_location_2,6,0)&amp;VLOOKUP(TEXT($A$6+$A32,"MM/DD/YYYY HH:MM")&amp;"-&gt;"&amp;AF$2,search_location_2,9,0),"")</f>
        <v/>
      </c>
      <c r="AG32" s="251" t="str">
        <f>IFERROR(VLOOKUP(TEXT($A$6+$A32,"MM/DD/YYYY HH:MM")&amp;"-&gt;"&amp;AF$2,search_location_2,7,0),"")</f>
        <v/>
      </c>
      <c r="AH32" s="252" t="str">
        <f>IFERROR(VLOOKUP(TEXT($A$6+$A32,"MM/DD/YYYY HH:MM")&amp;"-&gt;"&amp;AF$2,search_location_2,8,0),"")</f>
        <v/>
      </c>
      <c r="AI32" s="255"/>
    </row>
    <row r="33" spans="1:35" s="256" customFormat="1" ht="12.75" customHeight="1" thickBot="1" x14ac:dyDescent="0.3">
      <c r="A33" s="257"/>
      <c r="B33" s="258" t="str">
        <f>IF(D33="flag football",LOWER(IFERROR(VLOOKUP(TEXT($A$6+$A32,"MM/DD/YYYY HH:MM")&amp;"-&gt;"&amp;B$3,search_location_2,6,0)&amp;VLOOKUP(TEXT($A$6+$A32,"MM/DD/YYYY HH:MM")&amp;"-&gt;"&amp;B$3,search_location_2,9,0),"")),IFERROR(VLOOKUP(TEXT($A$6+$A32,"MM/DD/YYYY HH:MM")&amp;"-&gt;"&amp;B$3,search_location_2,6,0)&amp;VLOOKUP(TEXT($A$6+$A32,"MM/DD/YYYY HH:MM")&amp;"-&gt;"&amp;B$3,search_location_2,9,0),""))</f>
        <v/>
      </c>
      <c r="C33" s="259" t="str">
        <f>IFERROR(VLOOKUP(TEXT($A$6+$A32,"MM/DD/YYYY HH:MM")&amp;"-&gt;"&amp;B$3,search_location_2,7,0),"")</f>
        <v/>
      </c>
      <c r="D33" s="259" t="str">
        <f>IFERROR(VLOOKUP(TEXT($A$6+$A32,"MM/DD/YYYY HH:MM")&amp;"-&gt;"&amp;B$3,search_location_2,8,0),"")</f>
        <v/>
      </c>
      <c r="E33" s="258" t="str">
        <f>IF(G33="flag football",LOWER(IFERROR(VLOOKUP(TEXT($A$6+$A32,"MM/DD/YYYY HH:MM")&amp;"-&gt;"&amp;E$3,search_location_2,6,0)&amp;VLOOKUP(TEXT($A$6+$A32,"MM/DD/YYYY HH:MM")&amp;"-&gt;"&amp;E$3,search_location_2,9,0),"")),IFERROR(VLOOKUP(TEXT($A$6+$A32,"MM/DD/YYYY HH:MM")&amp;"-&gt;"&amp;E$3,search_location_2,6,0)&amp;VLOOKUP(TEXT($A$6+$A32,"MM/DD/YYYY HH:MM")&amp;"-&gt;"&amp;E$3,search_location_2,9,0),""))</f>
        <v/>
      </c>
      <c r="F33" s="259" t="str">
        <f>IFERROR(VLOOKUP(TEXT($A$6+$A32,"MM/DD/YYYY HH:MM")&amp;"-&gt;"&amp;E$3,search_location_2,7,0),"")</f>
        <v/>
      </c>
      <c r="G33" s="259" t="str">
        <f>IFERROR(VLOOKUP(TEXT($A$6+$A32,"MM/DD/YYYY HH:MM")&amp;"-&gt;"&amp;E$3,search_location_2,8,0),"")</f>
        <v/>
      </c>
      <c r="H33" s="258" t="str">
        <f>IF(J33="Kickball",LOWER(IFERROR(VLOOKUP(TEXT($A$6+$A32,"MM/DD/YYYY HH:MM")&amp;"-&gt;"&amp;H$3,search_location_2,6,0)&amp;VLOOKUP(TEXT($A$6+$A32,"MM/DD/YYYY HH:MM")&amp;"-&gt;"&amp;H$3,search_location_2,9,0),"")),IFERROR(VLOOKUP(TEXT($A$6+$A32,"MM/DD/YYYY HH:MM")&amp;"-&gt;"&amp;H$3,search_location_2,6,0)&amp;VLOOKUP(TEXT($A$6+$A32,"MM/DD/YYYY HH:MM")&amp;"-&gt;"&amp;H$3,search_location_2,9,0),""))</f>
        <v/>
      </c>
      <c r="I33" s="260" t="str">
        <f>IFERROR(VLOOKUP(TEXT($A$6+$A32,"MM/DD/YYYY HH:MM")&amp;"-&gt;"&amp;H$3,search_location_2,7,0),"")</f>
        <v/>
      </c>
      <c r="J33" s="260" t="str">
        <f>IFERROR(VLOOKUP(TEXT($A$6+$A32,"MM/DD/YYYY HH:MM")&amp;"-&gt;"&amp;H$3,search_location_2,8,0),"")</f>
        <v/>
      </c>
      <c r="K33" s="258" t="str">
        <f>IFERROR(VLOOKUP(TEXT($A$6+$A32,"MM/DD/YYYY HH:MM")&amp;"-&gt;"&amp;K$3,search_location_2,6,0)&amp;VLOOKUP(TEXT($A$6+$A32,"MM/DD/YYYY HH:MM")&amp;"-&gt;"&amp;K$3,search_location_2,9,0),"")</f>
        <v/>
      </c>
      <c r="L33" s="260" t="str">
        <f>IFERROR(VLOOKUP(TEXT($A$6+$A32,"MM/DD/YYYY HH:MM")&amp;"-&gt;"&amp;K$3,search_location_2,7,0),"")</f>
        <v/>
      </c>
      <c r="M33" s="261" t="str">
        <f>IFERROR(VLOOKUP(TEXT($A$6+$A32,"MM/DD/YYYY HH:MM")&amp;"-&gt;"&amp;K$3,search_location_2,8,0),"")</f>
        <v/>
      </c>
      <c r="N33" s="262" t="str">
        <f>IFERROR(VLOOKUP(TEXT($A$6+$A32,"MM/DD/YYYY HH:MM")&amp;"-&gt;"&amp;N$3,search_location_2,6,0)&amp;VLOOKUP(TEXT($A$6+$A32,"MM/DD/YYYY HH:MM")&amp;"-&gt;"&amp;N$3,search_location_2,9,0),"")</f>
        <v/>
      </c>
      <c r="O33" s="260" t="str">
        <f>IFERROR(VLOOKUP(TEXT($A$6+$A32,"MM/DD/YYYY HH:MM")&amp;"-&gt;"&amp;N$3,search_location_2,7,0),"")</f>
        <v/>
      </c>
      <c r="P33" s="260" t="str">
        <f>IFERROR(VLOOKUP(TEXT($A$6+$A32,"MM/DD/YYYY HH:MM")&amp;"-&gt;"&amp;N$3,search_location_2,8,0),"")</f>
        <v/>
      </c>
      <c r="Q33" s="262" t="str">
        <f>IF(S33="Kickball",LOWER(IFERROR(VLOOKUP(TEXT($A$6+$A32,"MM/DD/YYYY HH:MM")&amp;"-&gt;"&amp;Q$3,search_location_2,6,0)&amp;VLOOKUP(TEXT($A$6+$A32,"MM/DD/YYYY HH:MM")&amp;"-&gt;"&amp;Q$3,search_location_2,9,0),"")),IFERROR(VLOOKUP(TEXT($A$6+$A32,"MM/DD/YYYY HH:MM")&amp;"-&gt;"&amp;Q$3,search_location_2,6,0)&amp;VLOOKUP(TEXT($A$6+$A32,"MM/DD/YYYY HH:MM")&amp;"-&gt;"&amp;Q$3,search_location_2,9,0),""))</f>
        <v/>
      </c>
      <c r="R33" s="266" t="str">
        <f>IFERROR(VLOOKUP(TEXT($A$6+$A32,"MM/DD/YYYY HH:MM")&amp;"-&gt;"&amp;Q$3,search_location_2,7,0),"")</f>
        <v/>
      </c>
      <c r="S33" s="259" t="str">
        <f>IFERROR(VLOOKUP(TEXT($A$6+$A32,"MM/DD/YYYY HH:MM")&amp;"-&gt;"&amp;Q$3,search_location_2,8,0),"")</f>
        <v/>
      </c>
      <c r="T33" s="263" t="str">
        <f>IF(V33="Kickball",LOWER(IFERROR(VLOOKUP(TEXT($A$6+$A32,"MM/DD/YYYY HH:MM")&amp;"-&gt;"&amp;T$3,search_location_2,6,0)&amp;VLOOKUP(TEXT($A$6+$A32,"MM/DD/YYYY HH:MM")&amp;"-&gt;"&amp;T$3,search_location_2,9,0),"")),IFERROR(VLOOKUP(TEXT($A$6+$A32,"MM/DD/YYYY HH:MM")&amp;"-&gt;"&amp;T$3,search_location_2,6,0)&amp;VLOOKUP(TEXT($A$6+$A32,"MM/DD/YYYY HH:MM")&amp;"-&gt;"&amp;T$3,search_location_2,9,0),""))</f>
        <v/>
      </c>
      <c r="U33" s="260" t="str">
        <f>IFERROR(VLOOKUP(TEXT($A$6+$A32,"MM/DD/YYYY HH:MM")&amp;"-&gt;"&amp;T$3,search_location_2,7,0),"")</f>
        <v/>
      </c>
      <c r="V33" s="261" t="str">
        <f>IFERROR(VLOOKUP(TEXT($A$6+$A32,"MM/DD/YYYY HH:MM")&amp;"-&gt;"&amp;T$3,search_location_2,8,0),"")</f>
        <v/>
      </c>
      <c r="W33" s="258" t="str">
        <f>IFERROR(VLOOKUP(TEXT($A$6+$A32,"MM/DD/YYYY HH:MM")&amp;"-&gt;"&amp;W$3,search_location_2,6,0)&amp;VLOOKUP(TEXT($A$6+$A32,"MM/DD/YYYY HH:MM")&amp;"-&gt;"&amp;W$3,search_location_2,9,0),"")</f>
        <v/>
      </c>
      <c r="X33" s="259" t="str">
        <f>IFERROR(VLOOKUP(TEXT($A$6+$A32,"MM/DD/YYYY HH:MM")&amp;"-&gt;"&amp;W$3,search_location_2,7,0),"")</f>
        <v/>
      </c>
      <c r="Y33" s="259" t="str">
        <f>IFERROR(VLOOKUP(TEXT($A$6+$A32,"MM/DD/YYYY HH:MM")&amp;"-&gt;"&amp;W$3,search_location_2,8,0),"")</f>
        <v/>
      </c>
      <c r="Z33" s="263" t="str">
        <f>IFERROR(VLOOKUP(TEXT($A$6+$A32,"MM/DD/YYYY HH:MM")&amp;"-&gt;"&amp;Z$3,search_location_2,6,0)&amp;VLOOKUP(TEXT($A$6+$A32,"MM/DD/YYYY HH:MM")&amp;"-&gt;"&amp;Z$3,search_location_2,9,0),"")</f>
        <v/>
      </c>
      <c r="AA33" s="260" t="str">
        <f>IFERROR(VLOOKUP(TEXT($A$6+$A32,"MM/DD/YYYY HH:MM")&amp;"-&gt;"&amp;Z$3,search_location_2,7,0),"")</f>
        <v/>
      </c>
      <c r="AB33" s="261" t="str">
        <f>IFERROR(VLOOKUP(TEXT($A$6+$A32,"MM/DD/YYYY HH:MM")&amp;"-&gt;"&amp;Z$3,search_location_2,8,0),"")</f>
        <v/>
      </c>
      <c r="AC33" s="258" t="str">
        <f>IFERROR(VLOOKUP(TEXT($A$6+$A32,"MM/DD/YYYY HH:MM")&amp;"-&gt;"&amp;AC$3,search_location_2,6,0)&amp;VLOOKUP(TEXT($A$6+$A32,"MM/DD/YYYY HH:MM")&amp;"-&gt;"&amp;AC$3,search_location_2,9,0),"")</f>
        <v/>
      </c>
      <c r="AD33" s="259" t="str">
        <f>IFERROR(VLOOKUP(TEXT($A$6+$A32,"MM/DD/YYYY HH:MM")&amp;"-&gt;"&amp;AC$3,search_location_2,7,0),"")</f>
        <v/>
      </c>
      <c r="AE33" s="259" t="str">
        <f>IFERROR(VLOOKUP(TEXT($A$6+$A32,"MM/DD/YYYY HH:MM")&amp;"-&gt;"&amp;AC$3,search_location_2,8,0),"")</f>
        <v/>
      </c>
      <c r="AF33" s="263" t="str">
        <f>IFERROR(VLOOKUP(TEXT($A$6+$A32,"MM/DD/YYYY HH:MM")&amp;"-&gt;"&amp;AF$3,search_location_2,6,0)&amp;VLOOKUP(TEXT($A$6+$A32,"MM/DD/YYYY HH:MM")&amp;"-&gt;"&amp;AF$3,search_location_2,9,0),"")</f>
        <v/>
      </c>
      <c r="AG33" s="260" t="str">
        <f>IFERROR(VLOOKUP(TEXT($A$6+$A32,"MM/DD/YYYY HH:MM")&amp;"-&gt;"&amp;AF$3,search_location_2,7,0),"")</f>
        <v/>
      </c>
      <c r="AH33" s="261" t="str">
        <f>IFERROR(VLOOKUP(TEXT($A$6+$A32,"MM/DD/YYYY HH:MM")&amp;"-&gt;"&amp;AF$3,search_location_2,8,0),"")</f>
        <v/>
      </c>
      <c r="AI33" s="255"/>
    </row>
    <row r="34" spans="1:35" s="256" customFormat="1" ht="12.75" customHeight="1" x14ac:dyDescent="0.25">
      <c r="A34" s="264">
        <f>A32+Time_Slots</f>
        <v>0.7847222222222221</v>
      </c>
      <c r="B34" s="249" t="str">
        <f>IF(D34="flag football",LOWER(IFERROR(VLOOKUP(TEXT($A$6+$A34,"MM/DD/YYYY HH:MM")&amp;"-&gt;"&amp;B$2,search_location_2,6,0)&amp;VLOOKUP(TEXT($A$6+$A34,"MM/DD/YYYY HH:MM")&amp;"-&gt;"&amp;B$2,search_location_2,9,0),"")),IFERROR(VLOOKUP(TEXT($A$6+$A34,"MM/DD/YYYY HH:MM")&amp;"-&gt;"&amp;B$2,search_location_2,6,0)&amp;VLOOKUP(TEXT($A$6+$A34,"MM/DD/YYYY HH:MM")&amp;"-&gt;"&amp;B$2,search_location_2,9,0),""))</f>
        <v/>
      </c>
      <c r="C34" s="250" t="str">
        <f>IFERROR(VLOOKUP(TEXT($A$6+$A34,"MM/DD/YYYY HH:MM")&amp;"-&gt;"&amp;B$2,search_location_2,7,0),"")</f>
        <v/>
      </c>
      <c r="D34" s="250" t="str">
        <f>IFERROR(VLOOKUP(TEXT($A$6+$A34,"MM/DD/YYYY HH:MM")&amp;"-&gt;"&amp;B$2,search_location_2,8,0),"")</f>
        <v/>
      </c>
      <c r="E34" s="249" t="str">
        <f>IF(G34="flag football",LOWER(IFERROR(VLOOKUP(TEXT($A$6+$A34,"MM/DD/YYYY HH:MM")&amp;"-&gt;"&amp;E$2,search_location_2,6,0)&amp;VLOOKUP(TEXT($A$6+$A34,"MM/DD/YYYY HH:MM")&amp;"-&gt;"&amp;E$2,search_location_2,9,0),"")),IFERROR(VLOOKUP(TEXT($A$6+$A34,"MM/DD/YYYY HH:MM")&amp;"-&gt;"&amp;E$2,search_location_2,6,0)&amp;VLOOKUP(TEXT($A$6+$A34,"MM/DD/YYYY HH:MM")&amp;"-&gt;"&amp;E$2,search_location_2,9,0),""))</f>
        <v/>
      </c>
      <c r="F34" s="250" t="str">
        <f>IFERROR(VLOOKUP(TEXT($A$6+$A34,"MM/DD/YYYY HH:MM")&amp;"-&gt;"&amp;E$2,search_location_2,7,0),"")</f>
        <v/>
      </c>
      <c r="G34" s="250" t="str">
        <f>IFERROR(VLOOKUP(TEXT($A$6+$A34,"MM/DD/YYYY HH:MM")&amp;"-&gt;"&amp;E$2,search_location_2,8,0),"")</f>
        <v/>
      </c>
      <c r="H34" s="249" t="str">
        <f>IF(J34="Kickball",LOWER(IFERROR(VLOOKUP(TEXT($A$6+$A34,"MM/DD/YYYY HH:MM")&amp;"-&gt;"&amp;H$2,search_location_2,6,0)&amp;VLOOKUP(TEXT($A$6+$A34,"MM/DD/YYYY HH:MM")&amp;"-&gt;"&amp;H$2,search_location_2,9,0),"")),IFERROR(VLOOKUP(TEXT($A$6+$A34,"MM/DD/YYYY HH:MM")&amp;"-&gt;"&amp;H$2,search_location_2,6,0)&amp;VLOOKUP(TEXT($A$6+$A34,"MM/DD/YYYY HH:MM")&amp;"-&gt;"&amp;H$2,search_location_2,9,0),""))</f>
        <v/>
      </c>
      <c r="I34" s="251" t="str">
        <f>IFERROR(VLOOKUP(TEXT($A$6+$A34,"MM/DD/YYYY HH:MM")&amp;"-&gt;"&amp;H$2,search_location_2,7,0),"")</f>
        <v/>
      </c>
      <c r="J34" s="251" t="str">
        <f>IFERROR(VLOOKUP(TEXT($A$6+$A34,"MM/DD/YYYY HH:MM")&amp;"-&gt;"&amp;H$2,search_location_2,8,0),"")</f>
        <v/>
      </c>
      <c r="K34" s="249" t="str">
        <f>IFERROR(VLOOKUP(TEXT($A$6+$A34,"MM/DD/YYYY HH:MM")&amp;"-&gt;"&amp;K$2,search_location_2,6,0)&amp;VLOOKUP(TEXT($A$6+$A34,"MM/DD/YYYY HH:MM")&amp;"-&gt;"&amp;K$2,search_location_2,9,0),"")</f>
        <v/>
      </c>
      <c r="L34" s="251" t="str">
        <f>IFERROR(VLOOKUP(TEXT($A$6+$A34,"MM/DD/YYYY HH:MM")&amp;"-&gt;"&amp;K$2,search_location_2,7,0),"")</f>
        <v/>
      </c>
      <c r="M34" s="252" t="str">
        <f>IFERROR(VLOOKUP(TEXT($A$6+$A34,"MM/DD/YYYY HH:MM")&amp;"-&gt;"&amp;K$2,search_location_2,8,0),"")</f>
        <v/>
      </c>
      <c r="N34" s="253" t="str">
        <f>IFERROR(VLOOKUP(TEXT($A$6+$A34,"MM/DD/YYYY HH:MM")&amp;"-&gt;"&amp;N$2,search_location_2,6,0)&amp;VLOOKUP(TEXT($A$6+$A34,"MM/DD/YYYY HH:MM")&amp;"-&gt;"&amp;N$2,search_location_2,9,0),"")</f>
        <v/>
      </c>
      <c r="O34" s="251" t="str">
        <f>IFERROR(VLOOKUP(TEXT($A$6+$A34,"MM/DD/YYYY HH:MM")&amp;"-&gt;"&amp;N$2,search_location_2,7,0),"")</f>
        <v/>
      </c>
      <c r="P34" s="251" t="str">
        <f>IFERROR(VLOOKUP(TEXT($A$6+$A34,"MM/DD/YYYY HH:MM")&amp;"-&gt;"&amp;N$2,search_location_2,8,0),"")</f>
        <v/>
      </c>
      <c r="Q34" s="253" t="str">
        <f>IF(S34="Kickball",LOWER(IFERROR(VLOOKUP(TEXT($A$6+$A34,"MM/DD/YYYY HH:MM")&amp;"-&gt;"&amp;Q$2,search_location_2,6,0)&amp;VLOOKUP(TEXT($A$6+$A34,"MM/DD/YYYY HH:MM")&amp;"-&gt;"&amp;Q$2,search_location_2,9,0),"")),IFERROR(VLOOKUP(TEXT($A$6+$A34,"MM/DD/YYYY HH:MM")&amp;"-&gt;"&amp;Q$2,search_location_2,6,0)&amp;VLOOKUP(TEXT($A$6+$A34,"MM/DD/YYYY HH:MM")&amp;"-&gt;"&amp;Q$2,search_location_2,9,0),""))</f>
        <v/>
      </c>
      <c r="R34" s="265" t="str">
        <f>IFERROR(VLOOKUP(TEXT($A$6+$A34,"MM/DD/YYYY HH:MM")&amp;"-&gt;"&amp;Q$2,search_location_2,7,0),"")</f>
        <v/>
      </c>
      <c r="S34" s="250" t="str">
        <f>IFERROR(VLOOKUP(TEXT($A$6+$A34,"MM/DD/YYYY HH:MM")&amp;"-&gt;"&amp;Q$2,search_location_2,8,0),"")</f>
        <v/>
      </c>
      <c r="T34" s="254" t="str">
        <f>IF(V34="Kickball",LOWER(IFERROR(VLOOKUP(TEXT($A$6+$A34,"MM/DD/YYYY HH:MM")&amp;"-&gt;"&amp;T$2,search_location_2,6,0)&amp;VLOOKUP(TEXT($A$6+$A34,"MM/DD/YYYY HH:MM")&amp;"-&gt;"&amp;T$2,search_location_2,9,0),"")),IFERROR(VLOOKUP(TEXT($A$6+$A34,"MM/DD/YYYY HH:MM")&amp;"-&gt;"&amp;T$2,search_location_2,6,0)&amp;VLOOKUP(TEXT($A$6+$A34,"MM/DD/YYYY HH:MM")&amp;"-&gt;"&amp;T$2,search_location_2,9,0),""))</f>
        <v/>
      </c>
      <c r="U34" s="251" t="str">
        <f>IFERROR(VLOOKUP(TEXT($A$6+$A34,"MM/DD/YYYY HH:MM")&amp;"-&gt;"&amp;T$2,search_location_2,7,0),"")</f>
        <v/>
      </c>
      <c r="V34" s="252" t="str">
        <f>IFERROR(VLOOKUP(TEXT($A$6+$A34,"MM/DD/YYYY HH:MM")&amp;"-&gt;"&amp;T$2,search_location_2,8,0),"")</f>
        <v/>
      </c>
      <c r="W34" s="249" t="str">
        <f>IFERROR(VLOOKUP(TEXT($A$6+$A34,"MM/DD/YYYY HH:MM")&amp;"-&gt;"&amp;W$2,search_location_2,6,0)&amp;VLOOKUP(TEXT($A$6+$A34,"MM/DD/YYYY HH:MM")&amp;"-&gt;"&amp;W$2,search_location_2,9,0),"")</f>
        <v/>
      </c>
      <c r="X34" s="250" t="str">
        <f>IFERROR(VLOOKUP(TEXT($A$6+$A34,"MM/DD/YYYY HH:MM")&amp;"-&gt;"&amp;W$2,search_location_2,7,0),"")</f>
        <v/>
      </c>
      <c r="Y34" s="250" t="str">
        <f>IFERROR(VLOOKUP(TEXT($A$6+$A34,"MM/DD/YYYY HH:MM")&amp;"-&gt;"&amp;W$2,search_location_2,8,0),"")</f>
        <v/>
      </c>
      <c r="Z34" s="254" t="str">
        <f>IFERROR(VLOOKUP(TEXT($A$6+$A34,"MM/DD/YYYY HH:MM")&amp;"-&gt;"&amp;Z$2,search_location_2,6,0)&amp;VLOOKUP(TEXT($A$6+$A34,"MM/DD/YYYY HH:MM")&amp;"-&gt;"&amp;Z$2,search_location_2,9,0),"")</f>
        <v/>
      </c>
      <c r="AA34" s="251" t="str">
        <f>IFERROR(VLOOKUP(TEXT($A$6+$A34,"MM/DD/YYYY HH:MM")&amp;"-&gt;"&amp;Z$2,search_location_2,7,0),"")</f>
        <v/>
      </c>
      <c r="AB34" s="252" t="str">
        <f>IFERROR(VLOOKUP(TEXT($A$6+$A34,"MM/DD/YYYY HH:MM")&amp;"-&gt;"&amp;Z$2,search_location_2,8,0),"")</f>
        <v/>
      </c>
      <c r="AC34" s="249" t="str">
        <f>IFERROR(VLOOKUP(TEXT($A$6+$A34,"MM/DD/YYYY HH:MM")&amp;"-&gt;"&amp;AC$2,search_location_2,6,0)&amp;VLOOKUP(TEXT($A$6+$A34,"MM/DD/YYYY HH:MM")&amp;"-&gt;"&amp;AC$2,search_location_2,9,0),"")</f>
        <v/>
      </c>
      <c r="AD34" s="250" t="str">
        <f>IFERROR(VLOOKUP(TEXT($A$6+$A34,"MM/DD/YYYY HH:MM")&amp;"-&gt;"&amp;AC$2,search_location_2,7,0),"")</f>
        <v/>
      </c>
      <c r="AE34" s="250" t="str">
        <f>IFERROR(VLOOKUP(TEXT($A$6+$A34,"MM/DD/YYYY HH:MM")&amp;"-&gt;"&amp;AC$2,search_location_2,8,0),"")</f>
        <v/>
      </c>
      <c r="AF34" s="254" t="str">
        <f>IFERROR(VLOOKUP(TEXT($A$6+$A34,"MM/DD/YYYY HH:MM")&amp;"-&gt;"&amp;AF$2,search_location_2,6,0)&amp;VLOOKUP(TEXT($A$6+$A34,"MM/DD/YYYY HH:MM")&amp;"-&gt;"&amp;AF$2,search_location_2,9,0),"")</f>
        <v/>
      </c>
      <c r="AG34" s="251" t="str">
        <f>IFERROR(VLOOKUP(TEXT($A$6+$A34,"MM/DD/YYYY HH:MM")&amp;"-&gt;"&amp;AF$2,search_location_2,7,0),"")</f>
        <v/>
      </c>
      <c r="AH34" s="252" t="str">
        <f>IFERROR(VLOOKUP(TEXT($A$6+$A34,"MM/DD/YYYY HH:MM")&amp;"-&gt;"&amp;AF$2,search_location_2,8,0),"")</f>
        <v/>
      </c>
      <c r="AI34" s="255"/>
    </row>
    <row r="35" spans="1:35" s="256" customFormat="1" ht="12.75" customHeight="1" thickBot="1" x14ac:dyDescent="0.3">
      <c r="A35" s="257"/>
      <c r="B35" s="258" t="str">
        <f>IF(D35="flag football",LOWER(IFERROR(VLOOKUP(TEXT($A$6+$A34,"MM/DD/YYYY HH:MM")&amp;"-&gt;"&amp;B$3,search_location_2,6,0)&amp;VLOOKUP(TEXT($A$6+$A34,"MM/DD/YYYY HH:MM")&amp;"-&gt;"&amp;B$3,search_location_2,9,0),"")),IFERROR(VLOOKUP(TEXT($A$6+$A34,"MM/DD/YYYY HH:MM")&amp;"-&gt;"&amp;B$3,search_location_2,6,0)&amp;VLOOKUP(TEXT($A$6+$A34,"MM/DD/YYYY HH:MM")&amp;"-&gt;"&amp;B$3,search_location_2,9,0),""))</f>
        <v/>
      </c>
      <c r="C35" s="259" t="str">
        <f>IFERROR(VLOOKUP(TEXT($A$6+$A34,"MM/DD/YYYY HH:MM")&amp;"-&gt;"&amp;B$3,search_location_2,7,0),"")</f>
        <v/>
      </c>
      <c r="D35" s="259" t="str">
        <f>IFERROR(VLOOKUP(TEXT($A$6+$A34,"MM/DD/YYYY HH:MM")&amp;"-&gt;"&amp;B$3,search_location_2,8,0),"")</f>
        <v/>
      </c>
      <c r="E35" s="258" t="str">
        <f>IF(G35="flag football",LOWER(IFERROR(VLOOKUP(TEXT($A$6+$A34,"MM/DD/YYYY HH:MM")&amp;"-&gt;"&amp;E$3,search_location_2,6,0)&amp;VLOOKUP(TEXT($A$6+$A34,"MM/DD/YYYY HH:MM")&amp;"-&gt;"&amp;E$3,search_location_2,9,0),"")),IFERROR(VLOOKUP(TEXT($A$6+$A34,"MM/DD/YYYY HH:MM")&amp;"-&gt;"&amp;E$3,search_location_2,6,0)&amp;VLOOKUP(TEXT($A$6+$A34,"MM/DD/YYYY HH:MM")&amp;"-&gt;"&amp;E$3,search_location_2,9,0),""))</f>
        <v/>
      </c>
      <c r="F35" s="259" t="str">
        <f>IFERROR(VLOOKUP(TEXT($A$6+$A34,"MM/DD/YYYY HH:MM")&amp;"-&gt;"&amp;E$3,search_location_2,7,0),"")</f>
        <v/>
      </c>
      <c r="G35" s="259" t="str">
        <f>IFERROR(VLOOKUP(TEXT($A$6+$A34,"MM/DD/YYYY HH:MM")&amp;"-&gt;"&amp;E$3,search_location_2,8,0),"")</f>
        <v/>
      </c>
      <c r="H35" s="258" t="str">
        <f>IF(J35="Kickball",LOWER(IFERROR(VLOOKUP(TEXT($A$6+$A34,"MM/DD/YYYY HH:MM")&amp;"-&gt;"&amp;H$3,search_location_2,6,0)&amp;VLOOKUP(TEXT($A$6+$A34,"MM/DD/YYYY HH:MM")&amp;"-&gt;"&amp;H$3,search_location_2,9,0),"")),IFERROR(VLOOKUP(TEXT($A$6+$A34,"MM/DD/YYYY HH:MM")&amp;"-&gt;"&amp;H$3,search_location_2,6,0)&amp;VLOOKUP(TEXT($A$6+$A34,"MM/DD/YYYY HH:MM")&amp;"-&gt;"&amp;H$3,search_location_2,9,0),""))</f>
        <v/>
      </c>
      <c r="I35" s="260" t="str">
        <f>IFERROR(VLOOKUP(TEXT($A$6+$A34,"MM/DD/YYYY HH:MM")&amp;"-&gt;"&amp;H$3,search_location_2,7,0),"")</f>
        <v/>
      </c>
      <c r="J35" s="260" t="str">
        <f>IFERROR(VLOOKUP(TEXT($A$6+$A34,"MM/DD/YYYY HH:MM")&amp;"-&gt;"&amp;H$3,search_location_2,8,0),"")</f>
        <v/>
      </c>
      <c r="K35" s="258" t="str">
        <f>IFERROR(VLOOKUP(TEXT($A$6+$A34,"MM/DD/YYYY HH:MM")&amp;"-&gt;"&amp;K$3,search_location_2,6,0)&amp;VLOOKUP(TEXT($A$6+$A34,"MM/DD/YYYY HH:MM")&amp;"-&gt;"&amp;K$3,search_location_2,9,0),"")</f>
        <v/>
      </c>
      <c r="L35" s="260" t="str">
        <f>IFERROR(VLOOKUP(TEXT($A$6+$A34,"MM/DD/YYYY HH:MM")&amp;"-&gt;"&amp;K$3,search_location_2,7,0),"")</f>
        <v/>
      </c>
      <c r="M35" s="261" t="str">
        <f>IFERROR(VLOOKUP(TEXT($A$6+$A34,"MM/DD/YYYY HH:MM")&amp;"-&gt;"&amp;K$3,search_location_2,8,0),"")</f>
        <v/>
      </c>
      <c r="N35" s="262" t="str">
        <f>IFERROR(VLOOKUP(TEXT($A$6+$A34,"MM/DD/YYYY HH:MM")&amp;"-&gt;"&amp;N$3,search_location_2,6,0)&amp;VLOOKUP(TEXT($A$6+$A34,"MM/DD/YYYY HH:MM")&amp;"-&gt;"&amp;N$3,search_location_2,9,0),"")</f>
        <v/>
      </c>
      <c r="O35" s="260" t="str">
        <f>IFERROR(VLOOKUP(TEXT($A$6+$A34,"MM/DD/YYYY HH:MM")&amp;"-&gt;"&amp;N$3,search_location_2,7,0),"")</f>
        <v/>
      </c>
      <c r="P35" s="260" t="str">
        <f>IFERROR(VLOOKUP(TEXT($A$6+$A34,"MM/DD/YYYY HH:MM")&amp;"-&gt;"&amp;N$3,search_location_2,8,0),"")</f>
        <v/>
      </c>
      <c r="Q35" s="262" t="str">
        <f>IF(S35="Kickball",LOWER(IFERROR(VLOOKUP(TEXT($A$6+$A34,"MM/DD/YYYY HH:MM")&amp;"-&gt;"&amp;Q$3,search_location_2,6,0)&amp;VLOOKUP(TEXT($A$6+$A34,"MM/DD/YYYY HH:MM")&amp;"-&gt;"&amp;Q$3,search_location_2,9,0),"")),IFERROR(VLOOKUP(TEXT($A$6+$A34,"MM/DD/YYYY HH:MM")&amp;"-&gt;"&amp;Q$3,search_location_2,6,0)&amp;VLOOKUP(TEXT($A$6+$A34,"MM/DD/YYYY HH:MM")&amp;"-&gt;"&amp;Q$3,search_location_2,9,0),""))</f>
        <v/>
      </c>
      <c r="R35" s="266" t="str">
        <f>IFERROR(VLOOKUP(TEXT($A$6+$A34,"MM/DD/YYYY HH:MM")&amp;"-&gt;"&amp;Q$3,search_location_2,7,0),"")</f>
        <v/>
      </c>
      <c r="S35" s="259" t="str">
        <f>IFERROR(VLOOKUP(TEXT($A$6+$A34,"MM/DD/YYYY HH:MM")&amp;"-&gt;"&amp;Q$3,search_location_2,8,0),"")</f>
        <v/>
      </c>
      <c r="T35" s="263" t="str">
        <f>IF(V35="Kickball",LOWER(IFERROR(VLOOKUP(TEXT($A$6+$A34,"MM/DD/YYYY HH:MM")&amp;"-&gt;"&amp;T$3,search_location_2,6,0)&amp;VLOOKUP(TEXT($A$6+$A34,"MM/DD/YYYY HH:MM")&amp;"-&gt;"&amp;T$3,search_location_2,9,0),"")),IFERROR(VLOOKUP(TEXT($A$6+$A34,"MM/DD/YYYY HH:MM")&amp;"-&gt;"&amp;T$3,search_location_2,6,0)&amp;VLOOKUP(TEXT($A$6+$A34,"MM/DD/YYYY HH:MM")&amp;"-&gt;"&amp;T$3,search_location_2,9,0),""))</f>
        <v/>
      </c>
      <c r="U35" s="260" t="str">
        <f>IFERROR(VLOOKUP(TEXT($A$6+$A34,"MM/DD/YYYY HH:MM")&amp;"-&gt;"&amp;T$3,search_location_2,7,0),"")</f>
        <v/>
      </c>
      <c r="V35" s="261" t="str">
        <f>IFERROR(VLOOKUP(TEXT($A$6+$A34,"MM/DD/YYYY HH:MM")&amp;"-&gt;"&amp;T$3,search_location_2,8,0),"")</f>
        <v/>
      </c>
      <c r="W35" s="258" t="str">
        <f>IFERROR(VLOOKUP(TEXT($A$6+$A34,"MM/DD/YYYY HH:MM")&amp;"-&gt;"&amp;W$3,search_location_2,6,0)&amp;VLOOKUP(TEXT($A$6+$A34,"MM/DD/YYYY HH:MM")&amp;"-&gt;"&amp;W$3,search_location_2,9,0),"")</f>
        <v/>
      </c>
      <c r="X35" s="259" t="str">
        <f>IFERROR(VLOOKUP(TEXT($A$6+$A34,"MM/DD/YYYY HH:MM")&amp;"-&gt;"&amp;W$3,search_location_2,7,0),"")</f>
        <v/>
      </c>
      <c r="Y35" s="259" t="str">
        <f>IFERROR(VLOOKUP(TEXT($A$6+$A34,"MM/DD/YYYY HH:MM")&amp;"-&gt;"&amp;W$3,search_location_2,8,0),"")</f>
        <v/>
      </c>
      <c r="Z35" s="263" t="str">
        <f>IFERROR(VLOOKUP(TEXT($A$6+$A34,"MM/DD/YYYY HH:MM")&amp;"-&gt;"&amp;Z$3,search_location_2,6,0)&amp;VLOOKUP(TEXT($A$6+$A34,"MM/DD/YYYY HH:MM")&amp;"-&gt;"&amp;Z$3,search_location_2,9,0),"")</f>
        <v/>
      </c>
      <c r="AA35" s="260" t="str">
        <f>IFERROR(VLOOKUP(TEXT($A$6+$A34,"MM/DD/YYYY HH:MM")&amp;"-&gt;"&amp;Z$3,search_location_2,7,0),"")</f>
        <v/>
      </c>
      <c r="AB35" s="261" t="str">
        <f>IFERROR(VLOOKUP(TEXT($A$6+$A34,"MM/DD/YYYY HH:MM")&amp;"-&gt;"&amp;Z$3,search_location_2,8,0),"")</f>
        <v/>
      </c>
      <c r="AC35" s="258" t="str">
        <f>IFERROR(VLOOKUP(TEXT($A$6+$A34,"MM/DD/YYYY HH:MM")&amp;"-&gt;"&amp;AC$3,search_location_2,6,0)&amp;VLOOKUP(TEXT($A$6+$A34,"MM/DD/YYYY HH:MM")&amp;"-&gt;"&amp;AC$3,search_location_2,9,0),"")</f>
        <v/>
      </c>
      <c r="AD35" s="259" t="str">
        <f>IFERROR(VLOOKUP(TEXT($A$6+$A34,"MM/DD/YYYY HH:MM")&amp;"-&gt;"&amp;AC$3,search_location_2,7,0),"")</f>
        <v/>
      </c>
      <c r="AE35" s="259" t="str">
        <f>IFERROR(VLOOKUP(TEXT($A$6+$A34,"MM/DD/YYYY HH:MM")&amp;"-&gt;"&amp;AC$3,search_location_2,8,0),"")</f>
        <v/>
      </c>
      <c r="AF35" s="263" t="str">
        <f>IFERROR(VLOOKUP(TEXT($A$6+$A34,"MM/DD/YYYY HH:MM")&amp;"-&gt;"&amp;AF$3,search_location_2,6,0)&amp;VLOOKUP(TEXT($A$6+$A34,"MM/DD/YYYY HH:MM")&amp;"-&gt;"&amp;AF$3,search_location_2,9,0),"")</f>
        <v/>
      </c>
      <c r="AG35" s="260" t="str">
        <f>IFERROR(VLOOKUP(TEXT($A$6+$A34,"MM/DD/YYYY HH:MM")&amp;"-&gt;"&amp;AF$3,search_location_2,7,0),"")</f>
        <v/>
      </c>
      <c r="AH35" s="261" t="str">
        <f>IFERROR(VLOOKUP(TEXT($A$6+$A34,"MM/DD/YYYY HH:MM")&amp;"-&gt;"&amp;AF$3,search_location_2,8,0),"")</f>
        <v/>
      </c>
      <c r="AI35" s="255"/>
    </row>
    <row r="36" spans="1:35" s="256" customFormat="1" ht="12.75" customHeight="1" x14ac:dyDescent="0.25">
      <c r="A36" s="264">
        <f>A34+Time_Slots</f>
        <v>0.81944444444444431</v>
      </c>
      <c r="B36" s="249" t="str">
        <f>IF(D36="flag football",LOWER(IFERROR(VLOOKUP(TEXT($A$6+$A36,"MM/DD/YYYY HH:MM")&amp;"-&gt;"&amp;B$2,search_location_2,6,0)&amp;VLOOKUP(TEXT($A$6+$A36,"MM/DD/YYYY HH:MM")&amp;"-&gt;"&amp;B$2,search_location_2,9,0),"")),IFERROR(VLOOKUP(TEXT($A$6+$A36,"MM/DD/YYYY HH:MM")&amp;"-&gt;"&amp;B$2,search_location_2,6,0)&amp;VLOOKUP(TEXT($A$6+$A36,"MM/DD/YYYY HH:MM")&amp;"-&gt;"&amp;B$2,search_location_2,9,0),""))</f>
        <v/>
      </c>
      <c r="C36" s="250" t="str">
        <f>IFERROR(VLOOKUP(TEXT($A$6+$A36,"MM/DD/YYYY HH:MM")&amp;"-&gt;"&amp;B$2,search_location_2,7,0),"")</f>
        <v/>
      </c>
      <c r="D36" s="250" t="str">
        <f>IFERROR(VLOOKUP(TEXT($A$6+$A36,"MM/DD/YYYY HH:MM")&amp;"-&gt;"&amp;B$2,search_location_2,8,0),"")</f>
        <v/>
      </c>
      <c r="E36" s="249" t="str">
        <f>IF(G36="flag football",LOWER(IFERROR(VLOOKUP(TEXT($A$6+$A36,"MM/DD/YYYY HH:MM")&amp;"-&gt;"&amp;E$2,search_location_2,6,0)&amp;VLOOKUP(TEXT($A$6+$A36,"MM/DD/YYYY HH:MM")&amp;"-&gt;"&amp;E$2,search_location_2,9,0),"")),IFERROR(VLOOKUP(TEXT($A$6+$A36,"MM/DD/YYYY HH:MM")&amp;"-&gt;"&amp;E$2,search_location_2,6,0)&amp;VLOOKUP(TEXT($A$6+$A36,"MM/DD/YYYY HH:MM")&amp;"-&gt;"&amp;E$2,search_location_2,9,0),""))</f>
        <v/>
      </c>
      <c r="F36" s="250" t="str">
        <f>IFERROR(VLOOKUP(TEXT($A$6+$A36,"MM/DD/YYYY HH:MM")&amp;"-&gt;"&amp;E$2,search_location_2,7,0),"")</f>
        <v/>
      </c>
      <c r="G36" s="250" t="str">
        <f>IFERROR(VLOOKUP(TEXT($A$6+$A36,"MM/DD/YYYY HH:MM")&amp;"-&gt;"&amp;E$2,search_location_2,8,0),"")</f>
        <v/>
      </c>
      <c r="H36" s="249" t="str">
        <f>IF(J36="Kickball",LOWER(IFERROR(VLOOKUP(TEXT($A$6+$A36,"MM/DD/YYYY HH:MM")&amp;"-&gt;"&amp;H$2,search_location_2,6,0)&amp;VLOOKUP(TEXT($A$6+$A36,"MM/DD/YYYY HH:MM")&amp;"-&gt;"&amp;H$2,search_location_2,9,0),"")),IFERROR(VLOOKUP(TEXT($A$6+$A36,"MM/DD/YYYY HH:MM")&amp;"-&gt;"&amp;H$2,search_location_2,6,0)&amp;VLOOKUP(TEXT($A$6+$A36,"MM/DD/YYYY HH:MM")&amp;"-&gt;"&amp;H$2,search_location_2,9,0),""))</f>
        <v/>
      </c>
      <c r="I36" s="251" t="str">
        <f>IFERROR(VLOOKUP(TEXT($A$6+$A36,"MM/DD/YYYY HH:MM")&amp;"-&gt;"&amp;H$2,search_location_2,7,0),"")</f>
        <v/>
      </c>
      <c r="J36" s="251" t="str">
        <f>IFERROR(VLOOKUP(TEXT($A$6+$A36,"MM/DD/YYYY HH:MM")&amp;"-&gt;"&amp;H$2,search_location_2,8,0),"")</f>
        <v/>
      </c>
      <c r="K36" s="249" t="str">
        <f>IFERROR(VLOOKUP(TEXT($A$6+$A36,"MM/DD/YYYY HH:MM")&amp;"-&gt;"&amp;K$2,search_location_2,6,0)&amp;VLOOKUP(TEXT($A$6+$A36,"MM/DD/YYYY HH:MM")&amp;"-&gt;"&amp;K$2,search_location_2,9,0),"")</f>
        <v/>
      </c>
      <c r="L36" s="251" t="str">
        <f>IFERROR(VLOOKUP(TEXT($A$6+$A36,"MM/DD/YYYY HH:MM")&amp;"-&gt;"&amp;K$2,search_location_2,7,0),"")</f>
        <v/>
      </c>
      <c r="M36" s="252" t="str">
        <f>IFERROR(VLOOKUP(TEXT($A$6+$A36,"MM/DD/YYYY HH:MM")&amp;"-&gt;"&amp;K$2,search_location_2,8,0),"")</f>
        <v/>
      </c>
      <c r="N36" s="253" t="str">
        <f>IFERROR(VLOOKUP(TEXT($A$6+$A36,"MM/DD/YYYY HH:MM")&amp;"-&gt;"&amp;N$2,search_location_2,6,0)&amp;VLOOKUP(TEXT($A$6+$A36,"MM/DD/YYYY HH:MM")&amp;"-&gt;"&amp;N$2,search_location_2,9,0),"")</f>
        <v/>
      </c>
      <c r="O36" s="251" t="str">
        <f>IFERROR(VLOOKUP(TEXT($A$6+$A36,"MM/DD/YYYY HH:MM")&amp;"-&gt;"&amp;N$2,search_location_2,7,0),"")</f>
        <v/>
      </c>
      <c r="P36" s="251" t="str">
        <f>IFERROR(VLOOKUP(TEXT($A$6+$A36,"MM/DD/YYYY HH:MM")&amp;"-&gt;"&amp;N$2,search_location_2,8,0),"")</f>
        <v/>
      </c>
      <c r="Q36" s="253" t="str">
        <f>IF(S36="Kickball",LOWER(IFERROR(VLOOKUP(TEXT($A$6+$A36,"MM/DD/YYYY HH:MM")&amp;"-&gt;"&amp;Q$2,search_location_2,6,0)&amp;VLOOKUP(TEXT($A$6+$A36,"MM/DD/YYYY HH:MM")&amp;"-&gt;"&amp;Q$2,search_location_2,9,0),"")),IFERROR(VLOOKUP(TEXT($A$6+$A36,"MM/DD/YYYY HH:MM")&amp;"-&gt;"&amp;Q$2,search_location_2,6,0)&amp;VLOOKUP(TEXT($A$6+$A36,"MM/DD/YYYY HH:MM")&amp;"-&gt;"&amp;Q$2,search_location_2,9,0),""))</f>
        <v/>
      </c>
      <c r="R36" s="265" t="str">
        <f>IFERROR(VLOOKUP(TEXT($A$6+$A36,"MM/DD/YYYY HH:MM")&amp;"-&gt;"&amp;Q$2,search_location_2,7,0),"")</f>
        <v/>
      </c>
      <c r="S36" s="250" t="str">
        <f>IFERROR(VLOOKUP(TEXT($A$6+$A36,"MM/DD/YYYY HH:MM")&amp;"-&gt;"&amp;Q$2,search_location_2,8,0),"")</f>
        <v/>
      </c>
      <c r="T36" s="254" t="str">
        <f>IF(V36="Kickball",LOWER(IFERROR(VLOOKUP(TEXT($A$6+$A36,"MM/DD/YYYY HH:MM")&amp;"-&gt;"&amp;T$2,search_location_2,6,0)&amp;VLOOKUP(TEXT($A$6+$A36,"MM/DD/YYYY HH:MM")&amp;"-&gt;"&amp;T$2,search_location_2,9,0),"")),IFERROR(VLOOKUP(TEXT($A$6+$A36,"MM/DD/YYYY HH:MM")&amp;"-&gt;"&amp;T$2,search_location_2,6,0)&amp;VLOOKUP(TEXT($A$6+$A36,"MM/DD/YYYY HH:MM")&amp;"-&gt;"&amp;T$2,search_location_2,9,0),""))</f>
        <v/>
      </c>
      <c r="U36" s="251" t="str">
        <f>IFERROR(VLOOKUP(TEXT($A$6+$A36,"MM/DD/YYYY HH:MM")&amp;"-&gt;"&amp;T$2,search_location_2,7,0),"")</f>
        <v/>
      </c>
      <c r="V36" s="252" t="str">
        <f>IFERROR(VLOOKUP(TEXT($A$6+$A36,"MM/DD/YYYY HH:MM")&amp;"-&gt;"&amp;T$2,search_location_2,8,0),"")</f>
        <v/>
      </c>
      <c r="W36" s="249" t="str">
        <f>IFERROR(VLOOKUP(TEXT($A$6+$A36,"MM/DD/YYYY HH:MM")&amp;"-&gt;"&amp;W$2,search_location_2,6,0)&amp;VLOOKUP(TEXT($A$6+$A36,"MM/DD/YYYY HH:MM")&amp;"-&gt;"&amp;W$2,search_location_2,9,0),"")</f>
        <v/>
      </c>
      <c r="X36" s="250" t="str">
        <f>IFERROR(VLOOKUP(TEXT($A$6+$A36,"MM/DD/YYYY HH:MM")&amp;"-&gt;"&amp;W$2,search_location_2,7,0),"")</f>
        <v/>
      </c>
      <c r="Y36" s="250" t="str">
        <f>IFERROR(VLOOKUP(TEXT($A$6+$A36,"MM/DD/YYYY HH:MM")&amp;"-&gt;"&amp;W$2,search_location_2,8,0),"")</f>
        <v/>
      </c>
      <c r="Z36" s="254" t="str">
        <f>IFERROR(VLOOKUP(TEXT($A$6+$A36,"MM/DD/YYYY HH:MM")&amp;"-&gt;"&amp;Z$2,search_location_2,6,0)&amp;VLOOKUP(TEXT($A$6+$A36,"MM/DD/YYYY HH:MM")&amp;"-&gt;"&amp;Z$2,search_location_2,9,0),"")</f>
        <v/>
      </c>
      <c r="AA36" s="251" t="str">
        <f>IFERROR(VLOOKUP(TEXT($A$6+$A36,"MM/DD/YYYY HH:MM")&amp;"-&gt;"&amp;Z$2,search_location_2,7,0),"")</f>
        <v/>
      </c>
      <c r="AB36" s="252" t="str">
        <f>IFERROR(VLOOKUP(TEXT($A$6+$A36,"MM/DD/YYYY HH:MM")&amp;"-&gt;"&amp;Z$2,search_location_2,8,0),"")</f>
        <v/>
      </c>
      <c r="AC36" s="249" t="str">
        <f>IFERROR(VLOOKUP(TEXT($A$6+$A36,"MM/DD/YYYY HH:MM")&amp;"-&gt;"&amp;AC$2,search_location_2,6,0)&amp;VLOOKUP(TEXT($A$6+$A36,"MM/DD/YYYY HH:MM")&amp;"-&gt;"&amp;AC$2,search_location_2,9,0),"")</f>
        <v/>
      </c>
      <c r="AD36" s="250" t="str">
        <f>IFERROR(VLOOKUP(TEXT($A$6+$A36,"MM/DD/YYYY HH:MM")&amp;"-&gt;"&amp;AC$2,search_location_2,7,0),"")</f>
        <v/>
      </c>
      <c r="AE36" s="250" t="str">
        <f>IFERROR(VLOOKUP(TEXT($A$6+$A36,"MM/DD/YYYY HH:MM")&amp;"-&gt;"&amp;AC$2,search_location_2,8,0),"")</f>
        <v/>
      </c>
      <c r="AF36" s="254" t="str">
        <f>IFERROR(VLOOKUP(TEXT($A$6+$A36,"MM/DD/YYYY HH:MM")&amp;"-&gt;"&amp;AF$2,search_location_2,6,0)&amp;VLOOKUP(TEXT($A$6+$A36,"MM/DD/YYYY HH:MM")&amp;"-&gt;"&amp;AF$2,search_location_2,9,0),"")</f>
        <v/>
      </c>
      <c r="AG36" s="251" t="str">
        <f>IFERROR(VLOOKUP(TEXT($A$6+$A36,"MM/DD/YYYY HH:MM")&amp;"-&gt;"&amp;AF$2,search_location_2,7,0),"")</f>
        <v/>
      </c>
      <c r="AH36" s="252" t="str">
        <f>IFERROR(VLOOKUP(TEXT($A$6+$A36,"MM/DD/YYYY HH:MM")&amp;"-&gt;"&amp;AF$2,search_location_2,8,0),"")</f>
        <v/>
      </c>
      <c r="AI36" s="255"/>
    </row>
    <row r="37" spans="1:35" s="256" customFormat="1" ht="12.75" customHeight="1" thickBot="1" x14ac:dyDescent="0.3">
      <c r="A37" s="257"/>
      <c r="B37" s="258" t="str">
        <f>IF(D37="flag football",LOWER(IFERROR(VLOOKUP(TEXT($A$6+$A36,"MM/DD/YYYY HH:MM")&amp;"-&gt;"&amp;B$3,search_location_2,6,0)&amp;VLOOKUP(TEXT($A$6+$A36,"MM/DD/YYYY HH:MM")&amp;"-&gt;"&amp;B$3,search_location_2,9,0),"")),IFERROR(VLOOKUP(TEXT($A$6+$A36,"MM/DD/YYYY HH:MM")&amp;"-&gt;"&amp;B$3,search_location_2,6,0)&amp;VLOOKUP(TEXT($A$6+$A36,"MM/DD/YYYY HH:MM")&amp;"-&gt;"&amp;B$3,search_location_2,9,0),""))</f>
        <v/>
      </c>
      <c r="C37" s="259" t="str">
        <f>IFERROR(VLOOKUP(TEXT($A$6+$A36,"MM/DD/YYYY HH:MM")&amp;"-&gt;"&amp;B$3,search_location_2,7,0),"")</f>
        <v/>
      </c>
      <c r="D37" s="259" t="str">
        <f>IFERROR(VLOOKUP(TEXT($A$6+$A36,"MM/DD/YYYY HH:MM")&amp;"-&gt;"&amp;B$3,search_location_2,8,0),"")</f>
        <v/>
      </c>
      <c r="E37" s="258" t="str">
        <f>IF(G37="flag football",LOWER(IFERROR(VLOOKUP(TEXT($A$6+$A36,"MM/DD/YYYY HH:MM")&amp;"-&gt;"&amp;E$3,search_location_2,6,0)&amp;VLOOKUP(TEXT($A$6+$A36,"MM/DD/YYYY HH:MM")&amp;"-&gt;"&amp;E$3,search_location_2,9,0),"")),IFERROR(VLOOKUP(TEXT($A$6+$A36,"MM/DD/YYYY HH:MM")&amp;"-&gt;"&amp;E$3,search_location_2,6,0)&amp;VLOOKUP(TEXT($A$6+$A36,"MM/DD/YYYY HH:MM")&amp;"-&gt;"&amp;E$3,search_location_2,9,0),""))</f>
        <v/>
      </c>
      <c r="F37" s="259" t="str">
        <f>IFERROR(VLOOKUP(TEXT($A$6+$A36,"MM/DD/YYYY HH:MM")&amp;"-&gt;"&amp;E$3,search_location_2,7,0),"")</f>
        <v/>
      </c>
      <c r="G37" s="259" t="str">
        <f>IFERROR(VLOOKUP(TEXT($A$6+$A36,"MM/DD/YYYY HH:MM")&amp;"-&gt;"&amp;E$3,search_location_2,8,0),"")</f>
        <v/>
      </c>
      <c r="H37" s="258" t="str">
        <f>IF(J37="Kickball",LOWER(IFERROR(VLOOKUP(TEXT($A$6+$A36,"MM/DD/YYYY HH:MM")&amp;"-&gt;"&amp;H$3,search_location_2,6,0)&amp;VLOOKUP(TEXT($A$6+$A36,"MM/DD/YYYY HH:MM")&amp;"-&gt;"&amp;H$3,search_location_2,9,0),"")),IFERROR(VLOOKUP(TEXT($A$6+$A36,"MM/DD/YYYY HH:MM")&amp;"-&gt;"&amp;H$3,search_location_2,6,0)&amp;VLOOKUP(TEXT($A$6+$A36,"MM/DD/YYYY HH:MM")&amp;"-&gt;"&amp;H$3,search_location_2,9,0),""))</f>
        <v/>
      </c>
      <c r="I37" s="260" t="str">
        <f>IFERROR(VLOOKUP(TEXT($A$6+$A36,"MM/DD/YYYY HH:MM")&amp;"-&gt;"&amp;H$3,search_location_2,7,0),"")</f>
        <v/>
      </c>
      <c r="J37" s="260" t="str">
        <f>IFERROR(VLOOKUP(TEXT($A$6+$A36,"MM/DD/YYYY HH:MM")&amp;"-&gt;"&amp;H$3,search_location_2,8,0),"")</f>
        <v/>
      </c>
      <c r="K37" s="258" t="str">
        <f>IFERROR(VLOOKUP(TEXT($A$6+$A36,"MM/DD/YYYY HH:MM")&amp;"-&gt;"&amp;K$3,search_location_2,6,0)&amp;VLOOKUP(TEXT($A$6+$A36,"MM/DD/YYYY HH:MM")&amp;"-&gt;"&amp;K$3,search_location_2,9,0),"")</f>
        <v/>
      </c>
      <c r="L37" s="260" t="str">
        <f>IFERROR(VLOOKUP(TEXT($A$6+$A36,"MM/DD/YYYY HH:MM")&amp;"-&gt;"&amp;K$3,search_location_2,7,0),"")</f>
        <v/>
      </c>
      <c r="M37" s="261" t="str">
        <f>IFERROR(VLOOKUP(TEXT($A$6+$A36,"MM/DD/YYYY HH:MM")&amp;"-&gt;"&amp;K$3,search_location_2,8,0),"")</f>
        <v/>
      </c>
      <c r="N37" s="262" t="str">
        <f>IFERROR(VLOOKUP(TEXT($A$6+$A36,"MM/DD/YYYY HH:MM")&amp;"-&gt;"&amp;N$3,search_location_2,6,0)&amp;VLOOKUP(TEXT($A$6+$A36,"MM/DD/YYYY HH:MM")&amp;"-&gt;"&amp;N$3,search_location_2,9,0),"")</f>
        <v/>
      </c>
      <c r="O37" s="260" t="str">
        <f>IFERROR(VLOOKUP(TEXT($A$6+$A36,"MM/DD/YYYY HH:MM")&amp;"-&gt;"&amp;N$3,search_location_2,7,0),"")</f>
        <v/>
      </c>
      <c r="P37" s="260" t="str">
        <f>IFERROR(VLOOKUP(TEXT($A$6+$A36,"MM/DD/YYYY HH:MM")&amp;"-&gt;"&amp;N$3,search_location_2,8,0),"")</f>
        <v/>
      </c>
      <c r="Q37" s="262" t="str">
        <f>IF(S37="Kickball",LOWER(IFERROR(VLOOKUP(TEXT($A$6+$A36,"MM/DD/YYYY HH:MM")&amp;"-&gt;"&amp;Q$3,search_location_2,6,0)&amp;VLOOKUP(TEXT($A$6+$A36,"MM/DD/YYYY HH:MM")&amp;"-&gt;"&amp;Q$3,search_location_2,9,0),"")),IFERROR(VLOOKUP(TEXT($A$6+$A36,"MM/DD/YYYY HH:MM")&amp;"-&gt;"&amp;Q$3,search_location_2,6,0)&amp;VLOOKUP(TEXT($A$6+$A36,"MM/DD/YYYY HH:MM")&amp;"-&gt;"&amp;Q$3,search_location_2,9,0),""))</f>
        <v/>
      </c>
      <c r="R37" s="266" t="str">
        <f>IFERROR(VLOOKUP(TEXT($A$6+$A36,"MM/DD/YYYY HH:MM")&amp;"-&gt;"&amp;Q$3,search_location_2,7,0),"")</f>
        <v/>
      </c>
      <c r="S37" s="259" t="str">
        <f>IFERROR(VLOOKUP(TEXT($A$6+$A36,"MM/DD/YYYY HH:MM")&amp;"-&gt;"&amp;Q$3,search_location_2,8,0),"")</f>
        <v/>
      </c>
      <c r="T37" s="263" t="str">
        <f>IF(V37="Kickball",LOWER(IFERROR(VLOOKUP(TEXT($A$6+$A36,"MM/DD/YYYY HH:MM")&amp;"-&gt;"&amp;T$3,search_location_2,6,0)&amp;VLOOKUP(TEXT($A$6+$A36,"MM/DD/YYYY HH:MM")&amp;"-&gt;"&amp;T$3,search_location_2,9,0),"")),IFERROR(VLOOKUP(TEXT($A$6+$A36,"MM/DD/YYYY HH:MM")&amp;"-&gt;"&amp;T$3,search_location_2,6,0)&amp;VLOOKUP(TEXT($A$6+$A36,"MM/DD/YYYY HH:MM")&amp;"-&gt;"&amp;T$3,search_location_2,9,0),""))</f>
        <v/>
      </c>
      <c r="U37" s="260" t="str">
        <f>IFERROR(VLOOKUP(TEXT($A$6+$A36,"MM/DD/YYYY HH:MM")&amp;"-&gt;"&amp;T$3,search_location_2,7,0),"")</f>
        <v/>
      </c>
      <c r="V37" s="261" t="str">
        <f>IFERROR(VLOOKUP(TEXT($A$6+$A36,"MM/DD/YYYY HH:MM")&amp;"-&gt;"&amp;T$3,search_location_2,8,0),"")</f>
        <v/>
      </c>
      <c r="W37" s="258" t="str">
        <f>IFERROR(VLOOKUP(TEXT($A$6+$A36,"MM/DD/YYYY HH:MM")&amp;"-&gt;"&amp;W$3,search_location_2,6,0)&amp;VLOOKUP(TEXT($A$6+$A36,"MM/DD/YYYY HH:MM")&amp;"-&gt;"&amp;W$3,search_location_2,9,0),"")</f>
        <v/>
      </c>
      <c r="X37" s="259" t="str">
        <f>IFERROR(VLOOKUP(TEXT($A$6+$A36,"MM/DD/YYYY HH:MM")&amp;"-&gt;"&amp;W$3,search_location_2,7,0),"")</f>
        <v/>
      </c>
      <c r="Y37" s="259" t="str">
        <f>IFERROR(VLOOKUP(TEXT($A$6+$A36,"MM/DD/YYYY HH:MM")&amp;"-&gt;"&amp;W$3,search_location_2,8,0),"")</f>
        <v/>
      </c>
      <c r="Z37" s="263" t="str">
        <f>IFERROR(VLOOKUP(TEXT($A$6+$A36,"MM/DD/YYYY HH:MM")&amp;"-&gt;"&amp;Z$3,search_location_2,6,0)&amp;VLOOKUP(TEXT($A$6+$A36,"MM/DD/YYYY HH:MM")&amp;"-&gt;"&amp;Z$3,search_location_2,9,0),"")</f>
        <v/>
      </c>
      <c r="AA37" s="260" t="str">
        <f>IFERROR(VLOOKUP(TEXT($A$6+$A36,"MM/DD/YYYY HH:MM")&amp;"-&gt;"&amp;Z$3,search_location_2,7,0),"")</f>
        <v/>
      </c>
      <c r="AB37" s="261" t="str">
        <f>IFERROR(VLOOKUP(TEXT($A$6+$A36,"MM/DD/YYYY HH:MM")&amp;"-&gt;"&amp;Z$3,search_location_2,8,0),"")</f>
        <v/>
      </c>
      <c r="AC37" s="258" t="str">
        <f>IFERROR(VLOOKUP(TEXT($A$6+$A36,"MM/DD/YYYY HH:MM")&amp;"-&gt;"&amp;AC$3,search_location_2,6,0)&amp;VLOOKUP(TEXT($A$6+$A36,"MM/DD/YYYY HH:MM")&amp;"-&gt;"&amp;AC$3,search_location_2,9,0),"")</f>
        <v/>
      </c>
      <c r="AD37" s="259" t="str">
        <f>IFERROR(VLOOKUP(TEXT($A$6+$A36,"MM/DD/YYYY HH:MM")&amp;"-&gt;"&amp;AC$3,search_location_2,7,0),"")</f>
        <v/>
      </c>
      <c r="AE37" s="259" t="str">
        <f>IFERROR(VLOOKUP(TEXT($A$6+$A36,"MM/DD/YYYY HH:MM")&amp;"-&gt;"&amp;AC$3,search_location_2,8,0),"")</f>
        <v/>
      </c>
      <c r="AF37" s="263" t="str">
        <f>IFERROR(VLOOKUP(TEXT($A$6+$A36,"MM/DD/YYYY HH:MM")&amp;"-&gt;"&amp;AF$3,search_location_2,6,0)&amp;VLOOKUP(TEXT($A$6+$A36,"MM/DD/YYYY HH:MM")&amp;"-&gt;"&amp;AF$3,search_location_2,9,0),"")</f>
        <v/>
      </c>
      <c r="AG37" s="260" t="str">
        <f>IFERROR(VLOOKUP(TEXT($A$6+$A36,"MM/DD/YYYY HH:MM")&amp;"-&gt;"&amp;AF$3,search_location_2,7,0),"")</f>
        <v/>
      </c>
      <c r="AH37" s="261" t="str">
        <f>IFERROR(VLOOKUP(TEXT($A$6+$A36,"MM/DD/YYYY HH:MM")&amp;"-&gt;"&amp;AF$3,search_location_2,8,0),"")</f>
        <v/>
      </c>
      <c r="AI37" s="255"/>
    </row>
    <row r="38" spans="1:35" s="256" customFormat="1" ht="12.75" customHeight="1" x14ac:dyDescent="0.25">
      <c r="A38" s="264">
        <f>A36+Time_Slots</f>
        <v>0.85416666666666652</v>
      </c>
      <c r="B38" s="249" t="str">
        <f>IF(D38="flag football",LOWER(IFERROR(VLOOKUP(TEXT($A$6+$A38,"MM/DD/YYYY HH:MM")&amp;"-&gt;"&amp;B$2,search_location_2,6,0)&amp;VLOOKUP(TEXT($A$6+$A38,"MM/DD/YYYY HH:MM")&amp;"-&gt;"&amp;B$2,search_location_2,9,0),"")),IFERROR(VLOOKUP(TEXT($A$6+$A38,"MM/DD/YYYY HH:MM")&amp;"-&gt;"&amp;B$2,search_location_2,6,0)&amp;VLOOKUP(TEXT($A$6+$A38,"MM/DD/YYYY HH:MM")&amp;"-&gt;"&amp;B$2,search_location_2,9,0),""))</f>
        <v/>
      </c>
      <c r="C38" s="250" t="str">
        <f>IFERROR(VLOOKUP(TEXT($A$6+$A38,"MM/DD/YYYY HH:MM")&amp;"-&gt;"&amp;B$2,search_location_2,7,0),"")</f>
        <v/>
      </c>
      <c r="D38" s="250" t="str">
        <f>IFERROR(VLOOKUP(TEXT($A$6+$A38,"MM/DD/YYYY HH:MM")&amp;"-&gt;"&amp;B$2,search_location_2,8,0),"")</f>
        <v/>
      </c>
      <c r="E38" s="249" t="str">
        <f>IF(G38="flag football",LOWER(IFERROR(VLOOKUP(TEXT($A$6+$A38,"MM/DD/YYYY HH:MM")&amp;"-&gt;"&amp;E$2,search_location_2,6,0)&amp;VLOOKUP(TEXT($A$6+$A38,"MM/DD/YYYY HH:MM")&amp;"-&gt;"&amp;E$2,search_location_2,9,0),"")),IFERROR(VLOOKUP(TEXT($A$6+$A38,"MM/DD/YYYY HH:MM")&amp;"-&gt;"&amp;E$2,search_location_2,6,0)&amp;VLOOKUP(TEXT($A$6+$A38,"MM/DD/YYYY HH:MM")&amp;"-&gt;"&amp;E$2,search_location_2,9,0),""))</f>
        <v/>
      </c>
      <c r="F38" s="250" t="str">
        <f>IFERROR(VLOOKUP(TEXT($A$6+$A38,"MM/DD/YYYY HH:MM")&amp;"-&gt;"&amp;E$2,search_location_2,7,0),"")</f>
        <v/>
      </c>
      <c r="G38" s="250" t="str">
        <f>IFERROR(VLOOKUP(TEXT($A$6+$A38,"MM/DD/YYYY HH:MM")&amp;"-&gt;"&amp;E$2,search_location_2,8,0),"")</f>
        <v/>
      </c>
      <c r="H38" s="249" t="str">
        <f>IF(J38="Kickball",LOWER(IFERROR(VLOOKUP(TEXT($A$6+$A38,"MM/DD/YYYY HH:MM")&amp;"-&gt;"&amp;H$2,search_location_2,6,0)&amp;VLOOKUP(TEXT($A$6+$A38,"MM/DD/YYYY HH:MM")&amp;"-&gt;"&amp;H$2,search_location_2,9,0),"")),IFERROR(VLOOKUP(TEXT($A$6+$A38,"MM/DD/YYYY HH:MM")&amp;"-&gt;"&amp;H$2,search_location_2,6,0)&amp;VLOOKUP(TEXT($A$6+$A38,"MM/DD/YYYY HH:MM")&amp;"-&gt;"&amp;H$2,search_location_2,9,0),""))</f>
        <v/>
      </c>
      <c r="I38" s="251" t="str">
        <f>IFERROR(VLOOKUP(TEXT($A$6+$A38,"MM/DD/YYYY HH:MM")&amp;"-&gt;"&amp;H$2,search_location_2,7,0),"")</f>
        <v/>
      </c>
      <c r="J38" s="251" t="str">
        <f>IFERROR(VLOOKUP(TEXT($A$6+$A38,"MM/DD/YYYY HH:MM")&amp;"-&gt;"&amp;H$2,search_location_2,8,0),"")</f>
        <v/>
      </c>
      <c r="K38" s="249" t="str">
        <f>IFERROR(VLOOKUP(TEXT($A$6+$A38,"MM/DD/YYYY HH:MM")&amp;"-&gt;"&amp;K$2,search_location_2,6,0)&amp;VLOOKUP(TEXT($A$6+$A38,"MM/DD/YYYY HH:MM")&amp;"-&gt;"&amp;K$2,search_location_2,9,0),"")</f>
        <v/>
      </c>
      <c r="L38" s="251" t="str">
        <f>IFERROR(VLOOKUP(TEXT($A$6+$A38,"MM/DD/YYYY HH:MM")&amp;"-&gt;"&amp;K$2,search_location_2,7,0),"")</f>
        <v/>
      </c>
      <c r="M38" s="252" t="str">
        <f>IFERROR(VLOOKUP(TEXT($A$6+$A38,"MM/DD/YYYY HH:MM")&amp;"-&gt;"&amp;K$2,search_location_2,8,0),"")</f>
        <v/>
      </c>
      <c r="N38" s="253" t="str">
        <f>IFERROR(VLOOKUP(TEXT($A$6+$A38,"MM/DD/YYYY HH:MM")&amp;"-&gt;"&amp;N$2,search_location_2,6,0)&amp;VLOOKUP(TEXT($A$6+$A38,"MM/DD/YYYY HH:MM")&amp;"-&gt;"&amp;N$2,search_location_2,9,0),"")</f>
        <v/>
      </c>
      <c r="O38" s="251" t="str">
        <f>IFERROR(VLOOKUP(TEXT($A$6+$A38,"MM/DD/YYYY HH:MM")&amp;"-&gt;"&amp;N$2,search_location_2,7,0),"")</f>
        <v/>
      </c>
      <c r="P38" s="251" t="str">
        <f>IFERROR(VLOOKUP(TEXT($A$6+$A38,"MM/DD/YYYY HH:MM")&amp;"-&gt;"&amp;N$2,search_location_2,8,0),"")</f>
        <v/>
      </c>
      <c r="Q38" s="253" t="str">
        <f>IF(S38="Kickball",LOWER(IFERROR(VLOOKUP(TEXT($A$6+$A38,"MM/DD/YYYY HH:MM")&amp;"-&gt;"&amp;Q$2,search_location_2,6,0)&amp;VLOOKUP(TEXT($A$6+$A38,"MM/DD/YYYY HH:MM")&amp;"-&gt;"&amp;Q$2,search_location_2,9,0),"")),IFERROR(VLOOKUP(TEXT($A$6+$A38,"MM/DD/YYYY HH:MM")&amp;"-&gt;"&amp;Q$2,search_location_2,6,0)&amp;VLOOKUP(TEXT($A$6+$A38,"MM/DD/YYYY HH:MM")&amp;"-&gt;"&amp;Q$2,search_location_2,9,0),""))</f>
        <v/>
      </c>
      <c r="R38" s="265" t="str">
        <f>IFERROR(VLOOKUP(TEXT($A$6+$A38,"MM/DD/YYYY HH:MM")&amp;"-&gt;"&amp;Q$2,search_location_2,7,0),"")</f>
        <v/>
      </c>
      <c r="S38" s="250" t="str">
        <f>IFERROR(VLOOKUP(TEXT($A$6+$A38,"MM/DD/YYYY HH:MM")&amp;"-&gt;"&amp;Q$2,search_location_2,8,0),"")</f>
        <v/>
      </c>
      <c r="T38" s="254" t="str">
        <f>IF(V38="Kickball",LOWER(IFERROR(VLOOKUP(TEXT($A$6+$A38,"MM/DD/YYYY HH:MM")&amp;"-&gt;"&amp;T$2,search_location_2,6,0)&amp;VLOOKUP(TEXT($A$6+$A38,"MM/DD/YYYY HH:MM")&amp;"-&gt;"&amp;T$2,search_location_2,9,0),"")),IFERROR(VLOOKUP(TEXT($A$6+$A38,"MM/DD/YYYY HH:MM")&amp;"-&gt;"&amp;T$2,search_location_2,6,0)&amp;VLOOKUP(TEXT($A$6+$A38,"MM/DD/YYYY HH:MM")&amp;"-&gt;"&amp;T$2,search_location_2,9,0),""))</f>
        <v/>
      </c>
      <c r="U38" s="251" t="str">
        <f>IFERROR(VLOOKUP(TEXT($A$6+$A38,"MM/DD/YYYY HH:MM")&amp;"-&gt;"&amp;T$2,search_location_2,7,0),"")</f>
        <v/>
      </c>
      <c r="V38" s="252" t="str">
        <f>IFERROR(VLOOKUP(TEXT($A$6+$A38,"MM/DD/YYYY HH:MM")&amp;"-&gt;"&amp;T$2,search_location_2,8,0),"")</f>
        <v/>
      </c>
      <c r="W38" s="249" t="str">
        <f>IFERROR(VLOOKUP(TEXT($A$6+$A38,"MM/DD/YYYY HH:MM")&amp;"-&gt;"&amp;W$2,search_location_2,6,0)&amp;VLOOKUP(TEXT($A$6+$A38,"MM/DD/YYYY HH:MM")&amp;"-&gt;"&amp;W$2,search_location_2,9,0),"")</f>
        <v/>
      </c>
      <c r="X38" s="250" t="str">
        <f>IFERROR(VLOOKUP(TEXT($A$6+$A38,"MM/DD/YYYY HH:MM")&amp;"-&gt;"&amp;W$2,search_location_2,7,0),"")</f>
        <v/>
      </c>
      <c r="Y38" s="250" t="str">
        <f>IFERROR(VLOOKUP(TEXT($A$6+$A38,"MM/DD/YYYY HH:MM")&amp;"-&gt;"&amp;W$2,search_location_2,8,0),"")</f>
        <v/>
      </c>
      <c r="Z38" s="254" t="str">
        <f>IFERROR(VLOOKUP(TEXT($A$6+$A38,"MM/DD/YYYY HH:MM")&amp;"-&gt;"&amp;Z$2,search_location_2,6,0)&amp;VLOOKUP(TEXT($A$6+$A38,"MM/DD/YYYY HH:MM")&amp;"-&gt;"&amp;Z$2,search_location_2,9,0),"")</f>
        <v/>
      </c>
      <c r="AA38" s="251" t="str">
        <f>IFERROR(VLOOKUP(TEXT($A$6+$A38,"MM/DD/YYYY HH:MM")&amp;"-&gt;"&amp;Z$2,search_location_2,7,0),"")</f>
        <v/>
      </c>
      <c r="AB38" s="252" t="str">
        <f>IFERROR(VLOOKUP(TEXT($A$6+$A38,"MM/DD/YYYY HH:MM")&amp;"-&gt;"&amp;Z$2,search_location_2,8,0),"")</f>
        <v/>
      </c>
      <c r="AC38" s="249" t="str">
        <f>IFERROR(VLOOKUP(TEXT($A$6+$A38,"MM/DD/YYYY HH:MM")&amp;"-&gt;"&amp;AC$2,search_location_2,6,0)&amp;VLOOKUP(TEXT($A$6+$A38,"MM/DD/YYYY HH:MM")&amp;"-&gt;"&amp;AC$2,search_location_2,9,0),"")</f>
        <v/>
      </c>
      <c r="AD38" s="250" t="str">
        <f>IFERROR(VLOOKUP(TEXT($A$6+$A38,"MM/DD/YYYY HH:MM")&amp;"-&gt;"&amp;AC$2,search_location_2,7,0),"")</f>
        <v/>
      </c>
      <c r="AE38" s="250" t="str">
        <f>IFERROR(VLOOKUP(TEXT($A$6+$A38,"MM/DD/YYYY HH:MM")&amp;"-&gt;"&amp;AC$2,search_location_2,8,0),"")</f>
        <v/>
      </c>
      <c r="AF38" s="254" t="str">
        <f>IFERROR(VLOOKUP(TEXT($A$6+$A38,"MM/DD/YYYY HH:MM")&amp;"-&gt;"&amp;AF$2,search_location_2,6,0)&amp;VLOOKUP(TEXT($A$6+$A38,"MM/DD/YYYY HH:MM")&amp;"-&gt;"&amp;AF$2,search_location_2,9,0),"")</f>
        <v/>
      </c>
      <c r="AG38" s="251" t="str">
        <f>IFERROR(VLOOKUP(TEXT($A$6+$A38,"MM/DD/YYYY HH:MM")&amp;"-&gt;"&amp;AF$2,search_location_2,7,0),"")</f>
        <v/>
      </c>
      <c r="AH38" s="252" t="str">
        <f>IFERROR(VLOOKUP(TEXT($A$6+$A38,"MM/DD/YYYY HH:MM")&amp;"-&gt;"&amp;AF$2,search_location_2,8,0),"")</f>
        <v/>
      </c>
      <c r="AI38" s="255"/>
    </row>
    <row r="39" spans="1:35" s="256" customFormat="1" ht="12.75" customHeight="1" thickBot="1" x14ac:dyDescent="0.3">
      <c r="A39" s="257"/>
      <c r="B39" s="258" t="str">
        <f>IF(D39="flag football",LOWER(IFERROR(VLOOKUP(TEXT($A$6+$A38,"MM/DD/YYYY HH:MM")&amp;"-&gt;"&amp;B$3,search_location_2,6,0)&amp;VLOOKUP(TEXT($A$6+$A38,"MM/DD/YYYY HH:MM")&amp;"-&gt;"&amp;B$3,search_location_2,9,0),"")),IFERROR(VLOOKUP(TEXT($A$6+$A38,"MM/DD/YYYY HH:MM")&amp;"-&gt;"&amp;B$3,search_location_2,6,0)&amp;VLOOKUP(TEXT($A$6+$A38,"MM/DD/YYYY HH:MM")&amp;"-&gt;"&amp;B$3,search_location_2,9,0),""))</f>
        <v/>
      </c>
      <c r="C39" s="259" t="str">
        <f>IFERROR(VLOOKUP(TEXT($A$6+$A38,"MM/DD/YYYY HH:MM")&amp;"-&gt;"&amp;B$3,search_location_2,7,0),"")</f>
        <v/>
      </c>
      <c r="D39" s="259" t="str">
        <f>IFERROR(VLOOKUP(TEXT($A$6+$A38,"MM/DD/YYYY HH:MM")&amp;"-&gt;"&amp;B$3,search_location_2,8,0),"")</f>
        <v/>
      </c>
      <c r="E39" s="258" t="str">
        <f>IF(G39="flag football",LOWER(IFERROR(VLOOKUP(TEXT($A$6+$A38,"MM/DD/YYYY HH:MM")&amp;"-&gt;"&amp;E$3,search_location_2,6,0)&amp;VLOOKUP(TEXT($A$6+$A38,"MM/DD/YYYY HH:MM")&amp;"-&gt;"&amp;E$3,search_location_2,9,0),"")),IFERROR(VLOOKUP(TEXT($A$6+$A38,"MM/DD/YYYY HH:MM")&amp;"-&gt;"&amp;E$3,search_location_2,6,0)&amp;VLOOKUP(TEXT($A$6+$A38,"MM/DD/YYYY HH:MM")&amp;"-&gt;"&amp;E$3,search_location_2,9,0),""))</f>
        <v/>
      </c>
      <c r="F39" s="259" t="str">
        <f>IFERROR(VLOOKUP(TEXT($A$6+$A38,"MM/DD/YYYY HH:MM")&amp;"-&gt;"&amp;E$3,search_location_2,7,0),"")</f>
        <v/>
      </c>
      <c r="G39" s="259" t="str">
        <f>IFERROR(VLOOKUP(TEXT($A$6+$A38,"MM/DD/YYYY HH:MM")&amp;"-&gt;"&amp;E$3,search_location_2,8,0),"")</f>
        <v/>
      </c>
      <c r="H39" s="258" t="str">
        <f>IF(J39="Kickball",LOWER(IFERROR(VLOOKUP(TEXT($A$6+$A38,"MM/DD/YYYY HH:MM")&amp;"-&gt;"&amp;H$3,search_location_2,6,0)&amp;VLOOKUP(TEXT($A$6+$A38,"MM/DD/YYYY HH:MM")&amp;"-&gt;"&amp;H$3,search_location_2,9,0),"")),IFERROR(VLOOKUP(TEXT($A$6+$A38,"MM/DD/YYYY HH:MM")&amp;"-&gt;"&amp;H$3,search_location_2,6,0)&amp;VLOOKUP(TEXT($A$6+$A38,"MM/DD/YYYY HH:MM")&amp;"-&gt;"&amp;H$3,search_location_2,9,0),""))</f>
        <v/>
      </c>
      <c r="I39" s="260" t="str">
        <f>IFERROR(VLOOKUP(TEXT($A$6+$A38,"MM/DD/YYYY HH:MM")&amp;"-&gt;"&amp;H$3,search_location_2,7,0),"")</f>
        <v/>
      </c>
      <c r="J39" s="260" t="str">
        <f>IFERROR(VLOOKUP(TEXT($A$6+$A38,"MM/DD/YYYY HH:MM")&amp;"-&gt;"&amp;H$3,search_location_2,8,0),"")</f>
        <v/>
      </c>
      <c r="K39" s="258" t="str">
        <f>IFERROR(VLOOKUP(TEXT($A$6+$A38,"MM/DD/YYYY HH:MM")&amp;"-&gt;"&amp;K$3,search_location_2,6,0)&amp;VLOOKUP(TEXT($A$6+$A38,"MM/DD/YYYY HH:MM")&amp;"-&gt;"&amp;K$3,search_location_2,9,0),"")</f>
        <v/>
      </c>
      <c r="L39" s="260" t="str">
        <f>IFERROR(VLOOKUP(TEXT($A$6+$A38,"MM/DD/YYYY HH:MM")&amp;"-&gt;"&amp;K$3,search_location_2,7,0),"")</f>
        <v/>
      </c>
      <c r="M39" s="261" t="str">
        <f>IFERROR(VLOOKUP(TEXT($A$6+$A38,"MM/DD/YYYY HH:MM")&amp;"-&gt;"&amp;K$3,search_location_2,8,0),"")</f>
        <v/>
      </c>
      <c r="N39" s="262" t="str">
        <f>IFERROR(VLOOKUP(TEXT($A$6+$A38,"MM/DD/YYYY HH:MM")&amp;"-&gt;"&amp;N$3,search_location_2,6,0)&amp;VLOOKUP(TEXT($A$6+$A38,"MM/DD/YYYY HH:MM")&amp;"-&gt;"&amp;N$3,search_location_2,9,0),"")</f>
        <v/>
      </c>
      <c r="O39" s="260" t="str">
        <f>IFERROR(VLOOKUP(TEXT($A$6+$A38,"MM/DD/YYYY HH:MM")&amp;"-&gt;"&amp;N$3,search_location_2,7,0),"")</f>
        <v/>
      </c>
      <c r="P39" s="260" t="str">
        <f>IFERROR(VLOOKUP(TEXT($A$6+$A38,"MM/DD/YYYY HH:MM")&amp;"-&gt;"&amp;N$3,search_location_2,8,0),"")</f>
        <v/>
      </c>
      <c r="Q39" s="262" t="str">
        <f>IF(S39="Kickball",LOWER(IFERROR(VLOOKUP(TEXT($A$6+$A38,"MM/DD/YYYY HH:MM")&amp;"-&gt;"&amp;Q$3,search_location_2,6,0)&amp;VLOOKUP(TEXT($A$6+$A38,"MM/DD/YYYY HH:MM")&amp;"-&gt;"&amp;Q$3,search_location_2,9,0),"")),IFERROR(VLOOKUP(TEXT($A$6+$A38,"MM/DD/YYYY HH:MM")&amp;"-&gt;"&amp;Q$3,search_location_2,6,0)&amp;VLOOKUP(TEXT($A$6+$A38,"MM/DD/YYYY HH:MM")&amp;"-&gt;"&amp;Q$3,search_location_2,9,0),""))</f>
        <v/>
      </c>
      <c r="R39" s="266" t="str">
        <f>IFERROR(VLOOKUP(TEXT($A$6+$A38,"MM/DD/YYYY HH:MM")&amp;"-&gt;"&amp;Q$3,search_location_2,7,0),"")</f>
        <v/>
      </c>
      <c r="S39" s="259" t="str">
        <f>IFERROR(VLOOKUP(TEXT($A$6+$A38,"MM/DD/YYYY HH:MM")&amp;"-&gt;"&amp;Q$3,search_location_2,8,0),"")</f>
        <v/>
      </c>
      <c r="T39" s="263" t="str">
        <f>IF(V39="Kickball",LOWER(IFERROR(VLOOKUP(TEXT($A$6+$A38,"MM/DD/YYYY HH:MM")&amp;"-&gt;"&amp;T$3,search_location_2,6,0)&amp;VLOOKUP(TEXT($A$6+$A38,"MM/DD/YYYY HH:MM")&amp;"-&gt;"&amp;T$3,search_location_2,9,0),"")),IFERROR(VLOOKUP(TEXT($A$6+$A38,"MM/DD/YYYY HH:MM")&amp;"-&gt;"&amp;T$3,search_location_2,6,0)&amp;VLOOKUP(TEXT($A$6+$A38,"MM/DD/YYYY HH:MM")&amp;"-&gt;"&amp;T$3,search_location_2,9,0),""))</f>
        <v/>
      </c>
      <c r="U39" s="260" t="str">
        <f>IFERROR(VLOOKUP(TEXT($A$6+$A38,"MM/DD/YYYY HH:MM")&amp;"-&gt;"&amp;T$3,search_location_2,7,0),"")</f>
        <v/>
      </c>
      <c r="V39" s="261" t="str">
        <f>IFERROR(VLOOKUP(TEXT($A$6+$A38,"MM/DD/YYYY HH:MM")&amp;"-&gt;"&amp;T$3,search_location_2,8,0),"")</f>
        <v/>
      </c>
      <c r="W39" s="258" t="str">
        <f>IFERROR(VLOOKUP(TEXT($A$6+$A38,"MM/DD/YYYY HH:MM")&amp;"-&gt;"&amp;W$3,search_location_2,6,0)&amp;VLOOKUP(TEXT($A$6+$A38,"MM/DD/YYYY HH:MM")&amp;"-&gt;"&amp;W$3,search_location_2,9,0),"")</f>
        <v/>
      </c>
      <c r="X39" s="259" t="str">
        <f>IFERROR(VLOOKUP(TEXT($A$6+$A38,"MM/DD/YYYY HH:MM")&amp;"-&gt;"&amp;W$3,search_location_2,7,0),"")</f>
        <v/>
      </c>
      <c r="Y39" s="259" t="str">
        <f>IFERROR(VLOOKUP(TEXT($A$6+$A38,"MM/DD/YYYY HH:MM")&amp;"-&gt;"&amp;W$3,search_location_2,8,0),"")</f>
        <v/>
      </c>
      <c r="Z39" s="263" t="str">
        <f>IFERROR(VLOOKUP(TEXT($A$6+$A38,"MM/DD/YYYY HH:MM")&amp;"-&gt;"&amp;Z$3,search_location_2,6,0)&amp;VLOOKUP(TEXT($A$6+$A38,"MM/DD/YYYY HH:MM")&amp;"-&gt;"&amp;Z$3,search_location_2,9,0),"")</f>
        <v/>
      </c>
      <c r="AA39" s="260" t="str">
        <f>IFERROR(VLOOKUP(TEXT($A$6+$A38,"MM/DD/YYYY HH:MM")&amp;"-&gt;"&amp;Z$3,search_location_2,7,0),"")</f>
        <v/>
      </c>
      <c r="AB39" s="261" t="str">
        <f>IFERROR(VLOOKUP(TEXT($A$6+$A38,"MM/DD/YYYY HH:MM")&amp;"-&gt;"&amp;Z$3,search_location_2,8,0),"")</f>
        <v/>
      </c>
      <c r="AC39" s="258" t="str">
        <f>IFERROR(VLOOKUP(TEXT($A$6+$A38,"MM/DD/YYYY HH:MM")&amp;"-&gt;"&amp;AC$3,search_location_2,6,0)&amp;VLOOKUP(TEXT($A$6+$A38,"MM/DD/YYYY HH:MM")&amp;"-&gt;"&amp;AC$3,search_location_2,9,0),"")</f>
        <v/>
      </c>
      <c r="AD39" s="259" t="str">
        <f>IFERROR(VLOOKUP(TEXT($A$6+$A38,"MM/DD/YYYY HH:MM")&amp;"-&gt;"&amp;AC$3,search_location_2,7,0),"")</f>
        <v/>
      </c>
      <c r="AE39" s="259" t="str">
        <f>IFERROR(VLOOKUP(TEXT($A$6+$A38,"MM/DD/YYYY HH:MM")&amp;"-&gt;"&amp;AC$3,search_location_2,8,0),"")</f>
        <v/>
      </c>
      <c r="AF39" s="263" t="str">
        <f>IFERROR(VLOOKUP(TEXT($A$6+$A38,"MM/DD/YYYY HH:MM")&amp;"-&gt;"&amp;AF$3,search_location_2,6,0)&amp;VLOOKUP(TEXT($A$6+$A38,"MM/DD/YYYY HH:MM")&amp;"-&gt;"&amp;AF$3,search_location_2,9,0),"")</f>
        <v/>
      </c>
      <c r="AG39" s="260" t="str">
        <f>IFERROR(VLOOKUP(TEXT($A$6+$A38,"MM/DD/YYYY HH:MM")&amp;"-&gt;"&amp;AF$3,search_location_2,7,0),"")</f>
        <v/>
      </c>
      <c r="AH39" s="261" t="str">
        <f>IFERROR(VLOOKUP(TEXT($A$6+$A38,"MM/DD/YYYY HH:MM")&amp;"-&gt;"&amp;AF$3,search_location_2,8,0),"")</f>
        <v/>
      </c>
      <c r="AI39" s="255"/>
    </row>
    <row r="40" spans="1:35" s="256" customFormat="1" ht="12.75" customHeight="1" x14ac:dyDescent="0.25">
      <c r="A40" s="264">
        <f>A38+Time_Slots</f>
        <v>0.88888888888888873</v>
      </c>
      <c r="B40" s="249" t="str">
        <f>IF(D40="flag football",LOWER(IFERROR(VLOOKUP(TEXT($A$6+$A40,"MM/DD/YYYY HH:MM")&amp;"-&gt;"&amp;B$2,search_location_2,6,0)&amp;VLOOKUP(TEXT($A$6+$A40,"MM/DD/YYYY HH:MM")&amp;"-&gt;"&amp;B$2,search_location_2,9,0),"")),IFERROR(VLOOKUP(TEXT($A$6+$A40,"MM/DD/YYYY HH:MM")&amp;"-&gt;"&amp;B$2,search_location_2,6,0)&amp;VLOOKUP(TEXT($A$6+$A40,"MM/DD/YYYY HH:MM")&amp;"-&gt;"&amp;B$2,search_location_2,9,0),""))</f>
        <v/>
      </c>
      <c r="C40" s="250" t="str">
        <f>IFERROR(VLOOKUP(TEXT($A$6+$A40,"MM/DD/YYYY HH:MM")&amp;"-&gt;"&amp;B$2,search_location_2,7,0),"")</f>
        <v/>
      </c>
      <c r="D40" s="250" t="str">
        <f>IFERROR(VLOOKUP(TEXT($A$6+$A40,"MM/DD/YYYY HH:MM")&amp;"-&gt;"&amp;B$2,search_location_2,8,0),"")</f>
        <v/>
      </c>
      <c r="E40" s="249" t="str">
        <f>IF(G40="flag football",LOWER(IFERROR(VLOOKUP(TEXT($A$6+$A40,"MM/DD/YYYY HH:MM")&amp;"-&gt;"&amp;E$2,search_location_2,6,0)&amp;VLOOKUP(TEXT($A$6+$A40,"MM/DD/YYYY HH:MM")&amp;"-&gt;"&amp;E$2,search_location_2,9,0),"")),IFERROR(VLOOKUP(TEXT($A$6+$A40,"MM/DD/YYYY HH:MM")&amp;"-&gt;"&amp;E$2,search_location_2,6,0)&amp;VLOOKUP(TEXT($A$6+$A40,"MM/DD/YYYY HH:MM")&amp;"-&gt;"&amp;E$2,search_location_2,9,0),""))</f>
        <v/>
      </c>
      <c r="F40" s="250" t="str">
        <f>IFERROR(VLOOKUP(TEXT($A$6+$A40,"MM/DD/YYYY HH:MM")&amp;"-&gt;"&amp;E$2,search_location_2,7,0),"")</f>
        <v/>
      </c>
      <c r="G40" s="250" t="str">
        <f>IFERROR(VLOOKUP(TEXT($A$6+$A40,"MM/DD/YYYY HH:MM")&amp;"-&gt;"&amp;E$2,search_location_2,8,0),"")</f>
        <v/>
      </c>
      <c r="H40" s="249" t="str">
        <f>IF(J40="Kickball",LOWER(IFERROR(VLOOKUP(TEXT($A$6+$A40,"MM/DD/YYYY HH:MM")&amp;"-&gt;"&amp;H$2,search_location_2,6,0)&amp;VLOOKUP(TEXT($A$6+$A40,"MM/DD/YYYY HH:MM")&amp;"-&gt;"&amp;H$2,search_location_2,9,0),"")),IFERROR(VLOOKUP(TEXT($A$6+$A40,"MM/DD/YYYY HH:MM")&amp;"-&gt;"&amp;H$2,search_location_2,6,0)&amp;VLOOKUP(TEXT($A$6+$A40,"MM/DD/YYYY HH:MM")&amp;"-&gt;"&amp;H$2,search_location_2,9,0),""))</f>
        <v/>
      </c>
      <c r="I40" s="251" t="str">
        <f>IFERROR(VLOOKUP(TEXT($A$6+$A40,"MM/DD/YYYY HH:MM")&amp;"-&gt;"&amp;H$2,search_location_2,7,0),"")</f>
        <v/>
      </c>
      <c r="J40" s="252" t="str">
        <f>IFERROR(VLOOKUP(TEXT($A$6+$A40,"MM/DD/YYYY HH:MM")&amp;"-&gt;"&amp;H$2,search_location_2,8,0),"")</f>
        <v/>
      </c>
      <c r="K40" s="249" t="str">
        <f>IFERROR(VLOOKUP(TEXT($A$6+$A40,"MM/DD/YYYY HH:MM")&amp;"-&gt;"&amp;K$2,search_location_2,6,0)&amp;VLOOKUP(TEXT($A$6+$A40,"MM/DD/YYYY HH:MM")&amp;"-&gt;"&amp;K$2,search_location_2,9,0),"")</f>
        <v/>
      </c>
      <c r="L40" s="251" t="str">
        <f>IFERROR(VLOOKUP(TEXT($A$6+$A40,"MM/DD/YYYY HH:MM")&amp;"-&gt;"&amp;K$2,search_location_2,7,0),"")</f>
        <v/>
      </c>
      <c r="M40" s="252" t="str">
        <f>IFERROR(VLOOKUP(TEXT($A$6+$A40,"MM/DD/YYYY HH:MM")&amp;"-&gt;"&amp;K$2,search_location_2,8,0),"")</f>
        <v/>
      </c>
      <c r="N40" s="253" t="str">
        <f>IFERROR(VLOOKUP(TEXT($A$6+$A40,"MM/DD/YYYY HH:MM")&amp;"-&gt;"&amp;N$2,search_location_2,6,0)&amp;VLOOKUP(TEXT($A$6+$A40,"MM/DD/YYYY HH:MM")&amp;"-&gt;"&amp;N$2,search_location_2,9,0),"")</f>
        <v/>
      </c>
      <c r="O40" s="251" t="str">
        <f>IFERROR(VLOOKUP(TEXT($A$6+$A40,"MM/DD/YYYY HH:MM")&amp;"-&gt;"&amp;N$2,search_location_2,7,0),"")</f>
        <v/>
      </c>
      <c r="P40" s="251" t="str">
        <f>IFERROR(VLOOKUP(TEXT($A$6+$A40,"MM/DD/YYYY HH:MM")&amp;"-&gt;"&amp;N$2,search_location_2,8,0),"")</f>
        <v/>
      </c>
      <c r="Q40" s="253" t="str">
        <f>IF(S40="Kickball",LOWER(IFERROR(VLOOKUP(TEXT($A$6+$A40,"MM/DD/YYYY HH:MM")&amp;"-&gt;"&amp;Q$2,search_location_2,6,0)&amp;VLOOKUP(TEXT($A$6+$A40,"MM/DD/YYYY HH:MM")&amp;"-&gt;"&amp;Q$2,search_location_2,9,0),"")),IFERROR(VLOOKUP(TEXT($A$6+$A40,"MM/DD/YYYY HH:MM")&amp;"-&gt;"&amp;Q$2,search_location_2,6,0)&amp;VLOOKUP(TEXT($A$6+$A40,"MM/DD/YYYY HH:MM")&amp;"-&gt;"&amp;Q$2,search_location_2,9,0),""))</f>
        <v/>
      </c>
      <c r="R40" s="265" t="str">
        <f>IFERROR(VLOOKUP(TEXT($A$6+$A40,"MM/DD/YYYY HH:MM")&amp;"-&gt;"&amp;Q$2,search_location_2,7,0),"")</f>
        <v/>
      </c>
      <c r="S40" s="250" t="str">
        <f>IFERROR(VLOOKUP(TEXT($A$6+$A40,"MM/DD/YYYY HH:MM")&amp;"-&gt;"&amp;Q$2,search_location_2,8,0),"")</f>
        <v/>
      </c>
      <c r="T40" s="254" t="str">
        <f>IF(V40="Kickball",LOWER(IFERROR(VLOOKUP(TEXT($A$6+$A40,"MM/DD/YYYY HH:MM")&amp;"-&gt;"&amp;T$2,search_location_2,6,0)&amp;VLOOKUP(TEXT($A$6+$A40,"MM/DD/YYYY HH:MM")&amp;"-&gt;"&amp;T$2,search_location_2,9,0),"")),IFERROR(VLOOKUP(TEXT($A$6+$A40,"MM/DD/YYYY HH:MM")&amp;"-&gt;"&amp;T$2,search_location_2,6,0)&amp;VLOOKUP(TEXT($A$6+$A40,"MM/DD/YYYY HH:MM")&amp;"-&gt;"&amp;T$2,search_location_2,9,0),""))</f>
        <v/>
      </c>
      <c r="U40" s="251" t="str">
        <f>IFERROR(VLOOKUP(TEXT($A$6+$A40,"MM/DD/YYYY HH:MM")&amp;"-&gt;"&amp;T$2,search_location_2,7,0),"")</f>
        <v/>
      </c>
      <c r="V40" s="252" t="str">
        <f>IFERROR(VLOOKUP(TEXT($A$6+$A40,"MM/DD/YYYY HH:MM")&amp;"-&gt;"&amp;T$2,search_location_2,8,0),"")</f>
        <v/>
      </c>
      <c r="W40" s="249" t="str">
        <f>IFERROR(VLOOKUP(TEXT($A$6+$A40,"MM/DD/YYYY HH:MM")&amp;"-&gt;"&amp;W$2,search_location_2,6,0)&amp;VLOOKUP(TEXT($A$6+$A40,"MM/DD/YYYY HH:MM")&amp;"-&gt;"&amp;W$2,search_location_2,9,0),"")</f>
        <v/>
      </c>
      <c r="X40" s="250" t="str">
        <f>IFERROR(VLOOKUP(TEXT($A$6+$A40,"MM/DD/YYYY HH:MM")&amp;"-&gt;"&amp;W$2,search_location_2,7,0),"")</f>
        <v/>
      </c>
      <c r="Y40" s="250" t="str">
        <f>IFERROR(VLOOKUP(TEXT($A$6+$A40,"MM/DD/YYYY HH:MM")&amp;"-&gt;"&amp;W$2,search_location_2,8,0),"")</f>
        <v/>
      </c>
      <c r="Z40" s="254" t="str">
        <f>IFERROR(VLOOKUP(TEXT($A$6+$A40,"MM/DD/YYYY HH:MM")&amp;"-&gt;"&amp;Z$2,search_location_2,6,0)&amp;VLOOKUP(TEXT($A$6+$A40,"MM/DD/YYYY HH:MM")&amp;"-&gt;"&amp;Z$2,search_location_2,9,0),"")</f>
        <v/>
      </c>
      <c r="AA40" s="251" t="str">
        <f>IFERROR(VLOOKUP(TEXT($A$6+$A40,"MM/DD/YYYY HH:MM")&amp;"-&gt;"&amp;Z$2,search_location_2,7,0),"")</f>
        <v/>
      </c>
      <c r="AB40" s="252" t="str">
        <f>IFERROR(VLOOKUP(TEXT($A$6+$A40,"MM/DD/YYYY HH:MM")&amp;"-&gt;"&amp;Z$2,search_location_2,8,0),"")</f>
        <v/>
      </c>
      <c r="AC40" s="249" t="str">
        <f>IFERROR(VLOOKUP(TEXT($A$6+$A40,"MM/DD/YYYY HH:MM")&amp;"-&gt;"&amp;AC$2,search_location_2,6,0)&amp;VLOOKUP(TEXT($A$6+$A40,"MM/DD/YYYY HH:MM")&amp;"-&gt;"&amp;AC$2,search_location_2,9,0),"")</f>
        <v/>
      </c>
      <c r="AD40" s="250" t="str">
        <f>IFERROR(VLOOKUP(TEXT($A$6+$A40,"MM/DD/YYYY HH:MM")&amp;"-&gt;"&amp;AC$2,search_location_2,7,0),"")</f>
        <v/>
      </c>
      <c r="AE40" s="250" t="str">
        <f>IFERROR(VLOOKUP(TEXT($A$6+$A40,"MM/DD/YYYY HH:MM")&amp;"-&gt;"&amp;AC$2,search_location_2,8,0),"")</f>
        <v/>
      </c>
      <c r="AF40" s="254" t="str">
        <f>IFERROR(VLOOKUP(TEXT($A$6+$A40,"MM/DD/YYYY HH:MM")&amp;"-&gt;"&amp;AF$2,search_location_2,6,0)&amp;VLOOKUP(TEXT($A$6+$A40,"MM/DD/YYYY HH:MM")&amp;"-&gt;"&amp;AF$2,search_location_2,9,0),"")</f>
        <v/>
      </c>
      <c r="AG40" s="251" t="str">
        <f>IFERROR(VLOOKUP(TEXT($A$6+$A40,"MM/DD/YYYY HH:MM")&amp;"-&gt;"&amp;AF$2,search_location_2,7,0),"")</f>
        <v/>
      </c>
      <c r="AH40" s="252" t="str">
        <f>IFERROR(VLOOKUP(TEXT($A$6+$A40,"MM/DD/YYYY HH:MM")&amp;"-&gt;"&amp;AF$2,search_location_2,8,0),"")</f>
        <v/>
      </c>
      <c r="AI40" s="255"/>
    </row>
    <row r="41" spans="1:35" s="256" customFormat="1" ht="12.75" customHeight="1" thickBot="1" x14ac:dyDescent="0.3">
      <c r="A41" s="257"/>
      <c r="B41" s="258" t="str">
        <f>IF(D41="flag football",LOWER(IFERROR(VLOOKUP(TEXT($A$6+$A40,"MM/DD/YYYY HH:MM")&amp;"-&gt;"&amp;B$3,search_location_2,6,0)&amp;VLOOKUP(TEXT($A$6+$A40,"MM/DD/YYYY HH:MM")&amp;"-&gt;"&amp;B$3,search_location_2,9,0),"")),IFERROR(VLOOKUP(TEXT($A$6+$A40,"MM/DD/YYYY HH:MM")&amp;"-&gt;"&amp;B$3,search_location_2,6,0)&amp;VLOOKUP(TEXT($A$6+$A40,"MM/DD/YYYY HH:MM")&amp;"-&gt;"&amp;B$3,search_location_2,9,0),""))</f>
        <v/>
      </c>
      <c r="C41" s="259" t="str">
        <f>IFERROR(VLOOKUP(TEXT($A$6+$A40,"MM/DD/YYYY HH:MM")&amp;"-&gt;"&amp;B$3,search_location_2,7,0),"")</f>
        <v/>
      </c>
      <c r="D41" s="259" t="str">
        <f>IFERROR(VLOOKUP(TEXT($A$6+$A40,"MM/DD/YYYY HH:MM")&amp;"-&gt;"&amp;B$3,search_location_2,8,0),"")</f>
        <v/>
      </c>
      <c r="E41" s="258" t="str">
        <f>IF(G41="flag football",LOWER(IFERROR(VLOOKUP(TEXT($A$6+$A40,"MM/DD/YYYY HH:MM")&amp;"-&gt;"&amp;E$3,search_location_2,6,0)&amp;VLOOKUP(TEXT($A$6+$A40,"MM/DD/YYYY HH:MM")&amp;"-&gt;"&amp;E$3,search_location_2,9,0),"")),IFERROR(VLOOKUP(TEXT($A$6+$A40,"MM/DD/YYYY HH:MM")&amp;"-&gt;"&amp;E$3,search_location_2,6,0)&amp;VLOOKUP(TEXT($A$6+$A40,"MM/DD/YYYY HH:MM")&amp;"-&gt;"&amp;E$3,search_location_2,9,0),""))</f>
        <v/>
      </c>
      <c r="F41" s="259" t="str">
        <f>IFERROR(VLOOKUP(TEXT($A$6+$A40,"MM/DD/YYYY HH:MM")&amp;"-&gt;"&amp;E$3,search_location_2,7,0),"")</f>
        <v/>
      </c>
      <c r="G41" s="259" t="str">
        <f>IFERROR(VLOOKUP(TEXT($A$6+$A40,"MM/DD/YYYY HH:MM")&amp;"-&gt;"&amp;E$3,search_location_2,8,0),"")</f>
        <v/>
      </c>
      <c r="H41" s="258" t="str">
        <f>IF(J41="Kickball",LOWER(IFERROR(VLOOKUP(TEXT($A$6+$A40,"MM/DD/YYYY HH:MM")&amp;"-&gt;"&amp;H$3,search_location_2,6,0)&amp;VLOOKUP(TEXT($A$6+$A40,"MM/DD/YYYY HH:MM")&amp;"-&gt;"&amp;H$3,search_location_2,9,0),"")),IFERROR(VLOOKUP(TEXT($A$6+$A40,"MM/DD/YYYY HH:MM")&amp;"-&gt;"&amp;H$3,search_location_2,6,0)&amp;VLOOKUP(TEXT($A$6+$A40,"MM/DD/YYYY HH:MM")&amp;"-&gt;"&amp;H$3,search_location_2,9,0),""))</f>
        <v/>
      </c>
      <c r="I41" s="260" t="str">
        <f>IFERROR(VLOOKUP(TEXT($A$6+$A40,"MM/DD/YYYY HH:MM")&amp;"-&gt;"&amp;H$3,search_location_2,7,0),"")</f>
        <v/>
      </c>
      <c r="J41" s="261" t="str">
        <f>IFERROR(VLOOKUP(TEXT($A$6+$A40,"MM/DD/YYYY HH:MM")&amp;"-&gt;"&amp;H$3,search_location_2,8,0),"")</f>
        <v/>
      </c>
      <c r="K41" s="258" t="str">
        <f>IFERROR(VLOOKUP(TEXT($A$6+$A40,"MM/DD/YYYY HH:MM")&amp;"-&gt;"&amp;K$3,search_location_2,6,0)&amp;VLOOKUP(TEXT($A$6+$A40,"MM/DD/YYYY HH:MM")&amp;"-&gt;"&amp;K$3,search_location_2,9,0),"")</f>
        <v/>
      </c>
      <c r="L41" s="260" t="str">
        <f>IFERROR(VLOOKUP(TEXT($A$6+$A40,"MM/DD/YYYY HH:MM")&amp;"-&gt;"&amp;K$3,search_location_2,7,0),"")</f>
        <v/>
      </c>
      <c r="M41" s="261" t="str">
        <f>IFERROR(VLOOKUP(TEXT($A$6+$A40,"MM/DD/YYYY HH:MM")&amp;"-&gt;"&amp;K$3,search_location_2,8,0),"")</f>
        <v/>
      </c>
      <c r="N41" s="262" t="str">
        <f>IFERROR(VLOOKUP(TEXT($A$6+$A40,"MM/DD/YYYY HH:MM")&amp;"-&gt;"&amp;N$3,search_location_2,6,0)&amp;VLOOKUP(TEXT($A$6+$A40,"MM/DD/YYYY HH:MM")&amp;"-&gt;"&amp;N$3,search_location_2,9,0),"")</f>
        <v/>
      </c>
      <c r="O41" s="260" t="str">
        <f>IFERROR(VLOOKUP(TEXT($A$6+$A40,"MM/DD/YYYY HH:MM")&amp;"-&gt;"&amp;N$3,search_location_2,7,0),"")</f>
        <v/>
      </c>
      <c r="P41" s="260" t="str">
        <f>IFERROR(VLOOKUP(TEXT($A$6+$A40,"MM/DD/YYYY HH:MM")&amp;"-&gt;"&amp;N$3,search_location_2,8,0),"")</f>
        <v/>
      </c>
      <c r="Q41" s="262" t="str">
        <f>IF(S41="Kickball",LOWER(IFERROR(VLOOKUP(TEXT($A$6+$A40,"MM/DD/YYYY HH:MM")&amp;"-&gt;"&amp;Q$3,search_location_2,6,0)&amp;VLOOKUP(TEXT($A$6+$A40,"MM/DD/YYYY HH:MM")&amp;"-&gt;"&amp;Q$3,search_location_2,9,0),"")),IFERROR(VLOOKUP(TEXT($A$6+$A40,"MM/DD/YYYY HH:MM")&amp;"-&gt;"&amp;Q$3,search_location_2,6,0)&amp;VLOOKUP(TEXT($A$6+$A40,"MM/DD/YYYY HH:MM")&amp;"-&gt;"&amp;Q$3,search_location_2,9,0),""))</f>
        <v/>
      </c>
      <c r="R41" s="266" t="str">
        <f>IFERROR(VLOOKUP(TEXT($A$6+$A40,"MM/DD/YYYY HH:MM")&amp;"-&gt;"&amp;Q$3,search_location_2,7,0),"")</f>
        <v/>
      </c>
      <c r="S41" s="259" t="str">
        <f>IFERROR(VLOOKUP(TEXT($A$6+$A40,"MM/DD/YYYY HH:MM")&amp;"-&gt;"&amp;Q$3,search_location_2,8,0),"")</f>
        <v/>
      </c>
      <c r="T41" s="263" t="str">
        <f>IF(V41="Kickball",LOWER(IFERROR(VLOOKUP(TEXT($A$6+$A40,"MM/DD/YYYY HH:MM")&amp;"-&gt;"&amp;T$3,search_location_2,6,0)&amp;VLOOKUP(TEXT($A$6+$A40,"MM/DD/YYYY HH:MM")&amp;"-&gt;"&amp;T$3,search_location_2,9,0),"")),IFERROR(VLOOKUP(TEXT($A$6+$A40,"MM/DD/YYYY HH:MM")&amp;"-&gt;"&amp;T$3,search_location_2,6,0)&amp;VLOOKUP(TEXT($A$6+$A40,"MM/DD/YYYY HH:MM")&amp;"-&gt;"&amp;T$3,search_location_2,9,0),""))</f>
        <v/>
      </c>
      <c r="U41" s="260" t="str">
        <f>IFERROR(VLOOKUP(TEXT($A$6+$A40,"MM/DD/YYYY HH:MM")&amp;"-&gt;"&amp;T$3,search_location_2,7,0),"")</f>
        <v/>
      </c>
      <c r="V41" s="261" t="str">
        <f>IFERROR(VLOOKUP(TEXT($A$6+$A40,"MM/DD/YYYY HH:MM")&amp;"-&gt;"&amp;T$3,search_location_2,8,0),"")</f>
        <v/>
      </c>
      <c r="W41" s="258" t="str">
        <f>IFERROR(VLOOKUP(TEXT($A$6+$A40,"MM/DD/YYYY HH:MM")&amp;"-&gt;"&amp;W$3,search_location_2,6,0)&amp;VLOOKUP(TEXT($A$6+$A40,"MM/DD/YYYY HH:MM")&amp;"-&gt;"&amp;W$3,search_location_2,9,0),"")</f>
        <v/>
      </c>
      <c r="X41" s="259" t="str">
        <f>IFERROR(VLOOKUP(TEXT($A$6+$A40,"MM/DD/YYYY HH:MM")&amp;"-&gt;"&amp;W$3,search_location_2,7,0),"")</f>
        <v/>
      </c>
      <c r="Y41" s="259" t="str">
        <f>IFERROR(VLOOKUP(TEXT($A$6+$A40,"MM/DD/YYYY HH:MM")&amp;"-&gt;"&amp;W$3,search_location_2,8,0),"")</f>
        <v/>
      </c>
      <c r="Z41" s="263" t="str">
        <f>IFERROR(VLOOKUP(TEXT($A$6+$A40,"MM/DD/YYYY HH:MM")&amp;"-&gt;"&amp;Z$3,search_location_2,6,0)&amp;VLOOKUP(TEXT($A$6+$A40,"MM/DD/YYYY HH:MM")&amp;"-&gt;"&amp;Z$3,search_location_2,9,0),"")</f>
        <v/>
      </c>
      <c r="AA41" s="260" t="str">
        <f>IFERROR(VLOOKUP(TEXT($A$6+$A40,"MM/DD/YYYY HH:MM")&amp;"-&gt;"&amp;Z$3,search_location_2,7,0),"")</f>
        <v/>
      </c>
      <c r="AB41" s="261" t="str">
        <f>IFERROR(VLOOKUP(TEXT($A$6+$A40,"MM/DD/YYYY HH:MM")&amp;"-&gt;"&amp;Z$3,search_location_2,8,0),"")</f>
        <v/>
      </c>
      <c r="AC41" s="258" t="str">
        <f>IFERROR(VLOOKUP(TEXT($A$6+$A40,"MM/DD/YYYY HH:MM")&amp;"-&gt;"&amp;AC$3,search_location_2,6,0)&amp;VLOOKUP(TEXT($A$6+$A40,"MM/DD/YYYY HH:MM")&amp;"-&gt;"&amp;AC$3,search_location_2,9,0),"")</f>
        <v/>
      </c>
      <c r="AD41" s="259" t="str">
        <f>IFERROR(VLOOKUP(TEXT($A$6+$A40,"MM/DD/YYYY HH:MM")&amp;"-&gt;"&amp;AC$3,search_location_2,7,0),"")</f>
        <v/>
      </c>
      <c r="AE41" s="259" t="str">
        <f>IFERROR(VLOOKUP(TEXT($A$6+$A40,"MM/DD/YYYY HH:MM")&amp;"-&gt;"&amp;AC$3,search_location_2,8,0),"")</f>
        <v/>
      </c>
      <c r="AF41" s="263" t="str">
        <f>IFERROR(VLOOKUP(TEXT($A$6+$A40,"MM/DD/YYYY HH:MM")&amp;"-&gt;"&amp;AF$3,search_location_2,6,0)&amp;VLOOKUP(TEXT($A$6+$A40,"MM/DD/YYYY HH:MM")&amp;"-&gt;"&amp;AF$3,search_location_2,9,0),"")</f>
        <v/>
      </c>
      <c r="AG41" s="260" t="str">
        <f>IFERROR(VLOOKUP(TEXT($A$6+$A40,"MM/DD/YYYY HH:MM")&amp;"-&gt;"&amp;AF$3,search_location_2,7,0),"")</f>
        <v/>
      </c>
      <c r="AH41" s="261" t="str">
        <f>IFERROR(VLOOKUP(TEXT($A$6+$A40,"MM/DD/YYYY HH:MM")&amp;"-&gt;"&amp;AF$3,search_location_2,8,0),"")</f>
        <v/>
      </c>
      <c r="AI41" s="255"/>
    </row>
    <row r="42" spans="1:35" s="256" customFormat="1" ht="12.75" customHeight="1" x14ac:dyDescent="0.25">
      <c r="A42" s="264">
        <f>A40+Time_Slots</f>
        <v>0.92361111111111094</v>
      </c>
      <c r="B42" s="249" t="str">
        <f>IF(D42="flag football",LOWER(IFERROR(VLOOKUP(TEXT($A$6+$A42,"MM/DD/YYYY HH:MM")&amp;"-&gt;"&amp;B$2,search_location_2,6,0)&amp;VLOOKUP(TEXT($A$6+$A42,"MM/DD/YYYY HH:MM")&amp;"-&gt;"&amp;B$2,search_location_2,9,0),"")),IFERROR(VLOOKUP(TEXT($A$6+$A42,"MM/DD/YYYY HH:MM")&amp;"-&gt;"&amp;B$2,search_location_2,6,0)&amp;VLOOKUP(TEXT($A$6+$A42,"MM/DD/YYYY HH:MM")&amp;"-&gt;"&amp;B$2,search_location_2,9,0),""))</f>
        <v/>
      </c>
      <c r="C42" s="250" t="str">
        <f>IFERROR(VLOOKUP(TEXT($A$6+$A42,"MM/DD/YYYY HH:MM")&amp;"-&gt;"&amp;B$2,search_location_2,7,0),"")</f>
        <v/>
      </c>
      <c r="D42" s="250" t="str">
        <f>IFERROR(VLOOKUP(TEXT($A$6+$A42,"MM/DD/YYYY HH:MM")&amp;"-&gt;"&amp;B$2,search_location_2,8,0),"")</f>
        <v/>
      </c>
      <c r="E42" s="249" t="str">
        <f>IF(G42="flag football",LOWER(IFERROR(VLOOKUP(TEXT($A$6+$A42,"MM/DD/YYYY HH:MM")&amp;"-&gt;"&amp;E$2,search_location_2,6,0)&amp;VLOOKUP(TEXT($A$6+$A42,"MM/DD/YYYY HH:MM")&amp;"-&gt;"&amp;E$2,search_location_2,9,0),"")),IFERROR(VLOOKUP(TEXT($A$6+$A42,"MM/DD/YYYY HH:MM")&amp;"-&gt;"&amp;E$2,search_location_2,6,0)&amp;VLOOKUP(TEXT($A$6+$A42,"MM/DD/YYYY HH:MM")&amp;"-&gt;"&amp;E$2,search_location_2,9,0),""))</f>
        <v/>
      </c>
      <c r="F42" s="250" t="str">
        <f>IFERROR(VLOOKUP(TEXT($A$6+$A42,"MM/DD/YYYY HH:MM")&amp;"-&gt;"&amp;E$2,search_location_2,7,0),"")</f>
        <v/>
      </c>
      <c r="G42" s="250" t="str">
        <f>IFERROR(VLOOKUP(TEXT($A$6+$A42,"MM/DD/YYYY HH:MM")&amp;"-&gt;"&amp;E$2,search_location_2,8,0),"")</f>
        <v/>
      </c>
      <c r="H42" s="249" t="str">
        <f>IF(J42="Kickball",LOWER(IFERROR(VLOOKUP(TEXT($A$6+$A42,"MM/DD/YYYY HH:MM")&amp;"-&gt;"&amp;H$2,search_location_2,6,0)&amp;VLOOKUP(TEXT($A$6+$A42,"MM/DD/YYYY HH:MM")&amp;"-&gt;"&amp;H$2,search_location_2,9,0),"")),IFERROR(VLOOKUP(TEXT($A$6+$A42,"MM/DD/YYYY HH:MM")&amp;"-&gt;"&amp;H$2,search_location_2,6,0)&amp;VLOOKUP(TEXT($A$6+$A42,"MM/DD/YYYY HH:MM")&amp;"-&gt;"&amp;H$2,search_location_2,9,0),""))</f>
        <v/>
      </c>
      <c r="I42" s="251" t="str">
        <f>IFERROR(VLOOKUP(TEXT($A$6+$A42,"MM/DD/YYYY HH:MM")&amp;"-&gt;"&amp;H$2,search_location_2,7,0),"")</f>
        <v/>
      </c>
      <c r="J42" s="252" t="str">
        <f>IFERROR(VLOOKUP(TEXT($A$6+$A42,"MM/DD/YYYY HH:MM")&amp;"-&gt;"&amp;H$2,search_location_2,8,0),"")</f>
        <v/>
      </c>
      <c r="K42" s="249" t="str">
        <f>IFERROR(VLOOKUP(TEXT($A$6+$A42,"MM/DD/YYYY HH:MM")&amp;"-&gt;"&amp;K$2,search_location_2,6,0)&amp;VLOOKUP(TEXT($A$6+$A42,"MM/DD/YYYY HH:MM")&amp;"-&gt;"&amp;K$2,search_location_2,9,0),"")</f>
        <v/>
      </c>
      <c r="L42" s="251" t="str">
        <f>IFERROR(VLOOKUP(TEXT($A$6+$A42,"MM/DD/YYYY HH:MM")&amp;"-&gt;"&amp;K$2,search_location_2,7,0),"")</f>
        <v/>
      </c>
      <c r="M42" s="252" t="str">
        <f>IFERROR(VLOOKUP(TEXT($A$6+$A42,"MM/DD/YYYY HH:MM")&amp;"-&gt;"&amp;K$2,search_location_2,8,0),"")</f>
        <v/>
      </c>
      <c r="N42" s="253" t="str">
        <f>IFERROR(VLOOKUP(TEXT($A$6+$A42,"MM/DD/YYYY HH:MM")&amp;"-&gt;"&amp;N$2,search_location_2,6,0)&amp;VLOOKUP(TEXT($A$6+$A42,"MM/DD/YYYY HH:MM")&amp;"-&gt;"&amp;N$2,search_location_2,9,0),"")</f>
        <v/>
      </c>
      <c r="O42" s="251" t="str">
        <f>IFERROR(VLOOKUP(TEXT($A$6+$A42,"MM/DD/YYYY HH:MM")&amp;"-&gt;"&amp;N$2,search_location_2,7,0),"")</f>
        <v/>
      </c>
      <c r="P42" s="251" t="str">
        <f>IFERROR(VLOOKUP(TEXT($A$6+$A42,"MM/DD/YYYY HH:MM")&amp;"-&gt;"&amp;N$2,search_location_2,8,0),"")</f>
        <v/>
      </c>
      <c r="Q42" s="253" t="str">
        <f>IF(S42="Kickball",LOWER(IFERROR(VLOOKUP(TEXT($A$6+$A42,"MM/DD/YYYY HH:MM")&amp;"-&gt;"&amp;Q$2,search_location_2,6,0)&amp;VLOOKUP(TEXT($A$6+$A42,"MM/DD/YYYY HH:MM")&amp;"-&gt;"&amp;Q$2,search_location_2,9,0),"")),IFERROR(VLOOKUP(TEXT($A$6+$A42,"MM/DD/YYYY HH:MM")&amp;"-&gt;"&amp;Q$2,search_location_2,6,0)&amp;VLOOKUP(TEXT($A$6+$A42,"MM/DD/YYYY HH:MM")&amp;"-&gt;"&amp;Q$2,search_location_2,9,0),""))</f>
        <v/>
      </c>
      <c r="R42" s="265" t="str">
        <f>IFERROR(VLOOKUP(TEXT($A$6+$A42,"MM/DD/YYYY HH:MM")&amp;"-&gt;"&amp;Q$2,search_location_2,7,0),"")</f>
        <v/>
      </c>
      <c r="S42" s="250" t="str">
        <f>IFERROR(VLOOKUP(TEXT($A$6+$A42,"MM/DD/YYYY HH:MM")&amp;"-&gt;"&amp;Q$2,search_location_2,8,0),"")</f>
        <v/>
      </c>
      <c r="T42" s="254" t="str">
        <f>IF(V42="Kickball",LOWER(IFERROR(VLOOKUP(TEXT($A$6+$A42,"MM/DD/YYYY HH:MM")&amp;"-&gt;"&amp;T$2,search_location_2,6,0)&amp;VLOOKUP(TEXT($A$6+$A42,"MM/DD/YYYY HH:MM")&amp;"-&gt;"&amp;T$2,search_location_2,9,0),"")),IFERROR(VLOOKUP(TEXT($A$6+$A42,"MM/DD/YYYY HH:MM")&amp;"-&gt;"&amp;T$2,search_location_2,6,0)&amp;VLOOKUP(TEXT($A$6+$A42,"MM/DD/YYYY HH:MM")&amp;"-&gt;"&amp;T$2,search_location_2,9,0),""))</f>
        <v/>
      </c>
      <c r="U42" s="251" t="str">
        <f>IFERROR(VLOOKUP(TEXT($A$6+$A42,"MM/DD/YYYY HH:MM")&amp;"-&gt;"&amp;T$2,search_location_2,7,0),"")</f>
        <v/>
      </c>
      <c r="V42" s="252" t="str">
        <f>IFERROR(VLOOKUP(TEXT($A$6+$A42,"MM/DD/YYYY HH:MM")&amp;"-&gt;"&amp;T$2,search_location_2,8,0),"")</f>
        <v/>
      </c>
      <c r="W42" s="249" t="str">
        <f>IFERROR(VLOOKUP(TEXT($A$6+$A42,"MM/DD/YYYY HH:MM")&amp;"-&gt;"&amp;W$2,search_location_2,6,0)&amp;VLOOKUP(TEXT($A$6+$A42,"MM/DD/YYYY HH:MM")&amp;"-&gt;"&amp;W$2,search_location_2,9,0),"")</f>
        <v/>
      </c>
      <c r="X42" s="250" t="str">
        <f>IFERROR(VLOOKUP(TEXT($A$6+$A42,"MM/DD/YYYY HH:MM")&amp;"-&gt;"&amp;W$2,search_location_2,7,0),"")</f>
        <v/>
      </c>
      <c r="Y42" s="250" t="str">
        <f>IFERROR(VLOOKUP(TEXT($A$6+$A42,"MM/DD/YYYY HH:MM")&amp;"-&gt;"&amp;W$2,search_location_2,8,0),"")</f>
        <v/>
      </c>
      <c r="Z42" s="254" t="str">
        <f>IFERROR(VLOOKUP(TEXT($A$6+$A42,"MM/DD/YYYY HH:MM")&amp;"-&gt;"&amp;Z$2,search_location_2,6,0)&amp;VLOOKUP(TEXT($A$6+$A42,"MM/DD/YYYY HH:MM")&amp;"-&gt;"&amp;Z$2,search_location_2,9,0),"")</f>
        <v/>
      </c>
      <c r="AA42" s="251" t="str">
        <f>IFERROR(VLOOKUP(TEXT($A$6+$A42,"MM/DD/YYYY HH:MM")&amp;"-&gt;"&amp;Z$2,search_location_2,7,0),"")</f>
        <v/>
      </c>
      <c r="AB42" s="252" t="str">
        <f>IFERROR(VLOOKUP(TEXT($A$6+$A42,"MM/DD/YYYY HH:MM")&amp;"-&gt;"&amp;Z$2,search_location_2,8,0),"")</f>
        <v/>
      </c>
      <c r="AC42" s="249" t="str">
        <f>IFERROR(VLOOKUP(TEXT($A$6+$A42,"MM/DD/YYYY HH:MM")&amp;"-&gt;"&amp;AC$2,search_location_2,6,0)&amp;VLOOKUP(TEXT($A$6+$A42,"MM/DD/YYYY HH:MM")&amp;"-&gt;"&amp;AC$2,search_location_2,9,0),"")</f>
        <v/>
      </c>
      <c r="AD42" s="250" t="str">
        <f>IFERROR(VLOOKUP(TEXT($A$6+$A42,"MM/DD/YYYY HH:MM")&amp;"-&gt;"&amp;AC$2,search_location_2,7,0),"")</f>
        <v/>
      </c>
      <c r="AE42" s="250" t="str">
        <f>IFERROR(VLOOKUP(TEXT($A$6+$A42,"MM/DD/YYYY HH:MM")&amp;"-&gt;"&amp;AC$2,search_location_2,8,0),"")</f>
        <v/>
      </c>
      <c r="AF42" s="254" t="str">
        <f>IFERROR(VLOOKUP(TEXT($A$6+$A42,"MM/DD/YYYY HH:MM")&amp;"-&gt;"&amp;AF$2,search_location_2,6,0)&amp;VLOOKUP(TEXT($A$6+$A42,"MM/DD/YYYY HH:MM")&amp;"-&gt;"&amp;AF$2,search_location_2,9,0),"")</f>
        <v/>
      </c>
      <c r="AG42" s="251" t="str">
        <f>IFERROR(VLOOKUP(TEXT($A$6+$A42,"MM/DD/YYYY HH:MM")&amp;"-&gt;"&amp;AF$2,search_location_2,7,0),"")</f>
        <v/>
      </c>
      <c r="AH42" s="252" t="str">
        <f>IFERROR(VLOOKUP(TEXT($A$6+$A42,"MM/DD/YYYY HH:MM")&amp;"-&gt;"&amp;AF$2,search_location_2,8,0),"")</f>
        <v/>
      </c>
      <c r="AI42" s="255"/>
    </row>
    <row r="43" spans="1:35" s="256" customFormat="1" ht="12.75" customHeight="1" thickBot="1" x14ac:dyDescent="0.3">
      <c r="A43" s="257"/>
      <c r="B43" s="258" t="str">
        <f>IF(D43="flag football",LOWER(IFERROR(VLOOKUP(TEXT($A$6+$A42,"MM/DD/YYYY HH:MM")&amp;"-&gt;"&amp;B$3,search_location_2,6,0)&amp;VLOOKUP(TEXT($A$6+$A42,"MM/DD/YYYY HH:MM")&amp;"-&gt;"&amp;B$3,search_location_2,9,0),"")),IFERROR(VLOOKUP(TEXT($A$6+$A42,"MM/DD/YYYY HH:MM")&amp;"-&gt;"&amp;B$3,search_location_2,6,0)&amp;VLOOKUP(TEXT($A$6+$A42,"MM/DD/YYYY HH:MM")&amp;"-&gt;"&amp;B$3,search_location_2,9,0),""))</f>
        <v/>
      </c>
      <c r="C43" s="259" t="str">
        <f>IFERROR(VLOOKUP(TEXT($A$6+$A42,"MM/DD/YYYY HH:MM")&amp;"-&gt;"&amp;B$3,search_location_2,7,0),"")</f>
        <v/>
      </c>
      <c r="D43" s="259" t="str">
        <f>IFERROR(VLOOKUP(TEXT($A$6+$A42,"MM/DD/YYYY HH:MM")&amp;"-&gt;"&amp;B$3,search_location_2,8,0),"")</f>
        <v/>
      </c>
      <c r="E43" s="258" t="str">
        <f>IF(G43="flag football",LOWER(IFERROR(VLOOKUP(TEXT($A$6+$A42,"MM/DD/YYYY HH:MM")&amp;"-&gt;"&amp;E$3,search_location_2,6,0)&amp;VLOOKUP(TEXT($A$6+$A42,"MM/DD/YYYY HH:MM")&amp;"-&gt;"&amp;E$3,search_location_2,9,0),"")),IFERROR(VLOOKUP(TEXT($A$6+$A42,"MM/DD/YYYY HH:MM")&amp;"-&gt;"&amp;E$3,search_location_2,6,0)&amp;VLOOKUP(TEXT($A$6+$A42,"MM/DD/YYYY HH:MM")&amp;"-&gt;"&amp;E$3,search_location_2,9,0),""))</f>
        <v/>
      </c>
      <c r="F43" s="259" t="str">
        <f>IFERROR(VLOOKUP(TEXT($A$6+$A42,"MM/DD/YYYY HH:MM")&amp;"-&gt;"&amp;E$3,search_location_2,7,0),"")</f>
        <v/>
      </c>
      <c r="G43" s="259" t="str">
        <f>IFERROR(VLOOKUP(TEXT($A$6+$A42,"MM/DD/YYYY HH:MM")&amp;"-&gt;"&amp;E$3,search_location_2,8,0),"")</f>
        <v/>
      </c>
      <c r="H43" s="258" t="str">
        <f>IF(J43="Kickball",LOWER(IFERROR(VLOOKUP(TEXT($A$6+$A42,"MM/DD/YYYY HH:MM")&amp;"-&gt;"&amp;H$3,search_location_2,6,0)&amp;VLOOKUP(TEXT($A$6+$A42,"MM/DD/YYYY HH:MM")&amp;"-&gt;"&amp;H$3,search_location_2,9,0),"")),IFERROR(VLOOKUP(TEXT($A$6+$A42,"MM/DD/YYYY HH:MM")&amp;"-&gt;"&amp;H$3,search_location_2,6,0)&amp;VLOOKUP(TEXT($A$6+$A42,"MM/DD/YYYY HH:MM")&amp;"-&gt;"&amp;H$3,search_location_2,9,0),""))</f>
        <v/>
      </c>
      <c r="I43" s="260" t="str">
        <f>IFERROR(VLOOKUP(TEXT($A$6+$A42,"MM/DD/YYYY HH:MM")&amp;"-&gt;"&amp;H$3,search_location_2,7,0),"")</f>
        <v/>
      </c>
      <c r="J43" s="261" t="str">
        <f>IFERROR(VLOOKUP(TEXT($A$6+$A42,"MM/DD/YYYY HH:MM")&amp;"-&gt;"&amp;H$3,search_location_2,8,0),"")</f>
        <v/>
      </c>
      <c r="K43" s="258" t="str">
        <f>IFERROR(VLOOKUP(TEXT($A$6+$A42,"MM/DD/YYYY HH:MM")&amp;"-&gt;"&amp;K$3,search_location_2,6,0)&amp;VLOOKUP(TEXT($A$6+$A42,"MM/DD/YYYY HH:MM")&amp;"-&gt;"&amp;K$3,search_location_2,9,0),"")</f>
        <v/>
      </c>
      <c r="L43" s="260" t="str">
        <f>IFERROR(VLOOKUP(TEXT($A$6+$A42,"MM/DD/YYYY HH:MM")&amp;"-&gt;"&amp;K$3,search_location_2,7,0),"")</f>
        <v/>
      </c>
      <c r="M43" s="261" t="str">
        <f>IFERROR(VLOOKUP(TEXT($A$6+$A42,"MM/DD/YYYY HH:MM")&amp;"-&gt;"&amp;K$3,search_location_2,8,0),"")</f>
        <v/>
      </c>
      <c r="N43" s="262" t="str">
        <f>IFERROR(VLOOKUP(TEXT($A$6+$A42,"MM/DD/YYYY HH:MM")&amp;"-&gt;"&amp;N$3,search_location_2,6,0)&amp;VLOOKUP(TEXT($A$6+$A42,"MM/DD/YYYY HH:MM")&amp;"-&gt;"&amp;N$3,search_location_2,9,0),"")</f>
        <v/>
      </c>
      <c r="O43" s="260" t="str">
        <f>IFERROR(VLOOKUP(TEXT($A$6+$A42,"MM/DD/YYYY HH:MM")&amp;"-&gt;"&amp;N$3,search_location_2,7,0),"")</f>
        <v/>
      </c>
      <c r="P43" s="260" t="str">
        <f>IFERROR(VLOOKUP(TEXT($A$6+$A42,"MM/DD/YYYY HH:MM")&amp;"-&gt;"&amp;N$3,search_location_2,8,0),"")</f>
        <v/>
      </c>
      <c r="Q43" s="262" t="str">
        <f>IF(S43="Kickball",LOWER(IFERROR(VLOOKUP(TEXT($A$6+$A42,"MM/DD/YYYY HH:MM")&amp;"-&gt;"&amp;Q$3,search_location_2,6,0)&amp;VLOOKUP(TEXT($A$6+$A42,"MM/DD/YYYY HH:MM")&amp;"-&gt;"&amp;Q$3,search_location_2,9,0),"")),IFERROR(VLOOKUP(TEXT($A$6+$A42,"MM/DD/YYYY HH:MM")&amp;"-&gt;"&amp;Q$3,search_location_2,6,0)&amp;VLOOKUP(TEXT($A$6+$A42,"MM/DD/YYYY HH:MM")&amp;"-&gt;"&amp;Q$3,search_location_2,9,0),""))</f>
        <v/>
      </c>
      <c r="R43" s="266" t="str">
        <f>IFERROR(VLOOKUP(TEXT($A$6+$A42,"MM/DD/YYYY HH:MM")&amp;"-&gt;"&amp;Q$3,search_location_2,7,0),"")</f>
        <v/>
      </c>
      <c r="S43" s="259" t="str">
        <f>IFERROR(VLOOKUP(TEXT($A$6+$A42,"MM/DD/YYYY HH:MM")&amp;"-&gt;"&amp;Q$3,search_location_2,8,0),"")</f>
        <v/>
      </c>
      <c r="T43" s="263" t="str">
        <f>IF(V43="Kickball",LOWER(IFERROR(VLOOKUP(TEXT($A$6+$A42,"MM/DD/YYYY HH:MM")&amp;"-&gt;"&amp;T$3,search_location_2,6,0)&amp;VLOOKUP(TEXT($A$6+$A42,"MM/DD/YYYY HH:MM")&amp;"-&gt;"&amp;T$3,search_location_2,9,0),"")),IFERROR(VLOOKUP(TEXT($A$6+$A42,"MM/DD/YYYY HH:MM")&amp;"-&gt;"&amp;T$3,search_location_2,6,0)&amp;VLOOKUP(TEXT($A$6+$A42,"MM/DD/YYYY HH:MM")&amp;"-&gt;"&amp;T$3,search_location_2,9,0),""))</f>
        <v/>
      </c>
      <c r="U43" s="260" t="str">
        <f>IFERROR(VLOOKUP(TEXT($A$6+$A42,"MM/DD/YYYY HH:MM")&amp;"-&gt;"&amp;T$3,search_location_2,7,0),"")</f>
        <v/>
      </c>
      <c r="V43" s="261" t="str">
        <f>IFERROR(VLOOKUP(TEXT($A$6+$A42,"MM/DD/YYYY HH:MM")&amp;"-&gt;"&amp;T$3,search_location_2,8,0),"")</f>
        <v/>
      </c>
      <c r="W43" s="258" t="str">
        <f>IFERROR(VLOOKUP(TEXT($A$6+$A42,"MM/DD/YYYY HH:MM")&amp;"-&gt;"&amp;W$3,search_location_2,6,0)&amp;VLOOKUP(TEXT($A$6+$A42,"MM/DD/YYYY HH:MM")&amp;"-&gt;"&amp;W$3,search_location_2,9,0),"")</f>
        <v/>
      </c>
      <c r="X43" s="259" t="str">
        <f>IFERROR(VLOOKUP(TEXT($A$6+$A42,"MM/DD/YYYY HH:MM")&amp;"-&gt;"&amp;W$3,search_location_2,7,0),"")</f>
        <v/>
      </c>
      <c r="Y43" s="259" t="str">
        <f>IFERROR(VLOOKUP(TEXT($A$6+$A42,"MM/DD/YYYY HH:MM")&amp;"-&gt;"&amp;W$3,search_location_2,8,0),"")</f>
        <v/>
      </c>
      <c r="Z43" s="263" t="str">
        <f>IFERROR(VLOOKUP(TEXT($A$6+$A42,"MM/DD/YYYY HH:MM")&amp;"-&gt;"&amp;Z$3,search_location_2,6,0)&amp;VLOOKUP(TEXT($A$6+$A42,"MM/DD/YYYY HH:MM")&amp;"-&gt;"&amp;Z$3,search_location_2,9,0),"")</f>
        <v/>
      </c>
      <c r="AA43" s="260" t="str">
        <f>IFERROR(VLOOKUP(TEXT($A$6+$A42,"MM/DD/YYYY HH:MM")&amp;"-&gt;"&amp;Z$3,search_location_2,7,0),"")</f>
        <v/>
      </c>
      <c r="AB43" s="261" t="str">
        <f>IFERROR(VLOOKUP(TEXT($A$6+$A42,"MM/DD/YYYY HH:MM")&amp;"-&gt;"&amp;Z$3,search_location_2,8,0),"")</f>
        <v/>
      </c>
      <c r="AC43" s="258" t="str">
        <f>IFERROR(VLOOKUP(TEXT($A$6+$A42,"MM/DD/YYYY HH:MM")&amp;"-&gt;"&amp;AC$3,search_location_2,6,0)&amp;VLOOKUP(TEXT($A$6+$A42,"MM/DD/YYYY HH:MM")&amp;"-&gt;"&amp;AC$3,search_location_2,9,0),"")</f>
        <v/>
      </c>
      <c r="AD43" s="259" t="str">
        <f>IFERROR(VLOOKUP(TEXT($A$6+$A42,"MM/DD/YYYY HH:MM")&amp;"-&gt;"&amp;AC$3,search_location_2,7,0),"")</f>
        <v/>
      </c>
      <c r="AE43" s="259" t="str">
        <f>IFERROR(VLOOKUP(TEXT($A$6+$A42,"MM/DD/YYYY HH:MM")&amp;"-&gt;"&amp;AC$3,search_location_2,8,0),"")</f>
        <v/>
      </c>
      <c r="AF43" s="263" t="str">
        <f>IFERROR(VLOOKUP(TEXT($A$6+$A42,"MM/DD/YYYY HH:MM")&amp;"-&gt;"&amp;AF$3,search_location_2,6,0)&amp;VLOOKUP(TEXT($A$6+$A42,"MM/DD/YYYY HH:MM")&amp;"-&gt;"&amp;AF$3,search_location_2,9,0),"")</f>
        <v/>
      </c>
      <c r="AG43" s="260" t="str">
        <f>IFERROR(VLOOKUP(TEXT($A$6+$A42,"MM/DD/YYYY HH:MM")&amp;"-&gt;"&amp;AF$3,search_location_2,7,0),"")</f>
        <v/>
      </c>
      <c r="AH43" s="261" t="str">
        <f>IFERROR(VLOOKUP(TEXT($A$6+$A42,"MM/DD/YYYY HH:MM")&amp;"-&gt;"&amp;AF$3,search_location_2,8,0),"")</f>
        <v/>
      </c>
      <c r="AI43" s="255"/>
    </row>
    <row r="44" spans="1:35" s="256" customFormat="1" ht="12.75" customHeight="1" x14ac:dyDescent="0.25">
      <c r="A44" s="264">
        <f>A42+Time_Slots</f>
        <v>0.95833333333333315</v>
      </c>
      <c r="B44" s="249" t="str">
        <f>IF(D44="flag football",LOWER(IFERROR(VLOOKUP(TEXT($A$6+$A44,"MM/DD/YYYY HH:MM")&amp;"-&gt;"&amp;B$2,search_location_2,6,0)&amp;VLOOKUP(TEXT($A$6+$A44,"MM/DD/YYYY HH:MM")&amp;"-&gt;"&amp;B$2,search_location_2,9,0),"")),IFERROR(VLOOKUP(TEXT($A$6+$A44,"MM/DD/YYYY HH:MM")&amp;"-&gt;"&amp;B$2,search_location_2,6,0)&amp;VLOOKUP(TEXT($A$6+$A44,"MM/DD/YYYY HH:MM")&amp;"-&gt;"&amp;B$2,search_location_2,9,0),""))</f>
        <v/>
      </c>
      <c r="C44" s="250" t="str">
        <f>IFERROR(VLOOKUP(TEXT($A$6+$A44,"MM/DD/YYYY HH:MM")&amp;"-&gt;"&amp;B$2,search_location_2,7,0),"")</f>
        <v/>
      </c>
      <c r="D44" s="250" t="str">
        <f>IFERROR(VLOOKUP(TEXT($A$6+$A44,"MM/DD/YYYY HH:MM")&amp;"-&gt;"&amp;B$2,search_location_2,8,0),"")</f>
        <v/>
      </c>
      <c r="E44" s="249" t="str">
        <f>IF(G44="flag football",LOWER(IFERROR(VLOOKUP(TEXT($A$6+$A44,"MM/DD/YYYY HH:MM")&amp;"-&gt;"&amp;E$2,search_location_2,6,0)&amp;VLOOKUP(TEXT($A$6+$A44,"MM/DD/YYYY HH:MM")&amp;"-&gt;"&amp;E$2,search_location_2,9,0),"")),IFERROR(VLOOKUP(TEXT($A$6+$A44,"MM/DD/YYYY HH:MM")&amp;"-&gt;"&amp;E$2,search_location_2,6,0)&amp;VLOOKUP(TEXT($A$6+$A44,"MM/DD/YYYY HH:MM")&amp;"-&gt;"&amp;E$2,search_location_2,9,0),""))</f>
        <v/>
      </c>
      <c r="F44" s="250" t="str">
        <f>IFERROR(VLOOKUP(TEXT($A$6+$A44,"MM/DD/YYYY HH:MM")&amp;"-&gt;"&amp;E$2,search_location_2,7,0),"")</f>
        <v/>
      </c>
      <c r="G44" s="250" t="str">
        <f>IFERROR(VLOOKUP(TEXT($A$6+$A44,"MM/DD/YYYY HH:MM")&amp;"-&gt;"&amp;E$2,search_location_2,8,0),"")</f>
        <v/>
      </c>
      <c r="H44" s="249" t="str">
        <f>IF(J44="Kickball",LOWER(IFERROR(VLOOKUP(TEXT($A$6+$A44,"MM/DD/YYYY HH:MM")&amp;"-&gt;"&amp;H$2,search_location_2,6,0)&amp;VLOOKUP(TEXT($A$6+$A44,"MM/DD/YYYY HH:MM")&amp;"-&gt;"&amp;H$2,search_location_2,9,0),"")),IFERROR(VLOOKUP(TEXT($A$6+$A44,"MM/DD/YYYY HH:MM")&amp;"-&gt;"&amp;H$2,search_location_2,6,0)&amp;VLOOKUP(TEXT($A$6+$A44,"MM/DD/YYYY HH:MM")&amp;"-&gt;"&amp;H$2,search_location_2,9,0),""))</f>
        <v/>
      </c>
      <c r="I44" s="251" t="str">
        <f>IFERROR(VLOOKUP(TEXT($A$6+$A44,"MM/DD/YYYY HH:MM")&amp;"-&gt;"&amp;H$2,search_location_2,7,0),"")</f>
        <v/>
      </c>
      <c r="J44" s="252" t="str">
        <f>IFERROR(VLOOKUP(TEXT($A$6+$A44,"MM/DD/YYYY HH:MM")&amp;"-&gt;"&amp;H$2,search_location_2,8,0),"")</f>
        <v/>
      </c>
      <c r="K44" s="249" t="str">
        <f>IFERROR(VLOOKUP(TEXT($A$6+$A44,"MM/DD/YYYY HH:MM")&amp;"-&gt;"&amp;K$2,search_location_2,6,0)&amp;VLOOKUP(TEXT($A$6+$A44,"MM/DD/YYYY HH:MM")&amp;"-&gt;"&amp;K$2,search_location_2,9,0),"")</f>
        <v/>
      </c>
      <c r="L44" s="251" t="str">
        <f>IFERROR(VLOOKUP(TEXT($A$6+$A44,"MM/DD/YYYY HH:MM")&amp;"-&gt;"&amp;K$2,search_location_2,7,0),"")</f>
        <v/>
      </c>
      <c r="M44" s="252" t="str">
        <f>IFERROR(VLOOKUP(TEXT($A$6+$A44,"MM/DD/YYYY HH:MM")&amp;"-&gt;"&amp;K$2,search_location_2,8,0),"")</f>
        <v/>
      </c>
      <c r="N44" s="253" t="str">
        <f>IFERROR(VLOOKUP(TEXT($A$6+$A44,"MM/DD/YYYY HH:MM")&amp;"-&gt;"&amp;N$2,search_location_2,6,0)&amp;VLOOKUP(TEXT($A$6+$A44,"MM/DD/YYYY HH:MM")&amp;"-&gt;"&amp;N$2,search_location_2,9,0),"")</f>
        <v/>
      </c>
      <c r="O44" s="251" t="str">
        <f>IFERROR(VLOOKUP(TEXT($A$6+$A44,"MM/DD/YYYY HH:MM")&amp;"-&gt;"&amp;N$2,search_location_2,7,0),"")</f>
        <v/>
      </c>
      <c r="P44" s="251" t="str">
        <f>IFERROR(VLOOKUP(TEXT($A$6+$A44,"MM/DD/YYYY HH:MM")&amp;"-&gt;"&amp;N$2,search_location_2,8,0),"")</f>
        <v/>
      </c>
      <c r="Q44" s="253" t="str">
        <f>IF(S44="Kickball",LOWER(IFERROR(VLOOKUP(TEXT($A$6+$A44,"MM/DD/YYYY HH:MM")&amp;"-&gt;"&amp;Q$2,search_location_2,6,0)&amp;VLOOKUP(TEXT($A$6+$A44,"MM/DD/YYYY HH:MM")&amp;"-&gt;"&amp;Q$2,search_location_2,9,0),"")),IFERROR(VLOOKUP(TEXT($A$6+$A44,"MM/DD/YYYY HH:MM")&amp;"-&gt;"&amp;Q$2,search_location_2,6,0)&amp;VLOOKUP(TEXT($A$6+$A44,"MM/DD/YYYY HH:MM")&amp;"-&gt;"&amp;Q$2,search_location_2,9,0),""))</f>
        <v/>
      </c>
      <c r="R44" s="265" t="str">
        <f>IFERROR(VLOOKUP(TEXT($A$6+$A44,"MM/DD/YYYY HH:MM")&amp;"-&gt;"&amp;Q$2,search_location_2,7,0),"")</f>
        <v/>
      </c>
      <c r="S44" s="250" t="str">
        <f>IFERROR(VLOOKUP(TEXT($A$6+$A44,"MM/DD/YYYY HH:MM")&amp;"-&gt;"&amp;Q$2,search_location_2,8,0),"")</f>
        <v/>
      </c>
      <c r="T44" s="254" t="str">
        <f>IF(V44="Kickball",LOWER(IFERROR(VLOOKUP(TEXT($A$6+$A44,"MM/DD/YYYY HH:MM")&amp;"-&gt;"&amp;T$2,search_location_2,6,0)&amp;VLOOKUP(TEXT($A$6+$A44,"MM/DD/YYYY HH:MM")&amp;"-&gt;"&amp;T$2,search_location_2,9,0),"")),IFERROR(VLOOKUP(TEXT($A$6+$A44,"MM/DD/YYYY HH:MM")&amp;"-&gt;"&amp;T$2,search_location_2,6,0)&amp;VLOOKUP(TEXT($A$6+$A44,"MM/DD/YYYY HH:MM")&amp;"-&gt;"&amp;T$2,search_location_2,9,0),""))</f>
        <v/>
      </c>
      <c r="U44" s="251" t="str">
        <f>IFERROR(VLOOKUP(TEXT($A$6+$A44,"MM/DD/YYYY HH:MM")&amp;"-&gt;"&amp;T$2,search_location_2,7,0),"")</f>
        <v/>
      </c>
      <c r="V44" s="252" t="str">
        <f>IFERROR(VLOOKUP(TEXT($A$6+$A44,"MM/DD/YYYY HH:MM")&amp;"-&gt;"&amp;T$2,search_location_2,8,0),"")</f>
        <v/>
      </c>
      <c r="W44" s="249" t="str">
        <f>IFERROR(VLOOKUP(TEXT($A$6+$A44,"MM/DD/YYYY HH:MM")&amp;"-&gt;"&amp;W$2,search_location_2,6,0)&amp;VLOOKUP(TEXT($A$6+$A44,"MM/DD/YYYY HH:MM")&amp;"-&gt;"&amp;W$2,search_location_2,9,0),"")</f>
        <v/>
      </c>
      <c r="X44" s="250" t="str">
        <f>IFERROR(VLOOKUP(TEXT($A$6+$A44,"MM/DD/YYYY HH:MM")&amp;"-&gt;"&amp;W$2,search_location_2,7,0),"")</f>
        <v/>
      </c>
      <c r="Y44" s="250" t="str">
        <f>IFERROR(VLOOKUP(TEXT($A$6+$A44,"MM/DD/YYYY HH:MM")&amp;"-&gt;"&amp;W$2,search_location_2,8,0),"")</f>
        <v/>
      </c>
      <c r="Z44" s="254" t="str">
        <f>IFERROR(VLOOKUP(TEXT($A$6+$A44,"MM/DD/YYYY HH:MM")&amp;"-&gt;"&amp;Z$2,search_location_2,6,0)&amp;VLOOKUP(TEXT($A$6+$A44,"MM/DD/YYYY HH:MM")&amp;"-&gt;"&amp;Z$2,search_location_2,9,0),"")</f>
        <v/>
      </c>
      <c r="AA44" s="251" t="str">
        <f>IFERROR(VLOOKUP(TEXT($A$6+$A44,"MM/DD/YYYY HH:MM")&amp;"-&gt;"&amp;Z$2,search_location_2,7,0),"")</f>
        <v/>
      </c>
      <c r="AB44" s="252" t="str">
        <f>IFERROR(VLOOKUP(TEXT($A$6+$A44,"MM/DD/YYYY HH:MM")&amp;"-&gt;"&amp;Z$2,search_location_2,8,0),"")</f>
        <v/>
      </c>
      <c r="AC44" s="249" t="str">
        <f>IFERROR(VLOOKUP(TEXT($A$6+$A44,"MM/DD/YYYY HH:MM")&amp;"-&gt;"&amp;AC$2,search_location_2,6,0)&amp;VLOOKUP(TEXT($A$6+$A44,"MM/DD/YYYY HH:MM")&amp;"-&gt;"&amp;AC$2,search_location_2,9,0),"")</f>
        <v/>
      </c>
      <c r="AD44" s="250" t="str">
        <f>IFERROR(VLOOKUP(TEXT($A$6+$A44,"MM/DD/YYYY HH:MM")&amp;"-&gt;"&amp;AC$2,search_location_2,7,0),"")</f>
        <v/>
      </c>
      <c r="AE44" s="250" t="str">
        <f>IFERROR(VLOOKUP(TEXT($A$6+$A44,"MM/DD/YYYY HH:MM")&amp;"-&gt;"&amp;AC$2,search_location_2,8,0),"")</f>
        <v/>
      </c>
      <c r="AF44" s="254" t="str">
        <f>IFERROR(VLOOKUP(TEXT($A$6+$A44,"MM/DD/YYYY HH:MM")&amp;"-&gt;"&amp;AF$2,search_location_2,6,0)&amp;VLOOKUP(TEXT($A$6+$A44,"MM/DD/YYYY HH:MM")&amp;"-&gt;"&amp;AF$2,search_location_2,9,0),"")</f>
        <v/>
      </c>
      <c r="AG44" s="251" t="str">
        <f>IFERROR(VLOOKUP(TEXT($A$6+$A44,"MM/DD/YYYY HH:MM")&amp;"-&gt;"&amp;AF$2,search_location_2,7,0),"")</f>
        <v/>
      </c>
      <c r="AH44" s="252" t="str">
        <f>IFERROR(VLOOKUP(TEXT($A$6+$A44,"MM/DD/YYYY HH:MM")&amp;"-&gt;"&amp;AF$2,search_location_2,8,0),"")</f>
        <v/>
      </c>
      <c r="AI44" s="255"/>
    </row>
    <row r="45" spans="1:35" ht="12.75" customHeight="1" thickBot="1" x14ac:dyDescent="0.3">
      <c r="A45" s="267"/>
      <c r="B45" s="258" t="str">
        <f>IF(D45="flag football",LOWER(IFERROR(VLOOKUP(TEXT($A$6+$A44,"MM/DD/YYYY HH:MM")&amp;"-&gt;"&amp;B$3,search_location_2,6,0)&amp;VLOOKUP(TEXT($A$6+$A44,"MM/DD/YYYY HH:MM")&amp;"-&gt;"&amp;B$3,search_location_2,9,0),"")),IFERROR(VLOOKUP(TEXT($A$6+$A44,"MM/DD/YYYY HH:MM")&amp;"-&gt;"&amp;B$3,search_location_2,6,0)&amp;VLOOKUP(TEXT($A$6+$A44,"MM/DD/YYYY HH:MM")&amp;"-&gt;"&amp;B$3,search_location_2,9,0),""))</f>
        <v/>
      </c>
      <c r="C45" s="357" t="str">
        <f>IFERROR(VLOOKUP(TEXT($A$6+$A44,"MM/DD/YYYY HH:MM")&amp;"-&gt;"&amp;B$3,search_location_2,7,0),"")</f>
        <v/>
      </c>
      <c r="D45" s="357" t="str">
        <f>IFERROR(VLOOKUP(TEXT($A$6+$A44,"MM/DD/YYYY HH:MM")&amp;"-&gt;"&amp;B$3,search_location_2,8,0),"")</f>
        <v/>
      </c>
      <c r="E45" s="258" t="str">
        <f>IF(G45="flag football",LOWER(IFERROR(VLOOKUP(TEXT($A$6+$A44,"MM/DD/YYYY HH:MM")&amp;"-&gt;"&amp;E$3,search_location_2,6,0)&amp;VLOOKUP(TEXT($A$6+$A44,"MM/DD/YYYY HH:MM")&amp;"-&gt;"&amp;E$3,search_location_2,9,0),"")),IFERROR(VLOOKUP(TEXT($A$6+$A44,"MM/DD/YYYY HH:MM")&amp;"-&gt;"&amp;E$3,search_location_2,6,0)&amp;VLOOKUP(TEXT($A$6+$A44,"MM/DD/YYYY HH:MM")&amp;"-&gt;"&amp;E$3,search_location_2,9,0),""))</f>
        <v/>
      </c>
      <c r="F45" s="357" t="str">
        <f>IFERROR(VLOOKUP(TEXT($A$6+$A44,"MM/DD/YYYY HH:MM")&amp;"-&gt;"&amp;E$3,search_location_2,7,0),"")</f>
        <v/>
      </c>
      <c r="G45" s="357" t="str">
        <f>IFERROR(VLOOKUP(TEXT($A$6+$A44,"MM/DD/YYYY HH:MM")&amp;"-&gt;"&amp;E$3,search_location_2,8,0),"")</f>
        <v/>
      </c>
      <c r="H45" s="258" t="str">
        <f>IF(J45="Kickball",LOWER(IFERROR(VLOOKUP(TEXT($A$6+$A44,"MM/DD/YYYY HH:MM")&amp;"-&gt;"&amp;H$3,search_location_2,6,0)&amp;VLOOKUP(TEXT($A$6+$A44,"MM/DD/YYYY HH:MM")&amp;"-&gt;"&amp;H$3,search_location_2,9,0),"")),IFERROR(VLOOKUP(TEXT($A$6+$A44,"MM/DD/YYYY HH:MM")&amp;"-&gt;"&amp;H$3,search_location_2,6,0)&amp;VLOOKUP(TEXT($A$6+$A44,"MM/DD/YYYY HH:MM")&amp;"-&gt;"&amp;H$3,search_location_2,9,0),""))</f>
        <v/>
      </c>
      <c r="I45" s="358" t="str">
        <f>IFERROR(VLOOKUP(TEXT($A$6+$A44,"MM/DD/YYYY HH:MM")&amp;"-&gt;"&amp;H$3,search_location_2,7,0),"")</f>
        <v/>
      </c>
      <c r="J45" s="359" t="str">
        <f>IFERROR(VLOOKUP(TEXT($A$6+$A44,"MM/DD/YYYY HH:MM")&amp;"-&gt;"&amp;H$3,search_location_2,8,0),"")</f>
        <v/>
      </c>
      <c r="K45" s="258" t="str">
        <f>IFERROR(VLOOKUP(TEXT($A$6+$A44,"MM/DD/YYYY HH:MM")&amp;"-&gt;"&amp;K$3,search_location_2,6,0)&amp;VLOOKUP(TEXT($A$6+$A44,"MM/DD/YYYY HH:MM")&amp;"-&gt;"&amp;K$3,search_location_2,9,0),"")</f>
        <v/>
      </c>
      <c r="L45" s="358" t="str">
        <f>IFERROR(VLOOKUP(TEXT($A$6+$A44,"MM/DD/YYYY HH:MM")&amp;"-&gt;"&amp;K$3,search_location_2,7,0),"")</f>
        <v/>
      </c>
      <c r="M45" s="359" t="str">
        <f>IFERROR(VLOOKUP(TEXT($A$6+$A44,"MM/DD/YYYY HH:MM")&amp;"-&gt;"&amp;K$3,search_location_2,8,0),"")</f>
        <v/>
      </c>
      <c r="N45" s="262" t="str">
        <f>IFERROR(VLOOKUP(TEXT($A$6+$A44,"MM/DD/YYYY HH:MM")&amp;"-&gt;"&amp;N$3,search_location_2,6,0)&amp;VLOOKUP(TEXT($A$6+$A44,"MM/DD/YYYY HH:MM")&amp;"-&gt;"&amp;N$3,search_location_2,9,0),"")</f>
        <v/>
      </c>
      <c r="O45" s="358" t="str">
        <f>IFERROR(VLOOKUP(TEXT($A$6+$A44,"MM/DD/YYYY HH:MM")&amp;"-&gt;"&amp;N$3,search_location_2,7,0),"")</f>
        <v/>
      </c>
      <c r="P45" s="358" t="str">
        <f>IFERROR(VLOOKUP(TEXT($A$6+$A44,"MM/DD/YYYY HH:MM")&amp;"-&gt;"&amp;N$3,search_location_2,8,0),"")</f>
        <v/>
      </c>
      <c r="Q45" s="262" t="str">
        <f>IF(S45="Kickball",LOWER(IFERROR(VLOOKUP(TEXT($A$6+$A44,"MM/DD/YYYY HH:MM")&amp;"-&gt;"&amp;Q$3,search_location_2,6,0)&amp;VLOOKUP(TEXT($A$6+$A44,"MM/DD/YYYY HH:MM")&amp;"-&gt;"&amp;Q$3,search_location_2,9,0),"")),IFERROR(VLOOKUP(TEXT($A$6+$A44,"MM/DD/YYYY HH:MM")&amp;"-&gt;"&amp;Q$3,search_location_2,6,0)&amp;VLOOKUP(TEXT($A$6+$A44,"MM/DD/YYYY HH:MM")&amp;"-&gt;"&amp;Q$3,search_location_2,9,0),""))</f>
        <v/>
      </c>
      <c r="R45" s="363" t="str">
        <f>IFERROR(VLOOKUP(TEXT($A$6+$A44,"MM/DD/YYYY HH:MM")&amp;"-&gt;"&amp;Q$3,search_location_2,7,0),"")</f>
        <v/>
      </c>
      <c r="S45" s="357" t="str">
        <f>IFERROR(VLOOKUP(TEXT($A$6+$A44,"MM/DD/YYYY HH:MM")&amp;"-&gt;"&amp;Q$3,search_location_2,8,0),"")</f>
        <v/>
      </c>
      <c r="T45" s="263" t="str">
        <f>IF(V45="Kickball",LOWER(IFERROR(VLOOKUP(TEXT($A$6+$A44,"MM/DD/YYYY HH:MM")&amp;"-&gt;"&amp;T$3,search_location_2,6,0)&amp;VLOOKUP(TEXT($A$6+$A44,"MM/DD/YYYY HH:MM")&amp;"-&gt;"&amp;T$3,search_location_2,9,0),"")),IFERROR(VLOOKUP(TEXT($A$6+$A44,"MM/DD/YYYY HH:MM")&amp;"-&gt;"&amp;T$3,search_location_2,6,0)&amp;VLOOKUP(TEXT($A$6+$A44,"MM/DD/YYYY HH:MM")&amp;"-&gt;"&amp;T$3,search_location_2,9,0),""))</f>
        <v/>
      </c>
      <c r="U45" s="358" t="str">
        <f>IFERROR(VLOOKUP(TEXT($A$6+$A44,"MM/DD/YYYY HH:MM")&amp;"-&gt;"&amp;T$3,search_location_2,7,0),"")</f>
        <v/>
      </c>
      <c r="V45" s="359" t="str">
        <f>IFERROR(VLOOKUP(TEXT($A$6+$A44,"MM/DD/YYYY HH:MM")&amp;"-&gt;"&amp;T$3,search_location_2,8,0),"")</f>
        <v/>
      </c>
      <c r="W45" s="258" t="str">
        <f>IFERROR(VLOOKUP(TEXT($A$6+$A44,"MM/DD/YYYY HH:MM")&amp;"-&gt;"&amp;W$3,search_location_2,6,0)&amp;VLOOKUP(TEXT($A$6+$A44,"MM/DD/YYYY HH:MM")&amp;"-&gt;"&amp;W$3,search_location_2,9,0),"")</f>
        <v/>
      </c>
      <c r="X45" s="357" t="str">
        <f>IFERROR(VLOOKUP(TEXT($A$6+$A44,"MM/DD/YYYY HH:MM")&amp;"-&gt;"&amp;W$3,search_location_2,7,0),"")</f>
        <v/>
      </c>
      <c r="Y45" s="357" t="str">
        <f>IFERROR(VLOOKUP(TEXT($A$6+$A44,"MM/DD/YYYY HH:MM")&amp;"-&gt;"&amp;W$3,search_location_2,8,0),"")</f>
        <v/>
      </c>
      <c r="Z45" s="263" t="str">
        <f>IFERROR(VLOOKUP(TEXT($A$6+$A44,"MM/DD/YYYY HH:MM")&amp;"-&gt;"&amp;Z$3,search_location_2,6,0)&amp;VLOOKUP(TEXT($A$6+$A44,"MM/DD/YYYY HH:MM")&amp;"-&gt;"&amp;Z$3,search_location_2,9,0),"")</f>
        <v/>
      </c>
      <c r="AA45" s="358" t="str">
        <f>IFERROR(VLOOKUP(TEXT($A$6+$A44,"MM/DD/YYYY HH:MM")&amp;"-&gt;"&amp;Z$3,search_location_2,7,0),"")</f>
        <v/>
      </c>
      <c r="AB45" s="359" t="str">
        <f>IFERROR(VLOOKUP(TEXT($A$6+$A44,"MM/DD/YYYY HH:MM")&amp;"-&gt;"&amp;Z$3,search_location_2,8,0),"")</f>
        <v/>
      </c>
      <c r="AC45" s="258" t="str">
        <f>IFERROR(VLOOKUP(TEXT($A$6+$A44,"MM/DD/YYYY HH:MM")&amp;"-&gt;"&amp;AC$3,search_location_2,6,0)&amp;VLOOKUP(TEXT($A$6+$A44,"MM/DD/YYYY HH:MM")&amp;"-&gt;"&amp;AC$3,search_location_2,9,0),"")</f>
        <v/>
      </c>
      <c r="AD45" s="357" t="str">
        <f>IFERROR(VLOOKUP(TEXT($A$6+$A44,"MM/DD/YYYY HH:MM")&amp;"-&gt;"&amp;AC$3,search_location_2,7,0),"")</f>
        <v/>
      </c>
      <c r="AE45" s="357" t="str">
        <f>IFERROR(VLOOKUP(TEXT($A$6+$A44,"MM/DD/YYYY HH:MM")&amp;"-&gt;"&amp;AC$3,search_location_2,8,0),"")</f>
        <v/>
      </c>
      <c r="AF45" s="263" t="str">
        <f>IFERROR(VLOOKUP(TEXT($A$6+$A44,"MM/DD/YYYY HH:MM")&amp;"-&gt;"&amp;AF$3,search_location_2,6,0)&amp;VLOOKUP(TEXT($A$6+$A44,"MM/DD/YYYY HH:MM")&amp;"-&gt;"&amp;AF$3,search_location_2,9,0),"")</f>
        <v/>
      </c>
      <c r="AG45" s="268" t="str">
        <f>IFERROR(VLOOKUP(TEXT($A$6+$A44,"MM/DD/YYYY HH:MM")&amp;"-&gt;"&amp;AF$3,search_location_2,7,0),"")</f>
        <v/>
      </c>
      <c r="AH45" s="269" t="str">
        <f>IFERROR(VLOOKUP(TEXT($A$6+$A44,"MM/DD/YYYY HH:MM")&amp;"-&gt;"&amp;AF$3,search_location_2,8,0),"")</f>
        <v/>
      </c>
    </row>
    <row r="46" spans="1:35" ht="12.75" customHeight="1" x14ac:dyDescent="0.25">
      <c r="A46" s="270">
        <f>A44+Time_Slots</f>
        <v>0.99305555555555536</v>
      </c>
      <c r="B46" s="249" t="str">
        <f>IF(D46="flag football",LOWER(IFERROR(VLOOKUP(TEXT($A$6+$A46,"MM/DD/YYYY HH:MM")&amp;"-&gt;"&amp;B$2,search_location_2,6,0)&amp;VLOOKUP(TEXT($A$6+$A46,"MM/DD/YYYY HH:MM")&amp;"-&gt;"&amp;B$2,search_location_2,9,0),"")),IFERROR(VLOOKUP(TEXT($A$6+$A46,"MM/DD/YYYY HH:MM")&amp;"-&gt;"&amp;B$2,search_location_2,6,0)&amp;VLOOKUP(TEXT($A$6+$A46,"MM/DD/YYYY HH:MM")&amp;"-&gt;"&amp;B$2,search_location_2,9,0),""))</f>
        <v/>
      </c>
      <c r="C46" s="360" t="str">
        <f>IFERROR(VLOOKUP(TEXT($A$6+$A46,"MM/DD/YYYY HH:MM")&amp;"-&gt;"&amp;B$2,search_location_2,7,0),"")</f>
        <v/>
      </c>
      <c r="D46" s="360" t="str">
        <f>IFERROR(VLOOKUP(TEXT($A$6+$A46,"MM/DD/YYYY HH:MM")&amp;"-&gt;"&amp;B$2,search_location_2,8,0),"")</f>
        <v/>
      </c>
      <c r="E46" s="249" t="str">
        <f>IF(G46="flag football",LOWER(IFERROR(VLOOKUP(TEXT($A$6+$A46,"MM/DD/YYYY HH:MM")&amp;"-&gt;"&amp;E$2,search_location_2,6,0)&amp;VLOOKUP(TEXT($A$6+$A46,"MM/DD/YYYY HH:MM")&amp;"-&gt;"&amp;E$2,search_location_2,9,0),"")),IFERROR(VLOOKUP(TEXT($A$6+$A46,"MM/DD/YYYY HH:MM")&amp;"-&gt;"&amp;E$2,search_location_2,6,0)&amp;VLOOKUP(TEXT($A$6+$A46,"MM/DD/YYYY HH:MM")&amp;"-&gt;"&amp;E$2,search_location_2,9,0),""))</f>
        <v/>
      </c>
      <c r="F46" s="360" t="str">
        <f>IFERROR(VLOOKUP(TEXT($A$6+$A46,"MM/DD/YYYY HH:MM")&amp;"-&gt;"&amp;E$2,search_location_2,7,0),"")</f>
        <v/>
      </c>
      <c r="G46" s="360" t="str">
        <f>IFERROR(VLOOKUP(TEXT($A$6+$A46,"MM/DD/YYYY HH:MM")&amp;"-&gt;"&amp;E$2,search_location_2,8,0),"")</f>
        <v/>
      </c>
      <c r="H46" s="249" t="str">
        <f>IF(J46="Kickball",LOWER(IFERROR(VLOOKUP(TEXT($A$6+$A46,"MM/DD/YYYY HH:MM")&amp;"-&gt;"&amp;H$2,search_location_2,6,0)&amp;VLOOKUP(TEXT($A$6+$A46,"MM/DD/YYYY HH:MM")&amp;"-&gt;"&amp;H$2,search_location_2,9,0),"")),IFERROR(VLOOKUP(TEXT($A$6+$A46,"MM/DD/YYYY HH:MM")&amp;"-&gt;"&amp;H$2,search_location_2,6,0)&amp;VLOOKUP(TEXT($A$6+$A46,"MM/DD/YYYY HH:MM")&amp;"-&gt;"&amp;H$2,search_location_2,9,0),""))</f>
        <v/>
      </c>
      <c r="I46" s="361" t="str">
        <f>IFERROR(VLOOKUP(TEXT($A$6+$A46,"MM/DD/YYYY HH:MM")&amp;"-&gt;"&amp;H$2,search_location_2,7,0),"")</f>
        <v/>
      </c>
      <c r="J46" s="362" t="str">
        <f>IFERROR(VLOOKUP(TEXT($A$6+$A46,"MM/DD/YYYY HH:MM")&amp;"-&gt;"&amp;H$2,search_location_2,8,0),"")</f>
        <v/>
      </c>
      <c r="K46" s="249" t="str">
        <f>IFERROR(VLOOKUP(TEXT($A$6+$A46,"MM/DD/YYYY HH:MM")&amp;"-&gt;"&amp;K$2,search_location_2,6,0)&amp;VLOOKUP(TEXT($A$6+$A46,"MM/DD/YYYY HH:MM")&amp;"-&gt;"&amp;K$2,search_location_2,9,0),"")</f>
        <v/>
      </c>
      <c r="L46" s="361" t="str">
        <f>IFERROR(VLOOKUP(TEXT($A$6+$A46,"MM/DD/YYYY HH:MM")&amp;"-&gt;"&amp;K$2,search_location_2,7,0),"")</f>
        <v/>
      </c>
      <c r="M46" s="362" t="str">
        <f>IFERROR(VLOOKUP(TEXT($A$6+$A46,"MM/DD/YYYY HH:MM")&amp;"-&gt;"&amp;K$2,search_location_2,8,0),"")</f>
        <v/>
      </c>
      <c r="N46" s="253" t="str">
        <f>IFERROR(VLOOKUP(TEXT($A$6+$A46,"MM/DD/YYYY HH:MM")&amp;"-&gt;"&amp;N$2,search_location_2,6,0)&amp;VLOOKUP(TEXT($A$6+$A46,"MM/DD/YYYY HH:MM")&amp;"-&gt;"&amp;N$2,search_location_2,9,0),"")</f>
        <v/>
      </c>
      <c r="O46" s="361" t="str">
        <f>IFERROR(VLOOKUP(TEXT($A$6+$A46,"MM/DD/YYYY HH:MM")&amp;"-&gt;"&amp;N$2,search_location_2,7,0),"")</f>
        <v/>
      </c>
      <c r="P46" s="361" t="str">
        <f>IFERROR(VLOOKUP(TEXT($A$6+$A46,"MM/DD/YYYY HH:MM")&amp;"-&gt;"&amp;N$2,search_location_2,8,0),"")</f>
        <v/>
      </c>
      <c r="Q46" s="253" t="str">
        <f>IF(S46="Kickball",LOWER(IFERROR(VLOOKUP(TEXT($A$6+$A46,"MM/DD/YYYY HH:MM")&amp;"-&gt;"&amp;Q$2,search_location_2,6,0)&amp;VLOOKUP(TEXT($A$6+$A46,"MM/DD/YYYY HH:MM")&amp;"-&gt;"&amp;Q$2,search_location_2,9,0),"")),IFERROR(VLOOKUP(TEXT($A$6+$A46,"MM/DD/YYYY HH:MM")&amp;"-&gt;"&amp;Q$2,search_location_2,6,0)&amp;VLOOKUP(TEXT($A$6+$A46,"MM/DD/YYYY HH:MM")&amp;"-&gt;"&amp;Q$2,search_location_2,9,0),""))</f>
        <v/>
      </c>
      <c r="R46" s="364" t="str">
        <f>IFERROR(VLOOKUP(TEXT($A$6+$A46,"MM/DD/YYYY HH:MM")&amp;"-&gt;"&amp;Q$2,search_location_2,7,0),"")</f>
        <v/>
      </c>
      <c r="S46" s="360" t="str">
        <f>IFERROR(VLOOKUP(TEXT($A$6+$A46,"MM/DD/YYYY HH:MM")&amp;"-&gt;"&amp;Q$2,search_location_2,8,0),"")</f>
        <v/>
      </c>
      <c r="T46" s="254" t="str">
        <f>IF(V46="Kickball",LOWER(IFERROR(VLOOKUP(TEXT($A$6+$A46,"MM/DD/YYYY HH:MM")&amp;"-&gt;"&amp;T$2,search_location_2,6,0)&amp;VLOOKUP(TEXT($A$6+$A46,"MM/DD/YYYY HH:MM")&amp;"-&gt;"&amp;T$2,search_location_2,9,0),"")),IFERROR(VLOOKUP(TEXT($A$6+$A46,"MM/DD/YYYY HH:MM")&amp;"-&gt;"&amp;T$2,search_location_2,6,0)&amp;VLOOKUP(TEXT($A$6+$A46,"MM/DD/YYYY HH:MM")&amp;"-&gt;"&amp;T$2,search_location_2,9,0),""))</f>
        <v/>
      </c>
      <c r="U46" s="361" t="str">
        <f>IFERROR(VLOOKUP(TEXT($A$6+$A46,"MM/DD/YYYY HH:MM")&amp;"-&gt;"&amp;T$2,search_location_2,7,0),"")</f>
        <v/>
      </c>
      <c r="V46" s="362" t="str">
        <f>IFERROR(VLOOKUP(TEXT($A$6+$A46,"MM/DD/YYYY HH:MM")&amp;"-&gt;"&amp;T$2,search_location_2,8,0),"")</f>
        <v/>
      </c>
      <c r="W46" s="249" t="str">
        <f>IFERROR(VLOOKUP(TEXT($A$6+$A46,"MM/DD/YYYY HH:MM")&amp;"-&gt;"&amp;W$2,search_location_2,6,0)&amp;VLOOKUP(TEXT($A$6+$A46,"MM/DD/YYYY HH:MM")&amp;"-&gt;"&amp;W$2,search_location_2,9,0),"")</f>
        <v/>
      </c>
      <c r="X46" s="360" t="str">
        <f>IFERROR(VLOOKUP(TEXT($A$6+$A46,"MM/DD/YYYY HH:MM")&amp;"-&gt;"&amp;W$2,search_location_2,7,0),"")</f>
        <v/>
      </c>
      <c r="Y46" s="360" t="str">
        <f>IFERROR(VLOOKUP(TEXT($A$6+$A46,"MM/DD/YYYY HH:MM")&amp;"-&gt;"&amp;W$2,search_location_2,8,0),"")</f>
        <v/>
      </c>
      <c r="Z46" s="254" t="str">
        <f>IFERROR(VLOOKUP(TEXT($A$6+$A46,"MM/DD/YYYY HH:MM")&amp;"-&gt;"&amp;Z$2,search_location_2,6,0)&amp;VLOOKUP(TEXT($A$6+$A46,"MM/DD/YYYY HH:MM")&amp;"-&gt;"&amp;Z$2,search_location_2,9,0),"")</f>
        <v/>
      </c>
      <c r="AA46" s="361" t="str">
        <f>IFERROR(VLOOKUP(TEXT($A$6+$A46,"MM/DD/YYYY HH:MM")&amp;"-&gt;"&amp;Z$2,search_location_2,7,0),"")</f>
        <v/>
      </c>
      <c r="AB46" s="362" t="str">
        <f>IFERROR(VLOOKUP(TEXT($A$6+$A46,"MM/DD/YYYY HH:MM")&amp;"-&gt;"&amp;Z$2,search_location_2,8,0),"")</f>
        <v/>
      </c>
      <c r="AC46" s="249" t="str">
        <f>IFERROR(VLOOKUP(TEXT($A$6+$A46,"MM/DD/YYYY HH:MM")&amp;"-&gt;"&amp;AC$2,search_location_2,6,0)&amp;VLOOKUP(TEXT($A$6+$A46,"MM/DD/YYYY HH:MM")&amp;"-&gt;"&amp;AC$2,search_location_2,9,0),"")</f>
        <v/>
      </c>
      <c r="AD46" s="360" t="str">
        <f>IFERROR(VLOOKUP(TEXT($A$6+$A46,"MM/DD/YYYY HH:MM")&amp;"-&gt;"&amp;AC$2,search_location_2,7,0),"")</f>
        <v/>
      </c>
      <c r="AE46" s="360" t="str">
        <f>IFERROR(VLOOKUP(TEXT($A$6+$A46,"MM/DD/YYYY HH:MM")&amp;"-&gt;"&amp;AC$2,search_location_2,8,0),"")</f>
        <v/>
      </c>
      <c r="AF46" s="254" t="str">
        <f>IFERROR(VLOOKUP(TEXT($A$6+$A46,"MM/DD/YYYY HH:MM")&amp;"-&gt;"&amp;AF$2,search_location_2,6,0)&amp;VLOOKUP(TEXT($A$6+$A46,"MM/DD/YYYY HH:MM")&amp;"-&gt;"&amp;AF$2,search_location_2,9,0),"")</f>
        <v/>
      </c>
      <c r="AG46" s="272" t="str">
        <f>IFERROR(VLOOKUP(TEXT($A$6+$A46,"MM/DD/YYYY HH:MM")&amp;"-&gt;"&amp;AF$2,search_location_2,7,0),"")</f>
        <v/>
      </c>
      <c r="AH46" s="273" t="str">
        <f>IFERROR(VLOOKUP(TEXT($A$6+$A46,"MM/DD/YYYY HH:MM")&amp;"-&gt;"&amp;AF$2,search_location_2,8,0),"")</f>
        <v/>
      </c>
    </row>
    <row r="47" spans="1:35" ht="12.75" customHeight="1" thickBot="1" x14ac:dyDescent="0.3">
      <c r="A47" s="267"/>
      <c r="B47" s="258" t="str">
        <f>IF(D47="flag football",LOWER(IFERROR(VLOOKUP(TEXT($A$6+$A46,"MM/DD/YYYY HH:MM")&amp;"-&gt;"&amp;B$3,search_location_2,6,0)&amp;VLOOKUP(TEXT($A$6+$A46,"MM/DD/YYYY HH:MM")&amp;"-&gt;"&amp;B$3,search_location_2,9,0),"")),IFERROR(VLOOKUP(TEXT($A$6+$A46,"MM/DD/YYYY HH:MM")&amp;"-&gt;"&amp;B$3,search_location_2,6,0)&amp;VLOOKUP(TEXT($A$6+$A46,"MM/DD/YYYY HH:MM")&amp;"-&gt;"&amp;B$3,search_location_2,9,0),""))</f>
        <v/>
      </c>
      <c r="C47" s="357" t="str">
        <f>IFERROR(VLOOKUP(TEXT($A$6+$A46,"MM/DD/YYYY HH:MM")&amp;"-&gt;"&amp;B$3,search_location_2,7,0),"")</f>
        <v/>
      </c>
      <c r="D47" s="357" t="str">
        <f>IFERROR(VLOOKUP(TEXT($A$6+$A46,"MM/DD/YYYY HH:MM")&amp;"-&gt;"&amp;B$3,search_location_2,8,0),"")</f>
        <v/>
      </c>
      <c r="E47" s="258" t="str">
        <f>IF(G47="flag football",LOWER(IFERROR(VLOOKUP(TEXT($A$6+$A46,"MM/DD/YYYY HH:MM")&amp;"-&gt;"&amp;E$3,search_location_2,6,0)&amp;VLOOKUP(TEXT($A$6+$A46,"MM/DD/YYYY HH:MM")&amp;"-&gt;"&amp;E$3,search_location_2,9,0),"")),IFERROR(VLOOKUP(TEXT($A$6+$A46,"MM/DD/YYYY HH:MM")&amp;"-&gt;"&amp;E$3,search_location_2,6,0)&amp;VLOOKUP(TEXT($A$6+$A46,"MM/DD/YYYY HH:MM")&amp;"-&gt;"&amp;E$3,search_location_2,9,0),""))</f>
        <v/>
      </c>
      <c r="F47" s="357" t="str">
        <f>IFERROR(VLOOKUP(TEXT($A$6+$A46,"MM/DD/YYYY HH:MM")&amp;"-&gt;"&amp;E$3,search_location_2,7,0),"")</f>
        <v/>
      </c>
      <c r="G47" s="357" t="str">
        <f>IFERROR(VLOOKUP(TEXT($A$6+$A46,"MM/DD/YYYY HH:MM")&amp;"-&gt;"&amp;E$3,search_location_2,8,0),"")</f>
        <v/>
      </c>
      <c r="H47" s="258" t="str">
        <f>IF(J47="Kickball",LOWER(IFERROR(VLOOKUP(TEXT($A$6+$A46,"MM/DD/YYYY HH:MM")&amp;"-&gt;"&amp;H$3,search_location_2,6,0)&amp;VLOOKUP(TEXT($A$6+$A46,"MM/DD/YYYY HH:MM")&amp;"-&gt;"&amp;H$3,search_location_2,9,0),"")),IFERROR(VLOOKUP(TEXT($A$6+$A46,"MM/DD/YYYY HH:MM")&amp;"-&gt;"&amp;H$3,search_location_2,6,0)&amp;VLOOKUP(TEXT($A$6+$A46,"MM/DD/YYYY HH:MM")&amp;"-&gt;"&amp;H$3,search_location_2,9,0),""))</f>
        <v/>
      </c>
      <c r="I47" s="358" t="str">
        <f>IFERROR(VLOOKUP(TEXT($A$6+$A46,"MM/DD/YYYY HH:MM")&amp;"-&gt;"&amp;H$3,search_location_2,7,0),"")</f>
        <v/>
      </c>
      <c r="J47" s="359" t="str">
        <f>IFERROR(VLOOKUP(TEXT($A$6+$A46,"MM/DD/YYYY HH:MM")&amp;"-&gt;"&amp;H$3,search_location_2,8,0),"")</f>
        <v/>
      </c>
      <c r="K47" s="258" t="str">
        <f>IFERROR(VLOOKUP(TEXT($A$6+$A46,"MM/DD/YYYY HH:MM")&amp;"-&gt;"&amp;K$3,search_location_2,6,0)&amp;VLOOKUP(TEXT($A$6+$A46,"MM/DD/YYYY HH:MM")&amp;"-&gt;"&amp;K$3,search_location_2,9,0),"")</f>
        <v/>
      </c>
      <c r="L47" s="358" t="str">
        <f>IFERROR(VLOOKUP(TEXT($A$6+$A46,"MM/DD/YYYY HH:MM")&amp;"-&gt;"&amp;K$3,search_location_2,7,0),"")</f>
        <v/>
      </c>
      <c r="M47" s="359" t="str">
        <f>IFERROR(VLOOKUP(TEXT($A$6+$A46,"MM/DD/YYYY HH:MM")&amp;"-&gt;"&amp;K$3,search_location_2,8,0),"")</f>
        <v/>
      </c>
      <c r="N47" s="262" t="str">
        <f>IFERROR(VLOOKUP(TEXT($A$6+$A46,"MM/DD/YYYY HH:MM")&amp;"-&gt;"&amp;N$3,search_location_2,6,0)&amp;VLOOKUP(TEXT($A$6+$A46,"MM/DD/YYYY HH:MM")&amp;"-&gt;"&amp;N$3,search_location_2,9,0),"")</f>
        <v/>
      </c>
      <c r="O47" s="358" t="str">
        <f>IFERROR(VLOOKUP(TEXT($A$6+$A46,"MM/DD/YYYY HH:MM")&amp;"-&gt;"&amp;N$3,search_location_2,7,0),"")</f>
        <v/>
      </c>
      <c r="P47" s="358" t="str">
        <f>IFERROR(VLOOKUP(TEXT($A$6+$A46,"MM/DD/YYYY HH:MM")&amp;"-&gt;"&amp;N$3,search_location_2,8,0),"")</f>
        <v/>
      </c>
      <c r="Q47" s="262" t="str">
        <f>IF(S47="Kickball",LOWER(IFERROR(VLOOKUP(TEXT($A$6+$A46,"MM/DD/YYYY HH:MM")&amp;"-&gt;"&amp;Q$3,search_location_2,6,0)&amp;VLOOKUP(TEXT($A$6+$A46,"MM/DD/YYYY HH:MM")&amp;"-&gt;"&amp;Q$3,search_location_2,9,0),"")),IFERROR(VLOOKUP(TEXT($A$6+$A46,"MM/DD/YYYY HH:MM")&amp;"-&gt;"&amp;Q$3,search_location_2,6,0)&amp;VLOOKUP(TEXT($A$6+$A46,"MM/DD/YYYY HH:MM")&amp;"-&gt;"&amp;Q$3,search_location_2,9,0),""))</f>
        <v/>
      </c>
      <c r="R47" s="363" t="str">
        <f>IFERROR(VLOOKUP(TEXT($A$6+$A46,"MM/DD/YYYY HH:MM")&amp;"-&gt;"&amp;Q$3,search_location_2,7,0),"")</f>
        <v/>
      </c>
      <c r="S47" s="357" t="str">
        <f>IFERROR(VLOOKUP(TEXT($A$6+$A46,"MM/DD/YYYY HH:MM")&amp;"-&gt;"&amp;Q$3,search_location_2,8,0),"")</f>
        <v/>
      </c>
      <c r="T47" s="263" t="str">
        <f>IF(V47="Kickball",LOWER(IFERROR(VLOOKUP(TEXT($A$6+$A46,"MM/DD/YYYY HH:MM")&amp;"-&gt;"&amp;T$3,search_location_2,6,0)&amp;VLOOKUP(TEXT($A$6+$A46,"MM/DD/YYYY HH:MM")&amp;"-&gt;"&amp;T$3,search_location_2,9,0),"")),IFERROR(VLOOKUP(TEXT($A$6+$A46,"MM/DD/YYYY HH:MM")&amp;"-&gt;"&amp;T$3,search_location_2,6,0)&amp;VLOOKUP(TEXT($A$6+$A46,"MM/DD/YYYY HH:MM")&amp;"-&gt;"&amp;T$3,search_location_2,9,0),""))</f>
        <v/>
      </c>
      <c r="U47" s="358" t="str">
        <f>IFERROR(VLOOKUP(TEXT($A$6+$A46,"MM/DD/YYYY HH:MM")&amp;"-&gt;"&amp;T$3,search_location_2,7,0),"")</f>
        <v/>
      </c>
      <c r="V47" s="359" t="str">
        <f>IFERROR(VLOOKUP(TEXT($A$6+$A46,"MM/DD/YYYY HH:MM")&amp;"-&gt;"&amp;T$3,search_location_2,8,0),"")</f>
        <v/>
      </c>
      <c r="W47" s="258" t="str">
        <f>IFERROR(VLOOKUP(TEXT($A$6+$A46,"MM/DD/YYYY HH:MM")&amp;"-&gt;"&amp;W$3,search_location_2,6,0)&amp;VLOOKUP(TEXT($A$6+$A46,"MM/DD/YYYY HH:MM")&amp;"-&gt;"&amp;W$3,search_location_2,9,0),"")</f>
        <v/>
      </c>
      <c r="X47" s="357" t="str">
        <f>IFERROR(VLOOKUP(TEXT($A$6+$A46,"MM/DD/YYYY HH:MM")&amp;"-&gt;"&amp;W$3,search_location_2,7,0),"")</f>
        <v/>
      </c>
      <c r="Y47" s="357" t="str">
        <f>IFERROR(VLOOKUP(TEXT($A$6+$A46,"MM/DD/YYYY HH:MM")&amp;"-&gt;"&amp;W$3,search_location_2,8,0),"")</f>
        <v/>
      </c>
      <c r="Z47" s="263" t="str">
        <f>IFERROR(VLOOKUP(TEXT($A$6+$A46,"MM/DD/YYYY HH:MM")&amp;"-&gt;"&amp;Z$3,search_location_2,6,0)&amp;VLOOKUP(TEXT($A$6+$A46,"MM/DD/YYYY HH:MM")&amp;"-&gt;"&amp;Z$3,search_location_2,9,0),"")</f>
        <v/>
      </c>
      <c r="AA47" s="358" t="str">
        <f>IFERROR(VLOOKUP(TEXT($A$6+$A46,"MM/DD/YYYY HH:MM")&amp;"-&gt;"&amp;Z$3,search_location_2,7,0),"")</f>
        <v/>
      </c>
      <c r="AB47" s="359" t="str">
        <f>IFERROR(VLOOKUP(TEXT($A$6+$A46,"MM/DD/YYYY HH:MM")&amp;"-&gt;"&amp;Z$3,search_location_2,8,0),"")</f>
        <v/>
      </c>
      <c r="AC47" s="258" t="str">
        <f>IFERROR(VLOOKUP(TEXT($A$6+$A46,"MM/DD/YYYY HH:MM")&amp;"-&gt;"&amp;AC$3,search_location_2,6,0)&amp;VLOOKUP(TEXT($A$6+$A46,"MM/DD/YYYY HH:MM")&amp;"-&gt;"&amp;AC$3,search_location_2,9,0),"")</f>
        <v/>
      </c>
      <c r="AD47" s="357" t="str">
        <f>IFERROR(VLOOKUP(TEXT($A$6+$A46,"MM/DD/YYYY HH:MM")&amp;"-&gt;"&amp;AC$3,search_location_2,7,0),"")</f>
        <v/>
      </c>
      <c r="AE47" s="357" t="str">
        <f>IFERROR(VLOOKUP(TEXT($A$6+$A46,"MM/DD/YYYY HH:MM")&amp;"-&gt;"&amp;AC$3,search_location_2,8,0),"")</f>
        <v/>
      </c>
      <c r="AF47" s="263" t="str">
        <f>IFERROR(VLOOKUP(TEXT($A$6+$A46,"MM/DD/YYYY HH:MM")&amp;"-&gt;"&amp;AF$3,search_location_2,6,0)&amp;VLOOKUP(TEXT($A$6+$A46,"MM/DD/YYYY HH:MM")&amp;"-&gt;"&amp;AF$3,search_location_2,9,0),"")</f>
        <v/>
      </c>
      <c r="AG47" s="268" t="str">
        <f>IFERROR(VLOOKUP(TEXT($A$6+$A46,"MM/DD/YYYY HH:MM")&amp;"-&gt;"&amp;AF$3,search_location_2,7,0),"")</f>
        <v/>
      </c>
      <c r="AH47" s="269" t="str">
        <f>IFERROR(VLOOKUP(TEXT($A$6+$A46,"MM/DD/YYYY HH:MM")&amp;"-&gt;"&amp;AF$3,search_location_2,8,0),"")</f>
        <v/>
      </c>
    </row>
    <row r="49" spans="1:11" x14ac:dyDescent="0.2">
      <c r="A49" s="208" t="s">
        <v>170</v>
      </c>
    </row>
    <row r="50" spans="1:11" ht="4.5" customHeight="1" x14ac:dyDescent="0.2"/>
    <row r="51" spans="1:11" ht="16" x14ac:dyDescent="0.2">
      <c r="A51" s="274" t="s">
        <v>171</v>
      </c>
      <c r="B51" s="275" t="s">
        <v>172</v>
      </c>
      <c r="H51" s="286" t="s">
        <v>171</v>
      </c>
      <c r="K51" s="287" t="s">
        <v>180</v>
      </c>
    </row>
    <row r="52" spans="1:11" ht="16" x14ac:dyDescent="0.2">
      <c r="A52" s="276" t="s">
        <v>173</v>
      </c>
      <c r="B52" s="277" t="s">
        <v>174</v>
      </c>
      <c r="H52" s="289" t="s">
        <v>173</v>
      </c>
      <c r="K52" s="280" t="s">
        <v>181</v>
      </c>
    </row>
    <row r="53" spans="1:11" ht="16" x14ac:dyDescent="0.2">
      <c r="A53" s="278" t="s">
        <v>173</v>
      </c>
      <c r="B53" s="278" t="s">
        <v>175</v>
      </c>
      <c r="H53" s="290" t="s">
        <v>171</v>
      </c>
      <c r="K53" s="290" t="s">
        <v>182</v>
      </c>
    </row>
    <row r="54" spans="1:11" ht="16" x14ac:dyDescent="0.2">
      <c r="A54" s="279" t="s">
        <v>171</v>
      </c>
      <c r="B54" s="280" t="s">
        <v>176</v>
      </c>
      <c r="H54" s="291" t="s">
        <v>173</v>
      </c>
      <c r="K54" s="285" t="s">
        <v>183</v>
      </c>
    </row>
    <row r="55" spans="1:11" ht="16" x14ac:dyDescent="0.2">
      <c r="A55" s="281" t="s">
        <v>171</v>
      </c>
      <c r="B55" s="282" t="s">
        <v>177</v>
      </c>
      <c r="H55" s="292" t="s">
        <v>184</v>
      </c>
      <c r="K55" s="292" t="s">
        <v>185</v>
      </c>
    </row>
    <row r="56" spans="1:11" ht="16" x14ac:dyDescent="0.2">
      <c r="A56" s="283" t="s">
        <v>173</v>
      </c>
      <c r="B56" s="283" t="s">
        <v>178</v>
      </c>
      <c r="H56" s="293" t="s">
        <v>171</v>
      </c>
      <c r="K56" s="285" t="s">
        <v>186</v>
      </c>
    </row>
    <row r="57" spans="1:11" ht="16" x14ac:dyDescent="0.2">
      <c r="A57" s="284" t="s">
        <v>171</v>
      </c>
      <c r="B57" s="285" t="s">
        <v>179</v>
      </c>
      <c r="H57" s="294" t="s">
        <v>171</v>
      </c>
      <c r="K57" s="285" t="s">
        <v>187</v>
      </c>
    </row>
    <row r="58" spans="1:11" ht="16" x14ac:dyDescent="0.2">
      <c r="C58" s="288"/>
      <c r="H58" s="295" t="s">
        <v>171</v>
      </c>
      <c r="K58" s="285" t="s">
        <v>188</v>
      </c>
    </row>
    <row r="68" spans="1:2" ht="16" thickBot="1" x14ac:dyDescent="0.25"/>
    <row r="69" spans="1:2" ht="16" thickBot="1" x14ac:dyDescent="0.25">
      <c r="A69" s="271" t="s">
        <v>189</v>
      </c>
      <c r="B69" s="271" t="s">
        <v>189</v>
      </c>
    </row>
    <row r="70" spans="1:2" ht="16" thickBot="1" x14ac:dyDescent="0.25">
      <c r="A70" s="271" t="s">
        <v>190</v>
      </c>
      <c r="B70" s="271" t="s">
        <v>190</v>
      </c>
    </row>
    <row r="71" spans="1:2" ht="16" thickBot="1" x14ac:dyDescent="0.25">
      <c r="A71" s="271" t="s">
        <v>191</v>
      </c>
      <c r="B71" s="271" t="s">
        <v>191</v>
      </c>
    </row>
    <row r="72" spans="1:2" ht="16" thickBot="1" x14ac:dyDescent="0.25">
      <c r="A72" s="271" t="s">
        <v>192</v>
      </c>
      <c r="B72" s="271" t="s">
        <v>192</v>
      </c>
    </row>
    <row r="73" spans="1:2" ht="16" thickBot="1" x14ac:dyDescent="0.25">
      <c r="A73" s="271" t="s">
        <v>193</v>
      </c>
      <c r="B73" s="271" t="s">
        <v>193</v>
      </c>
    </row>
    <row r="74" spans="1:2" ht="16" thickBot="1" x14ac:dyDescent="0.25">
      <c r="A74" s="271" t="s">
        <v>194</v>
      </c>
      <c r="B74" s="271" t="s">
        <v>194</v>
      </c>
    </row>
    <row r="75" spans="1:2" ht="16" thickBot="1" x14ac:dyDescent="0.25">
      <c r="A75" s="271" t="s">
        <v>195</v>
      </c>
      <c r="B75" s="271" t="s">
        <v>195</v>
      </c>
    </row>
    <row r="76" spans="1:2" ht="16" thickBot="1" x14ac:dyDescent="0.25">
      <c r="A76" s="271" t="s">
        <v>196</v>
      </c>
      <c r="B76" s="271" t="s">
        <v>196</v>
      </c>
    </row>
    <row r="77" spans="1:2" ht="16" thickBot="1" x14ac:dyDescent="0.25">
      <c r="A77" s="271" t="s">
        <v>197</v>
      </c>
      <c r="B77" s="271" t="s">
        <v>197</v>
      </c>
    </row>
    <row r="78" spans="1:2" ht="16" thickBot="1" x14ac:dyDescent="0.25">
      <c r="A78" s="271" t="s">
        <v>198</v>
      </c>
      <c r="B78" s="271" t="s">
        <v>198</v>
      </c>
    </row>
    <row r="79" spans="1:2" ht="16" thickBot="1" x14ac:dyDescent="0.25">
      <c r="A79" s="271" t="s">
        <v>199</v>
      </c>
      <c r="B79" s="271" t="s">
        <v>199</v>
      </c>
    </row>
    <row r="80" spans="1:2" ht="16" thickBot="1" x14ac:dyDescent="0.25">
      <c r="A80" s="271" t="s">
        <v>200</v>
      </c>
      <c r="B80" s="271" t="s">
        <v>200</v>
      </c>
    </row>
    <row r="81" spans="1:2" ht="16" thickBot="1" x14ac:dyDescent="0.25">
      <c r="A81" s="271" t="s">
        <v>201</v>
      </c>
      <c r="B81" s="271" t="s">
        <v>201</v>
      </c>
    </row>
    <row r="82" spans="1:2" ht="16" thickBot="1" x14ac:dyDescent="0.25">
      <c r="A82" s="271" t="s">
        <v>202</v>
      </c>
      <c r="B82" s="271" t="s">
        <v>202</v>
      </c>
    </row>
    <row r="83" spans="1:2" x14ac:dyDescent="0.2">
      <c r="A83" s="271" t="s">
        <v>203</v>
      </c>
      <c r="B83" s="271" t="s">
        <v>203</v>
      </c>
    </row>
  </sheetData>
  <conditionalFormatting sqref="A69:A83">
    <cfRule type="expression" dxfId="841" priority="1936" stopIfTrue="1">
      <formula>B69="children e female"</formula>
    </cfRule>
    <cfRule type="expression" dxfId="840" priority="1937" stopIfTrue="1">
      <formula>B69="children e male"</formula>
    </cfRule>
    <cfRule type="expression" dxfId="839" priority="1938" stopIfTrue="1">
      <formula>B69="children d female"</formula>
    </cfRule>
    <cfRule type="expression" dxfId="838" priority="1939" stopIfTrue="1">
      <formula>B69="children d male"</formula>
    </cfRule>
    <cfRule type="expression" dxfId="837" priority="1940" stopIfTrue="1">
      <formula>B69="Children c female"</formula>
    </cfRule>
    <cfRule type="expression" dxfId="836" priority="1941" stopIfTrue="1">
      <formula>B69="children c male"</formula>
    </cfRule>
    <cfRule type="expression" dxfId="835" priority="1942" stopIfTrue="1">
      <formula>B69="children b coed"</formula>
    </cfRule>
    <cfRule type="expression" dxfId="834" priority="1943" stopIfTrue="1">
      <formula>B69="children a coed"</formula>
    </cfRule>
    <cfRule type="expression" dxfId="833" priority="1944" stopIfTrue="1">
      <formula>B69="Juniors female"</formula>
    </cfRule>
    <cfRule type="expression" dxfId="832" priority="1945" stopIfTrue="1">
      <formula>B69="Juniors B male"</formula>
    </cfRule>
    <cfRule type="expression" dxfId="831" priority="1946" stopIfTrue="1">
      <formula>B69="juniors a male"</formula>
    </cfRule>
    <cfRule type="expression" dxfId="830" priority="1947" stopIfTrue="1">
      <formula>B69="adults female"</formula>
    </cfRule>
    <cfRule type="expression" dxfId="829" priority="1948" stopIfTrue="1">
      <formula>B69="college"</formula>
    </cfRule>
    <cfRule type="expression" dxfId="828" priority="1949" stopIfTrue="1">
      <formula>B69="adults male"</formula>
    </cfRule>
    <cfRule type="expression" dxfId="827" priority="1950" stopIfTrue="1">
      <formula>B69="veterans male"</formula>
    </cfRule>
  </conditionalFormatting>
  <conditionalFormatting sqref="B69:B83">
    <cfRule type="expression" dxfId="826" priority="1921" stopIfTrue="1">
      <formula>C69="children e female"</formula>
    </cfRule>
    <cfRule type="expression" dxfId="825" priority="1922" stopIfTrue="1">
      <formula>C69="children e male"</formula>
    </cfRule>
    <cfRule type="expression" dxfId="824" priority="1923" stopIfTrue="1">
      <formula>C69="children d female"</formula>
    </cfRule>
    <cfRule type="expression" dxfId="823" priority="1924" stopIfTrue="1">
      <formula>C69="children d male"</formula>
    </cfRule>
    <cfRule type="expression" dxfId="822" priority="1925" stopIfTrue="1">
      <formula>C69="Children c female"</formula>
    </cfRule>
    <cfRule type="expression" dxfId="821" priority="1926" stopIfTrue="1">
      <formula>C69="children c male"</formula>
    </cfRule>
    <cfRule type="expression" dxfId="820" priority="1927" stopIfTrue="1">
      <formula>C69="children b coed"</formula>
    </cfRule>
    <cfRule type="expression" dxfId="819" priority="1928" stopIfTrue="1">
      <formula>C69="children a coed"</formula>
    </cfRule>
    <cfRule type="expression" dxfId="818" priority="1929" stopIfTrue="1">
      <formula>C69="Juniors female"</formula>
    </cfRule>
    <cfRule type="expression" dxfId="817" priority="1930" stopIfTrue="1">
      <formula>C69="Juniors B male"</formula>
    </cfRule>
    <cfRule type="expression" dxfId="816" priority="1931" stopIfTrue="1">
      <formula>C69="juniors a male"</formula>
    </cfRule>
    <cfRule type="expression" dxfId="815" priority="1932" stopIfTrue="1">
      <formula>C69="adults female"</formula>
    </cfRule>
    <cfRule type="expression" dxfId="814" priority="1933" stopIfTrue="1">
      <formula>C69="college"</formula>
    </cfRule>
    <cfRule type="expression" dxfId="813" priority="1934" stopIfTrue="1">
      <formula>C69="adults male"</formula>
    </cfRule>
    <cfRule type="expression" dxfId="812" priority="1935" stopIfTrue="1">
      <formula>C69="veterans male"</formula>
    </cfRule>
  </conditionalFormatting>
  <conditionalFormatting sqref="U9 N11:O11 U11 U13 U15 U17 U19 U21 U23 U25 U27 U29 U37 U31 U33 U35 U39 O41:O47 U41:U47 N13:O13 N15:O15 N17:O17 N19:O19 N21:O21 N23:O23 N25:O25 N27:O27 N29:O29 N31:O31 N33:O33 N35:O35 N37:O37 N39:O39 N41 N43 N45 N47 T8:T47 N9:O9">
    <cfRule type="expression" dxfId="811" priority="571" stopIfTrue="1">
      <formula>O8="children e female"</formula>
    </cfRule>
    <cfRule type="expression" dxfId="810" priority="572" stopIfTrue="1">
      <formula>O8="children e male"</formula>
    </cfRule>
    <cfRule type="expression" dxfId="809" priority="573" stopIfTrue="1">
      <formula>O8="children d female"</formula>
    </cfRule>
    <cfRule type="expression" dxfId="808" priority="574" stopIfTrue="1">
      <formula>O8="children d male"</formula>
    </cfRule>
    <cfRule type="expression" dxfId="807" priority="575" stopIfTrue="1">
      <formula>O8="Children c female"</formula>
    </cfRule>
    <cfRule type="expression" dxfId="806" priority="576" stopIfTrue="1">
      <formula>O8="children c male"</formula>
    </cfRule>
    <cfRule type="expression" dxfId="805" priority="577" stopIfTrue="1">
      <formula>O8="children b coed"</formula>
    </cfRule>
    <cfRule type="expression" dxfId="804" priority="578" stopIfTrue="1">
      <formula>O8="children a coed"</formula>
    </cfRule>
    <cfRule type="expression" dxfId="803" priority="579" stopIfTrue="1">
      <formula>O8="Juniors female"</formula>
    </cfRule>
    <cfRule type="expression" dxfId="802" priority="580" stopIfTrue="1">
      <formula>O8="Juniors B male"</formula>
    </cfRule>
    <cfRule type="expression" dxfId="801" priority="581" stopIfTrue="1">
      <formula>O8="juniors a male"</formula>
    </cfRule>
    <cfRule type="expression" dxfId="800" priority="582" stopIfTrue="1">
      <formula>O8="adults female"</formula>
    </cfRule>
    <cfRule type="expression" dxfId="799" priority="583" stopIfTrue="1">
      <formula>O8="college"</formula>
    </cfRule>
    <cfRule type="expression" dxfId="798" priority="584" stopIfTrue="1">
      <formula>O8="adults male"</formula>
    </cfRule>
    <cfRule type="expression" dxfId="797" priority="585" stopIfTrue="1">
      <formula>O8="veterans male"</formula>
    </cfRule>
  </conditionalFormatting>
  <conditionalFormatting sqref="W10 W12 W14 W16 W18 W20 W22 W24 W26 W28 W30 W32 W34 W36 W38 W40 W42 W44 W46 W8">
    <cfRule type="expression" dxfId="796" priority="556" stopIfTrue="1">
      <formula>X8="children e female"</formula>
    </cfRule>
    <cfRule type="expression" dxfId="795" priority="557" stopIfTrue="1">
      <formula>X8="children e male"</formula>
    </cfRule>
    <cfRule type="expression" dxfId="794" priority="558" stopIfTrue="1">
      <formula>X8="children d female"</formula>
    </cfRule>
    <cfRule type="expression" dxfId="793" priority="559" stopIfTrue="1">
      <formula>X8="children d male"</formula>
    </cfRule>
    <cfRule type="expression" dxfId="792" priority="560" stopIfTrue="1">
      <formula>X8="Children c female"</formula>
    </cfRule>
    <cfRule type="expression" dxfId="791" priority="561" stopIfTrue="1">
      <formula>X8="children c male"</formula>
    </cfRule>
    <cfRule type="expression" dxfId="790" priority="562" stopIfTrue="1">
      <formula>X8="children b coed"</formula>
    </cfRule>
    <cfRule type="expression" dxfId="789" priority="563" stopIfTrue="1">
      <formula>X8="children a coed"</formula>
    </cfRule>
    <cfRule type="expression" dxfId="788" priority="564" stopIfTrue="1">
      <formula>X8="Juniors female"</formula>
    </cfRule>
    <cfRule type="expression" dxfId="787" priority="565" stopIfTrue="1">
      <formula>X8="Juniors B male"</formula>
    </cfRule>
    <cfRule type="expression" dxfId="786" priority="566" stopIfTrue="1">
      <formula>X8="juniors a male"</formula>
    </cfRule>
    <cfRule type="expression" dxfId="785" priority="567" stopIfTrue="1">
      <formula>X8="adults female"</formula>
    </cfRule>
    <cfRule type="expression" dxfId="784" priority="568" stopIfTrue="1">
      <formula>X8="college"</formula>
    </cfRule>
    <cfRule type="expression" dxfId="783" priority="569" stopIfTrue="1">
      <formula>X8="adults male"</formula>
    </cfRule>
    <cfRule type="expression" dxfId="782" priority="570" stopIfTrue="1">
      <formula>X8="veterans male"</formula>
    </cfRule>
  </conditionalFormatting>
  <conditionalFormatting sqref="Z11 Z13 Z15 Z17 Z19 Z21 Z23 Z25 Z27 Z29 Z31 Z33 Z35 Z37 Z39 Z41 Z43 Z45 Z47 Z9">
    <cfRule type="expression" dxfId="781" priority="481" stopIfTrue="1">
      <formula>AA9="children e female"</formula>
    </cfRule>
    <cfRule type="expression" dxfId="780" priority="482" stopIfTrue="1">
      <formula>AA9="children e male"</formula>
    </cfRule>
    <cfRule type="expression" dxfId="779" priority="483" stopIfTrue="1">
      <formula>AA9="children d female"</formula>
    </cfRule>
    <cfRule type="expression" dxfId="778" priority="484" stopIfTrue="1">
      <formula>AA9="children d male"</formula>
    </cfRule>
    <cfRule type="expression" dxfId="777" priority="485" stopIfTrue="1">
      <formula>AA9="Children c female"</formula>
    </cfRule>
    <cfRule type="expression" dxfId="776" priority="486" stopIfTrue="1">
      <formula>AA9="children c male"</formula>
    </cfRule>
    <cfRule type="expression" dxfId="775" priority="487" stopIfTrue="1">
      <formula>AA9="children b coed"</formula>
    </cfRule>
    <cfRule type="expression" dxfId="774" priority="488" stopIfTrue="1">
      <formula>AA9="children a coed"</formula>
    </cfRule>
    <cfRule type="expression" dxfId="773" priority="489" stopIfTrue="1">
      <formula>AA9="Juniors female"</formula>
    </cfRule>
    <cfRule type="expression" dxfId="772" priority="490" stopIfTrue="1">
      <formula>AA9="Juniors B male"</formula>
    </cfRule>
    <cfRule type="expression" dxfId="771" priority="491" stopIfTrue="1">
      <formula>AA9="juniors a male"</formula>
    </cfRule>
    <cfRule type="expression" dxfId="770" priority="492" stopIfTrue="1">
      <formula>AA9="adults female"</formula>
    </cfRule>
    <cfRule type="expression" dxfId="769" priority="493" stopIfTrue="1">
      <formula>AA9="college"</formula>
    </cfRule>
    <cfRule type="expression" dxfId="768" priority="494" stopIfTrue="1">
      <formula>AA9="adults male"</formula>
    </cfRule>
    <cfRule type="expression" dxfId="767" priority="495" stopIfTrue="1">
      <formula>AA9="veterans male"</formula>
    </cfRule>
  </conditionalFormatting>
  <conditionalFormatting sqref="AC11 AC13 AC15 AC17 AC19 AC21 AC23 AC25 AC27 AC29 AC31 AC33 AC35 AC37 AC39 AC41 AC43 AC45 AC47 AC9">
    <cfRule type="expression" dxfId="766" priority="466" stopIfTrue="1">
      <formula>AD9="children e female"</formula>
    </cfRule>
    <cfRule type="expression" dxfId="765" priority="467" stopIfTrue="1">
      <formula>AD9="children e male"</formula>
    </cfRule>
    <cfRule type="expression" dxfId="764" priority="468" stopIfTrue="1">
      <formula>AD9="children d female"</formula>
    </cfRule>
    <cfRule type="expression" dxfId="763" priority="469" stopIfTrue="1">
      <formula>AD9="children d male"</formula>
    </cfRule>
    <cfRule type="expression" dxfId="762" priority="470" stopIfTrue="1">
      <formula>AD9="Children c female"</formula>
    </cfRule>
    <cfRule type="expression" dxfId="761" priority="471" stopIfTrue="1">
      <formula>AD9="children c male"</formula>
    </cfRule>
    <cfRule type="expression" dxfId="760" priority="472" stopIfTrue="1">
      <formula>AD9="children b coed"</formula>
    </cfRule>
    <cfRule type="expression" dxfId="759" priority="473" stopIfTrue="1">
      <formula>AD9="children a coed"</formula>
    </cfRule>
    <cfRule type="expression" dxfId="758" priority="474" stopIfTrue="1">
      <formula>AD9="Juniors female"</formula>
    </cfRule>
    <cfRule type="expression" dxfId="757" priority="475" stopIfTrue="1">
      <formula>AD9="Juniors B male"</formula>
    </cfRule>
    <cfRule type="expression" dxfId="756" priority="476" stopIfTrue="1">
      <formula>AD9="juniors a male"</formula>
    </cfRule>
    <cfRule type="expression" dxfId="755" priority="477" stopIfTrue="1">
      <formula>AD9="adults female"</formula>
    </cfRule>
    <cfRule type="expression" dxfId="754" priority="478" stopIfTrue="1">
      <formula>AD9="college"</formula>
    </cfRule>
    <cfRule type="expression" dxfId="753" priority="479" stopIfTrue="1">
      <formula>AD9="adults male"</formula>
    </cfRule>
    <cfRule type="expression" dxfId="752" priority="480" stopIfTrue="1">
      <formula>AD9="veterans male"</formula>
    </cfRule>
  </conditionalFormatting>
  <conditionalFormatting sqref="AF9 AF11 AF13 AF15 AF17 AF19 AF21 AF23 AF25 AF27 AF29 AF31 AF33 AF35 AF37 AF39 AF41 AF43 AF45 AF47">
    <cfRule type="expression" dxfId="751" priority="451" stopIfTrue="1">
      <formula>AG9="children e female"</formula>
    </cfRule>
    <cfRule type="expression" dxfId="750" priority="452" stopIfTrue="1">
      <formula>AG9="children e male"</formula>
    </cfRule>
    <cfRule type="expression" dxfId="749" priority="453" stopIfTrue="1">
      <formula>AG9="children d female"</formula>
    </cfRule>
    <cfRule type="expression" dxfId="748" priority="454" stopIfTrue="1">
      <formula>AG9="children d male"</formula>
    </cfRule>
    <cfRule type="expression" dxfId="747" priority="455" stopIfTrue="1">
      <formula>AG9="Children c female"</formula>
    </cfRule>
    <cfRule type="expression" dxfId="746" priority="456" stopIfTrue="1">
      <formula>AG9="children c male"</formula>
    </cfRule>
    <cfRule type="expression" dxfId="745" priority="457" stopIfTrue="1">
      <formula>AG9="children b coed"</formula>
    </cfRule>
    <cfRule type="expression" dxfId="744" priority="458" stopIfTrue="1">
      <formula>AG9="children a coed"</formula>
    </cfRule>
    <cfRule type="expression" dxfId="743" priority="459" stopIfTrue="1">
      <formula>AG9="Juniors female"</formula>
    </cfRule>
    <cfRule type="expression" dxfId="742" priority="460" stopIfTrue="1">
      <formula>AG9="Juniors B male"</formula>
    </cfRule>
    <cfRule type="expression" dxfId="741" priority="461" stopIfTrue="1">
      <formula>AG9="juniors a male"</formula>
    </cfRule>
    <cfRule type="expression" dxfId="740" priority="462" stopIfTrue="1">
      <formula>AG9="adults female"</formula>
    </cfRule>
    <cfRule type="expression" dxfId="739" priority="463" stopIfTrue="1">
      <formula>AG9="college"</formula>
    </cfRule>
    <cfRule type="expression" dxfId="738" priority="464" stopIfTrue="1">
      <formula>AG9="adults male"</formula>
    </cfRule>
    <cfRule type="expression" dxfId="737" priority="465" stopIfTrue="1">
      <formula>AG9="veterans male"</formula>
    </cfRule>
  </conditionalFormatting>
  <conditionalFormatting sqref="W11 W13 W15 W17 W19 W21 W23 W25 W27 W29 W31 W33 W35 W37 W39 W41 W43 W45 W47 W9">
    <cfRule type="expression" dxfId="736" priority="436" stopIfTrue="1">
      <formula>X9="children e female"</formula>
    </cfRule>
    <cfRule type="expression" dxfId="735" priority="437" stopIfTrue="1">
      <formula>X9="children e male"</formula>
    </cfRule>
    <cfRule type="expression" dxfId="734" priority="438" stopIfTrue="1">
      <formula>X9="children d female"</formula>
    </cfRule>
    <cfRule type="expression" dxfId="733" priority="439" stopIfTrue="1">
      <formula>X9="children d male"</formula>
    </cfRule>
    <cfRule type="expression" dxfId="732" priority="440" stopIfTrue="1">
      <formula>X9="Children c female"</formula>
    </cfRule>
    <cfRule type="expression" dxfId="731" priority="441" stopIfTrue="1">
      <formula>X9="children c male"</formula>
    </cfRule>
    <cfRule type="expression" dxfId="730" priority="442" stopIfTrue="1">
      <formula>X9="children b coed"</formula>
    </cfRule>
    <cfRule type="expression" dxfId="729" priority="443" stopIfTrue="1">
      <formula>X9="children a coed"</formula>
    </cfRule>
    <cfRule type="expression" dxfId="728" priority="444" stopIfTrue="1">
      <formula>X9="Juniors female"</formula>
    </cfRule>
    <cfRule type="expression" dxfId="727" priority="445" stopIfTrue="1">
      <formula>X9="Juniors B male"</formula>
    </cfRule>
    <cfRule type="expression" dxfId="726" priority="446" stopIfTrue="1">
      <formula>X9="juniors a male"</formula>
    </cfRule>
    <cfRule type="expression" dxfId="725" priority="447" stopIfTrue="1">
      <formula>X9="adults female"</formula>
    </cfRule>
    <cfRule type="expression" dxfId="724" priority="448" stopIfTrue="1">
      <formula>X9="college"</formula>
    </cfRule>
    <cfRule type="expression" dxfId="723" priority="449" stopIfTrue="1">
      <formula>X9="adults male"</formula>
    </cfRule>
    <cfRule type="expression" dxfId="722" priority="450" stopIfTrue="1">
      <formula>X9="veterans male"</formula>
    </cfRule>
  </conditionalFormatting>
  <conditionalFormatting sqref="I10:I11 P10:P11">
    <cfRule type="expression" dxfId="721" priority="421" stopIfTrue="1">
      <formula>J10="children e female"</formula>
    </cfRule>
    <cfRule type="expression" dxfId="720" priority="422" stopIfTrue="1">
      <formula>J10="children e male"</formula>
    </cfRule>
    <cfRule type="expression" dxfId="719" priority="423" stopIfTrue="1">
      <formula>J10="children d female"</formula>
    </cfRule>
    <cfRule type="expression" dxfId="718" priority="424" stopIfTrue="1">
      <formula>J10="children d male"</formula>
    </cfRule>
    <cfRule type="expression" dxfId="717" priority="425" stopIfTrue="1">
      <formula>J10="Children c female"</formula>
    </cfRule>
    <cfRule type="expression" dxfId="716" priority="426" stopIfTrue="1">
      <formula>J10="children c male"</formula>
    </cfRule>
    <cfRule type="expression" dxfId="715" priority="427" stopIfTrue="1">
      <formula>J10="children b coed"</formula>
    </cfRule>
    <cfRule type="expression" dxfId="714" priority="428" stopIfTrue="1">
      <formula>J10="children a coed"</formula>
    </cfRule>
    <cfRule type="expression" dxfId="713" priority="429" stopIfTrue="1">
      <formula>J10="Juniors female"</formula>
    </cfRule>
    <cfRule type="expression" dxfId="712" priority="430" stopIfTrue="1">
      <formula>J10="Juniors B male"</formula>
    </cfRule>
    <cfRule type="expression" dxfId="711" priority="431" stopIfTrue="1">
      <formula>J10="juniors a male"</formula>
    </cfRule>
    <cfRule type="expression" dxfId="710" priority="432" stopIfTrue="1">
      <formula>J10="adults female"</formula>
    </cfRule>
    <cfRule type="expression" dxfId="709" priority="433" stopIfTrue="1">
      <formula>J10="college"</formula>
    </cfRule>
    <cfRule type="expression" dxfId="708" priority="434" stopIfTrue="1">
      <formula>J10="adults male"</formula>
    </cfRule>
    <cfRule type="expression" dxfId="707" priority="435" stopIfTrue="1">
      <formula>J10="veterans male"</formula>
    </cfRule>
  </conditionalFormatting>
  <conditionalFormatting sqref="I12:I13 P12:P13 B8:B47">
    <cfRule type="expression" dxfId="706" priority="406" stopIfTrue="1">
      <formula>C8="children e female"</formula>
    </cfRule>
    <cfRule type="expression" dxfId="705" priority="407" stopIfTrue="1">
      <formula>C8="children e male"</formula>
    </cfRule>
    <cfRule type="expression" dxfId="704" priority="408" stopIfTrue="1">
      <formula>C8="children d female"</formula>
    </cfRule>
    <cfRule type="expression" dxfId="703" priority="409" stopIfTrue="1">
      <formula>C8="children d male"</formula>
    </cfRule>
    <cfRule type="expression" dxfId="702" priority="410" stopIfTrue="1">
      <formula>C8="Children c female"</formula>
    </cfRule>
    <cfRule type="expression" dxfId="701" priority="411" stopIfTrue="1">
      <formula>C8="children c male"</formula>
    </cfRule>
    <cfRule type="expression" dxfId="700" priority="412" stopIfTrue="1">
      <formula>C8="children b coed"</formula>
    </cfRule>
    <cfRule type="expression" dxfId="699" priority="413" stopIfTrue="1">
      <formula>C8="children a coed"</formula>
    </cfRule>
    <cfRule type="expression" dxfId="698" priority="414" stopIfTrue="1">
      <formula>C8="Juniors female"</formula>
    </cfRule>
    <cfRule type="expression" dxfId="697" priority="415" stopIfTrue="1">
      <formula>C8="Juniors B male"</formula>
    </cfRule>
    <cfRule type="expression" dxfId="696" priority="416" stopIfTrue="1">
      <formula>C8="juniors a male"</formula>
    </cfRule>
    <cfRule type="expression" dxfId="695" priority="417" stopIfTrue="1">
      <formula>C8="adults female"</formula>
    </cfRule>
    <cfRule type="expression" dxfId="694" priority="418" stopIfTrue="1">
      <formula>C8="college"</formula>
    </cfRule>
    <cfRule type="expression" dxfId="693" priority="419" stopIfTrue="1">
      <formula>C8="adults male"</formula>
    </cfRule>
    <cfRule type="expression" dxfId="692" priority="420" stopIfTrue="1">
      <formula>C8="veterans male"</formula>
    </cfRule>
  </conditionalFormatting>
  <conditionalFormatting sqref="I24:I25 P24:P25">
    <cfRule type="expression" dxfId="691" priority="331" stopIfTrue="1">
      <formula>J24="children e female"</formula>
    </cfRule>
    <cfRule type="expression" dxfId="690" priority="332" stopIfTrue="1">
      <formula>J24="children e male"</formula>
    </cfRule>
    <cfRule type="expression" dxfId="689" priority="333" stopIfTrue="1">
      <formula>J24="children d female"</formula>
    </cfRule>
    <cfRule type="expression" dxfId="688" priority="334" stopIfTrue="1">
      <formula>J24="children d male"</formula>
    </cfRule>
    <cfRule type="expression" dxfId="687" priority="335" stopIfTrue="1">
      <formula>J24="Children c female"</formula>
    </cfRule>
    <cfRule type="expression" dxfId="686" priority="336" stopIfTrue="1">
      <formula>J24="children c male"</formula>
    </cfRule>
    <cfRule type="expression" dxfId="685" priority="337" stopIfTrue="1">
      <formula>J24="children b coed"</formula>
    </cfRule>
    <cfRule type="expression" dxfId="684" priority="338" stopIfTrue="1">
      <formula>J24="children a coed"</formula>
    </cfRule>
    <cfRule type="expression" dxfId="683" priority="339" stopIfTrue="1">
      <formula>J24="Juniors female"</formula>
    </cfRule>
    <cfRule type="expression" dxfId="682" priority="340" stopIfTrue="1">
      <formula>J24="Juniors B male"</formula>
    </cfRule>
    <cfRule type="expression" dxfId="681" priority="341" stopIfTrue="1">
      <formula>J24="juniors a male"</formula>
    </cfRule>
    <cfRule type="expression" dxfId="680" priority="342" stopIfTrue="1">
      <formula>J24="adults female"</formula>
    </cfRule>
    <cfRule type="expression" dxfId="679" priority="343" stopIfTrue="1">
      <formula>J24="college"</formula>
    </cfRule>
    <cfRule type="expression" dxfId="678" priority="344" stopIfTrue="1">
      <formula>J24="adults male"</formula>
    </cfRule>
    <cfRule type="expression" dxfId="677" priority="345" stopIfTrue="1">
      <formula>J24="veterans male"</formula>
    </cfRule>
  </conditionalFormatting>
  <conditionalFormatting sqref="I14:I15 P14:P15">
    <cfRule type="expression" dxfId="676" priority="391" stopIfTrue="1">
      <formula>J14="children e female"</formula>
    </cfRule>
    <cfRule type="expression" dxfId="675" priority="392" stopIfTrue="1">
      <formula>J14="children e male"</formula>
    </cfRule>
    <cfRule type="expression" dxfId="674" priority="393" stopIfTrue="1">
      <formula>J14="children d female"</formula>
    </cfRule>
    <cfRule type="expression" dxfId="673" priority="394" stopIfTrue="1">
      <formula>J14="children d male"</formula>
    </cfRule>
    <cfRule type="expression" dxfId="672" priority="395" stopIfTrue="1">
      <formula>J14="Children c female"</formula>
    </cfRule>
    <cfRule type="expression" dxfId="671" priority="396" stopIfTrue="1">
      <formula>J14="children c male"</formula>
    </cfRule>
    <cfRule type="expression" dxfId="670" priority="397" stopIfTrue="1">
      <formula>J14="children b coed"</formula>
    </cfRule>
    <cfRule type="expression" dxfId="669" priority="398" stopIfTrue="1">
      <formula>J14="children a coed"</formula>
    </cfRule>
    <cfRule type="expression" dxfId="668" priority="399" stopIfTrue="1">
      <formula>J14="Juniors female"</formula>
    </cfRule>
    <cfRule type="expression" dxfId="667" priority="400" stopIfTrue="1">
      <formula>J14="Juniors B male"</formula>
    </cfRule>
    <cfRule type="expression" dxfId="666" priority="401" stopIfTrue="1">
      <formula>J14="juniors a male"</formula>
    </cfRule>
    <cfRule type="expression" dxfId="665" priority="402" stopIfTrue="1">
      <formula>J14="adults female"</formula>
    </cfRule>
    <cfRule type="expression" dxfId="664" priority="403" stopIfTrue="1">
      <formula>J14="college"</formula>
    </cfRule>
    <cfRule type="expression" dxfId="663" priority="404" stopIfTrue="1">
      <formula>J14="adults male"</formula>
    </cfRule>
    <cfRule type="expression" dxfId="662" priority="405" stopIfTrue="1">
      <formula>J14="veterans male"</formula>
    </cfRule>
  </conditionalFormatting>
  <conditionalFormatting sqref="I16:I17 P16:P17">
    <cfRule type="expression" dxfId="661" priority="376" stopIfTrue="1">
      <formula>J16="children e female"</formula>
    </cfRule>
    <cfRule type="expression" dxfId="660" priority="377" stopIfTrue="1">
      <formula>J16="children e male"</formula>
    </cfRule>
    <cfRule type="expression" dxfId="659" priority="378" stopIfTrue="1">
      <formula>J16="children d female"</formula>
    </cfRule>
    <cfRule type="expression" dxfId="658" priority="379" stopIfTrue="1">
      <formula>J16="children d male"</formula>
    </cfRule>
    <cfRule type="expression" dxfId="657" priority="380" stopIfTrue="1">
      <formula>J16="Children c female"</formula>
    </cfRule>
    <cfRule type="expression" dxfId="656" priority="381" stopIfTrue="1">
      <formula>J16="children c male"</formula>
    </cfRule>
    <cfRule type="expression" dxfId="655" priority="382" stopIfTrue="1">
      <formula>J16="children b coed"</formula>
    </cfRule>
    <cfRule type="expression" dxfId="654" priority="383" stopIfTrue="1">
      <formula>J16="children a coed"</formula>
    </cfRule>
    <cfRule type="expression" dxfId="653" priority="384" stopIfTrue="1">
      <formula>J16="Juniors female"</formula>
    </cfRule>
    <cfRule type="expression" dxfId="652" priority="385" stopIfTrue="1">
      <formula>J16="Juniors B male"</formula>
    </cfRule>
    <cfRule type="expression" dxfId="651" priority="386" stopIfTrue="1">
      <formula>J16="juniors a male"</formula>
    </cfRule>
    <cfRule type="expression" dxfId="650" priority="387" stopIfTrue="1">
      <formula>J16="adults female"</formula>
    </cfRule>
    <cfRule type="expression" dxfId="649" priority="388" stopIfTrue="1">
      <formula>J16="college"</formula>
    </cfRule>
    <cfRule type="expression" dxfId="648" priority="389" stopIfTrue="1">
      <formula>J16="adults male"</formula>
    </cfRule>
    <cfRule type="expression" dxfId="647" priority="390" stopIfTrue="1">
      <formula>J16="veterans male"</formula>
    </cfRule>
  </conditionalFormatting>
  <conditionalFormatting sqref="I20:I21 P20:P21">
    <cfRule type="expression" dxfId="646" priority="361" stopIfTrue="1">
      <formula>J20="children e female"</formula>
    </cfRule>
    <cfRule type="expression" dxfId="645" priority="362" stopIfTrue="1">
      <formula>J20="children e male"</formula>
    </cfRule>
    <cfRule type="expression" dxfId="644" priority="363" stopIfTrue="1">
      <formula>J20="children d female"</formula>
    </cfRule>
    <cfRule type="expression" dxfId="643" priority="364" stopIfTrue="1">
      <formula>J20="children d male"</formula>
    </cfRule>
    <cfRule type="expression" dxfId="642" priority="365" stopIfTrue="1">
      <formula>J20="Children c female"</formula>
    </cfRule>
    <cfRule type="expression" dxfId="641" priority="366" stopIfTrue="1">
      <formula>J20="children c male"</formula>
    </cfRule>
    <cfRule type="expression" dxfId="640" priority="367" stopIfTrue="1">
      <formula>J20="children b coed"</formula>
    </cfRule>
    <cfRule type="expression" dxfId="639" priority="368" stopIfTrue="1">
      <formula>J20="children a coed"</formula>
    </cfRule>
    <cfRule type="expression" dxfId="638" priority="369" stopIfTrue="1">
      <formula>J20="Juniors female"</formula>
    </cfRule>
    <cfRule type="expression" dxfId="637" priority="370" stopIfTrue="1">
      <formula>J20="Juniors B male"</formula>
    </cfRule>
    <cfRule type="expression" dxfId="636" priority="371" stopIfTrue="1">
      <formula>J20="juniors a male"</formula>
    </cfRule>
    <cfRule type="expression" dxfId="635" priority="372" stopIfTrue="1">
      <formula>J20="adults female"</formula>
    </cfRule>
    <cfRule type="expression" dxfId="634" priority="373" stopIfTrue="1">
      <formula>J20="college"</formula>
    </cfRule>
    <cfRule type="expression" dxfId="633" priority="374" stopIfTrue="1">
      <formula>J20="adults male"</formula>
    </cfRule>
    <cfRule type="expression" dxfId="632" priority="375" stopIfTrue="1">
      <formula>J20="veterans male"</formula>
    </cfRule>
  </conditionalFormatting>
  <conditionalFormatting sqref="I22:I23 P22:P23">
    <cfRule type="expression" dxfId="631" priority="346" stopIfTrue="1">
      <formula>J22="children e female"</formula>
    </cfRule>
    <cfRule type="expression" dxfId="630" priority="347" stopIfTrue="1">
      <formula>J22="children e male"</formula>
    </cfRule>
    <cfRule type="expression" dxfId="629" priority="348" stopIfTrue="1">
      <formula>J22="children d female"</formula>
    </cfRule>
    <cfRule type="expression" dxfId="628" priority="349" stopIfTrue="1">
      <formula>J22="children d male"</formula>
    </cfRule>
    <cfRule type="expression" dxfId="627" priority="350" stopIfTrue="1">
      <formula>J22="Children c female"</formula>
    </cfRule>
    <cfRule type="expression" dxfId="626" priority="351" stopIfTrue="1">
      <formula>J22="children c male"</formula>
    </cfRule>
    <cfRule type="expression" dxfId="625" priority="352" stopIfTrue="1">
      <formula>J22="children b coed"</formula>
    </cfRule>
    <cfRule type="expression" dxfId="624" priority="353" stopIfTrue="1">
      <formula>J22="children a coed"</formula>
    </cfRule>
    <cfRule type="expression" dxfId="623" priority="354" stopIfTrue="1">
      <formula>J22="Juniors female"</formula>
    </cfRule>
    <cfRule type="expression" dxfId="622" priority="355" stopIfTrue="1">
      <formula>J22="Juniors B male"</formula>
    </cfRule>
    <cfRule type="expression" dxfId="621" priority="356" stopIfTrue="1">
      <formula>J22="juniors a male"</formula>
    </cfRule>
    <cfRule type="expression" dxfId="620" priority="357" stopIfTrue="1">
      <formula>J22="adults female"</formula>
    </cfRule>
    <cfRule type="expression" dxfId="619" priority="358" stopIfTrue="1">
      <formula>J22="college"</formula>
    </cfRule>
    <cfRule type="expression" dxfId="618" priority="359" stopIfTrue="1">
      <formula>J22="adults male"</formula>
    </cfRule>
    <cfRule type="expression" dxfId="617" priority="360" stopIfTrue="1">
      <formula>J22="veterans male"</formula>
    </cfRule>
  </conditionalFormatting>
  <conditionalFormatting sqref="I26:I27 P26:P27">
    <cfRule type="expression" dxfId="616" priority="316" stopIfTrue="1">
      <formula>J26="children e female"</formula>
    </cfRule>
    <cfRule type="expression" dxfId="615" priority="317" stopIfTrue="1">
      <formula>J26="children e male"</formula>
    </cfRule>
    <cfRule type="expression" dxfId="614" priority="318" stopIfTrue="1">
      <formula>J26="children d female"</formula>
    </cfRule>
    <cfRule type="expression" dxfId="613" priority="319" stopIfTrue="1">
      <formula>J26="children d male"</formula>
    </cfRule>
    <cfRule type="expression" dxfId="612" priority="320" stopIfTrue="1">
      <formula>J26="Children c female"</formula>
    </cfRule>
    <cfRule type="expression" dxfId="611" priority="321" stopIfTrue="1">
      <formula>J26="children c male"</formula>
    </cfRule>
    <cfRule type="expression" dxfId="610" priority="322" stopIfTrue="1">
      <formula>J26="children b coed"</formula>
    </cfRule>
    <cfRule type="expression" dxfId="609" priority="323" stopIfTrue="1">
      <formula>J26="children a coed"</formula>
    </cfRule>
    <cfRule type="expression" dxfId="608" priority="324" stopIfTrue="1">
      <formula>J26="Juniors female"</formula>
    </cfRule>
    <cfRule type="expression" dxfId="607" priority="325" stopIfTrue="1">
      <formula>J26="Juniors B male"</formula>
    </cfRule>
    <cfRule type="expression" dxfId="606" priority="326" stopIfTrue="1">
      <formula>J26="juniors a male"</formula>
    </cfRule>
    <cfRule type="expression" dxfId="605" priority="327" stopIfTrue="1">
      <formula>J26="adults female"</formula>
    </cfRule>
    <cfRule type="expression" dxfId="604" priority="328" stopIfTrue="1">
      <formula>J26="college"</formula>
    </cfRule>
    <cfRule type="expression" dxfId="603" priority="329" stopIfTrue="1">
      <formula>J26="adults male"</formula>
    </cfRule>
    <cfRule type="expression" dxfId="602" priority="330" stopIfTrue="1">
      <formula>J26="veterans male"</formula>
    </cfRule>
  </conditionalFormatting>
  <conditionalFormatting sqref="L10:L11 E10 E8 E12 E14 E16 E18 E20 E22 E24 E26 E28 E30 E32 E34 E36 E38 E40 E42 E44 E46">
    <cfRule type="expression" dxfId="601" priority="301" stopIfTrue="1">
      <formula>F8="children e female"</formula>
    </cfRule>
    <cfRule type="expression" dxfId="600" priority="302" stopIfTrue="1">
      <formula>F8="children e male"</formula>
    </cfRule>
    <cfRule type="expression" dxfId="599" priority="303" stopIfTrue="1">
      <formula>F8="children d female"</formula>
    </cfRule>
    <cfRule type="expression" dxfId="598" priority="304" stopIfTrue="1">
      <formula>F8="children d male"</formula>
    </cfRule>
    <cfRule type="expression" dxfId="597" priority="305" stopIfTrue="1">
      <formula>F8="Children c female"</formula>
    </cfRule>
    <cfRule type="expression" dxfId="596" priority="306" stopIfTrue="1">
      <formula>F8="children c male"</formula>
    </cfRule>
    <cfRule type="expression" dxfId="595" priority="307" stopIfTrue="1">
      <formula>F8="children b coed"</formula>
    </cfRule>
    <cfRule type="expression" dxfId="594" priority="308" stopIfTrue="1">
      <formula>F8="children a coed"</formula>
    </cfRule>
    <cfRule type="expression" dxfId="593" priority="309" stopIfTrue="1">
      <formula>F8="Juniors female"</formula>
    </cfRule>
    <cfRule type="expression" dxfId="592" priority="310" stopIfTrue="1">
      <formula>F8="Juniors B male"</formula>
    </cfRule>
    <cfRule type="expression" dxfId="591" priority="311" stopIfTrue="1">
      <formula>F8="juniors a male"</formula>
    </cfRule>
    <cfRule type="expression" dxfId="590" priority="312" stopIfTrue="1">
      <formula>F8="adults female"</formula>
    </cfRule>
    <cfRule type="expression" dxfId="589" priority="313" stopIfTrue="1">
      <formula>F8="college"</formula>
    </cfRule>
    <cfRule type="expression" dxfId="588" priority="314" stopIfTrue="1">
      <formula>F8="adults male"</formula>
    </cfRule>
    <cfRule type="expression" dxfId="587" priority="315" stopIfTrue="1">
      <formula>F8="veterans male"</formula>
    </cfRule>
  </conditionalFormatting>
  <conditionalFormatting sqref="L12:L13">
    <cfRule type="expression" dxfId="586" priority="286" stopIfTrue="1">
      <formula>M12="children e female"</formula>
    </cfRule>
    <cfRule type="expression" dxfId="585" priority="287" stopIfTrue="1">
      <formula>M12="children e male"</formula>
    </cfRule>
    <cfRule type="expression" dxfId="584" priority="288" stopIfTrue="1">
      <formula>M12="children d female"</formula>
    </cfRule>
    <cfRule type="expression" dxfId="583" priority="289" stopIfTrue="1">
      <formula>M12="children d male"</formula>
    </cfRule>
    <cfRule type="expression" dxfId="582" priority="290" stopIfTrue="1">
      <formula>M12="Children c female"</formula>
    </cfRule>
    <cfRule type="expression" dxfId="581" priority="291" stopIfTrue="1">
      <formula>M12="children c male"</formula>
    </cfRule>
    <cfRule type="expression" dxfId="580" priority="292" stopIfTrue="1">
      <formula>M12="children b coed"</formula>
    </cfRule>
    <cfRule type="expression" dxfId="579" priority="293" stopIfTrue="1">
      <formula>M12="children a coed"</formula>
    </cfRule>
    <cfRule type="expression" dxfId="578" priority="294" stopIfTrue="1">
      <formula>M12="Juniors female"</formula>
    </cfRule>
    <cfRule type="expression" dxfId="577" priority="295" stopIfTrue="1">
      <formula>M12="Juniors B male"</formula>
    </cfRule>
    <cfRule type="expression" dxfId="576" priority="296" stopIfTrue="1">
      <formula>M12="juniors a male"</formula>
    </cfRule>
    <cfRule type="expression" dxfId="575" priority="297" stopIfTrue="1">
      <formula>M12="adults female"</formula>
    </cfRule>
    <cfRule type="expression" dxfId="574" priority="298" stopIfTrue="1">
      <formula>M12="college"</formula>
    </cfRule>
    <cfRule type="expression" dxfId="573" priority="299" stopIfTrue="1">
      <formula>M12="adults male"</formula>
    </cfRule>
    <cfRule type="expression" dxfId="572" priority="300" stopIfTrue="1">
      <formula>M12="veterans male"</formula>
    </cfRule>
  </conditionalFormatting>
  <conditionalFormatting sqref="L14:L15 E11 E9 E13 E15 E17 E19 E21 E23 E25 E27 E29 E31 E33 E35 E37 E39 E41 E43 E45 E47">
    <cfRule type="expression" dxfId="571" priority="271" stopIfTrue="1">
      <formula>F9="children e female"</formula>
    </cfRule>
    <cfRule type="expression" dxfId="570" priority="272" stopIfTrue="1">
      <formula>F9="children e male"</formula>
    </cfRule>
    <cfRule type="expression" dxfId="569" priority="273" stopIfTrue="1">
      <formula>F9="children d female"</formula>
    </cfRule>
    <cfRule type="expression" dxfId="568" priority="274" stopIfTrue="1">
      <formula>F9="children d male"</formula>
    </cfRule>
    <cfRule type="expression" dxfId="567" priority="275" stopIfTrue="1">
      <formula>F9="Children c female"</formula>
    </cfRule>
    <cfRule type="expression" dxfId="566" priority="276" stopIfTrue="1">
      <formula>F9="children c male"</formula>
    </cfRule>
    <cfRule type="expression" dxfId="565" priority="277" stopIfTrue="1">
      <formula>F9="children b coed"</formula>
    </cfRule>
    <cfRule type="expression" dxfId="564" priority="278" stopIfTrue="1">
      <formula>F9="children a coed"</formula>
    </cfRule>
    <cfRule type="expression" dxfId="563" priority="279" stopIfTrue="1">
      <formula>F9="Juniors female"</formula>
    </cfRule>
    <cfRule type="expression" dxfId="562" priority="280" stopIfTrue="1">
      <formula>F9="Juniors B male"</formula>
    </cfRule>
    <cfRule type="expression" dxfId="561" priority="281" stopIfTrue="1">
      <formula>F9="juniors a male"</formula>
    </cfRule>
    <cfRule type="expression" dxfId="560" priority="282" stopIfTrue="1">
      <formula>F9="adults female"</formula>
    </cfRule>
    <cfRule type="expression" dxfId="559" priority="283" stopIfTrue="1">
      <formula>F9="college"</formula>
    </cfRule>
    <cfRule type="expression" dxfId="558" priority="284" stopIfTrue="1">
      <formula>F9="adults male"</formula>
    </cfRule>
    <cfRule type="expression" dxfId="557" priority="285" stopIfTrue="1">
      <formula>F9="veterans male"</formula>
    </cfRule>
  </conditionalFormatting>
  <conditionalFormatting sqref="L16:L17">
    <cfRule type="expression" dxfId="556" priority="256" stopIfTrue="1">
      <formula>M16="children e female"</formula>
    </cfRule>
    <cfRule type="expression" dxfId="555" priority="257" stopIfTrue="1">
      <formula>M16="children e male"</formula>
    </cfRule>
    <cfRule type="expression" dxfId="554" priority="258" stopIfTrue="1">
      <formula>M16="children d female"</formula>
    </cfRule>
    <cfRule type="expression" dxfId="553" priority="259" stopIfTrue="1">
      <formula>M16="children d male"</formula>
    </cfRule>
    <cfRule type="expression" dxfId="552" priority="260" stopIfTrue="1">
      <formula>M16="Children c female"</formula>
    </cfRule>
    <cfRule type="expression" dxfId="551" priority="261" stopIfTrue="1">
      <formula>M16="children c male"</formula>
    </cfRule>
    <cfRule type="expression" dxfId="550" priority="262" stopIfTrue="1">
      <formula>M16="children b coed"</formula>
    </cfRule>
    <cfRule type="expression" dxfId="549" priority="263" stopIfTrue="1">
      <formula>M16="children a coed"</formula>
    </cfRule>
    <cfRule type="expression" dxfId="548" priority="264" stopIfTrue="1">
      <formula>M16="Juniors female"</formula>
    </cfRule>
    <cfRule type="expression" dxfId="547" priority="265" stopIfTrue="1">
      <formula>M16="Juniors B male"</formula>
    </cfRule>
    <cfRule type="expression" dxfId="546" priority="266" stopIfTrue="1">
      <formula>M16="juniors a male"</formula>
    </cfRule>
    <cfRule type="expression" dxfId="545" priority="267" stopIfTrue="1">
      <formula>M16="adults female"</formula>
    </cfRule>
    <cfRule type="expression" dxfId="544" priority="268" stopIfTrue="1">
      <formula>M16="college"</formula>
    </cfRule>
    <cfRule type="expression" dxfId="543" priority="269" stopIfTrue="1">
      <formula>M16="adults male"</formula>
    </cfRule>
    <cfRule type="expression" dxfId="542" priority="270" stopIfTrue="1">
      <formula>M16="veterans male"</formula>
    </cfRule>
  </conditionalFormatting>
  <conditionalFormatting sqref="L18:L19">
    <cfRule type="expression" dxfId="541" priority="241" stopIfTrue="1">
      <formula>M18="children e female"</formula>
    </cfRule>
    <cfRule type="expression" dxfId="540" priority="242" stopIfTrue="1">
      <formula>M18="children e male"</formula>
    </cfRule>
    <cfRule type="expression" dxfId="539" priority="243" stopIfTrue="1">
      <formula>M18="children d female"</formula>
    </cfRule>
    <cfRule type="expression" dxfId="538" priority="244" stopIfTrue="1">
      <formula>M18="children d male"</formula>
    </cfRule>
    <cfRule type="expression" dxfId="537" priority="245" stopIfTrue="1">
      <formula>M18="Children c female"</formula>
    </cfRule>
    <cfRule type="expression" dxfId="536" priority="246" stopIfTrue="1">
      <formula>M18="children c male"</formula>
    </cfRule>
    <cfRule type="expression" dxfId="535" priority="247" stopIfTrue="1">
      <formula>M18="children b coed"</formula>
    </cfRule>
    <cfRule type="expression" dxfId="534" priority="248" stopIfTrue="1">
      <formula>M18="children a coed"</formula>
    </cfRule>
    <cfRule type="expression" dxfId="533" priority="249" stopIfTrue="1">
      <formula>M18="Juniors female"</formula>
    </cfRule>
    <cfRule type="expression" dxfId="532" priority="250" stopIfTrue="1">
      <formula>M18="Juniors B male"</formula>
    </cfRule>
    <cfRule type="expression" dxfId="531" priority="251" stopIfTrue="1">
      <formula>M18="juniors a male"</formula>
    </cfRule>
    <cfRule type="expression" dxfId="530" priority="252" stopIfTrue="1">
      <formula>M18="adults female"</formula>
    </cfRule>
    <cfRule type="expression" dxfId="529" priority="253" stopIfTrue="1">
      <formula>M18="college"</formula>
    </cfRule>
    <cfRule type="expression" dxfId="528" priority="254" stopIfTrue="1">
      <formula>M18="adults male"</formula>
    </cfRule>
    <cfRule type="expression" dxfId="527" priority="255" stopIfTrue="1">
      <formula>M18="veterans male"</formula>
    </cfRule>
  </conditionalFormatting>
  <conditionalFormatting sqref="L26:L27">
    <cfRule type="expression" dxfId="526" priority="181" stopIfTrue="1">
      <formula>M26="children e female"</formula>
    </cfRule>
    <cfRule type="expression" dxfId="525" priority="182" stopIfTrue="1">
      <formula>M26="children e male"</formula>
    </cfRule>
    <cfRule type="expression" dxfId="524" priority="183" stopIfTrue="1">
      <formula>M26="children d female"</formula>
    </cfRule>
    <cfRule type="expression" dxfId="523" priority="184" stopIfTrue="1">
      <formula>M26="children d male"</formula>
    </cfRule>
    <cfRule type="expression" dxfId="522" priority="185" stopIfTrue="1">
      <formula>M26="Children c female"</formula>
    </cfRule>
    <cfRule type="expression" dxfId="521" priority="186" stopIfTrue="1">
      <formula>M26="children c male"</formula>
    </cfRule>
    <cfRule type="expression" dxfId="520" priority="187" stopIfTrue="1">
      <formula>M26="children b coed"</formula>
    </cfRule>
    <cfRule type="expression" dxfId="519" priority="188" stopIfTrue="1">
      <formula>M26="children a coed"</formula>
    </cfRule>
    <cfRule type="expression" dxfId="518" priority="189" stopIfTrue="1">
      <formula>M26="Juniors female"</formula>
    </cfRule>
    <cfRule type="expression" dxfId="517" priority="190" stopIfTrue="1">
      <formula>M26="Juniors B male"</formula>
    </cfRule>
    <cfRule type="expression" dxfId="516" priority="191" stopIfTrue="1">
      <formula>M26="juniors a male"</formula>
    </cfRule>
    <cfRule type="expression" dxfId="515" priority="192" stopIfTrue="1">
      <formula>M26="adults female"</formula>
    </cfRule>
    <cfRule type="expression" dxfId="514" priority="193" stopIfTrue="1">
      <formula>M26="college"</formula>
    </cfRule>
    <cfRule type="expression" dxfId="513" priority="194" stopIfTrue="1">
      <formula>M26="adults male"</formula>
    </cfRule>
    <cfRule type="expression" dxfId="512" priority="195" stopIfTrue="1">
      <formula>M26="veterans male"</formula>
    </cfRule>
  </conditionalFormatting>
  <conditionalFormatting sqref="L20:L21">
    <cfRule type="expression" dxfId="511" priority="226" stopIfTrue="1">
      <formula>M20="children e female"</formula>
    </cfRule>
    <cfRule type="expression" dxfId="510" priority="227" stopIfTrue="1">
      <formula>M20="children e male"</formula>
    </cfRule>
    <cfRule type="expression" dxfId="509" priority="228" stopIfTrue="1">
      <formula>M20="children d female"</formula>
    </cfRule>
    <cfRule type="expression" dxfId="508" priority="229" stopIfTrue="1">
      <formula>M20="children d male"</formula>
    </cfRule>
    <cfRule type="expression" dxfId="507" priority="230" stopIfTrue="1">
      <formula>M20="Children c female"</formula>
    </cfRule>
    <cfRule type="expression" dxfId="506" priority="231" stopIfTrue="1">
      <formula>M20="children c male"</formula>
    </cfRule>
    <cfRule type="expression" dxfId="505" priority="232" stopIfTrue="1">
      <formula>M20="children b coed"</formula>
    </cfRule>
    <cfRule type="expression" dxfId="504" priority="233" stopIfTrue="1">
      <formula>M20="children a coed"</formula>
    </cfRule>
    <cfRule type="expression" dxfId="503" priority="234" stopIfTrue="1">
      <formula>M20="Juniors female"</formula>
    </cfRule>
    <cfRule type="expression" dxfId="502" priority="235" stopIfTrue="1">
      <formula>M20="Juniors B male"</formula>
    </cfRule>
    <cfRule type="expression" dxfId="501" priority="236" stopIfTrue="1">
      <formula>M20="juniors a male"</formula>
    </cfRule>
    <cfRule type="expression" dxfId="500" priority="237" stopIfTrue="1">
      <formula>M20="adults female"</formula>
    </cfRule>
    <cfRule type="expression" dxfId="499" priority="238" stopIfTrue="1">
      <formula>M20="college"</formula>
    </cfRule>
    <cfRule type="expression" dxfId="498" priority="239" stopIfTrue="1">
      <formula>M20="adults male"</formula>
    </cfRule>
    <cfRule type="expression" dxfId="497" priority="240" stopIfTrue="1">
      <formula>M20="veterans male"</formula>
    </cfRule>
  </conditionalFormatting>
  <conditionalFormatting sqref="L22:L23">
    <cfRule type="expression" dxfId="496" priority="211" stopIfTrue="1">
      <formula>M22="children e female"</formula>
    </cfRule>
    <cfRule type="expression" dxfId="495" priority="212" stopIfTrue="1">
      <formula>M22="children e male"</formula>
    </cfRule>
    <cfRule type="expression" dxfId="494" priority="213" stopIfTrue="1">
      <formula>M22="children d female"</formula>
    </cfRule>
    <cfRule type="expression" dxfId="493" priority="214" stopIfTrue="1">
      <formula>M22="children d male"</formula>
    </cfRule>
    <cfRule type="expression" dxfId="492" priority="215" stopIfTrue="1">
      <formula>M22="Children c female"</formula>
    </cfRule>
    <cfRule type="expression" dxfId="491" priority="216" stopIfTrue="1">
      <formula>M22="children c male"</formula>
    </cfRule>
    <cfRule type="expression" dxfId="490" priority="217" stopIfTrue="1">
      <formula>M22="children b coed"</formula>
    </cfRule>
    <cfRule type="expression" dxfId="489" priority="218" stopIfTrue="1">
      <formula>M22="children a coed"</formula>
    </cfRule>
    <cfRule type="expression" dxfId="488" priority="219" stopIfTrue="1">
      <formula>M22="Juniors female"</formula>
    </cfRule>
    <cfRule type="expression" dxfId="487" priority="220" stopIfTrue="1">
      <formula>M22="Juniors B male"</formula>
    </cfRule>
    <cfRule type="expression" dxfId="486" priority="221" stopIfTrue="1">
      <formula>M22="juniors a male"</formula>
    </cfRule>
    <cfRule type="expression" dxfId="485" priority="222" stopIfTrue="1">
      <formula>M22="adults female"</formula>
    </cfRule>
    <cfRule type="expression" dxfId="484" priority="223" stopIfTrue="1">
      <formula>M22="college"</formula>
    </cfRule>
    <cfRule type="expression" dxfId="483" priority="224" stopIfTrue="1">
      <formula>M22="adults male"</formula>
    </cfRule>
    <cfRule type="expression" dxfId="482" priority="225" stopIfTrue="1">
      <formula>M22="veterans male"</formula>
    </cfRule>
  </conditionalFormatting>
  <conditionalFormatting sqref="L24:L25">
    <cfRule type="expression" dxfId="481" priority="196" stopIfTrue="1">
      <formula>M24="children e female"</formula>
    </cfRule>
    <cfRule type="expression" dxfId="480" priority="197" stopIfTrue="1">
      <formula>M24="children e male"</formula>
    </cfRule>
    <cfRule type="expression" dxfId="479" priority="198" stopIfTrue="1">
      <formula>M24="children d female"</formula>
    </cfRule>
    <cfRule type="expression" dxfId="478" priority="199" stopIfTrue="1">
      <formula>M24="children d male"</formula>
    </cfRule>
    <cfRule type="expression" dxfId="477" priority="200" stopIfTrue="1">
      <formula>M24="Children c female"</formula>
    </cfRule>
    <cfRule type="expression" dxfId="476" priority="201" stopIfTrue="1">
      <formula>M24="children c male"</formula>
    </cfRule>
    <cfRule type="expression" dxfId="475" priority="202" stopIfTrue="1">
      <formula>M24="children b coed"</formula>
    </cfRule>
    <cfRule type="expression" dxfId="474" priority="203" stopIfTrue="1">
      <formula>M24="children a coed"</formula>
    </cfRule>
    <cfRule type="expression" dxfId="473" priority="204" stopIfTrue="1">
      <formula>M24="Juniors female"</formula>
    </cfRule>
    <cfRule type="expression" dxfId="472" priority="205" stopIfTrue="1">
      <formula>M24="Juniors B male"</formula>
    </cfRule>
    <cfRule type="expression" dxfId="471" priority="206" stopIfTrue="1">
      <formula>M24="juniors a male"</formula>
    </cfRule>
    <cfRule type="expression" dxfId="470" priority="207" stopIfTrue="1">
      <formula>M24="adults female"</formula>
    </cfRule>
    <cfRule type="expression" dxfId="469" priority="208" stopIfTrue="1">
      <formula>M24="college"</formula>
    </cfRule>
    <cfRule type="expression" dxfId="468" priority="209" stopIfTrue="1">
      <formula>M24="adults male"</formula>
    </cfRule>
    <cfRule type="expression" dxfId="467" priority="210" stopIfTrue="1">
      <formula>M24="veterans male"</formula>
    </cfRule>
  </conditionalFormatting>
  <conditionalFormatting sqref="O10:O11 H8:H47">
    <cfRule type="expression" dxfId="466" priority="166" stopIfTrue="1">
      <formula>I8="children e female"</formula>
    </cfRule>
    <cfRule type="expression" dxfId="465" priority="167" stopIfTrue="1">
      <formula>I8="children e male"</formula>
    </cfRule>
    <cfRule type="expression" dxfId="464" priority="168" stopIfTrue="1">
      <formula>I8="children d female"</formula>
    </cfRule>
    <cfRule type="expression" dxfId="463" priority="169" stopIfTrue="1">
      <formula>I8="children d male"</formula>
    </cfRule>
    <cfRule type="expression" dxfId="462" priority="170" stopIfTrue="1">
      <formula>I8="Children c female"</formula>
    </cfRule>
    <cfRule type="expression" dxfId="461" priority="171" stopIfTrue="1">
      <formula>I8="children c male"</formula>
    </cfRule>
    <cfRule type="expression" dxfId="460" priority="172" stopIfTrue="1">
      <formula>I8="children b coed"</formula>
    </cfRule>
    <cfRule type="expression" dxfId="459" priority="173" stopIfTrue="1">
      <formula>I8="children a coed"</formula>
    </cfRule>
    <cfRule type="expression" dxfId="458" priority="174" stopIfTrue="1">
      <formula>I8="Juniors female"</formula>
    </cfRule>
    <cfRule type="expression" dxfId="457" priority="175" stopIfTrue="1">
      <formula>I8="Juniors B male"</formula>
    </cfRule>
    <cfRule type="expression" dxfId="456" priority="176" stopIfTrue="1">
      <formula>I8="juniors a male"</formula>
    </cfRule>
    <cfRule type="expression" dxfId="455" priority="177" stopIfTrue="1">
      <formula>I8="adults female"</formula>
    </cfRule>
    <cfRule type="expression" dxfId="454" priority="178" stopIfTrue="1">
      <formula>I8="college"</formula>
    </cfRule>
    <cfRule type="expression" dxfId="453" priority="179" stopIfTrue="1">
      <formula>I8="adults male"</formula>
    </cfRule>
    <cfRule type="expression" dxfId="452" priority="180" stopIfTrue="1">
      <formula>I8="veterans male"</formula>
    </cfRule>
  </conditionalFormatting>
  <conditionalFormatting sqref="O12:O13">
    <cfRule type="expression" dxfId="451" priority="151" stopIfTrue="1">
      <formula>P12="children e female"</formula>
    </cfRule>
    <cfRule type="expression" dxfId="450" priority="152" stopIfTrue="1">
      <formula>P12="children e male"</formula>
    </cfRule>
    <cfRule type="expression" dxfId="449" priority="153" stopIfTrue="1">
      <formula>P12="children d female"</formula>
    </cfRule>
    <cfRule type="expression" dxfId="448" priority="154" stopIfTrue="1">
      <formula>P12="children d male"</formula>
    </cfRule>
    <cfRule type="expression" dxfId="447" priority="155" stopIfTrue="1">
      <formula>P12="Children c female"</formula>
    </cfRule>
    <cfRule type="expression" dxfId="446" priority="156" stopIfTrue="1">
      <formula>P12="children c male"</formula>
    </cfRule>
    <cfRule type="expression" dxfId="445" priority="157" stopIfTrue="1">
      <formula>P12="children b coed"</formula>
    </cfRule>
    <cfRule type="expression" dxfId="444" priority="158" stopIfTrue="1">
      <formula>P12="children a coed"</formula>
    </cfRule>
    <cfRule type="expression" dxfId="443" priority="159" stopIfTrue="1">
      <formula>P12="Juniors female"</formula>
    </cfRule>
    <cfRule type="expression" dxfId="442" priority="160" stopIfTrue="1">
      <formula>P12="Juniors B male"</formula>
    </cfRule>
    <cfRule type="expression" dxfId="441" priority="161" stopIfTrue="1">
      <formula>P12="juniors a male"</formula>
    </cfRule>
    <cfRule type="expression" dxfId="440" priority="162" stopIfTrue="1">
      <formula>P12="adults female"</formula>
    </cfRule>
    <cfRule type="expression" dxfId="439" priority="163" stopIfTrue="1">
      <formula>P12="college"</formula>
    </cfRule>
    <cfRule type="expression" dxfId="438" priority="164" stopIfTrue="1">
      <formula>P12="adults male"</formula>
    </cfRule>
    <cfRule type="expression" dxfId="437" priority="165" stopIfTrue="1">
      <formula>P12="veterans male"</formula>
    </cfRule>
  </conditionalFormatting>
  <conditionalFormatting sqref="O14:O15">
    <cfRule type="expression" dxfId="436" priority="136" stopIfTrue="1">
      <formula>P14="children e female"</formula>
    </cfRule>
    <cfRule type="expression" dxfId="435" priority="137" stopIfTrue="1">
      <formula>P14="children e male"</formula>
    </cfRule>
    <cfRule type="expression" dxfId="434" priority="138" stopIfTrue="1">
      <formula>P14="children d female"</formula>
    </cfRule>
    <cfRule type="expression" dxfId="433" priority="139" stopIfTrue="1">
      <formula>P14="children d male"</formula>
    </cfRule>
    <cfRule type="expression" dxfId="432" priority="140" stopIfTrue="1">
      <formula>P14="Children c female"</formula>
    </cfRule>
    <cfRule type="expression" dxfId="431" priority="141" stopIfTrue="1">
      <formula>P14="children c male"</formula>
    </cfRule>
    <cfRule type="expression" dxfId="430" priority="142" stopIfTrue="1">
      <formula>P14="children b coed"</formula>
    </cfRule>
    <cfRule type="expression" dxfId="429" priority="143" stopIfTrue="1">
      <formula>P14="children a coed"</formula>
    </cfRule>
    <cfRule type="expression" dxfId="428" priority="144" stopIfTrue="1">
      <formula>P14="Juniors female"</formula>
    </cfRule>
    <cfRule type="expression" dxfId="427" priority="145" stopIfTrue="1">
      <formula>P14="Juniors B male"</formula>
    </cfRule>
    <cfRule type="expression" dxfId="426" priority="146" stopIfTrue="1">
      <formula>P14="juniors a male"</formula>
    </cfRule>
    <cfRule type="expression" dxfId="425" priority="147" stopIfTrue="1">
      <formula>P14="adults female"</formula>
    </cfRule>
    <cfRule type="expression" dxfId="424" priority="148" stopIfTrue="1">
      <formula>P14="college"</formula>
    </cfRule>
    <cfRule type="expression" dxfId="423" priority="149" stopIfTrue="1">
      <formula>P14="adults male"</formula>
    </cfRule>
    <cfRule type="expression" dxfId="422" priority="150" stopIfTrue="1">
      <formula>P14="veterans male"</formula>
    </cfRule>
  </conditionalFormatting>
  <conditionalFormatting sqref="O16:O17">
    <cfRule type="expression" dxfId="421" priority="121" stopIfTrue="1">
      <formula>P16="children e female"</formula>
    </cfRule>
    <cfRule type="expression" dxfId="420" priority="122" stopIfTrue="1">
      <formula>P16="children e male"</formula>
    </cfRule>
    <cfRule type="expression" dxfId="419" priority="123" stopIfTrue="1">
      <formula>P16="children d female"</formula>
    </cfRule>
    <cfRule type="expression" dxfId="418" priority="124" stopIfTrue="1">
      <formula>P16="children d male"</formula>
    </cfRule>
    <cfRule type="expression" dxfId="417" priority="125" stopIfTrue="1">
      <formula>P16="Children c female"</formula>
    </cfRule>
    <cfRule type="expression" dxfId="416" priority="126" stopIfTrue="1">
      <formula>P16="children c male"</formula>
    </cfRule>
    <cfRule type="expression" dxfId="415" priority="127" stopIfTrue="1">
      <formula>P16="children b coed"</formula>
    </cfRule>
    <cfRule type="expression" dxfId="414" priority="128" stopIfTrue="1">
      <formula>P16="children a coed"</formula>
    </cfRule>
    <cfRule type="expression" dxfId="413" priority="129" stopIfTrue="1">
      <formula>P16="Juniors female"</formula>
    </cfRule>
    <cfRule type="expression" dxfId="412" priority="130" stopIfTrue="1">
      <formula>P16="Juniors B male"</formula>
    </cfRule>
    <cfRule type="expression" dxfId="411" priority="131" stopIfTrue="1">
      <formula>P16="juniors a male"</formula>
    </cfRule>
    <cfRule type="expression" dxfId="410" priority="132" stopIfTrue="1">
      <formula>P16="adults female"</formula>
    </cfRule>
    <cfRule type="expression" dxfId="409" priority="133" stopIfTrue="1">
      <formula>P16="college"</formula>
    </cfRule>
    <cfRule type="expression" dxfId="408" priority="134" stopIfTrue="1">
      <formula>P16="adults male"</formula>
    </cfRule>
    <cfRule type="expression" dxfId="407" priority="135" stopIfTrue="1">
      <formula>P16="veterans male"</formula>
    </cfRule>
  </conditionalFormatting>
  <conditionalFormatting sqref="O18:O19">
    <cfRule type="expression" dxfId="406" priority="106" stopIfTrue="1">
      <formula>P18="children e female"</formula>
    </cfRule>
    <cfRule type="expression" dxfId="405" priority="107" stopIfTrue="1">
      <formula>P18="children e male"</formula>
    </cfRule>
    <cfRule type="expression" dxfId="404" priority="108" stopIfTrue="1">
      <formula>P18="children d female"</formula>
    </cfRule>
    <cfRule type="expression" dxfId="403" priority="109" stopIfTrue="1">
      <formula>P18="children d male"</formula>
    </cfRule>
    <cfRule type="expression" dxfId="402" priority="110" stopIfTrue="1">
      <formula>P18="Children c female"</formula>
    </cfRule>
    <cfRule type="expression" dxfId="401" priority="111" stopIfTrue="1">
      <formula>P18="children c male"</formula>
    </cfRule>
    <cfRule type="expression" dxfId="400" priority="112" stopIfTrue="1">
      <formula>P18="children b coed"</formula>
    </cfRule>
    <cfRule type="expression" dxfId="399" priority="113" stopIfTrue="1">
      <formula>P18="children a coed"</formula>
    </cfRule>
    <cfRule type="expression" dxfId="398" priority="114" stopIfTrue="1">
      <formula>P18="Juniors female"</formula>
    </cfRule>
    <cfRule type="expression" dxfId="397" priority="115" stopIfTrue="1">
      <formula>P18="Juniors B male"</formula>
    </cfRule>
    <cfRule type="expression" dxfId="396" priority="116" stopIfTrue="1">
      <formula>P18="juniors a male"</formula>
    </cfRule>
    <cfRule type="expression" dxfId="395" priority="117" stopIfTrue="1">
      <formula>P18="adults female"</formula>
    </cfRule>
    <cfRule type="expression" dxfId="394" priority="118" stopIfTrue="1">
      <formula>P18="college"</formula>
    </cfRule>
    <cfRule type="expression" dxfId="393" priority="119" stopIfTrue="1">
      <formula>P18="adults male"</formula>
    </cfRule>
    <cfRule type="expression" dxfId="392" priority="120" stopIfTrue="1">
      <formula>P18="veterans male"</formula>
    </cfRule>
  </conditionalFormatting>
  <conditionalFormatting sqref="O20:O21">
    <cfRule type="expression" dxfId="391" priority="91" stopIfTrue="1">
      <formula>P20="children e female"</formula>
    </cfRule>
    <cfRule type="expression" dxfId="390" priority="92" stopIfTrue="1">
      <formula>P20="children e male"</formula>
    </cfRule>
    <cfRule type="expression" dxfId="389" priority="93" stopIfTrue="1">
      <formula>P20="children d female"</formula>
    </cfRule>
    <cfRule type="expression" dxfId="388" priority="94" stopIfTrue="1">
      <formula>P20="children d male"</formula>
    </cfRule>
    <cfRule type="expression" dxfId="387" priority="95" stopIfTrue="1">
      <formula>P20="Children c female"</formula>
    </cfRule>
    <cfRule type="expression" dxfId="386" priority="96" stopIfTrue="1">
      <formula>P20="children c male"</formula>
    </cfRule>
    <cfRule type="expression" dxfId="385" priority="97" stopIfTrue="1">
      <formula>P20="children b coed"</formula>
    </cfRule>
    <cfRule type="expression" dxfId="384" priority="98" stopIfTrue="1">
      <formula>P20="children a coed"</formula>
    </cfRule>
    <cfRule type="expression" dxfId="383" priority="99" stopIfTrue="1">
      <formula>P20="Juniors female"</formula>
    </cfRule>
    <cfRule type="expression" dxfId="382" priority="100" stopIfTrue="1">
      <formula>P20="Juniors B male"</formula>
    </cfRule>
    <cfRule type="expression" dxfId="381" priority="101" stopIfTrue="1">
      <formula>P20="juniors a male"</formula>
    </cfRule>
    <cfRule type="expression" dxfId="380" priority="102" stopIfTrue="1">
      <formula>P20="adults female"</formula>
    </cfRule>
    <cfRule type="expression" dxfId="379" priority="103" stopIfTrue="1">
      <formula>P20="college"</formula>
    </cfRule>
    <cfRule type="expression" dxfId="378" priority="104" stopIfTrue="1">
      <formula>P20="adults male"</formula>
    </cfRule>
    <cfRule type="expression" dxfId="377" priority="105" stopIfTrue="1">
      <formula>P20="veterans male"</formula>
    </cfRule>
  </conditionalFormatting>
  <conditionalFormatting sqref="O24:O25">
    <cfRule type="expression" dxfId="376" priority="61" stopIfTrue="1">
      <formula>P24="children e female"</formula>
    </cfRule>
    <cfRule type="expression" dxfId="375" priority="62" stopIfTrue="1">
      <formula>P24="children e male"</formula>
    </cfRule>
    <cfRule type="expression" dxfId="374" priority="63" stopIfTrue="1">
      <formula>P24="children d female"</formula>
    </cfRule>
    <cfRule type="expression" dxfId="373" priority="64" stopIfTrue="1">
      <formula>P24="children d male"</formula>
    </cfRule>
    <cfRule type="expression" dxfId="372" priority="65" stopIfTrue="1">
      <formula>P24="Children c female"</formula>
    </cfRule>
    <cfRule type="expression" dxfId="371" priority="66" stopIfTrue="1">
      <formula>P24="children c male"</formula>
    </cfRule>
    <cfRule type="expression" dxfId="370" priority="67" stopIfTrue="1">
      <formula>P24="children b coed"</formula>
    </cfRule>
    <cfRule type="expression" dxfId="369" priority="68" stopIfTrue="1">
      <formula>P24="children a coed"</formula>
    </cfRule>
    <cfRule type="expression" dxfId="368" priority="69" stopIfTrue="1">
      <formula>P24="Juniors female"</formula>
    </cfRule>
    <cfRule type="expression" dxfId="367" priority="70" stopIfTrue="1">
      <formula>P24="Juniors B male"</formula>
    </cfRule>
    <cfRule type="expression" dxfId="366" priority="71" stopIfTrue="1">
      <formula>P24="juniors a male"</formula>
    </cfRule>
    <cfRule type="expression" dxfId="365" priority="72" stopIfTrue="1">
      <formula>P24="adults female"</formula>
    </cfRule>
    <cfRule type="expression" dxfId="364" priority="73" stopIfTrue="1">
      <formula>P24="college"</formula>
    </cfRule>
    <cfRule type="expression" dxfId="363" priority="74" stopIfTrue="1">
      <formula>P24="adults male"</formula>
    </cfRule>
    <cfRule type="expression" dxfId="362" priority="75" stopIfTrue="1">
      <formula>P24="veterans male"</formula>
    </cfRule>
  </conditionalFormatting>
  <conditionalFormatting sqref="O26:O27">
    <cfRule type="expression" dxfId="361" priority="46" stopIfTrue="1">
      <formula>P26="children e female"</formula>
    </cfRule>
    <cfRule type="expression" dxfId="360" priority="47" stopIfTrue="1">
      <formula>P26="children e male"</formula>
    </cfRule>
    <cfRule type="expression" dxfId="359" priority="48" stopIfTrue="1">
      <formula>P26="children d female"</formula>
    </cfRule>
    <cfRule type="expression" dxfId="358" priority="49" stopIfTrue="1">
      <formula>P26="children d male"</formula>
    </cfRule>
    <cfRule type="expression" dxfId="357" priority="50" stopIfTrue="1">
      <formula>P26="Children c female"</formula>
    </cfRule>
    <cfRule type="expression" dxfId="356" priority="51" stopIfTrue="1">
      <formula>P26="children c male"</formula>
    </cfRule>
    <cfRule type="expression" dxfId="355" priority="52" stopIfTrue="1">
      <formula>P26="children b coed"</formula>
    </cfRule>
    <cfRule type="expression" dxfId="354" priority="53" stopIfTrue="1">
      <formula>P26="children a coed"</formula>
    </cfRule>
    <cfRule type="expression" dxfId="353" priority="54" stopIfTrue="1">
      <formula>P26="Juniors female"</formula>
    </cfRule>
    <cfRule type="expression" dxfId="352" priority="55" stopIfTrue="1">
      <formula>P26="Juniors B male"</formula>
    </cfRule>
    <cfRule type="expression" dxfId="351" priority="56" stopIfTrue="1">
      <formula>P26="juniors a male"</formula>
    </cfRule>
    <cfRule type="expression" dxfId="350" priority="57" stopIfTrue="1">
      <formula>P26="adults female"</formula>
    </cfRule>
    <cfRule type="expression" dxfId="349" priority="58" stopIfTrue="1">
      <formula>P26="college"</formula>
    </cfRule>
    <cfRule type="expression" dxfId="348" priority="59" stopIfTrue="1">
      <formula>P26="adults male"</formula>
    </cfRule>
    <cfRule type="expression" dxfId="347" priority="60" stopIfTrue="1">
      <formula>P26="veterans male"</formula>
    </cfRule>
  </conditionalFormatting>
  <conditionalFormatting sqref="Z10 Z12 Z14 Z16 Z18 Z20 Z22 Z24 Z26 Z28 Z30 Z32 Z34 Z36 Z38 Z40 Z42 Z44 Z46 Z8">
    <cfRule type="expression" dxfId="346" priority="541" stopIfTrue="1">
      <formula>AA8="children e female"</formula>
    </cfRule>
    <cfRule type="expression" dxfId="345" priority="542" stopIfTrue="1">
      <formula>AA8="children e male"</formula>
    </cfRule>
    <cfRule type="expression" dxfId="344" priority="543" stopIfTrue="1">
      <formula>AA8="children d female"</formula>
    </cfRule>
    <cfRule type="expression" dxfId="343" priority="544" stopIfTrue="1">
      <formula>AA8="children d male"</formula>
    </cfRule>
    <cfRule type="expression" dxfId="342" priority="545" stopIfTrue="1">
      <formula>AA8="Children c female"</formula>
    </cfRule>
    <cfRule type="expression" dxfId="341" priority="546" stopIfTrue="1">
      <formula>AA8="children c male"</formula>
    </cfRule>
    <cfRule type="expression" dxfId="340" priority="547" stopIfTrue="1">
      <formula>AA8="children b coed"</formula>
    </cfRule>
    <cfRule type="expression" dxfId="339" priority="548" stopIfTrue="1">
      <formula>AA8="children a coed"</formula>
    </cfRule>
    <cfRule type="expression" dxfId="338" priority="549" stopIfTrue="1">
      <formula>AA8="Juniors female"</formula>
    </cfRule>
    <cfRule type="expression" dxfId="337" priority="550" stopIfTrue="1">
      <formula>AA8="Juniors B male"</formula>
    </cfRule>
    <cfRule type="expression" dxfId="336" priority="551" stopIfTrue="1">
      <formula>AA8="juniors a male"</formula>
    </cfRule>
    <cfRule type="expression" dxfId="335" priority="552" stopIfTrue="1">
      <formula>AA8="adults female"</formula>
    </cfRule>
    <cfRule type="expression" dxfId="334" priority="553" stopIfTrue="1">
      <formula>AA8="college"</formula>
    </cfRule>
    <cfRule type="expression" dxfId="333" priority="554" stopIfTrue="1">
      <formula>AA8="adults male"</formula>
    </cfRule>
    <cfRule type="expression" dxfId="332" priority="555" stopIfTrue="1">
      <formula>AA8="veterans male"</formula>
    </cfRule>
  </conditionalFormatting>
  <conditionalFormatting sqref="AC10 AC12 AC14 AC16 AC18 AC20 AC22 AC24 AC26 AC28 AC30 AC32 AC34 AC36 AC38 AC40 AC42 AC44 AC46 AC8">
    <cfRule type="expression" dxfId="331" priority="526" stopIfTrue="1">
      <formula>AD8="children e female"</formula>
    </cfRule>
    <cfRule type="expression" dxfId="330" priority="527" stopIfTrue="1">
      <formula>AD8="children e male"</formula>
    </cfRule>
    <cfRule type="expression" dxfId="329" priority="528" stopIfTrue="1">
      <formula>AD8="children d female"</formula>
    </cfRule>
    <cfRule type="expression" dxfId="328" priority="529" stopIfTrue="1">
      <formula>AD8="children d male"</formula>
    </cfRule>
    <cfRule type="expression" dxfId="327" priority="530" stopIfTrue="1">
      <formula>AD8="Children c female"</formula>
    </cfRule>
    <cfRule type="expression" dxfId="326" priority="531" stopIfTrue="1">
      <formula>AD8="children c male"</formula>
    </cfRule>
    <cfRule type="expression" dxfId="325" priority="532" stopIfTrue="1">
      <formula>AD8="children b coed"</formula>
    </cfRule>
    <cfRule type="expression" dxfId="324" priority="533" stopIfTrue="1">
      <formula>AD8="children a coed"</formula>
    </cfRule>
    <cfRule type="expression" dxfId="323" priority="534" stopIfTrue="1">
      <formula>AD8="Juniors female"</formula>
    </cfRule>
    <cfRule type="expression" dxfId="322" priority="535" stopIfTrue="1">
      <formula>AD8="Juniors B male"</formula>
    </cfRule>
    <cfRule type="expression" dxfId="321" priority="536" stopIfTrue="1">
      <formula>AD8="juniors a male"</formula>
    </cfRule>
    <cfRule type="expression" dxfId="320" priority="537" stopIfTrue="1">
      <formula>AD8="adults female"</formula>
    </cfRule>
    <cfRule type="expression" dxfId="319" priority="538" stopIfTrue="1">
      <formula>AD8="college"</formula>
    </cfRule>
    <cfRule type="expression" dxfId="318" priority="539" stopIfTrue="1">
      <formula>AD8="adults male"</formula>
    </cfRule>
    <cfRule type="expression" dxfId="317" priority="540" stopIfTrue="1">
      <formula>AD8="veterans male"</formula>
    </cfRule>
  </conditionalFormatting>
  <conditionalFormatting sqref="AF8 AF10 AF12 AF14 AF16 AF18 AF20 AF22 AF24 AF26 AF28 AF30 AF32 AF34 AF36 AF38 AF40 AF42 AF44 AF46">
    <cfRule type="expression" dxfId="316" priority="511" stopIfTrue="1">
      <formula>AG8="children e female"</formula>
    </cfRule>
    <cfRule type="expression" dxfId="315" priority="512" stopIfTrue="1">
      <formula>AG8="children e male"</formula>
    </cfRule>
    <cfRule type="expression" dxfId="314" priority="513" stopIfTrue="1">
      <formula>AG8="children d female"</formula>
    </cfRule>
    <cfRule type="expression" dxfId="313" priority="514" stopIfTrue="1">
      <formula>AG8="children d male"</formula>
    </cfRule>
    <cfRule type="expression" dxfId="312" priority="515" stopIfTrue="1">
      <formula>AG8="Children c female"</formula>
    </cfRule>
    <cfRule type="expression" dxfId="311" priority="516" stopIfTrue="1">
      <formula>AG8="children c male"</formula>
    </cfRule>
    <cfRule type="expression" dxfId="310" priority="517" stopIfTrue="1">
      <formula>AG8="children b coed"</formula>
    </cfRule>
    <cfRule type="expression" dxfId="309" priority="518" stopIfTrue="1">
      <formula>AG8="children a coed"</formula>
    </cfRule>
    <cfRule type="expression" dxfId="308" priority="519" stopIfTrue="1">
      <formula>AG8="Juniors female"</formula>
    </cfRule>
    <cfRule type="expression" dxfId="307" priority="520" stopIfTrue="1">
      <formula>AG8="Juniors B male"</formula>
    </cfRule>
    <cfRule type="expression" dxfId="306" priority="521" stopIfTrue="1">
      <formula>AG8="juniors a male"</formula>
    </cfRule>
    <cfRule type="expression" dxfId="305" priority="522" stopIfTrue="1">
      <formula>AG8="adults female"</formula>
    </cfRule>
    <cfRule type="expression" dxfId="304" priority="523" stopIfTrue="1">
      <formula>AG8="college"</formula>
    </cfRule>
    <cfRule type="expression" dxfId="303" priority="524" stopIfTrue="1">
      <formula>AG8="adults male"</formula>
    </cfRule>
    <cfRule type="expression" dxfId="302" priority="525" stopIfTrue="1">
      <formula>AG8="veterans male"</formula>
    </cfRule>
  </conditionalFormatting>
  <conditionalFormatting sqref="N10 N12 N14 N16 N18 N20 N22 N24 N26 N28 N30 N32 N34 N36 N38 N40 N42 N44 N46 N8">
    <cfRule type="expression" dxfId="301" priority="496" stopIfTrue="1">
      <formula>O8="children e female"</formula>
    </cfRule>
    <cfRule type="expression" dxfId="300" priority="497" stopIfTrue="1">
      <formula>O8="children e male"</formula>
    </cfRule>
    <cfRule type="expression" dxfId="299" priority="498" stopIfTrue="1">
      <formula>O8="children d female"</formula>
    </cfRule>
    <cfRule type="expression" dxfId="298" priority="499" stopIfTrue="1">
      <formula>O8="children d male"</formula>
    </cfRule>
    <cfRule type="expression" dxfId="297" priority="500" stopIfTrue="1">
      <formula>O8="Children c female"</formula>
    </cfRule>
    <cfRule type="expression" dxfId="296" priority="501" stopIfTrue="1">
      <formula>O8="children c male"</formula>
    </cfRule>
    <cfRule type="expression" dxfId="295" priority="502" stopIfTrue="1">
      <formula>O8="children b coed"</formula>
    </cfRule>
    <cfRule type="expression" dxfId="294" priority="503" stopIfTrue="1">
      <formula>O8="children a coed"</formula>
    </cfRule>
    <cfRule type="expression" dxfId="293" priority="504" stopIfTrue="1">
      <formula>O8="Juniors female"</formula>
    </cfRule>
    <cfRule type="expression" dxfId="292" priority="505" stopIfTrue="1">
      <formula>O8="Juniors B male"</formula>
    </cfRule>
    <cfRule type="expression" dxfId="291" priority="506" stopIfTrue="1">
      <formula>O8="juniors a male"</formula>
    </cfRule>
    <cfRule type="expression" dxfId="290" priority="507" stopIfTrue="1">
      <formula>O8="adults female"</formula>
    </cfRule>
    <cfRule type="expression" dxfId="289" priority="508" stopIfTrue="1">
      <formula>O8="college"</formula>
    </cfRule>
    <cfRule type="expression" dxfId="288" priority="509" stopIfTrue="1">
      <formula>O8="adults male"</formula>
    </cfRule>
    <cfRule type="expression" dxfId="287" priority="510" stopIfTrue="1">
      <formula>O8="veterans male"</formula>
    </cfRule>
  </conditionalFormatting>
  <conditionalFormatting sqref="O22:O23">
    <cfRule type="expression" dxfId="286" priority="76" stopIfTrue="1">
      <formula>P22="children e female"</formula>
    </cfRule>
    <cfRule type="expression" dxfId="285" priority="77" stopIfTrue="1">
      <formula>P22="children e male"</formula>
    </cfRule>
    <cfRule type="expression" dxfId="284" priority="78" stopIfTrue="1">
      <formula>P22="children d female"</formula>
    </cfRule>
    <cfRule type="expression" dxfId="283" priority="79" stopIfTrue="1">
      <formula>P22="children d male"</formula>
    </cfRule>
    <cfRule type="expression" dxfId="282" priority="80" stopIfTrue="1">
      <formula>P22="Children c female"</formula>
    </cfRule>
    <cfRule type="expression" dxfId="281" priority="81" stopIfTrue="1">
      <formula>P22="children c male"</formula>
    </cfRule>
    <cfRule type="expression" dxfId="280" priority="82" stopIfTrue="1">
      <formula>P22="children b coed"</formula>
    </cfRule>
    <cfRule type="expression" dxfId="279" priority="83" stopIfTrue="1">
      <formula>P22="children a coed"</formula>
    </cfRule>
    <cfRule type="expression" dxfId="278" priority="84" stopIfTrue="1">
      <formula>P22="Juniors female"</formula>
    </cfRule>
    <cfRule type="expression" dxfId="277" priority="85" stopIfTrue="1">
      <formula>P22="Juniors B male"</formula>
    </cfRule>
    <cfRule type="expression" dxfId="276" priority="86" stopIfTrue="1">
      <formula>P22="juniors a male"</formula>
    </cfRule>
    <cfRule type="expression" dxfId="275" priority="87" stopIfTrue="1">
      <formula>P22="adults female"</formula>
    </cfRule>
    <cfRule type="expression" dxfId="274" priority="88" stopIfTrue="1">
      <formula>P22="college"</formula>
    </cfRule>
    <cfRule type="expression" dxfId="273" priority="89" stopIfTrue="1">
      <formula>P22="adults male"</formula>
    </cfRule>
    <cfRule type="expression" dxfId="272" priority="90" stopIfTrue="1">
      <formula>P22="veterans male"</formula>
    </cfRule>
  </conditionalFormatting>
  <conditionalFormatting sqref="K10 K12 K14 K16 K18 K20 K22 K24 K26 K28 K30 K32 K34 K36 K38 K40 K42 K44 K46 K8">
    <cfRule type="expression" dxfId="271" priority="31" stopIfTrue="1">
      <formula>L8="children e female"</formula>
    </cfRule>
    <cfRule type="expression" dxfId="270" priority="32" stopIfTrue="1">
      <formula>L8="children e male"</formula>
    </cfRule>
    <cfRule type="expression" dxfId="269" priority="33" stopIfTrue="1">
      <formula>L8="children d female"</formula>
    </cfRule>
    <cfRule type="expression" dxfId="268" priority="34" stopIfTrue="1">
      <formula>L8="children d male"</formula>
    </cfRule>
    <cfRule type="expression" dxfId="267" priority="35" stopIfTrue="1">
      <formula>L8="Children c female"</formula>
    </cfRule>
    <cfRule type="expression" dxfId="266" priority="36" stopIfTrue="1">
      <formula>L8="children c male"</formula>
    </cfRule>
    <cfRule type="expression" dxfId="265" priority="37" stopIfTrue="1">
      <formula>L8="children b coed"</formula>
    </cfRule>
    <cfRule type="expression" dxfId="264" priority="38" stopIfTrue="1">
      <formula>L8="children a coed"</formula>
    </cfRule>
    <cfRule type="expression" dxfId="263" priority="39" stopIfTrue="1">
      <formula>L8="Juniors female"</formula>
    </cfRule>
    <cfRule type="expression" dxfId="262" priority="40" stopIfTrue="1">
      <formula>L8="Juniors B male"</formula>
    </cfRule>
    <cfRule type="expression" dxfId="261" priority="41" stopIfTrue="1">
      <formula>L8="juniors a male"</formula>
    </cfRule>
    <cfRule type="expression" dxfId="260" priority="42" stopIfTrue="1">
      <formula>L8="adults female"</formula>
    </cfRule>
    <cfRule type="expression" dxfId="259" priority="43" stopIfTrue="1">
      <formula>L8="college"</formula>
    </cfRule>
    <cfRule type="expression" dxfId="258" priority="44" stopIfTrue="1">
      <formula>L8="adults male"</formula>
    </cfRule>
    <cfRule type="expression" dxfId="257" priority="45" stopIfTrue="1">
      <formula>L8="veterans male"</formula>
    </cfRule>
  </conditionalFormatting>
  <conditionalFormatting sqref="K11 K13 K15 K17 K19 K21 K23 K25 K27 K29 K31 K33 K35 K37 K39 K41 K43 K45 K47 K9">
    <cfRule type="expression" dxfId="256" priority="16" stopIfTrue="1">
      <formula>L9="children e female"</formula>
    </cfRule>
    <cfRule type="expression" dxfId="255" priority="17" stopIfTrue="1">
      <formula>L9="children e male"</formula>
    </cfRule>
    <cfRule type="expression" dxfId="254" priority="18" stopIfTrue="1">
      <formula>L9="children d female"</formula>
    </cfRule>
    <cfRule type="expression" dxfId="253" priority="19" stopIfTrue="1">
      <formula>L9="children d male"</formula>
    </cfRule>
    <cfRule type="expression" dxfId="252" priority="20" stopIfTrue="1">
      <formula>L9="Children c female"</formula>
    </cfRule>
    <cfRule type="expression" dxfId="251" priority="21" stopIfTrue="1">
      <formula>L9="children c male"</formula>
    </cfRule>
    <cfRule type="expression" dxfId="250" priority="22" stopIfTrue="1">
      <formula>L9="children b coed"</formula>
    </cfRule>
    <cfRule type="expression" dxfId="249" priority="23" stopIfTrue="1">
      <formula>L9="children a coed"</formula>
    </cfRule>
    <cfRule type="expression" dxfId="248" priority="24" stopIfTrue="1">
      <formula>L9="Juniors female"</formula>
    </cfRule>
    <cfRule type="expression" dxfId="247" priority="25" stopIfTrue="1">
      <formula>L9="Juniors B male"</formula>
    </cfRule>
    <cfRule type="expression" dxfId="246" priority="26" stopIfTrue="1">
      <formula>L9="juniors a male"</formula>
    </cfRule>
    <cfRule type="expression" dxfId="245" priority="27" stopIfTrue="1">
      <formula>L9="adults female"</formula>
    </cfRule>
    <cfRule type="expression" dxfId="244" priority="28" stopIfTrue="1">
      <formula>L9="college"</formula>
    </cfRule>
    <cfRule type="expression" dxfId="243" priority="29" stopIfTrue="1">
      <formula>L9="adults male"</formula>
    </cfRule>
    <cfRule type="expression" dxfId="242" priority="30" stopIfTrue="1">
      <formula>L9="veterans male"</formula>
    </cfRule>
  </conditionalFormatting>
  <conditionalFormatting sqref="V9 V11 V13 V15 V17 V19 V21 V23 V25 V27 V29 V37 V31 V33 V35 V39 V41:V47">
    <cfRule type="expression" dxfId="241" priority="586" stopIfTrue="1">
      <formula>#REF!="children e female"</formula>
    </cfRule>
    <cfRule type="expression" dxfId="240" priority="587" stopIfTrue="1">
      <formula>#REF!="children e male"</formula>
    </cfRule>
    <cfRule type="expression" dxfId="239" priority="588" stopIfTrue="1">
      <formula>#REF!="children d female"</formula>
    </cfRule>
    <cfRule type="expression" dxfId="238" priority="589" stopIfTrue="1">
      <formula>#REF!="children d male"</formula>
    </cfRule>
    <cfRule type="expression" dxfId="237" priority="590" stopIfTrue="1">
      <formula>#REF!="Children c female"</formula>
    </cfRule>
    <cfRule type="expression" dxfId="236" priority="591" stopIfTrue="1">
      <formula>#REF!="children c male"</formula>
    </cfRule>
    <cfRule type="expression" dxfId="235" priority="592" stopIfTrue="1">
      <formula>#REF!="children b coed"</formula>
    </cfRule>
    <cfRule type="expression" dxfId="234" priority="593" stopIfTrue="1">
      <formula>#REF!="children a coed"</formula>
    </cfRule>
    <cfRule type="expression" dxfId="233" priority="594" stopIfTrue="1">
      <formula>#REF!="Juniors female"</formula>
    </cfRule>
    <cfRule type="expression" dxfId="232" priority="595" stopIfTrue="1">
      <formula>#REF!="Juniors B male"</formula>
    </cfRule>
    <cfRule type="expression" dxfId="231" priority="596" stopIfTrue="1">
      <formula>#REF!="juniors a male"</formula>
    </cfRule>
    <cfRule type="expression" dxfId="230" priority="597" stopIfTrue="1">
      <formula>#REF!="adults female"</formula>
    </cfRule>
    <cfRule type="expression" dxfId="229" priority="598" stopIfTrue="1">
      <formula>#REF!="college"</formula>
    </cfRule>
    <cfRule type="expression" dxfId="228" priority="599" stopIfTrue="1">
      <formula>#REF!="adults male"</formula>
    </cfRule>
    <cfRule type="expression" dxfId="227" priority="600" stopIfTrue="1">
      <formula>#REF!="veterans male"</formula>
    </cfRule>
  </conditionalFormatting>
  <conditionalFormatting sqref="Q8:Q47">
    <cfRule type="expression" dxfId="226" priority="1" stopIfTrue="1">
      <formula>R8="children e female"</formula>
    </cfRule>
    <cfRule type="expression" dxfId="225" priority="2" stopIfTrue="1">
      <formula>R8="children e male"</formula>
    </cfRule>
    <cfRule type="expression" dxfId="224" priority="3" stopIfTrue="1">
      <formula>R8="children d female"</formula>
    </cfRule>
    <cfRule type="expression" dxfId="223" priority="4" stopIfTrue="1">
      <formula>R8="children d male"</formula>
    </cfRule>
    <cfRule type="expression" dxfId="222" priority="5" stopIfTrue="1">
      <formula>R8="Children c female"</formula>
    </cfRule>
    <cfRule type="expression" dxfId="221" priority="6" stopIfTrue="1">
      <formula>R8="children c male"</formula>
    </cfRule>
    <cfRule type="expression" dxfId="220" priority="7" stopIfTrue="1">
      <formula>R8="children b coed"</formula>
    </cfRule>
    <cfRule type="expression" dxfId="219" priority="8" stopIfTrue="1">
      <formula>R8="children a coed"</formula>
    </cfRule>
    <cfRule type="expression" dxfId="218" priority="9" stopIfTrue="1">
      <formula>R8="Juniors female"</formula>
    </cfRule>
    <cfRule type="expression" dxfId="217" priority="10" stopIfTrue="1">
      <formula>R8="Juniors B male"</formula>
    </cfRule>
    <cfRule type="expression" dxfId="216" priority="11" stopIfTrue="1">
      <formula>R8="juniors a male"</formula>
    </cfRule>
    <cfRule type="expression" dxfId="215" priority="12" stopIfTrue="1">
      <formula>R8="adults female"</formula>
    </cfRule>
    <cfRule type="expression" dxfId="214" priority="13" stopIfTrue="1">
      <formula>R8="college"</formula>
    </cfRule>
    <cfRule type="expression" dxfId="213" priority="14" stopIfTrue="1">
      <formula>R8="adults male"</formula>
    </cfRule>
    <cfRule type="expression" dxfId="212" priority="15" stopIfTrue="1">
      <formula>R8="veterans male"</formula>
    </cfRule>
  </conditionalFormatting>
  <conditionalFormatting sqref="P9 P11 P13 P15 P17 P19 P21 P23 P25 P27 P29 P37 P31 P33 P35 P39 P41:P47">
    <cfRule type="expression" dxfId="211" priority="601" stopIfTrue="1">
      <formula>U9="children e female"</formula>
    </cfRule>
    <cfRule type="expression" dxfId="210" priority="602" stopIfTrue="1">
      <formula>U9="children e male"</formula>
    </cfRule>
    <cfRule type="expression" dxfId="209" priority="603" stopIfTrue="1">
      <formula>U9="children d female"</formula>
    </cfRule>
    <cfRule type="expression" dxfId="208" priority="604" stopIfTrue="1">
      <formula>U9="children d male"</formula>
    </cfRule>
    <cfRule type="expression" dxfId="207" priority="605" stopIfTrue="1">
      <formula>U9="Children c female"</formula>
    </cfRule>
    <cfRule type="expression" dxfId="206" priority="606" stopIfTrue="1">
      <formula>U9="children c male"</formula>
    </cfRule>
    <cfRule type="expression" dxfId="205" priority="607" stopIfTrue="1">
      <formula>U9="children b coed"</formula>
    </cfRule>
    <cfRule type="expression" dxfId="204" priority="608" stopIfTrue="1">
      <formula>U9="children a coed"</formula>
    </cfRule>
    <cfRule type="expression" dxfId="203" priority="609" stopIfTrue="1">
      <formula>U9="Juniors female"</formula>
    </cfRule>
    <cfRule type="expression" dxfId="202" priority="610" stopIfTrue="1">
      <formula>U9="Juniors B male"</formula>
    </cfRule>
    <cfRule type="expression" dxfId="201" priority="611" stopIfTrue="1">
      <formula>U9="juniors a male"</formula>
    </cfRule>
    <cfRule type="expression" dxfId="200" priority="612" stopIfTrue="1">
      <formula>U9="adults female"</formula>
    </cfRule>
    <cfRule type="expression" dxfId="199" priority="613" stopIfTrue="1">
      <formula>U9="college"</formula>
    </cfRule>
    <cfRule type="expression" dxfId="198" priority="614" stopIfTrue="1">
      <formula>U9="adults male"</formula>
    </cfRule>
    <cfRule type="expression" dxfId="197" priority="615" stopIfTrue="1">
      <formula>U9="veterans male"</formula>
    </cfRule>
  </conditionalFormatting>
  <dataValidations count="3">
    <dataValidation type="list" allowBlank="1" showInputMessage="1" showErrorMessage="1" sqref="A6" xr:uid="{00000000-0002-0000-0100-000000000000}">
      <formula1>Days_with_Games</formula1>
    </dataValidation>
    <dataValidation type="list" allowBlank="1" showInputMessage="1" showErrorMessage="1" sqref="B5:B6 AF5 H5 N5 AC5 K5 E5 Q5 E6:K6 N6:AH6 T5:Z5" xr:uid="{00000000-0002-0000-0100-000001000000}">
      <formula1>sports_list</formula1>
    </dataValidation>
    <dataValidation type="list" allowBlank="1" showInputMessage="1" showErrorMessage="1" sqref="B2:AH3" xr:uid="{00000000-0002-0000-0100-000002000000}">
      <formula1>location_list</formula1>
    </dataValidation>
  </dataValidations>
  <pageMargins left="0.25" right="0.25" top="0.75" bottom="0.75" header="0.3" footer="0.3"/>
  <pageSetup scale="39" orientation="landscape" r:id="rId1"/>
  <ignoredErrors>
    <ignoredError sqref="AG9:AH12 AG14:AH22 AG13:AH13 AG24:AH45 AG23:AH2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pageSetUpPr fitToPage="1"/>
  </sheetPr>
  <dimension ref="A1:M175"/>
  <sheetViews>
    <sheetView zoomScale="40" zoomScaleNormal="40" workbookViewId="0">
      <selection activeCell="T9" sqref="T9"/>
    </sheetView>
  </sheetViews>
  <sheetFormatPr baseColWidth="10" defaultColWidth="9.1640625" defaultRowHeight="24" x14ac:dyDescent="0.3"/>
  <cols>
    <col min="1" max="1" width="30.33203125" style="112" customWidth="1"/>
    <col min="2" max="11" width="39" style="163" customWidth="1"/>
    <col min="12" max="12" width="9.1640625" style="163" hidden="1" customWidth="1"/>
    <col min="13" max="13" width="30.5" style="163" customWidth="1"/>
    <col min="14" max="14" width="10.6640625" style="163" bestFit="1" customWidth="1"/>
    <col min="15" max="16384" width="9.1640625" style="163"/>
  </cols>
  <sheetData>
    <row r="1" spans="1:13" s="160" customFormat="1" ht="30" thickBot="1" x14ac:dyDescent="0.4">
      <c r="A1" s="344" t="s">
        <v>349</v>
      </c>
      <c r="B1" s="159" t="s">
        <v>717</v>
      </c>
      <c r="C1" s="160" t="s">
        <v>350</v>
      </c>
      <c r="D1" s="161" t="s">
        <v>351</v>
      </c>
      <c r="E1" s="160" t="str">
        <f>VLOOKUP(B1,teams_table,4,0)</f>
        <v>CHILDREN E MALE</v>
      </c>
      <c r="F1" s="161" t="s">
        <v>352</v>
      </c>
      <c r="G1" s="160" t="str">
        <f>VLOOKUP(B1,Tables!$C$3:$G$173,5,0)</f>
        <v>CHILDREN E MALE MEXICO 1</v>
      </c>
    </row>
    <row r="2" spans="1:13" x14ac:dyDescent="0.3">
      <c r="A2" s="103"/>
      <c r="B2" s="162"/>
      <c r="C2" s="162"/>
      <c r="D2" s="162"/>
    </row>
    <row r="3" spans="1:13" ht="26" x14ac:dyDescent="0.3">
      <c r="B3" s="164"/>
      <c r="C3" s="164"/>
      <c r="D3" s="164"/>
      <c r="E3" s="164"/>
      <c r="F3" s="164"/>
      <c r="G3" s="164"/>
      <c r="H3" s="164"/>
      <c r="I3" s="164"/>
      <c r="J3" s="164"/>
    </row>
    <row r="4" spans="1:13" ht="5.25" customHeight="1" x14ac:dyDescent="0.3">
      <c r="A4" s="103"/>
      <c r="B4" s="165"/>
      <c r="C4" s="165"/>
      <c r="D4" s="165"/>
      <c r="E4" s="166"/>
      <c r="F4" s="166"/>
      <c r="G4" s="166"/>
      <c r="H4" s="166"/>
      <c r="I4" s="166"/>
      <c r="J4" s="166"/>
    </row>
    <row r="5" spans="1:13" ht="45" x14ac:dyDescent="0.45">
      <c r="A5" s="478" t="s">
        <v>785</v>
      </c>
      <c r="B5" s="478"/>
      <c r="C5" s="478"/>
      <c r="D5" s="478"/>
      <c r="E5" s="479"/>
      <c r="F5" s="480" t="str">
        <f xml:space="preserve"> "Schedule for "&amp;G1</f>
        <v>Schedule for CHILDREN E MALE MEXICO 1</v>
      </c>
      <c r="G5" s="481"/>
      <c r="H5" s="481"/>
      <c r="I5" s="481"/>
      <c r="J5" s="481"/>
      <c r="K5" s="481"/>
      <c r="L5" s="481"/>
      <c r="M5" s="481"/>
    </row>
    <row r="6" spans="1:13" ht="5.25" customHeight="1" thickBot="1" x14ac:dyDescent="0.35">
      <c r="A6" s="102"/>
      <c r="B6" s="162"/>
      <c r="C6" s="162"/>
      <c r="D6" s="162"/>
      <c r="E6" s="167"/>
      <c r="F6" s="162"/>
      <c r="G6" s="167"/>
      <c r="H6" s="162"/>
    </row>
    <row r="7" spans="1:13" s="340" customFormat="1" ht="34" x14ac:dyDescent="0.4">
      <c r="A7" s="337" t="s">
        <v>309</v>
      </c>
      <c r="B7" s="338">
        <f>Tables!U4</f>
        <v>43055</v>
      </c>
      <c r="C7" s="338">
        <f>B7+2</f>
        <v>43057</v>
      </c>
      <c r="D7" s="338">
        <f t="shared" ref="D7:K7" si="0">C7+1</f>
        <v>43058</v>
      </c>
      <c r="E7" s="338">
        <f t="shared" si="0"/>
        <v>43059</v>
      </c>
      <c r="F7" s="338">
        <f t="shared" si="0"/>
        <v>43060</v>
      </c>
      <c r="G7" s="338">
        <f t="shared" si="0"/>
        <v>43061</v>
      </c>
      <c r="H7" s="338">
        <f t="shared" si="0"/>
        <v>43062</v>
      </c>
      <c r="I7" s="338">
        <f t="shared" si="0"/>
        <v>43063</v>
      </c>
      <c r="J7" s="338">
        <f t="shared" si="0"/>
        <v>43064</v>
      </c>
      <c r="K7" s="338">
        <f t="shared" si="0"/>
        <v>43065</v>
      </c>
      <c r="L7" s="338">
        <f>K7-10</f>
        <v>43055</v>
      </c>
      <c r="M7" s="339" t="s">
        <v>309</v>
      </c>
    </row>
    <row r="8" spans="1:13" s="340" customFormat="1" ht="34" x14ac:dyDescent="0.4">
      <c r="A8" s="341"/>
      <c r="B8" s="342" t="s">
        <v>359</v>
      </c>
      <c r="C8" s="342" t="s">
        <v>354</v>
      </c>
      <c r="D8" s="342" t="s">
        <v>355</v>
      </c>
      <c r="E8" s="342" t="s">
        <v>356</v>
      </c>
      <c r="F8" s="342" t="s">
        <v>357</v>
      </c>
      <c r="G8" s="342" t="s">
        <v>358</v>
      </c>
      <c r="H8" s="342" t="s">
        <v>359</v>
      </c>
      <c r="I8" s="342" t="s">
        <v>360</v>
      </c>
      <c r="J8" s="342" t="s">
        <v>354</v>
      </c>
      <c r="K8" s="342" t="s">
        <v>355</v>
      </c>
      <c r="L8" s="342" t="s">
        <v>359</v>
      </c>
      <c r="M8" s="343"/>
    </row>
    <row r="9" spans="1:13" ht="82.5" customHeight="1" x14ac:dyDescent="0.2">
      <c r="A9" s="345">
        <v>0.33333333333333331</v>
      </c>
      <c r="B9" s="168" t="str">
        <f t="shared" ref="B9:L9" si="1">IF(AND(B52&lt;&gt;"",B77&lt;&gt;""),"CONFLICT",B52&amp;B77&amp;B103&amp;B129)</f>
        <v/>
      </c>
      <c r="C9" s="168" t="str">
        <f t="shared" si="1"/>
        <v/>
      </c>
      <c r="D9" s="168" t="str">
        <f t="shared" si="1"/>
        <v/>
      </c>
      <c r="E9" s="168" t="str">
        <f t="shared" si="1"/>
        <v/>
      </c>
      <c r="F9" s="168" t="str">
        <f t="shared" si="1"/>
        <v/>
      </c>
      <c r="G9" s="168" t="str">
        <f t="shared" si="1"/>
        <v/>
      </c>
      <c r="H9" s="168" t="str">
        <f t="shared" si="1"/>
        <v/>
      </c>
      <c r="I9" s="168" t="str">
        <f>IF(AND(I52&lt;&gt;"",I77&lt;&gt;""),"CONFLICT",I52&amp;I77&amp;I103&amp;I129)</f>
        <v>Basketball in Hillel - Gym Basketball (MEX1-VEN1)</v>
      </c>
      <c r="J9" s="168" t="str">
        <f t="shared" si="1"/>
        <v/>
      </c>
      <c r="K9" s="168" t="str">
        <f t="shared" si="1"/>
        <v>Kickball in Hillel - Field 2 (MEX1-VEN2)</v>
      </c>
      <c r="L9" s="169" t="str">
        <f t="shared" si="1"/>
        <v/>
      </c>
      <c r="M9" s="170">
        <v>0.33333333333333331</v>
      </c>
    </row>
    <row r="10" spans="1:13" ht="82.5" customHeight="1" x14ac:dyDescent="0.2">
      <c r="A10" s="345">
        <f t="shared" ref="A10:A28" si="2">A9+$A$45</f>
        <v>0.36805555555555552</v>
      </c>
      <c r="B10" s="168" t="str">
        <f t="shared" ref="B10:B28" si="3">IF(AND(B53&lt;&gt;"",B78&lt;&gt;""),"CONFLICT",B53&amp;B78&amp;B104&amp;B130)</f>
        <v/>
      </c>
      <c r="C10" s="168" t="str">
        <f t="shared" ref="C10:L10" si="4">IF(AND(C53&lt;&gt;"",C78&lt;&gt;""),"CONFLICT",C53&amp;C78&amp;C104&amp;C130)</f>
        <v/>
      </c>
      <c r="D10" s="168" t="str">
        <f>IF(AND(D53&lt;&gt;"",D78&lt;&gt;""),"CONFLICT",D53&amp;D78&amp;D104&amp;D130)</f>
        <v/>
      </c>
      <c r="E10" s="168" t="str">
        <f t="shared" si="4"/>
        <v/>
      </c>
      <c r="F10" s="168" t="str">
        <f t="shared" si="4"/>
        <v/>
      </c>
      <c r="G10" s="168" t="str">
        <f t="shared" si="4"/>
        <v/>
      </c>
      <c r="H10" s="168" t="str">
        <f t="shared" si="4"/>
        <v/>
      </c>
      <c r="I10" s="168" t="str">
        <f t="shared" si="4"/>
        <v/>
      </c>
      <c r="J10" s="168" t="str">
        <f t="shared" si="4"/>
        <v/>
      </c>
      <c r="K10" s="168" t="str">
        <f t="shared" si="4"/>
        <v>Basketball in JCC Gym North (MEX1-PER)Basketball Semi-Final in JCC Gym North</v>
      </c>
      <c r="L10" s="169" t="str">
        <f t="shared" si="4"/>
        <v/>
      </c>
      <c r="M10" s="170">
        <f t="shared" ref="M10:M28" si="5">M9+$A$45</f>
        <v>0.36805555555555552</v>
      </c>
    </row>
    <row r="11" spans="1:13" ht="82.5" customHeight="1" x14ac:dyDescent="0.2">
      <c r="A11" s="345">
        <f t="shared" si="2"/>
        <v>0.40277777777777773</v>
      </c>
      <c r="B11" s="168" t="str">
        <f t="shared" si="3"/>
        <v/>
      </c>
      <c r="C11" s="168" t="str">
        <f t="shared" ref="C11:L11" si="6">IF(AND(C54&lt;&gt;"",C79&lt;&gt;""),"CONFLICT",C54&amp;C79&amp;C105&amp;C131)</f>
        <v/>
      </c>
      <c r="D11" s="168" t="str">
        <f t="shared" si="6"/>
        <v/>
      </c>
      <c r="E11" s="168" t="str">
        <f t="shared" si="6"/>
        <v/>
      </c>
      <c r="F11" s="168" t="str">
        <f t="shared" si="6"/>
        <v/>
      </c>
      <c r="G11" s="168" t="str">
        <f t="shared" si="6"/>
        <v/>
      </c>
      <c r="H11" s="168" t="str">
        <f t="shared" si="6"/>
        <v>Kickball in Hillel - Field 1 (MEX1-USA2)</v>
      </c>
      <c r="I11" s="168" t="str">
        <f>IF(AND(I54&lt;&gt;"",I79&lt;&gt;""),"CONFLICT",I54&amp;I79&amp;I105&amp;I131)</f>
        <v>Kickball in Hillel - Field 4 (MEX1-VEN3)</v>
      </c>
      <c r="J11" s="168" t="str">
        <f t="shared" si="6"/>
        <v/>
      </c>
      <c r="K11" s="168" t="str">
        <f t="shared" si="6"/>
        <v>Soccer Semi-Final in JCC Back Field 1</v>
      </c>
      <c r="L11" s="169" t="str">
        <f t="shared" si="6"/>
        <v/>
      </c>
      <c r="M11" s="170">
        <f t="shared" si="5"/>
        <v>0.40277777777777773</v>
      </c>
    </row>
    <row r="12" spans="1:13" ht="82.5" customHeight="1" x14ac:dyDescent="0.2">
      <c r="A12" s="345">
        <f t="shared" si="2"/>
        <v>0.43749999999999994</v>
      </c>
      <c r="B12" s="168" t="str">
        <f t="shared" si="3"/>
        <v/>
      </c>
      <c r="C12" s="168" t="str">
        <f t="shared" ref="C12:L12" si="7">IF(AND(C55&lt;&gt;"",C80&lt;&gt;""),"CONFLICT",C55&amp;C80&amp;C106&amp;C132)</f>
        <v/>
      </c>
      <c r="D12" s="168" t="str">
        <f>IF(AND(D55&lt;&gt;"",D80&lt;&gt;""),"CONFLICT",D55&amp;D80&amp;D106&amp;D132)</f>
        <v>Soccer in JCC Back Field 3 (ARG1-MEX1)[Chess Tournament in Senior Lounge]</v>
      </c>
      <c r="E12" s="168" t="str">
        <f t="shared" si="7"/>
        <v/>
      </c>
      <c r="F12" s="168" t="str">
        <f t="shared" si="7"/>
        <v/>
      </c>
      <c r="G12" s="168" t="str">
        <f t="shared" si="7"/>
        <v/>
      </c>
      <c r="H12" s="168" t="str">
        <f>IF(AND(H55&lt;&gt;"",H80&lt;&gt;""),"CONFLICT",H55&amp;H80&amp;H106&amp;H132)</f>
        <v>[Chess Tournament in Senior Lounge]</v>
      </c>
      <c r="I12" s="168" t="str">
        <f>IF(AND(I55&lt;&gt;"",I80&lt;&gt;""),"CONFLICT",I55&amp;I80&amp;I106&amp;I132)</f>
        <v>[Chess Tournament in Senior Lounge]</v>
      </c>
      <c r="J12" s="168" t="str">
        <f t="shared" si="7"/>
        <v/>
      </c>
      <c r="K12" s="168" t="str">
        <f t="shared" si="7"/>
        <v>Kickball Semi-Final in Hillel - Field 4</v>
      </c>
      <c r="L12" s="169" t="str">
        <f t="shared" si="7"/>
        <v/>
      </c>
      <c r="M12" s="170">
        <f t="shared" si="5"/>
        <v>0.43749999999999994</v>
      </c>
    </row>
    <row r="13" spans="1:13" ht="82.5" customHeight="1" x14ac:dyDescent="0.2">
      <c r="A13" s="345">
        <f t="shared" si="2"/>
        <v>0.47222222222222215</v>
      </c>
      <c r="B13" s="168" t="str">
        <f t="shared" si="3"/>
        <v/>
      </c>
      <c r="C13" s="168" t="str">
        <f t="shared" ref="C13:L13" si="8">IF(AND(C56&lt;&gt;"",C81&lt;&gt;""),"CONFLICT",C56&amp;C81&amp;C107&amp;C133)</f>
        <v/>
      </c>
      <c r="D13" s="168" t="str">
        <f t="shared" si="8"/>
        <v/>
      </c>
      <c r="E13" s="168" t="str">
        <f t="shared" si="8"/>
        <v/>
      </c>
      <c r="F13" s="168" t="str">
        <f t="shared" si="8"/>
        <v/>
      </c>
      <c r="G13" s="168" t="str">
        <f t="shared" si="8"/>
        <v/>
      </c>
      <c r="H13" s="168" t="str">
        <f t="shared" si="8"/>
        <v>Soccer in JCC Back Field 3 (MEX1-USA2)</v>
      </c>
      <c r="I13" s="168" t="str">
        <f t="shared" si="8"/>
        <v/>
      </c>
      <c r="J13" s="168" t="str">
        <f t="shared" si="8"/>
        <v/>
      </c>
      <c r="K13" s="168" t="str">
        <f t="shared" si="8"/>
        <v>Kickball Final in Hillel - Field 1</v>
      </c>
      <c r="L13" s="169" t="str">
        <f t="shared" si="8"/>
        <v/>
      </c>
      <c r="M13" s="170">
        <f t="shared" si="5"/>
        <v>0.47222222222222215</v>
      </c>
    </row>
    <row r="14" spans="1:13" ht="82.5" customHeight="1" x14ac:dyDescent="0.2">
      <c r="A14" s="345">
        <f t="shared" si="2"/>
        <v>0.50694444444444442</v>
      </c>
      <c r="B14" s="168" t="str">
        <f t="shared" si="3"/>
        <v/>
      </c>
      <c r="C14" s="168" t="str">
        <f t="shared" ref="C14:L14" si="9">IF(AND(C57&lt;&gt;"",C82&lt;&gt;""),"CONFLICT",C57&amp;C82&amp;C108&amp;C134)</f>
        <v/>
      </c>
      <c r="D14" s="168" t="str">
        <f t="shared" si="9"/>
        <v>[Water Polo Exhibition Game in JCC Swimming Pool]</v>
      </c>
      <c r="E14" s="168" t="str">
        <f t="shared" si="9"/>
        <v/>
      </c>
      <c r="F14" s="168" t="str">
        <f t="shared" si="9"/>
        <v/>
      </c>
      <c r="G14" s="168" t="str">
        <f t="shared" si="9"/>
        <v/>
      </c>
      <c r="H14" s="168" t="str">
        <f t="shared" si="9"/>
        <v/>
      </c>
      <c r="I14" s="168" t="str">
        <f>IF(AND(I57&lt;&gt;"",I82&lt;&gt;""),"CONFLICT",I57&amp;I82&amp;I108&amp;I134)</f>
        <v/>
      </c>
      <c r="J14" s="168" t="str">
        <f t="shared" si="9"/>
        <v/>
      </c>
      <c r="K14" s="168" t="str">
        <f>IF(AND(K57&lt;&gt;"",K82&lt;&gt;""),"CONFLICT",K57&amp;K82&amp;K108&amp;K134)</f>
        <v>Volleyball Final in JCC Gym South</v>
      </c>
      <c r="L14" s="169" t="str">
        <f t="shared" si="9"/>
        <v/>
      </c>
      <c r="M14" s="170">
        <f t="shared" si="5"/>
        <v>0.50694444444444442</v>
      </c>
    </row>
    <row r="15" spans="1:13" ht="82.5" customHeight="1" x14ac:dyDescent="0.2">
      <c r="A15" s="345">
        <f t="shared" si="2"/>
        <v>0.54166666666666663</v>
      </c>
      <c r="B15" s="168" t="str">
        <f t="shared" si="3"/>
        <v/>
      </c>
      <c r="C15" s="168" t="str">
        <f t="shared" ref="C15:L15" si="10">IF(AND(C58&lt;&gt;"",C83&lt;&gt;""),"CONFLICT",C58&amp;C83&amp;C109&amp;C135)</f>
        <v/>
      </c>
      <c r="D15" s="168" t="str">
        <f t="shared" si="10"/>
        <v>Volleyball in Hillel - Volleyball Out (MEX1-PER)</v>
      </c>
      <c r="E15" s="168" t="str">
        <f t="shared" si="10"/>
        <v/>
      </c>
      <c r="F15" s="168" t="str">
        <f t="shared" si="10"/>
        <v/>
      </c>
      <c r="G15" s="168" t="str">
        <f t="shared" si="10"/>
        <v/>
      </c>
      <c r="H15" s="168" t="str">
        <f t="shared" si="10"/>
        <v/>
      </c>
      <c r="I15" s="168" t="str">
        <f t="shared" si="10"/>
        <v>Flag Football in Hillel - Field 4 (MEX1-VEN1)</v>
      </c>
      <c r="J15" s="168" t="str">
        <f t="shared" si="10"/>
        <v/>
      </c>
      <c r="K15" s="168" t="s">
        <v>366</v>
      </c>
      <c r="L15" s="169" t="str">
        <f t="shared" si="10"/>
        <v/>
      </c>
      <c r="M15" s="170">
        <f t="shared" si="5"/>
        <v>0.54166666666666663</v>
      </c>
    </row>
    <row r="16" spans="1:13" ht="82.5" customHeight="1" x14ac:dyDescent="0.2">
      <c r="A16" s="345">
        <f t="shared" si="2"/>
        <v>0.57638888888888884</v>
      </c>
      <c r="B16" s="168" t="str">
        <f t="shared" si="3"/>
        <v/>
      </c>
      <c r="C16" s="168" t="str">
        <f t="shared" ref="C16:L17" si="11">IF(AND(C59&lt;&gt;"",C84&lt;&gt;""),"CONFLICT",C59&amp;C84&amp;C110&amp;C136)</f>
        <v/>
      </c>
      <c r="D16" s="168" t="str">
        <f t="shared" si="11"/>
        <v>[Tennis in Tennis Courts][Tennis in Tennis Courts]</v>
      </c>
      <c r="E16" s="168" t="str">
        <f t="shared" si="11"/>
        <v/>
      </c>
      <c r="F16" s="168" t="str">
        <f t="shared" si="11"/>
        <v/>
      </c>
      <c r="G16" s="168" t="str">
        <f t="shared" si="11"/>
        <v/>
      </c>
      <c r="H16" s="168" t="str">
        <f t="shared" si="11"/>
        <v/>
      </c>
      <c r="I16" s="168" t="str">
        <f t="shared" si="11"/>
        <v>[Track and Field in Bommarito Strip on JCC Field]</v>
      </c>
      <c r="J16" s="168" t="str">
        <f t="shared" si="11"/>
        <v/>
      </c>
      <c r="K16" s="168" t="str">
        <f t="shared" si="11"/>
        <v>Soccer Final in JCC Back Field 2</v>
      </c>
      <c r="L16" s="169" t="str">
        <f t="shared" si="11"/>
        <v/>
      </c>
      <c r="M16" s="170">
        <f t="shared" si="5"/>
        <v>0.57638888888888884</v>
      </c>
    </row>
    <row r="17" spans="1:13" ht="82.5" customHeight="1" x14ac:dyDescent="0.2">
      <c r="A17" s="345">
        <f t="shared" si="2"/>
        <v>0.61111111111111105</v>
      </c>
      <c r="B17" s="168" t="str">
        <f t="shared" si="3"/>
        <v/>
      </c>
      <c r="C17" s="168" t="str">
        <f t="shared" ref="C17:L17" si="12">IF(AND(C60&lt;&gt;"",C85&lt;&gt;""),"CONFLICT",C60&amp;C85&amp;C111&amp;C137)</f>
        <v/>
      </c>
      <c r="D17" s="168" t="str">
        <f t="shared" si="12"/>
        <v/>
      </c>
      <c r="E17" s="168" t="str">
        <f t="shared" si="12"/>
        <v/>
      </c>
      <c r="F17" s="168" t="str">
        <f t="shared" si="12"/>
        <v/>
      </c>
      <c r="G17" s="168" t="str">
        <f t="shared" si="12"/>
        <v/>
      </c>
      <c r="H17" s="168" t="str">
        <f t="shared" si="11"/>
        <v/>
      </c>
      <c r="I17" s="168" t="str">
        <f t="shared" si="12"/>
        <v/>
      </c>
      <c r="J17" s="168" t="str">
        <f t="shared" si="12"/>
        <v/>
      </c>
      <c r="K17" s="168" t="str">
        <f t="shared" si="12"/>
        <v>Flag Football in Hillel - Field 2 (MEX1-COL1)Flag Football Semi-Final in Hillel - Field 1</v>
      </c>
      <c r="L17" s="169" t="str">
        <f t="shared" si="12"/>
        <v/>
      </c>
      <c r="M17" s="170">
        <f t="shared" si="5"/>
        <v>0.61111111111111105</v>
      </c>
    </row>
    <row r="18" spans="1:13" ht="82.5" customHeight="1" x14ac:dyDescent="0.2">
      <c r="A18" s="345">
        <f t="shared" si="2"/>
        <v>0.64583333333333326</v>
      </c>
      <c r="B18" s="168" t="str">
        <f t="shared" si="3"/>
        <v/>
      </c>
      <c r="C18" s="168" t="str">
        <f t="shared" ref="C18:L18" si="13">IF(AND(C61&lt;&gt;"",C86&lt;&gt;""),"CONFLICT",C61&amp;C86&amp;C112&amp;C138)</f>
        <v/>
      </c>
      <c r="D18" s="168" t="str">
        <f t="shared" si="13"/>
        <v/>
      </c>
      <c r="E18" s="168" t="str">
        <f t="shared" si="13"/>
        <v/>
      </c>
      <c r="F18" s="168" t="str">
        <f t="shared" si="13"/>
        <v/>
      </c>
      <c r="G18" s="168" t="str">
        <f t="shared" si="13"/>
        <v/>
      </c>
      <c r="H18" s="168" t="str">
        <f t="shared" si="13"/>
        <v>Volleyball in Hillel - Volleyball Out (MEX1-VEN2)</v>
      </c>
      <c r="I18" s="168" t="str">
        <f t="shared" si="13"/>
        <v/>
      </c>
      <c r="J18" s="168" t="str">
        <f t="shared" si="13"/>
        <v/>
      </c>
      <c r="K18" s="168" t="str">
        <f t="shared" si="13"/>
        <v>Flag Football Final in Hillel - Field 2</v>
      </c>
      <c r="L18" s="169" t="str">
        <f t="shared" si="13"/>
        <v/>
      </c>
      <c r="M18" s="170">
        <f t="shared" si="5"/>
        <v>0.64583333333333326</v>
      </c>
    </row>
    <row r="19" spans="1:13" ht="82.5" customHeight="1" x14ac:dyDescent="0.2">
      <c r="A19" s="345">
        <f t="shared" si="2"/>
        <v>0.68055555555555547</v>
      </c>
      <c r="B19" s="168" t="str">
        <f t="shared" si="3"/>
        <v/>
      </c>
      <c r="C19" s="168" t="str">
        <f t="shared" ref="C19:L19" si="14">IF(AND(C62&lt;&gt;"",C87&lt;&gt;""),"CONFLICT",C62&amp;C87&amp;C113&amp;C139)</f>
        <v/>
      </c>
      <c r="D19" s="168" t="str">
        <f t="shared" si="14"/>
        <v>Basketball in Hillel - Basketball Out (MEX1-USA1)</v>
      </c>
      <c r="E19" s="168" t="str">
        <f t="shared" si="14"/>
        <v>Volleyball in JCC Gym South (MEX1-VEN1)</v>
      </c>
      <c r="F19" s="168" t="str">
        <f t="shared" si="14"/>
        <v/>
      </c>
      <c r="G19" s="168" t="str">
        <f t="shared" si="14"/>
        <v/>
      </c>
      <c r="H19" s="168" t="str">
        <f t="shared" si="14"/>
        <v/>
      </c>
      <c r="I19" s="168" t="str">
        <f t="shared" si="14"/>
        <v/>
      </c>
      <c r="J19" s="168" t="str">
        <f t="shared" si="14"/>
        <v/>
      </c>
      <c r="K19" s="168" t="str">
        <f t="shared" si="14"/>
        <v>CONFLICT</v>
      </c>
      <c r="L19" s="169" t="str">
        <f t="shared" si="14"/>
        <v/>
      </c>
      <c r="M19" s="170">
        <f t="shared" si="5"/>
        <v>0.68055555555555547</v>
      </c>
    </row>
    <row r="20" spans="1:13" ht="82.5" customHeight="1" x14ac:dyDescent="0.2">
      <c r="A20" s="345">
        <f t="shared" si="2"/>
        <v>0.71527777777777768</v>
      </c>
      <c r="B20" s="168" t="str">
        <f t="shared" si="3"/>
        <v/>
      </c>
      <c r="C20" s="168" t="str">
        <f t="shared" ref="C20:L20" si="15">IF(AND(C63&lt;&gt;"",C88&lt;&gt;""),"CONFLICT",C63&amp;C88&amp;C114&amp;C140)</f>
        <v/>
      </c>
      <c r="D20" s="168" t="str">
        <f t="shared" si="15"/>
        <v/>
      </c>
      <c r="E20" s="168" t="str">
        <f t="shared" si="15"/>
        <v/>
      </c>
      <c r="F20" s="168" t="str">
        <f t="shared" si="15"/>
        <v/>
      </c>
      <c r="G20" s="168" t="str">
        <f t="shared" si="15"/>
        <v/>
      </c>
      <c r="H20" s="168" t="str">
        <f t="shared" si="15"/>
        <v/>
      </c>
      <c r="I20" s="168" t="str">
        <f t="shared" si="15"/>
        <v/>
      </c>
      <c r="J20" s="168" t="str">
        <f t="shared" si="15"/>
        <v/>
      </c>
      <c r="K20" s="168" t="str">
        <f t="shared" si="15"/>
        <v/>
      </c>
      <c r="L20" s="169" t="str">
        <f t="shared" si="15"/>
        <v/>
      </c>
      <c r="M20" s="170">
        <f t="shared" si="5"/>
        <v>0.71527777777777768</v>
      </c>
    </row>
    <row r="21" spans="1:13" ht="82.5" customHeight="1" x14ac:dyDescent="0.2">
      <c r="A21" s="345">
        <f t="shared" si="2"/>
        <v>0.74999999999999989</v>
      </c>
      <c r="B21" s="168" t="str">
        <f t="shared" si="3"/>
        <v/>
      </c>
      <c r="C21" s="168" t="str">
        <f t="shared" ref="C21:L21" si="16">IF(AND(C64&lt;&gt;"",C89&lt;&gt;""),"CONFLICT",C64&amp;C89&amp;C115&amp;C141)</f>
        <v/>
      </c>
      <c r="D21" s="168" t="str">
        <f t="shared" si="16"/>
        <v>Soccer in JCC Back Field 2 (MEX1-VEN1)</v>
      </c>
      <c r="E21" s="168" t="str">
        <f t="shared" si="16"/>
        <v/>
      </c>
      <c r="F21" s="168" t="str">
        <f t="shared" si="16"/>
        <v>Basketball in JCC Gym North (MEX1-VEN3)</v>
      </c>
      <c r="G21" s="168" t="str">
        <f t="shared" si="16"/>
        <v/>
      </c>
      <c r="H21" s="168" t="str">
        <f t="shared" si="16"/>
        <v/>
      </c>
      <c r="I21" s="168" t="str">
        <f t="shared" si="16"/>
        <v/>
      </c>
      <c r="J21" s="168" t="str">
        <f t="shared" si="16"/>
        <v/>
      </c>
      <c r="K21" s="168" t="str">
        <f t="shared" si="16"/>
        <v/>
      </c>
      <c r="L21" s="169" t="str">
        <f t="shared" si="16"/>
        <v/>
      </c>
      <c r="M21" s="170">
        <f t="shared" si="5"/>
        <v>0.74999999999999989</v>
      </c>
    </row>
    <row r="22" spans="1:13" ht="82.5" customHeight="1" x14ac:dyDescent="0.2">
      <c r="A22" s="345">
        <f t="shared" si="2"/>
        <v>0.7847222222222221</v>
      </c>
      <c r="B22" s="168" t="s">
        <v>367</v>
      </c>
      <c r="C22" s="168" t="str">
        <f t="shared" ref="C22:L22" si="17">IF(AND(C65&lt;&gt;"",C90&lt;&gt;""),"CONFLICT",C65&amp;C90&amp;C116&amp;C142)</f>
        <v/>
      </c>
      <c r="D22" s="168" t="str">
        <f t="shared" si="17"/>
        <v/>
      </c>
      <c r="E22" s="168" t="str">
        <f t="shared" si="17"/>
        <v>[Swimming in Pool]</v>
      </c>
      <c r="F22" s="168" t="str">
        <f t="shared" si="17"/>
        <v/>
      </c>
      <c r="G22" s="168" t="str">
        <f t="shared" si="17"/>
        <v>[Off the wall  in TBA]</v>
      </c>
      <c r="H22" s="168" t="str">
        <f t="shared" si="17"/>
        <v/>
      </c>
      <c r="I22" s="168" t="str">
        <f t="shared" si="17"/>
        <v/>
      </c>
      <c r="J22" s="168" t="str">
        <f t="shared" si="17"/>
        <v/>
      </c>
      <c r="K22" s="168" t="str">
        <f t="shared" si="17"/>
        <v/>
      </c>
      <c r="L22" s="169" t="str">
        <f t="shared" si="17"/>
        <v/>
      </c>
      <c r="M22" s="170">
        <f t="shared" si="5"/>
        <v>0.7847222222222221</v>
      </c>
    </row>
    <row r="23" spans="1:13" ht="82.5" customHeight="1" thickBot="1" x14ac:dyDescent="0.25">
      <c r="A23" s="346">
        <f t="shared" si="2"/>
        <v>0.81944444444444431</v>
      </c>
      <c r="B23" s="168" t="s">
        <v>367</v>
      </c>
      <c r="C23" s="171" t="str">
        <f t="shared" ref="C23:L23" si="18">IF(AND(C66&lt;&gt;"",C91&lt;&gt;""),"CONFLICT",C66&amp;C91&amp;C117&amp;C143)</f>
        <v/>
      </c>
      <c r="D23" s="168" t="str">
        <f t="shared" si="18"/>
        <v/>
      </c>
      <c r="E23" s="171" t="str">
        <f t="shared" si="18"/>
        <v>Flag Football in Hillel - Field 4 (MEX1-VEN2)</v>
      </c>
      <c r="F23" s="171" t="str">
        <f t="shared" si="18"/>
        <v>Flag Football in Hillel - Field 2 (COL1-MEX1)</v>
      </c>
      <c r="G23" s="171" t="str">
        <f t="shared" si="18"/>
        <v/>
      </c>
      <c r="H23" s="171" t="str">
        <f t="shared" si="18"/>
        <v/>
      </c>
      <c r="I23" s="171" t="str">
        <f t="shared" si="18"/>
        <v/>
      </c>
      <c r="J23" s="168"/>
      <c r="K23" s="171" t="str">
        <f t="shared" si="18"/>
        <v/>
      </c>
      <c r="L23" s="172" t="str">
        <f t="shared" si="18"/>
        <v/>
      </c>
      <c r="M23" s="173">
        <f t="shared" si="5"/>
        <v>0.81944444444444431</v>
      </c>
    </row>
    <row r="24" spans="1:13" ht="116.25" customHeight="1" thickBot="1" x14ac:dyDescent="0.25">
      <c r="A24" s="347">
        <f t="shared" si="2"/>
        <v>0.85416666666666652</v>
      </c>
      <c r="B24" s="168" t="str">
        <f t="shared" si="3"/>
        <v>Dodgeball Tournament in JCC Back Field 2</v>
      </c>
      <c r="C24" s="174" t="str">
        <f t="shared" ref="C24:L25" si="19">IF(AND(C67&lt;&gt;"",C92&lt;&gt;""),"CONFLICT",C67&amp;C92&amp;C118&amp;C144)</f>
        <v/>
      </c>
      <c r="D24" s="168" t="str">
        <f t="shared" si="19"/>
        <v/>
      </c>
      <c r="E24" s="174" t="str">
        <f t="shared" si="19"/>
        <v/>
      </c>
      <c r="F24" s="174" t="str">
        <f t="shared" si="19"/>
        <v/>
      </c>
      <c r="G24" s="171" t="str">
        <f t="shared" si="19"/>
        <v/>
      </c>
      <c r="H24" s="174" t="str">
        <f t="shared" si="19"/>
        <v/>
      </c>
      <c r="I24" s="174" t="str">
        <f t="shared" si="19"/>
        <v/>
      </c>
      <c r="J24" s="174" t="str">
        <f t="shared" si="19"/>
        <v/>
      </c>
      <c r="K24" s="174" t="str">
        <f t="shared" si="19"/>
        <v/>
      </c>
      <c r="L24" s="175" t="str">
        <f t="shared" si="19"/>
        <v/>
      </c>
      <c r="M24" s="176">
        <f t="shared" si="5"/>
        <v>0.85416666666666652</v>
      </c>
    </row>
    <row r="25" spans="1:13" ht="116.25" customHeight="1" thickBot="1" x14ac:dyDescent="0.25">
      <c r="A25" s="345">
        <f t="shared" si="2"/>
        <v>0.88888888888888873</v>
      </c>
      <c r="B25" s="168" t="str">
        <f t="shared" si="3"/>
        <v>Dodgeball Tournament in JCC Back Field 1</v>
      </c>
      <c r="C25" s="177" t="str">
        <f t="shared" ref="C25:L25" si="20">IF(AND(C68&lt;&gt;"",C93&lt;&gt;""),"CONFLICT",C68&amp;C93&amp;C119&amp;C145)</f>
        <v/>
      </c>
      <c r="D25" s="168" t="str">
        <f t="shared" si="20"/>
        <v/>
      </c>
      <c r="E25" s="177" t="str">
        <f t="shared" si="20"/>
        <v/>
      </c>
      <c r="F25" s="177" t="str">
        <f t="shared" si="20"/>
        <v/>
      </c>
      <c r="G25" s="171" t="str">
        <f t="shared" si="20"/>
        <v/>
      </c>
      <c r="H25" s="177" t="str">
        <f t="shared" si="20"/>
        <v/>
      </c>
      <c r="I25" s="177" t="str">
        <f t="shared" si="20"/>
        <v/>
      </c>
      <c r="J25" s="174" t="str">
        <f t="shared" si="19"/>
        <v/>
      </c>
      <c r="K25" s="177" t="str">
        <f t="shared" si="20"/>
        <v/>
      </c>
      <c r="L25" s="178" t="str">
        <f t="shared" si="20"/>
        <v/>
      </c>
      <c r="M25" s="170">
        <f t="shared" si="5"/>
        <v>0.88888888888888873</v>
      </c>
    </row>
    <row r="26" spans="1:13" ht="59.5" customHeight="1" x14ac:dyDescent="0.2">
      <c r="A26" s="345">
        <f t="shared" si="2"/>
        <v>0.92361111111111094</v>
      </c>
      <c r="B26" s="179" t="str">
        <f>IF(AND(B69&lt;&gt;"",B94&lt;&gt;""),"CONFLICT",B69&amp;B94&amp;B120&amp;B146)</f>
        <v/>
      </c>
      <c r="C26" s="180" t="str">
        <f t="shared" ref="C26:L26" si="21">IF(AND(C69&lt;&gt;"",C94&lt;&gt;""),"CONFLICT",C69&amp;C94&amp;C120&amp;C146)</f>
        <v/>
      </c>
      <c r="D26" s="179" t="str">
        <f t="shared" si="21"/>
        <v/>
      </c>
      <c r="E26" s="179" t="str">
        <f t="shared" si="21"/>
        <v/>
      </c>
      <c r="F26" s="179" t="str">
        <f t="shared" si="21"/>
        <v/>
      </c>
      <c r="G26" s="179" t="str">
        <f t="shared" si="21"/>
        <v/>
      </c>
      <c r="H26" s="179" t="str">
        <f t="shared" si="21"/>
        <v/>
      </c>
      <c r="I26" s="179" t="str">
        <f t="shared" si="21"/>
        <v/>
      </c>
      <c r="J26" s="179" t="str">
        <f t="shared" si="21"/>
        <v/>
      </c>
      <c r="K26" s="179" t="str">
        <f t="shared" si="21"/>
        <v/>
      </c>
      <c r="L26" s="178" t="str">
        <f t="shared" si="21"/>
        <v/>
      </c>
      <c r="M26" s="170">
        <f t="shared" si="5"/>
        <v>0.92361111111111094</v>
      </c>
    </row>
    <row r="27" spans="1:13" ht="38" customHeight="1" thickBot="1" x14ac:dyDescent="0.45">
      <c r="A27" s="346">
        <f t="shared" si="2"/>
        <v>0.95833333333333315</v>
      </c>
      <c r="B27" s="168" t="str">
        <f t="shared" si="3"/>
        <v/>
      </c>
      <c r="C27" s="181" t="str">
        <f t="shared" ref="C27:L27" si="22">IF(AND(C70&lt;&gt;"",C95&lt;&gt;""),"CONFLICT",C70&amp;C95&amp;C121&amp;C147)</f>
        <v/>
      </c>
      <c r="D27" s="181" t="str">
        <f t="shared" si="22"/>
        <v/>
      </c>
      <c r="E27" s="181" t="str">
        <f t="shared" si="22"/>
        <v/>
      </c>
      <c r="F27" s="181" t="str">
        <f t="shared" si="22"/>
        <v/>
      </c>
      <c r="G27" s="181" t="str">
        <f t="shared" si="22"/>
        <v/>
      </c>
      <c r="H27" s="181" t="str">
        <f t="shared" si="22"/>
        <v/>
      </c>
      <c r="I27" s="181" t="str">
        <f t="shared" si="22"/>
        <v/>
      </c>
      <c r="J27" s="181" t="str">
        <f t="shared" si="22"/>
        <v/>
      </c>
      <c r="K27" s="181" t="str">
        <f t="shared" si="22"/>
        <v/>
      </c>
      <c r="L27" s="182" t="str">
        <f t="shared" si="22"/>
        <v/>
      </c>
      <c r="M27" s="183">
        <f t="shared" si="5"/>
        <v>0.95833333333333315</v>
      </c>
    </row>
    <row r="28" spans="1:13" ht="38" customHeight="1" x14ac:dyDescent="0.4">
      <c r="A28" s="348">
        <f t="shared" si="2"/>
        <v>0.99305555555555536</v>
      </c>
      <c r="B28" s="168" t="str">
        <f t="shared" si="3"/>
        <v>0</v>
      </c>
      <c r="C28" s="184" t="str">
        <f t="shared" ref="C28:L28" si="23">IF(AND(C71&lt;&gt;"",C96&lt;&gt;""),"CONFLICT",C71&amp;C96&amp;C122&amp;C148)</f>
        <v/>
      </c>
      <c r="D28" s="184" t="str">
        <f t="shared" si="23"/>
        <v/>
      </c>
      <c r="E28" s="184" t="str">
        <f t="shared" si="23"/>
        <v/>
      </c>
      <c r="F28" s="184" t="str">
        <f t="shared" si="23"/>
        <v/>
      </c>
      <c r="G28" s="184" t="str">
        <f t="shared" si="23"/>
        <v/>
      </c>
      <c r="H28" s="184" t="str">
        <f t="shared" si="23"/>
        <v/>
      </c>
      <c r="I28" s="184" t="str">
        <f t="shared" si="23"/>
        <v/>
      </c>
      <c r="J28" s="184" t="str">
        <f t="shared" si="23"/>
        <v/>
      </c>
      <c r="K28" s="184" t="str">
        <f t="shared" si="23"/>
        <v/>
      </c>
      <c r="L28" s="185" t="str">
        <f t="shared" si="23"/>
        <v/>
      </c>
      <c r="M28" s="186">
        <f t="shared" si="5"/>
        <v>0.99305555555555536</v>
      </c>
    </row>
    <row r="29" spans="1:13" ht="33" customHeight="1" thickBot="1" x14ac:dyDescent="0.35">
      <c r="A29" s="103"/>
      <c r="B29" s="187"/>
      <c r="C29" s="187"/>
      <c r="D29" s="187"/>
      <c r="E29" s="187"/>
      <c r="F29" s="187"/>
      <c r="G29" s="187"/>
      <c r="H29" s="187"/>
      <c r="I29" s="187"/>
      <c r="J29" s="187"/>
    </row>
    <row r="30" spans="1:13" x14ac:dyDescent="0.3">
      <c r="A30" s="104" t="s">
        <v>320</v>
      </c>
      <c r="B30" s="188"/>
      <c r="C30" s="188"/>
      <c r="D30" s="188"/>
      <c r="E30" s="188"/>
      <c r="F30" s="188"/>
      <c r="G30" s="188"/>
      <c r="H30" s="188"/>
      <c r="I30" s="188"/>
      <c r="J30" s="188"/>
    </row>
    <row r="31" spans="1:13" x14ac:dyDescent="0.3">
      <c r="A31" s="349" t="s">
        <v>321</v>
      </c>
      <c r="B31" s="189">
        <f t="shared" ref="B31:I31" si="24">COUNTIF(C9:C24,"&gt;""")</f>
        <v>0</v>
      </c>
      <c r="C31" s="189">
        <f t="shared" si="24"/>
        <v>6</v>
      </c>
      <c r="D31" s="189">
        <f t="shared" si="24"/>
        <v>3</v>
      </c>
      <c r="E31" s="189">
        <f t="shared" si="24"/>
        <v>2</v>
      </c>
      <c r="F31" s="189">
        <f t="shared" si="24"/>
        <v>1</v>
      </c>
      <c r="G31" s="189">
        <f t="shared" si="24"/>
        <v>4</v>
      </c>
      <c r="H31" s="189">
        <f>COUNTIF(I9:I24,"&gt;""")</f>
        <v>5</v>
      </c>
      <c r="I31" s="189">
        <f t="shared" si="24"/>
        <v>0</v>
      </c>
      <c r="J31" s="189">
        <f>COUNTIF(K9:K24,"&gt;""")</f>
        <v>11</v>
      </c>
    </row>
    <row r="32" spans="1:13" x14ac:dyDescent="0.3">
      <c r="A32" s="349" t="s">
        <v>322</v>
      </c>
      <c r="B32" s="189">
        <f t="shared" ref="B32:I32" si="25">First_game(C9:C24)</f>
        <v>0</v>
      </c>
      <c r="C32" s="189">
        <f t="shared" si="25"/>
        <v>4</v>
      </c>
      <c r="D32" s="189">
        <f t="shared" si="25"/>
        <v>11</v>
      </c>
      <c r="E32" s="189">
        <f t="shared" si="25"/>
        <v>13</v>
      </c>
      <c r="F32" s="189">
        <f t="shared" si="25"/>
        <v>14</v>
      </c>
      <c r="G32" s="189">
        <f t="shared" si="25"/>
        <v>3</v>
      </c>
      <c r="H32" s="189">
        <f>First_game(I9:I24)</f>
        <v>1</v>
      </c>
      <c r="I32" s="189">
        <f t="shared" si="25"/>
        <v>0</v>
      </c>
      <c r="J32" s="189">
        <f>First_game(K9:K24)</f>
        <v>1</v>
      </c>
    </row>
    <row r="33" spans="1:10" x14ac:dyDescent="0.3">
      <c r="A33" s="349" t="s">
        <v>323</v>
      </c>
      <c r="B33" s="189">
        <f t="shared" ref="B33:I33" si="26">last_game(C9:C24)</f>
        <v>0</v>
      </c>
      <c r="C33" s="189">
        <f t="shared" si="26"/>
        <v>13</v>
      </c>
      <c r="D33" s="189">
        <f t="shared" si="26"/>
        <v>15</v>
      </c>
      <c r="E33" s="189">
        <f t="shared" si="26"/>
        <v>15</v>
      </c>
      <c r="F33" s="189">
        <f t="shared" si="26"/>
        <v>14</v>
      </c>
      <c r="G33" s="189">
        <f t="shared" si="26"/>
        <v>10</v>
      </c>
      <c r="H33" s="189">
        <f>last_game(I9:I24)</f>
        <v>8</v>
      </c>
      <c r="I33" s="189">
        <f t="shared" si="26"/>
        <v>0</v>
      </c>
      <c r="J33" s="189">
        <f>last_game(K9:K24)</f>
        <v>11</v>
      </c>
    </row>
    <row r="34" spans="1:10" x14ac:dyDescent="0.3">
      <c r="A34" s="349" t="s">
        <v>324</v>
      </c>
      <c r="B34" s="189"/>
      <c r="C34" s="189"/>
      <c r="D34" s="189"/>
      <c r="E34" s="189"/>
      <c r="F34" s="189"/>
      <c r="G34" s="189"/>
      <c r="H34" s="189"/>
      <c r="I34" s="189"/>
      <c r="J34" s="189"/>
    </row>
    <row r="35" spans="1:10" ht="25" thickBot="1" x14ac:dyDescent="0.35">
      <c r="A35" s="350" t="s">
        <v>325</v>
      </c>
      <c r="B35" s="190">
        <f>IF(B31-1&lt;&gt;0,rest_between_games(C9:C24)/(B31-1),0)</f>
        <v>0</v>
      </c>
      <c r="C35" s="190">
        <f>IF(C31-1&lt;&gt;0,rest_between_games(D9:D24)/(C31-1),0)</f>
        <v>0.8</v>
      </c>
      <c r="D35" s="190">
        <f>IF(D31-1&lt;&gt;0,rest_between_games(E9:E24)/(D31-1),0)</f>
        <v>1</v>
      </c>
      <c r="E35" s="190">
        <f>IF(E31-1&lt;&gt;0,rest_between_games(F9:F24)/(E31-1),0)</f>
        <v>1</v>
      </c>
      <c r="F35" s="190">
        <f>IF(F31-1&lt;&gt;0,rest_between_games(G9:G24)/(F31-1),0)</f>
        <v>0</v>
      </c>
      <c r="G35" s="190">
        <f>IF(G31-1&lt;&gt;0,rest_between_games(H9:H24)/(G31-1),0)</f>
        <v>1.3333333333333333</v>
      </c>
      <c r="H35" s="190">
        <f>IF(H31-1&lt;&gt;0,rest_between_games(I9:I24)/(H31-1),0)</f>
        <v>0.75</v>
      </c>
      <c r="I35" s="190">
        <f>IF(I31-1&lt;&gt;0,rest_between_games(J9:J24)/(I31-1),0)</f>
        <v>0</v>
      </c>
      <c r="J35" s="190">
        <f>IF(J31-1&lt;&gt;0,rest_between_games(K9:K24)/(J31-1),0)</f>
        <v>0</v>
      </c>
    </row>
    <row r="36" spans="1:10" x14ac:dyDescent="0.3">
      <c r="A36" s="103"/>
      <c r="B36" s="191"/>
      <c r="C36" s="191"/>
      <c r="D36" s="191"/>
      <c r="E36" s="191"/>
      <c r="F36" s="191"/>
      <c r="G36" s="191"/>
      <c r="H36" s="191"/>
      <c r="I36" s="191"/>
      <c r="J36" s="191"/>
    </row>
    <row r="37" spans="1:10" ht="25" thickBot="1" x14ac:dyDescent="0.35"/>
    <row r="38" spans="1:10" x14ac:dyDescent="0.3">
      <c r="A38" s="104" t="s">
        <v>361</v>
      </c>
      <c r="B38" s="188"/>
      <c r="C38" s="188"/>
      <c r="D38" s="188"/>
      <c r="E38" s="188"/>
      <c r="F38" s="192"/>
    </row>
    <row r="39" spans="1:10" x14ac:dyDescent="0.3">
      <c r="A39" s="351" t="s">
        <v>327</v>
      </c>
      <c r="B39" s="167">
        <f>COUNTIF($C$9:$K$24,"&gt;''")</f>
        <v>32</v>
      </c>
      <c r="C39" s="193" t="s">
        <v>328</v>
      </c>
      <c r="D39" s="194">
        <f>min_exept_zeros(C31:J31)</f>
        <v>1</v>
      </c>
      <c r="E39" s="193" t="s">
        <v>329</v>
      </c>
      <c r="F39" s="195">
        <f>IF(SUM(B35:J35)=0,0,AVERAGEIF(B35:J35,"&gt;0"))</f>
        <v>0.97666666666666657</v>
      </c>
    </row>
    <row r="40" spans="1:10" x14ac:dyDescent="0.3">
      <c r="A40" s="352" t="s">
        <v>330</v>
      </c>
      <c r="B40" s="167">
        <f>COUNTIF($C$9:$K$24,"CONFLICT")</f>
        <v>1</v>
      </c>
      <c r="C40" s="162" t="s">
        <v>331</v>
      </c>
      <c r="D40" s="196">
        <f>AVERAGEIF(B31:J31,"&gt;0")</f>
        <v>4.5714285714285712</v>
      </c>
      <c r="E40" s="162" t="s">
        <v>332</v>
      </c>
      <c r="F40" s="197" t="s">
        <v>333</v>
      </c>
    </row>
    <row r="41" spans="1:10" ht="25" thickBot="1" x14ac:dyDescent="0.35">
      <c r="A41" s="350" t="s">
        <v>334</v>
      </c>
      <c r="B41" s="198">
        <f>COUNTIF(B31:J31,"&gt;0")</f>
        <v>7</v>
      </c>
      <c r="C41" s="199" t="s">
        <v>335</v>
      </c>
      <c r="D41" s="198">
        <f>MAX(B31:J31)</f>
        <v>11</v>
      </c>
      <c r="E41" s="199"/>
      <c r="F41" s="200"/>
    </row>
    <row r="43" spans="1:10" ht="25" thickBot="1" x14ac:dyDescent="0.35">
      <c r="A43" s="109" t="s">
        <v>336</v>
      </c>
      <c r="B43" s="201"/>
      <c r="C43" s="201"/>
      <c r="D43" s="201"/>
      <c r="E43" s="201"/>
      <c r="F43" s="201"/>
      <c r="G43" s="201"/>
      <c r="H43" s="201"/>
      <c r="I43" s="201"/>
      <c r="J43" s="201"/>
    </row>
    <row r="44" spans="1:10" x14ac:dyDescent="0.3">
      <c r="A44" s="353" t="s">
        <v>337</v>
      </c>
    </row>
    <row r="45" spans="1:10" ht="25" thickBot="1" x14ac:dyDescent="0.35">
      <c r="A45" s="111">
        <v>3.4722222222222224E-2</v>
      </c>
    </row>
    <row r="47" spans="1:10" x14ac:dyDescent="0.3">
      <c r="A47" s="112" t="s">
        <v>368</v>
      </c>
    </row>
    <row r="48" spans="1:10" x14ac:dyDescent="0.3">
      <c r="A48" s="354"/>
      <c r="B48" s="203" t="s">
        <v>338</v>
      </c>
      <c r="C48" s="203" t="str">
        <f>B1</f>
        <v>CHILD EM - MEX 1</v>
      </c>
      <c r="D48" s="203"/>
      <c r="E48" s="203"/>
      <c r="F48" s="203"/>
      <c r="G48" s="203"/>
      <c r="H48" s="203"/>
      <c r="I48" s="203"/>
      <c r="J48" s="203"/>
    </row>
    <row r="49" spans="1:11" x14ac:dyDescent="0.3">
      <c r="A49" s="354"/>
      <c r="B49" s="204">
        <f t="shared" ref="B49:K49" si="27">B7</f>
        <v>43055</v>
      </c>
      <c r="C49" s="204">
        <f t="shared" si="27"/>
        <v>43057</v>
      </c>
      <c r="D49" s="204">
        <f t="shared" si="27"/>
        <v>43058</v>
      </c>
      <c r="E49" s="204">
        <f t="shared" si="27"/>
        <v>43059</v>
      </c>
      <c r="F49" s="204">
        <f t="shared" si="27"/>
        <v>43060</v>
      </c>
      <c r="G49" s="204">
        <f t="shared" si="27"/>
        <v>43061</v>
      </c>
      <c r="H49" s="204">
        <f t="shared" si="27"/>
        <v>43062</v>
      </c>
      <c r="I49" s="204">
        <f t="shared" si="27"/>
        <v>43063</v>
      </c>
      <c r="J49" s="204">
        <f t="shared" si="27"/>
        <v>43064</v>
      </c>
      <c r="K49" s="204">
        <f t="shared" si="27"/>
        <v>43065</v>
      </c>
    </row>
    <row r="50" spans="1:11" x14ac:dyDescent="0.3">
      <c r="A50" s="354"/>
      <c r="B50" s="205" t="s">
        <v>369</v>
      </c>
      <c r="C50" s="205" t="s">
        <v>339</v>
      </c>
      <c r="D50" s="205" t="s">
        <v>340</v>
      </c>
      <c r="E50" s="205" t="s">
        <v>341</v>
      </c>
      <c r="F50" s="205" t="s">
        <v>342</v>
      </c>
      <c r="G50" s="205" t="s">
        <v>343</v>
      </c>
      <c r="H50" s="205" t="s">
        <v>344</v>
      </c>
      <c r="I50" s="205" t="s">
        <v>345</v>
      </c>
      <c r="J50" s="205" t="s">
        <v>346</v>
      </c>
      <c r="K50" s="205" t="s">
        <v>347</v>
      </c>
    </row>
    <row r="51" spans="1:11" x14ac:dyDescent="0.3">
      <c r="A51" s="354"/>
      <c r="B51" s="203"/>
      <c r="C51" s="203"/>
      <c r="D51" s="203"/>
      <c r="E51" s="203"/>
      <c r="F51" s="203"/>
      <c r="G51" s="203"/>
      <c r="H51" s="203"/>
      <c r="I51" s="203"/>
      <c r="J51" s="203"/>
      <c r="K51" s="203"/>
    </row>
    <row r="52" spans="1:11" x14ac:dyDescent="0.3">
      <c r="A52" s="354">
        <f>A9</f>
        <v>0.33333333333333331</v>
      </c>
      <c r="B52" s="203" t="str">
        <f t="shared" ref="B52:K61" si="28">IFERROR(VLOOKUP(TEXT(B$7+$A52,"MM/DD/YYYY HH:MM")&amp;"-&gt;"&amp;$B$1,check_time_team_field,4,FALSE),"")</f>
        <v/>
      </c>
      <c r="C52" s="203" t="str">
        <f t="shared" si="28"/>
        <v/>
      </c>
      <c r="D52" s="203" t="str">
        <f t="shared" si="28"/>
        <v/>
      </c>
      <c r="E52" s="203" t="str">
        <f t="shared" si="28"/>
        <v/>
      </c>
      <c r="F52" s="203" t="str">
        <f t="shared" si="28"/>
        <v/>
      </c>
      <c r="G52" s="203" t="str">
        <f t="shared" si="28"/>
        <v/>
      </c>
      <c r="H52" s="203" t="str">
        <f t="shared" si="28"/>
        <v/>
      </c>
      <c r="I52" s="203" t="str">
        <f t="shared" si="28"/>
        <v>Basketball in Hillel - Gym Basketball (MEX1-VEN1)</v>
      </c>
      <c r="J52" s="203" t="str">
        <f t="shared" si="28"/>
        <v/>
      </c>
      <c r="K52" s="203" t="str">
        <f t="shared" si="28"/>
        <v>Kickball in Hillel - Field 2 (MEX1-VEN2)</v>
      </c>
    </row>
    <row r="53" spans="1:11" x14ac:dyDescent="0.3">
      <c r="A53" s="354">
        <f t="shared" ref="A53:A71" si="29">A10</f>
        <v>0.36805555555555552</v>
      </c>
      <c r="B53" s="203" t="str">
        <f t="shared" si="28"/>
        <v/>
      </c>
      <c r="C53" s="203" t="str">
        <f t="shared" si="28"/>
        <v/>
      </c>
      <c r="D53" s="203" t="str">
        <f t="shared" si="28"/>
        <v/>
      </c>
      <c r="E53" s="203" t="str">
        <f t="shared" si="28"/>
        <v/>
      </c>
      <c r="F53" s="203" t="str">
        <f t="shared" si="28"/>
        <v/>
      </c>
      <c r="G53" s="203" t="str">
        <f t="shared" si="28"/>
        <v/>
      </c>
      <c r="H53" s="203" t="str">
        <f t="shared" si="28"/>
        <v/>
      </c>
      <c r="I53" s="203" t="str">
        <f t="shared" si="28"/>
        <v/>
      </c>
      <c r="J53" s="203" t="str">
        <f t="shared" si="28"/>
        <v/>
      </c>
      <c r="K53" s="203" t="str">
        <f t="shared" si="28"/>
        <v>Basketball in JCC Gym North (MEX1-PER)</v>
      </c>
    </row>
    <row r="54" spans="1:11" x14ac:dyDescent="0.3">
      <c r="A54" s="354">
        <f t="shared" si="29"/>
        <v>0.40277777777777773</v>
      </c>
      <c r="B54" s="203" t="str">
        <f t="shared" si="28"/>
        <v/>
      </c>
      <c r="C54" s="203" t="str">
        <f t="shared" si="28"/>
        <v/>
      </c>
      <c r="D54" s="203" t="str">
        <f t="shared" si="28"/>
        <v/>
      </c>
      <c r="E54" s="203" t="str">
        <f t="shared" si="28"/>
        <v/>
      </c>
      <c r="F54" s="203" t="str">
        <f t="shared" si="28"/>
        <v/>
      </c>
      <c r="G54" s="203" t="str">
        <f t="shared" si="28"/>
        <v/>
      </c>
      <c r="H54" s="203" t="str">
        <f t="shared" si="28"/>
        <v>Kickball in Hillel - Field 1 (MEX1-USA2)</v>
      </c>
      <c r="I54" s="203" t="str">
        <f t="shared" si="28"/>
        <v>Kickball in Hillel - Field 4 (MEX1-VEN3)</v>
      </c>
      <c r="J54" s="203" t="str">
        <f t="shared" si="28"/>
        <v/>
      </c>
      <c r="K54" s="203" t="str">
        <f t="shared" si="28"/>
        <v/>
      </c>
    </row>
    <row r="55" spans="1:11" x14ac:dyDescent="0.3">
      <c r="A55" s="354">
        <f t="shared" si="29"/>
        <v>0.43749999999999994</v>
      </c>
      <c r="B55" s="203" t="str">
        <f t="shared" si="28"/>
        <v/>
      </c>
      <c r="C55" s="203" t="str">
        <f t="shared" si="28"/>
        <v/>
      </c>
      <c r="D55" s="203" t="str">
        <f t="shared" si="28"/>
        <v/>
      </c>
      <c r="E55" s="203" t="str">
        <f t="shared" si="28"/>
        <v/>
      </c>
      <c r="F55" s="203" t="str">
        <f t="shared" si="28"/>
        <v/>
      </c>
      <c r="G55" s="203" t="str">
        <f t="shared" si="28"/>
        <v/>
      </c>
      <c r="H55" s="203" t="str">
        <f t="shared" si="28"/>
        <v/>
      </c>
      <c r="I55" s="203" t="str">
        <f t="shared" si="28"/>
        <v/>
      </c>
      <c r="J55" s="203" t="str">
        <f t="shared" si="28"/>
        <v/>
      </c>
      <c r="K55" s="203" t="str">
        <f t="shared" si="28"/>
        <v/>
      </c>
    </row>
    <row r="56" spans="1:11" x14ac:dyDescent="0.3">
      <c r="A56" s="354">
        <f t="shared" si="29"/>
        <v>0.47222222222222215</v>
      </c>
      <c r="B56" s="203" t="str">
        <f t="shared" si="28"/>
        <v/>
      </c>
      <c r="C56" s="203" t="str">
        <f t="shared" si="28"/>
        <v/>
      </c>
      <c r="D56" s="203" t="str">
        <f t="shared" si="28"/>
        <v/>
      </c>
      <c r="E56" s="203" t="str">
        <f t="shared" si="28"/>
        <v/>
      </c>
      <c r="F56" s="203" t="str">
        <f t="shared" si="28"/>
        <v/>
      </c>
      <c r="G56" s="203" t="str">
        <f t="shared" si="28"/>
        <v/>
      </c>
      <c r="H56" s="203" t="str">
        <f t="shared" si="28"/>
        <v>Soccer in JCC Back Field 3 (MEX1-USA2)</v>
      </c>
      <c r="I56" s="203" t="str">
        <f t="shared" si="28"/>
        <v/>
      </c>
      <c r="J56" s="203" t="str">
        <f t="shared" si="28"/>
        <v/>
      </c>
      <c r="K56" s="203" t="str">
        <f t="shared" si="28"/>
        <v/>
      </c>
    </row>
    <row r="57" spans="1:11" x14ac:dyDescent="0.3">
      <c r="A57" s="354">
        <f t="shared" si="29"/>
        <v>0.50694444444444442</v>
      </c>
      <c r="B57" s="203" t="str">
        <f t="shared" si="28"/>
        <v/>
      </c>
      <c r="C57" s="203" t="str">
        <f t="shared" si="28"/>
        <v/>
      </c>
      <c r="D57" s="203" t="str">
        <f t="shared" si="28"/>
        <v/>
      </c>
      <c r="E57" s="203" t="str">
        <f t="shared" si="28"/>
        <v/>
      </c>
      <c r="F57" s="203" t="str">
        <f t="shared" si="28"/>
        <v/>
      </c>
      <c r="G57" s="203" t="str">
        <f t="shared" si="28"/>
        <v/>
      </c>
      <c r="H57" s="203" t="str">
        <f t="shared" si="28"/>
        <v/>
      </c>
      <c r="I57" s="203" t="str">
        <f t="shared" si="28"/>
        <v/>
      </c>
      <c r="J57" s="203" t="str">
        <f t="shared" si="28"/>
        <v/>
      </c>
      <c r="K57" s="203" t="str">
        <f t="shared" si="28"/>
        <v/>
      </c>
    </row>
    <row r="58" spans="1:11" x14ac:dyDescent="0.3">
      <c r="A58" s="354">
        <f t="shared" si="29"/>
        <v>0.54166666666666663</v>
      </c>
      <c r="B58" s="203" t="str">
        <f t="shared" si="28"/>
        <v/>
      </c>
      <c r="C58" s="203" t="str">
        <f t="shared" si="28"/>
        <v/>
      </c>
      <c r="D58" s="203" t="str">
        <f t="shared" si="28"/>
        <v>Volleyball in Hillel - Volleyball Out (MEX1-PER)</v>
      </c>
      <c r="E58" s="203" t="str">
        <f t="shared" si="28"/>
        <v/>
      </c>
      <c r="F58" s="203" t="str">
        <f t="shared" si="28"/>
        <v/>
      </c>
      <c r="G58" s="203" t="str">
        <f t="shared" si="28"/>
        <v/>
      </c>
      <c r="H58" s="203" t="str">
        <f t="shared" si="28"/>
        <v/>
      </c>
      <c r="I58" s="203" t="str">
        <f t="shared" si="28"/>
        <v>Flag Football in Hillel - Field 4 (MEX1-VEN1)</v>
      </c>
      <c r="J58" s="203" t="str">
        <f t="shared" si="28"/>
        <v/>
      </c>
      <c r="K58" s="203" t="str">
        <f t="shared" si="28"/>
        <v/>
      </c>
    </row>
    <row r="59" spans="1:11" x14ac:dyDescent="0.3">
      <c r="A59" s="354">
        <f t="shared" si="29"/>
        <v>0.57638888888888884</v>
      </c>
      <c r="B59" s="203" t="str">
        <f t="shared" si="28"/>
        <v/>
      </c>
      <c r="C59" s="203" t="str">
        <f t="shared" si="28"/>
        <v/>
      </c>
      <c r="D59" s="203" t="str">
        <f t="shared" si="28"/>
        <v/>
      </c>
      <c r="E59" s="203" t="str">
        <f t="shared" si="28"/>
        <v/>
      </c>
      <c r="F59" s="203" t="str">
        <f t="shared" si="28"/>
        <v/>
      </c>
      <c r="G59" s="203" t="str">
        <f t="shared" si="28"/>
        <v/>
      </c>
      <c r="H59" s="203" t="str">
        <f t="shared" si="28"/>
        <v/>
      </c>
      <c r="I59" s="203" t="str">
        <f t="shared" si="28"/>
        <v/>
      </c>
      <c r="J59" s="203" t="str">
        <f t="shared" si="28"/>
        <v/>
      </c>
      <c r="K59" s="203" t="str">
        <f t="shared" si="28"/>
        <v/>
      </c>
    </row>
    <row r="60" spans="1:11" x14ac:dyDescent="0.3">
      <c r="A60" s="354">
        <f t="shared" si="29"/>
        <v>0.61111111111111105</v>
      </c>
      <c r="B60" s="203" t="str">
        <f t="shared" si="28"/>
        <v/>
      </c>
      <c r="C60" s="203" t="str">
        <f t="shared" si="28"/>
        <v/>
      </c>
      <c r="D60" s="203" t="str">
        <f t="shared" si="28"/>
        <v/>
      </c>
      <c r="E60" s="203" t="str">
        <f t="shared" si="28"/>
        <v/>
      </c>
      <c r="F60" s="203" t="str">
        <f t="shared" si="28"/>
        <v/>
      </c>
      <c r="G60" s="203" t="str">
        <f t="shared" si="28"/>
        <v/>
      </c>
      <c r="H60" s="203" t="str">
        <f t="shared" si="28"/>
        <v/>
      </c>
      <c r="I60" s="203" t="str">
        <f t="shared" si="28"/>
        <v/>
      </c>
      <c r="J60" s="203" t="str">
        <f t="shared" si="28"/>
        <v/>
      </c>
      <c r="K60" s="203" t="str">
        <f t="shared" si="28"/>
        <v>Flag Football in Hillel - Field 2 (MEX1-COL1)</v>
      </c>
    </row>
    <row r="61" spans="1:11" x14ac:dyDescent="0.3">
      <c r="A61" s="354">
        <f t="shared" si="29"/>
        <v>0.64583333333333326</v>
      </c>
      <c r="B61" s="203" t="str">
        <f t="shared" si="28"/>
        <v/>
      </c>
      <c r="C61" s="203" t="str">
        <f t="shared" si="28"/>
        <v/>
      </c>
      <c r="D61" s="203" t="str">
        <f t="shared" si="28"/>
        <v/>
      </c>
      <c r="E61" s="203" t="str">
        <f t="shared" si="28"/>
        <v/>
      </c>
      <c r="F61" s="203" t="str">
        <f t="shared" si="28"/>
        <v/>
      </c>
      <c r="G61" s="203" t="str">
        <f t="shared" si="28"/>
        <v/>
      </c>
      <c r="H61" s="203" t="str">
        <f t="shared" si="28"/>
        <v>Volleyball in Hillel - Volleyball Out (MEX1-VEN2)</v>
      </c>
      <c r="I61" s="203" t="str">
        <f t="shared" si="28"/>
        <v/>
      </c>
      <c r="J61" s="203" t="str">
        <f t="shared" si="28"/>
        <v/>
      </c>
      <c r="K61" s="203" t="str">
        <f t="shared" si="28"/>
        <v/>
      </c>
    </row>
    <row r="62" spans="1:11" x14ac:dyDescent="0.3">
      <c r="A62" s="354">
        <f t="shared" si="29"/>
        <v>0.68055555555555547</v>
      </c>
      <c r="B62" s="203" t="str">
        <f t="shared" ref="B62:K71" si="30">IFERROR(VLOOKUP(TEXT(B$7+$A62,"MM/DD/YYYY HH:MM")&amp;"-&gt;"&amp;$B$1,check_time_team_field,4,FALSE),"")</f>
        <v/>
      </c>
      <c r="C62" s="203" t="str">
        <f t="shared" si="30"/>
        <v/>
      </c>
      <c r="D62" s="203" t="str">
        <f t="shared" si="30"/>
        <v>Basketball in Hillel - Basketball Out (MEX1-USA1)</v>
      </c>
      <c r="E62" s="203" t="str">
        <f t="shared" si="30"/>
        <v>Volleyball in JCC Gym South (MEX1-VEN1)</v>
      </c>
      <c r="F62" s="203" t="str">
        <f t="shared" si="30"/>
        <v/>
      </c>
      <c r="G62" s="203" t="str">
        <f t="shared" si="30"/>
        <v/>
      </c>
      <c r="H62" s="203" t="str">
        <f t="shared" si="30"/>
        <v/>
      </c>
      <c r="I62" s="203" t="str">
        <f t="shared" si="30"/>
        <v/>
      </c>
      <c r="J62" s="203" t="str">
        <f t="shared" si="30"/>
        <v/>
      </c>
      <c r="K62" s="203" t="str">
        <f t="shared" si="30"/>
        <v>Basketball in Hillel - Gym Basketball (MEX1-COL1)</v>
      </c>
    </row>
    <row r="63" spans="1:11" x14ac:dyDescent="0.3">
      <c r="A63" s="354">
        <f t="shared" si="29"/>
        <v>0.71527777777777768</v>
      </c>
      <c r="B63" s="203" t="str">
        <f t="shared" si="30"/>
        <v/>
      </c>
      <c r="C63" s="203" t="str">
        <f t="shared" si="30"/>
        <v/>
      </c>
      <c r="D63" s="203" t="str">
        <f t="shared" si="30"/>
        <v/>
      </c>
      <c r="E63" s="203" t="str">
        <f t="shared" si="30"/>
        <v/>
      </c>
      <c r="F63" s="203" t="str">
        <f t="shared" si="30"/>
        <v/>
      </c>
      <c r="G63" s="203" t="str">
        <f t="shared" si="30"/>
        <v/>
      </c>
      <c r="H63" s="203" t="str">
        <f t="shared" si="30"/>
        <v/>
      </c>
      <c r="I63" s="203" t="str">
        <f t="shared" si="30"/>
        <v/>
      </c>
      <c r="J63" s="203" t="str">
        <f t="shared" si="30"/>
        <v/>
      </c>
      <c r="K63" s="203" t="str">
        <f t="shared" si="30"/>
        <v/>
      </c>
    </row>
    <row r="64" spans="1:11" x14ac:dyDescent="0.3">
      <c r="A64" s="354">
        <f t="shared" si="29"/>
        <v>0.74999999999999989</v>
      </c>
      <c r="B64" s="203" t="str">
        <f t="shared" si="30"/>
        <v/>
      </c>
      <c r="C64" s="203" t="str">
        <f t="shared" si="30"/>
        <v/>
      </c>
      <c r="D64" s="203" t="str">
        <f t="shared" si="30"/>
        <v>Soccer in JCC Back Field 2 (MEX1-VEN1)</v>
      </c>
      <c r="E64" s="203" t="str">
        <f t="shared" si="30"/>
        <v/>
      </c>
      <c r="F64" s="203" t="str">
        <f t="shared" si="30"/>
        <v>Basketball in JCC Gym North (MEX1-VEN3)</v>
      </c>
      <c r="G64" s="203" t="str">
        <f t="shared" si="30"/>
        <v/>
      </c>
      <c r="H64" s="203" t="str">
        <f t="shared" si="30"/>
        <v/>
      </c>
      <c r="I64" s="203" t="str">
        <f t="shared" si="30"/>
        <v/>
      </c>
      <c r="J64" s="203" t="str">
        <f t="shared" si="30"/>
        <v/>
      </c>
      <c r="K64" s="203" t="str">
        <f t="shared" si="30"/>
        <v/>
      </c>
    </row>
    <row r="65" spans="1:11" x14ac:dyDescent="0.3">
      <c r="A65" s="354">
        <f t="shared" si="29"/>
        <v>0.7847222222222221</v>
      </c>
      <c r="B65" s="203" t="str">
        <f t="shared" si="30"/>
        <v/>
      </c>
      <c r="C65" s="203" t="str">
        <f t="shared" si="30"/>
        <v/>
      </c>
      <c r="D65" s="203" t="str">
        <f t="shared" si="30"/>
        <v/>
      </c>
      <c r="E65" s="203" t="str">
        <f t="shared" si="30"/>
        <v/>
      </c>
      <c r="F65" s="203" t="str">
        <f t="shared" si="30"/>
        <v/>
      </c>
      <c r="G65" s="203" t="str">
        <f t="shared" si="30"/>
        <v/>
      </c>
      <c r="H65" s="203" t="str">
        <f t="shared" si="30"/>
        <v/>
      </c>
      <c r="I65" s="203" t="str">
        <f t="shared" si="30"/>
        <v/>
      </c>
      <c r="J65" s="203" t="str">
        <f t="shared" si="30"/>
        <v/>
      </c>
      <c r="K65" s="203" t="str">
        <f t="shared" si="30"/>
        <v/>
      </c>
    </row>
    <row r="66" spans="1:11" x14ac:dyDescent="0.3">
      <c r="A66" s="354">
        <f t="shared" si="29"/>
        <v>0.81944444444444431</v>
      </c>
      <c r="B66" s="203" t="str">
        <f t="shared" si="30"/>
        <v/>
      </c>
      <c r="C66" s="203" t="str">
        <f t="shared" si="30"/>
        <v/>
      </c>
      <c r="D66" s="203" t="str">
        <f t="shared" si="30"/>
        <v/>
      </c>
      <c r="E66" s="203" t="str">
        <f t="shared" si="30"/>
        <v>Flag Football in Hillel - Field 4 (MEX1-VEN2)</v>
      </c>
      <c r="F66" s="203" t="str">
        <f t="shared" si="30"/>
        <v/>
      </c>
      <c r="G66" s="203" t="str">
        <f t="shared" si="30"/>
        <v/>
      </c>
      <c r="H66" s="203" t="str">
        <f t="shared" si="30"/>
        <v/>
      </c>
      <c r="I66" s="203" t="str">
        <f t="shared" si="30"/>
        <v/>
      </c>
      <c r="J66" s="203" t="str">
        <f t="shared" si="30"/>
        <v/>
      </c>
      <c r="K66" s="203" t="str">
        <f t="shared" si="30"/>
        <v/>
      </c>
    </row>
    <row r="67" spans="1:11" x14ac:dyDescent="0.3">
      <c r="A67" s="354">
        <f t="shared" si="29"/>
        <v>0.85416666666666652</v>
      </c>
      <c r="B67" s="203" t="str">
        <f t="shared" si="30"/>
        <v/>
      </c>
      <c r="C67" s="203" t="str">
        <f t="shared" si="30"/>
        <v/>
      </c>
      <c r="D67" s="203" t="str">
        <f t="shared" si="30"/>
        <v/>
      </c>
      <c r="E67" s="203" t="str">
        <f t="shared" si="30"/>
        <v/>
      </c>
      <c r="F67" s="203" t="str">
        <f t="shared" si="30"/>
        <v/>
      </c>
      <c r="G67" s="203" t="str">
        <f t="shared" si="30"/>
        <v/>
      </c>
      <c r="H67" s="203" t="str">
        <f t="shared" si="30"/>
        <v/>
      </c>
      <c r="I67" s="203" t="str">
        <f t="shared" si="30"/>
        <v/>
      </c>
      <c r="J67" s="203" t="str">
        <f t="shared" si="30"/>
        <v/>
      </c>
      <c r="K67" s="203" t="str">
        <f t="shared" si="30"/>
        <v/>
      </c>
    </row>
    <row r="68" spans="1:11" x14ac:dyDescent="0.3">
      <c r="A68" s="354">
        <f t="shared" si="29"/>
        <v>0.88888888888888873</v>
      </c>
      <c r="B68" s="203" t="str">
        <f t="shared" si="30"/>
        <v/>
      </c>
      <c r="C68" s="203" t="str">
        <f t="shared" si="30"/>
        <v/>
      </c>
      <c r="D68" s="203" t="str">
        <f t="shared" si="30"/>
        <v/>
      </c>
      <c r="E68" s="203" t="str">
        <f t="shared" si="30"/>
        <v/>
      </c>
      <c r="F68" s="203" t="str">
        <f t="shared" si="30"/>
        <v/>
      </c>
      <c r="G68" s="203" t="str">
        <f t="shared" si="30"/>
        <v/>
      </c>
      <c r="H68" s="203" t="str">
        <f t="shared" si="30"/>
        <v/>
      </c>
      <c r="I68" s="203" t="str">
        <f t="shared" si="30"/>
        <v/>
      </c>
      <c r="J68" s="203" t="str">
        <f t="shared" si="30"/>
        <v/>
      </c>
      <c r="K68" s="203" t="str">
        <f t="shared" si="30"/>
        <v/>
      </c>
    </row>
    <row r="69" spans="1:11" x14ac:dyDescent="0.3">
      <c r="A69" s="354">
        <f t="shared" si="29"/>
        <v>0.92361111111111094</v>
      </c>
      <c r="B69" s="203" t="str">
        <f t="shared" si="30"/>
        <v/>
      </c>
      <c r="C69" s="203" t="str">
        <f t="shared" si="30"/>
        <v/>
      </c>
      <c r="D69" s="203" t="str">
        <f t="shared" si="30"/>
        <v/>
      </c>
      <c r="E69" s="203" t="str">
        <f t="shared" si="30"/>
        <v/>
      </c>
      <c r="F69" s="203" t="str">
        <f t="shared" si="30"/>
        <v/>
      </c>
      <c r="G69" s="203" t="str">
        <f t="shared" si="30"/>
        <v/>
      </c>
      <c r="H69" s="203" t="str">
        <f t="shared" si="30"/>
        <v/>
      </c>
      <c r="I69" s="203" t="str">
        <f t="shared" si="30"/>
        <v/>
      </c>
      <c r="J69" s="203" t="str">
        <f t="shared" si="30"/>
        <v/>
      </c>
      <c r="K69" s="203" t="str">
        <f t="shared" si="30"/>
        <v/>
      </c>
    </row>
    <row r="70" spans="1:11" x14ac:dyDescent="0.3">
      <c r="A70" s="354">
        <f t="shared" si="29"/>
        <v>0.95833333333333315</v>
      </c>
      <c r="B70" s="203" t="str">
        <f t="shared" si="30"/>
        <v/>
      </c>
      <c r="C70" s="203" t="str">
        <f t="shared" si="30"/>
        <v/>
      </c>
      <c r="D70" s="203" t="str">
        <f t="shared" si="30"/>
        <v/>
      </c>
      <c r="E70" s="203" t="str">
        <f t="shared" si="30"/>
        <v/>
      </c>
      <c r="F70" s="203" t="str">
        <f t="shared" si="30"/>
        <v/>
      </c>
      <c r="G70" s="203" t="str">
        <f t="shared" si="30"/>
        <v/>
      </c>
      <c r="H70" s="203" t="str">
        <f t="shared" si="30"/>
        <v/>
      </c>
      <c r="I70" s="203" t="str">
        <f t="shared" si="30"/>
        <v/>
      </c>
      <c r="J70" s="203" t="str">
        <f t="shared" si="30"/>
        <v/>
      </c>
      <c r="K70" s="203" t="str">
        <f t="shared" si="30"/>
        <v/>
      </c>
    </row>
    <row r="71" spans="1:11" x14ac:dyDescent="0.3">
      <c r="A71" s="354">
        <f t="shared" si="29"/>
        <v>0.99305555555555536</v>
      </c>
      <c r="B71" s="203" t="str">
        <f t="shared" si="30"/>
        <v/>
      </c>
      <c r="C71" s="203" t="str">
        <f t="shared" si="30"/>
        <v/>
      </c>
      <c r="D71" s="203" t="str">
        <f t="shared" si="30"/>
        <v/>
      </c>
      <c r="E71" s="203" t="str">
        <f t="shared" si="30"/>
        <v/>
      </c>
      <c r="F71" s="203" t="str">
        <f t="shared" si="30"/>
        <v/>
      </c>
      <c r="G71" s="203" t="str">
        <f t="shared" si="30"/>
        <v/>
      </c>
      <c r="H71" s="203" t="str">
        <f t="shared" si="30"/>
        <v/>
      </c>
      <c r="I71" s="203" t="str">
        <f t="shared" si="30"/>
        <v/>
      </c>
      <c r="J71" s="203" t="str">
        <f t="shared" si="30"/>
        <v/>
      </c>
      <c r="K71" s="203" t="str">
        <f t="shared" si="30"/>
        <v/>
      </c>
    </row>
    <row r="72" spans="1:11" x14ac:dyDescent="0.3">
      <c r="A72" s="112" t="s">
        <v>370</v>
      </c>
    </row>
    <row r="73" spans="1:11" x14ac:dyDescent="0.3">
      <c r="A73" s="354"/>
      <c r="B73" s="203" t="s">
        <v>338</v>
      </c>
      <c r="C73" s="203" t="s">
        <v>338</v>
      </c>
      <c r="D73" s="203" t="str">
        <f>B1</f>
        <v>CHILD EM - MEX 1</v>
      </c>
      <c r="E73" s="203"/>
      <c r="F73" s="203"/>
      <c r="G73" s="203"/>
      <c r="H73" s="203"/>
      <c r="I73" s="203"/>
      <c r="J73" s="203"/>
      <c r="K73" s="203"/>
    </row>
    <row r="74" spans="1:11" x14ac:dyDescent="0.3">
      <c r="A74" s="354"/>
      <c r="B74" s="204">
        <f t="shared" ref="B74:K74" si="31">B7</f>
        <v>43055</v>
      </c>
      <c r="C74" s="204">
        <f t="shared" si="31"/>
        <v>43057</v>
      </c>
      <c r="D74" s="204">
        <f t="shared" si="31"/>
        <v>43058</v>
      </c>
      <c r="E74" s="204">
        <f t="shared" si="31"/>
        <v>43059</v>
      </c>
      <c r="F74" s="204">
        <f t="shared" si="31"/>
        <v>43060</v>
      </c>
      <c r="G74" s="204">
        <f t="shared" si="31"/>
        <v>43061</v>
      </c>
      <c r="H74" s="204">
        <f t="shared" si="31"/>
        <v>43062</v>
      </c>
      <c r="I74" s="204">
        <f t="shared" si="31"/>
        <v>43063</v>
      </c>
      <c r="J74" s="204">
        <f t="shared" si="31"/>
        <v>43064</v>
      </c>
      <c r="K74" s="204">
        <f t="shared" si="31"/>
        <v>43065</v>
      </c>
    </row>
    <row r="75" spans="1:11" x14ac:dyDescent="0.3">
      <c r="A75" s="354"/>
      <c r="B75" s="205" t="s">
        <v>369</v>
      </c>
      <c r="C75" s="205" t="s">
        <v>339</v>
      </c>
      <c r="D75" s="205" t="s">
        <v>340</v>
      </c>
      <c r="E75" s="205" t="s">
        <v>341</v>
      </c>
      <c r="F75" s="205" t="s">
        <v>342</v>
      </c>
      <c r="G75" s="205" t="s">
        <v>343</v>
      </c>
      <c r="H75" s="205" t="s">
        <v>344</v>
      </c>
      <c r="I75" s="205" t="s">
        <v>345</v>
      </c>
      <c r="J75" s="205" t="s">
        <v>346</v>
      </c>
      <c r="K75" s="205" t="s">
        <v>347</v>
      </c>
    </row>
    <row r="76" spans="1:11" x14ac:dyDescent="0.3">
      <c r="A76" s="354"/>
      <c r="B76" s="203"/>
      <c r="C76" s="203"/>
      <c r="D76" s="203"/>
      <c r="E76" s="203"/>
      <c r="F76" s="203"/>
      <c r="G76" s="203"/>
      <c r="H76" s="203"/>
      <c r="I76" s="203"/>
      <c r="J76" s="203"/>
      <c r="K76" s="203"/>
    </row>
    <row r="77" spans="1:11" x14ac:dyDescent="0.3">
      <c r="A77" s="354">
        <f t="shared" ref="A77:A96" si="32">A9</f>
        <v>0.33333333333333331</v>
      </c>
      <c r="B77" s="203" t="str">
        <f>IFERROR(VLOOKUP(TEXT(B$7+$A77,"MM/DD/YYYY HH:MM")&amp;"-&gt;"&amp;$B$1,'Schedule from TM'!$BG$11:$BI$5051,3,0),"")</f>
        <v/>
      </c>
      <c r="C77" s="203" t="str">
        <f>IFERROR(VLOOKUP(TEXT(C$7+$A77,"MM/DD/YYYY HH:MM")&amp;"-&gt;"&amp;$B$1,'Schedule from TM'!$BG$11:$BI$5051,3,0),"")</f>
        <v/>
      </c>
      <c r="D77" s="203" t="str">
        <f>IFERROR(VLOOKUP(TEXT(D$7+$A77,"MM/DD/YYYY HH:MM")&amp;"-&gt;"&amp;$B$1,'Schedule from TM'!$BG$11:$BI$5051,3,0),"")</f>
        <v/>
      </c>
      <c r="E77" s="203" t="str">
        <f>IFERROR(VLOOKUP(TEXT(E$7+$A77,"MM/DD/YYYY HH:MM")&amp;"-&gt;"&amp;$B$1,'Schedule from TM'!$BG$11:$BI$5051,3,0),"")</f>
        <v/>
      </c>
      <c r="F77" s="203" t="str">
        <f>IFERROR(VLOOKUP(TEXT(F$7+$A77,"MM/DD/YYYY HH:MM")&amp;"-&gt;"&amp;$B$1,'Schedule from TM'!$BG$11:$BI$5051,3,0),"")</f>
        <v/>
      </c>
      <c r="G77" s="203" t="str">
        <f>IFERROR(VLOOKUP(TEXT(G$7+$A77,"MM/DD/YYYY HH:MM")&amp;"-&gt;"&amp;$B$1,'Schedule from TM'!$BG$11:$BI$5051,3,0),"")</f>
        <v/>
      </c>
      <c r="H77" s="203" t="str">
        <f>IFERROR(VLOOKUP(TEXT(H$7+$A77,"MM/DD/YYYY HH:MM")&amp;"-&gt;"&amp;$B$1,'Schedule from TM'!$BG$11:$BI$5051,3,0),"")</f>
        <v/>
      </c>
      <c r="I77" s="203" t="str">
        <f>IFERROR(VLOOKUP(TEXT(I$7+$A77,"MM/DD/YYYY HH:MM")&amp;"-&gt;"&amp;$B$1,'Schedule from TM'!$BG$11:$BI$5051,3,0),"")</f>
        <v/>
      </c>
      <c r="J77" s="203" t="str">
        <f>IFERROR(VLOOKUP(TEXT(J$7+$A77,"MM/DD/YYYY HH:MM")&amp;"-&gt;"&amp;$B$1,'Schedule from TM'!$BG$11:$BI$5051,3,0),"")</f>
        <v/>
      </c>
      <c r="K77" s="203" t="str">
        <f>IFERROR(VLOOKUP(TEXT(K$7+$A77,"MM/DD/YYYY HH:MM")&amp;"-&gt;"&amp;$B$1,'Schedule from TM'!$BG$11:$BI$5051,3,0),"")</f>
        <v/>
      </c>
    </row>
    <row r="78" spans="1:11" x14ac:dyDescent="0.3">
      <c r="A78" s="354">
        <f t="shared" si="32"/>
        <v>0.36805555555555552</v>
      </c>
      <c r="B78" s="203" t="str">
        <f>IFERROR(VLOOKUP(TEXT(B$7+$A78,"MM/DD/YYYY HH:MM")&amp;"-&gt;"&amp;$B$1,'Schedule from TM'!$BG$11:$BI$5051,3,0),"")</f>
        <v/>
      </c>
      <c r="C78" s="203" t="str">
        <f>IFERROR(VLOOKUP(TEXT(C$7+$A78,"MM/DD/YYYY HH:MM")&amp;"-&gt;"&amp;$B$1,'Schedule from TM'!$BG$11:$BI$5051,3,0),"")</f>
        <v/>
      </c>
      <c r="D78" s="203" t="str">
        <f>IFERROR(VLOOKUP(TEXT(D$7+$A78,"MM/DD/YYYY HH:MM")&amp;"-&gt;"&amp;$B$1,'Schedule from TM'!$BG$11:$BI$5051,3,0),"")</f>
        <v/>
      </c>
      <c r="E78" s="203" t="str">
        <f>IFERROR(VLOOKUP(TEXT(E$7+$A78,"MM/DD/YYYY HH:MM")&amp;"-&gt;"&amp;$B$1,'Schedule from TM'!$BG$11:$BI$5051,3,0),"")</f>
        <v/>
      </c>
      <c r="F78" s="203" t="str">
        <f>IFERROR(VLOOKUP(TEXT(F$7+$A78,"MM/DD/YYYY HH:MM")&amp;"-&gt;"&amp;$B$1,'Schedule from TM'!$BG$11:$BI$5051,3,0),"")</f>
        <v/>
      </c>
      <c r="G78" s="203" t="str">
        <f>IFERROR(VLOOKUP(TEXT(G$7+$A78,"MM/DD/YYYY HH:MM")&amp;"-&gt;"&amp;$B$1,'Schedule from TM'!$BG$11:$BI$5051,3,0),"")</f>
        <v/>
      </c>
      <c r="H78" s="203" t="str">
        <f>IFERROR(VLOOKUP(TEXT(H$7+$A78,"MM/DD/YYYY HH:MM")&amp;"-&gt;"&amp;$B$1,'Schedule from TM'!$BG$11:$BI$5051,3,0),"")</f>
        <v/>
      </c>
      <c r="I78" s="203" t="str">
        <f>IFERROR(VLOOKUP(TEXT(I$7+$A78,"MM/DD/YYYY HH:MM")&amp;"-&gt;"&amp;$B$1,'Schedule from TM'!$BG$11:$BI$5051,3,0),"")</f>
        <v/>
      </c>
      <c r="J78" s="203" t="str">
        <f>IFERROR(VLOOKUP(TEXT(J$7+$A78,"MM/DD/YYYY HH:MM")&amp;"-&gt;"&amp;$B$1,'Schedule from TM'!$BG$11:$BI$5051,3,0),"")</f>
        <v/>
      </c>
      <c r="K78" s="203" t="str">
        <f>IFERROR(VLOOKUP(TEXT(K$7+$A78,"MM/DD/YYYY HH:MM")&amp;"-&gt;"&amp;$B$1,'Schedule from TM'!$BG$11:$BI$5051,3,0),"")</f>
        <v/>
      </c>
    </row>
    <row r="79" spans="1:11" x14ac:dyDescent="0.3">
      <c r="A79" s="354">
        <f t="shared" si="32"/>
        <v>0.40277777777777773</v>
      </c>
      <c r="B79" s="203" t="str">
        <f>IFERROR(VLOOKUP(TEXT(B$7+$A79,"MM/DD/YYYY HH:MM")&amp;"-&gt;"&amp;$B$1,'Schedule from TM'!$BG$11:$BI$5051,3,0),"")</f>
        <v/>
      </c>
      <c r="C79" s="203" t="str">
        <f>IFERROR(VLOOKUP(TEXT(C$7+$A79,"MM/DD/YYYY HH:MM")&amp;"-&gt;"&amp;$B$1,'Schedule from TM'!$BG$11:$BI$5051,3,0),"")</f>
        <v/>
      </c>
      <c r="D79" s="203" t="str">
        <f>IFERROR(VLOOKUP(TEXT(D$7+$A79,"MM/DD/YYYY HH:MM")&amp;"-&gt;"&amp;$B$1,'Schedule from TM'!$BG$11:$BI$5051,3,0),"")</f>
        <v/>
      </c>
      <c r="E79" s="203" t="str">
        <f>IFERROR(VLOOKUP(TEXT(E$7+$A79,"MM/DD/YYYY HH:MM")&amp;"-&gt;"&amp;$B$1,'Schedule from TM'!$BG$11:$BI$5051,3,0),"")</f>
        <v/>
      </c>
      <c r="F79" s="203" t="str">
        <f>IFERROR(VLOOKUP(TEXT(F$7+$A79,"MM/DD/YYYY HH:MM")&amp;"-&gt;"&amp;$B$1,'Schedule from TM'!$BG$11:$BI$5051,3,0),"")</f>
        <v/>
      </c>
      <c r="G79" s="203" t="str">
        <f>IFERROR(VLOOKUP(TEXT(G$7+$A79,"MM/DD/YYYY HH:MM")&amp;"-&gt;"&amp;$B$1,'Schedule from TM'!$BG$11:$BI$5051,3,0),"")</f>
        <v/>
      </c>
      <c r="H79" s="203" t="str">
        <f>IFERROR(VLOOKUP(TEXT(H$7+$A79,"MM/DD/YYYY HH:MM")&amp;"-&gt;"&amp;$B$1,'Schedule from TM'!$BG$11:$BI$5051,3,0),"")</f>
        <v/>
      </c>
      <c r="I79" s="203" t="str">
        <f>IFERROR(VLOOKUP(TEXT(I$7+$A79,"MM/DD/YYYY HH:MM")&amp;"-&gt;"&amp;$B$1,'Schedule from TM'!$BG$11:$BI$5051,3,0),"")</f>
        <v/>
      </c>
      <c r="J79" s="203" t="str">
        <f>IFERROR(VLOOKUP(TEXT(J$7+$A79,"MM/DD/YYYY HH:MM")&amp;"-&gt;"&amp;$B$1,'Schedule from TM'!$BG$11:$BI$5051,3,0),"")</f>
        <v/>
      </c>
      <c r="K79" s="203" t="str">
        <f>IFERROR(VLOOKUP(TEXT(K$7+$A79,"MM/DD/YYYY HH:MM")&amp;"-&gt;"&amp;$B$1,'Schedule from TM'!$BG$11:$BI$5051,3,0),"")</f>
        <v/>
      </c>
    </row>
    <row r="80" spans="1:11" x14ac:dyDescent="0.3">
      <c r="A80" s="354">
        <f t="shared" si="32"/>
        <v>0.43749999999999994</v>
      </c>
      <c r="B80" s="203" t="str">
        <f>IFERROR(VLOOKUP(TEXT(B$7+$A80,"MM/DD/YYYY HH:MM")&amp;"-&gt;"&amp;$B$1,'Schedule from TM'!$BG$11:$BI$5051,3,0),"")</f>
        <v/>
      </c>
      <c r="C80" s="203" t="str">
        <f>IFERROR(VLOOKUP(TEXT(C$7+$A80,"MM/DD/YYYY HH:MM")&amp;"-&gt;"&amp;$B$1,'Schedule from TM'!$BG$11:$BI$5051,3,0),"")</f>
        <v/>
      </c>
      <c r="D80" s="203" t="str">
        <f>IFERROR(VLOOKUP(TEXT(D$7+$A80,"MM/DD/YYYY HH:MM")&amp;"-&gt;"&amp;$B$1,'Schedule from TM'!$BG$11:$BI$5051,3,0),"")</f>
        <v>Soccer in JCC Back Field 3 (ARG1-MEX1)</v>
      </c>
      <c r="E80" s="203" t="str">
        <f>IFERROR(VLOOKUP(TEXT(E$7+$A80,"MM/DD/YYYY HH:MM")&amp;"-&gt;"&amp;$B$1,'Schedule from TM'!$BG$11:$BI$5051,3,0),"")</f>
        <v/>
      </c>
      <c r="F80" s="203" t="str">
        <f>IFERROR(VLOOKUP(TEXT(F$7+$A80,"MM/DD/YYYY HH:MM")&amp;"-&gt;"&amp;$B$1,'Schedule from TM'!$BG$11:$BI$5051,3,0),"")</f>
        <v/>
      </c>
      <c r="G80" s="203" t="str">
        <f>IFERROR(VLOOKUP(TEXT(G$7+$A80,"MM/DD/YYYY HH:MM")&amp;"-&gt;"&amp;$B$1,'Schedule from TM'!$BG$11:$BI$5051,3,0),"")</f>
        <v/>
      </c>
      <c r="H80" s="203" t="str">
        <f>IFERROR(VLOOKUP(TEXT(H$7+$A80,"MM/DD/YYYY HH:MM")&amp;"-&gt;"&amp;$B$1,'Schedule from TM'!$BG$11:$BI$5051,3,0),"")</f>
        <v/>
      </c>
      <c r="I80" s="203" t="str">
        <f>IFERROR(VLOOKUP(TEXT(I$7+$A80,"MM/DD/YYYY HH:MM")&amp;"-&gt;"&amp;$B$1,'Schedule from TM'!$BG$11:$BI$5051,3,0),"")</f>
        <v/>
      </c>
      <c r="J80" s="203" t="str">
        <f>IFERROR(VLOOKUP(TEXT(J$7+$A80,"MM/DD/YYYY HH:MM")&amp;"-&gt;"&amp;$B$1,'Schedule from TM'!$BG$11:$BI$5051,3,0),"")</f>
        <v/>
      </c>
      <c r="K80" s="203" t="str">
        <f>IFERROR(VLOOKUP(TEXT(K$7+$A80,"MM/DD/YYYY HH:MM")&amp;"-&gt;"&amp;$B$1,'Schedule from TM'!$BG$11:$BI$5051,3,0),"")</f>
        <v/>
      </c>
    </row>
    <row r="81" spans="1:11" x14ac:dyDescent="0.3">
      <c r="A81" s="354">
        <f t="shared" si="32"/>
        <v>0.47222222222222215</v>
      </c>
      <c r="B81" s="203" t="str">
        <f>IFERROR(VLOOKUP(TEXT(B$7+$A81,"MM/DD/YYYY HH:MM")&amp;"-&gt;"&amp;$B$1,'Schedule from TM'!$BG$11:$BI$5051,3,0),"")</f>
        <v/>
      </c>
      <c r="C81" s="203" t="str">
        <f>IFERROR(VLOOKUP(TEXT(C$7+$A81,"MM/DD/YYYY HH:MM")&amp;"-&gt;"&amp;$B$1,'Schedule from TM'!$BG$11:$BI$5051,3,0),"")</f>
        <v/>
      </c>
      <c r="D81" s="203" t="str">
        <f>IFERROR(VLOOKUP(TEXT(D$7+$A81,"MM/DD/YYYY HH:MM")&amp;"-&gt;"&amp;$B$1,'Schedule from TM'!$BG$11:$BI$5051,3,0),"")</f>
        <v/>
      </c>
      <c r="E81" s="203" t="str">
        <f>IFERROR(VLOOKUP(TEXT(E$7+$A81,"MM/DD/YYYY HH:MM")&amp;"-&gt;"&amp;$B$1,'Schedule from TM'!$BG$11:$BI$5051,3,0),"")</f>
        <v/>
      </c>
      <c r="F81" s="203" t="str">
        <f>IFERROR(VLOOKUP(TEXT(F$7+$A81,"MM/DD/YYYY HH:MM")&amp;"-&gt;"&amp;$B$1,'Schedule from TM'!$BG$11:$BI$5051,3,0),"")</f>
        <v/>
      </c>
      <c r="G81" s="203" t="str">
        <f>IFERROR(VLOOKUP(TEXT(G$7+$A81,"MM/DD/YYYY HH:MM")&amp;"-&gt;"&amp;$B$1,'Schedule from TM'!$BG$11:$BI$5051,3,0),"")</f>
        <v/>
      </c>
      <c r="H81" s="203" t="str">
        <f>IFERROR(VLOOKUP(TEXT(H$7+$A81,"MM/DD/YYYY HH:MM")&amp;"-&gt;"&amp;$B$1,'Schedule from TM'!$BG$11:$BI$5051,3,0),"")</f>
        <v/>
      </c>
      <c r="I81" s="203" t="str">
        <f>IFERROR(VLOOKUP(TEXT(I$7+$A81,"MM/DD/YYYY HH:MM")&amp;"-&gt;"&amp;$B$1,'Schedule from TM'!$BG$11:$BI$5051,3,0),"")</f>
        <v/>
      </c>
      <c r="J81" s="203" t="str">
        <f>IFERROR(VLOOKUP(TEXT(J$7+$A81,"MM/DD/YYYY HH:MM")&amp;"-&gt;"&amp;$B$1,'Schedule from TM'!$BG$11:$BI$5051,3,0),"")</f>
        <v/>
      </c>
      <c r="K81" s="203" t="str">
        <f>IFERROR(VLOOKUP(TEXT(K$7+$A81,"MM/DD/YYYY HH:MM")&amp;"-&gt;"&amp;$B$1,'Schedule from TM'!$BG$11:$BI$5051,3,0),"")</f>
        <v/>
      </c>
    </row>
    <row r="82" spans="1:11" x14ac:dyDescent="0.3">
      <c r="A82" s="354">
        <f t="shared" si="32"/>
        <v>0.50694444444444442</v>
      </c>
      <c r="B82" s="203" t="str">
        <f>IFERROR(VLOOKUP(TEXT(B$7+$A82,"MM/DD/YYYY HH:MM")&amp;"-&gt;"&amp;$B$1,'Schedule from TM'!$BG$11:$BI$5051,3,0),"")</f>
        <v/>
      </c>
      <c r="C82" s="203" t="str">
        <f>IFERROR(VLOOKUP(TEXT(C$7+$A82,"MM/DD/YYYY HH:MM")&amp;"-&gt;"&amp;$B$1,'Schedule from TM'!$BG$11:$BI$5051,3,0),"")</f>
        <v/>
      </c>
      <c r="D82" s="203" t="str">
        <f>IFERROR(VLOOKUP(TEXT(D$7+$A82,"MM/DD/YYYY HH:MM")&amp;"-&gt;"&amp;$B$1,'Schedule from TM'!$BG$11:$BI$5051,3,0),"")</f>
        <v/>
      </c>
      <c r="E82" s="203" t="str">
        <f>IFERROR(VLOOKUP(TEXT(E$7+$A82,"MM/DD/YYYY HH:MM")&amp;"-&gt;"&amp;$B$1,'Schedule from TM'!$BG$11:$BI$5051,3,0),"")</f>
        <v/>
      </c>
      <c r="F82" s="203" t="str">
        <f>IFERROR(VLOOKUP(TEXT(F$7+$A82,"MM/DD/YYYY HH:MM")&amp;"-&gt;"&amp;$B$1,'Schedule from TM'!$BG$11:$BI$5051,3,0),"")</f>
        <v/>
      </c>
      <c r="G82" s="203" t="str">
        <f>IFERROR(VLOOKUP(TEXT(G$7+$A82,"MM/DD/YYYY HH:MM")&amp;"-&gt;"&amp;$B$1,'Schedule from TM'!$BG$11:$BI$5051,3,0),"")</f>
        <v/>
      </c>
      <c r="H82" s="203" t="str">
        <f>IFERROR(VLOOKUP(TEXT(H$7+$A82,"MM/DD/YYYY HH:MM")&amp;"-&gt;"&amp;$B$1,'Schedule from TM'!$BG$11:$BI$5051,3,0),"")</f>
        <v/>
      </c>
      <c r="I82" s="203" t="str">
        <f>IFERROR(VLOOKUP(TEXT(I$7+$A82,"MM/DD/YYYY HH:MM")&amp;"-&gt;"&amp;$B$1,'Schedule from TM'!$BG$11:$BI$5051,3,0),"")</f>
        <v/>
      </c>
      <c r="J82" s="203" t="str">
        <f>IFERROR(VLOOKUP(TEXT(J$7+$A82,"MM/DD/YYYY HH:MM")&amp;"-&gt;"&amp;$B$1,'Schedule from TM'!$BG$11:$BI$5051,3,0),"")</f>
        <v/>
      </c>
      <c r="K82" s="203" t="str">
        <f>IFERROR(VLOOKUP(TEXT(K$7+$A82,"MM/DD/YYYY HH:MM")&amp;"-&gt;"&amp;$B$1,'Schedule from TM'!$BG$11:$BI$5051,3,0),"")</f>
        <v/>
      </c>
    </row>
    <row r="83" spans="1:11" x14ac:dyDescent="0.3">
      <c r="A83" s="354">
        <f t="shared" si="32"/>
        <v>0.54166666666666663</v>
      </c>
      <c r="B83" s="203" t="str">
        <f>IFERROR(VLOOKUP(TEXT(B$7+$A83,"MM/DD/YYYY HH:MM")&amp;"-&gt;"&amp;$B$1,'Schedule from TM'!$BG$11:$BI$5051,3,0),"")</f>
        <v/>
      </c>
      <c r="C83" s="203" t="str">
        <f>IFERROR(VLOOKUP(TEXT(C$7+$A83,"MM/DD/YYYY HH:MM")&amp;"-&gt;"&amp;$B$1,'Schedule from TM'!$BG$11:$BI$5051,3,0),"")</f>
        <v/>
      </c>
      <c r="D83" s="203" t="str">
        <f>IFERROR(VLOOKUP(TEXT(D$7+$A83,"MM/DD/YYYY HH:MM")&amp;"-&gt;"&amp;$B$1,'Schedule from TM'!$BG$11:$BI$5051,3,0),"")</f>
        <v/>
      </c>
      <c r="E83" s="203" t="str">
        <f>IFERROR(VLOOKUP(TEXT(E$7+$A83,"MM/DD/YYYY HH:MM")&amp;"-&gt;"&amp;$B$1,'Schedule from TM'!$BG$11:$BI$5051,3,0),"")</f>
        <v/>
      </c>
      <c r="F83" s="203" t="str">
        <f>IFERROR(VLOOKUP(TEXT(F$7+$A83,"MM/DD/YYYY HH:MM")&amp;"-&gt;"&amp;$B$1,'Schedule from TM'!$BG$11:$BI$5051,3,0),"")</f>
        <v/>
      </c>
      <c r="G83" s="203" t="str">
        <f>IFERROR(VLOOKUP(TEXT(G$7+$A83,"MM/DD/YYYY HH:MM")&amp;"-&gt;"&amp;$B$1,'Schedule from TM'!$BG$11:$BI$5051,3,0),"")</f>
        <v/>
      </c>
      <c r="H83" s="203" t="str">
        <f>IFERROR(VLOOKUP(TEXT(H$7+$A83,"MM/DD/YYYY HH:MM")&amp;"-&gt;"&amp;$B$1,'Schedule from TM'!$BG$11:$BI$5051,3,0),"")</f>
        <v/>
      </c>
      <c r="I83" s="203" t="str">
        <f>IFERROR(VLOOKUP(TEXT(I$7+$A83,"MM/DD/YYYY HH:MM")&amp;"-&gt;"&amp;$B$1,'Schedule from TM'!$BG$11:$BI$5051,3,0),"")</f>
        <v/>
      </c>
      <c r="J83" s="203" t="str">
        <f>IFERROR(VLOOKUP(TEXT(J$7+$A83,"MM/DD/YYYY HH:MM")&amp;"-&gt;"&amp;$B$1,'Schedule from TM'!$BG$11:$BI$5051,3,0),"")</f>
        <v/>
      </c>
      <c r="K83" s="203" t="str">
        <f>IFERROR(VLOOKUP(TEXT(K$7+$A83,"MM/DD/YYYY HH:MM")&amp;"-&gt;"&amp;$B$1,'Schedule from TM'!$BG$11:$BI$5051,3,0),"")</f>
        <v/>
      </c>
    </row>
    <row r="84" spans="1:11" x14ac:dyDescent="0.3">
      <c r="A84" s="354">
        <f t="shared" si="32"/>
        <v>0.57638888888888884</v>
      </c>
      <c r="B84" s="203" t="str">
        <f>IFERROR(VLOOKUP(TEXT(B$7+$A84,"MM/DD/YYYY HH:MM")&amp;"-&gt;"&amp;$B$1,'Schedule from TM'!$BG$11:$BI$5051,3,0),"")</f>
        <v/>
      </c>
      <c r="C84" s="203" t="str">
        <f>IFERROR(VLOOKUP(TEXT(C$7+$A84,"MM/DD/YYYY HH:MM")&amp;"-&gt;"&amp;$B$1,'Schedule from TM'!$BG$11:$BI$5051,3,0),"")</f>
        <v/>
      </c>
      <c r="D84" s="203" t="str">
        <f>IFERROR(VLOOKUP(TEXT(D$7+$A84,"MM/DD/YYYY HH:MM")&amp;"-&gt;"&amp;$B$1,'Schedule from TM'!$BG$11:$BI$5051,3,0),"")</f>
        <v/>
      </c>
      <c r="E84" s="203" t="str">
        <f>IFERROR(VLOOKUP(TEXT(E$7+$A84,"MM/DD/YYYY HH:MM")&amp;"-&gt;"&amp;$B$1,'Schedule from TM'!$BG$11:$BI$5051,3,0),"")</f>
        <v/>
      </c>
      <c r="F84" s="203" t="str">
        <f>IFERROR(VLOOKUP(TEXT(F$7+$A84,"MM/DD/YYYY HH:MM")&amp;"-&gt;"&amp;$B$1,'Schedule from TM'!$BG$11:$BI$5051,3,0),"")</f>
        <v/>
      </c>
      <c r="G84" s="203" t="str">
        <f>IFERROR(VLOOKUP(TEXT(G$7+$A84,"MM/DD/YYYY HH:MM")&amp;"-&gt;"&amp;$B$1,'Schedule from TM'!$BG$11:$BI$5051,3,0),"")</f>
        <v/>
      </c>
      <c r="H84" s="203" t="str">
        <f>IFERROR(VLOOKUP(TEXT(H$7+$A84,"MM/DD/YYYY HH:MM")&amp;"-&gt;"&amp;$B$1,'Schedule from TM'!$BG$11:$BI$5051,3,0),"")</f>
        <v/>
      </c>
      <c r="I84" s="203" t="str">
        <f>IFERROR(VLOOKUP(TEXT(I$7+$A84,"MM/DD/YYYY HH:MM")&amp;"-&gt;"&amp;$B$1,'Schedule from TM'!$BG$11:$BI$5051,3,0),"")</f>
        <v/>
      </c>
      <c r="J84" s="203" t="str">
        <f>IFERROR(VLOOKUP(TEXT(J$7+$A84,"MM/DD/YYYY HH:MM")&amp;"-&gt;"&amp;$B$1,'Schedule from TM'!$BG$11:$BI$5051,3,0),"")</f>
        <v/>
      </c>
      <c r="K84" s="203" t="str">
        <f>IFERROR(VLOOKUP(TEXT(K$7+$A84,"MM/DD/YYYY HH:MM")&amp;"-&gt;"&amp;$B$1,'Schedule from TM'!$BG$11:$BI$5051,3,0),"")</f>
        <v/>
      </c>
    </row>
    <row r="85" spans="1:11" x14ac:dyDescent="0.3">
      <c r="A85" s="354">
        <f t="shared" si="32"/>
        <v>0.61111111111111105</v>
      </c>
      <c r="B85" s="203" t="str">
        <f>IFERROR(VLOOKUP(TEXT(B$7+$A85,"MM/DD/YYYY HH:MM")&amp;"-&gt;"&amp;$B$1,'Schedule from TM'!$BG$11:$BI$5051,3,0),"")</f>
        <v/>
      </c>
      <c r="C85" s="203" t="str">
        <f>IFERROR(VLOOKUP(TEXT(C$7+$A85,"MM/DD/YYYY HH:MM")&amp;"-&gt;"&amp;$B$1,'Schedule from TM'!$BG$11:$BI$5051,3,0),"")</f>
        <v/>
      </c>
      <c r="D85" s="203" t="str">
        <f>IFERROR(VLOOKUP(TEXT(D$7+$A85,"MM/DD/YYYY HH:MM")&amp;"-&gt;"&amp;$B$1,'Schedule from TM'!$BG$11:$BI$5051,3,0),"")</f>
        <v/>
      </c>
      <c r="E85" s="203" t="str">
        <f>IFERROR(VLOOKUP(TEXT(E$7+$A85,"MM/DD/YYYY HH:MM")&amp;"-&gt;"&amp;$B$1,'Schedule from TM'!$BG$11:$BI$5051,3,0),"")</f>
        <v/>
      </c>
      <c r="F85" s="203" t="str">
        <f>IFERROR(VLOOKUP(TEXT(F$7+$A85,"MM/DD/YYYY HH:MM")&amp;"-&gt;"&amp;$B$1,'Schedule from TM'!$BG$11:$BI$5051,3,0),"")</f>
        <v/>
      </c>
      <c r="G85" s="203" t="str">
        <f>IFERROR(VLOOKUP(TEXT(G$7+$A85,"MM/DD/YYYY HH:MM")&amp;"-&gt;"&amp;$B$1,'Schedule from TM'!$BG$11:$BI$5051,3,0),"")</f>
        <v/>
      </c>
      <c r="H85" s="203" t="str">
        <f>IFERROR(VLOOKUP(TEXT(H$7+$A85,"MM/DD/YYYY HH:MM")&amp;"-&gt;"&amp;$B$1,'Schedule from TM'!$BG$11:$BI$5051,3,0),"")</f>
        <v/>
      </c>
      <c r="I85" s="203" t="str">
        <f>IFERROR(VLOOKUP(TEXT(I$7+$A85,"MM/DD/YYYY HH:MM")&amp;"-&gt;"&amp;$B$1,'Schedule from TM'!$BG$11:$BI$5051,3,0),"")</f>
        <v/>
      </c>
      <c r="J85" s="203" t="str">
        <f>IFERROR(VLOOKUP(TEXT(J$7+$A85,"MM/DD/YYYY HH:MM")&amp;"-&gt;"&amp;$B$1,'Schedule from TM'!$BG$11:$BI$5051,3,0),"")</f>
        <v/>
      </c>
      <c r="K85" s="203" t="str">
        <f>IFERROR(VLOOKUP(TEXT(K$7+$A85,"MM/DD/YYYY HH:MM")&amp;"-&gt;"&amp;$B$1,'Schedule from TM'!$BG$11:$BI$5051,3,0),"")</f>
        <v/>
      </c>
    </row>
    <row r="86" spans="1:11" x14ac:dyDescent="0.3">
      <c r="A86" s="354">
        <f t="shared" si="32"/>
        <v>0.64583333333333326</v>
      </c>
      <c r="B86" s="203" t="str">
        <f>IFERROR(VLOOKUP(TEXT(B$7+$A86,"MM/DD/YYYY HH:MM")&amp;"-&gt;"&amp;$B$1,'Schedule from TM'!$BG$11:$BI$5051,3,0),"")</f>
        <v/>
      </c>
      <c r="C86" s="203" t="str">
        <f>IFERROR(VLOOKUP(TEXT(C$7+$A86,"MM/DD/YYYY HH:MM")&amp;"-&gt;"&amp;$B$1,'Schedule from TM'!$BG$11:$BI$5051,3,0),"")</f>
        <v/>
      </c>
      <c r="D86" s="203" t="str">
        <f>IFERROR(VLOOKUP(TEXT(D$7+$A86,"MM/DD/YYYY HH:MM")&amp;"-&gt;"&amp;$B$1,'Schedule from TM'!$BG$11:$BI$5051,3,0),"")</f>
        <v/>
      </c>
      <c r="E86" s="203" t="str">
        <f>IFERROR(VLOOKUP(TEXT(E$7+$A86,"MM/DD/YYYY HH:MM")&amp;"-&gt;"&amp;$B$1,'Schedule from TM'!$BG$11:$BI$5051,3,0),"")</f>
        <v/>
      </c>
      <c r="F86" s="203" t="str">
        <f>IFERROR(VLOOKUP(TEXT(F$7+$A86,"MM/DD/YYYY HH:MM")&amp;"-&gt;"&amp;$B$1,'Schedule from TM'!$BG$11:$BI$5051,3,0),"")</f>
        <v/>
      </c>
      <c r="G86" s="203" t="str">
        <f>IFERROR(VLOOKUP(TEXT(G$7+$A86,"MM/DD/YYYY HH:MM")&amp;"-&gt;"&amp;$B$1,'Schedule from TM'!$BG$11:$BI$5051,3,0),"")</f>
        <v/>
      </c>
      <c r="H86" s="203" t="str">
        <f>IFERROR(VLOOKUP(TEXT(H$7+$A86,"MM/DD/YYYY HH:MM")&amp;"-&gt;"&amp;$B$1,'Schedule from TM'!$BG$11:$BI$5051,3,0),"")</f>
        <v/>
      </c>
      <c r="I86" s="203" t="str">
        <f>IFERROR(VLOOKUP(TEXT(I$7+$A86,"MM/DD/YYYY HH:MM")&amp;"-&gt;"&amp;$B$1,'Schedule from TM'!$BG$11:$BI$5051,3,0),"")</f>
        <v/>
      </c>
      <c r="J86" s="203" t="str">
        <f>IFERROR(VLOOKUP(TEXT(J$7+$A86,"MM/DD/YYYY HH:MM")&amp;"-&gt;"&amp;$B$1,'Schedule from TM'!$BG$11:$BI$5051,3,0),"")</f>
        <v/>
      </c>
      <c r="K86" s="203" t="str">
        <f>IFERROR(VLOOKUP(TEXT(K$7+$A86,"MM/DD/YYYY HH:MM")&amp;"-&gt;"&amp;$B$1,'Schedule from TM'!$BG$11:$BI$5051,3,0),"")</f>
        <v/>
      </c>
    </row>
    <row r="87" spans="1:11" x14ac:dyDescent="0.3">
      <c r="A87" s="354">
        <f t="shared" si="32"/>
        <v>0.68055555555555547</v>
      </c>
      <c r="B87" s="203" t="str">
        <f>IFERROR(VLOOKUP(TEXT(B$7+$A87,"MM/DD/YYYY HH:MM")&amp;"-&gt;"&amp;$B$1,'Schedule from TM'!$BG$11:$BI$5051,3,0),"")</f>
        <v/>
      </c>
      <c r="C87" s="203" t="str">
        <f>IFERROR(VLOOKUP(TEXT(C$7+$A87,"MM/DD/YYYY HH:MM")&amp;"-&gt;"&amp;$B$1,'Schedule from TM'!$BG$11:$BI$5051,3,0),"")</f>
        <v/>
      </c>
      <c r="D87" s="203" t="str">
        <f>IFERROR(VLOOKUP(TEXT(D$7+$A87,"MM/DD/YYYY HH:MM")&amp;"-&gt;"&amp;$B$1,'Schedule from TM'!$BG$11:$BI$5051,3,0),"")</f>
        <v/>
      </c>
      <c r="E87" s="203" t="str">
        <f>IFERROR(VLOOKUP(TEXT(E$7+$A87,"MM/DD/YYYY HH:MM")&amp;"-&gt;"&amp;$B$1,'Schedule from TM'!$BG$11:$BI$5051,3,0),"")</f>
        <v/>
      </c>
      <c r="F87" s="203" t="str">
        <f>IFERROR(VLOOKUP(TEXT(F$7+$A87,"MM/DD/YYYY HH:MM")&amp;"-&gt;"&amp;$B$1,'Schedule from TM'!$BG$11:$BI$5051,3,0),"")</f>
        <v/>
      </c>
      <c r="G87" s="203" t="str">
        <f>IFERROR(VLOOKUP(TEXT(G$7+$A87,"MM/DD/YYYY HH:MM")&amp;"-&gt;"&amp;$B$1,'Schedule from TM'!$BG$11:$BI$5051,3,0),"")</f>
        <v/>
      </c>
      <c r="H87" s="203" t="str">
        <f>IFERROR(VLOOKUP(TEXT(H$7+$A87,"MM/DD/YYYY HH:MM")&amp;"-&gt;"&amp;$B$1,'Schedule from TM'!$BG$11:$BI$5051,3,0),"")</f>
        <v/>
      </c>
      <c r="I87" s="203" t="str">
        <f>IFERROR(VLOOKUP(TEXT(I$7+$A87,"MM/DD/YYYY HH:MM")&amp;"-&gt;"&amp;$B$1,'Schedule from TM'!$BG$11:$BI$5051,3,0),"")</f>
        <v/>
      </c>
      <c r="J87" s="203" t="str">
        <f>IFERROR(VLOOKUP(TEXT(J$7+$A87,"MM/DD/YYYY HH:MM")&amp;"-&gt;"&amp;$B$1,'Schedule from TM'!$BG$11:$BI$5051,3,0),"")</f>
        <v/>
      </c>
      <c r="K87" s="203" t="str">
        <f>IFERROR(VLOOKUP(TEXT(K$7+$A87,"MM/DD/YYYY HH:MM")&amp;"-&gt;"&amp;$B$1,'Schedule from TM'!$BG$11:$BI$5051,3,0),"")</f>
        <v>Flag Football in Hillel - Field 1 (PER-MEX1)</v>
      </c>
    </row>
    <row r="88" spans="1:11" x14ac:dyDescent="0.3">
      <c r="A88" s="354">
        <f t="shared" si="32"/>
        <v>0.71527777777777768</v>
      </c>
      <c r="B88" s="203" t="str">
        <f>IFERROR(VLOOKUP(TEXT(B$7+$A88,"MM/DD/YYYY HH:MM")&amp;"-&gt;"&amp;$B$1,'Schedule from TM'!$BG$11:$BI$5051,3,0),"")</f>
        <v/>
      </c>
      <c r="C88" s="203" t="str">
        <f>IFERROR(VLOOKUP(TEXT(C$7+$A88,"MM/DD/YYYY HH:MM")&amp;"-&gt;"&amp;$B$1,'Schedule from TM'!$BG$11:$BI$5051,3,0),"")</f>
        <v/>
      </c>
      <c r="D88" s="203" t="str">
        <f>IFERROR(VLOOKUP(TEXT(D$7+$A88,"MM/DD/YYYY HH:MM")&amp;"-&gt;"&amp;$B$1,'Schedule from TM'!$BG$11:$BI$5051,3,0),"")</f>
        <v/>
      </c>
      <c r="E88" s="203" t="str">
        <f>IFERROR(VLOOKUP(TEXT(E$7+$A88,"MM/DD/YYYY HH:MM")&amp;"-&gt;"&amp;$B$1,'Schedule from TM'!$BG$11:$BI$5051,3,0),"")</f>
        <v/>
      </c>
      <c r="F88" s="203" t="str">
        <f>IFERROR(VLOOKUP(TEXT(F$7+$A88,"MM/DD/YYYY HH:MM")&amp;"-&gt;"&amp;$B$1,'Schedule from TM'!$BG$11:$BI$5051,3,0),"")</f>
        <v/>
      </c>
      <c r="G88" s="203" t="str">
        <f>IFERROR(VLOOKUP(TEXT(G$7+$A88,"MM/DD/YYYY HH:MM")&amp;"-&gt;"&amp;$B$1,'Schedule from TM'!$BG$11:$BI$5051,3,0),"")</f>
        <v/>
      </c>
      <c r="H88" s="203" t="str">
        <f>IFERROR(VLOOKUP(TEXT(H$7+$A88,"MM/DD/YYYY HH:MM")&amp;"-&gt;"&amp;$B$1,'Schedule from TM'!$BG$11:$BI$5051,3,0),"")</f>
        <v/>
      </c>
      <c r="I88" s="203" t="str">
        <f>IFERROR(VLOOKUP(TEXT(I$7+$A88,"MM/DD/YYYY HH:MM")&amp;"-&gt;"&amp;$B$1,'Schedule from TM'!$BG$11:$BI$5051,3,0),"")</f>
        <v/>
      </c>
      <c r="J88" s="203" t="str">
        <f>IFERROR(VLOOKUP(TEXT(J$7+$A88,"MM/DD/YYYY HH:MM")&amp;"-&gt;"&amp;$B$1,'Schedule from TM'!$BG$11:$BI$5051,3,0),"")</f>
        <v/>
      </c>
      <c r="K88" s="203" t="str">
        <f>IFERROR(VLOOKUP(TEXT(K$7+$A88,"MM/DD/YYYY HH:MM")&amp;"-&gt;"&amp;$B$1,'Schedule from TM'!$BG$11:$BI$5051,3,0),"")</f>
        <v/>
      </c>
    </row>
    <row r="89" spans="1:11" x14ac:dyDescent="0.3">
      <c r="A89" s="354">
        <f t="shared" si="32"/>
        <v>0.74999999999999989</v>
      </c>
      <c r="B89" s="203" t="str">
        <f>IFERROR(VLOOKUP(TEXT(B$7+$A89,"MM/DD/YYYY HH:MM")&amp;"-&gt;"&amp;$B$1,'Schedule from TM'!$BG$11:$BI$5051,3,0),"")</f>
        <v/>
      </c>
      <c r="C89" s="203" t="str">
        <f>IFERROR(VLOOKUP(TEXT(C$7+$A89,"MM/DD/YYYY HH:MM")&amp;"-&gt;"&amp;$B$1,'Schedule from TM'!$BG$11:$BI$5051,3,0),"")</f>
        <v/>
      </c>
      <c r="D89" s="203" t="str">
        <f>IFERROR(VLOOKUP(TEXT(D$7+$A89,"MM/DD/YYYY HH:MM")&amp;"-&gt;"&amp;$B$1,'Schedule from TM'!$BG$11:$BI$5051,3,0),"")</f>
        <v/>
      </c>
      <c r="E89" s="203" t="str">
        <f>IFERROR(VLOOKUP(TEXT(E$7+$A89,"MM/DD/YYYY HH:MM")&amp;"-&gt;"&amp;$B$1,'Schedule from TM'!$BG$11:$BI$5051,3,0),"")</f>
        <v/>
      </c>
      <c r="F89" s="203" t="str">
        <f>IFERROR(VLOOKUP(TEXT(F$7+$A89,"MM/DD/YYYY HH:MM")&amp;"-&gt;"&amp;$B$1,'Schedule from TM'!$BG$11:$BI$5051,3,0),"")</f>
        <v/>
      </c>
      <c r="G89" s="203" t="str">
        <f>IFERROR(VLOOKUP(TEXT(G$7+$A89,"MM/DD/YYYY HH:MM")&amp;"-&gt;"&amp;$B$1,'Schedule from TM'!$BG$11:$BI$5051,3,0),"")</f>
        <v/>
      </c>
      <c r="H89" s="203" t="str">
        <f>IFERROR(VLOOKUP(TEXT(H$7+$A89,"MM/DD/YYYY HH:MM")&amp;"-&gt;"&amp;$B$1,'Schedule from TM'!$BG$11:$BI$5051,3,0),"")</f>
        <v/>
      </c>
      <c r="I89" s="203" t="str">
        <f>IFERROR(VLOOKUP(TEXT(I$7+$A89,"MM/DD/YYYY HH:MM")&amp;"-&gt;"&amp;$B$1,'Schedule from TM'!$BG$11:$BI$5051,3,0),"")</f>
        <v/>
      </c>
      <c r="J89" s="203" t="str">
        <f>IFERROR(VLOOKUP(TEXT(J$7+$A89,"MM/DD/YYYY HH:MM")&amp;"-&gt;"&amp;$B$1,'Schedule from TM'!$BG$11:$BI$5051,3,0),"")</f>
        <v/>
      </c>
      <c r="K89" s="203" t="str">
        <f>IFERROR(VLOOKUP(TEXT(K$7+$A89,"MM/DD/YYYY HH:MM")&amp;"-&gt;"&amp;$B$1,'Schedule from TM'!$BG$11:$BI$5051,3,0),"")</f>
        <v/>
      </c>
    </row>
    <row r="90" spans="1:11" x14ac:dyDescent="0.3">
      <c r="A90" s="354">
        <f t="shared" si="32"/>
        <v>0.7847222222222221</v>
      </c>
      <c r="B90" s="203" t="str">
        <f>IFERROR(VLOOKUP(TEXT(B$7+$A90,"MM/DD/YYYY HH:MM")&amp;"-&gt;"&amp;$B$1,'Schedule from TM'!$BG$11:$BI$5051,3,0),"")</f>
        <v/>
      </c>
      <c r="C90" s="203" t="str">
        <f>IFERROR(VLOOKUP(TEXT(C$7+$A90,"MM/DD/YYYY HH:MM")&amp;"-&gt;"&amp;$B$1,'Schedule from TM'!$BG$11:$BI$5051,3,0),"")</f>
        <v/>
      </c>
      <c r="D90" s="203" t="str">
        <f>IFERROR(VLOOKUP(TEXT(D$7+$A90,"MM/DD/YYYY HH:MM")&amp;"-&gt;"&amp;$B$1,'Schedule from TM'!$BG$11:$BI$5051,3,0),"")</f>
        <v/>
      </c>
      <c r="E90" s="203" t="str">
        <f>IFERROR(VLOOKUP(TEXT(E$7+$A90,"MM/DD/YYYY HH:MM")&amp;"-&gt;"&amp;$B$1,'Schedule from TM'!$BG$11:$BI$5051,3,0),"")</f>
        <v/>
      </c>
      <c r="F90" s="203" t="str">
        <f>IFERROR(VLOOKUP(TEXT(F$7+$A90,"MM/DD/YYYY HH:MM")&amp;"-&gt;"&amp;$B$1,'Schedule from TM'!$BG$11:$BI$5051,3,0),"")</f>
        <v/>
      </c>
      <c r="G90" s="203" t="str">
        <f>IFERROR(VLOOKUP(TEXT(G$7+$A90,"MM/DD/YYYY HH:MM")&amp;"-&gt;"&amp;$B$1,'Schedule from TM'!$BG$11:$BI$5051,3,0),"")</f>
        <v/>
      </c>
      <c r="H90" s="203" t="str">
        <f>IFERROR(VLOOKUP(TEXT(H$7+$A90,"MM/DD/YYYY HH:MM")&amp;"-&gt;"&amp;$B$1,'Schedule from TM'!$BG$11:$BI$5051,3,0),"")</f>
        <v/>
      </c>
      <c r="I90" s="203" t="str">
        <f>IFERROR(VLOOKUP(TEXT(I$7+$A90,"MM/DD/YYYY HH:MM")&amp;"-&gt;"&amp;$B$1,'Schedule from TM'!$BG$11:$BI$5051,3,0),"")</f>
        <v/>
      </c>
      <c r="J90" s="203" t="str">
        <f>IFERROR(VLOOKUP(TEXT(J$7+$A90,"MM/DD/YYYY HH:MM")&amp;"-&gt;"&amp;$B$1,'Schedule from TM'!$BG$11:$BI$5051,3,0),"")</f>
        <v/>
      </c>
      <c r="K90" s="203" t="str">
        <f>IFERROR(VLOOKUP(TEXT(K$7+$A90,"MM/DD/YYYY HH:MM")&amp;"-&gt;"&amp;$B$1,'Schedule from TM'!$BG$11:$BI$5051,3,0),"")</f>
        <v/>
      </c>
    </row>
    <row r="91" spans="1:11" x14ac:dyDescent="0.3">
      <c r="A91" s="354">
        <f t="shared" si="32"/>
        <v>0.81944444444444431</v>
      </c>
      <c r="B91" s="203" t="str">
        <f>IFERROR(VLOOKUP(TEXT(B$7+$A91,"MM/DD/YYYY HH:MM")&amp;"-&gt;"&amp;$B$1,'Schedule from TM'!$BG$11:$BI$5051,3,0),"")</f>
        <v/>
      </c>
      <c r="C91" s="203" t="str">
        <f>IFERROR(VLOOKUP(TEXT(C$7+$A91,"MM/DD/YYYY HH:MM")&amp;"-&gt;"&amp;$B$1,'Schedule from TM'!$BG$11:$BI$5051,3,0),"")</f>
        <v/>
      </c>
      <c r="D91" s="203" t="str">
        <f>IFERROR(VLOOKUP(TEXT(D$7+$A91,"MM/DD/YYYY HH:MM")&amp;"-&gt;"&amp;$B$1,'Schedule from TM'!$BG$11:$BI$5051,3,0),"")</f>
        <v/>
      </c>
      <c r="E91" s="203" t="str">
        <f>IFERROR(VLOOKUP(TEXT(E$7+$A91,"MM/DD/YYYY HH:MM")&amp;"-&gt;"&amp;$B$1,'Schedule from TM'!$BG$11:$BI$5051,3,0),"")</f>
        <v/>
      </c>
      <c r="F91" s="203" t="str">
        <f>IFERROR(VLOOKUP(TEXT(F$7+$A91,"MM/DD/YYYY HH:MM")&amp;"-&gt;"&amp;$B$1,'Schedule from TM'!$BG$11:$BI$5051,3,0),"")</f>
        <v>Flag Football in Hillel - Field 2 (COL1-MEX1)</v>
      </c>
      <c r="G91" s="203" t="str">
        <f>IFERROR(VLOOKUP(TEXT(G$7+$A91,"MM/DD/YYYY HH:MM")&amp;"-&gt;"&amp;$B$1,'Schedule from TM'!$BG$11:$BI$5051,3,0),"")</f>
        <v/>
      </c>
      <c r="H91" s="203" t="str">
        <f>IFERROR(VLOOKUP(TEXT(H$7+$A91,"MM/DD/YYYY HH:MM")&amp;"-&gt;"&amp;$B$1,'Schedule from TM'!$BG$11:$BI$5051,3,0),"")</f>
        <v/>
      </c>
      <c r="I91" s="203" t="str">
        <f>IFERROR(VLOOKUP(TEXT(I$7+$A91,"MM/DD/YYYY HH:MM")&amp;"-&gt;"&amp;$B$1,'Schedule from TM'!$BG$11:$BI$5051,3,0),"")</f>
        <v/>
      </c>
      <c r="J91" s="203" t="str">
        <f>IFERROR(VLOOKUP(TEXT(J$7+$A91,"MM/DD/YYYY HH:MM")&amp;"-&gt;"&amp;$B$1,'Schedule from TM'!$BG$11:$BI$5051,3,0),"")</f>
        <v/>
      </c>
      <c r="K91" s="203" t="str">
        <f>IFERROR(VLOOKUP(TEXT(K$7+$A91,"MM/DD/YYYY HH:MM")&amp;"-&gt;"&amp;$B$1,'Schedule from TM'!$BG$11:$BI$5051,3,0),"")</f>
        <v/>
      </c>
    </row>
    <row r="92" spans="1:11" x14ac:dyDescent="0.3">
      <c r="A92" s="354">
        <f t="shared" si="32"/>
        <v>0.85416666666666652</v>
      </c>
      <c r="B92" s="203" t="str">
        <f>IFERROR(VLOOKUP(TEXT(B$7+$A92,"MM/DD/YYYY HH:MM")&amp;"-&gt;"&amp;$B$1,'Schedule from TM'!$BG$11:$BI$5051,3,0),"")</f>
        <v/>
      </c>
      <c r="C92" s="203" t="str">
        <f>IFERROR(VLOOKUP(TEXT(C$7+$A92,"MM/DD/YYYY HH:MM")&amp;"-&gt;"&amp;$B$1,'Schedule from TM'!$BG$11:$BI$5051,3,0),"")</f>
        <v/>
      </c>
      <c r="D92" s="203" t="str">
        <f>IFERROR(VLOOKUP(TEXT(D$7+$A92,"MM/DD/YYYY HH:MM")&amp;"-&gt;"&amp;$B$1,'Schedule from TM'!$BG$11:$BI$5051,3,0),"")</f>
        <v/>
      </c>
      <c r="E92" s="203" t="str">
        <f>IFERROR(VLOOKUP(TEXT(E$7+$A92,"MM/DD/YYYY HH:MM")&amp;"-&gt;"&amp;$B$1,'Schedule from TM'!$BG$11:$BI$5051,3,0),"")</f>
        <v/>
      </c>
      <c r="F92" s="203" t="str">
        <f>IFERROR(VLOOKUP(TEXT(F$7+$A92,"MM/DD/YYYY HH:MM")&amp;"-&gt;"&amp;$B$1,'Schedule from TM'!$BG$11:$BI$5051,3,0),"")</f>
        <v/>
      </c>
      <c r="G92" s="203" t="str">
        <f>IFERROR(VLOOKUP(TEXT(G$7+$A92,"MM/DD/YYYY HH:MM")&amp;"-&gt;"&amp;$B$1,'Schedule from TM'!$BG$11:$BI$5051,3,0),"")</f>
        <v/>
      </c>
      <c r="H92" s="203" t="str">
        <f>IFERROR(VLOOKUP(TEXT(H$7+$A92,"MM/DD/YYYY HH:MM")&amp;"-&gt;"&amp;$B$1,'Schedule from TM'!$BG$11:$BI$5051,3,0),"")</f>
        <v/>
      </c>
      <c r="I92" s="203" t="str">
        <f>IFERROR(VLOOKUP(TEXT(I$7+$A92,"MM/DD/YYYY HH:MM")&amp;"-&gt;"&amp;$B$1,'Schedule from TM'!$BG$11:$BI$5051,3,0),"")</f>
        <v/>
      </c>
      <c r="J92" s="203" t="str">
        <f>IFERROR(VLOOKUP(TEXT(J$7+$A92,"MM/DD/YYYY HH:MM")&amp;"-&gt;"&amp;$B$1,'Schedule from TM'!$BG$11:$BI$5051,3,0),"")</f>
        <v/>
      </c>
      <c r="K92" s="203" t="str">
        <f>IFERROR(VLOOKUP(TEXT(K$7+$A92,"MM/DD/YYYY HH:MM")&amp;"-&gt;"&amp;$B$1,'Schedule from TM'!$BG$11:$BI$5051,3,0),"")</f>
        <v/>
      </c>
    </row>
    <row r="93" spans="1:11" x14ac:dyDescent="0.3">
      <c r="A93" s="354">
        <f t="shared" si="32"/>
        <v>0.88888888888888873</v>
      </c>
      <c r="B93" s="203" t="str">
        <f>IFERROR(VLOOKUP(TEXT(B$7+$A93,"MM/DD/YYYY HH:MM")&amp;"-&gt;"&amp;$B$1,'Schedule from TM'!$BG$11:$BI$5051,3,0),"")</f>
        <v/>
      </c>
      <c r="C93" s="203" t="str">
        <f>IFERROR(VLOOKUP(TEXT(C$7+$A93,"MM/DD/YYYY HH:MM")&amp;"-&gt;"&amp;$B$1,'Schedule from TM'!$BG$11:$BI$5051,3,0),"")</f>
        <v/>
      </c>
      <c r="D93" s="203" t="str">
        <f>IFERROR(VLOOKUP(TEXT(D$7+$A93,"MM/DD/YYYY HH:MM")&amp;"-&gt;"&amp;$B$1,'Schedule from TM'!$BG$11:$BI$5051,3,0),"")</f>
        <v/>
      </c>
      <c r="E93" s="203" t="str">
        <f>IFERROR(VLOOKUP(TEXT(E$7+$A93,"MM/DD/YYYY HH:MM")&amp;"-&gt;"&amp;$B$1,'Schedule from TM'!$BG$11:$BI$5051,3,0),"")</f>
        <v/>
      </c>
      <c r="F93" s="203" t="str">
        <f>IFERROR(VLOOKUP(TEXT(F$7+$A93,"MM/DD/YYYY HH:MM")&amp;"-&gt;"&amp;$B$1,'Schedule from TM'!$BG$11:$BI$5051,3,0),"")</f>
        <v/>
      </c>
      <c r="G93" s="203" t="str">
        <f>IFERROR(VLOOKUP(TEXT(G$7+$A93,"MM/DD/YYYY HH:MM")&amp;"-&gt;"&amp;$B$1,'Schedule from TM'!$BG$11:$BI$5051,3,0),"")</f>
        <v/>
      </c>
      <c r="H93" s="203" t="str">
        <f>IFERROR(VLOOKUP(TEXT(H$7+$A93,"MM/DD/YYYY HH:MM")&amp;"-&gt;"&amp;$B$1,'Schedule from TM'!$BG$11:$BI$5051,3,0),"")</f>
        <v/>
      </c>
      <c r="I93" s="203" t="str">
        <f>IFERROR(VLOOKUP(TEXT(I$7+$A93,"MM/DD/YYYY HH:MM")&amp;"-&gt;"&amp;$B$1,'Schedule from TM'!$BG$11:$BI$5051,3,0),"")</f>
        <v/>
      </c>
      <c r="J93" s="203" t="str">
        <f>IFERROR(VLOOKUP(TEXT(J$7+$A93,"MM/DD/YYYY HH:MM")&amp;"-&gt;"&amp;$B$1,'Schedule from TM'!$BG$11:$BI$5051,3,0),"")</f>
        <v/>
      </c>
      <c r="K93" s="203" t="str">
        <f>IFERROR(VLOOKUP(TEXT(K$7+$A93,"MM/DD/YYYY HH:MM")&amp;"-&gt;"&amp;$B$1,'Schedule from TM'!$BG$11:$BI$5051,3,0),"")</f>
        <v/>
      </c>
    </row>
    <row r="94" spans="1:11" x14ac:dyDescent="0.3">
      <c r="A94" s="354">
        <f t="shared" si="32"/>
        <v>0.92361111111111094</v>
      </c>
      <c r="B94" s="203" t="str">
        <f>IFERROR(VLOOKUP(TEXT(B$7+$A94,"MM/DD/YYYY HH:MM")&amp;"-&gt;"&amp;$B$1,'Schedule from TM'!$BG$11:$BI$5051,3,0),"")</f>
        <v/>
      </c>
      <c r="C94" s="203" t="str">
        <f>IFERROR(VLOOKUP(TEXT(C$7+$A94,"MM/DD/YYYY HH:MM")&amp;"-&gt;"&amp;$B$1,'Schedule from TM'!$BG$11:$BI$5051,3,0),"")</f>
        <v/>
      </c>
      <c r="D94" s="203" t="str">
        <f>IFERROR(VLOOKUP(TEXT(D$7+$A94,"MM/DD/YYYY HH:MM")&amp;"-&gt;"&amp;$B$1,'Schedule from TM'!$BG$11:$BI$5051,3,0),"")</f>
        <v/>
      </c>
      <c r="E94" s="203" t="str">
        <f>IFERROR(VLOOKUP(TEXT(E$7+$A94,"MM/DD/YYYY HH:MM")&amp;"-&gt;"&amp;$B$1,'Schedule from TM'!$BG$11:$BI$5051,3,0),"")</f>
        <v/>
      </c>
      <c r="F94" s="203" t="str">
        <f>IFERROR(VLOOKUP(TEXT(F$7+$A94,"MM/DD/YYYY HH:MM")&amp;"-&gt;"&amp;$B$1,'Schedule from TM'!$BG$11:$BI$5051,3,0),"")</f>
        <v/>
      </c>
      <c r="G94" s="203" t="str">
        <f>IFERROR(VLOOKUP(TEXT(G$7+$A94,"MM/DD/YYYY HH:MM")&amp;"-&gt;"&amp;$B$1,'Schedule from TM'!$BG$11:$BI$5051,3,0),"")</f>
        <v/>
      </c>
      <c r="H94" s="203" t="str">
        <f>IFERROR(VLOOKUP(TEXT(H$7+$A94,"MM/DD/YYYY HH:MM")&amp;"-&gt;"&amp;$B$1,'Schedule from TM'!$BG$11:$BI$5051,3,0),"")</f>
        <v/>
      </c>
      <c r="I94" s="203" t="str">
        <f>IFERROR(VLOOKUP(TEXT(I$7+$A94,"MM/DD/YYYY HH:MM")&amp;"-&gt;"&amp;$B$1,'Schedule from TM'!$BG$11:$BI$5051,3,0),"")</f>
        <v/>
      </c>
      <c r="J94" s="203" t="str">
        <f>IFERROR(VLOOKUP(TEXT(J$7+$A94,"MM/DD/YYYY HH:MM")&amp;"-&gt;"&amp;$B$1,'Schedule from TM'!$BG$11:$BI$5051,3,0),"")</f>
        <v/>
      </c>
      <c r="K94" s="203" t="str">
        <f>IFERROR(VLOOKUP(TEXT(K$7+$A94,"MM/DD/YYYY HH:MM")&amp;"-&gt;"&amp;$B$1,'Schedule from TM'!$BG$11:$BI$5051,3,0),"")</f>
        <v/>
      </c>
    </row>
    <row r="95" spans="1:11" x14ac:dyDescent="0.3">
      <c r="A95" s="354">
        <f t="shared" si="32"/>
        <v>0.95833333333333315</v>
      </c>
      <c r="B95" s="203" t="str">
        <f>IFERROR(VLOOKUP(TEXT(B$7+$A95,"MM/DD/YYYY HH:MM")&amp;"-&gt;"&amp;$B$1,'Schedule from TM'!$BG$11:$BI$5051,3,0),"")</f>
        <v/>
      </c>
      <c r="C95" s="203" t="str">
        <f>IFERROR(VLOOKUP(TEXT(C$7+$A95,"MM/DD/YYYY HH:MM")&amp;"-&gt;"&amp;$B$1,'Schedule from TM'!$BG$11:$BI$5051,3,0),"")</f>
        <v/>
      </c>
      <c r="D95" s="203" t="str">
        <f>IFERROR(VLOOKUP(TEXT(D$7+$A95,"MM/DD/YYYY HH:MM")&amp;"-&gt;"&amp;$B$1,'Schedule from TM'!$BG$11:$BI$5051,3,0),"")</f>
        <v/>
      </c>
      <c r="E95" s="203" t="str">
        <f>IFERROR(VLOOKUP(TEXT(E$7+$A95,"MM/DD/YYYY HH:MM")&amp;"-&gt;"&amp;$B$1,'Schedule from TM'!$BG$11:$BI$5051,3,0),"")</f>
        <v/>
      </c>
      <c r="F95" s="203" t="str">
        <f>IFERROR(VLOOKUP(TEXT(F$7+$A95,"MM/DD/YYYY HH:MM")&amp;"-&gt;"&amp;$B$1,'Schedule from TM'!$BG$11:$BI$5051,3,0),"")</f>
        <v/>
      </c>
      <c r="G95" s="203" t="str">
        <f>IFERROR(VLOOKUP(TEXT(G$7+$A95,"MM/DD/YYYY HH:MM")&amp;"-&gt;"&amp;$B$1,'Schedule from TM'!$BG$11:$BI$5051,3,0),"")</f>
        <v/>
      </c>
      <c r="H95" s="203" t="str">
        <f>IFERROR(VLOOKUP(TEXT(H$7+$A95,"MM/DD/YYYY HH:MM")&amp;"-&gt;"&amp;$B$1,'Schedule from TM'!$BG$11:$BI$5051,3,0),"")</f>
        <v/>
      </c>
      <c r="I95" s="203" t="str">
        <f>IFERROR(VLOOKUP(TEXT(I$7+$A95,"MM/DD/YYYY HH:MM")&amp;"-&gt;"&amp;$B$1,'Schedule from TM'!$BG$11:$BI$5051,3,0),"")</f>
        <v/>
      </c>
      <c r="J95" s="203" t="str">
        <f>IFERROR(VLOOKUP(TEXT(J$7+$A95,"MM/DD/YYYY HH:MM")&amp;"-&gt;"&amp;$B$1,'Schedule from TM'!$BG$11:$BI$5051,3,0),"")</f>
        <v/>
      </c>
      <c r="K95" s="203" t="str">
        <f>IFERROR(VLOOKUP(TEXT(K$7+$A95,"MM/DD/YYYY HH:MM")&amp;"-&gt;"&amp;$B$1,'Schedule from TM'!$BG$11:$BI$5051,3,0),"")</f>
        <v/>
      </c>
    </row>
    <row r="96" spans="1:11" x14ac:dyDescent="0.3">
      <c r="A96" s="354">
        <f t="shared" si="32"/>
        <v>0.99305555555555536</v>
      </c>
      <c r="B96" s="203" t="str">
        <f>IFERROR(VLOOKUP(TEXT(B$7+$A96,"MM/DD/YYYY HH:MM")&amp;"-&gt;"&amp;$B$1,'Schedule from TM'!$BG$11:$BI$5051,3,0),"")</f>
        <v/>
      </c>
      <c r="C96" s="203" t="str">
        <f>IFERROR(VLOOKUP(TEXT(C$7+$A96,"MM/DD/YYYY HH:MM")&amp;"-&gt;"&amp;$B$1,'Schedule from TM'!$BG$11:$BI$5051,3,0),"")</f>
        <v/>
      </c>
      <c r="D96" s="203" t="str">
        <f>IFERROR(VLOOKUP(TEXT(D$7+$A96,"MM/DD/YYYY HH:MM")&amp;"-&gt;"&amp;$B$1,'Schedule from TM'!$BG$11:$BI$5051,3,0),"")</f>
        <v/>
      </c>
      <c r="E96" s="203" t="str">
        <f>IFERROR(VLOOKUP(TEXT(E$7+$A96,"MM/DD/YYYY HH:MM")&amp;"-&gt;"&amp;$B$1,'Schedule from TM'!$BG$11:$BI$5051,3,0),"")</f>
        <v/>
      </c>
      <c r="F96" s="203" t="str">
        <f>IFERROR(VLOOKUP(TEXT(F$7+$A96,"MM/DD/YYYY HH:MM")&amp;"-&gt;"&amp;$B$1,'Schedule from TM'!$BG$11:$BI$5051,3,0),"")</f>
        <v/>
      </c>
      <c r="G96" s="203" t="str">
        <f>IFERROR(VLOOKUP(TEXT(G$7+$A96,"MM/DD/YYYY HH:MM")&amp;"-&gt;"&amp;$B$1,'Schedule from TM'!$BG$11:$BI$5051,3,0),"")</f>
        <v/>
      </c>
      <c r="H96" s="203" t="str">
        <f>IFERROR(VLOOKUP(TEXT(H$7+$A96,"MM/DD/YYYY HH:MM")&amp;"-&gt;"&amp;$B$1,'Schedule from TM'!$BG$11:$BI$5051,3,0),"")</f>
        <v/>
      </c>
      <c r="I96" s="203" t="str">
        <f>IFERROR(VLOOKUP(TEXT(I$7+$A96,"MM/DD/YYYY HH:MM")&amp;"-&gt;"&amp;$B$1,'Schedule from TM'!$BG$11:$BI$5051,3,0),"")</f>
        <v/>
      </c>
      <c r="J96" s="203" t="str">
        <f>IFERROR(VLOOKUP(TEXT(J$7+$A96,"MM/DD/YYYY HH:MM")&amp;"-&gt;"&amp;$B$1,'Schedule from TM'!$BG$11:$BI$5051,3,0),"")</f>
        <v/>
      </c>
      <c r="K96" s="203" t="str">
        <f>IFERROR(VLOOKUP(TEXT(K$7+$A96,"MM/DD/YYYY HH:MM")&amp;"-&gt;"&amp;$B$1,'Schedule from TM'!$BG$11:$BI$5051,3,0),"")</f>
        <v/>
      </c>
    </row>
    <row r="98" spans="1:11" x14ac:dyDescent="0.3">
      <c r="A98" s="112" t="s">
        <v>364</v>
      </c>
    </row>
    <row r="99" spans="1:11" x14ac:dyDescent="0.3">
      <c r="A99" s="354"/>
      <c r="B99" s="203" t="s">
        <v>338</v>
      </c>
      <c r="C99" s="203" t="s">
        <v>338</v>
      </c>
      <c r="D99" s="203" t="str">
        <f>B1</f>
        <v>CHILD EM - MEX 1</v>
      </c>
      <c r="E99" s="203"/>
      <c r="F99" s="203"/>
      <c r="G99" s="203"/>
      <c r="H99" s="203"/>
      <c r="I99" s="203"/>
      <c r="J99" s="203"/>
      <c r="K99" s="203"/>
    </row>
    <row r="100" spans="1:11" x14ac:dyDescent="0.3">
      <c r="A100" s="354"/>
      <c r="B100" s="204">
        <f t="shared" ref="B100:K100" si="33">B7</f>
        <v>43055</v>
      </c>
      <c r="C100" s="204">
        <f t="shared" si="33"/>
        <v>43057</v>
      </c>
      <c r="D100" s="204">
        <f t="shared" si="33"/>
        <v>43058</v>
      </c>
      <c r="E100" s="204">
        <f t="shared" si="33"/>
        <v>43059</v>
      </c>
      <c r="F100" s="204">
        <f t="shared" si="33"/>
        <v>43060</v>
      </c>
      <c r="G100" s="204">
        <f t="shared" si="33"/>
        <v>43061</v>
      </c>
      <c r="H100" s="204">
        <f t="shared" si="33"/>
        <v>43062</v>
      </c>
      <c r="I100" s="204">
        <f t="shared" si="33"/>
        <v>43063</v>
      </c>
      <c r="J100" s="204">
        <f t="shared" si="33"/>
        <v>43064</v>
      </c>
      <c r="K100" s="204">
        <f t="shared" si="33"/>
        <v>43065</v>
      </c>
    </row>
    <row r="101" spans="1:11" x14ac:dyDescent="0.3">
      <c r="A101" s="354"/>
      <c r="B101" s="205" t="s">
        <v>369</v>
      </c>
      <c r="C101" s="205" t="s">
        <v>339</v>
      </c>
      <c r="D101" s="205" t="s">
        <v>340</v>
      </c>
      <c r="E101" s="205" t="s">
        <v>341</v>
      </c>
      <c r="F101" s="205" t="s">
        <v>342</v>
      </c>
      <c r="G101" s="205" t="s">
        <v>343</v>
      </c>
      <c r="H101" s="205" t="s">
        <v>344</v>
      </c>
      <c r="I101" s="205" t="s">
        <v>345</v>
      </c>
      <c r="J101" s="205" t="s">
        <v>346</v>
      </c>
      <c r="K101" s="205" t="s">
        <v>347</v>
      </c>
    </row>
    <row r="102" spans="1:11" x14ac:dyDescent="0.3">
      <c r="A102" s="354"/>
      <c r="B102" s="203"/>
      <c r="C102" s="203"/>
      <c r="D102" s="203"/>
      <c r="E102" s="203"/>
      <c r="F102" s="203"/>
      <c r="G102" s="203"/>
      <c r="H102" s="203"/>
      <c r="I102" s="203"/>
      <c r="J102" s="203"/>
      <c r="K102" s="203"/>
    </row>
    <row r="103" spans="1:11" x14ac:dyDescent="0.3">
      <c r="A103" s="354">
        <f t="shared" ref="A103:A122" si="34">A9</f>
        <v>0.33333333333333331</v>
      </c>
      <c r="B103" s="203" t="str">
        <f t="shared" ref="B103:K112" si="35">IFERROR(VLOOKUP(TEXT(B$7+$A103,"MM/DD/YYYY HH:MM")&amp;"-&gt;"&amp;$E$1,finals_search,2,0),"")</f>
        <v/>
      </c>
      <c r="C103" s="203" t="str">
        <f t="shared" si="35"/>
        <v/>
      </c>
      <c r="D103" s="203" t="str">
        <f t="shared" si="35"/>
        <v/>
      </c>
      <c r="E103" s="203" t="str">
        <f t="shared" si="35"/>
        <v/>
      </c>
      <c r="F103" s="203" t="str">
        <f t="shared" si="35"/>
        <v/>
      </c>
      <c r="G103" s="203" t="str">
        <f t="shared" si="35"/>
        <v/>
      </c>
      <c r="H103" s="203" t="str">
        <f t="shared" si="35"/>
        <v/>
      </c>
      <c r="I103" s="203" t="str">
        <f t="shared" si="35"/>
        <v/>
      </c>
      <c r="J103" s="203" t="str">
        <f t="shared" si="35"/>
        <v/>
      </c>
      <c r="K103" s="203" t="str">
        <f t="shared" si="35"/>
        <v/>
      </c>
    </row>
    <row r="104" spans="1:11" x14ac:dyDescent="0.3">
      <c r="A104" s="354">
        <f t="shared" si="34"/>
        <v>0.36805555555555552</v>
      </c>
      <c r="B104" s="203" t="str">
        <f t="shared" si="35"/>
        <v/>
      </c>
      <c r="C104" s="203" t="str">
        <f t="shared" si="35"/>
        <v/>
      </c>
      <c r="D104" s="203" t="str">
        <f t="shared" si="35"/>
        <v/>
      </c>
      <c r="E104" s="203" t="str">
        <f t="shared" si="35"/>
        <v/>
      </c>
      <c r="F104" s="203" t="str">
        <f t="shared" si="35"/>
        <v/>
      </c>
      <c r="G104" s="203" t="str">
        <f t="shared" si="35"/>
        <v/>
      </c>
      <c r="H104" s="203" t="str">
        <f t="shared" si="35"/>
        <v/>
      </c>
      <c r="I104" s="203" t="str">
        <f t="shared" si="35"/>
        <v/>
      </c>
      <c r="J104" s="203" t="str">
        <f t="shared" si="35"/>
        <v/>
      </c>
      <c r="K104" s="203" t="str">
        <f t="shared" si="35"/>
        <v>Basketball Semi-Final in JCC Gym North</v>
      </c>
    </row>
    <row r="105" spans="1:11" x14ac:dyDescent="0.3">
      <c r="A105" s="354">
        <f t="shared" si="34"/>
        <v>0.40277777777777773</v>
      </c>
      <c r="B105" s="203" t="str">
        <f t="shared" si="35"/>
        <v/>
      </c>
      <c r="C105" s="203" t="str">
        <f t="shared" si="35"/>
        <v/>
      </c>
      <c r="D105" s="203" t="str">
        <f t="shared" si="35"/>
        <v/>
      </c>
      <c r="E105" s="203" t="str">
        <f t="shared" si="35"/>
        <v/>
      </c>
      <c r="F105" s="203" t="str">
        <f t="shared" si="35"/>
        <v/>
      </c>
      <c r="G105" s="203" t="str">
        <f t="shared" si="35"/>
        <v/>
      </c>
      <c r="H105" s="203" t="str">
        <f t="shared" si="35"/>
        <v/>
      </c>
      <c r="I105" s="203" t="str">
        <f t="shared" si="35"/>
        <v/>
      </c>
      <c r="J105" s="203" t="str">
        <f t="shared" si="35"/>
        <v/>
      </c>
      <c r="K105" s="203" t="str">
        <f t="shared" si="35"/>
        <v>Soccer Semi-Final in JCC Back Field 1</v>
      </c>
    </row>
    <row r="106" spans="1:11" x14ac:dyDescent="0.3">
      <c r="A106" s="354">
        <f t="shared" si="34"/>
        <v>0.43749999999999994</v>
      </c>
      <c r="B106" s="203" t="str">
        <f t="shared" si="35"/>
        <v/>
      </c>
      <c r="C106" s="203" t="str">
        <f t="shared" si="35"/>
        <v/>
      </c>
      <c r="D106" s="203" t="str">
        <f t="shared" si="35"/>
        <v/>
      </c>
      <c r="E106" s="203" t="str">
        <f t="shared" si="35"/>
        <v/>
      </c>
      <c r="F106" s="203" t="str">
        <f t="shared" si="35"/>
        <v/>
      </c>
      <c r="G106" s="203" t="str">
        <f t="shared" si="35"/>
        <v/>
      </c>
      <c r="H106" s="203" t="str">
        <f t="shared" si="35"/>
        <v/>
      </c>
      <c r="I106" s="203" t="str">
        <f t="shared" si="35"/>
        <v/>
      </c>
      <c r="J106" s="203" t="str">
        <f t="shared" si="35"/>
        <v/>
      </c>
      <c r="K106" s="203" t="str">
        <f t="shared" si="35"/>
        <v>Kickball Semi-Final in Hillel - Field 4</v>
      </c>
    </row>
    <row r="107" spans="1:11" x14ac:dyDescent="0.3">
      <c r="A107" s="354">
        <f t="shared" si="34"/>
        <v>0.47222222222222215</v>
      </c>
      <c r="B107" s="203" t="str">
        <f t="shared" si="35"/>
        <v/>
      </c>
      <c r="C107" s="203" t="str">
        <f t="shared" si="35"/>
        <v/>
      </c>
      <c r="D107" s="203" t="str">
        <f t="shared" si="35"/>
        <v/>
      </c>
      <c r="E107" s="203" t="str">
        <f t="shared" si="35"/>
        <v/>
      </c>
      <c r="F107" s="203" t="str">
        <f t="shared" si="35"/>
        <v/>
      </c>
      <c r="G107" s="203" t="str">
        <f t="shared" si="35"/>
        <v/>
      </c>
      <c r="H107" s="203" t="str">
        <f t="shared" si="35"/>
        <v/>
      </c>
      <c r="I107" s="203" t="str">
        <f t="shared" si="35"/>
        <v/>
      </c>
      <c r="J107" s="203" t="str">
        <f t="shared" si="35"/>
        <v/>
      </c>
      <c r="K107" s="203" t="str">
        <f t="shared" si="35"/>
        <v>Kickball Final in Hillel - Field 1</v>
      </c>
    </row>
    <row r="108" spans="1:11" x14ac:dyDescent="0.3">
      <c r="A108" s="354">
        <f t="shared" si="34"/>
        <v>0.50694444444444442</v>
      </c>
      <c r="B108" s="203" t="str">
        <f t="shared" si="35"/>
        <v/>
      </c>
      <c r="C108" s="203" t="str">
        <f t="shared" si="35"/>
        <v/>
      </c>
      <c r="D108" s="203" t="str">
        <f t="shared" si="35"/>
        <v/>
      </c>
      <c r="E108" s="203" t="str">
        <f t="shared" si="35"/>
        <v/>
      </c>
      <c r="F108" s="203" t="str">
        <f t="shared" si="35"/>
        <v/>
      </c>
      <c r="G108" s="203" t="str">
        <f t="shared" si="35"/>
        <v/>
      </c>
      <c r="H108" s="203" t="str">
        <f t="shared" si="35"/>
        <v/>
      </c>
      <c r="I108" s="203" t="str">
        <f t="shared" si="35"/>
        <v/>
      </c>
      <c r="J108" s="203" t="str">
        <f t="shared" si="35"/>
        <v/>
      </c>
      <c r="K108" s="203" t="str">
        <f t="shared" si="35"/>
        <v>Volleyball Final in JCC Gym South</v>
      </c>
    </row>
    <row r="109" spans="1:11" x14ac:dyDescent="0.3">
      <c r="A109" s="354">
        <f t="shared" si="34"/>
        <v>0.54166666666666663</v>
      </c>
      <c r="B109" s="203" t="str">
        <f t="shared" si="35"/>
        <v/>
      </c>
      <c r="C109" s="203" t="str">
        <f t="shared" si="35"/>
        <v/>
      </c>
      <c r="D109" s="203" t="str">
        <f t="shared" si="35"/>
        <v/>
      </c>
      <c r="E109" s="203" t="str">
        <f t="shared" si="35"/>
        <v/>
      </c>
      <c r="F109" s="203" t="str">
        <f t="shared" si="35"/>
        <v/>
      </c>
      <c r="G109" s="203" t="str">
        <f t="shared" si="35"/>
        <v/>
      </c>
      <c r="H109" s="203" t="str">
        <f t="shared" si="35"/>
        <v/>
      </c>
      <c r="I109" s="203" t="str">
        <f t="shared" si="35"/>
        <v/>
      </c>
      <c r="J109" s="203" t="str">
        <f t="shared" si="35"/>
        <v/>
      </c>
      <c r="K109" s="203" t="str">
        <f t="shared" si="35"/>
        <v/>
      </c>
    </row>
    <row r="110" spans="1:11" x14ac:dyDescent="0.3">
      <c r="A110" s="354">
        <f t="shared" si="34"/>
        <v>0.57638888888888884</v>
      </c>
      <c r="B110" s="203" t="str">
        <f t="shared" si="35"/>
        <v/>
      </c>
      <c r="C110" s="203" t="str">
        <f t="shared" si="35"/>
        <v/>
      </c>
      <c r="D110" s="203" t="str">
        <f t="shared" si="35"/>
        <v/>
      </c>
      <c r="E110" s="203" t="str">
        <f t="shared" si="35"/>
        <v/>
      </c>
      <c r="F110" s="203" t="str">
        <f t="shared" si="35"/>
        <v/>
      </c>
      <c r="G110" s="203" t="str">
        <f t="shared" si="35"/>
        <v/>
      </c>
      <c r="H110" s="203" t="str">
        <f t="shared" si="35"/>
        <v/>
      </c>
      <c r="I110" s="203" t="str">
        <f t="shared" si="35"/>
        <v/>
      </c>
      <c r="J110" s="203" t="str">
        <f t="shared" si="35"/>
        <v/>
      </c>
      <c r="K110" s="203" t="str">
        <f t="shared" si="35"/>
        <v>Soccer Final in JCC Back Field 2</v>
      </c>
    </row>
    <row r="111" spans="1:11" x14ac:dyDescent="0.3">
      <c r="A111" s="354">
        <f t="shared" si="34"/>
        <v>0.61111111111111105</v>
      </c>
      <c r="B111" s="203" t="str">
        <f t="shared" si="35"/>
        <v/>
      </c>
      <c r="C111" s="203" t="str">
        <f t="shared" si="35"/>
        <v/>
      </c>
      <c r="D111" s="203" t="str">
        <f t="shared" si="35"/>
        <v/>
      </c>
      <c r="E111" s="203" t="str">
        <f t="shared" si="35"/>
        <v/>
      </c>
      <c r="F111" s="203" t="str">
        <f t="shared" si="35"/>
        <v/>
      </c>
      <c r="G111" s="203" t="str">
        <f t="shared" si="35"/>
        <v/>
      </c>
      <c r="H111" s="203" t="str">
        <f t="shared" si="35"/>
        <v/>
      </c>
      <c r="I111" s="203" t="str">
        <f t="shared" si="35"/>
        <v/>
      </c>
      <c r="J111" s="203" t="str">
        <f t="shared" si="35"/>
        <v/>
      </c>
      <c r="K111" s="203" t="str">
        <f t="shared" si="35"/>
        <v>Flag Football Semi-Final in Hillel - Field 1</v>
      </c>
    </row>
    <row r="112" spans="1:11" x14ac:dyDescent="0.3">
      <c r="A112" s="354">
        <f t="shared" si="34"/>
        <v>0.64583333333333326</v>
      </c>
      <c r="B112" s="203" t="str">
        <f t="shared" si="35"/>
        <v/>
      </c>
      <c r="C112" s="203" t="str">
        <f t="shared" si="35"/>
        <v/>
      </c>
      <c r="D112" s="203" t="str">
        <f t="shared" si="35"/>
        <v/>
      </c>
      <c r="E112" s="203" t="str">
        <f t="shared" si="35"/>
        <v/>
      </c>
      <c r="F112" s="203" t="str">
        <f t="shared" si="35"/>
        <v/>
      </c>
      <c r="G112" s="203" t="str">
        <f t="shared" si="35"/>
        <v/>
      </c>
      <c r="H112" s="203" t="str">
        <f t="shared" si="35"/>
        <v/>
      </c>
      <c r="I112" s="203" t="str">
        <f t="shared" si="35"/>
        <v/>
      </c>
      <c r="J112" s="203" t="str">
        <f t="shared" si="35"/>
        <v/>
      </c>
      <c r="K112" s="203" t="str">
        <f t="shared" si="35"/>
        <v>Flag Football Final in Hillel - Field 2</v>
      </c>
    </row>
    <row r="113" spans="1:11" x14ac:dyDescent="0.3">
      <c r="A113" s="354">
        <f t="shared" si="34"/>
        <v>0.68055555555555547</v>
      </c>
      <c r="B113" s="203" t="str">
        <f t="shared" ref="B113:K122" si="36">IFERROR(VLOOKUP(TEXT(B$7+$A113,"MM/DD/YYYY HH:MM")&amp;"-&gt;"&amp;$E$1,finals_search,2,0),"")</f>
        <v/>
      </c>
      <c r="C113" s="203" t="str">
        <f t="shared" si="36"/>
        <v/>
      </c>
      <c r="D113" s="203" t="str">
        <f t="shared" si="36"/>
        <v/>
      </c>
      <c r="E113" s="203" t="str">
        <f t="shared" si="36"/>
        <v/>
      </c>
      <c r="F113" s="203" t="str">
        <f t="shared" si="36"/>
        <v/>
      </c>
      <c r="G113" s="203" t="str">
        <f t="shared" si="36"/>
        <v/>
      </c>
      <c r="H113" s="203" t="str">
        <f t="shared" si="36"/>
        <v/>
      </c>
      <c r="I113" s="203" t="str">
        <f t="shared" si="36"/>
        <v/>
      </c>
      <c r="J113" s="203" t="str">
        <f t="shared" si="36"/>
        <v/>
      </c>
      <c r="K113" s="203" t="str">
        <f t="shared" si="36"/>
        <v>Basketball Final in Hillel - Gym Basketball</v>
      </c>
    </row>
    <row r="114" spans="1:11" x14ac:dyDescent="0.3">
      <c r="A114" s="354">
        <f t="shared" si="34"/>
        <v>0.71527777777777768</v>
      </c>
      <c r="B114" s="203" t="str">
        <f t="shared" si="36"/>
        <v/>
      </c>
      <c r="C114" s="203" t="str">
        <f t="shared" si="36"/>
        <v/>
      </c>
      <c r="D114" s="203" t="str">
        <f t="shared" si="36"/>
        <v/>
      </c>
      <c r="E114" s="203" t="str">
        <f t="shared" si="36"/>
        <v/>
      </c>
      <c r="F114" s="203" t="str">
        <f t="shared" si="36"/>
        <v/>
      </c>
      <c r="G114" s="203" t="str">
        <f t="shared" si="36"/>
        <v/>
      </c>
      <c r="H114" s="203" t="str">
        <f t="shared" si="36"/>
        <v/>
      </c>
      <c r="I114" s="203" t="str">
        <f t="shared" si="36"/>
        <v/>
      </c>
      <c r="J114" s="203" t="str">
        <f t="shared" si="36"/>
        <v/>
      </c>
      <c r="K114" s="203" t="str">
        <f t="shared" si="36"/>
        <v/>
      </c>
    </row>
    <row r="115" spans="1:11" x14ac:dyDescent="0.3">
      <c r="A115" s="354">
        <f t="shared" si="34"/>
        <v>0.74999999999999989</v>
      </c>
      <c r="B115" s="203" t="str">
        <f t="shared" si="36"/>
        <v/>
      </c>
      <c r="C115" s="203" t="str">
        <f t="shared" si="36"/>
        <v/>
      </c>
      <c r="D115" s="203" t="str">
        <f t="shared" si="36"/>
        <v/>
      </c>
      <c r="E115" s="203" t="str">
        <f t="shared" si="36"/>
        <v/>
      </c>
      <c r="F115" s="203" t="str">
        <f t="shared" si="36"/>
        <v/>
      </c>
      <c r="G115" s="203" t="str">
        <f t="shared" si="36"/>
        <v/>
      </c>
      <c r="H115" s="203" t="str">
        <f t="shared" si="36"/>
        <v/>
      </c>
      <c r="I115" s="203" t="str">
        <f t="shared" si="36"/>
        <v/>
      </c>
      <c r="J115" s="203" t="str">
        <f t="shared" si="36"/>
        <v/>
      </c>
      <c r="K115" s="203" t="str">
        <f t="shared" si="36"/>
        <v/>
      </c>
    </row>
    <row r="116" spans="1:11" x14ac:dyDescent="0.3">
      <c r="A116" s="354">
        <f t="shared" si="34"/>
        <v>0.7847222222222221</v>
      </c>
      <c r="B116" s="203" t="str">
        <f t="shared" si="36"/>
        <v/>
      </c>
      <c r="C116" s="203" t="str">
        <f t="shared" si="36"/>
        <v/>
      </c>
      <c r="D116" s="203" t="str">
        <f t="shared" si="36"/>
        <v/>
      </c>
      <c r="E116" s="203" t="str">
        <f t="shared" si="36"/>
        <v/>
      </c>
      <c r="F116" s="203" t="str">
        <f t="shared" si="36"/>
        <v/>
      </c>
      <c r="G116" s="203" t="str">
        <f t="shared" si="36"/>
        <v/>
      </c>
      <c r="H116" s="203" t="str">
        <f t="shared" si="36"/>
        <v/>
      </c>
      <c r="I116" s="203" t="str">
        <f t="shared" si="36"/>
        <v/>
      </c>
      <c r="J116" s="203" t="str">
        <f t="shared" si="36"/>
        <v/>
      </c>
      <c r="K116" s="203" t="str">
        <f t="shared" si="36"/>
        <v/>
      </c>
    </row>
    <row r="117" spans="1:11" x14ac:dyDescent="0.3">
      <c r="A117" s="354">
        <f t="shared" si="34"/>
        <v>0.81944444444444431</v>
      </c>
      <c r="B117" s="203" t="str">
        <f t="shared" si="36"/>
        <v/>
      </c>
      <c r="C117" s="203" t="str">
        <f t="shared" si="36"/>
        <v/>
      </c>
      <c r="D117" s="203" t="str">
        <f t="shared" si="36"/>
        <v/>
      </c>
      <c r="E117" s="203" t="str">
        <f t="shared" si="36"/>
        <v/>
      </c>
      <c r="F117" s="203" t="str">
        <f t="shared" si="36"/>
        <v/>
      </c>
      <c r="G117" s="203" t="str">
        <f t="shared" si="36"/>
        <v/>
      </c>
      <c r="H117" s="203" t="str">
        <f t="shared" si="36"/>
        <v/>
      </c>
      <c r="I117" s="203" t="str">
        <f t="shared" si="36"/>
        <v/>
      </c>
      <c r="J117" s="203" t="str">
        <f t="shared" si="36"/>
        <v/>
      </c>
      <c r="K117" s="203" t="str">
        <f t="shared" si="36"/>
        <v/>
      </c>
    </row>
    <row r="118" spans="1:11" x14ac:dyDescent="0.3">
      <c r="A118" s="354">
        <f t="shared" si="34"/>
        <v>0.85416666666666652</v>
      </c>
      <c r="B118" s="203" t="str">
        <f t="shared" si="36"/>
        <v>Dodgeball Tournament in JCC Back Field 2</v>
      </c>
      <c r="C118" s="203" t="str">
        <f t="shared" si="36"/>
        <v/>
      </c>
      <c r="D118" s="203" t="str">
        <f t="shared" si="36"/>
        <v/>
      </c>
      <c r="E118" s="203" t="str">
        <f t="shared" si="36"/>
        <v/>
      </c>
      <c r="F118" s="203" t="str">
        <f t="shared" si="36"/>
        <v/>
      </c>
      <c r="G118" s="203" t="str">
        <f t="shared" si="36"/>
        <v/>
      </c>
      <c r="H118" s="203" t="str">
        <f t="shared" si="36"/>
        <v/>
      </c>
      <c r="I118" s="203" t="str">
        <f t="shared" si="36"/>
        <v/>
      </c>
      <c r="J118" s="203" t="str">
        <f t="shared" si="36"/>
        <v/>
      </c>
      <c r="K118" s="203" t="str">
        <f t="shared" si="36"/>
        <v/>
      </c>
    </row>
    <row r="119" spans="1:11" x14ac:dyDescent="0.3">
      <c r="A119" s="354">
        <f t="shared" si="34"/>
        <v>0.88888888888888873</v>
      </c>
      <c r="B119" s="203" t="str">
        <f t="shared" si="36"/>
        <v>Dodgeball Tournament in JCC Back Field 1</v>
      </c>
      <c r="C119" s="203" t="str">
        <f t="shared" si="36"/>
        <v/>
      </c>
      <c r="D119" s="203" t="str">
        <f t="shared" si="36"/>
        <v/>
      </c>
      <c r="E119" s="203" t="str">
        <f t="shared" si="36"/>
        <v/>
      </c>
      <c r="F119" s="203" t="str">
        <f t="shared" si="36"/>
        <v/>
      </c>
      <c r="G119" s="203" t="str">
        <f t="shared" si="36"/>
        <v/>
      </c>
      <c r="H119" s="203" t="str">
        <f t="shared" si="36"/>
        <v/>
      </c>
      <c r="I119" s="203" t="str">
        <f t="shared" si="36"/>
        <v/>
      </c>
      <c r="J119" s="203" t="str">
        <f t="shared" si="36"/>
        <v/>
      </c>
      <c r="K119" s="203" t="str">
        <f t="shared" si="36"/>
        <v/>
      </c>
    </row>
    <row r="120" spans="1:11" x14ac:dyDescent="0.3">
      <c r="A120" s="354">
        <f t="shared" si="34"/>
        <v>0.92361111111111094</v>
      </c>
      <c r="B120" s="203" t="str">
        <f t="shared" si="36"/>
        <v/>
      </c>
      <c r="C120" s="203" t="str">
        <f t="shared" si="36"/>
        <v/>
      </c>
      <c r="D120" s="203" t="str">
        <f t="shared" si="36"/>
        <v/>
      </c>
      <c r="E120" s="203" t="str">
        <f t="shared" si="36"/>
        <v/>
      </c>
      <c r="F120" s="203" t="str">
        <f t="shared" si="36"/>
        <v/>
      </c>
      <c r="G120" s="203" t="str">
        <f t="shared" si="36"/>
        <v/>
      </c>
      <c r="H120" s="203" t="str">
        <f t="shared" si="36"/>
        <v/>
      </c>
      <c r="I120" s="203" t="str">
        <f t="shared" si="36"/>
        <v/>
      </c>
      <c r="J120" s="203" t="str">
        <f t="shared" si="36"/>
        <v/>
      </c>
      <c r="K120" s="203" t="str">
        <f t="shared" si="36"/>
        <v/>
      </c>
    </row>
    <row r="121" spans="1:11" x14ac:dyDescent="0.3">
      <c r="A121" s="354">
        <f t="shared" si="34"/>
        <v>0.95833333333333315</v>
      </c>
      <c r="B121" s="203" t="str">
        <f t="shared" si="36"/>
        <v/>
      </c>
      <c r="C121" s="203" t="str">
        <f t="shared" si="36"/>
        <v/>
      </c>
      <c r="D121" s="203" t="str">
        <f t="shared" si="36"/>
        <v/>
      </c>
      <c r="E121" s="203" t="str">
        <f t="shared" si="36"/>
        <v/>
      </c>
      <c r="F121" s="203" t="str">
        <f t="shared" si="36"/>
        <v/>
      </c>
      <c r="G121" s="203" t="str">
        <f t="shared" si="36"/>
        <v/>
      </c>
      <c r="H121" s="203" t="str">
        <f t="shared" si="36"/>
        <v/>
      </c>
      <c r="I121" s="203" t="str">
        <f t="shared" si="36"/>
        <v/>
      </c>
      <c r="J121" s="203" t="str">
        <f t="shared" si="36"/>
        <v/>
      </c>
      <c r="K121" s="203" t="str">
        <f t="shared" si="36"/>
        <v/>
      </c>
    </row>
    <row r="122" spans="1:11" x14ac:dyDescent="0.3">
      <c r="A122" s="354">
        <f t="shared" si="34"/>
        <v>0.99305555555555536</v>
      </c>
      <c r="B122" s="203" t="str">
        <f t="shared" si="36"/>
        <v/>
      </c>
      <c r="C122" s="203" t="str">
        <f t="shared" si="36"/>
        <v/>
      </c>
      <c r="D122" s="203" t="str">
        <f t="shared" si="36"/>
        <v/>
      </c>
      <c r="E122" s="203" t="str">
        <f t="shared" si="36"/>
        <v/>
      </c>
      <c r="F122" s="203" t="str">
        <f t="shared" si="36"/>
        <v/>
      </c>
      <c r="G122" s="203" t="str">
        <f t="shared" si="36"/>
        <v/>
      </c>
      <c r="H122" s="203" t="str">
        <f t="shared" si="36"/>
        <v/>
      </c>
      <c r="I122" s="203" t="str">
        <f t="shared" si="36"/>
        <v/>
      </c>
      <c r="J122" s="203" t="str">
        <f t="shared" si="36"/>
        <v/>
      </c>
      <c r="K122" s="203" t="str">
        <f t="shared" si="36"/>
        <v/>
      </c>
    </row>
    <row r="124" spans="1:11" x14ac:dyDescent="0.3">
      <c r="A124" s="112" t="s">
        <v>371</v>
      </c>
    </row>
    <row r="125" spans="1:11" x14ac:dyDescent="0.3">
      <c r="A125" s="354"/>
      <c r="B125" s="203" t="s">
        <v>338</v>
      </c>
      <c r="C125" s="203" t="s">
        <v>338</v>
      </c>
      <c r="D125" s="203" t="str">
        <f>B1</f>
        <v>CHILD EM - MEX 1</v>
      </c>
      <c r="E125" s="203"/>
      <c r="F125" s="203"/>
      <c r="G125" s="203"/>
      <c r="H125" s="203"/>
      <c r="I125" s="203"/>
      <c r="J125" s="203"/>
      <c r="K125" s="203"/>
    </row>
    <row r="126" spans="1:11" x14ac:dyDescent="0.3">
      <c r="A126" s="354"/>
      <c r="B126" s="204">
        <f t="shared" ref="B126:K126" si="37">B7</f>
        <v>43055</v>
      </c>
      <c r="C126" s="204">
        <f t="shared" si="37"/>
        <v>43057</v>
      </c>
      <c r="D126" s="204">
        <f t="shared" si="37"/>
        <v>43058</v>
      </c>
      <c r="E126" s="204">
        <f t="shared" si="37"/>
        <v>43059</v>
      </c>
      <c r="F126" s="204">
        <f t="shared" si="37"/>
        <v>43060</v>
      </c>
      <c r="G126" s="204">
        <f t="shared" si="37"/>
        <v>43061</v>
      </c>
      <c r="H126" s="204">
        <f t="shared" si="37"/>
        <v>43062</v>
      </c>
      <c r="I126" s="204">
        <f t="shared" si="37"/>
        <v>43063</v>
      </c>
      <c r="J126" s="204">
        <f t="shared" si="37"/>
        <v>43064</v>
      </c>
      <c r="K126" s="204">
        <f t="shared" si="37"/>
        <v>43065</v>
      </c>
    </row>
    <row r="127" spans="1:11" x14ac:dyDescent="0.3">
      <c r="A127" s="354"/>
      <c r="B127" s="205" t="s">
        <v>369</v>
      </c>
      <c r="C127" s="205" t="s">
        <v>339</v>
      </c>
      <c r="D127" s="205" t="s">
        <v>340</v>
      </c>
      <c r="E127" s="205" t="s">
        <v>341</v>
      </c>
      <c r="F127" s="205" t="s">
        <v>342</v>
      </c>
      <c r="G127" s="205" t="s">
        <v>343</v>
      </c>
      <c r="H127" s="205" t="s">
        <v>344</v>
      </c>
      <c r="I127" s="205" t="s">
        <v>345</v>
      </c>
      <c r="J127" s="205" t="s">
        <v>346</v>
      </c>
      <c r="K127" s="205" t="s">
        <v>347</v>
      </c>
    </row>
    <row r="128" spans="1:11" x14ac:dyDescent="0.3">
      <c r="A128" s="354"/>
      <c r="B128" s="203"/>
      <c r="C128" s="203"/>
      <c r="D128" s="203"/>
      <c r="E128" s="203"/>
      <c r="F128" s="203"/>
      <c r="G128" s="203"/>
      <c r="H128" s="203"/>
      <c r="I128" s="203"/>
      <c r="J128" s="203"/>
      <c r="K128" s="203"/>
    </row>
    <row r="129" spans="1:11" x14ac:dyDescent="0.3">
      <c r="A129" s="354">
        <f t="shared" ref="A129:A148" si="38">A9</f>
        <v>0.33333333333333331</v>
      </c>
      <c r="B129" s="203" t="str">
        <f>B156</f>
        <v/>
      </c>
      <c r="C129" s="203" t="str">
        <f>C156</f>
        <v/>
      </c>
      <c r="D129" s="203" t="str">
        <f t="shared" ref="D129:K129" si="39">D156</f>
        <v/>
      </c>
      <c r="E129" s="203" t="str">
        <f t="shared" si="39"/>
        <v/>
      </c>
      <c r="F129" s="203" t="str">
        <f t="shared" si="39"/>
        <v/>
      </c>
      <c r="G129" s="203" t="str">
        <f t="shared" si="39"/>
        <v/>
      </c>
      <c r="H129" s="203" t="str">
        <f t="shared" si="39"/>
        <v/>
      </c>
      <c r="I129" s="203" t="str">
        <f t="shared" si="39"/>
        <v/>
      </c>
      <c r="J129" s="203" t="str">
        <f t="shared" si="39"/>
        <v/>
      </c>
      <c r="K129" s="203" t="str">
        <f t="shared" si="39"/>
        <v/>
      </c>
    </row>
    <row r="130" spans="1:11" x14ac:dyDescent="0.3">
      <c r="A130" s="354">
        <f t="shared" si="38"/>
        <v>0.36805555555555552</v>
      </c>
      <c r="B130" s="203" t="str">
        <f t="shared" ref="B130:B147" si="40">B157</f>
        <v/>
      </c>
      <c r="C130" s="203" t="str">
        <f t="shared" ref="C130:K147" si="41">C157</f>
        <v/>
      </c>
      <c r="D130" s="203" t="str">
        <f t="shared" si="41"/>
        <v/>
      </c>
      <c r="E130" s="203" t="str">
        <f t="shared" si="41"/>
        <v/>
      </c>
      <c r="F130" s="203" t="str">
        <f t="shared" si="41"/>
        <v/>
      </c>
      <c r="G130" s="203" t="str">
        <f t="shared" si="41"/>
        <v/>
      </c>
      <c r="H130" s="203" t="str">
        <f t="shared" si="41"/>
        <v/>
      </c>
      <c r="I130" s="203" t="str">
        <f t="shared" si="41"/>
        <v/>
      </c>
      <c r="J130" s="203" t="str">
        <f t="shared" si="41"/>
        <v/>
      </c>
      <c r="K130" s="203" t="str">
        <f t="shared" si="41"/>
        <v/>
      </c>
    </row>
    <row r="131" spans="1:11" x14ac:dyDescent="0.3">
      <c r="A131" s="354">
        <f t="shared" si="38"/>
        <v>0.40277777777777773</v>
      </c>
      <c r="B131" s="203" t="str">
        <f t="shared" si="40"/>
        <v/>
      </c>
      <c r="C131" s="203" t="str">
        <f t="shared" si="41"/>
        <v/>
      </c>
      <c r="D131" s="203" t="str">
        <f t="shared" si="41"/>
        <v/>
      </c>
      <c r="E131" s="203" t="str">
        <f t="shared" si="41"/>
        <v/>
      </c>
      <c r="F131" s="203" t="str">
        <f t="shared" si="41"/>
        <v/>
      </c>
      <c r="G131" s="203" t="str">
        <f t="shared" si="41"/>
        <v/>
      </c>
      <c r="H131" s="203" t="str">
        <f t="shared" si="41"/>
        <v/>
      </c>
      <c r="I131" s="203" t="str">
        <f t="shared" si="41"/>
        <v/>
      </c>
      <c r="J131" s="203" t="str">
        <f t="shared" si="41"/>
        <v/>
      </c>
      <c r="K131" s="203" t="str">
        <f t="shared" si="41"/>
        <v/>
      </c>
    </row>
    <row r="132" spans="1:11" x14ac:dyDescent="0.3">
      <c r="A132" s="354">
        <f t="shared" si="38"/>
        <v>0.43749999999999994</v>
      </c>
      <c r="B132" s="203" t="str">
        <f t="shared" si="40"/>
        <v/>
      </c>
      <c r="C132" s="203" t="str">
        <f t="shared" si="41"/>
        <v/>
      </c>
      <c r="D132" s="203" t="str">
        <f t="shared" si="41"/>
        <v>[Chess Tournament in Senior Lounge]</v>
      </c>
      <c r="E132" s="203" t="str">
        <f t="shared" si="41"/>
        <v/>
      </c>
      <c r="F132" s="203" t="str">
        <f t="shared" si="41"/>
        <v/>
      </c>
      <c r="G132" s="203" t="str">
        <f t="shared" si="41"/>
        <v/>
      </c>
      <c r="H132" s="203" t="str">
        <f t="shared" si="41"/>
        <v>[Chess Tournament in Senior Lounge]</v>
      </c>
      <c r="I132" s="203" t="str">
        <f t="shared" si="41"/>
        <v>[Chess Tournament in Senior Lounge]</v>
      </c>
      <c r="J132" s="203" t="str">
        <f t="shared" si="41"/>
        <v/>
      </c>
      <c r="K132" s="203" t="str">
        <f t="shared" si="41"/>
        <v/>
      </c>
    </row>
    <row r="133" spans="1:11" x14ac:dyDescent="0.3">
      <c r="A133" s="354">
        <f t="shared" si="38"/>
        <v>0.47222222222222215</v>
      </c>
      <c r="B133" s="203" t="str">
        <f t="shared" si="40"/>
        <v/>
      </c>
      <c r="C133" s="203" t="str">
        <f t="shared" si="41"/>
        <v/>
      </c>
      <c r="D133" s="203" t="str">
        <f t="shared" si="41"/>
        <v/>
      </c>
      <c r="E133" s="203" t="str">
        <f t="shared" si="41"/>
        <v/>
      </c>
      <c r="F133" s="203" t="str">
        <f t="shared" si="41"/>
        <v/>
      </c>
      <c r="G133" s="203" t="str">
        <f t="shared" si="41"/>
        <v/>
      </c>
      <c r="H133" s="203" t="str">
        <f t="shared" si="41"/>
        <v/>
      </c>
      <c r="I133" s="203" t="str">
        <f t="shared" si="41"/>
        <v/>
      </c>
      <c r="J133" s="203" t="str">
        <f t="shared" si="41"/>
        <v/>
      </c>
      <c r="K133" s="203" t="str">
        <f t="shared" si="41"/>
        <v/>
      </c>
    </row>
    <row r="134" spans="1:11" x14ac:dyDescent="0.3">
      <c r="A134" s="354">
        <f t="shared" si="38"/>
        <v>0.50694444444444442</v>
      </c>
      <c r="B134" s="203" t="str">
        <f t="shared" si="40"/>
        <v/>
      </c>
      <c r="C134" s="203" t="str">
        <f t="shared" si="41"/>
        <v/>
      </c>
      <c r="D134" s="203" t="str">
        <f t="shared" si="41"/>
        <v>[Water Polo Exhibition Game in JCC Swimming Pool]</v>
      </c>
      <c r="E134" s="203" t="str">
        <f t="shared" si="41"/>
        <v/>
      </c>
      <c r="F134" s="203" t="str">
        <f t="shared" si="41"/>
        <v/>
      </c>
      <c r="G134" s="203" t="str">
        <f t="shared" si="41"/>
        <v/>
      </c>
      <c r="H134" s="203" t="str">
        <f t="shared" si="41"/>
        <v/>
      </c>
      <c r="I134" s="203" t="str">
        <f t="shared" si="41"/>
        <v/>
      </c>
      <c r="J134" s="203" t="str">
        <f t="shared" si="41"/>
        <v/>
      </c>
      <c r="K134" s="203" t="str">
        <f t="shared" si="41"/>
        <v/>
      </c>
    </row>
    <row r="135" spans="1:11" x14ac:dyDescent="0.3">
      <c r="A135" s="354">
        <f t="shared" si="38"/>
        <v>0.54166666666666663</v>
      </c>
      <c r="B135" s="203" t="str">
        <f t="shared" si="40"/>
        <v/>
      </c>
      <c r="C135" s="203" t="str">
        <f t="shared" si="41"/>
        <v/>
      </c>
      <c r="D135" s="203" t="str">
        <f t="shared" si="41"/>
        <v/>
      </c>
      <c r="E135" s="203" t="str">
        <f t="shared" si="41"/>
        <v/>
      </c>
      <c r="F135" s="203" t="str">
        <f t="shared" si="41"/>
        <v/>
      </c>
      <c r="G135" s="203" t="str">
        <f t="shared" si="41"/>
        <v/>
      </c>
      <c r="H135" s="203" t="str">
        <f t="shared" si="41"/>
        <v/>
      </c>
      <c r="I135" s="203" t="str">
        <f t="shared" si="41"/>
        <v/>
      </c>
      <c r="J135" s="203" t="str">
        <f t="shared" si="41"/>
        <v/>
      </c>
      <c r="K135" s="203" t="str">
        <f t="shared" si="41"/>
        <v/>
      </c>
    </row>
    <row r="136" spans="1:11" x14ac:dyDescent="0.3">
      <c r="A136" s="354">
        <f t="shared" si="38"/>
        <v>0.57638888888888884</v>
      </c>
      <c r="B136" s="203" t="str">
        <f t="shared" si="40"/>
        <v/>
      </c>
      <c r="C136" s="203" t="str">
        <f t="shared" si="41"/>
        <v/>
      </c>
      <c r="D136" s="203" t="str">
        <f t="shared" si="41"/>
        <v>[Tennis in Tennis Courts][Tennis in Tennis Courts]</v>
      </c>
      <c r="E136" s="203" t="str">
        <f t="shared" si="41"/>
        <v/>
      </c>
      <c r="F136" s="203" t="str">
        <f t="shared" si="41"/>
        <v/>
      </c>
      <c r="G136" s="203" t="str">
        <f t="shared" si="41"/>
        <v/>
      </c>
      <c r="H136" s="203" t="str">
        <f t="shared" si="41"/>
        <v/>
      </c>
      <c r="I136" s="203" t="str">
        <f t="shared" si="41"/>
        <v>[Track and Field in Bommarito Strip on JCC Field]</v>
      </c>
      <c r="J136" s="203" t="str">
        <f t="shared" si="41"/>
        <v/>
      </c>
      <c r="K136" s="203" t="str">
        <f t="shared" si="41"/>
        <v/>
      </c>
    </row>
    <row r="137" spans="1:11" x14ac:dyDescent="0.3">
      <c r="A137" s="354">
        <f t="shared" si="38"/>
        <v>0.61111111111111105</v>
      </c>
      <c r="B137" s="203" t="str">
        <f t="shared" si="40"/>
        <v/>
      </c>
      <c r="C137" s="203" t="str">
        <f t="shared" si="41"/>
        <v/>
      </c>
      <c r="D137" s="203" t="str">
        <f t="shared" si="41"/>
        <v/>
      </c>
      <c r="E137" s="203" t="str">
        <f t="shared" si="41"/>
        <v/>
      </c>
      <c r="F137" s="203" t="str">
        <f t="shared" si="41"/>
        <v/>
      </c>
      <c r="G137" s="203" t="str">
        <f t="shared" si="41"/>
        <v/>
      </c>
      <c r="H137" s="203" t="str">
        <f t="shared" si="41"/>
        <v/>
      </c>
      <c r="I137" s="203" t="str">
        <f t="shared" si="41"/>
        <v/>
      </c>
      <c r="J137" s="203" t="str">
        <f t="shared" si="41"/>
        <v/>
      </c>
      <c r="K137" s="203" t="str">
        <f t="shared" si="41"/>
        <v/>
      </c>
    </row>
    <row r="138" spans="1:11" x14ac:dyDescent="0.3">
      <c r="A138" s="354">
        <f t="shared" si="38"/>
        <v>0.64583333333333326</v>
      </c>
      <c r="B138" s="203" t="str">
        <f t="shared" si="40"/>
        <v/>
      </c>
      <c r="C138" s="203" t="str">
        <f t="shared" si="41"/>
        <v/>
      </c>
      <c r="D138" s="203" t="str">
        <f t="shared" si="41"/>
        <v/>
      </c>
      <c r="E138" s="203" t="str">
        <f t="shared" si="41"/>
        <v/>
      </c>
      <c r="F138" s="203" t="str">
        <f t="shared" si="41"/>
        <v/>
      </c>
      <c r="G138" s="203" t="str">
        <f t="shared" si="41"/>
        <v/>
      </c>
      <c r="H138" s="203" t="str">
        <f t="shared" si="41"/>
        <v/>
      </c>
      <c r="I138" s="203" t="str">
        <f t="shared" si="41"/>
        <v/>
      </c>
      <c r="J138" s="203" t="str">
        <f t="shared" si="41"/>
        <v/>
      </c>
      <c r="K138" s="203" t="str">
        <f t="shared" si="41"/>
        <v/>
      </c>
    </row>
    <row r="139" spans="1:11" x14ac:dyDescent="0.3">
      <c r="A139" s="354">
        <f t="shared" si="38"/>
        <v>0.68055555555555547</v>
      </c>
      <c r="B139" s="203" t="str">
        <f t="shared" si="40"/>
        <v/>
      </c>
      <c r="C139" s="203" t="str">
        <f t="shared" si="41"/>
        <v/>
      </c>
      <c r="D139" s="203" t="str">
        <f t="shared" si="41"/>
        <v/>
      </c>
      <c r="E139" s="203" t="str">
        <f t="shared" si="41"/>
        <v/>
      </c>
      <c r="F139" s="203" t="str">
        <f t="shared" si="41"/>
        <v/>
      </c>
      <c r="G139" s="203" t="str">
        <f t="shared" si="41"/>
        <v/>
      </c>
      <c r="H139" s="203" t="str">
        <f t="shared" si="41"/>
        <v/>
      </c>
      <c r="I139" s="203" t="str">
        <f t="shared" si="41"/>
        <v/>
      </c>
      <c r="J139" s="203" t="str">
        <f t="shared" si="41"/>
        <v/>
      </c>
      <c r="K139" s="203" t="str">
        <f t="shared" si="41"/>
        <v/>
      </c>
    </row>
    <row r="140" spans="1:11" x14ac:dyDescent="0.3">
      <c r="A140" s="354">
        <f t="shared" si="38"/>
        <v>0.71527777777777768</v>
      </c>
      <c r="B140" s="203" t="str">
        <f t="shared" si="40"/>
        <v/>
      </c>
      <c r="C140" s="203" t="str">
        <f t="shared" si="41"/>
        <v/>
      </c>
      <c r="D140" s="203" t="str">
        <f t="shared" si="41"/>
        <v/>
      </c>
      <c r="E140" s="203" t="str">
        <f t="shared" si="41"/>
        <v/>
      </c>
      <c r="F140" s="203" t="str">
        <f t="shared" si="41"/>
        <v/>
      </c>
      <c r="G140" s="203" t="str">
        <f t="shared" si="41"/>
        <v/>
      </c>
      <c r="H140" s="203" t="str">
        <f t="shared" si="41"/>
        <v/>
      </c>
      <c r="I140" s="203" t="str">
        <f t="shared" si="41"/>
        <v/>
      </c>
      <c r="J140" s="203" t="str">
        <f t="shared" si="41"/>
        <v/>
      </c>
      <c r="K140" s="203" t="str">
        <f t="shared" si="41"/>
        <v/>
      </c>
    </row>
    <row r="141" spans="1:11" x14ac:dyDescent="0.3">
      <c r="A141" s="354">
        <f t="shared" si="38"/>
        <v>0.74999999999999989</v>
      </c>
      <c r="B141" s="203" t="str">
        <f t="shared" si="40"/>
        <v/>
      </c>
      <c r="C141" s="203" t="str">
        <f t="shared" si="41"/>
        <v/>
      </c>
      <c r="D141" s="203" t="str">
        <f t="shared" si="41"/>
        <v/>
      </c>
      <c r="E141" s="203" t="str">
        <f t="shared" si="41"/>
        <v/>
      </c>
      <c r="F141" s="203" t="str">
        <f t="shared" si="41"/>
        <v/>
      </c>
      <c r="G141" s="203" t="str">
        <f t="shared" si="41"/>
        <v/>
      </c>
      <c r="H141" s="203" t="str">
        <f t="shared" si="41"/>
        <v/>
      </c>
      <c r="I141" s="203" t="str">
        <f t="shared" si="41"/>
        <v/>
      </c>
      <c r="J141" s="203" t="str">
        <f t="shared" si="41"/>
        <v/>
      </c>
      <c r="K141" s="203" t="str">
        <f t="shared" si="41"/>
        <v/>
      </c>
    </row>
    <row r="142" spans="1:11" x14ac:dyDescent="0.3">
      <c r="A142" s="354">
        <f t="shared" si="38"/>
        <v>0.7847222222222221</v>
      </c>
      <c r="B142" s="203" t="str">
        <f t="shared" si="40"/>
        <v/>
      </c>
      <c r="C142" s="203" t="str">
        <f t="shared" si="41"/>
        <v/>
      </c>
      <c r="D142" s="203" t="str">
        <f t="shared" si="41"/>
        <v/>
      </c>
      <c r="E142" s="203" t="str">
        <f t="shared" si="41"/>
        <v>[Swimming in Pool]</v>
      </c>
      <c r="F142" s="203" t="str">
        <f t="shared" si="41"/>
        <v/>
      </c>
      <c r="G142" s="203" t="str">
        <f t="shared" si="41"/>
        <v>[Off the wall  in TBA]</v>
      </c>
      <c r="H142" s="203" t="str">
        <f t="shared" si="41"/>
        <v/>
      </c>
      <c r="I142" s="203" t="str">
        <f t="shared" si="41"/>
        <v/>
      </c>
      <c r="J142" s="203" t="str">
        <f t="shared" si="41"/>
        <v/>
      </c>
      <c r="K142" s="203" t="str">
        <f t="shared" si="41"/>
        <v/>
      </c>
    </row>
    <row r="143" spans="1:11" x14ac:dyDescent="0.3">
      <c r="A143" s="354">
        <f t="shared" si="38"/>
        <v>0.81944444444444431</v>
      </c>
      <c r="B143" s="203" t="str">
        <f t="shared" si="40"/>
        <v/>
      </c>
      <c r="C143" s="203" t="str">
        <f t="shared" si="41"/>
        <v/>
      </c>
      <c r="D143" s="203" t="str">
        <f t="shared" si="41"/>
        <v/>
      </c>
      <c r="E143" s="203" t="str">
        <f t="shared" si="41"/>
        <v/>
      </c>
      <c r="F143" s="203" t="str">
        <f t="shared" si="41"/>
        <v/>
      </c>
      <c r="G143" s="203" t="str">
        <f t="shared" si="41"/>
        <v/>
      </c>
      <c r="H143" s="203" t="str">
        <f t="shared" si="41"/>
        <v/>
      </c>
      <c r="I143" s="203" t="str">
        <f t="shared" si="41"/>
        <v/>
      </c>
      <c r="J143" s="203" t="str">
        <f t="shared" si="41"/>
        <v/>
      </c>
      <c r="K143" s="203" t="str">
        <f t="shared" si="41"/>
        <v/>
      </c>
    </row>
    <row r="144" spans="1:11" x14ac:dyDescent="0.3">
      <c r="A144" s="354">
        <f t="shared" si="38"/>
        <v>0.85416666666666652</v>
      </c>
      <c r="B144" s="203" t="str">
        <f t="shared" si="40"/>
        <v/>
      </c>
      <c r="C144" s="203" t="str">
        <f t="shared" si="41"/>
        <v/>
      </c>
      <c r="D144" s="203" t="str">
        <f t="shared" si="41"/>
        <v/>
      </c>
      <c r="E144" s="203" t="str">
        <f t="shared" si="41"/>
        <v/>
      </c>
      <c r="F144" s="203" t="str">
        <f t="shared" si="41"/>
        <v/>
      </c>
      <c r="G144" s="203" t="str">
        <f t="shared" si="41"/>
        <v/>
      </c>
      <c r="H144" s="203" t="str">
        <f t="shared" si="41"/>
        <v/>
      </c>
      <c r="I144" s="203" t="str">
        <f t="shared" si="41"/>
        <v/>
      </c>
      <c r="J144" s="203" t="str">
        <f t="shared" si="41"/>
        <v/>
      </c>
      <c r="K144" s="203" t="str">
        <f t="shared" si="41"/>
        <v/>
      </c>
    </row>
    <row r="145" spans="1:11" x14ac:dyDescent="0.3">
      <c r="A145" s="354">
        <f t="shared" si="38"/>
        <v>0.88888888888888873</v>
      </c>
      <c r="B145" s="203" t="str">
        <f t="shared" si="40"/>
        <v/>
      </c>
      <c r="C145" s="203" t="str">
        <f t="shared" si="41"/>
        <v/>
      </c>
      <c r="D145" s="203" t="str">
        <f t="shared" si="41"/>
        <v/>
      </c>
      <c r="E145" s="203" t="str">
        <f t="shared" si="41"/>
        <v/>
      </c>
      <c r="F145" s="203" t="str">
        <f t="shared" si="41"/>
        <v/>
      </c>
      <c r="G145" s="203" t="str">
        <f t="shared" si="41"/>
        <v/>
      </c>
      <c r="H145" s="203" t="str">
        <f t="shared" si="41"/>
        <v/>
      </c>
      <c r="I145" s="203" t="str">
        <f t="shared" si="41"/>
        <v/>
      </c>
      <c r="J145" s="203" t="str">
        <f t="shared" si="41"/>
        <v/>
      </c>
      <c r="K145" s="203" t="str">
        <f t="shared" si="41"/>
        <v/>
      </c>
    </row>
    <row r="146" spans="1:11" x14ac:dyDescent="0.3">
      <c r="A146" s="354">
        <f t="shared" si="38"/>
        <v>0.92361111111111094</v>
      </c>
      <c r="B146" s="203" t="str">
        <f t="shared" si="40"/>
        <v/>
      </c>
      <c r="C146" s="203" t="str">
        <f t="shared" si="41"/>
        <v/>
      </c>
      <c r="D146" s="203" t="str">
        <f t="shared" si="41"/>
        <v/>
      </c>
      <c r="E146" s="203" t="str">
        <f t="shared" si="41"/>
        <v/>
      </c>
      <c r="F146" s="203" t="str">
        <f t="shared" si="41"/>
        <v/>
      </c>
      <c r="G146" s="203" t="str">
        <f t="shared" si="41"/>
        <v/>
      </c>
      <c r="H146" s="203" t="str">
        <f t="shared" si="41"/>
        <v/>
      </c>
      <c r="I146" s="203" t="str">
        <f t="shared" si="41"/>
        <v/>
      </c>
      <c r="J146" s="203" t="str">
        <f t="shared" si="41"/>
        <v/>
      </c>
      <c r="K146" s="203" t="str">
        <f t="shared" si="41"/>
        <v/>
      </c>
    </row>
    <row r="147" spans="1:11" x14ac:dyDescent="0.3">
      <c r="A147" s="354">
        <f t="shared" si="38"/>
        <v>0.95833333333333315</v>
      </c>
      <c r="B147" s="203" t="str">
        <f t="shared" si="40"/>
        <v/>
      </c>
      <c r="C147" s="203" t="str">
        <f t="shared" si="41"/>
        <v/>
      </c>
      <c r="D147" s="203" t="str">
        <f t="shared" si="41"/>
        <v/>
      </c>
      <c r="E147" s="203" t="str">
        <f t="shared" si="41"/>
        <v/>
      </c>
      <c r="F147" s="203" t="str">
        <f t="shared" si="41"/>
        <v/>
      </c>
      <c r="G147" s="203" t="str">
        <f t="shared" si="41"/>
        <v/>
      </c>
      <c r="H147" s="203" t="str">
        <f t="shared" si="41"/>
        <v/>
      </c>
      <c r="I147" s="203" t="str">
        <f t="shared" si="41"/>
        <v/>
      </c>
      <c r="J147" s="203" t="str">
        <f t="shared" si="41"/>
        <v/>
      </c>
      <c r="K147" s="203" t="str">
        <f t="shared" si="41"/>
        <v/>
      </c>
    </row>
    <row r="148" spans="1:11" x14ac:dyDescent="0.3">
      <c r="A148" s="354">
        <f t="shared" si="38"/>
        <v>0.99305555555555536</v>
      </c>
      <c r="B148" s="203">
        <f t="shared" ref="B148:K148" si="42">C175</f>
        <v>0</v>
      </c>
      <c r="C148" s="203" t="str">
        <f t="shared" si="42"/>
        <v/>
      </c>
      <c r="D148" s="203" t="str">
        <f t="shared" si="42"/>
        <v/>
      </c>
      <c r="E148" s="203" t="str">
        <f t="shared" si="42"/>
        <v/>
      </c>
      <c r="F148" s="203" t="str">
        <f t="shared" si="42"/>
        <v/>
      </c>
      <c r="G148" s="203" t="str">
        <f t="shared" si="42"/>
        <v/>
      </c>
      <c r="H148" s="203" t="str">
        <f t="shared" si="42"/>
        <v/>
      </c>
      <c r="I148" s="203" t="str">
        <f t="shared" si="42"/>
        <v/>
      </c>
      <c r="J148" s="203" t="str">
        <f t="shared" si="42"/>
        <v/>
      </c>
      <c r="K148" s="203" t="str">
        <f t="shared" si="42"/>
        <v/>
      </c>
    </row>
    <row r="151" spans="1:11" x14ac:dyDescent="0.3">
      <c r="A151" s="112" t="s">
        <v>372</v>
      </c>
    </row>
    <row r="152" spans="1:11" x14ac:dyDescent="0.3">
      <c r="A152" s="354"/>
      <c r="B152" s="203" t="s">
        <v>338</v>
      </c>
      <c r="C152" s="203" t="s">
        <v>338</v>
      </c>
      <c r="D152" s="203" t="str">
        <f>C28</f>
        <v/>
      </c>
      <c r="E152" s="203"/>
      <c r="F152" s="203"/>
      <c r="G152" s="203"/>
      <c r="H152" s="203"/>
      <c r="I152" s="203"/>
      <c r="J152" s="203"/>
      <c r="K152" s="203"/>
    </row>
    <row r="153" spans="1:11" x14ac:dyDescent="0.3">
      <c r="A153" s="354"/>
      <c r="B153" s="204">
        <f t="shared" ref="B153:K153" si="43">B7</f>
        <v>43055</v>
      </c>
      <c r="C153" s="204">
        <f t="shared" si="43"/>
        <v>43057</v>
      </c>
      <c r="D153" s="204">
        <f t="shared" si="43"/>
        <v>43058</v>
      </c>
      <c r="E153" s="204">
        <f t="shared" si="43"/>
        <v>43059</v>
      </c>
      <c r="F153" s="204">
        <f t="shared" si="43"/>
        <v>43060</v>
      </c>
      <c r="G153" s="204">
        <f t="shared" si="43"/>
        <v>43061</v>
      </c>
      <c r="H153" s="204">
        <f t="shared" si="43"/>
        <v>43062</v>
      </c>
      <c r="I153" s="204">
        <f t="shared" si="43"/>
        <v>43063</v>
      </c>
      <c r="J153" s="204">
        <f t="shared" si="43"/>
        <v>43064</v>
      </c>
      <c r="K153" s="204">
        <f t="shared" si="43"/>
        <v>43065</v>
      </c>
    </row>
    <row r="154" spans="1:11" x14ac:dyDescent="0.3">
      <c r="A154" s="354"/>
      <c r="B154" s="205" t="s">
        <v>369</v>
      </c>
      <c r="C154" s="205" t="s">
        <v>339</v>
      </c>
      <c r="D154" s="205" t="s">
        <v>340</v>
      </c>
      <c r="E154" s="205" t="s">
        <v>341</v>
      </c>
      <c r="F154" s="205" t="s">
        <v>342</v>
      </c>
      <c r="G154" s="205" t="s">
        <v>343</v>
      </c>
      <c r="H154" s="205" t="s">
        <v>344</v>
      </c>
      <c r="I154" s="205" t="s">
        <v>345</v>
      </c>
      <c r="J154" s="205" t="s">
        <v>346</v>
      </c>
      <c r="K154" s="205" t="s">
        <v>347</v>
      </c>
    </row>
    <row r="155" spans="1:11" x14ac:dyDescent="0.3">
      <c r="A155" s="354"/>
      <c r="B155" s="203"/>
      <c r="C155" s="203"/>
      <c r="D155" s="203"/>
      <c r="E155" s="203"/>
      <c r="F155" s="203"/>
      <c r="G155" s="203"/>
      <c r="H155" s="203"/>
      <c r="I155" s="203"/>
      <c r="J155" s="203"/>
      <c r="K155" s="203"/>
    </row>
    <row r="156" spans="1:11" x14ac:dyDescent="0.3">
      <c r="A156" s="354">
        <f>A9</f>
        <v>0.33333333333333331</v>
      </c>
      <c r="B156" s="203" t="str">
        <f t="shared" ref="B156:K165" si="44">vlookup_multi((TEXT(B$7+$A156,"MM/DD/YYYY HH:MM")&amp;"-&gt;"&amp;$E$1),extra_schedule_search)</f>
        <v/>
      </c>
      <c r="C156" s="203" t="str">
        <f t="shared" si="44"/>
        <v/>
      </c>
      <c r="D156" s="203" t="str">
        <f t="shared" si="44"/>
        <v/>
      </c>
      <c r="E156" s="203" t="str">
        <f t="shared" si="44"/>
        <v/>
      </c>
      <c r="F156" s="203" t="str">
        <f t="shared" si="44"/>
        <v/>
      </c>
      <c r="G156" s="203" t="str">
        <f t="shared" si="44"/>
        <v/>
      </c>
      <c r="H156" s="203" t="str">
        <f t="shared" si="44"/>
        <v/>
      </c>
      <c r="I156" s="203" t="str">
        <f t="shared" si="44"/>
        <v/>
      </c>
      <c r="J156" s="203" t="str">
        <f t="shared" si="44"/>
        <v/>
      </c>
      <c r="K156" s="203" t="str">
        <f t="shared" si="44"/>
        <v/>
      </c>
    </row>
    <row r="157" spans="1:11" x14ac:dyDescent="0.3">
      <c r="A157" s="354">
        <f t="shared" ref="A157:A175" si="45">A10</f>
        <v>0.36805555555555552</v>
      </c>
      <c r="B157" s="203" t="str">
        <f t="shared" si="44"/>
        <v/>
      </c>
      <c r="C157" s="203" t="str">
        <f t="shared" si="44"/>
        <v/>
      </c>
      <c r="D157" s="203" t="str">
        <f t="shared" si="44"/>
        <v/>
      </c>
      <c r="E157" s="203" t="str">
        <f t="shared" si="44"/>
        <v/>
      </c>
      <c r="F157" s="203" t="str">
        <f t="shared" si="44"/>
        <v/>
      </c>
      <c r="G157" s="203" t="str">
        <f t="shared" si="44"/>
        <v/>
      </c>
      <c r="H157" s="203" t="str">
        <f t="shared" si="44"/>
        <v/>
      </c>
      <c r="I157" s="203" t="str">
        <f t="shared" si="44"/>
        <v/>
      </c>
      <c r="J157" s="203" t="str">
        <f t="shared" si="44"/>
        <v/>
      </c>
      <c r="K157" s="203" t="str">
        <f t="shared" si="44"/>
        <v/>
      </c>
    </row>
    <row r="158" spans="1:11" x14ac:dyDescent="0.3">
      <c r="A158" s="354">
        <f t="shared" si="45"/>
        <v>0.40277777777777773</v>
      </c>
      <c r="B158" s="203" t="str">
        <f t="shared" si="44"/>
        <v/>
      </c>
      <c r="C158" s="203" t="str">
        <f t="shared" si="44"/>
        <v/>
      </c>
      <c r="D158" s="203" t="str">
        <f t="shared" si="44"/>
        <v/>
      </c>
      <c r="E158" s="203" t="str">
        <f t="shared" si="44"/>
        <v/>
      </c>
      <c r="F158" s="203" t="str">
        <f t="shared" si="44"/>
        <v/>
      </c>
      <c r="G158" s="203" t="str">
        <f t="shared" si="44"/>
        <v/>
      </c>
      <c r="H158" s="203" t="str">
        <f t="shared" si="44"/>
        <v/>
      </c>
      <c r="I158" s="203" t="str">
        <f t="shared" si="44"/>
        <v/>
      </c>
      <c r="J158" s="203" t="str">
        <f t="shared" si="44"/>
        <v/>
      </c>
      <c r="K158" s="203" t="str">
        <f t="shared" si="44"/>
        <v/>
      </c>
    </row>
    <row r="159" spans="1:11" x14ac:dyDescent="0.3">
      <c r="A159" s="354">
        <f t="shared" si="45"/>
        <v>0.43749999999999994</v>
      </c>
      <c r="B159" s="203" t="str">
        <f t="shared" si="44"/>
        <v/>
      </c>
      <c r="C159" s="203" t="str">
        <f t="shared" si="44"/>
        <v/>
      </c>
      <c r="D159" s="203" t="str">
        <f t="shared" si="44"/>
        <v>[Chess Tournament in Senior Lounge]</v>
      </c>
      <c r="E159" s="203" t="str">
        <f t="shared" si="44"/>
        <v/>
      </c>
      <c r="F159" s="203" t="str">
        <f t="shared" si="44"/>
        <v/>
      </c>
      <c r="G159" s="203" t="str">
        <f t="shared" si="44"/>
        <v/>
      </c>
      <c r="H159" s="203" t="str">
        <f t="shared" si="44"/>
        <v>[Chess Tournament in Senior Lounge]</v>
      </c>
      <c r="I159" s="203" t="str">
        <f t="shared" si="44"/>
        <v>[Chess Tournament in Senior Lounge]</v>
      </c>
      <c r="J159" s="203" t="str">
        <f t="shared" si="44"/>
        <v/>
      </c>
      <c r="K159" s="203" t="str">
        <f t="shared" si="44"/>
        <v/>
      </c>
    </row>
    <row r="160" spans="1:11" x14ac:dyDescent="0.3">
      <c r="A160" s="354">
        <f t="shared" si="45"/>
        <v>0.47222222222222215</v>
      </c>
      <c r="B160" s="203" t="str">
        <f t="shared" si="44"/>
        <v/>
      </c>
      <c r="C160" s="203" t="str">
        <f t="shared" si="44"/>
        <v/>
      </c>
      <c r="D160" s="203" t="str">
        <f t="shared" si="44"/>
        <v/>
      </c>
      <c r="E160" s="203" t="str">
        <f t="shared" si="44"/>
        <v/>
      </c>
      <c r="F160" s="203" t="str">
        <f t="shared" si="44"/>
        <v/>
      </c>
      <c r="G160" s="203" t="str">
        <f t="shared" si="44"/>
        <v/>
      </c>
      <c r="H160" s="203" t="str">
        <f t="shared" si="44"/>
        <v/>
      </c>
      <c r="I160" s="203" t="str">
        <f t="shared" si="44"/>
        <v/>
      </c>
      <c r="J160" s="203" t="str">
        <f t="shared" si="44"/>
        <v/>
      </c>
      <c r="K160" s="203" t="str">
        <f t="shared" si="44"/>
        <v/>
      </c>
    </row>
    <row r="161" spans="1:12" x14ac:dyDescent="0.3">
      <c r="A161" s="354">
        <f t="shared" si="45"/>
        <v>0.50694444444444442</v>
      </c>
      <c r="B161" s="203" t="str">
        <f t="shared" si="44"/>
        <v/>
      </c>
      <c r="C161" s="203" t="str">
        <f t="shared" si="44"/>
        <v/>
      </c>
      <c r="D161" s="203" t="str">
        <f t="shared" si="44"/>
        <v>[Water Polo Exhibition Game in JCC Swimming Pool]</v>
      </c>
      <c r="E161" s="203" t="str">
        <f t="shared" si="44"/>
        <v/>
      </c>
      <c r="F161" s="203" t="str">
        <f t="shared" si="44"/>
        <v/>
      </c>
      <c r="G161" s="203" t="str">
        <f t="shared" si="44"/>
        <v/>
      </c>
      <c r="H161" s="203" t="str">
        <f t="shared" si="44"/>
        <v/>
      </c>
      <c r="I161" s="203" t="str">
        <f t="shared" si="44"/>
        <v/>
      </c>
      <c r="J161" s="203" t="str">
        <f t="shared" si="44"/>
        <v/>
      </c>
      <c r="K161" s="203" t="str">
        <f t="shared" si="44"/>
        <v/>
      </c>
    </row>
    <row r="162" spans="1:12" x14ac:dyDescent="0.3">
      <c r="A162" s="354">
        <f t="shared" si="45"/>
        <v>0.54166666666666663</v>
      </c>
      <c r="B162" s="203" t="str">
        <f t="shared" si="44"/>
        <v/>
      </c>
      <c r="C162" s="203" t="str">
        <f t="shared" si="44"/>
        <v/>
      </c>
      <c r="D162" s="203" t="str">
        <f t="shared" si="44"/>
        <v/>
      </c>
      <c r="E162" s="203" t="str">
        <f t="shared" si="44"/>
        <v/>
      </c>
      <c r="F162" s="203" t="str">
        <f t="shared" si="44"/>
        <v/>
      </c>
      <c r="G162" s="203" t="str">
        <f t="shared" si="44"/>
        <v/>
      </c>
      <c r="H162" s="203" t="str">
        <f t="shared" si="44"/>
        <v/>
      </c>
      <c r="I162" s="203" t="str">
        <f t="shared" si="44"/>
        <v/>
      </c>
      <c r="J162" s="203" t="str">
        <f t="shared" si="44"/>
        <v/>
      </c>
      <c r="K162" s="203" t="str">
        <f t="shared" si="44"/>
        <v/>
      </c>
    </row>
    <row r="163" spans="1:12" x14ac:dyDescent="0.3">
      <c r="A163" s="354">
        <f t="shared" si="45"/>
        <v>0.57638888888888884</v>
      </c>
      <c r="B163" s="203" t="str">
        <f t="shared" si="44"/>
        <v/>
      </c>
      <c r="C163" s="203" t="str">
        <f t="shared" si="44"/>
        <v/>
      </c>
      <c r="D163" s="203" t="str">
        <f t="shared" si="44"/>
        <v>[Tennis in Tennis Courts][Tennis in Tennis Courts]</v>
      </c>
      <c r="E163" s="203" t="str">
        <f t="shared" si="44"/>
        <v/>
      </c>
      <c r="F163" s="203" t="str">
        <f t="shared" si="44"/>
        <v/>
      </c>
      <c r="G163" s="203" t="str">
        <f t="shared" si="44"/>
        <v/>
      </c>
      <c r="H163" s="203" t="str">
        <f t="shared" si="44"/>
        <v/>
      </c>
      <c r="I163" s="203" t="str">
        <f t="shared" si="44"/>
        <v>[Track and Field in Bommarito Strip on JCC Field]</v>
      </c>
      <c r="J163" s="203" t="str">
        <f t="shared" si="44"/>
        <v/>
      </c>
      <c r="K163" s="203" t="str">
        <f t="shared" si="44"/>
        <v/>
      </c>
    </row>
    <row r="164" spans="1:12" x14ac:dyDescent="0.3">
      <c r="A164" s="354">
        <f t="shared" si="45"/>
        <v>0.61111111111111105</v>
      </c>
      <c r="B164" s="203" t="str">
        <f t="shared" si="44"/>
        <v/>
      </c>
      <c r="C164" s="203" t="str">
        <f t="shared" si="44"/>
        <v/>
      </c>
      <c r="D164" s="203" t="str">
        <f t="shared" si="44"/>
        <v/>
      </c>
      <c r="E164" s="203" t="str">
        <f t="shared" si="44"/>
        <v/>
      </c>
      <c r="F164" s="203" t="str">
        <f t="shared" si="44"/>
        <v/>
      </c>
      <c r="G164" s="203" t="str">
        <f t="shared" si="44"/>
        <v/>
      </c>
      <c r="H164" s="203" t="str">
        <f t="shared" si="44"/>
        <v/>
      </c>
      <c r="I164" s="203" t="str">
        <f t="shared" si="44"/>
        <v/>
      </c>
      <c r="J164" s="203" t="str">
        <f t="shared" si="44"/>
        <v/>
      </c>
      <c r="K164" s="203" t="str">
        <f t="shared" si="44"/>
        <v/>
      </c>
    </row>
    <row r="165" spans="1:12" x14ac:dyDescent="0.3">
      <c r="A165" s="354">
        <f t="shared" si="45"/>
        <v>0.64583333333333326</v>
      </c>
      <c r="B165" s="203" t="str">
        <f t="shared" si="44"/>
        <v/>
      </c>
      <c r="C165" s="203" t="str">
        <f t="shared" si="44"/>
        <v/>
      </c>
      <c r="D165" s="203" t="str">
        <f t="shared" si="44"/>
        <v/>
      </c>
      <c r="E165" s="203" t="str">
        <f t="shared" si="44"/>
        <v/>
      </c>
      <c r="F165" s="203" t="str">
        <f t="shared" si="44"/>
        <v/>
      </c>
      <c r="G165" s="203" t="str">
        <f t="shared" si="44"/>
        <v/>
      </c>
      <c r="H165" s="203" t="str">
        <f t="shared" si="44"/>
        <v/>
      </c>
      <c r="I165" s="203" t="str">
        <f t="shared" si="44"/>
        <v/>
      </c>
      <c r="J165" s="203" t="str">
        <f t="shared" si="44"/>
        <v/>
      </c>
      <c r="K165" s="203" t="str">
        <f t="shared" si="44"/>
        <v/>
      </c>
    </row>
    <row r="166" spans="1:12" x14ac:dyDescent="0.3">
      <c r="A166" s="354">
        <f t="shared" si="45"/>
        <v>0.68055555555555547</v>
      </c>
      <c r="B166" s="203" t="str">
        <f t="shared" ref="B166:K174" si="46">vlookup_multi((TEXT(B$7+$A166,"MM/DD/YYYY HH:MM")&amp;"-&gt;"&amp;$E$1),extra_schedule_search)</f>
        <v/>
      </c>
      <c r="C166" s="203" t="str">
        <f t="shared" si="46"/>
        <v/>
      </c>
      <c r="D166" s="203" t="str">
        <f t="shared" si="46"/>
        <v/>
      </c>
      <c r="E166" s="203" t="str">
        <f t="shared" si="46"/>
        <v/>
      </c>
      <c r="F166" s="203" t="str">
        <f t="shared" si="46"/>
        <v/>
      </c>
      <c r="G166" s="203" t="str">
        <f t="shared" si="46"/>
        <v/>
      </c>
      <c r="H166" s="203" t="str">
        <f t="shared" si="46"/>
        <v/>
      </c>
      <c r="I166" s="203" t="str">
        <f t="shared" si="46"/>
        <v/>
      </c>
      <c r="J166" s="203" t="str">
        <f t="shared" si="46"/>
        <v/>
      </c>
      <c r="K166" s="203" t="str">
        <f t="shared" si="46"/>
        <v/>
      </c>
    </row>
    <row r="167" spans="1:12" x14ac:dyDescent="0.3">
      <c r="A167" s="354">
        <f t="shared" si="45"/>
        <v>0.71527777777777768</v>
      </c>
      <c r="B167" s="203" t="str">
        <f t="shared" si="46"/>
        <v/>
      </c>
      <c r="C167" s="203" t="str">
        <f t="shared" si="46"/>
        <v/>
      </c>
      <c r="D167" s="203" t="str">
        <f t="shared" si="46"/>
        <v/>
      </c>
      <c r="E167" s="203" t="str">
        <f t="shared" si="46"/>
        <v/>
      </c>
      <c r="F167" s="203" t="str">
        <f t="shared" si="46"/>
        <v/>
      </c>
      <c r="G167" s="203" t="str">
        <f t="shared" si="46"/>
        <v/>
      </c>
      <c r="H167" s="203" t="str">
        <f t="shared" si="46"/>
        <v/>
      </c>
      <c r="I167" s="203" t="str">
        <f t="shared" si="46"/>
        <v/>
      </c>
      <c r="J167" s="203" t="str">
        <f t="shared" si="46"/>
        <v/>
      </c>
      <c r="K167" s="203" t="str">
        <f t="shared" si="46"/>
        <v/>
      </c>
    </row>
    <row r="168" spans="1:12" x14ac:dyDescent="0.3">
      <c r="A168" s="354">
        <f t="shared" si="45"/>
        <v>0.74999999999999989</v>
      </c>
      <c r="B168" s="203" t="str">
        <f t="shared" si="46"/>
        <v/>
      </c>
      <c r="C168" s="203" t="str">
        <f t="shared" si="46"/>
        <v/>
      </c>
      <c r="D168" s="203" t="str">
        <f t="shared" si="46"/>
        <v/>
      </c>
      <c r="E168" s="203" t="str">
        <f t="shared" si="46"/>
        <v/>
      </c>
      <c r="F168" s="203" t="str">
        <f t="shared" si="46"/>
        <v/>
      </c>
      <c r="G168" s="203" t="str">
        <f t="shared" si="46"/>
        <v/>
      </c>
      <c r="H168" s="203" t="str">
        <f t="shared" si="46"/>
        <v/>
      </c>
      <c r="I168" s="203" t="str">
        <f t="shared" si="46"/>
        <v/>
      </c>
      <c r="J168" s="203" t="str">
        <f t="shared" si="46"/>
        <v/>
      </c>
      <c r="K168" s="203" t="str">
        <f t="shared" si="46"/>
        <v/>
      </c>
    </row>
    <row r="169" spans="1:12" x14ac:dyDescent="0.3">
      <c r="A169" s="354">
        <f t="shared" si="45"/>
        <v>0.7847222222222221</v>
      </c>
      <c r="B169" s="203" t="str">
        <f t="shared" si="46"/>
        <v/>
      </c>
      <c r="C169" s="203" t="str">
        <f t="shared" si="46"/>
        <v/>
      </c>
      <c r="D169" s="203" t="str">
        <f t="shared" si="46"/>
        <v/>
      </c>
      <c r="E169" s="203" t="str">
        <f t="shared" si="46"/>
        <v>[Swimming in Pool]</v>
      </c>
      <c r="F169" s="203" t="str">
        <f t="shared" si="46"/>
        <v/>
      </c>
      <c r="G169" s="203" t="str">
        <f t="shared" si="46"/>
        <v>[Off the wall  in TBA]</v>
      </c>
      <c r="H169" s="203" t="str">
        <f t="shared" si="46"/>
        <v/>
      </c>
      <c r="I169" s="203" t="str">
        <f t="shared" si="46"/>
        <v/>
      </c>
      <c r="J169" s="203" t="str">
        <f t="shared" si="46"/>
        <v/>
      </c>
      <c r="K169" s="203" t="str">
        <f t="shared" si="46"/>
        <v/>
      </c>
    </row>
    <row r="170" spans="1:12" x14ac:dyDescent="0.3">
      <c r="A170" s="354">
        <f t="shared" si="45"/>
        <v>0.81944444444444431</v>
      </c>
      <c r="B170" s="203" t="str">
        <f t="shared" si="46"/>
        <v/>
      </c>
      <c r="C170" s="203" t="str">
        <f t="shared" si="46"/>
        <v/>
      </c>
      <c r="D170" s="203" t="str">
        <f t="shared" si="46"/>
        <v/>
      </c>
      <c r="E170" s="203" t="str">
        <f t="shared" si="46"/>
        <v/>
      </c>
      <c r="F170" s="203" t="str">
        <f t="shared" si="46"/>
        <v/>
      </c>
      <c r="G170" s="203" t="str">
        <f t="shared" si="46"/>
        <v/>
      </c>
      <c r="H170" s="203" t="str">
        <f t="shared" si="46"/>
        <v/>
      </c>
      <c r="I170" s="203" t="str">
        <f t="shared" si="46"/>
        <v/>
      </c>
      <c r="J170" s="203" t="str">
        <f t="shared" si="46"/>
        <v/>
      </c>
      <c r="K170" s="203" t="str">
        <f t="shared" si="46"/>
        <v/>
      </c>
    </row>
    <row r="171" spans="1:12" x14ac:dyDescent="0.3">
      <c r="A171" s="354">
        <f t="shared" si="45"/>
        <v>0.85416666666666652</v>
      </c>
      <c r="B171" s="203" t="str">
        <f t="shared" si="46"/>
        <v/>
      </c>
      <c r="C171" s="203" t="str">
        <f t="shared" si="46"/>
        <v/>
      </c>
      <c r="D171" s="203" t="str">
        <f t="shared" si="46"/>
        <v/>
      </c>
      <c r="E171" s="203" t="str">
        <f t="shared" si="46"/>
        <v/>
      </c>
      <c r="F171" s="203" t="str">
        <f t="shared" si="46"/>
        <v/>
      </c>
      <c r="G171" s="203" t="str">
        <f t="shared" si="46"/>
        <v/>
      </c>
      <c r="H171" s="203" t="str">
        <f t="shared" si="46"/>
        <v/>
      </c>
      <c r="I171" s="203" t="str">
        <f t="shared" si="46"/>
        <v/>
      </c>
      <c r="J171" s="203" t="str">
        <f t="shared" si="46"/>
        <v/>
      </c>
      <c r="K171" s="203" t="str">
        <f t="shared" si="46"/>
        <v/>
      </c>
    </row>
    <row r="172" spans="1:12" x14ac:dyDescent="0.3">
      <c r="A172" s="354">
        <f t="shared" si="45"/>
        <v>0.88888888888888873</v>
      </c>
      <c r="B172" s="203" t="str">
        <f t="shared" si="46"/>
        <v/>
      </c>
      <c r="C172" s="203" t="str">
        <f t="shared" si="46"/>
        <v/>
      </c>
      <c r="D172" s="203" t="str">
        <f t="shared" si="46"/>
        <v/>
      </c>
      <c r="E172" s="203" t="str">
        <f t="shared" si="46"/>
        <v/>
      </c>
      <c r="F172" s="203" t="str">
        <f t="shared" si="46"/>
        <v/>
      </c>
      <c r="G172" s="203" t="str">
        <f t="shared" si="46"/>
        <v/>
      </c>
      <c r="H172" s="203" t="str">
        <f t="shared" si="46"/>
        <v/>
      </c>
      <c r="I172" s="203" t="str">
        <f t="shared" si="46"/>
        <v/>
      </c>
      <c r="J172" s="203" t="str">
        <f t="shared" si="46"/>
        <v/>
      </c>
      <c r="K172" s="203" t="str">
        <f t="shared" si="46"/>
        <v/>
      </c>
    </row>
    <row r="173" spans="1:12" x14ac:dyDescent="0.3">
      <c r="A173" s="354">
        <f t="shared" si="45"/>
        <v>0.92361111111111094</v>
      </c>
      <c r="B173" s="203" t="str">
        <f t="shared" si="46"/>
        <v/>
      </c>
      <c r="C173" s="203" t="str">
        <f t="shared" si="46"/>
        <v/>
      </c>
      <c r="D173" s="203" t="str">
        <f t="shared" si="46"/>
        <v/>
      </c>
      <c r="E173" s="203" t="str">
        <f t="shared" si="46"/>
        <v/>
      </c>
      <c r="F173" s="203" t="str">
        <f t="shared" si="46"/>
        <v/>
      </c>
      <c r="G173" s="203" t="str">
        <f t="shared" si="46"/>
        <v/>
      </c>
      <c r="H173" s="203" t="str">
        <f t="shared" si="46"/>
        <v/>
      </c>
      <c r="I173" s="203" t="str">
        <f t="shared" si="46"/>
        <v/>
      </c>
      <c r="J173" s="203" t="str">
        <f t="shared" si="46"/>
        <v/>
      </c>
      <c r="K173" s="203" t="str">
        <f t="shared" si="46"/>
        <v/>
      </c>
    </row>
    <row r="174" spans="1:12" x14ac:dyDescent="0.3">
      <c r="A174" s="354">
        <f t="shared" si="45"/>
        <v>0.95833333333333315</v>
      </c>
      <c r="B174" s="203" t="str">
        <f t="shared" si="46"/>
        <v/>
      </c>
      <c r="C174" s="203" t="str">
        <f t="shared" si="46"/>
        <v/>
      </c>
      <c r="D174" s="203" t="str">
        <f t="shared" si="46"/>
        <v/>
      </c>
      <c r="E174" s="203" t="str">
        <f t="shared" si="46"/>
        <v/>
      </c>
      <c r="F174" s="203" t="str">
        <f t="shared" si="46"/>
        <v/>
      </c>
      <c r="G174" s="203" t="str">
        <f t="shared" si="46"/>
        <v/>
      </c>
      <c r="H174" s="203" t="str">
        <f t="shared" si="46"/>
        <v/>
      </c>
      <c r="I174" s="203" t="str">
        <f t="shared" si="46"/>
        <v/>
      </c>
      <c r="J174" s="203" t="str">
        <f t="shared" si="46"/>
        <v/>
      </c>
      <c r="K174" s="203" t="str">
        <f t="shared" si="46"/>
        <v/>
      </c>
    </row>
    <row r="175" spans="1:12" x14ac:dyDescent="0.3">
      <c r="A175" s="354">
        <f t="shared" si="45"/>
        <v>0.99305555555555536</v>
      </c>
      <c r="B175" s="202"/>
      <c r="C175" s="202"/>
      <c r="D175" s="203" t="str">
        <f t="shared" ref="D175:L175" si="47">vlookup_multi((TEXT(C$7+$A175,"MM/DD/YYYY HH:MM")&amp;"-&gt;"&amp;$E$1),extra_schedule_search)</f>
        <v/>
      </c>
      <c r="E175" s="203" t="str">
        <f t="shared" si="47"/>
        <v/>
      </c>
      <c r="F175" s="203" t="str">
        <f t="shared" si="47"/>
        <v/>
      </c>
      <c r="G175" s="203" t="str">
        <f t="shared" si="47"/>
        <v/>
      </c>
      <c r="H175" s="203" t="str">
        <f t="shared" si="47"/>
        <v/>
      </c>
      <c r="I175" s="203" t="str">
        <f t="shared" si="47"/>
        <v/>
      </c>
      <c r="J175" s="203" t="str">
        <f t="shared" si="47"/>
        <v/>
      </c>
      <c r="K175" s="203" t="str">
        <f t="shared" si="47"/>
        <v/>
      </c>
      <c r="L175" s="203" t="str">
        <f t="shared" si="47"/>
        <v/>
      </c>
    </row>
  </sheetData>
  <mergeCells count="2">
    <mergeCell ref="A5:E5"/>
    <mergeCell ref="F5:M5"/>
  </mergeCells>
  <conditionalFormatting sqref="B29:J29 B9:L22 B24:L28 B23:I23 K23:L23">
    <cfRule type="cellIs" dxfId="196" priority="21" stopIfTrue="1" operator="equal">
      <formula>"CONFLICT"</formula>
    </cfRule>
  </conditionalFormatting>
  <conditionalFormatting sqref="B25:L28">
    <cfRule type="cellIs" dxfId="195" priority="20" stopIfTrue="1" operator="equal">
      <formula>"CONFLICT"</formula>
    </cfRule>
  </conditionalFormatting>
  <conditionalFormatting sqref="B1 F5">
    <cfRule type="expression" dxfId="194" priority="4749" stopIfTrue="1">
      <formula>$E$1="children e female"</formula>
    </cfRule>
    <cfRule type="expression" dxfId="193" priority="4750" stopIfTrue="1">
      <formula>$E$1="children e male"</formula>
    </cfRule>
    <cfRule type="expression" dxfId="192" priority="4751" stopIfTrue="1">
      <formula>$E$1="children d female"</formula>
    </cfRule>
    <cfRule type="expression" dxfId="191" priority="4752" stopIfTrue="1">
      <formula>$E$1="children d male"</formula>
    </cfRule>
    <cfRule type="expression" dxfId="190" priority="4753" stopIfTrue="1">
      <formula>$E$1="Children c female"</formula>
    </cfRule>
    <cfRule type="expression" dxfId="189" priority="4754" stopIfTrue="1">
      <formula>$E$1="children c male"</formula>
    </cfRule>
    <cfRule type="expression" dxfId="188" priority="4755" stopIfTrue="1">
      <formula>$E$1="children b coed"</formula>
    </cfRule>
    <cfRule type="expression" dxfId="187" priority="4756" stopIfTrue="1">
      <formula>$E$1="children a coed"</formula>
    </cfRule>
    <cfRule type="expression" dxfId="186" priority="4757" stopIfTrue="1">
      <formula>$E$1="Juniors female"</formula>
    </cfRule>
    <cfRule type="expression" dxfId="185" priority="4758" stopIfTrue="1">
      <formula>$E$1="Juniors B male"</formula>
    </cfRule>
    <cfRule type="expression" dxfId="184" priority="4759" stopIfTrue="1">
      <formula>$E$1="juniors a male"</formula>
    </cfRule>
    <cfRule type="expression" dxfId="183" priority="4760" stopIfTrue="1">
      <formula>$E$1="adults female"</formula>
    </cfRule>
    <cfRule type="expression" dxfId="182" priority="4761" stopIfTrue="1">
      <formula>$E$1="college"</formula>
    </cfRule>
    <cfRule type="expression" dxfId="181" priority="4762" stopIfTrue="1">
      <formula>$E$1="adults male"</formula>
    </cfRule>
    <cfRule type="expression" dxfId="180" priority="4763" stopIfTrue="1">
      <formula>$E$1="veterans male"</formula>
    </cfRule>
  </conditionalFormatting>
  <conditionalFormatting sqref="B9:L22 B24:L28 B23:I23 K23:L23">
    <cfRule type="beginsWith" dxfId="179" priority="19" stopIfTrue="1" operator="beginsWith" text="[">
      <formula>LEFT(B9,LEN("["))="["</formula>
    </cfRule>
    <cfRule type="expression" dxfId="178" priority="4779" stopIfTrue="1">
      <formula>B9=""</formula>
    </cfRule>
    <cfRule type="expression" dxfId="177" priority="4780" stopIfTrue="1">
      <formula>$E$1="children e female"</formula>
    </cfRule>
    <cfRule type="expression" dxfId="176" priority="4781" stopIfTrue="1">
      <formula>$E$1="children e male"</formula>
    </cfRule>
    <cfRule type="expression" dxfId="175" priority="4782" stopIfTrue="1">
      <formula>$E$1="children d female"</formula>
    </cfRule>
    <cfRule type="expression" dxfId="174" priority="4783" stopIfTrue="1">
      <formula>$E$1="children d male"</formula>
    </cfRule>
    <cfRule type="expression" dxfId="173" priority="4784" stopIfTrue="1">
      <formula>$E$1="Children c female"</formula>
    </cfRule>
    <cfRule type="expression" dxfId="172" priority="4785" stopIfTrue="1">
      <formula>$E$1="children c male"</formula>
    </cfRule>
    <cfRule type="expression" dxfId="171" priority="4786" stopIfTrue="1">
      <formula>$E$1="children b coed"</formula>
    </cfRule>
    <cfRule type="expression" dxfId="170" priority="4787" stopIfTrue="1">
      <formula>$E$1="children a coed"</formula>
    </cfRule>
    <cfRule type="expression" dxfId="169" priority="4788" stopIfTrue="1">
      <formula>$E$1="Juniors female"</formula>
    </cfRule>
    <cfRule type="expression" dxfId="168" priority="4789" stopIfTrue="1">
      <formula>$E$1="Juniors B male"</formula>
    </cfRule>
    <cfRule type="expression" dxfId="167" priority="4790" stopIfTrue="1">
      <formula>$E$1="juniors a male"</formula>
    </cfRule>
    <cfRule type="expression" dxfId="166" priority="4791" stopIfTrue="1">
      <formula>$E$1="adults female"</formula>
    </cfRule>
    <cfRule type="expression" dxfId="165" priority="4792" stopIfTrue="1">
      <formula>$E$1="college"</formula>
    </cfRule>
    <cfRule type="expression" dxfId="164" priority="4793" stopIfTrue="1">
      <formula>$E$1="adults male"</formula>
    </cfRule>
    <cfRule type="expression" dxfId="163" priority="4794" stopIfTrue="1">
      <formula>$E$1="veterans male"</formula>
    </cfRule>
  </conditionalFormatting>
  <conditionalFormatting sqref="J23">
    <cfRule type="cellIs" dxfId="162" priority="2" stopIfTrue="1" operator="equal">
      <formula>"CONFLICT"</formula>
    </cfRule>
  </conditionalFormatting>
  <conditionalFormatting sqref="J23">
    <cfRule type="beginsWith" dxfId="161" priority="1" stopIfTrue="1" operator="beginsWith" text="[">
      <formula>LEFT(J23,LEN("["))="["</formula>
    </cfRule>
    <cfRule type="expression" dxfId="160" priority="3" stopIfTrue="1">
      <formula>J23=""</formula>
    </cfRule>
    <cfRule type="expression" dxfId="159" priority="4" stopIfTrue="1">
      <formula>$E$1="children e female"</formula>
    </cfRule>
    <cfRule type="expression" dxfId="158" priority="5" stopIfTrue="1">
      <formula>$E$1="children e male"</formula>
    </cfRule>
    <cfRule type="expression" dxfId="157" priority="6" stopIfTrue="1">
      <formula>$E$1="children d female"</formula>
    </cfRule>
    <cfRule type="expression" dxfId="156" priority="7" stopIfTrue="1">
      <formula>$E$1="children d male"</formula>
    </cfRule>
    <cfRule type="expression" dxfId="155" priority="8" stopIfTrue="1">
      <formula>$E$1="Children c female"</formula>
    </cfRule>
    <cfRule type="expression" dxfId="154" priority="9" stopIfTrue="1">
      <formula>$E$1="children c male"</formula>
    </cfRule>
    <cfRule type="expression" dxfId="153" priority="10" stopIfTrue="1">
      <formula>$E$1="children b coed"</formula>
    </cfRule>
    <cfRule type="expression" dxfId="152" priority="11" stopIfTrue="1">
      <formula>$E$1="children a coed"</formula>
    </cfRule>
    <cfRule type="expression" dxfId="151" priority="12" stopIfTrue="1">
      <formula>$E$1="Juniors female"</formula>
    </cfRule>
    <cfRule type="expression" dxfId="150" priority="13" stopIfTrue="1">
      <formula>$E$1="Juniors B male"</formula>
    </cfRule>
    <cfRule type="expression" dxfId="149" priority="14" stopIfTrue="1">
      <formula>$E$1="juniors a male"</formula>
    </cfRule>
    <cfRule type="expression" dxfId="148" priority="15" stopIfTrue="1">
      <formula>$E$1="adults female"</formula>
    </cfRule>
    <cfRule type="expression" dxfId="147" priority="16" stopIfTrue="1">
      <formula>$E$1="college"</formula>
    </cfRule>
    <cfRule type="expression" dxfId="146" priority="17" stopIfTrue="1">
      <formula>$E$1="adults male"</formula>
    </cfRule>
    <cfRule type="expression" dxfId="145" priority="18" stopIfTrue="1">
      <formula>$E$1="veterans male"</formula>
    </cfRule>
  </conditionalFormatting>
  <dataValidations count="2">
    <dataValidation type="list" allowBlank="1" showInputMessage="1" showErrorMessage="1" sqref="B1" xr:uid="{00000000-0002-0000-0200-000000000000}">
      <formula1>team_list</formula1>
    </dataValidation>
    <dataValidation type="list" allowBlank="1" showInputMessage="1" showErrorMessage="1" sqref="D73 D99 D125 D152 C48" xr:uid="{00000000-0002-0000-0200-000001000000}">
      <formula1>$R$10:$R$61</formula1>
    </dataValidation>
  </dataValidations>
  <pageMargins left="0.25" right="0.25" top="0.75" bottom="0.75" header="0.3" footer="0.3"/>
  <pageSetup scale="29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theme="1"/>
  </sheetPr>
  <dimension ref="A1:D97"/>
  <sheetViews>
    <sheetView workbookViewId="0">
      <selection activeCell="A78" sqref="A78"/>
    </sheetView>
  </sheetViews>
  <sheetFormatPr baseColWidth="10" defaultColWidth="8.83203125" defaultRowHeight="15" x14ac:dyDescent="0.2"/>
  <cols>
    <col min="1" max="1" width="38.1640625" bestFit="1" customWidth="1"/>
    <col min="2" max="2" width="28" customWidth="1"/>
    <col min="3" max="5" width="15" bestFit="1" customWidth="1"/>
  </cols>
  <sheetData>
    <row r="1" spans="1:4" x14ac:dyDescent="0.2">
      <c r="A1" t="s">
        <v>733</v>
      </c>
      <c r="B1" t="s">
        <v>711</v>
      </c>
      <c r="C1" t="s">
        <v>252</v>
      </c>
      <c r="D1" t="s">
        <v>338</v>
      </c>
    </row>
    <row r="2" spans="1:4" x14ac:dyDescent="0.2">
      <c r="A2" t="str">
        <f>Table1[[#This Row],[Tournament]]&amp;Table1[[#This Row],[Team]]</f>
        <v>Ch B Coed BasketballCHILD B - MEX</v>
      </c>
      <c r="B2" t="s">
        <v>35</v>
      </c>
      <c r="C2" t="s">
        <v>722</v>
      </c>
      <c r="D2" t="s">
        <v>557</v>
      </c>
    </row>
    <row r="3" spans="1:4" x14ac:dyDescent="0.2">
      <c r="A3" t="str">
        <f>Table1[[#This Row],[Tournament]]&amp;Table1[[#This Row],[Team]]</f>
        <v>Ch B Coed BasketballCHILD B - COL 1</v>
      </c>
      <c r="B3" t="s">
        <v>35</v>
      </c>
      <c r="C3" t="s">
        <v>722</v>
      </c>
      <c r="D3" t="s">
        <v>554</v>
      </c>
    </row>
    <row r="4" spans="1:4" x14ac:dyDescent="0.2">
      <c r="A4" t="str">
        <f>Table1[[#This Row],[Tournament]]&amp;Table1[[#This Row],[Team]]</f>
        <v>Ch B Coed BasketballCHILD B - VEN 2</v>
      </c>
      <c r="B4" t="s">
        <v>35</v>
      </c>
      <c r="C4" t="s">
        <v>722</v>
      </c>
      <c r="D4" t="s">
        <v>561</v>
      </c>
    </row>
    <row r="5" spans="1:4" x14ac:dyDescent="0.2">
      <c r="A5" t="str">
        <f>Table1[[#This Row],[Tournament]]&amp;Table1[[#This Row],[Team]]</f>
        <v>Ch B Coed BasketballCHILD B - USA 2</v>
      </c>
      <c r="B5" t="s">
        <v>35</v>
      </c>
      <c r="C5" t="s">
        <v>722</v>
      </c>
      <c r="D5" t="s">
        <v>559</v>
      </c>
    </row>
    <row r="6" spans="1:4" x14ac:dyDescent="0.2">
      <c r="A6" t="str">
        <f>Table1[[#This Row],[Tournament]]&amp;Table1[[#This Row],[Team]]</f>
        <v>Ch B Coed BasketballCHILD B - ARG 1</v>
      </c>
      <c r="B6" t="s">
        <v>35</v>
      </c>
      <c r="C6" t="s">
        <v>723</v>
      </c>
      <c r="D6" t="s">
        <v>552</v>
      </c>
    </row>
    <row r="7" spans="1:4" x14ac:dyDescent="0.2">
      <c r="A7" t="str">
        <f>Table1[[#This Row],[Tournament]]&amp;Table1[[#This Row],[Team]]</f>
        <v>Ch B Coed BasketballCHILD B - COL 2</v>
      </c>
      <c r="B7" t="s">
        <v>35</v>
      </c>
      <c r="C7" t="s">
        <v>723</v>
      </c>
      <c r="D7" t="s">
        <v>555</v>
      </c>
    </row>
    <row r="8" spans="1:4" x14ac:dyDescent="0.2">
      <c r="A8" t="str">
        <f>Table1[[#This Row],[Tournament]]&amp;Table1[[#This Row],[Team]]</f>
        <v>Ch B Coed BasketballCHILD B - USA 1</v>
      </c>
      <c r="B8" t="s">
        <v>35</v>
      </c>
      <c r="C8" t="s">
        <v>723</v>
      </c>
      <c r="D8" t="s">
        <v>558</v>
      </c>
    </row>
    <row r="9" spans="1:4" x14ac:dyDescent="0.2">
      <c r="A9" t="str">
        <f>Table1[[#This Row],[Tournament]]&amp;Table1[[#This Row],[Team]]</f>
        <v>Ch B Coed BasketballCHILD B - VEN 1</v>
      </c>
      <c r="B9" t="s">
        <v>35</v>
      </c>
      <c r="C9" t="s">
        <v>723</v>
      </c>
      <c r="D9" t="s">
        <v>560</v>
      </c>
    </row>
    <row r="10" spans="1:4" x14ac:dyDescent="0.2">
      <c r="A10" t="str">
        <f>Table1[[#This Row],[Tournament]]&amp;Table1[[#This Row],[Team]]</f>
        <v>Ch B Coed KickballCHILD B - VEN 1</v>
      </c>
      <c r="B10" t="s">
        <v>37</v>
      </c>
      <c r="C10" t="s">
        <v>722</v>
      </c>
      <c r="D10" t="s">
        <v>560</v>
      </c>
    </row>
    <row r="11" spans="1:4" x14ac:dyDescent="0.2">
      <c r="A11" t="str">
        <f>Table1[[#This Row],[Tournament]]&amp;Table1[[#This Row],[Team]]</f>
        <v>Ch B Coed KickballCHILD B - MEX</v>
      </c>
      <c r="B11" t="s">
        <v>37</v>
      </c>
      <c r="C11" t="s">
        <v>722</v>
      </c>
      <c r="D11" t="s">
        <v>557</v>
      </c>
    </row>
    <row r="12" spans="1:4" x14ac:dyDescent="0.2">
      <c r="A12" t="str">
        <f>Table1[[#This Row],[Tournament]]&amp;Table1[[#This Row],[Team]]</f>
        <v>Ch B Coed KickballCHILD B - USA 2</v>
      </c>
      <c r="B12" t="s">
        <v>37</v>
      </c>
      <c r="C12" t="s">
        <v>722</v>
      </c>
      <c r="D12" t="s">
        <v>559</v>
      </c>
    </row>
    <row r="13" spans="1:4" x14ac:dyDescent="0.2">
      <c r="A13" t="str">
        <f>Table1[[#This Row],[Tournament]]&amp;Table1[[#This Row],[Team]]</f>
        <v>Ch B Coed KickballCHILD B - VEN 2</v>
      </c>
      <c r="B13" t="s">
        <v>37</v>
      </c>
      <c r="C13" t="s">
        <v>722</v>
      </c>
      <c r="D13" t="s">
        <v>561</v>
      </c>
    </row>
    <row r="14" spans="1:4" x14ac:dyDescent="0.2">
      <c r="A14" t="str">
        <f>Table1[[#This Row],[Tournament]]&amp;Table1[[#This Row],[Team]]</f>
        <v>Ch B Coed KickballCHILD B - ARG 1</v>
      </c>
      <c r="B14" t="s">
        <v>37</v>
      </c>
      <c r="C14" t="s">
        <v>723</v>
      </c>
      <c r="D14" t="s">
        <v>552</v>
      </c>
    </row>
    <row r="15" spans="1:4" x14ac:dyDescent="0.2">
      <c r="A15" t="str">
        <f>Table1[[#This Row],[Tournament]]&amp;Table1[[#This Row],[Team]]</f>
        <v>Ch B Coed KickballCHILD B - COL 1</v>
      </c>
      <c r="B15" t="s">
        <v>37</v>
      </c>
      <c r="C15" t="s">
        <v>723</v>
      </c>
      <c r="D15" t="s">
        <v>554</v>
      </c>
    </row>
    <row r="16" spans="1:4" x14ac:dyDescent="0.2">
      <c r="A16" t="str">
        <f>Table1[[#This Row],[Tournament]]&amp;Table1[[#This Row],[Team]]</f>
        <v>Ch B Coed KickballCHILD B - COL 2</v>
      </c>
      <c r="B16" t="s">
        <v>37</v>
      </c>
      <c r="C16" t="s">
        <v>723</v>
      </c>
      <c r="D16" t="s">
        <v>555</v>
      </c>
    </row>
    <row r="17" spans="1:4" x14ac:dyDescent="0.2">
      <c r="A17" t="str">
        <f>Table1[[#This Row],[Tournament]]&amp;Table1[[#This Row],[Team]]</f>
        <v>Ch B Coed KickballCHILD B - USA 1</v>
      </c>
      <c r="B17" t="s">
        <v>37</v>
      </c>
      <c r="C17" t="s">
        <v>723</v>
      </c>
      <c r="D17" t="s">
        <v>558</v>
      </c>
    </row>
    <row r="18" spans="1:4" x14ac:dyDescent="0.2">
      <c r="A18" t="str">
        <f>Table1[[#This Row],[Tournament]]&amp;Table1[[#This Row],[Team]]</f>
        <v>Ch B Coed Mini SoccerCHILD B - USA 1</v>
      </c>
      <c r="B18" t="s">
        <v>34</v>
      </c>
      <c r="C18" t="s">
        <v>722</v>
      </c>
      <c r="D18" t="s">
        <v>558</v>
      </c>
    </row>
    <row r="19" spans="1:4" x14ac:dyDescent="0.2">
      <c r="A19" t="str">
        <f>Table1[[#This Row],[Tournament]]&amp;Table1[[#This Row],[Team]]</f>
        <v>Ch B Coed Mini SoccerCHILD B - VEN 2</v>
      </c>
      <c r="B19" t="s">
        <v>34</v>
      </c>
      <c r="C19" t="s">
        <v>722</v>
      </c>
      <c r="D19" t="s">
        <v>561</v>
      </c>
    </row>
    <row r="20" spans="1:4" x14ac:dyDescent="0.2">
      <c r="A20" t="str">
        <f>Table1[[#This Row],[Tournament]]&amp;Table1[[#This Row],[Team]]</f>
        <v>Ch B Coed Mini SoccerCHILD B - ARG 1</v>
      </c>
      <c r="B20" t="s">
        <v>34</v>
      </c>
      <c r="C20" t="s">
        <v>722</v>
      </c>
      <c r="D20" t="s">
        <v>552</v>
      </c>
    </row>
    <row r="21" spans="1:4" x14ac:dyDescent="0.2">
      <c r="A21" t="str">
        <f>Table1[[#This Row],[Tournament]]&amp;Table1[[#This Row],[Team]]</f>
        <v>Ch B Coed Mini SoccerCHILD B - COL 2</v>
      </c>
      <c r="B21" t="s">
        <v>34</v>
      </c>
      <c r="C21" t="s">
        <v>722</v>
      </c>
      <c r="D21" t="s">
        <v>555</v>
      </c>
    </row>
    <row r="22" spans="1:4" x14ac:dyDescent="0.2">
      <c r="A22" t="str">
        <f>Table1[[#This Row],[Tournament]]&amp;Table1[[#This Row],[Team]]</f>
        <v>Ch B Coed Mini SoccerCHILD B - COL 1</v>
      </c>
      <c r="B22" t="s">
        <v>34</v>
      </c>
      <c r="C22" t="s">
        <v>723</v>
      </c>
      <c r="D22" t="s">
        <v>554</v>
      </c>
    </row>
    <row r="23" spans="1:4" x14ac:dyDescent="0.2">
      <c r="A23" t="str">
        <f>Table1[[#This Row],[Tournament]]&amp;Table1[[#This Row],[Team]]</f>
        <v>Ch B Coed Mini SoccerCHILD B - MEX</v>
      </c>
      <c r="B23" t="s">
        <v>34</v>
      </c>
      <c r="C23" t="s">
        <v>723</v>
      </c>
      <c r="D23" t="s">
        <v>557</v>
      </c>
    </row>
    <row r="24" spans="1:4" x14ac:dyDescent="0.2">
      <c r="A24" t="str">
        <f>Table1[[#This Row],[Tournament]]&amp;Table1[[#This Row],[Team]]</f>
        <v>Ch B Coed Mini SoccerCHILD B - USA 2</v>
      </c>
      <c r="B24" t="s">
        <v>34</v>
      </c>
      <c r="C24" t="s">
        <v>723</v>
      </c>
      <c r="D24" t="s">
        <v>559</v>
      </c>
    </row>
    <row r="25" spans="1:4" x14ac:dyDescent="0.2">
      <c r="A25" t="str">
        <f>Table1[[#This Row],[Tournament]]&amp;Table1[[#This Row],[Team]]</f>
        <v>Ch B Coed Mini SoccerCHILD B - VEN 1</v>
      </c>
      <c r="B25" t="s">
        <v>34</v>
      </c>
      <c r="C25" t="s">
        <v>723</v>
      </c>
      <c r="D25" t="s">
        <v>560</v>
      </c>
    </row>
    <row r="26" spans="1:4" x14ac:dyDescent="0.2">
      <c r="A26" t="str">
        <f>Table1[[#This Row],[Tournament]]&amp;Table1[[#This Row],[Team]]</f>
        <v>Ch B Coed NewcombCHILD B - COL 1</v>
      </c>
      <c r="B26" t="s">
        <v>36</v>
      </c>
      <c r="C26" t="s">
        <v>722</v>
      </c>
      <c r="D26" t="s">
        <v>554</v>
      </c>
    </row>
    <row r="27" spans="1:4" x14ac:dyDescent="0.2">
      <c r="A27" t="str">
        <f>Table1[[#This Row],[Tournament]]&amp;Table1[[#This Row],[Team]]</f>
        <v>Ch B Coed NewcombCHILD B - MEX</v>
      </c>
      <c r="B27" t="s">
        <v>36</v>
      </c>
      <c r="C27" t="s">
        <v>722</v>
      </c>
      <c r="D27" t="s">
        <v>557</v>
      </c>
    </row>
    <row r="28" spans="1:4" x14ac:dyDescent="0.2">
      <c r="A28" t="str">
        <f>Table1[[#This Row],[Tournament]]&amp;Table1[[#This Row],[Team]]</f>
        <v>Ch B Coed NewcombCHILD B - USA 2</v>
      </c>
      <c r="B28" t="s">
        <v>36</v>
      </c>
      <c r="C28" t="s">
        <v>722</v>
      </c>
      <c r="D28" t="s">
        <v>559</v>
      </c>
    </row>
    <row r="29" spans="1:4" x14ac:dyDescent="0.2">
      <c r="A29" t="str">
        <f>Table1[[#This Row],[Tournament]]&amp;Table1[[#This Row],[Team]]</f>
        <v>Ch B Coed NewcombCHILD B - VEN 1</v>
      </c>
      <c r="B29" t="s">
        <v>36</v>
      </c>
      <c r="C29" t="s">
        <v>722</v>
      </c>
      <c r="D29" t="s">
        <v>560</v>
      </c>
    </row>
    <row r="30" spans="1:4" x14ac:dyDescent="0.2">
      <c r="A30" t="str">
        <f>Table1[[#This Row],[Tournament]]&amp;Table1[[#This Row],[Team]]</f>
        <v>Ch B Coed NewcombCHILD B - COL 2</v>
      </c>
      <c r="B30" t="s">
        <v>36</v>
      </c>
      <c r="C30" t="s">
        <v>723</v>
      </c>
      <c r="D30" t="s">
        <v>555</v>
      </c>
    </row>
    <row r="31" spans="1:4" x14ac:dyDescent="0.2">
      <c r="A31" t="str">
        <f>Table1[[#This Row],[Tournament]]&amp;Table1[[#This Row],[Team]]</f>
        <v>Ch B Coed NewcombCHILD B - VEN 2</v>
      </c>
      <c r="B31" t="s">
        <v>36</v>
      </c>
      <c r="C31" t="s">
        <v>723</v>
      </c>
      <c r="D31" t="s">
        <v>561</v>
      </c>
    </row>
    <row r="32" spans="1:4" x14ac:dyDescent="0.2">
      <c r="A32" t="str">
        <f>Table1[[#This Row],[Tournament]]&amp;Table1[[#This Row],[Team]]</f>
        <v>Ch B Coed NewcombCHILD B - USA 1</v>
      </c>
      <c r="B32" t="s">
        <v>36</v>
      </c>
      <c r="C32" t="s">
        <v>723</v>
      </c>
      <c r="D32" t="s">
        <v>558</v>
      </c>
    </row>
    <row r="33" spans="1:4" x14ac:dyDescent="0.2">
      <c r="A33" t="str">
        <f>Table1[[#This Row],[Tournament]]&amp;Table1[[#This Row],[Team]]</f>
        <v>Ch B Coed NewcombCHILD B - ARG 1</v>
      </c>
      <c r="B33" t="s">
        <v>36</v>
      </c>
      <c r="C33" t="s">
        <v>723</v>
      </c>
      <c r="D33" t="s">
        <v>552</v>
      </c>
    </row>
    <row r="34" spans="1:4" x14ac:dyDescent="0.2">
      <c r="A34" t="str">
        <f>Table1[[#This Row],[Tournament]]&amp;Table1[[#This Row],[Team]]</f>
        <v>Ch D Female BasketballCHILD DF - USA 1</v>
      </c>
      <c r="B34" t="s">
        <v>49</v>
      </c>
      <c r="C34" t="s">
        <v>722</v>
      </c>
      <c r="D34" t="s">
        <v>587</v>
      </c>
    </row>
    <row r="35" spans="1:4" x14ac:dyDescent="0.2">
      <c r="A35" t="str">
        <f>Table1[[#This Row],[Tournament]]&amp;Table1[[#This Row],[Team]]</f>
        <v>Ch D Female BasketballCHILD DF - VEN 1</v>
      </c>
      <c r="B35" t="s">
        <v>49</v>
      </c>
      <c r="C35" t="s">
        <v>722</v>
      </c>
      <c r="D35" t="s">
        <v>589</v>
      </c>
    </row>
    <row r="36" spans="1:4" x14ac:dyDescent="0.2">
      <c r="A36" t="str">
        <f>Table1[[#This Row],[Tournament]]&amp;Table1[[#This Row],[Team]]</f>
        <v>Ch D Female BasketballCHILD DF - ARG 1</v>
      </c>
      <c r="B36" t="s">
        <v>49</v>
      </c>
      <c r="C36" t="s">
        <v>722</v>
      </c>
      <c r="D36" t="s">
        <v>583</v>
      </c>
    </row>
    <row r="37" spans="1:4" x14ac:dyDescent="0.2">
      <c r="A37" t="str">
        <f>Table1[[#This Row],[Tournament]]&amp;Table1[[#This Row],[Team]]</f>
        <v>Ch D Female BasketballCHILD DF - ISR</v>
      </c>
      <c r="B37" t="s">
        <v>49</v>
      </c>
      <c r="C37" t="s">
        <v>722</v>
      </c>
      <c r="D37" t="s">
        <v>725</v>
      </c>
    </row>
    <row r="38" spans="1:4" x14ac:dyDescent="0.2">
      <c r="A38" t="str">
        <f>Table1[[#This Row],[Tournament]]&amp;Table1[[#This Row],[Team]]</f>
        <v>Ch D Female BasketballCHILD DF - COL 1</v>
      </c>
      <c r="B38" t="s">
        <v>49</v>
      </c>
      <c r="C38" t="s">
        <v>723</v>
      </c>
      <c r="D38" t="s">
        <v>586</v>
      </c>
    </row>
    <row r="39" spans="1:4" x14ac:dyDescent="0.2">
      <c r="A39" t="str">
        <f>Table1[[#This Row],[Tournament]]&amp;Table1[[#This Row],[Team]]</f>
        <v>Ch D Female BasketballCHILD DF - USA 2</v>
      </c>
      <c r="B39" t="s">
        <v>49</v>
      </c>
      <c r="C39" t="s">
        <v>723</v>
      </c>
      <c r="D39" t="s">
        <v>588</v>
      </c>
    </row>
    <row r="40" spans="1:4" x14ac:dyDescent="0.2">
      <c r="A40" t="str">
        <f>Table1[[#This Row],[Tournament]]&amp;Table1[[#This Row],[Team]]</f>
        <v>Ch D Female BasketballCHILD DF - VEN 2</v>
      </c>
      <c r="B40" t="s">
        <v>49</v>
      </c>
      <c r="C40" t="s">
        <v>723</v>
      </c>
      <c r="D40" t="s">
        <v>590</v>
      </c>
    </row>
    <row r="41" spans="1:4" x14ac:dyDescent="0.2">
      <c r="A41" t="str">
        <f>Table1[[#This Row],[Tournament]]&amp;Table1[[#This Row],[Team]]</f>
        <v>Ch D Female BasketballCHILD DF - MEX</v>
      </c>
      <c r="B41" t="s">
        <v>49</v>
      </c>
      <c r="C41" t="s">
        <v>723</v>
      </c>
      <c r="D41" t="s">
        <v>724</v>
      </c>
    </row>
    <row r="42" spans="1:4" x14ac:dyDescent="0.2">
      <c r="A42" t="str">
        <f>Table1[[#This Row],[Tournament]]&amp;Table1[[#This Row],[Team]]</f>
        <v>Ch D Female KickballCHILD DF - VEN 2</v>
      </c>
      <c r="B42" t="s">
        <v>52</v>
      </c>
      <c r="C42" t="s">
        <v>722</v>
      </c>
      <c r="D42" t="s">
        <v>590</v>
      </c>
    </row>
    <row r="43" spans="1:4" x14ac:dyDescent="0.2">
      <c r="A43" t="str">
        <f>Table1[[#This Row],[Tournament]]&amp;Table1[[#This Row],[Team]]</f>
        <v>Ch D Female KickballCHILD DF - USA 1</v>
      </c>
      <c r="B43" t="s">
        <v>52</v>
      </c>
      <c r="C43" t="s">
        <v>722</v>
      </c>
      <c r="D43" t="s">
        <v>587</v>
      </c>
    </row>
    <row r="44" spans="1:4" x14ac:dyDescent="0.2">
      <c r="A44" t="str">
        <f>Table1[[#This Row],[Tournament]]&amp;Table1[[#This Row],[Team]]</f>
        <v>Ch D Female KickballCHILD DF - COL 1</v>
      </c>
      <c r="B44" t="s">
        <v>52</v>
      </c>
      <c r="C44" t="s">
        <v>722</v>
      </c>
      <c r="D44" t="s">
        <v>586</v>
      </c>
    </row>
    <row r="45" spans="1:4" x14ac:dyDescent="0.2">
      <c r="A45" t="str">
        <f>Table1[[#This Row],[Tournament]]&amp;Table1[[#This Row],[Team]]</f>
        <v>Ch D Female KickballCHILD DF - MEX</v>
      </c>
      <c r="B45" t="s">
        <v>52</v>
      </c>
      <c r="C45" t="s">
        <v>722</v>
      </c>
      <c r="D45" t="s">
        <v>724</v>
      </c>
    </row>
    <row r="46" spans="1:4" x14ac:dyDescent="0.2">
      <c r="A46" t="str">
        <f>Table1[[#This Row],[Tournament]]&amp;Table1[[#This Row],[Team]]</f>
        <v>Ch D Female KickballCHILD DF - ARG 1</v>
      </c>
      <c r="B46" t="s">
        <v>52</v>
      </c>
      <c r="C46" t="s">
        <v>723</v>
      </c>
      <c r="D46" t="s">
        <v>583</v>
      </c>
    </row>
    <row r="47" spans="1:4" x14ac:dyDescent="0.2">
      <c r="A47" t="str">
        <f>Table1[[#This Row],[Tournament]]&amp;Table1[[#This Row],[Team]]</f>
        <v>Ch D Female KickballCHILD DF - USA 2</v>
      </c>
      <c r="B47" t="s">
        <v>52</v>
      </c>
      <c r="C47" t="s">
        <v>723</v>
      </c>
      <c r="D47" t="s">
        <v>588</v>
      </c>
    </row>
    <row r="48" spans="1:4" x14ac:dyDescent="0.2">
      <c r="A48" t="str">
        <f>Table1[[#This Row],[Tournament]]&amp;Table1[[#This Row],[Team]]</f>
        <v>Ch D Female KickballCHILD DF - VEN 1</v>
      </c>
      <c r="B48" t="s">
        <v>52</v>
      </c>
      <c r="C48" t="s">
        <v>723</v>
      </c>
      <c r="D48" t="s">
        <v>589</v>
      </c>
    </row>
    <row r="49" spans="1:4" x14ac:dyDescent="0.2">
      <c r="A49" t="str">
        <f>Table1[[#This Row],[Tournament]]&amp;Table1[[#This Row],[Team]]</f>
        <v>Ch D Female KickballCHILD DF - ISR</v>
      </c>
      <c r="B49" t="s">
        <v>52</v>
      </c>
      <c r="C49" t="s">
        <v>723</v>
      </c>
      <c r="D49" t="s">
        <v>725</v>
      </c>
    </row>
    <row r="50" spans="1:4" x14ac:dyDescent="0.2">
      <c r="A50" t="str">
        <f>Table1[[#This Row],[Tournament]]&amp;Table1[[#This Row],[Team]]</f>
        <v>Ch D Female Mini SoccerCHILD DF - USA 2</v>
      </c>
      <c r="B50" t="s">
        <v>48</v>
      </c>
      <c r="C50" t="s">
        <v>722</v>
      </c>
      <c r="D50" t="s">
        <v>588</v>
      </c>
    </row>
    <row r="51" spans="1:4" x14ac:dyDescent="0.2">
      <c r="A51" t="str">
        <f>Table1[[#This Row],[Tournament]]&amp;Table1[[#This Row],[Team]]</f>
        <v>Ch D Female Mini SoccerCHILD DF - ARG 1</v>
      </c>
      <c r="B51" t="s">
        <v>48</v>
      </c>
      <c r="C51" t="s">
        <v>722</v>
      </c>
      <c r="D51" t="s">
        <v>583</v>
      </c>
    </row>
    <row r="52" spans="1:4" x14ac:dyDescent="0.2">
      <c r="A52" t="str">
        <f>Table1[[#This Row],[Tournament]]&amp;Table1[[#This Row],[Team]]</f>
        <v>Ch D Female Mini SoccerCHILD DF - MEX</v>
      </c>
      <c r="B52" t="s">
        <v>48</v>
      </c>
      <c r="C52" t="s">
        <v>722</v>
      </c>
      <c r="D52" t="s">
        <v>724</v>
      </c>
    </row>
    <row r="53" spans="1:4" x14ac:dyDescent="0.2">
      <c r="A53" t="str">
        <f>Table1[[#This Row],[Tournament]]&amp;Table1[[#This Row],[Team]]</f>
        <v>Ch D Female Mini SoccerCHILD DF - VEN 1</v>
      </c>
      <c r="B53" t="s">
        <v>48</v>
      </c>
      <c r="C53" t="s">
        <v>722</v>
      </c>
      <c r="D53" t="s">
        <v>589</v>
      </c>
    </row>
    <row r="54" spans="1:4" x14ac:dyDescent="0.2">
      <c r="A54" t="str">
        <f>Table1[[#This Row],[Tournament]]&amp;Table1[[#This Row],[Team]]</f>
        <v>Ch D Female Mini SoccerCHILD DF - COL 1</v>
      </c>
      <c r="B54" t="s">
        <v>48</v>
      </c>
      <c r="C54" t="s">
        <v>723</v>
      </c>
      <c r="D54" t="s">
        <v>586</v>
      </c>
    </row>
    <row r="55" spans="1:4" x14ac:dyDescent="0.2">
      <c r="A55" t="str">
        <f>Table1[[#This Row],[Tournament]]&amp;Table1[[#This Row],[Team]]</f>
        <v>Ch D Female Mini SoccerCHILD DF - USA 1</v>
      </c>
      <c r="B55" t="s">
        <v>48</v>
      </c>
      <c r="C55" t="s">
        <v>723</v>
      </c>
      <c r="D55" t="s">
        <v>587</v>
      </c>
    </row>
    <row r="56" spans="1:4" x14ac:dyDescent="0.2">
      <c r="A56" t="str">
        <f>Table1[[#This Row],[Tournament]]&amp;Table1[[#This Row],[Team]]</f>
        <v>Ch D Female Mini SoccerCHILD DF - VEN 2</v>
      </c>
      <c r="B56" t="s">
        <v>48</v>
      </c>
      <c r="C56" t="s">
        <v>723</v>
      </c>
      <c r="D56" t="s">
        <v>590</v>
      </c>
    </row>
    <row r="57" spans="1:4" x14ac:dyDescent="0.2">
      <c r="A57" t="str">
        <f>Table1[[#This Row],[Tournament]]&amp;Table1[[#This Row],[Team]]</f>
        <v>Ch D Female Mini SoccerCHILD DF - ISR</v>
      </c>
      <c r="B57" t="s">
        <v>48</v>
      </c>
      <c r="C57" t="s">
        <v>723</v>
      </c>
      <c r="D57" t="s">
        <v>725</v>
      </c>
    </row>
    <row r="58" spans="1:4" x14ac:dyDescent="0.2">
      <c r="A58" t="str">
        <f>Table1[[#This Row],[Tournament]]&amp;Table1[[#This Row],[Team]]</f>
        <v>Ch D Female VolleyballCHILD DF - COL 1</v>
      </c>
      <c r="B58" t="s">
        <v>520</v>
      </c>
      <c r="C58" t="s">
        <v>722</v>
      </c>
      <c r="D58" t="s">
        <v>586</v>
      </c>
    </row>
    <row r="59" spans="1:4" x14ac:dyDescent="0.2">
      <c r="A59" t="str">
        <f>Table1[[#This Row],[Tournament]]&amp;Table1[[#This Row],[Team]]</f>
        <v>Ch D Female VolleyballCHILD DF - USA 2</v>
      </c>
      <c r="B59" t="s">
        <v>520</v>
      </c>
      <c r="C59" t="s">
        <v>722</v>
      </c>
      <c r="D59" t="s">
        <v>588</v>
      </c>
    </row>
    <row r="60" spans="1:4" x14ac:dyDescent="0.2">
      <c r="A60" t="str">
        <f>Table1[[#This Row],[Tournament]]&amp;Table1[[#This Row],[Team]]</f>
        <v>Ch D Female VolleyballCHILD DF - VEN 2</v>
      </c>
      <c r="B60" t="s">
        <v>520</v>
      </c>
      <c r="C60" t="s">
        <v>722</v>
      </c>
      <c r="D60" t="s">
        <v>590</v>
      </c>
    </row>
    <row r="61" spans="1:4" x14ac:dyDescent="0.2">
      <c r="A61" t="str">
        <f>Table1[[#This Row],[Tournament]]&amp;Table1[[#This Row],[Team]]</f>
        <v>Ch D Female VolleyballCHILD DF - MEX</v>
      </c>
      <c r="B61" t="s">
        <v>520</v>
      </c>
      <c r="C61" t="s">
        <v>722</v>
      </c>
      <c r="D61" t="s">
        <v>724</v>
      </c>
    </row>
    <row r="62" spans="1:4" x14ac:dyDescent="0.2">
      <c r="A62" t="str">
        <f>Table1[[#This Row],[Tournament]]&amp;Table1[[#This Row],[Team]]</f>
        <v>Ch D Female VolleyballCHILD DF - USA 1</v>
      </c>
      <c r="B62" t="s">
        <v>520</v>
      </c>
      <c r="C62" t="s">
        <v>723</v>
      </c>
      <c r="D62" t="s">
        <v>587</v>
      </c>
    </row>
    <row r="63" spans="1:4" x14ac:dyDescent="0.2">
      <c r="A63" t="str">
        <f>Table1[[#This Row],[Tournament]]&amp;Table1[[#This Row],[Team]]</f>
        <v>Ch D Female VolleyballCHILD DF - ISR</v>
      </c>
      <c r="B63" t="s">
        <v>520</v>
      </c>
      <c r="C63" t="s">
        <v>723</v>
      </c>
      <c r="D63" t="s">
        <v>725</v>
      </c>
    </row>
    <row r="64" spans="1:4" x14ac:dyDescent="0.2">
      <c r="A64" t="str">
        <f>Table1[[#This Row],[Tournament]]&amp;Table1[[#This Row],[Team]]</f>
        <v>Ch D Female VolleyballCHILD DF - VEN 1</v>
      </c>
      <c r="B64" t="s">
        <v>520</v>
      </c>
      <c r="C64" t="s">
        <v>723</v>
      </c>
      <c r="D64" t="s">
        <v>589</v>
      </c>
    </row>
    <row r="65" spans="1:4" x14ac:dyDescent="0.2">
      <c r="A65" t="str">
        <f>Table1[[#This Row],[Tournament]]&amp;Table1[[#This Row],[Team]]</f>
        <v>Ch D Female VolleyballCHILD DF - ARG 1</v>
      </c>
      <c r="B65" t="s">
        <v>520</v>
      </c>
      <c r="C65" t="s">
        <v>723</v>
      </c>
      <c r="D65" t="s">
        <v>583</v>
      </c>
    </row>
    <row r="66" spans="1:4" x14ac:dyDescent="0.2">
      <c r="A66" t="str">
        <f>Table1[[#This Row],[Tournament]]&amp;Table1[[#This Row],[Team]]</f>
        <v>Junior B Male BasketballJR B M - VEN 1</v>
      </c>
      <c r="B66" t="s">
        <v>76</v>
      </c>
      <c r="C66" t="s">
        <v>722</v>
      </c>
      <c r="D66" t="s">
        <v>656</v>
      </c>
    </row>
    <row r="67" spans="1:4" x14ac:dyDescent="0.2">
      <c r="A67" t="str">
        <f>Table1[[#This Row],[Tournament]]&amp;Table1[[#This Row],[Team]]</f>
        <v>Junior B Male BasketballJR B M - USA 2</v>
      </c>
      <c r="B67" t="s">
        <v>76</v>
      </c>
      <c r="C67" t="s">
        <v>722</v>
      </c>
      <c r="D67" t="s">
        <v>655</v>
      </c>
    </row>
    <row r="68" spans="1:4" x14ac:dyDescent="0.2">
      <c r="A68" t="str">
        <f>Table1[[#This Row],[Tournament]]&amp;Table1[[#This Row],[Team]]</f>
        <v>Junior B Male BasketballJR B M - PER</v>
      </c>
      <c r="B68" t="s">
        <v>76</v>
      </c>
      <c r="C68" t="s">
        <v>722</v>
      </c>
      <c r="D68" t="s">
        <v>653</v>
      </c>
    </row>
    <row r="69" spans="1:4" x14ac:dyDescent="0.2">
      <c r="A69" t="str">
        <f>Table1[[#This Row],[Tournament]]&amp;Table1[[#This Row],[Team]]</f>
        <v>Junior B Male BasketballJR B M - USA 1</v>
      </c>
      <c r="B69" t="s">
        <v>76</v>
      </c>
      <c r="C69" t="s">
        <v>722</v>
      </c>
      <c r="D69" t="s">
        <v>654</v>
      </c>
    </row>
    <row r="70" spans="1:4" x14ac:dyDescent="0.2">
      <c r="A70" t="str">
        <f>Table1[[#This Row],[Tournament]]&amp;Table1[[#This Row],[Team]]</f>
        <v>Junior B Male BasketballJR B M - ARG 1</v>
      </c>
      <c r="B70" t="s">
        <v>76</v>
      </c>
      <c r="C70" t="s">
        <v>723</v>
      </c>
      <c r="D70" t="s">
        <v>648</v>
      </c>
    </row>
    <row r="71" spans="1:4" x14ac:dyDescent="0.2">
      <c r="A71" t="str">
        <f>Table1[[#This Row],[Tournament]]&amp;Table1[[#This Row],[Team]]</f>
        <v>Junior B Male BasketballJR B M - COL 1</v>
      </c>
      <c r="B71" t="s">
        <v>76</v>
      </c>
      <c r="C71" t="s">
        <v>723</v>
      </c>
      <c r="D71" t="s">
        <v>650</v>
      </c>
    </row>
    <row r="72" spans="1:4" x14ac:dyDescent="0.2">
      <c r="A72" t="str">
        <f>Table1[[#This Row],[Tournament]]&amp;Table1[[#This Row],[Team]]</f>
        <v>Junior B Male BasketballJR B M - ISR 1</v>
      </c>
      <c r="B72" t="s">
        <v>76</v>
      </c>
      <c r="C72" t="s">
        <v>723</v>
      </c>
      <c r="D72" t="s">
        <v>651</v>
      </c>
    </row>
    <row r="73" spans="1:4" x14ac:dyDescent="0.2">
      <c r="A73" t="str">
        <f>Table1[[#This Row],[Tournament]]&amp;Table1[[#This Row],[Team]]</f>
        <v>Junior B Male BasketballJR B M - MEX</v>
      </c>
      <c r="B73" t="s">
        <v>76</v>
      </c>
      <c r="C73" t="s">
        <v>723</v>
      </c>
      <c r="D73" t="s">
        <v>652</v>
      </c>
    </row>
    <row r="74" spans="1:4" x14ac:dyDescent="0.2">
      <c r="A74" t="str">
        <f>Table1[[#This Row],[Tournament]]&amp;Table1[[#This Row],[Team]]</f>
        <v>Junior B Male Flag FootballJR B M - USA 2</v>
      </c>
      <c r="B74" t="s">
        <v>77</v>
      </c>
      <c r="C74" t="s">
        <v>722</v>
      </c>
      <c r="D74" t="s">
        <v>655</v>
      </c>
    </row>
    <row r="75" spans="1:4" x14ac:dyDescent="0.2">
      <c r="A75" t="str">
        <f>Table1[[#This Row],[Tournament]]&amp;Table1[[#This Row],[Team]]</f>
        <v>Junior B Male Flag FootballJR B M - ISR 1</v>
      </c>
      <c r="B75" t="s">
        <v>77</v>
      </c>
      <c r="C75" t="s">
        <v>722</v>
      </c>
      <c r="D75" t="s">
        <v>651</v>
      </c>
    </row>
    <row r="76" spans="1:4" x14ac:dyDescent="0.2">
      <c r="A76" t="str">
        <f>Table1[[#This Row],[Tournament]]&amp;Table1[[#This Row],[Team]]</f>
        <v>Junior B Male Flag FootballJR B M - ARG 1</v>
      </c>
      <c r="B76" t="s">
        <v>77</v>
      </c>
      <c r="C76" t="s">
        <v>722</v>
      </c>
      <c r="D76" t="s">
        <v>648</v>
      </c>
    </row>
    <row r="77" spans="1:4" x14ac:dyDescent="0.2">
      <c r="A77" t="str">
        <f>Table1[[#This Row],[Tournament]]&amp;Table1[[#This Row],[Team]]</f>
        <v>Junior B Male Flag FootballJR B M - PER</v>
      </c>
      <c r="B77" t="s">
        <v>77</v>
      </c>
      <c r="C77" t="s">
        <v>722</v>
      </c>
      <c r="D77" t="s">
        <v>653</v>
      </c>
    </row>
    <row r="78" spans="1:4" x14ac:dyDescent="0.2">
      <c r="A78" t="str">
        <f>Table1[[#This Row],[Tournament]]&amp;Table1[[#This Row],[Team]]</f>
        <v>Junior B Male Flag FootballJR B M - COL 1</v>
      </c>
      <c r="B78" t="s">
        <v>77</v>
      </c>
      <c r="C78" t="s">
        <v>723</v>
      </c>
      <c r="D78" t="s">
        <v>650</v>
      </c>
    </row>
    <row r="79" spans="1:4" x14ac:dyDescent="0.2">
      <c r="A79" t="str">
        <f>Table1[[#This Row],[Tournament]]&amp;Table1[[#This Row],[Team]]</f>
        <v>Junior B Male Flag FootballJR B M - MEX</v>
      </c>
      <c r="B79" t="s">
        <v>77</v>
      </c>
      <c r="C79" t="s">
        <v>723</v>
      </c>
      <c r="D79" t="s">
        <v>652</v>
      </c>
    </row>
    <row r="80" spans="1:4" x14ac:dyDescent="0.2">
      <c r="A80" t="str">
        <f>Table1[[#This Row],[Tournament]]&amp;Table1[[#This Row],[Team]]</f>
        <v>Junior B Male Flag FootballJR B M - USA 1</v>
      </c>
      <c r="B80" t="s">
        <v>77</v>
      </c>
      <c r="C80" t="s">
        <v>723</v>
      </c>
      <c r="D80" t="s">
        <v>654</v>
      </c>
    </row>
    <row r="81" spans="1:4" x14ac:dyDescent="0.2">
      <c r="A81" t="str">
        <f>Table1[[#This Row],[Tournament]]&amp;Table1[[#This Row],[Team]]</f>
        <v>Junior B Male Flag FootballJR B M - VEN 1</v>
      </c>
      <c r="B81" t="s">
        <v>77</v>
      </c>
      <c r="C81" t="s">
        <v>723</v>
      </c>
      <c r="D81" t="s">
        <v>656</v>
      </c>
    </row>
    <row r="82" spans="1:4" x14ac:dyDescent="0.2">
      <c r="A82" t="str">
        <f>Table1[[#This Row],[Tournament]]&amp;Table1[[#This Row],[Team]]</f>
        <v>Junior B Male Mini SoccerJR B M - ARG 1</v>
      </c>
      <c r="B82" t="s">
        <v>75</v>
      </c>
      <c r="C82" t="s">
        <v>722</v>
      </c>
      <c r="D82" t="s">
        <v>648</v>
      </c>
    </row>
    <row r="83" spans="1:4" x14ac:dyDescent="0.2">
      <c r="A83" t="str">
        <f>Table1[[#This Row],[Tournament]]&amp;Table1[[#This Row],[Team]]</f>
        <v>Junior B Male Mini SoccerJR B M - VEN 1</v>
      </c>
      <c r="B83" t="s">
        <v>75</v>
      </c>
      <c r="C83" t="s">
        <v>722</v>
      </c>
      <c r="D83" t="s">
        <v>656</v>
      </c>
    </row>
    <row r="84" spans="1:4" x14ac:dyDescent="0.2">
      <c r="A84" t="str">
        <f>Table1[[#This Row],[Tournament]]&amp;Table1[[#This Row],[Team]]</f>
        <v>Junior B Male Mini SoccerJR B M - USA 1</v>
      </c>
      <c r="B84" t="s">
        <v>75</v>
      </c>
      <c r="C84" t="s">
        <v>722</v>
      </c>
      <c r="D84" t="s">
        <v>654</v>
      </c>
    </row>
    <row r="85" spans="1:4" x14ac:dyDescent="0.2">
      <c r="A85" t="str">
        <f>Table1[[#This Row],[Tournament]]&amp;Table1[[#This Row],[Team]]</f>
        <v>Junior B Male Mini SoccerJR B M - MEX</v>
      </c>
      <c r="B85" t="s">
        <v>75</v>
      </c>
      <c r="C85" t="s">
        <v>722</v>
      </c>
      <c r="D85" t="s">
        <v>652</v>
      </c>
    </row>
    <row r="86" spans="1:4" x14ac:dyDescent="0.2">
      <c r="A86" t="str">
        <f>Table1[[#This Row],[Tournament]]&amp;Table1[[#This Row],[Team]]</f>
        <v>Junior B Male Mini SoccerJR B M - COL 1</v>
      </c>
      <c r="B86" t="s">
        <v>75</v>
      </c>
      <c r="C86" t="s">
        <v>723</v>
      </c>
      <c r="D86" t="s">
        <v>650</v>
      </c>
    </row>
    <row r="87" spans="1:4" x14ac:dyDescent="0.2">
      <c r="A87" t="str">
        <f>Table1[[#This Row],[Tournament]]&amp;Table1[[#This Row],[Team]]</f>
        <v>Junior B Male Mini SoccerJR B M - ISR 1</v>
      </c>
      <c r="B87" t="s">
        <v>75</v>
      </c>
      <c r="C87" t="s">
        <v>723</v>
      </c>
      <c r="D87" t="s">
        <v>651</v>
      </c>
    </row>
    <row r="88" spans="1:4" x14ac:dyDescent="0.2">
      <c r="A88" t="str">
        <f>Table1[[#This Row],[Tournament]]&amp;Table1[[#This Row],[Team]]</f>
        <v>Junior B Male Mini SoccerJR B M - PER</v>
      </c>
      <c r="B88" t="s">
        <v>75</v>
      </c>
      <c r="C88" t="s">
        <v>723</v>
      </c>
      <c r="D88" t="s">
        <v>653</v>
      </c>
    </row>
    <row r="89" spans="1:4" x14ac:dyDescent="0.2">
      <c r="A89" t="str">
        <f>Table1[[#This Row],[Tournament]]&amp;Table1[[#This Row],[Team]]</f>
        <v>Junior B Male Mini SoccerJR B M - USA 2</v>
      </c>
      <c r="B89" t="s">
        <v>75</v>
      </c>
      <c r="C89" t="s">
        <v>723</v>
      </c>
      <c r="D89" t="s">
        <v>655</v>
      </c>
    </row>
    <row r="90" spans="1:4" x14ac:dyDescent="0.2">
      <c r="A90" t="str">
        <f>Table1[[#This Row],[Tournament]]&amp;Table1[[#This Row],[Team]]</f>
        <v>Junior B Male VolleyballJR B M - COL 1</v>
      </c>
      <c r="B90" t="s">
        <v>78</v>
      </c>
      <c r="C90" t="s">
        <v>722</v>
      </c>
      <c r="D90" t="s">
        <v>650</v>
      </c>
    </row>
    <row r="91" spans="1:4" x14ac:dyDescent="0.2">
      <c r="A91" t="str">
        <f>Table1[[#This Row],[Tournament]]&amp;Table1[[#This Row],[Team]]</f>
        <v>Junior B Male VolleyballJR B M - MEX</v>
      </c>
      <c r="B91" t="s">
        <v>78</v>
      </c>
      <c r="C91" t="s">
        <v>722</v>
      </c>
      <c r="D91" t="s">
        <v>652</v>
      </c>
    </row>
    <row r="92" spans="1:4" x14ac:dyDescent="0.2">
      <c r="A92" t="str">
        <f>Table1[[#This Row],[Tournament]]&amp;Table1[[#This Row],[Team]]</f>
        <v>Junior B Male VolleyballJR B M - USA 1</v>
      </c>
      <c r="B92" t="s">
        <v>78</v>
      </c>
      <c r="C92" t="s">
        <v>722</v>
      </c>
      <c r="D92" t="s">
        <v>654</v>
      </c>
    </row>
    <row r="93" spans="1:4" x14ac:dyDescent="0.2">
      <c r="A93" t="str">
        <f>Table1[[#This Row],[Tournament]]&amp;Table1[[#This Row],[Team]]</f>
        <v>Junior B Male VolleyballJR B M - USA 2</v>
      </c>
      <c r="B93" t="s">
        <v>78</v>
      </c>
      <c r="C93" t="s">
        <v>722</v>
      </c>
      <c r="D93" t="s">
        <v>655</v>
      </c>
    </row>
    <row r="94" spans="1:4" x14ac:dyDescent="0.2">
      <c r="A94" t="str">
        <f>Table1[[#This Row],[Tournament]]&amp;Table1[[#This Row],[Team]]</f>
        <v>Junior B Male VolleyballJR B M - ISR 1</v>
      </c>
      <c r="B94" t="s">
        <v>78</v>
      </c>
      <c r="C94" t="s">
        <v>723</v>
      </c>
      <c r="D94" t="s">
        <v>651</v>
      </c>
    </row>
    <row r="95" spans="1:4" x14ac:dyDescent="0.2">
      <c r="A95" t="str">
        <f>Table1[[#This Row],[Tournament]]&amp;Table1[[#This Row],[Team]]</f>
        <v>Junior B Male VolleyballJR B M - VEN 1</v>
      </c>
      <c r="B95" t="s">
        <v>78</v>
      </c>
      <c r="C95" t="s">
        <v>723</v>
      </c>
      <c r="D95" t="s">
        <v>656</v>
      </c>
    </row>
    <row r="96" spans="1:4" x14ac:dyDescent="0.2">
      <c r="A96" t="str">
        <f>Table1[[#This Row],[Tournament]]&amp;Table1[[#This Row],[Team]]</f>
        <v>Junior B Male VolleyballJR B M - PER</v>
      </c>
      <c r="B96" t="s">
        <v>78</v>
      </c>
      <c r="C96" t="s">
        <v>723</v>
      </c>
      <c r="D96" t="s">
        <v>653</v>
      </c>
    </row>
    <row r="97" spans="1:4" x14ac:dyDescent="0.2">
      <c r="A97" t="str">
        <f>Table1[[#This Row],[Tournament]]&amp;Table1[[#This Row],[Team]]</f>
        <v>Junior B Male VolleyballJR B M - ARG 1</v>
      </c>
      <c r="B97" t="s">
        <v>78</v>
      </c>
      <c r="C97" t="s">
        <v>723</v>
      </c>
      <c r="D97" t="s">
        <v>648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theme="1"/>
  </sheetPr>
  <dimension ref="A1:B839"/>
  <sheetViews>
    <sheetView topLeftCell="A31" workbookViewId="0">
      <selection activeCell="E56" sqref="E56"/>
    </sheetView>
  </sheetViews>
  <sheetFormatPr baseColWidth="10" defaultColWidth="8.83203125" defaultRowHeight="15" x14ac:dyDescent="0.2"/>
  <cols>
    <col min="1" max="1" width="33.5" customWidth="1"/>
    <col min="2" max="2" width="12" style="453" customWidth="1"/>
  </cols>
  <sheetData>
    <row r="1" spans="1:2" x14ac:dyDescent="0.2">
      <c r="A1" t="s">
        <v>756</v>
      </c>
      <c r="B1" s="453" t="s">
        <v>757</v>
      </c>
    </row>
    <row r="2" spans="1:2" x14ac:dyDescent="0.2">
      <c r="A2" t="s">
        <v>462</v>
      </c>
      <c r="B2" s="420">
        <v>2</v>
      </c>
    </row>
    <row r="3" spans="1:2" ht="16" x14ac:dyDescent="0.2">
      <c r="A3" s="147" t="s">
        <v>79</v>
      </c>
      <c r="B3" s="420">
        <v>2</v>
      </c>
    </row>
    <row r="4" spans="1:2" ht="16" x14ac:dyDescent="0.2">
      <c r="A4" s="315" t="s">
        <v>461</v>
      </c>
      <c r="B4" s="420">
        <v>4</v>
      </c>
    </row>
    <row r="5" spans="1:2" ht="16" x14ac:dyDescent="0.2">
      <c r="A5" s="315" t="s">
        <v>80</v>
      </c>
      <c r="B5" s="420">
        <v>2</v>
      </c>
    </row>
    <row r="6" spans="1:2" ht="16" x14ac:dyDescent="0.2">
      <c r="A6" s="315" t="s">
        <v>85</v>
      </c>
      <c r="B6" s="431">
        <v>2</v>
      </c>
    </row>
    <row r="7" spans="1:2" ht="16" x14ac:dyDescent="0.2">
      <c r="A7" s="315" t="s">
        <v>81</v>
      </c>
      <c r="B7" s="431">
        <v>4</v>
      </c>
    </row>
    <row r="8" spans="1:2" ht="16" x14ac:dyDescent="0.2">
      <c r="A8" s="315" t="s">
        <v>86</v>
      </c>
      <c r="B8" s="431">
        <v>2</v>
      </c>
    </row>
    <row r="9" spans="1:2" ht="16" x14ac:dyDescent="0.2">
      <c r="A9" s="147" t="s">
        <v>465</v>
      </c>
      <c r="B9" s="431">
        <v>0</v>
      </c>
    </row>
    <row r="10" spans="1:2" x14ac:dyDescent="0.2">
      <c r="A10" t="s">
        <v>31</v>
      </c>
      <c r="B10" s="420">
        <v>0</v>
      </c>
    </row>
    <row r="11" spans="1:2" x14ac:dyDescent="0.2">
      <c r="A11" t="s">
        <v>33</v>
      </c>
      <c r="B11" s="420">
        <v>0</v>
      </c>
    </row>
    <row r="12" spans="1:2" x14ac:dyDescent="0.2">
      <c r="A12" t="s">
        <v>30</v>
      </c>
      <c r="B12" s="420">
        <v>0</v>
      </c>
    </row>
    <row r="13" spans="1:2" ht="16" x14ac:dyDescent="0.2">
      <c r="A13" s="147" t="s">
        <v>32</v>
      </c>
      <c r="B13" s="420">
        <v>0</v>
      </c>
    </row>
    <row r="14" spans="1:2" ht="16" x14ac:dyDescent="0.2">
      <c r="A14" s="315" t="s">
        <v>35</v>
      </c>
      <c r="B14" s="431">
        <v>1</v>
      </c>
    </row>
    <row r="15" spans="1:2" ht="16" x14ac:dyDescent="0.2">
      <c r="A15" s="315" t="s">
        <v>37</v>
      </c>
      <c r="B15" s="431">
        <v>1</v>
      </c>
    </row>
    <row r="16" spans="1:2" ht="16" x14ac:dyDescent="0.2">
      <c r="A16" s="315" t="s">
        <v>34</v>
      </c>
      <c r="B16" s="431">
        <v>1</v>
      </c>
    </row>
    <row r="17" spans="1:2" ht="16" x14ac:dyDescent="0.2">
      <c r="A17" s="315" t="s">
        <v>36</v>
      </c>
      <c r="B17" s="431">
        <v>1</v>
      </c>
    </row>
    <row r="18" spans="1:2" ht="16" x14ac:dyDescent="0.2">
      <c r="A18" s="315" t="s">
        <v>39</v>
      </c>
      <c r="B18" s="420">
        <v>2</v>
      </c>
    </row>
    <row r="19" spans="1:2" ht="16" x14ac:dyDescent="0.2">
      <c r="A19" s="315" t="s">
        <v>42</v>
      </c>
      <c r="B19" s="420">
        <v>2</v>
      </c>
    </row>
    <row r="20" spans="1:2" ht="16" x14ac:dyDescent="0.2">
      <c r="A20" s="315" t="s">
        <v>38</v>
      </c>
      <c r="B20" s="420">
        <v>2</v>
      </c>
    </row>
    <row r="21" spans="1:2" ht="16" x14ac:dyDescent="0.2">
      <c r="A21" s="315" t="s">
        <v>523</v>
      </c>
      <c r="B21" s="420">
        <v>2</v>
      </c>
    </row>
    <row r="22" spans="1:2" ht="16" x14ac:dyDescent="0.2">
      <c r="A22" s="315" t="s">
        <v>44</v>
      </c>
      <c r="B22" s="431">
        <v>2</v>
      </c>
    </row>
    <row r="23" spans="1:2" ht="16" x14ac:dyDescent="0.2">
      <c r="A23" s="315" t="s">
        <v>46</v>
      </c>
      <c r="B23" s="431">
        <v>2</v>
      </c>
    </row>
    <row r="24" spans="1:2" ht="16" x14ac:dyDescent="0.2">
      <c r="A24" s="315" t="s">
        <v>47</v>
      </c>
      <c r="B24" s="431">
        <v>2</v>
      </c>
    </row>
    <row r="25" spans="1:2" ht="16" x14ac:dyDescent="0.2">
      <c r="A25" s="315" t="s">
        <v>43</v>
      </c>
      <c r="B25" s="431">
        <v>2</v>
      </c>
    </row>
    <row r="26" spans="1:2" ht="16" x14ac:dyDescent="0.2">
      <c r="A26" s="315" t="s">
        <v>49</v>
      </c>
      <c r="B26" s="420">
        <v>1</v>
      </c>
    </row>
    <row r="27" spans="1:2" ht="16" x14ac:dyDescent="0.2">
      <c r="A27" s="147" t="s">
        <v>52</v>
      </c>
      <c r="B27" s="420">
        <v>1</v>
      </c>
    </row>
    <row r="28" spans="1:2" ht="16" x14ac:dyDescent="0.2">
      <c r="A28" s="315" t="s">
        <v>48</v>
      </c>
      <c r="B28" s="420">
        <v>1</v>
      </c>
    </row>
    <row r="29" spans="1:2" ht="16" x14ac:dyDescent="0.2">
      <c r="A29" s="315" t="s">
        <v>520</v>
      </c>
      <c r="B29" s="420">
        <v>1</v>
      </c>
    </row>
    <row r="30" spans="1:2" ht="16" x14ac:dyDescent="0.2">
      <c r="A30" s="315" t="s">
        <v>54</v>
      </c>
      <c r="B30" s="431">
        <v>4</v>
      </c>
    </row>
    <row r="31" spans="1:2" ht="16" x14ac:dyDescent="0.2">
      <c r="A31" s="315" t="s">
        <v>55</v>
      </c>
      <c r="B31" s="431">
        <v>4</v>
      </c>
    </row>
    <row r="32" spans="1:2" ht="16" x14ac:dyDescent="0.2">
      <c r="A32" s="315" t="s">
        <v>57</v>
      </c>
      <c r="B32" s="431">
        <v>4</v>
      </c>
    </row>
    <row r="33" spans="1:2" ht="16" x14ac:dyDescent="0.2">
      <c r="A33" s="315" t="s">
        <v>53</v>
      </c>
      <c r="B33" s="431">
        <v>4</v>
      </c>
    </row>
    <row r="34" spans="1:2" ht="16" x14ac:dyDescent="0.2">
      <c r="A34" s="315" t="s">
        <v>59</v>
      </c>
      <c r="B34" s="420">
        <v>2</v>
      </c>
    </row>
    <row r="35" spans="1:2" ht="16" x14ac:dyDescent="0.2">
      <c r="A35" s="315" t="s">
        <v>145</v>
      </c>
      <c r="B35" s="420">
        <v>2</v>
      </c>
    </row>
    <row r="36" spans="1:2" ht="16" x14ac:dyDescent="0.2">
      <c r="A36" s="315" t="s">
        <v>58</v>
      </c>
      <c r="B36" s="420">
        <v>2</v>
      </c>
    </row>
    <row r="37" spans="1:2" ht="16" x14ac:dyDescent="0.2">
      <c r="A37" s="315" t="s">
        <v>61</v>
      </c>
      <c r="B37" s="420">
        <v>2</v>
      </c>
    </row>
    <row r="38" spans="1:2" ht="16" x14ac:dyDescent="0.2">
      <c r="A38" s="315" t="s">
        <v>63</v>
      </c>
      <c r="B38" s="431">
        <v>4</v>
      </c>
    </row>
    <row r="39" spans="1:2" ht="16" x14ac:dyDescent="0.2">
      <c r="A39" s="315" t="s">
        <v>65</v>
      </c>
      <c r="B39" s="431">
        <v>4</v>
      </c>
    </row>
    <row r="40" spans="1:2" ht="16" x14ac:dyDescent="0.2">
      <c r="A40" s="147" t="s">
        <v>732</v>
      </c>
      <c r="B40" s="431">
        <v>4</v>
      </c>
    </row>
    <row r="41" spans="1:2" ht="16" x14ac:dyDescent="0.2">
      <c r="A41" s="315" t="s">
        <v>62</v>
      </c>
      <c r="B41" s="431">
        <v>4</v>
      </c>
    </row>
    <row r="42" spans="1:2" ht="16" x14ac:dyDescent="0.2">
      <c r="A42" s="153" t="s">
        <v>66</v>
      </c>
      <c r="B42" s="431">
        <v>2</v>
      </c>
    </row>
    <row r="43" spans="1:2" ht="16" x14ac:dyDescent="0.2">
      <c r="A43" s="121" t="s">
        <v>513</v>
      </c>
      <c r="B43" s="438">
        <v>2</v>
      </c>
    </row>
    <row r="44" spans="1:2" ht="16" x14ac:dyDescent="0.2">
      <c r="A44" s="121" t="s">
        <v>514</v>
      </c>
      <c r="B44" s="438">
        <v>2</v>
      </c>
    </row>
    <row r="45" spans="1:2" ht="16" x14ac:dyDescent="0.2">
      <c r="A45" s="121" t="s">
        <v>512</v>
      </c>
      <c r="B45" s="438">
        <v>2</v>
      </c>
    </row>
    <row r="46" spans="1:2" ht="16" x14ac:dyDescent="0.2">
      <c r="A46" s="121" t="s">
        <v>515</v>
      </c>
      <c r="B46" s="438">
        <v>2</v>
      </c>
    </row>
    <row r="47" spans="1:2" ht="16" x14ac:dyDescent="0.2">
      <c r="A47" s="315" t="s">
        <v>72</v>
      </c>
      <c r="B47" s="431">
        <v>4</v>
      </c>
    </row>
    <row r="48" spans="1:2" ht="16" x14ac:dyDescent="0.2">
      <c r="A48" s="315" t="s">
        <v>73</v>
      </c>
      <c r="B48" s="431">
        <v>4</v>
      </c>
    </row>
    <row r="49" spans="1:2" ht="16" x14ac:dyDescent="0.2">
      <c r="A49" s="315" t="s">
        <v>71</v>
      </c>
      <c r="B49" s="431">
        <v>4</v>
      </c>
    </row>
    <row r="50" spans="1:2" ht="16" x14ac:dyDescent="0.2">
      <c r="A50" s="147" t="s">
        <v>74</v>
      </c>
      <c r="B50" s="431">
        <v>2</v>
      </c>
    </row>
    <row r="51" spans="1:2" ht="16" x14ac:dyDescent="0.2">
      <c r="A51" s="315" t="s">
        <v>76</v>
      </c>
      <c r="B51" s="420">
        <v>2</v>
      </c>
    </row>
    <row r="52" spans="1:2" ht="16" x14ac:dyDescent="0.2">
      <c r="A52" s="315" t="s">
        <v>77</v>
      </c>
      <c r="B52" s="420">
        <v>2</v>
      </c>
    </row>
    <row r="53" spans="1:2" ht="16" x14ac:dyDescent="0.2">
      <c r="A53" s="315" t="s">
        <v>75</v>
      </c>
      <c r="B53" s="420">
        <v>2</v>
      </c>
    </row>
    <row r="54" spans="1:2" ht="16" x14ac:dyDescent="0.2">
      <c r="A54" s="147" t="s">
        <v>78</v>
      </c>
      <c r="B54" s="420">
        <v>1</v>
      </c>
    </row>
    <row r="55" spans="1:2" ht="16" x14ac:dyDescent="0.2">
      <c r="A55" s="315" t="s">
        <v>68</v>
      </c>
      <c r="B55" s="431">
        <v>4</v>
      </c>
    </row>
    <row r="56" spans="1:2" ht="16" x14ac:dyDescent="0.2">
      <c r="A56" s="315" t="s">
        <v>69</v>
      </c>
      <c r="B56" s="431">
        <v>4</v>
      </c>
    </row>
    <row r="57" spans="1:2" ht="16" x14ac:dyDescent="0.2">
      <c r="A57" s="315" t="s">
        <v>67</v>
      </c>
      <c r="B57" s="431">
        <v>4</v>
      </c>
    </row>
    <row r="58" spans="1:2" ht="16" x14ac:dyDescent="0.2">
      <c r="A58" s="147" t="s">
        <v>70</v>
      </c>
      <c r="B58" s="431">
        <v>4</v>
      </c>
    </row>
    <row r="59" spans="1:2" ht="16" x14ac:dyDescent="0.2">
      <c r="A59" s="315" t="s">
        <v>517</v>
      </c>
      <c r="B59" s="420">
        <v>4</v>
      </c>
    </row>
    <row r="60" spans="1:2" ht="16" x14ac:dyDescent="0.2">
      <c r="A60" s="315" t="s">
        <v>516</v>
      </c>
      <c r="B60" s="420">
        <v>4</v>
      </c>
    </row>
    <row r="61" spans="1:2" x14ac:dyDescent="0.2">
      <c r="B61" s="452"/>
    </row>
    <row r="62" spans="1:2" x14ac:dyDescent="0.2">
      <c r="B62" s="452"/>
    </row>
    <row r="63" spans="1:2" x14ac:dyDescent="0.2">
      <c r="B63" s="452"/>
    </row>
    <row r="64" spans="1:2" x14ac:dyDescent="0.2">
      <c r="B64" s="452"/>
    </row>
    <row r="65" spans="2:2" x14ac:dyDescent="0.2">
      <c r="B65" s="452"/>
    </row>
    <row r="66" spans="2:2" x14ac:dyDescent="0.2">
      <c r="B66" s="452"/>
    </row>
    <row r="67" spans="2:2" x14ac:dyDescent="0.2">
      <c r="B67" s="452"/>
    </row>
    <row r="68" spans="2:2" x14ac:dyDescent="0.2">
      <c r="B68" s="452"/>
    </row>
    <row r="69" spans="2:2" x14ac:dyDescent="0.2">
      <c r="B69" s="452"/>
    </row>
    <row r="70" spans="2:2" x14ac:dyDescent="0.2">
      <c r="B70" s="452"/>
    </row>
    <row r="71" spans="2:2" x14ac:dyDescent="0.2">
      <c r="B71" s="452"/>
    </row>
    <row r="72" spans="2:2" x14ac:dyDescent="0.2">
      <c r="B72" s="452"/>
    </row>
    <row r="73" spans="2:2" x14ac:dyDescent="0.2">
      <c r="B73" s="452"/>
    </row>
    <row r="74" spans="2:2" x14ac:dyDescent="0.2">
      <c r="B74" s="452"/>
    </row>
    <row r="75" spans="2:2" x14ac:dyDescent="0.2">
      <c r="B75" s="452"/>
    </row>
    <row r="76" spans="2:2" x14ac:dyDescent="0.2">
      <c r="B76" s="452"/>
    </row>
    <row r="77" spans="2:2" x14ac:dyDescent="0.2">
      <c r="B77" s="452"/>
    </row>
    <row r="78" spans="2:2" x14ac:dyDescent="0.2">
      <c r="B78" s="452"/>
    </row>
    <row r="79" spans="2:2" x14ac:dyDescent="0.2">
      <c r="B79" s="452"/>
    </row>
    <row r="80" spans="2:2" x14ac:dyDescent="0.2">
      <c r="B80" s="452"/>
    </row>
    <row r="81" spans="2:2" x14ac:dyDescent="0.2">
      <c r="B81" s="452"/>
    </row>
    <row r="82" spans="2:2" x14ac:dyDescent="0.2">
      <c r="B82" s="452"/>
    </row>
    <row r="83" spans="2:2" x14ac:dyDescent="0.2">
      <c r="B83" s="452"/>
    </row>
    <row r="84" spans="2:2" x14ac:dyDescent="0.2">
      <c r="B84" s="452"/>
    </row>
    <row r="85" spans="2:2" x14ac:dyDescent="0.2">
      <c r="B85" s="452"/>
    </row>
    <row r="86" spans="2:2" x14ac:dyDescent="0.2">
      <c r="B86" s="452"/>
    </row>
    <row r="87" spans="2:2" x14ac:dyDescent="0.2">
      <c r="B87" s="452"/>
    </row>
    <row r="88" spans="2:2" x14ac:dyDescent="0.2">
      <c r="B88" s="452"/>
    </row>
    <row r="89" spans="2:2" x14ac:dyDescent="0.2">
      <c r="B89" s="452"/>
    </row>
    <row r="90" spans="2:2" x14ac:dyDescent="0.2">
      <c r="B90" s="452"/>
    </row>
    <row r="91" spans="2:2" x14ac:dyDescent="0.2">
      <c r="B91" s="452"/>
    </row>
    <row r="92" spans="2:2" x14ac:dyDescent="0.2">
      <c r="B92" s="452"/>
    </row>
    <row r="93" spans="2:2" x14ac:dyDescent="0.2">
      <c r="B93" s="452"/>
    </row>
    <row r="94" spans="2:2" x14ac:dyDescent="0.2">
      <c r="B94" s="452"/>
    </row>
    <row r="95" spans="2:2" x14ac:dyDescent="0.2">
      <c r="B95" s="452"/>
    </row>
    <row r="96" spans="2:2" x14ac:dyDescent="0.2">
      <c r="B96" s="452"/>
    </row>
    <row r="97" spans="2:2" x14ac:dyDescent="0.2">
      <c r="B97" s="452"/>
    </row>
    <row r="98" spans="2:2" x14ac:dyDescent="0.2">
      <c r="B98" s="452"/>
    </row>
    <row r="99" spans="2:2" x14ac:dyDescent="0.2">
      <c r="B99" s="452"/>
    </row>
    <row r="100" spans="2:2" x14ac:dyDescent="0.2">
      <c r="B100" s="452"/>
    </row>
    <row r="101" spans="2:2" x14ac:dyDescent="0.2">
      <c r="B101" s="452"/>
    </row>
    <row r="102" spans="2:2" x14ac:dyDescent="0.2">
      <c r="B102" s="452"/>
    </row>
    <row r="103" spans="2:2" x14ac:dyDescent="0.2">
      <c r="B103" s="452"/>
    </row>
    <row r="104" spans="2:2" x14ac:dyDescent="0.2">
      <c r="B104" s="452"/>
    </row>
    <row r="105" spans="2:2" x14ac:dyDescent="0.2">
      <c r="B105" s="452"/>
    </row>
    <row r="106" spans="2:2" x14ac:dyDescent="0.2">
      <c r="B106" s="452"/>
    </row>
    <row r="107" spans="2:2" x14ac:dyDescent="0.2">
      <c r="B107" s="452"/>
    </row>
    <row r="108" spans="2:2" x14ac:dyDescent="0.2">
      <c r="B108" s="452"/>
    </row>
    <row r="109" spans="2:2" x14ac:dyDescent="0.2">
      <c r="B109" s="452"/>
    </row>
    <row r="110" spans="2:2" x14ac:dyDescent="0.2">
      <c r="B110" s="452"/>
    </row>
    <row r="111" spans="2:2" x14ac:dyDescent="0.2">
      <c r="B111" s="452"/>
    </row>
    <row r="112" spans="2:2" x14ac:dyDescent="0.2">
      <c r="B112" s="452"/>
    </row>
    <row r="113" spans="2:2" x14ac:dyDescent="0.2">
      <c r="B113" s="452"/>
    </row>
    <row r="114" spans="2:2" x14ac:dyDescent="0.2">
      <c r="B114" s="452"/>
    </row>
    <row r="115" spans="2:2" x14ac:dyDescent="0.2">
      <c r="B115" s="452"/>
    </row>
    <row r="116" spans="2:2" x14ac:dyDescent="0.2">
      <c r="B116" s="452"/>
    </row>
    <row r="117" spans="2:2" x14ac:dyDescent="0.2">
      <c r="B117" s="452"/>
    </row>
    <row r="118" spans="2:2" x14ac:dyDescent="0.2">
      <c r="B118" s="452"/>
    </row>
    <row r="119" spans="2:2" x14ac:dyDescent="0.2">
      <c r="B119" s="452"/>
    </row>
    <row r="120" spans="2:2" x14ac:dyDescent="0.2">
      <c r="B120" s="452"/>
    </row>
    <row r="121" spans="2:2" x14ac:dyDescent="0.2">
      <c r="B121" s="452"/>
    </row>
    <row r="122" spans="2:2" x14ac:dyDescent="0.2">
      <c r="B122" s="452"/>
    </row>
    <row r="123" spans="2:2" x14ac:dyDescent="0.2">
      <c r="B123" s="452"/>
    </row>
    <row r="124" spans="2:2" x14ac:dyDescent="0.2">
      <c r="B124" s="452"/>
    </row>
    <row r="125" spans="2:2" x14ac:dyDescent="0.2">
      <c r="B125" s="452"/>
    </row>
    <row r="126" spans="2:2" x14ac:dyDescent="0.2">
      <c r="B126" s="452"/>
    </row>
    <row r="127" spans="2:2" x14ac:dyDescent="0.2">
      <c r="B127" s="452"/>
    </row>
    <row r="128" spans="2:2" x14ac:dyDescent="0.2">
      <c r="B128" s="452"/>
    </row>
    <row r="129" spans="2:2" x14ac:dyDescent="0.2">
      <c r="B129" s="452"/>
    </row>
    <row r="130" spans="2:2" x14ac:dyDescent="0.2">
      <c r="B130" s="452"/>
    </row>
    <row r="131" spans="2:2" x14ac:dyDescent="0.2">
      <c r="B131" s="452"/>
    </row>
    <row r="132" spans="2:2" x14ac:dyDescent="0.2">
      <c r="B132" s="452"/>
    </row>
    <row r="133" spans="2:2" x14ac:dyDescent="0.2">
      <c r="B133" s="452"/>
    </row>
    <row r="134" spans="2:2" x14ac:dyDescent="0.2">
      <c r="B134" s="452"/>
    </row>
    <row r="135" spans="2:2" x14ac:dyDescent="0.2">
      <c r="B135" s="452"/>
    </row>
    <row r="136" spans="2:2" x14ac:dyDescent="0.2">
      <c r="B136" s="452"/>
    </row>
    <row r="137" spans="2:2" x14ac:dyDescent="0.2">
      <c r="B137" s="452"/>
    </row>
    <row r="138" spans="2:2" x14ac:dyDescent="0.2">
      <c r="B138" s="452"/>
    </row>
    <row r="139" spans="2:2" x14ac:dyDescent="0.2">
      <c r="B139" s="452"/>
    </row>
    <row r="140" spans="2:2" x14ac:dyDescent="0.2">
      <c r="B140" s="452"/>
    </row>
    <row r="141" spans="2:2" x14ac:dyDescent="0.2">
      <c r="B141" s="452"/>
    </row>
    <row r="142" spans="2:2" x14ac:dyDescent="0.2">
      <c r="B142" s="452"/>
    </row>
    <row r="143" spans="2:2" x14ac:dyDescent="0.2">
      <c r="B143" s="452"/>
    </row>
    <row r="144" spans="2:2" x14ac:dyDescent="0.2">
      <c r="B144" s="452"/>
    </row>
    <row r="145" spans="2:2" x14ac:dyDescent="0.2">
      <c r="B145" s="452"/>
    </row>
    <row r="146" spans="2:2" x14ac:dyDescent="0.2">
      <c r="B146" s="452"/>
    </row>
    <row r="147" spans="2:2" x14ac:dyDescent="0.2">
      <c r="B147" s="452"/>
    </row>
    <row r="148" spans="2:2" x14ac:dyDescent="0.2">
      <c r="B148" s="452"/>
    </row>
    <row r="149" spans="2:2" x14ac:dyDescent="0.2">
      <c r="B149" s="452"/>
    </row>
    <row r="150" spans="2:2" x14ac:dyDescent="0.2">
      <c r="B150" s="452"/>
    </row>
    <row r="151" spans="2:2" x14ac:dyDescent="0.2">
      <c r="B151" s="452"/>
    </row>
    <row r="152" spans="2:2" x14ac:dyDescent="0.2">
      <c r="B152" s="452"/>
    </row>
    <row r="153" spans="2:2" x14ac:dyDescent="0.2">
      <c r="B153" s="452"/>
    </row>
    <row r="154" spans="2:2" x14ac:dyDescent="0.2">
      <c r="B154" s="452"/>
    </row>
    <row r="155" spans="2:2" x14ac:dyDescent="0.2">
      <c r="B155" s="452"/>
    </row>
    <row r="156" spans="2:2" x14ac:dyDescent="0.2">
      <c r="B156" s="452"/>
    </row>
    <row r="157" spans="2:2" x14ac:dyDescent="0.2">
      <c r="B157" s="452"/>
    </row>
    <row r="158" spans="2:2" x14ac:dyDescent="0.2">
      <c r="B158" s="452"/>
    </row>
    <row r="159" spans="2:2" x14ac:dyDescent="0.2">
      <c r="B159" s="452"/>
    </row>
    <row r="160" spans="2:2" x14ac:dyDescent="0.2">
      <c r="B160" s="452"/>
    </row>
    <row r="161" spans="2:2" x14ac:dyDescent="0.2">
      <c r="B161" s="452"/>
    </row>
    <row r="162" spans="2:2" x14ac:dyDescent="0.2">
      <c r="B162" s="452"/>
    </row>
    <row r="163" spans="2:2" x14ac:dyDescent="0.2">
      <c r="B163" s="452"/>
    </row>
    <row r="164" spans="2:2" x14ac:dyDescent="0.2">
      <c r="B164" s="452"/>
    </row>
    <row r="165" spans="2:2" x14ac:dyDescent="0.2">
      <c r="B165" s="452"/>
    </row>
    <row r="166" spans="2:2" x14ac:dyDescent="0.2">
      <c r="B166" s="452"/>
    </row>
    <row r="167" spans="2:2" x14ac:dyDescent="0.2">
      <c r="B167" s="452"/>
    </row>
    <row r="168" spans="2:2" x14ac:dyDescent="0.2">
      <c r="B168" s="452"/>
    </row>
    <row r="169" spans="2:2" x14ac:dyDescent="0.2">
      <c r="B169" s="452"/>
    </row>
    <row r="170" spans="2:2" x14ac:dyDescent="0.2">
      <c r="B170" s="452"/>
    </row>
    <row r="171" spans="2:2" x14ac:dyDescent="0.2">
      <c r="B171" s="452"/>
    </row>
    <row r="172" spans="2:2" x14ac:dyDescent="0.2">
      <c r="B172" s="452"/>
    </row>
    <row r="173" spans="2:2" x14ac:dyDescent="0.2">
      <c r="B173" s="452"/>
    </row>
    <row r="174" spans="2:2" x14ac:dyDescent="0.2">
      <c r="B174" s="452"/>
    </row>
    <row r="175" spans="2:2" x14ac:dyDescent="0.2">
      <c r="B175" s="452"/>
    </row>
    <row r="176" spans="2:2" x14ac:dyDescent="0.2">
      <c r="B176" s="452"/>
    </row>
    <row r="177" spans="2:2" x14ac:dyDescent="0.2">
      <c r="B177" s="452"/>
    </row>
    <row r="178" spans="2:2" x14ac:dyDescent="0.2">
      <c r="B178" s="452"/>
    </row>
    <row r="179" spans="2:2" x14ac:dyDescent="0.2">
      <c r="B179" s="452"/>
    </row>
    <row r="180" spans="2:2" x14ac:dyDescent="0.2">
      <c r="B180" s="452"/>
    </row>
    <row r="181" spans="2:2" x14ac:dyDescent="0.2">
      <c r="B181" s="452"/>
    </row>
    <row r="182" spans="2:2" x14ac:dyDescent="0.2">
      <c r="B182" s="452"/>
    </row>
    <row r="183" spans="2:2" x14ac:dyDescent="0.2">
      <c r="B183" s="452"/>
    </row>
    <row r="184" spans="2:2" x14ac:dyDescent="0.2">
      <c r="B184" s="452"/>
    </row>
    <row r="185" spans="2:2" x14ac:dyDescent="0.2">
      <c r="B185" s="452"/>
    </row>
    <row r="186" spans="2:2" x14ac:dyDescent="0.2">
      <c r="B186" s="452"/>
    </row>
    <row r="187" spans="2:2" x14ac:dyDescent="0.2">
      <c r="B187" s="452"/>
    </row>
    <row r="188" spans="2:2" x14ac:dyDescent="0.2">
      <c r="B188" s="452"/>
    </row>
    <row r="189" spans="2:2" x14ac:dyDescent="0.2">
      <c r="B189" s="452"/>
    </row>
    <row r="190" spans="2:2" x14ac:dyDescent="0.2">
      <c r="B190" s="452"/>
    </row>
    <row r="191" spans="2:2" x14ac:dyDescent="0.2">
      <c r="B191" s="452"/>
    </row>
    <row r="192" spans="2:2" x14ac:dyDescent="0.2">
      <c r="B192" s="452"/>
    </row>
    <row r="193" spans="2:2" x14ac:dyDescent="0.2">
      <c r="B193" s="452"/>
    </row>
    <row r="194" spans="2:2" x14ac:dyDescent="0.2">
      <c r="B194" s="452"/>
    </row>
    <row r="195" spans="2:2" x14ac:dyDescent="0.2">
      <c r="B195" s="452"/>
    </row>
    <row r="196" spans="2:2" x14ac:dyDescent="0.2">
      <c r="B196" s="452"/>
    </row>
    <row r="197" spans="2:2" x14ac:dyDescent="0.2">
      <c r="B197" s="452"/>
    </row>
    <row r="198" spans="2:2" x14ac:dyDescent="0.2">
      <c r="B198" s="452"/>
    </row>
    <row r="199" spans="2:2" x14ac:dyDescent="0.2">
      <c r="B199" s="452"/>
    </row>
    <row r="200" spans="2:2" x14ac:dyDescent="0.2">
      <c r="B200" s="452"/>
    </row>
    <row r="201" spans="2:2" x14ac:dyDescent="0.2">
      <c r="B201" s="452"/>
    </row>
    <row r="202" spans="2:2" x14ac:dyDescent="0.2">
      <c r="B202" s="452"/>
    </row>
    <row r="203" spans="2:2" x14ac:dyDescent="0.2">
      <c r="B203" s="452"/>
    </row>
    <row r="204" spans="2:2" x14ac:dyDescent="0.2">
      <c r="B204" s="452"/>
    </row>
    <row r="205" spans="2:2" x14ac:dyDescent="0.2">
      <c r="B205" s="452"/>
    </row>
    <row r="206" spans="2:2" x14ac:dyDescent="0.2">
      <c r="B206" s="452"/>
    </row>
    <row r="207" spans="2:2" x14ac:dyDescent="0.2">
      <c r="B207" s="452"/>
    </row>
    <row r="208" spans="2:2" x14ac:dyDescent="0.2">
      <c r="B208" s="452"/>
    </row>
    <row r="209" spans="2:2" x14ac:dyDescent="0.2">
      <c r="B209" s="452"/>
    </row>
    <row r="210" spans="2:2" x14ac:dyDescent="0.2">
      <c r="B210" s="452"/>
    </row>
    <row r="211" spans="2:2" x14ac:dyDescent="0.2">
      <c r="B211" s="452"/>
    </row>
    <row r="212" spans="2:2" x14ac:dyDescent="0.2">
      <c r="B212" s="452"/>
    </row>
    <row r="213" spans="2:2" x14ac:dyDescent="0.2">
      <c r="B213" s="452"/>
    </row>
    <row r="214" spans="2:2" x14ac:dyDescent="0.2">
      <c r="B214" s="452"/>
    </row>
    <row r="215" spans="2:2" x14ac:dyDescent="0.2">
      <c r="B215" s="452"/>
    </row>
    <row r="216" spans="2:2" x14ac:dyDescent="0.2">
      <c r="B216" s="452"/>
    </row>
    <row r="217" spans="2:2" x14ac:dyDescent="0.2">
      <c r="B217" s="452"/>
    </row>
    <row r="218" spans="2:2" x14ac:dyDescent="0.2">
      <c r="B218" s="452"/>
    </row>
    <row r="219" spans="2:2" x14ac:dyDescent="0.2">
      <c r="B219" s="452"/>
    </row>
    <row r="220" spans="2:2" x14ac:dyDescent="0.2">
      <c r="B220" s="452"/>
    </row>
    <row r="221" spans="2:2" x14ac:dyDescent="0.2">
      <c r="B221" s="452"/>
    </row>
    <row r="222" spans="2:2" x14ac:dyDescent="0.2">
      <c r="B222" s="452"/>
    </row>
    <row r="223" spans="2:2" x14ac:dyDescent="0.2">
      <c r="B223" s="452"/>
    </row>
    <row r="224" spans="2:2" x14ac:dyDescent="0.2">
      <c r="B224" s="452"/>
    </row>
    <row r="225" spans="2:2" x14ac:dyDescent="0.2">
      <c r="B225" s="452"/>
    </row>
    <row r="226" spans="2:2" x14ac:dyDescent="0.2">
      <c r="B226" s="452"/>
    </row>
    <row r="227" spans="2:2" x14ac:dyDescent="0.2">
      <c r="B227" s="452"/>
    </row>
    <row r="228" spans="2:2" x14ac:dyDescent="0.2">
      <c r="B228" s="452"/>
    </row>
    <row r="229" spans="2:2" x14ac:dyDescent="0.2">
      <c r="B229" s="452"/>
    </row>
    <row r="230" spans="2:2" x14ac:dyDescent="0.2">
      <c r="B230" s="452"/>
    </row>
    <row r="231" spans="2:2" x14ac:dyDescent="0.2">
      <c r="B231" s="452"/>
    </row>
    <row r="232" spans="2:2" x14ac:dyDescent="0.2">
      <c r="B232" s="452"/>
    </row>
    <row r="233" spans="2:2" x14ac:dyDescent="0.2">
      <c r="B233" s="452"/>
    </row>
    <row r="234" spans="2:2" x14ac:dyDescent="0.2">
      <c r="B234" s="452"/>
    </row>
    <row r="235" spans="2:2" x14ac:dyDescent="0.2">
      <c r="B235" s="452"/>
    </row>
    <row r="236" spans="2:2" x14ac:dyDescent="0.2">
      <c r="B236" s="452"/>
    </row>
    <row r="237" spans="2:2" x14ac:dyDescent="0.2">
      <c r="B237" s="452"/>
    </row>
    <row r="238" spans="2:2" x14ac:dyDescent="0.2">
      <c r="B238" s="452"/>
    </row>
    <row r="239" spans="2:2" x14ac:dyDescent="0.2">
      <c r="B239" s="452"/>
    </row>
    <row r="240" spans="2:2" x14ac:dyDescent="0.2">
      <c r="B240" s="452"/>
    </row>
    <row r="241" spans="2:2" x14ac:dyDescent="0.2">
      <c r="B241" s="452"/>
    </row>
    <row r="242" spans="2:2" x14ac:dyDescent="0.2">
      <c r="B242" s="452"/>
    </row>
    <row r="243" spans="2:2" x14ac:dyDescent="0.2">
      <c r="B243" s="452"/>
    </row>
    <row r="244" spans="2:2" x14ac:dyDescent="0.2">
      <c r="B244" s="452"/>
    </row>
    <row r="245" spans="2:2" x14ac:dyDescent="0.2">
      <c r="B245" s="452"/>
    </row>
    <row r="246" spans="2:2" x14ac:dyDescent="0.2">
      <c r="B246" s="452"/>
    </row>
    <row r="247" spans="2:2" x14ac:dyDescent="0.2">
      <c r="B247" s="452"/>
    </row>
    <row r="248" spans="2:2" x14ac:dyDescent="0.2">
      <c r="B248" s="452"/>
    </row>
    <row r="249" spans="2:2" x14ac:dyDescent="0.2">
      <c r="B249" s="452"/>
    </row>
    <row r="250" spans="2:2" x14ac:dyDescent="0.2">
      <c r="B250" s="452"/>
    </row>
    <row r="251" spans="2:2" x14ac:dyDescent="0.2">
      <c r="B251" s="452"/>
    </row>
    <row r="252" spans="2:2" x14ac:dyDescent="0.2">
      <c r="B252" s="452"/>
    </row>
    <row r="253" spans="2:2" x14ac:dyDescent="0.2">
      <c r="B253" s="452"/>
    </row>
    <row r="254" spans="2:2" x14ac:dyDescent="0.2">
      <c r="B254" s="452"/>
    </row>
    <row r="255" spans="2:2" x14ac:dyDescent="0.2">
      <c r="B255" s="452"/>
    </row>
    <row r="256" spans="2:2" x14ac:dyDescent="0.2">
      <c r="B256" s="452"/>
    </row>
    <row r="257" spans="2:2" x14ac:dyDescent="0.2">
      <c r="B257" s="452"/>
    </row>
    <row r="258" spans="2:2" x14ac:dyDescent="0.2">
      <c r="B258" s="452"/>
    </row>
    <row r="259" spans="2:2" x14ac:dyDescent="0.2">
      <c r="B259" s="452"/>
    </row>
    <row r="260" spans="2:2" x14ac:dyDescent="0.2">
      <c r="B260" s="452"/>
    </row>
    <row r="261" spans="2:2" x14ac:dyDescent="0.2">
      <c r="B261" s="452"/>
    </row>
    <row r="262" spans="2:2" x14ac:dyDescent="0.2">
      <c r="B262" s="452"/>
    </row>
    <row r="263" spans="2:2" x14ac:dyDescent="0.2">
      <c r="B263" s="452"/>
    </row>
    <row r="264" spans="2:2" x14ac:dyDescent="0.2">
      <c r="B264" s="452"/>
    </row>
    <row r="265" spans="2:2" x14ac:dyDescent="0.2">
      <c r="B265" s="452"/>
    </row>
    <row r="266" spans="2:2" x14ac:dyDescent="0.2">
      <c r="B266" s="452"/>
    </row>
    <row r="267" spans="2:2" x14ac:dyDescent="0.2">
      <c r="B267" s="452"/>
    </row>
    <row r="268" spans="2:2" x14ac:dyDescent="0.2">
      <c r="B268" s="452"/>
    </row>
    <row r="269" spans="2:2" x14ac:dyDescent="0.2">
      <c r="B269" s="452"/>
    </row>
    <row r="270" spans="2:2" x14ac:dyDescent="0.2">
      <c r="B270" s="452"/>
    </row>
    <row r="271" spans="2:2" x14ac:dyDescent="0.2">
      <c r="B271" s="452"/>
    </row>
    <row r="272" spans="2:2" x14ac:dyDescent="0.2">
      <c r="B272" s="452"/>
    </row>
    <row r="273" spans="2:2" x14ac:dyDescent="0.2">
      <c r="B273" s="452"/>
    </row>
    <row r="274" spans="2:2" x14ac:dyDescent="0.2">
      <c r="B274" s="452"/>
    </row>
    <row r="275" spans="2:2" x14ac:dyDescent="0.2">
      <c r="B275" s="452"/>
    </row>
    <row r="276" spans="2:2" x14ac:dyDescent="0.2">
      <c r="B276" s="452"/>
    </row>
    <row r="277" spans="2:2" x14ac:dyDescent="0.2">
      <c r="B277" s="452"/>
    </row>
    <row r="278" spans="2:2" x14ac:dyDescent="0.2">
      <c r="B278" s="452"/>
    </row>
    <row r="279" spans="2:2" x14ac:dyDescent="0.2">
      <c r="B279" s="452"/>
    </row>
    <row r="280" spans="2:2" x14ac:dyDescent="0.2">
      <c r="B280" s="452"/>
    </row>
    <row r="281" spans="2:2" x14ac:dyDescent="0.2">
      <c r="B281" s="452"/>
    </row>
    <row r="282" spans="2:2" x14ac:dyDescent="0.2">
      <c r="B282" s="452"/>
    </row>
    <row r="283" spans="2:2" x14ac:dyDescent="0.2">
      <c r="B283" s="452"/>
    </row>
    <row r="284" spans="2:2" x14ac:dyDescent="0.2">
      <c r="B284" s="452"/>
    </row>
    <row r="285" spans="2:2" x14ac:dyDescent="0.2">
      <c r="B285" s="452"/>
    </row>
    <row r="286" spans="2:2" x14ac:dyDescent="0.2">
      <c r="B286" s="452"/>
    </row>
    <row r="287" spans="2:2" x14ac:dyDescent="0.2">
      <c r="B287" s="452"/>
    </row>
    <row r="288" spans="2:2" x14ac:dyDescent="0.2">
      <c r="B288" s="452"/>
    </row>
    <row r="289" spans="2:2" x14ac:dyDescent="0.2">
      <c r="B289" s="452"/>
    </row>
    <row r="290" spans="2:2" x14ac:dyDescent="0.2">
      <c r="B290" s="452"/>
    </row>
    <row r="291" spans="2:2" x14ac:dyDescent="0.2">
      <c r="B291" s="452"/>
    </row>
    <row r="292" spans="2:2" x14ac:dyDescent="0.2">
      <c r="B292" s="452"/>
    </row>
    <row r="293" spans="2:2" x14ac:dyDescent="0.2">
      <c r="B293" s="452"/>
    </row>
    <row r="294" spans="2:2" x14ac:dyDescent="0.2">
      <c r="B294" s="452"/>
    </row>
    <row r="295" spans="2:2" x14ac:dyDescent="0.2">
      <c r="B295" s="452"/>
    </row>
    <row r="296" spans="2:2" x14ac:dyDescent="0.2">
      <c r="B296" s="452"/>
    </row>
    <row r="297" spans="2:2" x14ac:dyDescent="0.2">
      <c r="B297" s="452"/>
    </row>
    <row r="298" spans="2:2" x14ac:dyDescent="0.2">
      <c r="B298" s="452"/>
    </row>
    <row r="299" spans="2:2" x14ac:dyDescent="0.2">
      <c r="B299" s="452"/>
    </row>
    <row r="300" spans="2:2" x14ac:dyDescent="0.2">
      <c r="B300" s="452"/>
    </row>
    <row r="301" spans="2:2" x14ac:dyDescent="0.2">
      <c r="B301" s="452"/>
    </row>
    <row r="302" spans="2:2" x14ac:dyDescent="0.2">
      <c r="B302" s="452"/>
    </row>
    <row r="303" spans="2:2" x14ac:dyDescent="0.2">
      <c r="B303" s="452"/>
    </row>
    <row r="304" spans="2:2" x14ac:dyDescent="0.2">
      <c r="B304" s="452"/>
    </row>
    <row r="305" spans="2:2" x14ac:dyDescent="0.2">
      <c r="B305" s="452"/>
    </row>
    <row r="306" spans="2:2" x14ac:dyDescent="0.2">
      <c r="B306" s="452"/>
    </row>
    <row r="307" spans="2:2" x14ac:dyDescent="0.2">
      <c r="B307" s="452"/>
    </row>
    <row r="308" spans="2:2" x14ac:dyDescent="0.2">
      <c r="B308" s="452"/>
    </row>
    <row r="309" spans="2:2" x14ac:dyDescent="0.2">
      <c r="B309" s="452"/>
    </row>
    <row r="310" spans="2:2" x14ac:dyDescent="0.2">
      <c r="B310" s="452"/>
    </row>
    <row r="311" spans="2:2" x14ac:dyDescent="0.2">
      <c r="B311" s="452"/>
    </row>
    <row r="312" spans="2:2" x14ac:dyDescent="0.2">
      <c r="B312" s="452"/>
    </row>
    <row r="313" spans="2:2" x14ac:dyDescent="0.2">
      <c r="B313" s="452"/>
    </row>
    <row r="314" spans="2:2" x14ac:dyDescent="0.2">
      <c r="B314" s="452"/>
    </row>
    <row r="315" spans="2:2" x14ac:dyDescent="0.2">
      <c r="B315" s="452"/>
    </row>
    <row r="316" spans="2:2" x14ac:dyDescent="0.2">
      <c r="B316" s="452"/>
    </row>
    <row r="317" spans="2:2" x14ac:dyDescent="0.2">
      <c r="B317" s="452"/>
    </row>
    <row r="318" spans="2:2" x14ac:dyDescent="0.2">
      <c r="B318" s="452"/>
    </row>
    <row r="319" spans="2:2" x14ac:dyDescent="0.2">
      <c r="B319" s="452"/>
    </row>
    <row r="320" spans="2:2" x14ac:dyDescent="0.2">
      <c r="B320" s="452"/>
    </row>
    <row r="321" spans="2:2" x14ac:dyDescent="0.2">
      <c r="B321" s="452"/>
    </row>
    <row r="322" spans="2:2" x14ac:dyDescent="0.2">
      <c r="B322" s="452"/>
    </row>
    <row r="323" spans="2:2" x14ac:dyDescent="0.2">
      <c r="B323" s="452"/>
    </row>
    <row r="324" spans="2:2" x14ac:dyDescent="0.2">
      <c r="B324" s="452"/>
    </row>
    <row r="325" spans="2:2" x14ac:dyDescent="0.2">
      <c r="B325" s="452"/>
    </row>
    <row r="326" spans="2:2" x14ac:dyDescent="0.2">
      <c r="B326" s="452"/>
    </row>
    <row r="327" spans="2:2" x14ac:dyDescent="0.2">
      <c r="B327" s="452"/>
    </row>
    <row r="328" spans="2:2" x14ac:dyDescent="0.2">
      <c r="B328" s="452"/>
    </row>
    <row r="329" spans="2:2" x14ac:dyDescent="0.2">
      <c r="B329" s="452"/>
    </row>
    <row r="330" spans="2:2" x14ac:dyDescent="0.2">
      <c r="B330" s="452"/>
    </row>
    <row r="331" spans="2:2" x14ac:dyDescent="0.2">
      <c r="B331" s="452"/>
    </row>
    <row r="332" spans="2:2" x14ac:dyDescent="0.2">
      <c r="B332" s="452"/>
    </row>
    <row r="333" spans="2:2" x14ac:dyDescent="0.2">
      <c r="B333" s="452"/>
    </row>
    <row r="334" spans="2:2" x14ac:dyDescent="0.2">
      <c r="B334" s="452"/>
    </row>
    <row r="335" spans="2:2" x14ac:dyDescent="0.2">
      <c r="B335" s="452"/>
    </row>
    <row r="336" spans="2:2" x14ac:dyDescent="0.2">
      <c r="B336" s="452"/>
    </row>
    <row r="337" spans="2:2" x14ac:dyDescent="0.2">
      <c r="B337" s="452"/>
    </row>
    <row r="338" spans="2:2" x14ac:dyDescent="0.2">
      <c r="B338" s="452"/>
    </row>
    <row r="339" spans="2:2" x14ac:dyDescent="0.2">
      <c r="B339" s="452"/>
    </row>
    <row r="340" spans="2:2" x14ac:dyDescent="0.2">
      <c r="B340" s="452"/>
    </row>
    <row r="341" spans="2:2" x14ac:dyDescent="0.2">
      <c r="B341" s="452"/>
    </row>
    <row r="342" spans="2:2" x14ac:dyDescent="0.2">
      <c r="B342" s="452"/>
    </row>
    <row r="343" spans="2:2" x14ac:dyDescent="0.2">
      <c r="B343" s="452"/>
    </row>
    <row r="344" spans="2:2" x14ac:dyDescent="0.2">
      <c r="B344" s="452"/>
    </row>
    <row r="345" spans="2:2" x14ac:dyDescent="0.2">
      <c r="B345" s="452"/>
    </row>
    <row r="346" spans="2:2" x14ac:dyDescent="0.2">
      <c r="B346" s="452"/>
    </row>
    <row r="347" spans="2:2" x14ac:dyDescent="0.2">
      <c r="B347" s="452"/>
    </row>
    <row r="348" spans="2:2" x14ac:dyDescent="0.2">
      <c r="B348" s="452"/>
    </row>
    <row r="349" spans="2:2" x14ac:dyDescent="0.2">
      <c r="B349" s="452"/>
    </row>
    <row r="350" spans="2:2" x14ac:dyDescent="0.2">
      <c r="B350" s="452"/>
    </row>
    <row r="351" spans="2:2" x14ac:dyDescent="0.2">
      <c r="B351" s="452"/>
    </row>
    <row r="352" spans="2:2" x14ac:dyDescent="0.2">
      <c r="B352" s="452"/>
    </row>
    <row r="353" spans="2:2" x14ac:dyDescent="0.2">
      <c r="B353" s="452"/>
    </row>
    <row r="354" spans="2:2" x14ac:dyDescent="0.2">
      <c r="B354" s="452"/>
    </row>
    <row r="355" spans="2:2" x14ac:dyDescent="0.2">
      <c r="B355" s="452"/>
    </row>
    <row r="356" spans="2:2" x14ac:dyDescent="0.2">
      <c r="B356" s="452"/>
    </row>
    <row r="357" spans="2:2" x14ac:dyDescent="0.2">
      <c r="B357" s="452"/>
    </row>
    <row r="358" spans="2:2" x14ac:dyDescent="0.2">
      <c r="B358" s="452"/>
    </row>
    <row r="359" spans="2:2" x14ac:dyDescent="0.2">
      <c r="B359" s="452"/>
    </row>
    <row r="360" spans="2:2" x14ac:dyDescent="0.2">
      <c r="B360" s="452"/>
    </row>
    <row r="361" spans="2:2" x14ac:dyDescent="0.2">
      <c r="B361" s="452"/>
    </row>
    <row r="362" spans="2:2" x14ac:dyDescent="0.2">
      <c r="B362" s="452"/>
    </row>
    <row r="363" spans="2:2" x14ac:dyDescent="0.2">
      <c r="B363" s="452"/>
    </row>
    <row r="364" spans="2:2" x14ac:dyDescent="0.2">
      <c r="B364" s="452"/>
    </row>
    <row r="365" spans="2:2" x14ac:dyDescent="0.2">
      <c r="B365" s="452"/>
    </row>
    <row r="366" spans="2:2" x14ac:dyDescent="0.2">
      <c r="B366" s="452"/>
    </row>
    <row r="367" spans="2:2" x14ac:dyDescent="0.2">
      <c r="B367" s="452"/>
    </row>
    <row r="368" spans="2:2" x14ac:dyDescent="0.2">
      <c r="B368" s="452"/>
    </row>
    <row r="369" spans="2:2" x14ac:dyDescent="0.2">
      <c r="B369" s="452"/>
    </row>
    <row r="370" spans="2:2" x14ac:dyDescent="0.2">
      <c r="B370" s="452"/>
    </row>
    <row r="371" spans="2:2" x14ac:dyDescent="0.2">
      <c r="B371" s="452"/>
    </row>
    <row r="372" spans="2:2" x14ac:dyDescent="0.2">
      <c r="B372" s="452"/>
    </row>
    <row r="373" spans="2:2" x14ac:dyDescent="0.2">
      <c r="B373" s="452"/>
    </row>
    <row r="374" spans="2:2" x14ac:dyDescent="0.2">
      <c r="B374" s="452"/>
    </row>
    <row r="375" spans="2:2" x14ac:dyDescent="0.2">
      <c r="B375" s="452"/>
    </row>
    <row r="376" spans="2:2" x14ac:dyDescent="0.2">
      <c r="B376" s="452"/>
    </row>
    <row r="377" spans="2:2" x14ac:dyDescent="0.2">
      <c r="B377" s="452"/>
    </row>
    <row r="378" spans="2:2" x14ac:dyDescent="0.2">
      <c r="B378" s="452"/>
    </row>
    <row r="379" spans="2:2" x14ac:dyDescent="0.2">
      <c r="B379" s="452"/>
    </row>
    <row r="380" spans="2:2" x14ac:dyDescent="0.2">
      <c r="B380" s="452"/>
    </row>
    <row r="381" spans="2:2" x14ac:dyDescent="0.2">
      <c r="B381" s="452"/>
    </row>
    <row r="382" spans="2:2" x14ac:dyDescent="0.2">
      <c r="B382" s="452"/>
    </row>
    <row r="383" spans="2:2" x14ac:dyDescent="0.2">
      <c r="B383" s="452"/>
    </row>
    <row r="384" spans="2:2" x14ac:dyDescent="0.2">
      <c r="B384" s="452"/>
    </row>
    <row r="385" spans="2:2" x14ac:dyDescent="0.2">
      <c r="B385" s="452"/>
    </row>
    <row r="386" spans="2:2" x14ac:dyDescent="0.2">
      <c r="B386" s="452"/>
    </row>
    <row r="387" spans="2:2" x14ac:dyDescent="0.2">
      <c r="B387" s="452"/>
    </row>
    <row r="388" spans="2:2" x14ac:dyDescent="0.2">
      <c r="B388" s="452"/>
    </row>
    <row r="389" spans="2:2" x14ac:dyDescent="0.2">
      <c r="B389" s="452"/>
    </row>
    <row r="390" spans="2:2" x14ac:dyDescent="0.2">
      <c r="B390" s="452"/>
    </row>
    <row r="391" spans="2:2" x14ac:dyDescent="0.2">
      <c r="B391" s="452"/>
    </row>
    <row r="392" spans="2:2" x14ac:dyDescent="0.2">
      <c r="B392" s="452"/>
    </row>
    <row r="393" spans="2:2" x14ac:dyDescent="0.2">
      <c r="B393" s="452"/>
    </row>
    <row r="394" spans="2:2" x14ac:dyDescent="0.2">
      <c r="B394" s="452"/>
    </row>
    <row r="395" spans="2:2" x14ac:dyDescent="0.2">
      <c r="B395" s="452"/>
    </row>
    <row r="396" spans="2:2" x14ac:dyDescent="0.2">
      <c r="B396" s="452"/>
    </row>
    <row r="397" spans="2:2" x14ac:dyDescent="0.2">
      <c r="B397" s="452"/>
    </row>
    <row r="398" spans="2:2" x14ac:dyDescent="0.2">
      <c r="B398" s="452"/>
    </row>
    <row r="399" spans="2:2" x14ac:dyDescent="0.2">
      <c r="B399" s="452"/>
    </row>
    <row r="400" spans="2:2" x14ac:dyDescent="0.2">
      <c r="B400" s="452"/>
    </row>
    <row r="401" spans="2:2" x14ac:dyDescent="0.2">
      <c r="B401" s="452"/>
    </row>
    <row r="402" spans="2:2" x14ac:dyDescent="0.2">
      <c r="B402" s="452"/>
    </row>
    <row r="403" spans="2:2" x14ac:dyDescent="0.2">
      <c r="B403" s="452"/>
    </row>
    <row r="404" spans="2:2" x14ac:dyDescent="0.2">
      <c r="B404" s="452"/>
    </row>
    <row r="405" spans="2:2" x14ac:dyDescent="0.2">
      <c r="B405" s="452"/>
    </row>
    <row r="406" spans="2:2" x14ac:dyDescent="0.2">
      <c r="B406" s="452"/>
    </row>
    <row r="407" spans="2:2" x14ac:dyDescent="0.2">
      <c r="B407" s="452"/>
    </row>
    <row r="408" spans="2:2" x14ac:dyDescent="0.2">
      <c r="B408" s="452"/>
    </row>
    <row r="409" spans="2:2" x14ac:dyDescent="0.2">
      <c r="B409" s="452"/>
    </row>
    <row r="410" spans="2:2" x14ac:dyDescent="0.2">
      <c r="B410" s="452"/>
    </row>
    <row r="411" spans="2:2" x14ac:dyDescent="0.2">
      <c r="B411" s="452"/>
    </row>
    <row r="412" spans="2:2" x14ac:dyDescent="0.2">
      <c r="B412" s="452"/>
    </row>
    <row r="413" spans="2:2" x14ac:dyDescent="0.2">
      <c r="B413" s="452"/>
    </row>
    <row r="414" spans="2:2" x14ac:dyDescent="0.2">
      <c r="B414" s="452"/>
    </row>
    <row r="415" spans="2:2" x14ac:dyDescent="0.2">
      <c r="B415" s="452"/>
    </row>
    <row r="416" spans="2:2" x14ac:dyDescent="0.2">
      <c r="B416" s="452"/>
    </row>
    <row r="417" spans="2:2" x14ac:dyDescent="0.2">
      <c r="B417" s="452"/>
    </row>
    <row r="418" spans="2:2" x14ac:dyDescent="0.2">
      <c r="B418" s="452"/>
    </row>
    <row r="419" spans="2:2" x14ac:dyDescent="0.2">
      <c r="B419" s="452"/>
    </row>
    <row r="420" spans="2:2" x14ac:dyDescent="0.2">
      <c r="B420" s="452"/>
    </row>
    <row r="421" spans="2:2" x14ac:dyDescent="0.2">
      <c r="B421" s="452"/>
    </row>
    <row r="422" spans="2:2" x14ac:dyDescent="0.2">
      <c r="B422" s="452"/>
    </row>
    <row r="423" spans="2:2" x14ac:dyDescent="0.2">
      <c r="B423" s="452"/>
    </row>
    <row r="424" spans="2:2" x14ac:dyDescent="0.2">
      <c r="B424" s="452"/>
    </row>
    <row r="425" spans="2:2" x14ac:dyDescent="0.2">
      <c r="B425" s="452"/>
    </row>
    <row r="426" spans="2:2" x14ac:dyDescent="0.2">
      <c r="B426" s="452"/>
    </row>
    <row r="427" spans="2:2" x14ac:dyDescent="0.2">
      <c r="B427" s="452"/>
    </row>
    <row r="428" spans="2:2" x14ac:dyDescent="0.2">
      <c r="B428" s="452"/>
    </row>
    <row r="429" spans="2:2" x14ac:dyDescent="0.2">
      <c r="B429" s="452"/>
    </row>
    <row r="430" spans="2:2" x14ac:dyDescent="0.2">
      <c r="B430" s="452"/>
    </row>
    <row r="431" spans="2:2" x14ac:dyDescent="0.2">
      <c r="B431" s="452"/>
    </row>
    <row r="432" spans="2:2" x14ac:dyDescent="0.2">
      <c r="B432" s="452"/>
    </row>
    <row r="433" spans="2:2" x14ac:dyDescent="0.2">
      <c r="B433" s="452"/>
    </row>
    <row r="434" spans="2:2" x14ac:dyDescent="0.2">
      <c r="B434" s="452"/>
    </row>
    <row r="435" spans="2:2" x14ac:dyDescent="0.2">
      <c r="B435" s="452"/>
    </row>
    <row r="436" spans="2:2" x14ac:dyDescent="0.2">
      <c r="B436" s="452"/>
    </row>
    <row r="437" spans="2:2" x14ac:dyDescent="0.2">
      <c r="B437" s="452"/>
    </row>
    <row r="438" spans="2:2" x14ac:dyDescent="0.2">
      <c r="B438" s="452"/>
    </row>
    <row r="439" spans="2:2" x14ac:dyDescent="0.2">
      <c r="B439" s="452"/>
    </row>
    <row r="440" spans="2:2" x14ac:dyDescent="0.2">
      <c r="B440" s="452"/>
    </row>
    <row r="441" spans="2:2" x14ac:dyDescent="0.2">
      <c r="B441" s="452"/>
    </row>
    <row r="442" spans="2:2" x14ac:dyDescent="0.2">
      <c r="B442" s="452"/>
    </row>
    <row r="443" spans="2:2" x14ac:dyDescent="0.2">
      <c r="B443" s="452"/>
    </row>
    <row r="444" spans="2:2" x14ac:dyDescent="0.2">
      <c r="B444" s="452"/>
    </row>
    <row r="445" spans="2:2" x14ac:dyDescent="0.2">
      <c r="B445" s="452"/>
    </row>
    <row r="446" spans="2:2" x14ac:dyDescent="0.2">
      <c r="B446" s="452"/>
    </row>
    <row r="447" spans="2:2" x14ac:dyDescent="0.2">
      <c r="B447" s="452"/>
    </row>
    <row r="448" spans="2:2" x14ac:dyDescent="0.2">
      <c r="B448" s="452"/>
    </row>
    <row r="449" spans="2:2" x14ac:dyDescent="0.2">
      <c r="B449" s="452"/>
    </row>
    <row r="450" spans="2:2" x14ac:dyDescent="0.2">
      <c r="B450" s="452"/>
    </row>
    <row r="451" spans="2:2" x14ac:dyDescent="0.2">
      <c r="B451" s="452"/>
    </row>
    <row r="452" spans="2:2" x14ac:dyDescent="0.2">
      <c r="B452" s="452"/>
    </row>
    <row r="453" spans="2:2" x14ac:dyDescent="0.2">
      <c r="B453" s="452"/>
    </row>
    <row r="454" spans="2:2" x14ac:dyDescent="0.2">
      <c r="B454" s="452"/>
    </row>
    <row r="455" spans="2:2" x14ac:dyDescent="0.2">
      <c r="B455" s="452"/>
    </row>
    <row r="456" spans="2:2" x14ac:dyDescent="0.2">
      <c r="B456" s="452"/>
    </row>
    <row r="457" spans="2:2" x14ac:dyDescent="0.2">
      <c r="B457" s="452"/>
    </row>
    <row r="458" spans="2:2" x14ac:dyDescent="0.2">
      <c r="B458" s="452"/>
    </row>
    <row r="459" spans="2:2" x14ac:dyDescent="0.2">
      <c r="B459" s="452"/>
    </row>
    <row r="460" spans="2:2" x14ac:dyDescent="0.2">
      <c r="B460" s="452"/>
    </row>
    <row r="461" spans="2:2" x14ac:dyDescent="0.2">
      <c r="B461" s="452"/>
    </row>
    <row r="462" spans="2:2" x14ac:dyDescent="0.2">
      <c r="B462" s="452"/>
    </row>
    <row r="463" spans="2:2" x14ac:dyDescent="0.2">
      <c r="B463" s="452"/>
    </row>
    <row r="464" spans="2:2" x14ac:dyDescent="0.2">
      <c r="B464" s="452"/>
    </row>
    <row r="465" spans="2:2" x14ac:dyDescent="0.2">
      <c r="B465" s="452"/>
    </row>
    <row r="466" spans="2:2" x14ac:dyDescent="0.2">
      <c r="B466" s="452"/>
    </row>
    <row r="467" spans="2:2" x14ac:dyDescent="0.2">
      <c r="B467" s="452"/>
    </row>
    <row r="468" spans="2:2" x14ac:dyDescent="0.2">
      <c r="B468" s="452"/>
    </row>
    <row r="469" spans="2:2" x14ac:dyDescent="0.2">
      <c r="B469" s="452"/>
    </row>
    <row r="470" spans="2:2" x14ac:dyDescent="0.2">
      <c r="B470" s="452"/>
    </row>
    <row r="471" spans="2:2" x14ac:dyDescent="0.2">
      <c r="B471" s="452"/>
    </row>
    <row r="472" spans="2:2" x14ac:dyDescent="0.2">
      <c r="B472" s="452"/>
    </row>
    <row r="473" spans="2:2" x14ac:dyDescent="0.2">
      <c r="B473" s="452"/>
    </row>
    <row r="474" spans="2:2" x14ac:dyDescent="0.2">
      <c r="B474" s="452"/>
    </row>
    <row r="475" spans="2:2" x14ac:dyDescent="0.2">
      <c r="B475" s="452"/>
    </row>
    <row r="476" spans="2:2" x14ac:dyDescent="0.2">
      <c r="B476" s="452"/>
    </row>
    <row r="477" spans="2:2" x14ac:dyDescent="0.2">
      <c r="B477" s="452"/>
    </row>
    <row r="478" spans="2:2" x14ac:dyDescent="0.2">
      <c r="B478" s="452"/>
    </row>
    <row r="479" spans="2:2" x14ac:dyDescent="0.2">
      <c r="B479" s="452"/>
    </row>
    <row r="480" spans="2:2" x14ac:dyDescent="0.2">
      <c r="B480" s="452"/>
    </row>
    <row r="481" spans="2:2" x14ac:dyDescent="0.2">
      <c r="B481" s="452"/>
    </row>
    <row r="482" spans="2:2" x14ac:dyDescent="0.2">
      <c r="B482" s="452"/>
    </row>
    <row r="483" spans="2:2" x14ac:dyDescent="0.2">
      <c r="B483" s="452"/>
    </row>
    <row r="484" spans="2:2" x14ac:dyDescent="0.2">
      <c r="B484" s="452"/>
    </row>
    <row r="485" spans="2:2" x14ac:dyDescent="0.2">
      <c r="B485" s="452"/>
    </row>
    <row r="486" spans="2:2" x14ac:dyDescent="0.2">
      <c r="B486" s="452"/>
    </row>
    <row r="487" spans="2:2" x14ac:dyDescent="0.2">
      <c r="B487" s="452"/>
    </row>
    <row r="488" spans="2:2" x14ac:dyDescent="0.2">
      <c r="B488" s="452"/>
    </row>
    <row r="489" spans="2:2" x14ac:dyDescent="0.2">
      <c r="B489" s="452"/>
    </row>
    <row r="490" spans="2:2" x14ac:dyDescent="0.2">
      <c r="B490" s="452"/>
    </row>
    <row r="491" spans="2:2" x14ac:dyDescent="0.2">
      <c r="B491" s="452"/>
    </row>
    <row r="492" spans="2:2" x14ac:dyDescent="0.2">
      <c r="B492" s="452"/>
    </row>
    <row r="493" spans="2:2" x14ac:dyDescent="0.2">
      <c r="B493" s="452"/>
    </row>
    <row r="494" spans="2:2" x14ac:dyDescent="0.2">
      <c r="B494" s="452"/>
    </row>
    <row r="495" spans="2:2" x14ac:dyDescent="0.2">
      <c r="B495" s="452"/>
    </row>
    <row r="496" spans="2:2" x14ac:dyDescent="0.2">
      <c r="B496" s="452"/>
    </row>
    <row r="497" spans="2:2" x14ac:dyDescent="0.2">
      <c r="B497" s="452"/>
    </row>
    <row r="498" spans="2:2" x14ac:dyDescent="0.2">
      <c r="B498" s="452"/>
    </row>
    <row r="499" spans="2:2" x14ac:dyDescent="0.2">
      <c r="B499" s="452"/>
    </row>
    <row r="500" spans="2:2" x14ac:dyDescent="0.2">
      <c r="B500" s="452"/>
    </row>
    <row r="501" spans="2:2" x14ac:dyDescent="0.2">
      <c r="B501" s="452"/>
    </row>
    <row r="502" spans="2:2" x14ac:dyDescent="0.2">
      <c r="B502" s="452"/>
    </row>
    <row r="503" spans="2:2" x14ac:dyDescent="0.2">
      <c r="B503" s="452"/>
    </row>
    <row r="504" spans="2:2" x14ac:dyDescent="0.2">
      <c r="B504" s="452"/>
    </row>
    <row r="505" spans="2:2" x14ac:dyDescent="0.2">
      <c r="B505" s="452"/>
    </row>
    <row r="506" spans="2:2" x14ac:dyDescent="0.2">
      <c r="B506" s="452"/>
    </row>
    <row r="507" spans="2:2" x14ac:dyDescent="0.2">
      <c r="B507" s="452"/>
    </row>
    <row r="508" spans="2:2" x14ac:dyDescent="0.2">
      <c r="B508" s="452"/>
    </row>
    <row r="509" spans="2:2" x14ac:dyDescent="0.2">
      <c r="B509" s="452"/>
    </row>
    <row r="510" spans="2:2" x14ac:dyDescent="0.2">
      <c r="B510" s="452"/>
    </row>
    <row r="511" spans="2:2" x14ac:dyDescent="0.2">
      <c r="B511" s="452"/>
    </row>
    <row r="512" spans="2:2" x14ac:dyDescent="0.2">
      <c r="B512" s="452"/>
    </row>
    <row r="513" spans="2:2" x14ac:dyDescent="0.2">
      <c r="B513" s="452"/>
    </row>
    <row r="514" spans="2:2" x14ac:dyDescent="0.2">
      <c r="B514" s="452"/>
    </row>
    <row r="515" spans="2:2" x14ac:dyDescent="0.2">
      <c r="B515" s="452"/>
    </row>
    <row r="516" spans="2:2" x14ac:dyDescent="0.2">
      <c r="B516" s="452"/>
    </row>
    <row r="517" spans="2:2" x14ac:dyDescent="0.2">
      <c r="B517" s="452"/>
    </row>
    <row r="518" spans="2:2" x14ac:dyDescent="0.2">
      <c r="B518" s="452"/>
    </row>
    <row r="519" spans="2:2" x14ac:dyDescent="0.2">
      <c r="B519" s="452"/>
    </row>
    <row r="520" spans="2:2" x14ac:dyDescent="0.2">
      <c r="B520" s="452"/>
    </row>
    <row r="521" spans="2:2" x14ac:dyDescent="0.2">
      <c r="B521" s="452"/>
    </row>
    <row r="522" spans="2:2" x14ac:dyDescent="0.2">
      <c r="B522" s="452"/>
    </row>
    <row r="523" spans="2:2" x14ac:dyDescent="0.2">
      <c r="B523" s="452"/>
    </row>
    <row r="524" spans="2:2" x14ac:dyDescent="0.2">
      <c r="B524" s="452"/>
    </row>
    <row r="525" spans="2:2" x14ac:dyDescent="0.2">
      <c r="B525" s="452"/>
    </row>
    <row r="526" spans="2:2" x14ac:dyDescent="0.2">
      <c r="B526" s="452"/>
    </row>
    <row r="527" spans="2:2" x14ac:dyDescent="0.2">
      <c r="B527" s="452"/>
    </row>
    <row r="528" spans="2:2" x14ac:dyDescent="0.2">
      <c r="B528" s="452"/>
    </row>
    <row r="529" spans="2:2" x14ac:dyDescent="0.2">
      <c r="B529" s="452"/>
    </row>
    <row r="530" spans="2:2" x14ac:dyDescent="0.2">
      <c r="B530" s="452"/>
    </row>
    <row r="531" spans="2:2" x14ac:dyDescent="0.2">
      <c r="B531" s="452"/>
    </row>
    <row r="532" spans="2:2" x14ac:dyDescent="0.2">
      <c r="B532" s="452"/>
    </row>
    <row r="533" spans="2:2" x14ac:dyDescent="0.2">
      <c r="B533" s="452"/>
    </row>
    <row r="534" spans="2:2" x14ac:dyDescent="0.2">
      <c r="B534" s="452"/>
    </row>
    <row r="535" spans="2:2" x14ac:dyDescent="0.2">
      <c r="B535" s="452"/>
    </row>
    <row r="536" spans="2:2" x14ac:dyDescent="0.2">
      <c r="B536" s="452"/>
    </row>
    <row r="537" spans="2:2" x14ac:dyDescent="0.2">
      <c r="B537" s="452"/>
    </row>
    <row r="538" spans="2:2" x14ac:dyDescent="0.2">
      <c r="B538" s="452"/>
    </row>
    <row r="539" spans="2:2" x14ac:dyDescent="0.2">
      <c r="B539" s="452"/>
    </row>
    <row r="540" spans="2:2" x14ac:dyDescent="0.2">
      <c r="B540" s="452"/>
    </row>
    <row r="541" spans="2:2" x14ac:dyDescent="0.2">
      <c r="B541" s="452"/>
    </row>
    <row r="542" spans="2:2" x14ac:dyDescent="0.2">
      <c r="B542" s="452"/>
    </row>
    <row r="543" spans="2:2" x14ac:dyDescent="0.2">
      <c r="B543" s="452"/>
    </row>
    <row r="544" spans="2:2" x14ac:dyDescent="0.2">
      <c r="B544" s="452"/>
    </row>
    <row r="545" spans="2:2" x14ac:dyDescent="0.2">
      <c r="B545" s="452"/>
    </row>
    <row r="546" spans="2:2" x14ac:dyDescent="0.2">
      <c r="B546" s="452"/>
    </row>
    <row r="547" spans="2:2" x14ac:dyDescent="0.2">
      <c r="B547" s="452"/>
    </row>
    <row r="548" spans="2:2" x14ac:dyDescent="0.2">
      <c r="B548" s="452"/>
    </row>
    <row r="549" spans="2:2" x14ac:dyDescent="0.2">
      <c r="B549" s="452"/>
    </row>
    <row r="550" spans="2:2" x14ac:dyDescent="0.2">
      <c r="B550" s="452"/>
    </row>
    <row r="551" spans="2:2" x14ac:dyDescent="0.2">
      <c r="B551" s="452"/>
    </row>
    <row r="552" spans="2:2" x14ac:dyDescent="0.2">
      <c r="B552" s="452"/>
    </row>
    <row r="553" spans="2:2" x14ac:dyDescent="0.2">
      <c r="B553" s="452"/>
    </row>
    <row r="554" spans="2:2" x14ac:dyDescent="0.2">
      <c r="B554" s="452"/>
    </row>
    <row r="555" spans="2:2" x14ac:dyDescent="0.2">
      <c r="B555" s="452"/>
    </row>
    <row r="556" spans="2:2" x14ac:dyDescent="0.2">
      <c r="B556" s="452"/>
    </row>
    <row r="557" spans="2:2" x14ac:dyDescent="0.2">
      <c r="B557" s="452"/>
    </row>
    <row r="558" spans="2:2" x14ac:dyDescent="0.2">
      <c r="B558" s="452"/>
    </row>
    <row r="559" spans="2:2" x14ac:dyDescent="0.2">
      <c r="B559" s="452"/>
    </row>
    <row r="560" spans="2:2" x14ac:dyDescent="0.2">
      <c r="B560" s="452"/>
    </row>
    <row r="561" spans="2:2" x14ac:dyDescent="0.2">
      <c r="B561" s="452"/>
    </row>
    <row r="562" spans="2:2" x14ac:dyDescent="0.2">
      <c r="B562" s="452"/>
    </row>
    <row r="563" spans="2:2" x14ac:dyDescent="0.2">
      <c r="B563" s="452"/>
    </row>
    <row r="564" spans="2:2" x14ac:dyDescent="0.2">
      <c r="B564" s="452"/>
    </row>
    <row r="565" spans="2:2" x14ac:dyDescent="0.2">
      <c r="B565" s="452"/>
    </row>
    <row r="566" spans="2:2" x14ac:dyDescent="0.2">
      <c r="B566" s="452"/>
    </row>
    <row r="567" spans="2:2" x14ac:dyDescent="0.2">
      <c r="B567" s="452"/>
    </row>
    <row r="568" spans="2:2" x14ac:dyDescent="0.2">
      <c r="B568" s="452"/>
    </row>
    <row r="569" spans="2:2" x14ac:dyDescent="0.2">
      <c r="B569" s="452"/>
    </row>
    <row r="570" spans="2:2" x14ac:dyDescent="0.2">
      <c r="B570" s="452"/>
    </row>
    <row r="571" spans="2:2" x14ac:dyDescent="0.2">
      <c r="B571" s="452"/>
    </row>
    <row r="572" spans="2:2" x14ac:dyDescent="0.2">
      <c r="B572" s="452"/>
    </row>
    <row r="573" spans="2:2" x14ac:dyDescent="0.2">
      <c r="B573" s="452"/>
    </row>
    <row r="574" spans="2:2" x14ac:dyDescent="0.2">
      <c r="B574" s="452"/>
    </row>
    <row r="575" spans="2:2" x14ac:dyDescent="0.2">
      <c r="B575" s="452"/>
    </row>
    <row r="576" spans="2:2" x14ac:dyDescent="0.2">
      <c r="B576" s="452"/>
    </row>
    <row r="577" spans="2:2" x14ac:dyDescent="0.2">
      <c r="B577" s="452"/>
    </row>
    <row r="578" spans="2:2" x14ac:dyDescent="0.2">
      <c r="B578" s="452"/>
    </row>
    <row r="579" spans="2:2" x14ac:dyDescent="0.2">
      <c r="B579" s="452"/>
    </row>
    <row r="580" spans="2:2" x14ac:dyDescent="0.2">
      <c r="B580" s="452"/>
    </row>
    <row r="581" spans="2:2" x14ac:dyDescent="0.2">
      <c r="B581" s="452"/>
    </row>
    <row r="582" spans="2:2" x14ac:dyDescent="0.2">
      <c r="B582" s="452"/>
    </row>
    <row r="583" spans="2:2" x14ac:dyDescent="0.2">
      <c r="B583" s="452"/>
    </row>
    <row r="584" spans="2:2" x14ac:dyDescent="0.2">
      <c r="B584" s="452"/>
    </row>
    <row r="585" spans="2:2" x14ac:dyDescent="0.2">
      <c r="B585" s="452"/>
    </row>
    <row r="586" spans="2:2" x14ac:dyDescent="0.2">
      <c r="B586" s="452"/>
    </row>
    <row r="587" spans="2:2" x14ac:dyDescent="0.2">
      <c r="B587" s="452"/>
    </row>
    <row r="588" spans="2:2" x14ac:dyDescent="0.2">
      <c r="B588" s="452"/>
    </row>
    <row r="589" spans="2:2" x14ac:dyDescent="0.2">
      <c r="B589" s="452"/>
    </row>
    <row r="590" spans="2:2" x14ac:dyDescent="0.2">
      <c r="B590" s="452"/>
    </row>
    <row r="591" spans="2:2" x14ac:dyDescent="0.2">
      <c r="B591" s="452"/>
    </row>
    <row r="592" spans="2:2" x14ac:dyDescent="0.2">
      <c r="B592" s="452"/>
    </row>
    <row r="593" spans="2:2" x14ac:dyDescent="0.2">
      <c r="B593" s="452"/>
    </row>
    <row r="594" spans="2:2" x14ac:dyDescent="0.2">
      <c r="B594" s="452"/>
    </row>
    <row r="595" spans="2:2" x14ac:dyDescent="0.2">
      <c r="B595" s="452"/>
    </row>
    <row r="596" spans="2:2" x14ac:dyDescent="0.2">
      <c r="B596" s="452"/>
    </row>
    <row r="597" spans="2:2" x14ac:dyDescent="0.2">
      <c r="B597" s="452"/>
    </row>
    <row r="598" spans="2:2" x14ac:dyDescent="0.2">
      <c r="B598" s="452"/>
    </row>
    <row r="599" spans="2:2" x14ac:dyDescent="0.2">
      <c r="B599" s="452"/>
    </row>
    <row r="600" spans="2:2" x14ac:dyDescent="0.2">
      <c r="B600" s="452"/>
    </row>
    <row r="601" spans="2:2" x14ac:dyDescent="0.2">
      <c r="B601" s="452"/>
    </row>
    <row r="602" spans="2:2" x14ac:dyDescent="0.2">
      <c r="B602" s="452"/>
    </row>
    <row r="603" spans="2:2" x14ac:dyDescent="0.2">
      <c r="B603" s="452"/>
    </row>
    <row r="604" spans="2:2" x14ac:dyDescent="0.2">
      <c r="B604" s="452"/>
    </row>
    <row r="605" spans="2:2" x14ac:dyDescent="0.2">
      <c r="B605" s="452"/>
    </row>
    <row r="606" spans="2:2" x14ac:dyDescent="0.2">
      <c r="B606" s="452"/>
    </row>
    <row r="607" spans="2:2" x14ac:dyDescent="0.2">
      <c r="B607" s="452"/>
    </row>
    <row r="608" spans="2:2" x14ac:dyDescent="0.2">
      <c r="B608" s="452"/>
    </row>
    <row r="609" spans="2:2" x14ac:dyDescent="0.2">
      <c r="B609" s="452"/>
    </row>
    <row r="610" spans="2:2" x14ac:dyDescent="0.2">
      <c r="B610" s="452"/>
    </row>
    <row r="611" spans="2:2" x14ac:dyDescent="0.2">
      <c r="B611" s="452"/>
    </row>
    <row r="612" spans="2:2" x14ac:dyDescent="0.2">
      <c r="B612" s="452"/>
    </row>
    <row r="613" spans="2:2" x14ac:dyDescent="0.2">
      <c r="B613" s="452"/>
    </row>
    <row r="614" spans="2:2" x14ac:dyDescent="0.2">
      <c r="B614" s="452"/>
    </row>
    <row r="615" spans="2:2" x14ac:dyDescent="0.2">
      <c r="B615" s="452"/>
    </row>
    <row r="616" spans="2:2" x14ac:dyDescent="0.2">
      <c r="B616" s="452"/>
    </row>
    <row r="617" spans="2:2" x14ac:dyDescent="0.2">
      <c r="B617" s="452"/>
    </row>
    <row r="618" spans="2:2" x14ac:dyDescent="0.2">
      <c r="B618" s="452"/>
    </row>
    <row r="619" spans="2:2" x14ac:dyDescent="0.2">
      <c r="B619" s="452"/>
    </row>
    <row r="620" spans="2:2" x14ac:dyDescent="0.2">
      <c r="B620" s="452"/>
    </row>
    <row r="621" spans="2:2" x14ac:dyDescent="0.2">
      <c r="B621" s="452"/>
    </row>
    <row r="622" spans="2:2" x14ac:dyDescent="0.2">
      <c r="B622" s="452"/>
    </row>
    <row r="623" spans="2:2" x14ac:dyDescent="0.2">
      <c r="B623" s="452"/>
    </row>
    <row r="624" spans="2:2" x14ac:dyDescent="0.2">
      <c r="B624" s="452"/>
    </row>
    <row r="625" spans="2:2" x14ac:dyDescent="0.2">
      <c r="B625" s="452"/>
    </row>
    <row r="626" spans="2:2" x14ac:dyDescent="0.2">
      <c r="B626" s="452"/>
    </row>
    <row r="627" spans="2:2" x14ac:dyDescent="0.2">
      <c r="B627" s="452"/>
    </row>
    <row r="628" spans="2:2" x14ac:dyDescent="0.2">
      <c r="B628" s="452"/>
    </row>
    <row r="629" spans="2:2" x14ac:dyDescent="0.2">
      <c r="B629" s="452"/>
    </row>
    <row r="630" spans="2:2" x14ac:dyDescent="0.2">
      <c r="B630" s="452"/>
    </row>
    <row r="631" spans="2:2" x14ac:dyDescent="0.2">
      <c r="B631" s="452"/>
    </row>
    <row r="632" spans="2:2" x14ac:dyDescent="0.2">
      <c r="B632" s="452"/>
    </row>
    <row r="633" spans="2:2" x14ac:dyDescent="0.2">
      <c r="B633" s="452"/>
    </row>
    <row r="634" spans="2:2" x14ac:dyDescent="0.2">
      <c r="B634" s="452"/>
    </row>
    <row r="635" spans="2:2" x14ac:dyDescent="0.2">
      <c r="B635" s="452"/>
    </row>
    <row r="636" spans="2:2" x14ac:dyDescent="0.2">
      <c r="B636" s="452"/>
    </row>
    <row r="637" spans="2:2" x14ac:dyDescent="0.2">
      <c r="B637" s="452"/>
    </row>
    <row r="638" spans="2:2" x14ac:dyDescent="0.2">
      <c r="B638" s="452"/>
    </row>
    <row r="639" spans="2:2" x14ac:dyDescent="0.2">
      <c r="B639" s="452"/>
    </row>
    <row r="640" spans="2:2" x14ac:dyDescent="0.2">
      <c r="B640" s="452"/>
    </row>
    <row r="641" spans="2:2" x14ac:dyDescent="0.2">
      <c r="B641" s="452"/>
    </row>
    <row r="642" spans="2:2" x14ac:dyDescent="0.2">
      <c r="B642" s="452"/>
    </row>
    <row r="643" spans="2:2" x14ac:dyDescent="0.2">
      <c r="B643" s="452"/>
    </row>
    <row r="644" spans="2:2" x14ac:dyDescent="0.2">
      <c r="B644" s="452"/>
    </row>
    <row r="645" spans="2:2" x14ac:dyDescent="0.2">
      <c r="B645" s="452"/>
    </row>
    <row r="646" spans="2:2" x14ac:dyDescent="0.2">
      <c r="B646" s="452"/>
    </row>
    <row r="647" spans="2:2" x14ac:dyDescent="0.2">
      <c r="B647" s="452"/>
    </row>
    <row r="648" spans="2:2" x14ac:dyDescent="0.2">
      <c r="B648" s="452"/>
    </row>
    <row r="649" spans="2:2" x14ac:dyDescent="0.2">
      <c r="B649" s="452"/>
    </row>
    <row r="650" spans="2:2" x14ac:dyDescent="0.2">
      <c r="B650" s="452"/>
    </row>
    <row r="651" spans="2:2" x14ac:dyDescent="0.2">
      <c r="B651" s="452"/>
    </row>
    <row r="652" spans="2:2" x14ac:dyDescent="0.2">
      <c r="B652" s="452"/>
    </row>
    <row r="653" spans="2:2" x14ac:dyDescent="0.2">
      <c r="B653" s="452"/>
    </row>
    <row r="654" spans="2:2" x14ac:dyDescent="0.2">
      <c r="B654" s="452"/>
    </row>
    <row r="655" spans="2:2" x14ac:dyDescent="0.2">
      <c r="B655" s="452"/>
    </row>
    <row r="656" spans="2:2" x14ac:dyDescent="0.2">
      <c r="B656" s="452"/>
    </row>
    <row r="657" spans="2:2" x14ac:dyDescent="0.2">
      <c r="B657" s="452"/>
    </row>
    <row r="658" spans="2:2" x14ac:dyDescent="0.2">
      <c r="B658" s="452"/>
    </row>
    <row r="659" spans="2:2" x14ac:dyDescent="0.2">
      <c r="B659" s="452"/>
    </row>
    <row r="660" spans="2:2" x14ac:dyDescent="0.2">
      <c r="B660" s="452"/>
    </row>
    <row r="661" spans="2:2" x14ac:dyDescent="0.2">
      <c r="B661" s="452"/>
    </row>
    <row r="662" spans="2:2" x14ac:dyDescent="0.2">
      <c r="B662" s="452"/>
    </row>
    <row r="663" spans="2:2" x14ac:dyDescent="0.2">
      <c r="B663" s="452"/>
    </row>
    <row r="664" spans="2:2" x14ac:dyDescent="0.2">
      <c r="B664" s="452"/>
    </row>
    <row r="665" spans="2:2" x14ac:dyDescent="0.2">
      <c r="B665" s="452"/>
    </row>
    <row r="666" spans="2:2" x14ac:dyDescent="0.2">
      <c r="B666" s="452"/>
    </row>
    <row r="667" spans="2:2" x14ac:dyDescent="0.2">
      <c r="B667" s="452"/>
    </row>
    <row r="668" spans="2:2" x14ac:dyDescent="0.2">
      <c r="B668" s="452"/>
    </row>
    <row r="669" spans="2:2" x14ac:dyDescent="0.2">
      <c r="B669" s="452"/>
    </row>
    <row r="670" spans="2:2" x14ac:dyDescent="0.2">
      <c r="B670" s="452"/>
    </row>
    <row r="671" spans="2:2" x14ac:dyDescent="0.2">
      <c r="B671" s="452"/>
    </row>
    <row r="672" spans="2:2" x14ac:dyDescent="0.2">
      <c r="B672" s="452"/>
    </row>
    <row r="673" spans="2:2" x14ac:dyDescent="0.2">
      <c r="B673" s="452"/>
    </row>
    <row r="674" spans="2:2" x14ac:dyDescent="0.2">
      <c r="B674" s="452"/>
    </row>
    <row r="675" spans="2:2" x14ac:dyDescent="0.2">
      <c r="B675" s="452"/>
    </row>
    <row r="676" spans="2:2" x14ac:dyDescent="0.2">
      <c r="B676" s="452"/>
    </row>
    <row r="677" spans="2:2" x14ac:dyDescent="0.2">
      <c r="B677" s="452"/>
    </row>
    <row r="678" spans="2:2" x14ac:dyDescent="0.2">
      <c r="B678" s="452"/>
    </row>
    <row r="679" spans="2:2" x14ac:dyDescent="0.2">
      <c r="B679" s="452"/>
    </row>
    <row r="680" spans="2:2" x14ac:dyDescent="0.2">
      <c r="B680" s="452"/>
    </row>
    <row r="681" spans="2:2" x14ac:dyDescent="0.2">
      <c r="B681" s="452"/>
    </row>
    <row r="682" spans="2:2" x14ac:dyDescent="0.2">
      <c r="B682" s="452"/>
    </row>
    <row r="683" spans="2:2" x14ac:dyDescent="0.2">
      <c r="B683" s="452"/>
    </row>
    <row r="684" spans="2:2" x14ac:dyDescent="0.2">
      <c r="B684" s="452"/>
    </row>
    <row r="685" spans="2:2" x14ac:dyDescent="0.2">
      <c r="B685" s="452"/>
    </row>
    <row r="686" spans="2:2" x14ac:dyDescent="0.2">
      <c r="B686" s="452"/>
    </row>
    <row r="687" spans="2:2" x14ac:dyDescent="0.2">
      <c r="B687" s="452"/>
    </row>
    <row r="688" spans="2:2" x14ac:dyDescent="0.2">
      <c r="B688" s="452"/>
    </row>
    <row r="689" spans="2:2" x14ac:dyDescent="0.2">
      <c r="B689" s="452"/>
    </row>
    <row r="690" spans="2:2" x14ac:dyDescent="0.2">
      <c r="B690" s="452"/>
    </row>
    <row r="691" spans="2:2" x14ac:dyDescent="0.2">
      <c r="B691" s="452"/>
    </row>
    <row r="692" spans="2:2" x14ac:dyDescent="0.2">
      <c r="B692" s="452"/>
    </row>
    <row r="693" spans="2:2" x14ac:dyDescent="0.2">
      <c r="B693" s="452"/>
    </row>
    <row r="694" spans="2:2" x14ac:dyDescent="0.2">
      <c r="B694" s="452"/>
    </row>
    <row r="695" spans="2:2" x14ac:dyDescent="0.2">
      <c r="B695" s="452"/>
    </row>
    <row r="696" spans="2:2" x14ac:dyDescent="0.2">
      <c r="B696" s="452"/>
    </row>
    <row r="697" spans="2:2" x14ac:dyDescent="0.2">
      <c r="B697" s="452"/>
    </row>
    <row r="698" spans="2:2" x14ac:dyDescent="0.2">
      <c r="B698" s="452"/>
    </row>
    <row r="699" spans="2:2" x14ac:dyDescent="0.2">
      <c r="B699" s="452"/>
    </row>
    <row r="700" spans="2:2" x14ac:dyDescent="0.2">
      <c r="B700" s="452"/>
    </row>
    <row r="701" spans="2:2" x14ac:dyDescent="0.2">
      <c r="B701" s="452"/>
    </row>
    <row r="702" spans="2:2" x14ac:dyDescent="0.2">
      <c r="B702" s="452"/>
    </row>
    <row r="703" spans="2:2" x14ac:dyDescent="0.2">
      <c r="B703" s="452"/>
    </row>
    <row r="704" spans="2:2" x14ac:dyDescent="0.2">
      <c r="B704" s="452"/>
    </row>
    <row r="705" spans="2:2" x14ac:dyDescent="0.2">
      <c r="B705" s="452"/>
    </row>
    <row r="706" spans="2:2" x14ac:dyDescent="0.2">
      <c r="B706" s="452"/>
    </row>
    <row r="707" spans="2:2" x14ac:dyDescent="0.2">
      <c r="B707" s="452"/>
    </row>
    <row r="708" spans="2:2" x14ac:dyDescent="0.2">
      <c r="B708" s="452"/>
    </row>
    <row r="709" spans="2:2" x14ac:dyDescent="0.2">
      <c r="B709" s="452"/>
    </row>
    <row r="710" spans="2:2" x14ac:dyDescent="0.2">
      <c r="B710" s="452"/>
    </row>
    <row r="711" spans="2:2" x14ac:dyDescent="0.2">
      <c r="B711" s="452"/>
    </row>
    <row r="712" spans="2:2" x14ac:dyDescent="0.2">
      <c r="B712" s="452"/>
    </row>
    <row r="713" spans="2:2" x14ac:dyDescent="0.2">
      <c r="B713" s="452"/>
    </row>
    <row r="714" spans="2:2" x14ac:dyDescent="0.2">
      <c r="B714" s="452"/>
    </row>
    <row r="715" spans="2:2" x14ac:dyDescent="0.2">
      <c r="B715" s="452"/>
    </row>
    <row r="716" spans="2:2" x14ac:dyDescent="0.2">
      <c r="B716" s="452"/>
    </row>
    <row r="717" spans="2:2" x14ac:dyDescent="0.2">
      <c r="B717" s="452"/>
    </row>
    <row r="718" spans="2:2" x14ac:dyDescent="0.2">
      <c r="B718" s="452"/>
    </row>
    <row r="719" spans="2:2" x14ac:dyDescent="0.2">
      <c r="B719" s="452"/>
    </row>
    <row r="720" spans="2:2" x14ac:dyDescent="0.2">
      <c r="B720" s="452"/>
    </row>
    <row r="721" spans="2:2" x14ac:dyDescent="0.2">
      <c r="B721" s="452"/>
    </row>
    <row r="722" spans="2:2" x14ac:dyDescent="0.2">
      <c r="B722" s="452"/>
    </row>
    <row r="723" spans="2:2" x14ac:dyDescent="0.2">
      <c r="B723" s="452"/>
    </row>
    <row r="724" spans="2:2" x14ac:dyDescent="0.2">
      <c r="B724" s="452"/>
    </row>
    <row r="725" spans="2:2" x14ac:dyDescent="0.2">
      <c r="B725" s="452"/>
    </row>
    <row r="726" spans="2:2" x14ac:dyDescent="0.2">
      <c r="B726" s="452"/>
    </row>
    <row r="727" spans="2:2" x14ac:dyDescent="0.2">
      <c r="B727" s="452"/>
    </row>
    <row r="728" spans="2:2" x14ac:dyDescent="0.2">
      <c r="B728" s="452"/>
    </row>
    <row r="729" spans="2:2" x14ac:dyDescent="0.2">
      <c r="B729" s="452"/>
    </row>
    <row r="730" spans="2:2" x14ac:dyDescent="0.2">
      <c r="B730" s="452"/>
    </row>
    <row r="731" spans="2:2" x14ac:dyDescent="0.2">
      <c r="B731" s="452"/>
    </row>
    <row r="732" spans="2:2" x14ac:dyDescent="0.2">
      <c r="B732" s="452"/>
    </row>
    <row r="733" spans="2:2" x14ac:dyDescent="0.2">
      <c r="B733" s="452"/>
    </row>
    <row r="734" spans="2:2" x14ac:dyDescent="0.2">
      <c r="B734" s="452"/>
    </row>
    <row r="735" spans="2:2" x14ac:dyDescent="0.2">
      <c r="B735" s="452"/>
    </row>
    <row r="736" spans="2:2" x14ac:dyDescent="0.2">
      <c r="B736" s="452"/>
    </row>
    <row r="737" spans="2:2" x14ac:dyDescent="0.2">
      <c r="B737" s="452"/>
    </row>
    <row r="738" spans="2:2" x14ac:dyDescent="0.2">
      <c r="B738" s="452"/>
    </row>
    <row r="739" spans="2:2" x14ac:dyDescent="0.2">
      <c r="B739" s="452"/>
    </row>
    <row r="740" spans="2:2" x14ac:dyDescent="0.2">
      <c r="B740" s="452"/>
    </row>
    <row r="741" spans="2:2" x14ac:dyDescent="0.2">
      <c r="B741" s="452"/>
    </row>
    <row r="742" spans="2:2" x14ac:dyDescent="0.2">
      <c r="B742" s="452"/>
    </row>
    <row r="743" spans="2:2" x14ac:dyDescent="0.2">
      <c r="B743" s="452"/>
    </row>
    <row r="744" spans="2:2" x14ac:dyDescent="0.2">
      <c r="B744" s="452"/>
    </row>
    <row r="745" spans="2:2" x14ac:dyDescent="0.2">
      <c r="B745" s="452"/>
    </row>
    <row r="746" spans="2:2" x14ac:dyDescent="0.2">
      <c r="B746" s="452"/>
    </row>
    <row r="747" spans="2:2" x14ac:dyDescent="0.2">
      <c r="B747" s="452"/>
    </row>
    <row r="748" spans="2:2" x14ac:dyDescent="0.2">
      <c r="B748" s="452"/>
    </row>
    <row r="749" spans="2:2" x14ac:dyDescent="0.2">
      <c r="B749" s="452"/>
    </row>
    <row r="750" spans="2:2" x14ac:dyDescent="0.2">
      <c r="B750" s="452"/>
    </row>
    <row r="751" spans="2:2" x14ac:dyDescent="0.2">
      <c r="B751" s="452"/>
    </row>
    <row r="752" spans="2:2" x14ac:dyDescent="0.2">
      <c r="B752" s="452"/>
    </row>
    <row r="753" spans="2:2" x14ac:dyDescent="0.2">
      <c r="B753" s="452"/>
    </row>
    <row r="754" spans="2:2" x14ac:dyDescent="0.2">
      <c r="B754" s="452"/>
    </row>
    <row r="755" spans="2:2" x14ac:dyDescent="0.2">
      <c r="B755" s="452"/>
    </row>
    <row r="756" spans="2:2" x14ac:dyDescent="0.2">
      <c r="B756" s="452"/>
    </row>
    <row r="757" spans="2:2" x14ac:dyDescent="0.2">
      <c r="B757" s="452"/>
    </row>
    <row r="758" spans="2:2" x14ac:dyDescent="0.2">
      <c r="B758" s="452"/>
    </row>
    <row r="759" spans="2:2" x14ac:dyDescent="0.2">
      <c r="B759" s="452"/>
    </row>
    <row r="760" spans="2:2" x14ac:dyDescent="0.2">
      <c r="B760" s="452"/>
    </row>
    <row r="761" spans="2:2" x14ac:dyDescent="0.2">
      <c r="B761" s="452"/>
    </row>
    <row r="762" spans="2:2" x14ac:dyDescent="0.2">
      <c r="B762" s="452"/>
    </row>
    <row r="763" spans="2:2" x14ac:dyDescent="0.2">
      <c r="B763" s="452"/>
    </row>
    <row r="764" spans="2:2" x14ac:dyDescent="0.2">
      <c r="B764" s="452"/>
    </row>
    <row r="765" spans="2:2" x14ac:dyDescent="0.2">
      <c r="B765" s="452"/>
    </row>
    <row r="766" spans="2:2" x14ac:dyDescent="0.2">
      <c r="B766" s="452"/>
    </row>
    <row r="767" spans="2:2" x14ac:dyDescent="0.2">
      <c r="B767" s="452"/>
    </row>
    <row r="768" spans="2:2" x14ac:dyDescent="0.2">
      <c r="B768" s="452"/>
    </row>
    <row r="769" spans="2:2" x14ac:dyDescent="0.2">
      <c r="B769" s="452"/>
    </row>
    <row r="770" spans="2:2" x14ac:dyDescent="0.2">
      <c r="B770" s="452"/>
    </row>
    <row r="771" spans="2:2" x14ac:dyDescent="0.2">
      <c r="B771" s="452"/>
    </row>
    <row r="772" spans="2:2" x14ac:dyDescent="0.2">
      <c r="B772" s="452"/>
    </row>
    <row r="773" spans="2:2" x14ac:dyDescent="0.2">
      <c r="B773" s="452"/>
    </row>
    <row r="774" spans="2:2" x14ac:dyDescent="0.2">
      <c r="B774" s="452"/>
    </row>
    <row r="775" spans="2:2" x14ac:dyDescent="0.2">
      <c r="B775" s="452"/>
    </row>
    <row r="776" spans="2:2" x14ac:dyDescent="0.2">
      <c r="B776" s="452"/>
    </row>
    <row r="777" spans="2:2" x14ac:dyDescent="0.2">
      <c r="B777" s="452"/>
    </row>
    <row r="778" spans="2:2" x14ac:dyDescent="0.2">
      <c r="B778" s="452"/>
    </row>
    <row r="779" spans="2:2" x14ac:dyDescent="0.2">
      <c r="B779" s="452"/>
    </row>
    <row r="780" spans="2:2" x14ac:dyDescent="0.2">
      <c r="B780" s="452"/>
    </row>
    <row r="781" spans="2:2" x14ac:dyDescent="0.2">
      <c r="B781" s="452"/>
    </row>
    <row r="782" spans="2:2" x14ac:dyDescent="0.2">
      <c r="B782" s="452"/>
    </row>
    <row r="783" spans="2:2" x14ac:dyDescent="0.2">
      <c r="B783" s="452"/>
    </row>
    <row r="784" spans="2:2" x14ac:dyDescent="0.2">
      <c r="B784" s="452"/>
    </row>
    <row r="785" spans="2:2" x14ac:dyDescent="0.2">
      <c r="B785" s="452"/>
    </row>
    <row r="786" spans="2:2" x14ac:dyDescent="0.2">
      <c r="B786" s="452"/>
    </row>
    <row r="787" spans="2:2" x14ac:dyDescent="0.2">
      <c r="B787" s="452"/>
    </row>
    <row r="788" spans="2:2" x14ac:dyDescent="0.2">
      <c r="B788" s="452"/>
    </row>
    <row r="789" spans="2:2" x14ac:dyDescent="0.2">
      <c r="B789" s="452"/>
    </row>
    <row r="790" spans="2:2" x14ac:dyDescent="0.2">
      <c r="B790" s="452"/>
    </row>
    <row r="791" spans="2:2" x14ac:dyDescent="0.2">
      <c r="B791" s="452"/>
    </row>
    <row r="792" spans="2:2" x14ac:dyDescent="0.2">
      <c r="B792" s="452"/>
    </row>
    <row r="793" spans="2:2" x14ac:dyDescent="0.2">
      <c r="B793" s="452"/>
    </row>
    <row r="794" spans="2:2" x14ac:dyDescent="0.2">
      <c r="B794" s="452"/>
    </row>
    <row r="795" spans="2:2" x14ac:dyDescent="0.2">
      <c r="B795" s="452"/>
    </row>
    <row r="796" spans="2:2" x14ac:dyDescent="0.2">
      <c r="B796" s="452"/>
    </row>
    <row r="797" spans="2:2" x14ac:dyDescent="0.2">
      <c r="B797" s="452"/>
    </row>
    <row r="798" spans="2:2" x14ac:dyDescent="0.2">
      <c r="B798" s="452"/>
    </row>
    <row r="799" spans="2:2" x14ac:dyDescent="0.2">
      <c r="B799" s="452"/>
    </row>
    <row r="800" spans="2:2" x14ac:dyDescent="0.2">
      <c r="B800" s="452"/>
    </row>
    <row r="801" spans="2:2" x14ac:dyDescent="0.2">
      <c r="B801" s="452"/>
    </row>
    <row r="802" spans="2:2" x14ac:dyDescent="0.2">
      <c r="B802" s="452"/>
    </row>
    <row r="803" spans="2:2" x14ac:dyDescent="0.2">
      <c r="B803" s="452"/>
    </row>
    <row r="804" spans="2:2" x14ac:dyDescent="0.2">
      <c r="B804" s="452"/>
    </row>
    <row r="805" spans="2:2" x14ac:dyDescent="0.2">
      <c r="B805" s="452"/>
    </row>
    <row r="806" spans="2:2" x14ac:dyDescent="0.2">
      <c r="B806" s="452"/>
    </row>
    <row r="807" spans="2:2" x14ac:dyDescent="0.2">
      <c r="B807" s="452"/>
    </row>
    <row r="808" spans="2:2" x14ac:dyDescent="0.2">
      <c r="B808" s="452"/>
    </row>
    <row r="809" spans="2:2" x14ac:dyDescent="0.2">
      <c r="B809" s="452"/>
    </row>
    <row r="810" spans="2:2" x14ac:dyDescent="0.2">
      <c r="B810" s="452"/>
    </row>
    <row r="811" spans="2:2" x14ac:dyDescent="0.2">
      <c r="B811" s="452"/>
    </row>
    <row r="812" spans="2:2" x14ac:dyDescent="0.2">
      <c r="B812" s="452"/>
    </row>
    <row r="813" spans="2:2" x14ac:dyDescent="0.2">
      <c r="B813" s="452"/>
    </row>
    <row r="814" spans="2:2" x14ac:dyDescent="0.2">
      <c r="B814" s="452"/>
    </row>
    <row r="815" spans="2:2" x14ac:dyDescent="0.2">
      <c r="B815" s="452"/>
    </row>
    <row r="816" spans="2:2" x14ac:dyDescent="0.2">
      <c r="B816" s="452"/>
    </row>
    <row r="817" spans="2:2" x14ac:dyDescent="0.2">
      <c r="B817" s="452"/>
    </row>
    <row r="818" spans="2:2" x14ac:dyDescent="0.2">
      <c r="B818" s="452"/>
    </row>
    <row r="819" spans="2:2" x14ac:dyDescent="0.2">
      <c r="B819" s="452"/>
    </row>
    <row r="820" spans="2:2" x14ac:dyDescent="0.2">
      <c r="B820" s="452"/>
    </row>
    <row r="821" spans="2:2" x14ac:dyDescent="0.2">
      <c r="B821" s="452"/>
    </row>
    <row r="822" spans="2:2" x14ac:dyDescent="0.2">
      <c r="B822" s="452"/>
    </row>
    <row r="823" spans="2:2" x14ac:dyDescent="0.2">
      <c r="B823" s="452"/>
    </row>
    <row r="824" spans="2:2" x14ac:dyDescent="0.2">
      <c r="B824" s="452"/>
    </row>
    <row r="825" spans="2:2" x14ac:dyDescent="0.2">
      <c r="B825" s="452"/>
    </row>
    <row r="826" spans="2:2" x14ac:dyDescent="0.2">
      <c r="B826" s="452"/>
    </row>
    <row r="827" spans="2:2" x14ac:dyDescent="0.2">
      <c r="B827" s="452"/>
    </row>
    <row r="828" spans="2:2" x14ac:dyDescent="0.2">
      <c r="B828" s="452"/>
    </row>
    <row r="829" spans="2:2" x14ac:dyDescent="0.2">
      <c r="B829" s="452"/>
    </row>
    <row r="830" spans="2:2" x14ac:dyDescent="0.2">
      <c r="B830" s="452"/>
    </row>
    <row r="831" spans="2:2" x14ac:dyDescent="0.2">
      <c r="B831" s="452"/>
    </row>
    <row r="832" spans="2:2" x14ac:dyDescent="0.2">
      <c r="B832" s="452"/>
    </row>
    <row r="833" spans="2:2" x14ac:dyDescent="0.2">
      <c r="B833" s="452"/>
    </row>
    <row r="834" spans="2:2" x14ac:dyDescent="0.2">
      <c r="B834" s="452"/>
    </row>
    <row r="835" spans="2:2" x14ac:dyDescent="0.2">
      <c r="B835" s="452"/>
    </row>
    <row r="836" spans="2:2" x14ac:dyDescent="0.2">
      <c r="B836" s="452"/>
    </row>
    <row r="837" spans="2:2" x14ac:dyDescent="0.2">
      <c r="B837" s="452"/>
    </row>
    <row r="838" spans="2:2" x14ac:dyDescent="0.2">
      <c r="B838" s="452"/>
    </row>
    <row r="839" spans="2:2" x14ac:dyDescent="0.2">
      <c r="B839" s="45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1"/>
    <pageSetUpPr fitToPage="1"/>
  </sheetPr>
  <dimension ref="A1:AT1694"/>
  <sheetViews>
    <sheetView zoomScale="130" zoomScaleNormal="130" workbookViewId="0">
      <selection activeCell="B4" sqref="B4"/>
    </sheetView>
  </sheetViews>
  <sheetFormatPr baseColWidth="10" defaultColWidth="8.83203125" defaultRowHeight="15" x14ac:dyDescent="0.2"/>
  <cols>
    <col min="1" max="1" width="9.1640625" customWidth="1"/>
    <col min="2" max="2" width="7.6640625" style="298" customWidth="1"/>
    <col min="3" max="3" width="11.33203125" customWidth="1"/>
    <col min="4" max="4" width="29.6640625" style="298" bestFit="1" customWidth="1"/>
    <col min="5" max="5" width="9.5" style="389" bestFit="1" customWidth="1"/>
    <col min="6" max="6" width="11" style="389" bestFit="1" customWidth="1"/>
    <col min="7" max="7" width="16.5" style="390" bestFit="1" customWidth="1"/>
    <col min="8" max="8" width="8.5" style="389" bestFit="1" customWidth="1"/>
    <col min="9" max="9" width="11.1640625" style="389" bestFit="1" customWidth="1"/>
    <col min="10" max="10" width="9.6640625" style="389" customWidth="1"/>
    <col min="11" max="11" width="8.5" style="389" bestFit="1" customWidth="1"/>
    <col min="12" max="12" width="8.33203125" style="389" customWidth="1"/>
    <col min="13" max="13" width="12.5" style="381" bestFit="1" customWidth="1"/>
    <col min="14" max="14" width="9.1640625" style="389"/>
    <col min="15" max="15" width="9.1640625" style="389" customWidth="1"/>
    <col min="16" max="16" width="4.6640625" style="381" customWidth="1"/>
    <col min="17" max="20" width="2.83203125" style="389" customWidth="1"/>
    <col min="21" max="21" width="6.6640625" style="389" bestFit="1" customWidth="1"/>
    <col min="22" max="22" width="8.5" style="389" bestFit="1" customWidth="1"/>
    <col min="23" max="23" width="8.5" style="389" customWidth="1"/>
    <col min="24" max="24" width="6.6640625" style="389" bestFit="1" customWidth="1"/>
    <col min="25" max="26" width="8.5" style="389" bestFit="1" customWidth="1"/>
    <col min="27" max="27" width="5.33203125" style="389" customWidth="1"/>
    <col min="28" max="29" width="8.5" style="389" customWidth="1"/>
    <col min="30" max="30" width="6" style="381" customWidth="1"/>
    <col min="31" max="31" width="13" style="389" customWidth="1"/>
    <col min="33" max="33" width="31.6640625" customWidth="1"/>
    <col min="34" max="34" width="16.6640625" style="453" customWidth="1"/>
    <col min="35" max="35" width="13.83203125" style="453" customWidth="1"/>
    <col min="36" max="36" width="16.5" customWidth="1"/>
    <col min="37" max="37" width="14.1640625" style="389" customWidth="1"/>
    <col min="38" max="38" width="7.5" style="389" customWidth="1"/>
    <col min="39" max="40" width="11.1640625" style="389" customWidth="1"/>
    <col min="41" max="44" width="15.33203125" style="389" customWidth="1"/>
    <col min="45" max="45" width="12.1640625" style="453" bestFit="1" customWidth="1"/>
    <col min="46" max="46" width="12.1640625" style="452" bestFit="1" customWidth="1"/>
  </cols>
  <sheetData>
    <row r="1" spans="1:46" x14ac:dyDescent="0.2">
      <c r="G1" s="390">
        <f>COUNTIF(G3:G15,"&lt;&gt;"&amp;"")</f>
        <v>13</v>
      </c>
    </row>
    <row r="2" spans="1:46" ht="80" x14ac:dyDescent="0.2">
      <c r="A2" t="s">
        <v>753</v>
      </c>
      <c r="B2" s="298" t="s">
        <v>752</v>
      </c>
      <c r="D2" s="356" t="s">
        <v>711</v>
      </c>
      <c r="E2" s="391" t="s">
        <v>252</v>
      </c>
      <c r="F2" s="392" t="s">
        <v>11</v>
      </c>
      <c r="G2" s="393" t="s">
        <v>338</v>
      </c>
      <c r="H2" s="392" t="s">
        <v>739</v>
      </c>
      <c r="I2" s="392" t="s">
        <v>736</v>
      </c>
      <c r="J2" s="392" t="s">
        <v>737</v>
      </c>
      <c r="K2" s="392" t="s">
        <v>738</v>
      </c>
      <c r="L2" s="392" t="s">
        <v>794</v>
      </c>
      <c r="M2" s="392" t="s">
        <v>740</v>
      </c>
      <c r="N2" s="392" t="s">
        <v>760</v>
      </c>
      <c r="O2" s="392" t="s">
        <v>786</v>
      </c>
      <c r="Q2" s="394" t="s">
        <v>741</v>
      </c>
      <c r="R2" s="394" t="s">
        <v>742</v>
      </c>
      <c r="S2" s="394" t="s">
        <v>743</v>
      </c>
      <c r="U2" s="395" t="s">
        <v>787</v>
      </c>
      <c r="V2" s="395" t="s">
        <v>788</v>
      </c>
      <c r="W2" s="395" t="s">
        <v>789</v>
      </c>
      <c r="X2" s="395" t="s">
        <v>790</v>
      </c>
      <c r="Y2" s="395" t="s">
        <v>791</v>
      </c>
      <c r="Z2" s="395" t="s">
        <v>792</v>
      </c>
      <c r="AA2" s="395" t="s">
        <v>793</v>
      </c>
      <c r="AB2" s="395" t="s">
        <v>795</v>
      </c>
      <c r="AC2" s="395" t="s">
        <v>796</v>
      </c>
      <c r="AD2" s="395" t="s">
        <v>755</v>
      </c>
      <c r="AE2" s="392" t="s">
        <v>797</v>
      </c>
      <c r="AG2" s="312" t="s">
        <v>759</v>
      </c>
      <c r="AH2" s="405" t="s">
        <v>758</v>
      </c>
      <c r="AI2" s="405" t="s">
        <v>767</v>
      </c>
      <c r="AJ2" s="312" t="s">
        <v>762</v>
      </c>
      <c r="AK2" s="405" t="s">
        <v>763</v>
      </c>
      <c r="AL2" s="405" t="s">
        <v>764</v>
      </c>
      <c r="AM2" s="405" t="s">
        <v>766</v>
      </c>
      <c r="AN2" s="405" t="s">
        <v>765</v>
      </c>
      <c r="AO2" s="405" t="s">
        <v>761</v>
      </c>
      <c r="AP2" s="405" t="s">
        <v>741</v>
      </c>
      <c r="AQ2" s="405" t="s">
        <v>743</v>
      </c>
      <c r="AR2" s="405" t="s">
        <v>742</v>
      </c>
      <c r="AS2" s="405" t="s">
        <v>824</v>
      </c>
      <c r="AT2" s="405" t="s">
        <v>754</v>
      </c>
    </row>
    <row r="3" spans="1:46" ht="16" x14ac:dyDescent="0.2">
      <c r="A3" s="298"/>
      <c r="B3"/>
      <c r="D3" s="303" t="s">
        <v>462</v>
      </c>
      <c r="E3" s="396"/>
      <c r="F3" s="387">
        <v>1</v>
      </c>
      <c r="G3" s="397" t="s">
        <v>526</v>
      </c>
      <c r="H3" s="387" t="str">
        <f t="shared" ref="H3:H66" si="0">Q3&amp;"-"&amp;R3&amp;"-"&amp;S3</f>
        <v>2-1-0</v>
      </c>
      <c r="I3" s="389">
        <f t="shared" ref="I3:I66" si="1">IF(H3&lt;&gt;"0-0-0",Q3*2+S3,0)</f>
        <v>4</v>
      </c>
      <c r="J3" s="455">
        <f t="shared" ref="J3:J67" si="2">IF(E3&lt;&gt;"",IF(COUNTIFS($D:$D,D3,$E:$E,E3,$I:$I,I3)&lt;3,IFERROR(IF(H3&lt;&gt;"0-0-0",IF(AO3&lt;&gt;"",IF(AO3="Win",2,IF(AO3="Loss",0,1)),""),""),""),1),IF(COUNTIFS(D:D,D3,I:I,I3)&lt;3,IFERROR(IF(H3&lt;&gt;"0-0-0",IF(AO3&lt;&gt;"",IF(AO3="Win",2,IF(AO3="Loss",0,1)),""),""),""),1))</f>
        <v>2</v>
      </c>
      <c r="K3" s="455" t="str">
        <f t="shared" ref="K3:K66" si="3">IF(COUNTIFS(AG:AG,AG3,I:I,I3,J:J,J3)&gt;1,AS3,"")</f>
        <v/>
      </c>
      <c r="L3" s="455" t="str">
        <f>IF(COUNTIFS(AG:AG,AG3,I:I,I3,J:J,J3,K:K,K3)&gt;1,AT3,"")</f>
        <v/>
      </c>
      <c r="M3" s="389" t="str">
        <f>IFERROR(IF(AD3&lt;=VLOOKUP(D3,Tournaments!$A$1:$B$1772,2,FALSE),"TRUE","FALSE"),"")</f>
        <v>TRUE</v>
      </c>
      <c r="N3" s="389">
        <v>1</v>
      </c>
      <c r="O3" s="389">
        <f t="shared" ref="O3:O66" si="4">AD3</f>
        <v>1</v>
      </c>
      <c r="Q3" s="389">
        <f t="shared" ref="Q3:Q66" si="5">AP3</f>
        <v>2</v>
      </c>
      <c r="R3" s="389">
        <f t="shared" ref="R3:R66" si="6">AR3</f>
        <v>1</v>
      </c>
      <c r="S3" s="389">
        <f t="shared" ref="S3:S66" si="7">AQ3</f>
        <v>0</v>
      </c>
      <c r="U3" s="389">
        <f t="shared" ref="U3:U66" si="8">IF(E3&lt;&gt;"",COUNTIFS($D$3:$D$1001,D3,$E$3:$E$1001,E3,$I$3:$I$1001,"&gt;"&amp;I3)+COUNTIFS($D$3:$D$1001,D3,$E$3:$E$1001,E3,$I$3:$I$1001,I3),COUNTIFS($D$3:$D$1001,D3,$I$3:$I$1001,"&gt;"&amp;I3)+COUNTIFS($D$3:$D$1001,D3,$I$3:$I$1001,I3))</f>
        <v>2</v>
      </c>
      <c r="V3" s="389">
        <f t="shared" ref="V3:V66" si="9">IFERROR(RANK(J3,$J:$J,1)/10000,FALSE)</f>
        <v>2.1999999999999999E-2</v>
      </c>
      <c r="W3" s="389">
        <f t="shared" ref="W3:W66" si="10">V3-U3</f>
        <v>-1.978</v>
      </c>
      <c r="X3" s="389">
        <f t="shared" ref="X3:X66" si="11">IF(E3&lt;&gt;"",COUNTIFS($D:$D,$D3,$E:$E,$E3,$W:$W,"&gt;"&amp;W3)+COUNTIFS($D:$D,$D3,$E:$E,$E3,$W:$W,W3),COUNTIFS($D:$D,$D3,$W:$W,"&gt;"&amp;W3)+COUNTIFS($D:$D,$D3,$W:$W,W3))</f>
        <v>1</v>
      </c>
      <c r="Y3" s="389" t="b">
        <f>IFERROR(IF(K3&gt;=0,RANK(K3,$K:$K,1)/10000,RANK(K3,$K:$K,1)/10000),FALSE)</f>
        <v>0</v>
      </c>
      <c r="Z3" s="389">
        <f t="shared" ref="Z3:Z66" si="12">Y3-X3</f>
        <v>-1</v>
      </c>
      <c r="AA3" s="389">
        <f t="shared" ref="AA3:AA66" si="13">IF(E3&lt;&gt;"",(COUNTIFS($D:$D,D3,$E:$E,E3,$Z:$Z,"&gt;"&amp;Z3)+COUNTIFS($D:$D,D3,$E:$E,E3,$Z:$Z,Z3)),(COUNTIFS($D:$D,D3,$Z:$Z,"&gt;"&amp;Z3)+COUNTIFS($D:$D,D3,$Z:$Z,Z3)))</f>
        <v>1</v>
      </c>
      <c r="AB3" s="389" t="b">
        <f t="shared" ref="AB3:AB66" si="14">IFERROR(RANK(L3,$L:$L,1)/10000,FALSE)</f>
        <v>0</v>
      </c>
      <c r="AC3" s="389">
        <f t="shared" ref="AC3:AC66" si="15">AB3-AA3</f>
        <v>-1</v>
      </c>
      <c r="AD3" s="389">
        <f t="shared" ref="AD3:AD66" si="16">IF(E3&lt;&gt;"",COUNTIFS($D:$D,$D3,$E:$E,$E3,$AC:$AC,"&gt;"&amp;AC3)+COUNTIFS($D:$D,$D3,$E:$E,$E3,$AC:$AC,AC3),COUNTIFS($D:$D,$D3,$AC:$AC,"&gt;"&amp;AC3)+COUNTIFS($D:$D,$D3,$AC:$AC,AC3))</f>
        <v>1</v>
      </c>
      <c r="AE3" s="389">
        <f t="shared" ref="AE3:AE66" si="17">IF(E3&lt;&gt;"",COUNTIFS($D:$D,D3,$E:$E,E3,$I:$I,I3,$J:$J,J3),COUNTIFS($D:$D,D3,$I:$I,I3,$J:$J,J3))</f>
        <v>1</v>
      </c>
      <c r="AG3" s="311" t="str">
        <f t="shared" ref="AG3:AG66" si="18">D3&amp;"-"&amp;E3</f>
        <v>Adult Female Basketball-</v>
      </c>
      <c r="AH3" s="453">
        <f t="shared" ref="AH3:AH66" si="19">IF(G3="","",COUNTIFS(FS_teams,"&lt;&gt;-1",FS_Keys,AG3,FS_Points,"&gt;"&amp;I3)+1)</f>
        <v>1</v>
      </c>
      <c r="AI3" s="453">
        <f t="shared" ref="AI3:AI66" si="20">IF(G3="","",COUNTIFS(FS_Keys,AG3,FS_Rank_on_Points,AH3))</f>
        <v>2</v>
      </c>
      <c r="AJ3" t="str">
        <f t="array" ref="AJ3">IF(AND(AI3&gt;1,G3&lt;&gt;""),INDEX(FS_teams,MATCH(1,(FS_Keys=AG3)*(FS_Points=I3)*(FS_teams&lt;&gt;G3),0)),"")</f>
        <v>AD F - USA 1</v>
      </c>
      <c r="AK3" s="390">
        <f t="array" ref="AK3">IF(AJ3&lt;&gt;"",INDEX(TM_Score1,MATCH(1,(TM_Events=D3)*(TM_Participant1=G3)*(TM_Participant2=AJ3),0)),"")</f>
        <v>20</v>
      </c>
      <c r="AL3" s="390" t="e">
        <f t="array" ref="AL3">IF(AJ3&lt;&gt;"",INDEX(TM_Score1,MATCH(1,(TM_Events=D3)*(TM_Participant1=AJ3)*(TM_Participant2=G3),0)),"")</f>
        <v>#N/A</v>
      </c>
      <c r="AM3" s="389">
        <f t="array" ref="AM3">IF(ISNUMBER(AK3),INDEX(TM_Score2,MATCH(1,(TM_Events=D3)*(TM_Participant1=G3)*(TM_Participant2=AJ3),0)),"")</f>
        <v>7</v>
      </c>
      <c r="AN3" s="389" t="str">
        <f t="array" ref="AN3">IF(ISNUMBER(AL3),INDEX(TM_Score2,MATCH(1,(TM_Events=D3)*(TM_Participant1=AJ3)*(TM_Participant2=G3),0)),"")</f>
        <v/>
      </c>
      <c r="AO3" s="389" t="str">
        <f t="shared" ref="AO3:AO66" si="21">IF(AJ3="","",IF(ISNUMBER(AK3),IF(AK3&gt;AM3,"Win",IF(AK3=AM3,"Tie",IF(AK3&lt;AM3,"Loss","check"))),IF(ISNUMBER(AL3),IF(AN3&gt;AL3,"Win",IF(AN3=AL3,"Tie",IF(AN3&lt;AL3,"Loss","check"))),IF(AND(ISNA(AK3),ISNA(AL3)),"did not play","check"))))</f>
        <v>Win</v>
      </c>
      <c r="AP3" s="389">
        <f>SUMIFS(TM_W1,TM_Events,D3,TM_Participant1,G3)+SUMIFS(TM_w2,TM_Events,D3,TM_Participant2,G3)</f>
        <v>2</v>
      </c>
      <c r="AQ3" s="389">
        <f t="shared" ref="AQ3:AQ66" si="22">SUMIFS(TM_T1,TM_Events,D3,TM_Participant1,G3)+SUMIFS(TM_T2,TM_Events,D3,TM_Participant2,G3)</f>
        <v>0</v>
      </c>
      <c r="AR3" s="389">
        <f t="shared" ref="AR3:AR66" si="23">SUMIFS(TM_L1,TM_Events,D3,TM_Participant1,G3)+SUMIFS(TM_L2,TM_Events,D3,TM_Participant2,G3)</f>
        <v>1</v>
      </c>
      <c r="AS3" s="453">
        <f t="shared" ref="AS3:AS66" si="24">SUMIFS(Net_1,TM_Events,D3,TM_Participant1,G3)+SUMIFS(Net_2,TM_Events,D3,TM_Participant2,G3)</f>
        <v>13</v>
      </c>
      <c r="AT3" s="452">
        <f t="shared" ref="AT3:AT66" si="25">SUMIFS(Score_1,TM_Events,D3,TM_Participant1,G3)+SUMIFS(Score_2,TM_Events,D3,TM_Participant2,G3)</f>
        <v>71</v>
      </c>
    </row>
    <row r="4" spans="1:46" ht="16" x14ac:dyDescent="0.2">
      <c r="A4" s="298"/>
      <c r="B4"/>
      <c r="D4" s="303" t="s">
        <v>462</v>
      </c>
      <c r="E4" s="396"/>
      <c r="F4" s="387">
        <v>1</v>
      </c>
      <c r="G4" s="397" t="s">
        <v>528</v>
      </c>
      <c r="H4" s="387" t="str">
        <f t="shared" si="0"/>
        <v>0-2-0</v>
      </c>
      <c r="I4" s="389">
        <f t="shared" si="1"/>
        <v>0</v>
      </c>
      <c r="J4" s="455" t="str">
        <f t="shared" si="2"/>
        <v/>
      </c>
      <c r="K4" s="455" t="str">
        <f t="shared" si="3"/>
        <v/>
      </c>
      <c r="L4" s="455" t="str">
        <f t="shared" ref="L4:L67" si="26">IF(COUNTIFS(AG:AG,AG4,I:I,I4,J:J,J4,K:K,K4)&gt;1,AT4,"")</f>
        <v/>
      </c>
      <c r="M4" s="389" t="str">
        <f>IFERROR(IF(AD4&lt;=VLOOKUP(D4,Tournaments!$A$1:$B$1772,2,FALSE),"TRUE","FALSE"),"")</f>
        <v>FALSE</v>
      </c>
      <c r="N4" s="389">
        <v>1</v>
      </c>
      <c r="O4" s="389">
        <f t="shared" si="4"/>
        <v>3</v>
      </c>
      <c r="Q4" s="389">
        <f t="shared" si="5"/>
        <v>0</v>
      </c>
      <c r="R4" s="389">
        <f t="shared" si="6"/>
        <v>2</v>
      </c>
      <c r="S4" s="389">
        <f t="shared" si="7"/>
        <v>0</v>
      </c>
      <c r="U4" s="389">
        <f t="shared" si="8"/>
        <v>3</v>
      </c>
      <c r="V4" s="389" t="b">
        <f t="shared" si="9"/>
        <v>0</v>
      </c>
      <c r="W4" s="389">
        <f t="shared" si="10"/>
        <v>-3</v>
      </c>
      <c r="X4" s="389">
        <f t="shared" si="11"/>
        <v>3</v>
      </c>
      <c r="Y4" s="389" t="b">
        <f t="shared" ref="Y4:Y67" si="27">IFERROR(IF(K4&gt;=0,RANK(K4,$K:$K,1)/10000,RANK(K4,$K:$K,1)/10000),FALSE)</f>
        <v>0</v>
      </c>
      <c r="Z4" s="389">
        <f t="shared" si="12"/>
        <v>-3</v>
      </c>
      <c r="AA4" s="389">
        <f t="shared" si="13"/>
        <v>3</v>
      </c>
      <c r="AB4" s="389" t="b">
        <f t="shared" si="14"/>
        <v>0</v>
      </c>
      <c r="AC4" s="389">
        <f t="shared" si="15"/>
        <v>-3</v>
      </c>
      <c r="AD4" s="389">
        <f t="shared" si="16"/>
        <v>3</v>
      </c>
      <c r="AE4" s="389">
        <f t="shared" si="17"/>
        <v>1</v>
      </c>
      <c r="AG4" s="311" t="str">
        <f t="shared" si="18"/>
        <v>Adult Female Basketball-</v>
      </c>
      <c r="AH4" s="453">
        <f t="shared" si="19"/>
        <v>3</v>
      </c>
      <c r="AI4" s="453">
        <f t="shared" si="20"/>
        <v>1</v>
      </c>
      <c r="AJ4" t="str">
        <f t="array" ref="AJ4">IF(AND(AI4&gt;1,G4&lt;&gt;""),INDEX(FS_teams,MATCH(1,(FS_Keys=AG4)*(FS_Points=I4)*(FS_teams&lt;&gt;G4),0)),"")</f>
        <v/>
      </c>
      <c r="AK4" s="390" t="str">
        <f t="array" ref="AK4">IF(AJ4&lt;&gt;"",INDEX(TM_Score1,MATCH(1,(TM_Events=D4)*(TM_Participant1=G4)*(TM_Participant2=AJ4),0)),"")</f>
        <v/>
      </c>
      <c r="AL4" s="390" t="str">
        <f t="array" ref="AL4">IF(AJ4&lt;&gt;"",INDEX(TM_Score1,MATCH(1,(TM_Events=D4)*(TM_Participant1=AJ4)*(TM_Participant2=G4),0)),"")</f>
        <v/>
      </c>
      <c r="AM4" s="389" t="str">
        <f t="array" ref="AM4">IF(ISNUMBER(AK4),INDEX(TM_Score2,MATCH(1,(TM_Events=D4)*(TM_Participant1=G4)*(TM_Participant2=AJ4),0)),"")</f>
        <v/>
      </c>
      <c r="AN4" s="389" t="str">
        <f t="array" ref="AN4">IF(ISNUMBER(AL4),INDEX(TM_Score2,MATCH(1,(TM_Events=D4)*(TM_Participant1=AJ4)*(TM_Participant2=G4),0)),"")</f>
        <v/>
      </c>
      <c r="AO4" s="389" t="str">
        <f t="shared" si="21"/>
        <v/>
      </c>
      <c r="AP4" s="389">
        <f t="shared" ref="AP4:AP66" si="28">SUMIFS(TM_W1,TM_Events,D4,TM_Participant1,G4)+SUMIFS(TM_w2,TM_Events,D4,TM_Participant2,G4)</f>
        <v>0</v>
      </c>
      <c r="AQ4" s="389">
        <f t="shared" si="22"/>
        <v>0</v>
      </c>
      <c r="AR4" s="389">
        <f t="shared" si="23"/>
        <v>2</v>
      </c>
      <c r="AS4" s="453">
        <f t="shared" si="24"/>
        <v>-30</v>
      </c>
      <c r="AT4" s="452">
        <f t="shared" si="25"/>
        <v>5</v>
      </c>
    </row>
    <row r="5" spans="1:46" ht="16" x14ac:dyDescent="0.2">
      <c r="A5" s="298"/>
      <c r="B5"/>
      <c r="D5" s="309" t="s">
        <v>462</v>
      </c>
      <c r="E5" s="396"/>
      <c r="F5" s="387">
        <v>1</v>
      </c>
      <c r="G5" s="397" t="s">
        <v>530</v>
      </c>
      <c r="H5" s="387" t="str">
        <f t="shared" si="0"/>
        <v>2-1-0</v>
      </c>
      <c r="I5" s="389">
        <f t="shared" si="1"/>
        <v>4</v>
      </c>
      <c r="J5" s="455">
        <f t="shared" si="2"/>
        <v>0</v>
      </c>
      <c r="K5" s="455" t="str">
        <f t="shared" si="3"/>
        <v/>
      </c>
      <c r="L5" s="455" t="str">
        <f t="shared" si="26"/>
        <v/>
      </c>
      <c r="M5" s="389" t="str">
        <f>IFERROR(IF(AD5&lt;=VLOOKUP(D5,Tournaments!$A$1:$B$1772,2,FALSE),"TRUE","FALSE"),"")</f>
        <v>TRUE</v>
      </c>
      <c r="N5" s="389">
        <v>1</v>
      </c>
      <c r="O5" s="389">
        <f t="shared" si="4"/>
        <v>2</v>
      </c>
      <c r="Q5" s="389">
        <f t="shared" si="5"/>
        <v>2</v>
      </c>
      <c r="R5" s="389">
        <f t="shared" si="6"/>
        <v>1</v>
      </c>
      <c r="S5" s="389">
        <f t="shared" si="7"/>
        <v>0</v>
      </c>
      <c r="U5" s="389">
        <f t="shared" si="8"/>
        <v>2</v>
      </c>
      <c r="V5" s="389">
        <f t="shared" si="9"/>
        <v>1E-4</v>
      </c>
      <c r="W5" s="389">
        <f t="shared" si="10"/>
        <v>-1.9999</v>
      </c>
      <c r="X5" s="389">
        <f t="shared" si="11"/>
        <v>2</v>
      </c>
      <c r="Y5" s="389" t="b">
        <f t="shared" si="27"/>
        <v>0</v>
      </c>
      <c r="Z5" s="389">
        <f t="shared" si="12"/>
        <v>-2</v>
      </c>
      <c r="AA5" s="389">
        <f t="shared" si="13"/>
        <v>2</v>
      </c>
      <c r="AB5" s="389" t="b">
        <f t="shared" si="14"/>
        <v>0</v>
      </c>
      <c r="AC5" s="389">
        <f t="shared" si="15"/>
        <v>-2</v>
      </c>
      <c r="AD5" s="389">
        <f t="shared" si="16"/>
        <v>2</v>
      </c>
      <c r="AE5" s="389">
        <f t="shared" si="17"/>
        <v>1</v>
      </c>
      <c r="AG5" s="311" t="str">
        <f t="shared" si="18"/>
        <v>Adult Female Basketball-</v>
      </c>
      <c r="AH5" s="453">
        <f t="shared" si="19"/>
        <v>1</v>
      </c>
      <c r="AI5" s="453">
        <f t="shared" si="20"/>
        <v>2</v>
      </c>
      <c r="AJ5" t="str">
        <f t="array" ref="AJ5">IF(AND(AI5&gt;1,G5&lt;&gt;""),INDEX(FS_teams,MATCH(1,(FS_Keys=AG5)*(FS_Points=I5)*(FS_teams&lt;&gt;G5),0)),"")</f>
        <v>AD F - COL 1</v>
      </c>
      <c r="AK5" s="390" t="e">
        <f t="array" ref="AK5">IF(AJ5&lt;&gt;"",INDEX(TM_Score1,MATCH(1,(TM_Events=D5)*(TM_Participant1=G5)*(TM_Participant2=AJ5),0)),"")</f>
        <v>#N/A</v>
      </c>
      <c r="AL5" s="390">
        <f t="array" ref="AL5">IF(AJ5&lt;&gt;"",INDEX(TM_Score1,MATCH(1,(TM_Events=D5)*(TM_Participant1=AJ5)*(TM_Participant2=G5),0)),"")</f>
        <v>20</v>
      </c>
      <c r="AM5" s="389" t="str">
        <f t="array" ref="AM5">IF(ISNUMBER(AK5),INDEX(TM_Score2,MATCH(1,(TM_Events=D5)*(TM_Participant1=G5)*(TM_Participant2=AJ5),0)),"")</f>
        <v/>
      </c>
      <c r="AN5" s="389">
        <f t="array" ref="AN5">IF(ISNUMBER(AL5),INDEX(TM_Score2,MATCH(1,(TM_Events=D5)*(TM_Participant1=AJ5)*(TM_Participant2=G5),0)),"")</f>
        <v>7</v>
      </c>
      <c r="AO5" s="389" t="str">
        <f t="shared" si="21"/>
        <v>Loss</v>
      </c>
      <c r="AP5" s="389">
        <f t="shared" si="28"/>
        <v>2</v>
      </c>
      <c r="AQ5" s="389">
        <f t="shared" si="22"/>
        <v>0</v>
      </c>
      <c r="AR5" s="389">
        <f t="shared" si="23"/>
        <v>1</v>
      </c>
      <c r="AS5" s="453">
        <f t="shared" si="24"/>
        <v>17</v>
      </c>
      <c r="AT5" s="452">
        <f t="shared" si="25"/>
        <v>81</v>
      </c>
    </row>
    <row r="6" spans="1:46" ht="16" x14ac:dyDescent="0.2">
      <c r="A6" s="298"/>
      <c r="B6"/>
      <c r="D6" s="303" t="s">
        <v>79</v>
      </c>
      <c r="E6" s="396"/>
      <c r="F6" s="387">
        <v>1</v>
      </c>
      <c r="G6" s="397" t="s">
        <v>527</v>
      </c>
      <c r="H6" s="387" t="str">
        <f t="shared" si="0"/>
        <v>0-4-0</v>
      </c>
      <c r="I6" s="389">
        <f t="shared" si="1"/>
        <v>0</v>
      </c>
      <c r="J6" s="455" t="str">
        <f t="shared" si="2"/>
        <v/>
      </c>
      <c r="K6" s="455" t="str">
        <f t="shared" si="3"/>
        <v/>
      </c>
      <c r="L6" s="455" t="str">
        <f t="shared" si="26"/>
        <v/>
      </c>
      <c r="M6" s="389" t="str">
        <f>IFERROR(IF(AD6&lt;=VLOOKUP(D6,Tournaments!$A$1:$B$1772,2,FALSE),"TRUE","FALSE"),"")</f>
        <v>FALSE</v>
      </c>
      <c r="N6" s="389">
        <v>1</v>
      </c>
      <c r="O6" s="389">
        <f t="shared" si="4"/>
        <v>5</v>
      </c>
      <c r="Q6" s="389">
        <f t="shared" si="5"/>
        <v>0</v>
      </c>
      <c r="R6" s="389">
        <f t="shared" si="6"/>
        <v>4</v>
      </c>
      <c r="S6" s="389">
        <f t="shared" si="7"/>
        <v>0</v>
      </c>
      <c r="U6" s="389">
        <f t="shared" si="8"/>
        <v>5</v>
      </c>
      <c r="V6" s="389" t="b">
        <f t="shared" si="9"/>
        <v>0</v>
      </c>
      <c r="W6" s="389">
        <f t="shared" si="10"/>
        <v>-5</v>
      </c>
      <c r="X6" s="389">
        <f t="shared" si="11"/>
        <v>5</v>
      </c>
      <c r="Y6" s="389" t="b">
        <f t="shared" si="27"/>
        <v>0</v>
      </c>
      <c r="Z6" s="389">
        <f t="shared" si="12"/>
        <v>-5</v>
      </c>
      <c r="AA6" s="389">
        <f t="shared" si="13"/>
        <v>5</v>
      </c>
      <c r="AB6" s="389" t="b">
        <f t="shared" si="14"/>
        <v>0</v>
      </c>
      <c r="AC6" s="389">
        <f t="shared" si="15"/>
        <v>-5</v>
      </c>
      <c r="AD6" s="389">
        <f t="shared" si="16"/>
        <v>5</v>
      </c>
      <c r="AE6" s="389">
        <f t="shared" si="17"/>
        <v>1</v>
      </c>
      <c r="AG6" s="311" t="str">
        <f t="shared" si="18"/>
        <v>Adult Female Kickball-</v>
      </c>
      <c r="AH6" s="453">
        <f t="shared" si="19"/>
        <v>5</v>
      </c>
      <c r="AI6" s="453">
        <f t="shared" si="20"/>
        <v>1</v>
      </c>
      <c r="AJ6" t="str">
        <f t="array" ref="AJ6">IF(AND(AI6&gt;1,G6&lt;&gt;""),INDEX(FS_teams,MATCH(1,(FS_Keys=AG6)*(FS_Points=I6)*(FS_teams&lt;&gt;G6),0)),"")</f>
        <v/>
      </c>
      <c r="AK6" s="390" t="str">
        <f t="array" ref="AK6">IF(AJ6&lt;&gt;"",INDEX(TM_Score1,MATCH(1,(TM_Events=D6)*(TM_Participant1=G6)*(TM_Participant2=AJ6),0)),"")</f>
        <v/>
      </c>
      <c r="AL6" s="390" t="str">
        <f t="array" ref="AL6">IF(AJ6&lt;&gt;"",INDEX(TM_Score1,MATCH(1,(TM_Events=D6)*(TM_Participant1=AJ6)*(TM_Participant2=G6),0)),"")</f>
        <v/>
      </c>
      <c r="AM6" s="389" t="str">
        <f t="array" ref="AM6">IF(ISNUMBER(AK6),INDEX(TM_Score2,MATCH(1,(TM_Events=D6)*(TM_Participant1=G6)*(TM_Participant2=AJ6),0)),"")</f>
        <v/>
      </c>
      <c r="AN6" s="389" t="str">
        <f t="array" ref="AN6">IF(ISNUMBER(AL6),INDEX(TM_Score2,MATCH(1,(TM_Events=D6)*(TM_Participant1=AJ6)*(TM_Participant2=G6),0)),"")</f>
        <v/>
      </c>
      <c r="AO6" s="389" t="str">
        <f t="shared" si="21"/>
        <v/>
      </c>
      <c r="AP6" s="389">
        <f t="shared" si="28"/>
        <v>0</v>
      </c>
      <c r="AQ6" s="389">
        <f t="shared" si="22"/>
        <v>0</v>
      </c>
      <c r="AR6" s="389">
        <f t="shared" si="23"/>
        <v>4</v>
      </c>
      <c r="AS6" s="453">
        <f t="shared" si="24"/>
        <v>-18</v>
      </c>
      <c r="AT6" s="452">
        <f t="shared" si="25"/>
        <v>6</v>
      </c>
    </row>
    <row r="7" spans="1:46" ht="16" x14ac:dyDescent="0.2">
      <c r="A7" s="298"/>
      <c r="B7" s="302"/>
      <c r="D7" s="303" t="s">
        <v>79</v>
      </c>
      <c r="E7" s="396"/>
      <c r="F7" s="387">
        <v>1</v>
      </c>
      <c r="G7" s="397" t="s">
        <v>526</v>
      </c>
      <c r="H7" s="387" t="str">
        <f t="shared" si="0"/>
        <v>2-2-0</v>
      </c>
      <c r="I7" s="389">
        <f t="shared" si="1"/>
        <v>4</v>
      </c>
      <c r="J7" s="455">
        <f t="shared" si="2"/>
        <v>2</v>
      </c>
      <c r="K7" s="455" t="str">
        <f t="shared" si="3"/>
        <v/>
      </c>
      <c r="L7" s="455" t="str">
        <f t="shared" si="26"/>
        <v/>
      </c>
      <c r="M7" s="389" t="str">
        <f>IFERROR(IF(AD7&lt;=VLOOKUP(D7,Tournaments!$A$1:$B$1772,2,FALSE),"TRUE","FALSE"),"")</f>
        <v>FALSE</v>
      </c>
      <c r="N7" s="389">
        <v>1</v>
      </c>
      <c r="O7" s="389">
        <f t="shared" si="4"/>
        <v>3</v>
      </c>
      <c r="Q7" s="389">
        <f t="shared" si="5"/>
        <v>2</v>
      </c>
      <c r="R7" s="389">
        <f t="shared" si="6"/>
        <v>2</v>
      </c>
      <c r="S7" s="389">
        <f t="shared" si="7"/>
        <v>0</v>
      </c>
      <c r="U7" s="389">
        <f t="shared" si="8"/>
        <v>4</v>
      </c>
      <c r="V7" s="389">
        <f t="shared" si="9"/>
        <v>2.1999999999999999E-2</v>
      </c>
      <c r="W7" s="389">
        <f t="shared" si="10"/>
        <v>-3.9780000000000002</v>
      </c>
      <c r="X7" s="389">
        <f t="shared" si="11"/>
        <v>3</v>
      </c>
      <c r="Y7" s="389" t="b">
        <f t="shared" si="27"/>
        <v>0</v>
      </c>
      <c r="Z7" s="389">
        <f t="shared" si="12"/>
        <v>-3</v>
      </c>
      <c r="AA7" s="389">
        <f t="shared" si="13"/>
        <v>3</v>
      </c>
      <c r="AB7" s="389" t="b">
        <f t="shared" si="14"/>
        <v>0</v>
      </c>
      <c r="AC7" s="389">
        <f t="shared" si="15"/>
        <v>-3</v>
      </c>
      <c r="AD7" s="389">
        <f t="shared" si="16"/>
        <v>3</v>
      </c>
      <c r="AE7" s="389">
        <f t="shared" si="17"/>
        <v>1</v>
      </c>
      <c r="AG7" s="311" t="str">
        <f t="shared" si="18"/>
        <v>Adult Female Kickball-</v>
      </c>
      <c r="AH7" s="453">
        <f t="shared" si="19"/>
        <v>3</v>
      </c>
      <c r="AI7" s="453">
        <f t="shared" si="20"/>
        <v>2</v>
      </c>
      <c r="AJ7" t="str">
        <f t="array" ref="AJ7">IF(AND(AI7&gt;1,G7&lt;&gt;""),INDEX(FS_teams,MATCH(1,(FS_Keys=AG7)*(FS_Points=I7)*(FS_teams&lt;&gt;G7),0)),"")</f>
        <v>AD F - VEN 1</v>
      </c>
      <c r="AK7" s="390">
        <f t="array" ref="AK7">IF(AJ7&lt;&gt;"",INDEX(TM_Score1,MATCH(1,(TM_Events=D7)*(TM_Participant1=G7)*(TM_Participant2=AJ7),0)),"")</f>
        <v>8</v>
      </c>
      <c r="AL7" s="390" t="e">
        <f t="array" ref="AL7">IF(AJ7&lt;&gt;"",INDEX(TM_Score1,MATCH(1,(TM_Events=D7)*(TM_Participant1=AJ7)*(TM_Participant2=G7),0)),"")</f>
        <v>#N/A</v>
      </c>
      <c r="AM7" s="389">
        <f t="array" ref="AM7">IF(ISNUMBER(AK7),INDEX(TM_Score2,MATCH(1,(TM_Events=D7)*(TM_Participant1=G7)*(TM_Participant2=AJ7),0)),"")</f>
        <v>0</v>
      </c>
      <c r="AN7" s="389" t="str">
        <f t="array" ref="AN7">IF(ISNUMBER(AL7),INDEX(TM_Score2,MATCH(1,(TM_Events=D7)*(TM_Participant1=AJ7)*(TM_Participant2=G7),0)),"")</f>
        <v/>
      </c>
      <c r="AO7" s="389" t="str">
        <f t="shared" si="21"/>
        <v>Win</v>
      </c>
      <c r="AP7" s="389">
        <f t="shared" si="28"/>
        <v>2</v>
      </c>
      <c r="AQ7" s="389">
        <f t="shared" si="22"/>
        <v>0</v>
      </c>
      <c r="AR7" s="389">
        <f t="shared" si="23"/>
        <v>2</v>
      </c>
      <c r="AS7" s="453">
        <f t="shared" si="24"/>
        <v>-1</v>
      </c>
      <c r="AT7" s="452">
        <f t="shared" si="25"/>
        <v>16</v>
      </c>
    </row>
    <row r="8" spans="1:46" ht="16" x14ac:dyDescent="0.2">
      <c r="A8" s="298"/>
      <c r="B8" s="302"/>
      <c r="D8" s="303" t="s">
        <v>79</v>
      </c>
      <c r="E8" s="396"/>
      <c r="F8" s="387">
        <v>1</v>
      </c>
      <c r="G8" s="397" t="s">
        <v>531</v>
      </c>
      <c r="H8" s="387" t="str">
        <f t="shared" si="0"/>
        <v>2-2-0</v>
      </c>
      <c r="I8" s="389">
        <f t="shared" si="1"/>
        <v>4</v>
      </c>
      <c r="J8" s="455">
        <f t="shared" si="2"/>
        <v>0</v>
      </c>
      <c r="K8" s="455" t="str">
        <f t="shared" si="3"/>
        <v/>
      </c>
      <c r="L8" s="455" t="str">
        <f t="shared" si="26"/>
        <v/>
      </c>
      <c r="M8" s="389" t="str">
        <f>IFERROR(IF(AD8&lt;=VLOOKUP(D8,Tournaments!$A$1:$B$1772,2,FALSE),"TRUE","FALSE"),"")</f>
        <v>FALSE</v>
      </c>
      <c r="N8" s="389">
        <v>1</v>
      </c>
      <c r="O8" s="389">
        <f t="shared" si="4"/>
        <v>4</v>
      </c>
      <c r="Q8" s="389">
        <f t="shared" si="5"/>
        <v>2</v>
      </c>
      <c r="R8" s="389">
        <f t="shared" si="6"/>
        <v>2</v>
      </c>
      <c r="S8" s="389">
        <f t="shared" si="7"/>
        <v>0</v>
      </c>
      <c r="U8" s="389">
        <f t="shared" si="8"/>
        <v>4</v>
      </c>
      <c r="V8" s="389">
        <f t="shared" si="9"/>
        <v>1E-4</v>
      </c>
      <c r="W8" s="389">
        <f t="shared" si="10"/>
        <v>-3.9998999999999998</v>
      </c>
      <c r="X8" s="389">
        <f t="shared" si="11"/>
        <v>4</v>
      </c>
      <c r="Y8" s="389" t="b">
        <f t="shared" si="27"/>
        <v>0</v>
      </c>
      <c r="Z8" s="389">
        <f t="shared" si="12"/>
        <v>-4</v>
      </c>
      <c r="AA8" s="389">
        <f t="shared" si="13"/>
        <v>4</v>
      </c>
      <c r="AB8" s="389" t="b">
        <f t="shared" si="14"/>
        <v>0</v>
      </c>
      <c r="AC8" s="389">
        <f t="shared" si="15"/>
        <v>-4</v>
      </c>
      <c r="AD8" s="389">
        <f t="shared" si="16"/>
        <v>4</v>
      </c>
      <c r="AE8" s="389">
        <f t="shared" si="17"/>
        <v>1</v>
      </c>
      <c r="AG8" s="311" t="str">
        <f t="shared" si="18"/>
        <v>Adult Female Kickball-</v>
      </c>
      <c r="AH8" s="453">
        <f t="shared" si="19"/>
        <v>3</v>
      </c>
      <c r="AI8" s="453">
        <f t="shared" si="20"/>
        <v>2</v>
      </c>
      <c r="AJ8" t="str">
        <f t="array" ref="AJ8">IF(AND(AI8&gt;1,G8&lt;&gt;""),INDEX(FS_teams,MATCH(1,(FS_Keys=AG8)*(FS_Points=I8)*(FS_teams&lt;&gt;G8),0)),"")</f>
        <v>AD F - COL 1</v>
      </c>
      <c r="AK8" s="390" t="e">
        <f t="array" ref="AK8">IF(AJ8&lt;&gt;"",INDEX(TM_Score1,MATCH(1,(TM_Events=D8)*(TM_Participant1=G8)*(TM_Participant2=AJ8),0)),"")</f>
        <v>#N/A</v>
      </c>
      <c r="AL8" s="390">
        <f t="array" ref="AL8">IF(AJ8&lt;&gt;"",INDEX(TM_Score1,MATCH(1,(TM_Events=D8)*(TM_Participant1=AJ8)*(TM_Participant2=G8),0)),"")</f>
        <v>8</v>
      </c>
      <c r="AM8" s="389" t="str">
        <f t="array" ref="AM8">IF(ISNUMBER(AK8),INDEX(TM_Score2,MATCH(1,(TM_Events=D8)*(TM_Participant1=G8)*(TM_Participant2=AJ8),0)),"")</f>
        <v/>
      </c>
      <c r="AN8" s="389">
        <f t="array" ref="AN8">IF(ISNUMBER(AL8),INDEX(TM_Score2,MATCH(1,(TM_Events=D8)*(TM_Participant1=AJ8)*(TM_Participant2=G8),0)),"")</f>
        <v>0</v>
      </c>
      <c r="AO8" s="389" t="str">
        <f t="shared" si="21"/>
        <v>Loss</v>
      </c>
      <c r="AP8" s="389">
        <f t="shared" si="28"/>
        <v>2</v>
      </c>
      <c r="AQ8" s="389">
        <f t="shared" si="22"/>
        <v>0</v>
      </c>
      <c r="AR8" s="389">
        <f t="shared" si="23"/>
        <v>2</v>
      </c>
      <c r="AS8" s="453">
        <f t="shared" si="24"/>
        <v>0</v>
      </c>
      <c r="AT8" s="452">
        <f t="shared" si="25"/>
        <v>12</v>
      </c>
    </row>
    <row r="9" spans="1:46" ht="16" x14ac:dyDescent="0.2">
      <c r="A9" s="298"/>
      <c r="B9" s="302"/>
      <c r="D9" s="303" t="s">
        <v>79</v>
      </c>
      <c r="E9" s="387"/>
      <c r="F9" s="387">
        <v>1</v>
      </c>
      <c r="G9" s="397" t="s">
        <v>530</v>
      </c>
      <c r="H9" s="387" t="str">
        <f t="shared" si="0"/>
        <v>3-2-0</v>
      </c>
      <c r="I9" s="389">
        <f t="shared" si="1"/>
        <v>6</v>
      </c>
      <c r="J9" s="455" t="str">
        <f t="shared" si="2"/>
        <v/>
      </c>
      <c r="K9" s="455" t="str">
        <f t="shared" si="3"/>
        <v/>
      </c>
      <c r="L9" s="455" t="str">
        <f t="shared" si="26"/>
        <v/>
      </c>
      <c r="M9" s="389" t="str">
        <f>IFERROR(IF(AD9&lt;=VLOOKUP(D9,Tournaments!$A$1:$B$1772,2,FALSE),"TRUE","FALSE"),"")</f>
        <v>TRUE</v>
      </c>
      <c r="N9" s="389">
        <v>1</v>
      </c>
      <c r="O9" s="389">
        <f t="shared" si="4"/>
        <v>2</v>
      </c>
      <c r="Q9" s="389">
        <f t="shared" si="5"/>
        <v>3</v>
      </c>
      <c r="R9" s="389">
        <f t="shared" si="6"/>
        <v>2</v>
      </c>
      <c r="S9" s="389">
        <f t="shared" si="7"/>
        <v>0</v>
      </c>
      <c r="U9" s="389">
        <f t="shared" si="8"/>
        <v>2</v>
      </c>
      <c r="V9" s="389" t="b">
        <f t="shared" si="9"/>
        <v>0</v>
      </c>
      <c r="W9" s="389">
        <f t="shared" si="10"/>
        <v>-2</v>
      </c>
      <c r="X9" s="389">
        <f t="shared" si="11"/>
        <v>2</v>
      </c>
      <c r="Y9" s="389" t="b">
        <f t="shared" si="27"/>
        <v>0</v>
      </c>
      <c r="Z9" s="389">
        <f t="shared" si="12"/>
        <v>-2</v>
      </c>
      <c r="AA9" s="389">
        <f t="shared" si="13"/>
        <v>2</v>
      </c>
      <c r="AB9" s="389" t="b">
        <f t="shared" si="14"/>
        <v>0</v>
      </c>
      <c r="AC9" s="389">
        <f t="shared" si="15"/>
        <v>-2</v>
      </c>
      <c r="AD9" s="389">
        <f t="shared" si="16"/>
        <v>2</v>
      </c>
      <c r="AE9" s="389">
        <f t="shared" si="17"/>
        <v>1</v>
      </c>
      <c r="AG9" s="311" t="str">
        <f t="shared" si="18"/>
        <v>Adult Female Kickball-</v>
      </c>
      <c r="AH9" s="453">
        <f t="shared" si="19"/>
        <v>2</v>
      </c>
      <c r="AI9" s="453">
        <f t="shared" si="20"/>
        <v>1</v>
      </c>
      <c r="AJ9" t="str">
        <f t="array" ref="AJ9">IF(AND(AI9&gt;1,G9&lt;&gt;""),INDEX(FS_teams,MATCH(1,(FS_Keys=AG9)*(FS_Points=I9)*(FS_teams&lt;&gt;G9),0)),"")</f>
        <v/>
      </c>
      <c r="AK9" s="390" t="str">
        <f t="array" ref="AK9">IF(AJ9&lt;&gt;"",INDEX(TM_Score1,MATCH(1,(TM_Events=D9)*(TM_Participant1=G9)*(TM_Participant2=AJ9),0)),"")</f>
        <v/>
      </c>
      <c r="AL9" s="390" t="str">
        <f t="array" ref="AL9">IF(AJ9&lt;&gt;"",INDEX(TM_Score1,MATCH(1,(TM_Events=D9)*(TM_Participant1=AJ9)*(TM_Participant2=G9),0)),"")</f>
        <v/>
      </c>
      <c r="AM9" s="389" t="str">
        <f t="array" ref="AM9">IF(ISNUMBER(AK9),INDEX(TM_Score2,MATCH(1,(TM_Events=D9)*(TM_Participant1=G9)*(TM_Participant2=AJ9),0)),"")</f>
        <v/>
      </c>
      <c r="AN9" s="389" t="str">
        <f t="array" ref="AN9">IF(ISNUMBER(AL9),INDEX(TM_Score2,MATCH(1,(TM_Events=D9)*(TM_Participant1=AJ9)*(TM_Participant2=G9),0)),"")</f>
        <v/>
      </c>
      <c r="AO9" s="389" t="str">
        <f t="shared" si="21"/>
        <v/>
      </c>
      <c r="AP9" s="389">
        <f t="shared" si="28"/>
        <v>3</v>
      </c>
      <c r="AQ9" s="389">
        <f t="shared" si="22"/>
        <v>0</v>
      </c>
      <c r="AR9" s="389">
        <f t="shared" si="23"/>
        <v>2</v>
      </c>
      <c r="AS9" s="453">
        <f t="shared" si="24"/>
        <v>7</v>
      </c>
      <c r="AT9" s="452">
        <f t="shared" si="25"/>
        <v>36</v>
      </c>
    </row>
    <row r="10" spans="1:46" ht="16" x14ac:dyDescent="0.2">
      <c r="A10" s="298"/>
      <c r="B10"/>
      <c r="D10" s="303" t="s">
        <v>79</v>
      </c>
      <c r="E10" s="396"/>
      <c r="F10" s="387">
        <v>1</v>
      </c>
      <c r="G10" s="397" t="s">
        <v>529</v>
      </c>
      <c r="H10" s="387" t="str">
        <f t="shared" si="0"/>
        <v>4-1-0</v>
      </c>
      <c r="I10" s="389">
        <f t="shared" si="1"/>
        <v>8</v>
      </c>
      <c r="J10" s="455" t="str">
        <f t="shared" si="2"/>
        <v/>
      </c>
      <c r="K10" s="455" t="str">
        <f t="shared" si="3"/>
        <v/>
      </c>
      <c r="L10" s="455" t="str">
        <f t="shared" si="26"/>
        <v/>
      </c>
      <c r="M10" s="389" t="str">
        <f>IFERROR(IF(AD10&lt;=VLOOKUP(D10,Tournaments!$A$1:$B$1772,2,FALSE),"TRUE","FALSE"),"")</f>
        <v>TRUE</v>
      </c>
      <c r="N10" s="389">
        <v>1</v>
      </c>
      <c r="O10" s="389">
        <f t="shared" si="4"/>
        <v>1</v>
      </c>
      <c r="Q10" s="389">
        <f t="shared" si="5"/>
        <v>4</v>
      </c>
      <c r="R10" s="389">
        <f t="shared" si="6"/>
        <v>1</v>
      </c>
      <c r="S10" s="389">
        <f t="shared" si="7"/>
        <v>0</v>
      </c>
      <c r="U10" s="389">
        <f t="shared" si="8"/>
        <v>1</v>
      </c>
      <c r="V10" s="389" t="b">
        <f t="shared" si="9"/>
        <v>0</v>
      </c>
      <c r="W10" s="389">
        <f t="shared" si="10"/>
        <v>-1</v>
      </c>
      <c r="X10" s="389">
        <f t="shared" si="11"/>
        <v>1</v>
      </c>
      <c r="Y10" s="389" t="b">
        <f t="shared" si="27"/>
        <v>0</v>
      </c>
      <c r="Z10" s="389">
        <f t="shared" si="12"/>
        <v>-1</v>
      </c>
      <c r="AA10" s="389">
        <f t="shared" si="13"/>
        <v>1</v>
      </c>
      <c r="AB10" s="389" t="b">
        <f t="shared" si="14"/>
        <v>0</v>
      </c>
      <c r="AC10" s="389">
        <f t="shared" si="15"/>
        <v>-1</v>
      </c>
      <c r="AD10" s="389">
        <f t="shared" si="16"/>
        <v>1</v>
      </c>
      <c r="AE10" s="389">
        <f t="shared" si="17"/>
        <v>1</v>
      </c>
      <c r="AG10" s="311" t="str">
        <f t="shared" si="18"/>
        <v>Adult Female Kickball-</v>
      </c>
      <c r="AH10" s="453">
        <f t="shared" si="19"/>
        <v>1</v>
      </c>
      <c r="AI10" s="453">
        <f t="shared" si="20"/>
        <v>1</v>
      </c>
      <c r="AJ10" t="str">
        <f t="array" ref="AJ10">IF(AND(AI10&gt;1,G10&lt;&gt;""),INDEX(FS_teams,MATCH(1,(FS_Keys=AG10)*(FS_Points=I10)*(FS_teams&lt;&gt;G10),0)),"")</f>
        <v/>
      </c>
      <c r="AK10" s="390" t="str">
        <f t="array" ref="AK10">IF(AJ10&lt;&gt;"",INDEX(TM_Score1,MATCH(1,(TM_Events=D10)*(TM_Participant1=G10)*(TM_Participant2=AJ10),0)),"")</f>
        <v/>
      </c>
      <c r="AL10" s="390" t="str">
        <f t="array" ref="AL10">IF(AJ10&lt;&gt;"",INDEX(TM_Score1,MATCH(1,(TM_Events=D10)*(TM_Participant1=AJ10)*(TM_Participant2=G10),0)),"")</f>
        <v/>
      </c>
      <c r="AM10" s="389" t="str">
        <f t="array" ref="AM10">IF(ISNUMBER(AK10),INDEX(TM_Score2,MATCH(1,(TM_Events=D10)*(TM_Participant1=G10)*(TM_Participant2=AJ10),0)),"")</f>
        <v/>
      </c>
      <c r="AN10" s="389" t="str">
        <f t="array" ref="AN10">IF(ISNUMBER(AL10),INDEX(TM_Score2,MATCH(1,(TM_Events=D10)*(TM_Participant1=AJ10)*(TM_Participant2=G10),0)),"")</f>
        <v/>
      </c>
      <c r="AO10" s="389" t="str">
        <f t="shared" si="21"/>
        <v/>
      </c>
      <c r="AP10" s="389">
        <f t="shared" si="28"/>
        <v>4</v>
      </c>
      <c r="AQ10" s="389">
        <f t="shared" si="22"/>
        <v>0</v>
      </c>
      <c r="AR10" s="389">
        <f t="shared" si="23"/>
        <v>1</v>
      </c>
      <c r="AS10" s="453">
        <f t="shared" si="24"/>
        <v>12</v>
      </c>
      <c r="AT10" s="452">
        <f t="shared" si="25"/>
        <v>44</v>
      </c>
    </row>
    <row r="11" spans="1:46" ht="16" x14ac:dyDescent="0.2">
      <c r="A11" s="298"/>
      <c r="B11"/>
      <c r="D11" s="303" t="s">
        <v>461</v>
      </c>
      <c r="E11" s="396"/>
      <c r="F11" s="387">
        <v>1</v>
      </c>
      <c r="G11" s="397" t="s">
        <v>531</v>
      </c>
      <c r="H11" s="387" t="str">
        <f t="shared" si="0"/>
        <v>1-2-0</v>
      </c>
      <c r="I11" s="389">
        <f t="shared" si="1"/>
        <v>2</v>
      </c>
      <c r="J11" s="455" t="str">
        <f t="shared" si="2"/>
        <v/>
      </c>
      <c r="K11" s="455" t="str">
        <f t="shared" si="3"/>
        <v/>
      </c>
      <c r="L11" s="455" t="str">
        <f t="shared" si="26"/>
        <v/>
      </c>
      <c r="M11" s="389" t="str">
        <f>IFERROR(IF(AD11&lt;=VLOOKUP(D11,Tournaments!$A$1:$B$1772,2,FALSE),"TRUE","FALSE"),"")</f>
        <v>TRUE</v>
      </c>
      <c r="N11" s="389">
        <v>1</v>
      </c>
      <c r="O11" s="389">
        <f t="shared" si="4"/>
        <v>4</v>
      </c>
      <c r="Q11" s="389">
        <f t="shared" si="5"/>
        <v>1</v>
      </c>
      <c r="R11" s="389">
        <f t="shared" si="6"/>
        <v>2</v>
      </c>
      <c r="S11" s="389">
        <f t="shared" si="7"/>
        <v>0</v>
      </c>
      <c r="U11" s="389">
        <f t="shared" si="8"/>
        <v>4</v>
      </c>
      <c r="V11" s="389" t="b">
        <f t="shared" si="9"/>
        <v>0</v>
      </c>
      <c r="W11" s="389">
        <f t="shared" si="10"/>
        <v>-4</v>
      </c>
      <c r="X11" s="389">
        <f t="shared" si="11"/>
        <v>4</v>
      </c>
      <c r="Y11" s="389" t="b">
        <f t="shared" si="27"/>
        <v>0</v>
      </c>
      <c r="Z11" s="389">
        <f t="shared" si="12"/>
        <v>-4</v>
      </c>
      <c r="AA11" s="389">
        <f t="shared" si="13"/>
        <v>4</v>
      </c>
      <c r="AB11" s="389" t="b">
        <f t="shared" si="14"/>
        <v>0</v>
      </c>
      <c r="AC11" s="389">
        <f t="shared" si="15"/>
        <v>-4</v>
      </c>
      <c r="AD11" s="389">
        <f t="shared" si="16"/>
        <v>4</v>
      </c>
      <c r="AE11" s="389">
        <f t="shared" si="17"/>
        <v>1</v>
      </c>
      <c r="AG11" s="311" t="str">
        <f t="shared" si="18"/>
        <v>Adult Female Mini Soccer-</v>
      </c>
      <c r="AH11" s="453">
        <f t="shared" si="19"/>
        <v>4</v>
      </c>
      <c r="AI11" s="453">
        <f t="shared" si="20"/>
        <v>1</v>
      </c>
      <c r="AJ11" t="str">
        <f t="array" ref="AJ11">IF(AND(AI11&gt;1,G11&lt;&gt;""),INDEX(FS_teams,MATCH(1,(FS_Keys=AG11)*(FS_Points=I11)*(FS_teams&lt;&gt;G11),0)),"")</f>
        <v/>
      </c>
      <c r="AK11" s="390" t="str">
        <f t="array" ref="AK11">IF(AJ11&lt;&gt;"",INDEX(TM_Score1,MATCH(1,(TM_Events=D11)*(TM_Participant1=G11)*(TM_Participant2=AJ11),0)),"")</f>
        <v/>
      </c>
      <c r="AL11" s="390" t="str">
        <f t="array" ref="AL11">IF(AJ11&lt;&gt;"",INDEX(TM_Score1,MATCH(1,(TM_Events=D11)*(TM_Participant1=AJ11)*(TM_Participant2=G11),0)),"")</f>
        <v/>
      </c>
      <c r="AM11" s="389" t="str">
        <f t="array" ref="AM11">IF(ISNUMBER(AK11),INDEX(TM_Score2,MATCH(1,(TM_Events=D11)*(TM_Participant1=G11)*(TM_Participant2=AJ11),0)),"")</f>
        <v/>
      </c>
      <c r="AN11" s="389" t="str">
        <f t="array" ref="AN11">IF(ISNUMBER(AL11),INDEX(TM_Score2,MATCH(1,(TM_Events=D11)*(TM_Participant1=AJ11)*(TM_Participant2=G11),0)),"")</f>
        <v/>
      </c>
      <c r="AO11" s="389" t="str">
        <f t="shared" si="21"/>
        <v/>
      </c>
      <c r="AP11" s="389">
        <f t="shared" si="28"/>
        <v>1</v>
      </c>
      <c r="AQ11" s="389">
        <f t="shared" si="22"/>
        <v>0</v>
      </c>
      <c r="AR11" s="389">
        <f t="shared" si="23"/>
        <v>2</v>
      </c>
      <c r="AS11" s="453">
        <f t="shared" si="24"/>
        <v>-2</v>
      </c>
      <c r="AT11" s="452">
        <f t="shared" si="25"/>
        <v>10</v>
      </c>
    </row>
    <row r="12" spans="1:46" ht="16" x14ac:dyDescent="0.2">
      <c r="A12" s="298"/>
      <c r="B12"/>
      <c r="D12" s="303" t="s">
        <v>461</v>
      </c>
      <c r="E12" s="396"/>
      <c r="F12" s="387">
        <v>1</v>
      </c>
      <c r="G12" s="397" t="s">
        <v>526</v>
      </c>
      <c r="H12" s="387" t="str">
        <f t="shared" si="0"/>
        <v>2-2-0</v>
      </c>
      <c r="I12" s="389">
        <f t="shared" si="1"/>
        <v>4</v>
      </c>
      <c r="J12" s="455">
        <f t="shared" si="2"/>
        <v>1</v>
      </c>
      <c r="K12" s="455">
        <f t="shared" si="3"/>
        <v>1</v>
      </c>
      <c r="L12" s="455" t="str">
        <f t="shared" si="26"/>
        <v/>
      </c>
      <c r="M12" s="389" t="str">
        <f>IFERROR(IF(AD12&lt;=VLOOKUP(D12,Tournaments!$A$1:$B$1772,2,FALSE),"TRUE","FALSE"),"")</f>
        <v>TRUE</v>
      </c>
      <c r="N12" s="389">
        <v>1</v>
      </c>
      <c r="O12" s="389">
        <f t="shared" si="4"/>
        <v>2</v>
      </c>
      <c r="Q12" s="389">
        <f t="shared" si="5"/>
        <v>2</v>
      </c>
      <c r="R12" s="389">
        <f t="shared" si="6"/>
        <v>2</v>
      </c>
      <c r="S12" s="389">
        <f t="shared" si="7"/>
        <v>0</v>
      </c>
      <c r="U12" s="389">
        <f t="shared" si="8"/>
        <v>3</v>
      </c>
      <c r="V12" s="389">
        <f t="shared" si="9"/>
        <v>2.5000000000000001E-3</v>
      </c>
      <c r="W12" s="389">
        <f t="shared" si="10"/>
        <v>-2.9975000000000001</v>
      </c>
      <c r="X12" s="389">
        <f t="shared" si="11"/>
        <v>3</v>
      </c>
      <c r="Y12" s="389">
        <f t="shared" si="27"/>
        <v>7.0000000000000007E-2</v>
      </c>
      <c r="Z12" s="389">
        <f t="shared" si="12"/>
        <v>-2.93</v>
      </c>
      <c r="AA12" s="389">
        <f t="shared" si="13"/>
        <v>2</v>
      </c>
      <c r="AB12" s="389" t="b">
        <f t="shared" si="14"/>
        <v>0</v>
      </c>
      <c r="AC12" s="389">
        <f t="shared" si="15"/>
        <v>-2</v>
      </c>
      <c r="AD12" s="389">
        <f t="shared" si="16"/>
        <v>2</v>
      </c>
      <c r="AE12" s="389">
        <f t="shared" si="17"/>
        <v>3</v>
      </c>
      <c r="AG12" s="311" t="str">
        <f t="shared" si="18"/>
        <v>Adult Female Mini Soccer-</v>
      </c>
      <c r="AH12" s="453">
        <f t="shared" si="19"/>
        <v>1</v>
      </c>
      <c r="AI12" s="453">
        <f t="shared" si="20"/>
        <v>3</v>
      </c>
      <c r="AJ12" t="str">
        <f t="array" ref="AJ12">IF(AND(AI12&gt;1,G12&lt;&gt;""),INDEX(FS_teams,MATCH(1,(FS_Keys=AG12)*(FS_Points=I12)*(FS_teams&lt;&gt;G12),0)),"")</f>
        <v>AD F - MEX</v>
      </c>
      <c r="AK12" s="390">
        <f t="array" ref="AK12">IF(AJ12&lt;&gt;"",INDEX(TM_Score1,MATCH(1,(TM_Events=D12)*(TM_Participant1=G12)*(TM_Participant2=AJ12),0)),"")</f>
        <v>0</v>
      </c>
      <c r="AL12" s="390" t="e">
        <f t="array" ref="AL12">IF(AJ12&lt;&gt;"",INDEX(TM_Score1,MATCH(1,(TM_Events=D12)*(TM_Participant1=AJ12)*(TM_Participant2=G12),0)),"")</f>
        <v>#N/A</v>
      </c>
      <c r="AM12" s="389">
        <f t="array" ref="AM12">IF(ISNUMBER(AK12),INDEX(TM_Score2,MATCH(1,(TM_Events=D12)*(TM_Participant1=G12)*(TM_Participant2=AJ12),0)),"")</f>
        <v>1</v>
      </c>
      <c r="AN12" s="389" t="str">
        <f t="array" ref="AN12">IF(ISNUMBER(AL12),INDEX(TM_Score2,MATCH(1,(TM_Events=D12)*(TM_Participant1=AJ12)*(TM_Participant2=G12),0)),"")</f>
        <v/>
      </c>
      <c r="AO12" s="389" t="str">
        <f t="shared" si="21"/>
        <v>Loss</v>
      </c>
      <c r="AP12" s="389">
        <f t="shared" si="28"/>
        <v>2</v>
      </c>
      <c r="AQ12" s="389">
        <f t="shared" si="22"/>
        <v>0</v>
      </c>
      <c r="AR12" s="389">
        <f t="shared" si="23"/>
        <v>2</v>
      </c>
      <c r="AS12" s="453">
        <f t="shared" si="24"/>
        <v>1</v>
      </c>
      <c r="AT12" s="452">
        <f t="shared" si="25"/>
        <v>5</v>
      </c>
    </row>
    <row r="13" spans="1:46" ht="16" x14ac:dyDescent="0.2">
      <c r="A13" s="298"/>
      <c r="B13"/>
      <c r="D13" s="303" t="s">
        <v>461</v>
      </c>
      <c r="E13" s="396"/>
      <c r="F13" s="387">
        <v>1</v>
      </c>
      <c r="G13" s="397" t="s">
        <v>528</v>
      </c>
      <c r="H13" s="387" t="str">
        <f t="shared" si="0"/>
        <v>2-2-0</v>
      </c>
      <c r="I13" s="389">
        <f t="shared" si="1"/>
        <v>4</v>
      </c>
      <c r="J13" s="455">
        <f t="shared" si="2"/>
        <v>1</v>
      </c>
      <c r="K13" s="455">
        <f t="shared" si="3"/>
        <v>-2</v>
      </c>
      <c r="L13" s="455" t="str">
        <f t="shared" si="26"/>
        <v/>
      </c>
      <c r="M13" s="389" t="str">
        <f>IFERROR(IF(AD13&lt;=VLOOKUP(D13,Tournaments!$A$1:$B$1772,2,FALSE),"TRUE","FALSE"),"")</f>
        <v>TRUE</v>
      </c>
      <c r="N13" s="389">
        <v>1</v>
      </c>
      <c r="O13" s="389">
        <f t="shared" si="4"/>
        <v>3</v>
      </c>
      <c r="Q13" s="389">
        <f t="shared" si="5"/>
        <v>2</v>
      </c>
      <c r="R13" s="389">
        <f t="shared" si="6"/>
        <v>2</v>
      </c>
      <c r="S13" s="389">
        <f t="shared" si="7"/>
        <v>0</v>
      </c>
      <c r="U13" s="389">
        <f t="shared" si="8"/>
        <v>3</v>
      </c>
      <c r="V13" s="389">
        <f t="shared" si="9"/>
        <v>2.5000000000000001E-3</v>
      </c>
      <c r="W13" s="389">
        <f t="shared" si="10"/>
        <v>-2.9975000000000001</v>
      </c>
      <c r="X13" s="389">
        <f t="shared" si="11"/>
        <v>3</v>
      </c>
      <c r="Y13" s="389">
        <f t="shared" si="27"/>
        <v>8.9999999999999993E-3</v>
      </c>
      <c r="Z13" s="389">
        <f t="shared" si="12"/>
        <v>-2.9910000000000001</v>
      </c>
      <c r="AA13" s="389">
        <f t="shared" si="13"/>
        <v>3</v>
      </c>
      <c r="AB13" s="389" t="b">
        <f t="shared" si="14"/>
        <v>0</v>
      </c>
      <c r="AC13" s="389">
        <f t="shared" si="15"/>
        <v>-3</v>
      </c>
      <c r="AD13" s="389">
        <f t="shared" si="16"/>
        <v>3</v>
      </c>
      <c r="AE13" s="389">
        <f t="shared" si="17"/>
        <v>3</v>
      </c>
      <c r="AG13" s="311" t="str">
        <f t="shared" si="18"/>
        <v>Adult Female Mini Soccer-</v>
      </c>
      <c r="AH13" s="453">
        <f t="shared" si="19"/>
        <v>1</v>
      </c>
      <c r="AI13" s="453">
        <f t="shared" si="20"/>
        <v>3</v>
      </c>
      <c r="AJ13" t="str">
        <f t="array" ref="AJ13">IF(AND(AI13&gt;1,G13&lt;&gt;""),INDEX(FS_teams,MATCH(1,(FS_Keys=AG13)*(FS_Points=I13)*(FS_teams&lt;&gt;G13),0)),"")</f>
        <v>AD F - COL 1</v>
      </c>
      <c r="AK13" s="390" t="e">
        <f t="array" ref="AK13">IF(AJ13&lt;&gt;"",INDEX(TM_Score1,MATCH(1,(TM_Events=D13)*(TM_Participant1=G13)*(TM_Participant2=AJ13),0)),"")</f>
        <v>#N/A</v>
      </c>
      <c r="AL13" s="390">
        <f t="array" ref="AL13">IF(AJ13&lt;&gt;"",INDEX(TM_Score1,MATCH(1,(TM_Events=D13)*(TM_Participant1=AJ13)*(TM_Participant2=G13),0)),"")</f>
        <v>0</v>
      </c>
      <c r="AM13" s="389" t="str">
        <f t="array" ref="AM13">IF(ISNUMBER(AK13),INDEX(TM_Score2,MATCH(1,(TM_Events=D13)*(TM_Participant1=G13)*(TM_Participant2=AJ13),0)),"")</f>
        <v/>
      </c>
      <c r="AN13" s="389">
        <f t="array" ref="AN13">IF(ISNUMBER(AL13),INDEX(TM_Score2,MATCH(1,(TM_Events=D13)*(TM_Participant1=AJ13)*(TM_Participant2=G13),0)),"")</f>
        <v>1</v>
      </c>
      <c r="AO13" s="389" t="str">
        <f t="shared" si="21"/>
        <v>Win</v>
      </c>
      <c r="AP13" s="389">
        <f t="shared" si="28"/>
        <v>2</v>
      </c>
      <c r="AQ13" s="389">
        <f t="shared" si="22"/>
        <v>0</v>
      </c>
      <c r="AR13" s="389">
        <f t="shared" si="23"/>
        <v>2</v>
      </c>
      <c r="AS13" s="453">
        <f t="shared" si="24"/>
        <v>-2</v>
      </c>
      <c r="AT13" s="452">
        <f t="shared" si="25"/>
        <v>4</v>
      </c>
    </row>
    <row r="14" spans="1:46" ht="16" x14ac:dyDescent="0.2">
      <c r="A14" s="298"/>
      <c r="B14"/>
      <c r="D14" s="303" t="s">
        <v>461</v>
      </c>
      <c r="E14" s="396"/>
      <c r="F14" s="387">
        <v>1</v>
      </c>
      <c r="G14" s="397" t="s">
        <v>529</v>
      </c>
      <c r="H14" s="387" t="str">
        <f t="shared" si="0"/>
        <v>2-1-0</v>
      </c>
      <c r="I14" s="389">
        <f t="shared" si="1"/>
        <v>4</v>
      </c>
      <c r="J14" s="455">
        <f t="shared" si="2"/>
        <v>1</v>
      </c>
      <c r="K14" s="455">
        <f t="shared" si="3"/>
        <v>3</v>
      </c>
      <c r="L14" s="455" t="str">
        <f t="shared" si="26"/>
        <v/>
      </c>
      <c r="M14" s="389" t="str">
        <f>IFERROR(IF(AD14&lt;=VLOOKUP(D14,Tournaments!$A$1:$B$1772,2,FALSE),"TRUE","FALSE"),"")</f>
        <v>TRUE</v>
      </c>
      <c r="N14" s="389">
        <v>1</v>
      </c>
      <c r="O14" s="389">
        <f t="shared" si="4"/>
        <v>1</v>
      </c>
      <c r="Q14" s="389">
        <f t="shared" si="5"/>
        <v>2</v>
      </c>
      <c r="R14" s="389">
        <f t="shared" si="6"/>
        <v>1</v>
      </c>
      <c r="S14" s="389">
        <f t="shared" si="7"/>
        <v>0</v>
      </c>
      <c r="U14" s="389">
        <f t="shared" si="8"/>
        <v>3</v>
      </c>
      <c r="V14" s="389">
        <f t="shared" si="9"/>
        <v>2.5000000000000001E-3</v>
      </c>
      <c r="W14" s="389">
        <f t="shared" si="10"/>
        <v>-2.9975000000000001</v>
      </c>
      <c r="X14" s="389">
        <f t="shared" si="11"/>
        <v>3</v>
      </c>
      <c r="Y14" s="389">
        <f t="shared" si="27"/>
        <v>7.2099999999999997E-2</v>
      </c>
      <c r="Z14" s="389">
        <f t="shared" si="12"/>
        <v>-2.9279000000000002</v>
      </c>
      <c r="AA14" s="389">
        <f t="shared" si="13"/>
        <v>1</v>
      </c>
      <c r="AB14" s="389" t="b">
        <f t="shared" si="14"/>
        <v>0</v>
      </c>
      <c r="AC14" s="389">
        <f t="shared" si="15"/>
        <v>-1</v>
      </c>
      <c r="AD14" s="389">
        <f t="shared" si="16"/>
        <v>1</v>
      </c>
      <c r="AE14" s="389">
        <f t="shared" si="17"/>
        <v>3</v>
      </c>
      <c r="AG14" s="311" t="str">
        <f t="shared" si="18"/>
        <v>Adult Female Mini Soccer-</v>
      </c>
      <c r="AH14" s="453">
        <f t="shared" si="19"/>
        <v>1</v>
      </c>
      <c r="AI14" s="453">
        <f t="shared" si="20"/>
        <v>3</v>
      </c>
      <c r="AJ14" t="str">
        <f t="array" ref="AJ14">IF(AND(AI14&gt;1,G14&lt;&gt;""),INDEX(FS_teams,MATCH(1,(FS_Keys=AG14)*(FS_Points=I14)*(FS_teams&lt;&gt;G14),0)),"")</f>
        <v>AD F - COL 1</v>
      </c>
      <c r="AK14" s="390" t="e">
        <f t="array" ref="AK14">IF(AJ14&lt;&gt;"",INDEX(TM_Score1,MATCH(1,(TM_Events=D14)*(TM_Participant1=G14)*(TM_Participant2=AJ14),0)),"")</f>
        <v>#N/A</v>
      </c>
      <c r="AL14" s="390">
        <f t="array" ref="AL14">IF(AJ14&lt;&gt;"",INDEX(TM_Score1,MATCH(1,(TM_Events=D14)*(TM_Participant1=AJ14)*(TM_Participant2=G14),0)),"")</f>
        <v>0</v>
      </c>
      <c r="AM14" s="389" t="str">
        <f t="array" ref="AM14">IF(ISNUMBER(AK14),INDEX(TM_Score2,MATCH(1,(TM_Events=D14)*(TM_Participant1=G14)*(TM_Participant2=AJ14),0)),"")</f>
        <v/>
      </c>
      <c r="AN14" s="389">
        <f t="array" ref="AN14">IF(ISNUMBER(AL14),INDEX(TM_Score2,MATCH(1,(TM_Events=D14)*(TM_Participant1=AJ14)*(TM_Participant2=G14),0)),"")</f>
        <v>9</v>
      </c>
      <c r="AO14" s="389" t="str">
        <f t="shared" si="21"/>
        <v>Win</v>
      </c>
      <c r="AP14" s="389">
        <f t="shared" si="28"/>
        <v>2</v>
      </c>
      <c r="AQ14" s="389">
        <f t="shared" si="22"/>
        <v>0</v>
      </c>
      <c r="AR14" s="389">
        <f t="shared" si="23"/>
        <v>1</v>
      </c>
      <c r="AS14" s="453">
        <f t="shared" si="24"/>
        <v>3</v>
      </c>
      <c r="AT14" s="452">
        <f t="shared" si="25"/>
        <v>17</v>
      </c>
    </row>
    <row r="15" spans="1:46" ht="16" x14ac:dyDescent="0.2">
      <c r="A15" s="298"/>
      <c r="B15"/>
      <c r="D15" s="303" t="s">
        <v>80</v>
      </c>
      <c r="E15" s="396"/>
      <c r="F15" s="387">
        <v>1</v>
      </c>
      <c r="G15" s="397" t="s">
        <v>528</v>
      </c>
      <c r="H15" s="387" t="str">
        <f t="shared" si="0"/>
        <v>0-4-0</v>
      </c>
      <c r="I15" s="389">
        <f t="shared" si="1"/>
        <v>0</v>
      </c>
      <c r="J15" s="455">
        <f t="shared" si="2"/>
        <v>1</v>
      </c>
      <c r="K15" s="455">
        <f t="shared" si="3"/>
        <v>-8</v>
      </c>
      <c r="L15" s="455">
        <f t="shared" si="26"/>
        <v>0</v>
      </c>
      <c r="M15" s="389" t="str">
        <f>IFERROR(IF(AD15&lt;=VLOOKUP(D15,Tournaments!$A$1:$B$1772,2,FALSE),"TRUE","FALSE"),"")</f>
        <v>FALSE</v>
      </c>
      <c r="N15" s="389">
        <v>1</v>
      </c>
      <c r="O15" s="389">
        <f t="shared" si="4"/>
        <v>6</v>
      </c>
      <c r="Q15" s="389">
        <f t="shared" si="5"/>
        <v>0</v>
      </c>
      <c r="R15" s="389">
        <f t="shared" si="6"/>
        <v>4</v>
      </c>
      <c r="S15" s="389">
        <f t="shared" si="7"/>
        <v>0</v>
      </c>
      <c r="U15" s="389">
        <f t="shared" si="8"/>
        <v>6</v>
      </c>
      <c r="V15" s="389">
        <f t="shared" si="9"/>
        <v>2.5000000000000001E-3</v>
      </c>
      <c r="W15" s="389">
        <f t="shared" si="10"/>
        <v>-5.9974999999999996</v>
      </c>
      <c r="X15" s="389">
        <f t="shared" si="11"/>
        <v>6</v>
      </c>
      <c r="Y15" s="389">
        <f t="shared" si="27"/>
        <v>4.4999999999999997E-3</v>
      </c>
      <c r="Z15" s="389">
        <f t="shared" si="12"/>
        <v>-5.9954999999999998</v>
      </c>
      <c r="AA15" s="389">
        <f t="shared" si="13"/>
        <v>6</v>
      </c>
      <c r="AB15" s="389">
        <f t="shared" si="14"/>
        <v>1E-4</v>
      </c>
      <c r="AC15" s="389">
        <f t="shared" si="15"/>
        <v>-5.9999000000000002</v>
      </c>
      <c r="AD15" s="389">
        <f t="shared" si="16"/>
        <v>6</v>
      </c>
      <c r="AE15" s="389">
        <f t="shared" si="17"/>
        <v>2</v>
      </c>
      <c r="AG15" s="311" t="str">
        <f t="shared" si="18"/>
        <v>Adult Female Volleyball-</v>
      </c>
      <c r="AH15" s="453">
        <f t="shared" si="19"/>
        <v>5</v>
      </c>
      <c r="AI15" s="453">
        <f t="shared" si="20"/>
        <v>2</v>
      </c>
      <c r="AJ15" t="str">
        <f t="array" ref="AJ15">IF(AND(AI15&gt;1,G15&lt;&gt;""),INDEX(FS_teams,MATCH(1,(FS_Keys=AG15)*(FS_Points=I15)*(FS_teams&lt;&gt;G15),0)),"")</f>
        <v>AD F - VEN 1</v>
      </c>
      <c r="AK15" s="390" t="e">
        <f t="array" ref="AK15">IF(AJ15&lt;&gt;"",INDEX(TM_Score1,MATCH(1,(TM_Events=D15)*(TM_Participant1=G15)*(TM_Participant2=AJ15),0)),"")</f>
        <v>#N/A</v>
      </c>
      <c r="AL15" s="390" t="e">
        <f t="array" ref="AL15">IF(AJ15&lt;&gt;"",INDEX(TM_Score1,MATCH(1,(TM_Events=D15)*(TM_Participant1=AJ15)*(TM_Participant2=G15),0)),"")</f>
        <v>#N/A</v>
      </c>
      <c r="AM15" s="389" t="str">
        <f t="array" ref="AM15">IF(ISNUMBER(AK15),INDEX(TM_Score2,MATCH(1,(TM_Events=D15)*(TM_Participant1=G15)*(TM_Participant2=AJ15),0)),"")</f>
        <v/>
      </c>
      <c r="AN15" s="389" t="str">
        <f t="array" ref="AN15">IF(ISNUMBER(AL15),INDEX(TM_Score2,MATCH(1,(TM_Events=D15)*(TM_Participant1=AJ15)*(TM_Participant2=G15),0)),"")</f>
        <v/>
      </c>
      <c r="AO15" s="389" t="str">
        <f t="shared" si="21"/>
        <v>did not play</v>
      </c>
      <c r="AP15" s="389">
        <f t="shared" si="28"/>
        <v>0</v>
      </c>
      <c r="AQ15" s="389">
        <f t="shared" si="22"/>
        <v>0</v>
      </c>
      <c r="AR15" s="389">
        <f t="shared" si="23"/>
        <v>4</v>
      </c>
      <c r="AS15" s="453">
        <f t="shared" si="24"/>
        <v>-8</v>
      </c>
      <c r="AT15" s="452">
        <f t="shared" si="25"/>
        <v>0</v>
      </c>
    </row>
    <row r="16" spans="1:46" ht="16" x14ac:dyDescent="0.2">
      <c r="A16" s="298"/>
      <c r="B16"/>
      <c r="D16" s="303" t="s">
        <v>80</v>
      </c>
      <c r="E16" s="396"/>
      <c r="F16" s="398">
        <v>1</v>
      </c>
      <c r="G16" s="397" t="s">
        <v>530</v>
      </c>
      <c r="H16" s="387" t="str">
        <f t="shared" si="0"/>
        <v>3-2-0</v>
      </c>
      <c r="I16" s="389">
        <f t="shared" si="1"/>
        <v>6</v>
      </c>
      <c r="J16" s="455">
        <f t="shared" si="2"/>
        <v>1</v>
      </c>
      <c r="K16" s="455">
        <f t="shared" si="3"/>
        <v>2</v>
      </c>
      <c r="L16" s="455" t="str">
        <f t="shared" si="26"/>
        <v/>
      </c>
      <c r="M16" s="389" t="str">
        <f>IFERROR(IF(AD16&lt;=VLOOKUP(D16,Tournaments!$A$1:$B$1772,2,FALSE),"TRUE","FALSE"),"")</f>
        <v>FALSE</v>
      </c>
      <c r="N16" s="389">
        <v>1</v>
      </c>
      <c r="O16" s="389">
        <f t="shared" si="4"/>
        <v>3</v>
      </c>
      <c r="Q16" s="389">
        <f t="shared" si="5"/>
        <v>3</v>
      </c>
      <c r="R16" s="389">
        <f t="shared" si="6"/>
        <v>2</v>
      </c>
      <c r="S16" s="389">
        <f t="shared" si="7"/>
        <v>0</v>
      </c>
      <c r="U16" s="389">
        <f t="shared" si="8"/>
        <v>3</v>
      </c>
      <c r="V16" s="389">
        <f t="shared" si="9"/>
        <v>2.5000000000000001E-3</v>
      </c>
      <c r="W16" s="389">
        <f t="shared" si="10"/>
        <v>-2.9975000000000001</v>
      </c>
      <c r="X16" s="389">
        <f t="shared" si="11"/>
        <v>3</v>
      </c>
      <c r="Y16" s="389">
        <f t="shared" si="27"/>
        <v>7.1499999999999994E-2</v>
      </c>
      <c r="Z16" s="389">
        <f t="shared" si="12"/>
        <v>-2.9285000000000001</v>
      </c>
      <c r="AA16" s="389">
        <f t="shared" si="13"/>
        <v>3</v>
      </c>
      <c r="AB16" s="389" t="b">
        <f t="shared" si="14"/>
        <v>0</v>
      </c>
      <c r="AC16" s="389">
        <f t="shared" si="15"/>
        <v>-3</v>
      </c>
      <c r="AD16" s="389">
        <f t="shared" si="16"/>
        <v>3</v>
      </c>
      <c r="AE16" s="389">
        <f t="shared" si="17"/>
        <v>2</v>
      </c>
      <c r="AG16" s="311" t="str">
        <f t="shared" si="18"/>
        <v>Adult Female Volleyball-</v>
      </c>
      <c r="AH16" s="453">
        <f t="shared" si="19"/>
        <v>2</v>
      </c>
      <c r="AI16" s="453">
        <f t="shared" si="20"/>
        <v>2</v>
      </c>
      <c r="AJ16" t="str">
        <f t="array" ref="AJ16">IF(AND(AI16&gt;1,G16&lt;&gt;""),INDEX(FS_teams,MATCH(1,(FS_Keys=AG16)*(FS_Points=I16)*(FS_teams&lt;&gt;G16),0)),"")</f>
        <v>AD F - ARG</v>
      </c>
      <c r="AK16" s="390" t="e">
        <f t="array" ref="AK16">IF(AJ16&lt;&gt;"",INDEX(TM_Score1,MATCH(1,(TM_Events=D16)*(TM_Participant1=G16)*(TM_Participant2=AJ16),0)),"")</f>
        <v>#N/A</v>
      </c>
      <c r="AL16" s="390" t="e">
        <f t="array" ref="AL16">IF(AJ16&lt;&gt;"",INDEX(TM_Score1,MATCH(1,(TM_Events=D16)*(TM_Participant1=AJ16)*(TM_Participant2=G16),0)),"")</f>
        <v>#N/A</v>
      </c>
      <c r="AM16" s="389" t="str">
        <f t="array" ref="AM16">IF(ISNUMBER(AK16),INDEX(TM_Score2,MATCH(1,(TM_Events=D16)*(TM_Participant1=G16)*(TM_Participant2=AJ16),0)),"")</f>
        <v/>
      </c>
      <c r="AN16" s="389" t="str">
        <f t="array" ref="AN16">IF(ISNUMBER(AL16),INDEX(TM_Score2,MATCH(1,(TM_Events=D16)*(TM_Participant1=AJ16)*(TM_Participant2=G16),0)),"")</f>
        <v/>
      </c>
      <c r="AO16" s="389" t="str">
        <f t="shared" si="21"/>
        <v>did not play</v>
      </c>
      <c r="AP16" s="389">
        <f t="shared" si="28"/>
        <v>3</v>
      </c>
      <c r="AQ16" s="389">
        <f t="shared" si="22"/>
        <v>0</v>
      </c>
      <c r="AR16" s="389">
        <f t="shared" si="23"/>
        <v>2</v>
      </c>
      <c r="AS16" s="453">
        <f t="shared" si="24"/>
        <v>2</v>
      </c>
      <c r="AT16" s="452">
        <f t="shared" si="25"/>
        <v>6</v>
      </c>
    </row>
    <row r="17" spans="1:46" ht="16" x14ac:dyDescent="0.2">
      <c r="A17" s="298"/>
      <c r="B17"/>
      <c r="D17" s="303" t="s">
        <v>80</v>
      </c>
      <c r="E17" s="396"/>
      <c r="F17" s="387">
        <v>1</v>
      </c>
      <c r="G17" s="397" t="s">
        <v>529</v>
      </c>
      <c r="H17" s="387" t="str">
        <f t="shared" si="0"/>
        <v>2-2-0</v>
      </c>
      <c r="I17" s="389">
        <f t="shared" si="1"/>
        <v>4</v>
      </c>
      <c r="J17" s="455" t="str">
        <f t="shared" si="2"/>
        <v/>
      </c>
      <c r="K17" s="455" t="str">
        <f t="shared" si="3"/>
        <v/>
      </c>
      <c r="L17" s="455" t="str">
        <f t="shared" si="26"/>
        <v/>
      </c>
      <c r="M17" s="389" t="str">
        <f>IFERROR(IF(AD17&lt;=VLOOKUP(D17,Tournaments!$A$1:$B$1772,2,FALSE),"TRUE","FALSE"),"")</f>
        <v>FALSE</v>
      </c>
      <c r="N17" s="389">
        <v>1</v>
      </c>
      <c r="O17" s="389">
        <f t="shared" si="4"/>
        <v>4</v>
      </c>
      <c r="Q17" s="389">
        <f t="shared" si="5"/>
        <v>2</v>
      </c>
      <c r="R17" s="389">
        <f t="shared" si="6"/>
        <v>2</v>
      </c>
      <c r="S17" s="389">
        <f t="shared" si="7"/>
        <v>0</v>
      </c>
      <c r="U17" s="389">
        <f t="shared" si="8"/>
        <v>4</v>
      </c>
      <c r="V17" s="389" t="b">
        <f t="shared" si="9"/>
        <v>0</v>
      </c>
      <c r="W17" s="389">
        <f t="shared" si="10"/>
        <v>-4</v>
      </c>
      <c r="X17" s="389">
        <f t="shared" si="11"/>
        <v>4</v>
      </c>
      <c r="Y17" s="389" t="b">
        <f t="shared" si="27"/>
        <v>0</v>
      </c>
      <c r="Z17" s="389">
        <f t="shared" si="12"/>
        <v>-4</v>
      </c>
      <c r="AA17" s="389">
        <f t="shared" si="13"/>
        <v>4</v>
      </c>
      <c r="AB17" s="389" t="b">
        <f t="shared" si="14"/>
        <v>0</v>
      </c>
      <c r="AC17" s="389">
        <f t="shared" si="15"/>
        <v>-4</v>
      </c>
      <c r="AD17" s="389">
        <f t="shared" si="16"/>
        <v>4</v>
      </c>
      <c r="AE17" s="389">
        <f t="shared" si="17"/>
        <v>1</v>
      </c>
      <c r="AG17" s="311" t="str">
        <f t="shared" si="18"/>
        <v>Adult Female Volleyball-</v>
      </c>
      <c r="AH17" s="453">
        <f t="shared" si="19"/>
        <v>4</v>
      </c>
      <c r="AI17" s="453">
        <f t="shared" si="20"/>
        <v>1</v>
      </c>
      <c r="AJ17" t="str">
        <f t="array" ref="AJ17">IF(AND(AI17&gt;1,G17&lt;&gt;""),INDEX(FS_teams,MATCH(1,(FS_Keys=AG17)*(FS_Points=I17)*(FS_teams&lt;&gt;G17),0)),"")</f>
        <v/>
      </c>
      <c r="AK17" s="390" t="str">
        <f t="array" ref="AK17">IF(AJ17&lt;&gt;"",INDEX(TM_Score1,MATCH(1,(TM_Events=D17)*(TM_Participant1=G17)*(TM_Participant2=AJ17),0)),"")</f>
        <v/>
      </c>
      <c r="AL17" s="390" t="str">
        <f t="array" ref="AL17">IF(AJ17&lt;&gt;"",INDEX(TM_Score1,MATCH(1,(TM_Events=D17)*(TM_Participant1=AJ17)*(TM_Participant2=G17),0)),"")</f>
        <v/>
      </c>
      <c r="AM17" s="389" t="str">
        <f t="array" ref="AM17">IF(ISNUMBER(AK17),INDEX(TM_Score2,MATCH(1,(TM_Events=D17)*(TM_Participant1=G17)*(TM_Participant2=AJ17),0)),"")</f>
        <v/>
      </c>
      <c r="AN17" s="389" t="str">
        <f t="array" ref="AN17">IF(ISNUMBER(AL17),INDEX(TM_Score2,MATCH(1,(TM_Events=D17)*(TM_Participant1=AJ17)*(TM_Participant2=G17),0)),"")</f>
        <v/>
      </c>
      <c r="AO17" s="389" t="str">
        <f t="shared" si="21"/>
        <v/>
      </c>
      <c r="AP17" s="389">
        <f t="shared" si="28"/>
        <v>2</v>
      </c>
      <c r="AQ17" s="389">
        <f t="shared" si="22"/>
        <v>0</v>
      </c>
      <c r="AR17" s="389">
        <f t="shared" si="23"/>
        <v>2</v>
      </c>
      <c r="AS17" s="453">
        <f t="shared" si="24"/>
        <v>0</v>
      </c>
      <c r="AT17" s="452">
        <f t="shared" si="25"/>
        <v>4</v>
      </c>
    </row>
    <row r="18" spans="1:46" ht="16" x14ac:dyDescent="0.2">
      <c r="A18" s="298"/>
      <c r="B18"/>
      <c r="D18" s="303" t="s">
        <v>80</v>
      </c>
      <c r="E18" s="396"/>
      <c r="F18" s="387">
        <v>1</v>
      </c>
      <c r="G18" s="397" t="s">
        <v>526</v>
      </c>
      <c r="H18" s="387" t="str">
        <f t="shared" si="0"/>
        <v>5-0-0</v>
      </c>
      <c r="I18" s="389">
        <f t="shared" si="1"/>
        <v>10</v>
      </c>
      <c r="J18" s="455" t="str">
        <f t="shared" si="2"/>
        <v/>
      </c>
      <c r="K18" s="455" t="str">
        <f t="shared" si="3"/>
        <v/>
      </c>
      <c r="L18" s="455" t="str">
        <f t="shared" si="26"/>
        <v/>
      </c>
      <c r="M18" s="389" t="str">
        <f>IFERROR(IF(AD18&lt;=VLOOKUP(D18,Tournaments!$A$1:$B$1772,2,FALSE),"TRUE","FALSE"),"")</f>
        <v>TRUE</v>
      </c>
      <c r="N18" s="389">
        <v>1</v>
      </c>
      <c r="O18" s="389">
        <f t="shared" si="4"/>
        <v>1</v>
      </c>
      <c r="Q18" s="389">
        <f t="shared" si="5"/>
        <v>5</v>
      </c>
      <c r="R18" s="389">
        <f t="shared" si="6"/>
        <v>0</v>
      </c>
      <c r="S18" s="389">
        <f t="shared" si="7"/>
        <v>0</v>
      </c>
      <c r="U18" s="389">
        <f t="shared" si="8"/>
        <v>1</v>
      </c>
      <c r="V18" s="389" t="b">
        <f t="shared" si="9"/>
        <v>0</v>
      </c>
      <c r="W18" s="389">
        <f t="shared" si="10"/>
        <v>-1</v>
      </c>
      <c r="X18" s="389">
        <f t="shared" si="11"/>
        <v>1</v>
      </c>
      <c r="Y18" s="389" t="b">
        <f t="shared" si="27"/>
        <v>0</v>
      </c>
      <c r="Z18" s="389">
        <f t="shared" si="12"/>
        <v>-1</v>
      </c>
      <c r="AA18" s="389">
        <f t="shared" si="13"/>
        <v>1</v>
      </c>
      <c r="AB18" s="389" t="b">
        <f t="shared" si="14"/>
        <v>0</v>
      </c>
      <c r="AC18" s="389">
        <f t="shared" si="15"/>
        <v>-1</v>
      </c>
      <c r="AD18" s="389">
        <f t="shared" si="16"/>
        <v>1</v>
      </c>
      <c r="AE18" s="389">
        <f t="shared" si="17"/>
        <v>1</v>
      </c>
      <c r="AG18" s="311" t="str">
        <f t="shared" si="18"/>
        <v>Adult Female Volleyball-</v>
      </c>
      <c r="AH18" s="453">
        <f t="shared" si="19"/>
        <v>1</v>
      </c>
      <c r="AI18" s="453">
        <f t="shared" si="20"/>
        <v>1</v>
      </c>
      <c r="AJ18" t="str">
        <f t="array" ref="AJ18">IF(AND(AI18&gt;1,G18&lt;&gt;""),INDEX(FS_teams,MATCH(1,(FS_Keys=AG18)*(FS_Points=I18)*(FS_teams&lt;&gt;G18),0)),"")</f>
        <v/>
      </c>
      <c r="AK18" s="390" t="str">
        <f t="array" ref="AK18">IF(AJ18&lt;&gt;"",INDEX(TM_Score1,MATCH(1,(TM_Events=D18)*(TM_Participant1=G18)*(TM_Participant2=AJ18),0)),"")</f>
        <v/>
      </c>
      <c r="AL18" s="390" t="str">
        <f t="array" ref="AL18">IF(AJ18&lt;&gt;"",INDEX(TM_Score1,MATCH(1,(TM_Events=D18)*(TM_Participant1=AJ18)*(TM_Participant2=G18),0)),"")</f>
        <v/>
      </c>
      <c r="AM18" s="389" t="str">
        <f t="array" ref="AM18">IF(ISNUMBER(AK18),INDEX(TM_Score2,MATCH(1,(TM_Events=D18)*(TM_Participant1=G18)*(TM_Participant2=AJ18),0)),"")</f>
        <v/>
      </c>
      <c r="AN18" s="389" t="str">
        <f t="array" ref="AN18">IF(ISNUMBER(AL18),INDEX(TM_Score2,MATCH(1,(TM_Events=D18)*(TM_Participant1=AJ18)*(TM_Participant2=G18),0)),"")</f>
        <v/>
      </c>
      <c r="AO18" s="389" t="str">
        <f t="shared" si="21"/>
        <v/>
      </c>
      <c r="AP18" s="389">
        <f t="shared" si="28"/>
        <v>5</v>
      </c>
      <c r="AQ18" s="389">
        <f t="shared" si="22"/>
        <v>0</v>
      </c>
      <c r="AR18" s="389">
        <f t="shared" si="23"/>
        <v>0</v>
      </c>
      <c r="AS18" s="453">
        <f t="shared" si="24"/>
        <v>10</v>
      </c>
      <c r="AT18" s="452">
        <f t="shared" si="25"/>
        <v>10</v>
      </c>
    </row>
    <row r="19" spans="1:46" ht="16" x14ac:dyDescent="0.2">
      <c r="A19" s="298"/>
      <c r="B19"/>
      <c r="D19" s="303" t="s">
        <v>80</v>
      </c>
      <c r="E19" s="387"/>
      <c r="F19" s="398">
        <v>1</v>
      </c>
      <c r="G19" s="397" t="s">
        <v>531</v>
      </c>
      <c r="H19" s="387" t="str">
        <f t="shared" si="0"/>
        <v>0-4-0</v>
      </c>
      <c r="I19" s="389">
        <f t="shared" si="1"/>
        <v>0</v>
      </c>
      <c r="J19" s="455">
        <f t="shared" si="2"/>
        <v>1</v>
      </c>
      <c r="K19" s="455">
        <f t="shared" si="3"/>
        <v>-8</v>
      </c>
      <c r="L19" s="455">
        <f t="shared" si="26"/>
        <v>0</v>
      </c>
      <c r="M19" s="389" t="str">
        <f>IFERROR(IF(AD19&lt;=VLOOKUP(D19,Tournaments!$A$1:$B$1772,2,FALSE),"TRUE","FALSE"),"")</f>
        <v>FALSE</v>
      </c>
      <c r="N19" s="389">
        <v>1</v>
      </c>
      <c r="O19" s="389">
        <f t="shared" si="4"/>
        <v>6</v>
      </c>
      <c r="Q19" s="389">
        <f t="shared" si="5"/>
        <v>0</v>
      </c>
      <c r="R19" s="389">
        <f t="shared" si="6"/>
        <v>4</v>
      </c>
      <c r="S19" s="389">
        <f t="shared" si="7"/>
        <v>0</v>
      </c>
      <c r="U19" s="389">
        <f t="shared" si="8"/>
        <v>6</v>
      </c>
      <c r="V19" s="389">
        <f t="shared" si="9"/>
        <v>2.5000000000000001E-3</v>
      </c>
      <c r="W19" s="389">
        <f t="shared" si="10"/>
        <v>-5.9974999999999996</v>
      </c>
      <c r="X19" s="389">
        <f t="shared" si="11"/>
        <v>6</v>
      </c>
      <c r="Y19" s="389">
        <f t="shared" si="27"/>
        <v>4.4999999999999997E-3</v>
      </c>
      <c r="Z19" s="389">
        <f t="shared" si="12"/>
        <v>-5.9954999999999998</v>
      </c>
      <c r="AA19" s="389">
        <f t="shared" si="13"/>
        <v>6</v>
      </c>
      <c r="AB19" s="389">
        <f t="shared" si="14"/>
        <v>1E-4</v>
      </c>
      <c r="AC19" s="389">
        <f t="shared" si="15"/>
        <v>-5.9999000000000002</v>
      </c>
      <c r="AD19" s="389">
        <f t="shared" si="16"/>
        <v>6</v>
      </c>
      <c r="AE19" s="389">
        <f t="shared" si="17"/>
        <v>2</v>
      </c>
      <c r="AG19" s="311" t="str">
        <f t="shared" si="18"/>
        <v>Adult Female Volleyball-</v>
      </c>
      <c r="AH19" s="453">
        <f t="shared" si="19"/>
        <v>5</v>
      </c>
      <c r="AI19" s="453">
        <f t="shared" si="20"/>
        <v>2</v>
      </c>
      <c r="AJ19" t="str">
        <f t="array" ref="AJ19">IF(AND(AI19&gt;1,G19&lt;&gt;""),INDEX(FS_teams,MATCH(1,(FS_Keys=AG19)*(FS_Points=I19)*(FS_teams&lt;&gt;G19),0)),"")</f>
        <v>AD F - MEX</v>
      </c>
      <c r="AK19" s="390" t="e">
        <f t="array" ref="AK19">IF(AJ19&lt;&gt;"",INDEX(TM_Score1,MATCH(1,(TM_Events=D19)*(TM_Participant1=G19)*(TM_Participant2=AJ19),0)),"")</f>
        <v>#N/A</v>
      </c>
      <c r="AL19" s="390" t="e">
        <f t="array" ref="AL19">IF(AJ19&lt;&gt;"",INDEX(TM_Score1,MATCH(1,(TM_Events=D19)*(TM_Participant1=AJ19)*(TM_Participant2=G19),0)),"")</f>
        <v>#N/A</v>
      </c>
      <c r="AM19" s="389" t="str">
        <f t="array" ref="AM19">IF(ISNUMBER(AK19),INDEX(TM_Score2,MATCH(1,(TM_Events=D19)*(TM_Participant1=G19)*(TM_Participant2=AJ19),0)),"")</f>
        <v/>
      </c>
      <c r="AN19" s="389" t="str">
        <f t="array" ref="AN19">IF(ISNUMBER(AL19),INDEX(TM_Score2,MATCH(1,(TM_Events=D19)*(TM_Participant1=AJ19)*(TM_Participant2=G19),0)),"")</f>
        <v/>
      </c>
      <c r="AO19" s="389" t="str">
        <f t="shared" si="21"/>
        <v>did not play</v>
      </c>
      <c r="AP19" s="389">
        <f t="shared" si="28"/>
        <v>0</v>
      </c>
      <c r="AQ19" s="389">
        <f t="shared" si="22"/>
        <v>0</v>
      </c>
      <c r="AR19" s="389">
        <f t="shared" si="23"/>
        <v>4</v>
      </c>
      <c r="AS19" s="453">
        <f t="shared" si="24"/>
        <v>-8</v>
      </c>
      <c r="AT19" s="452">
        <f t="shared" si="25"/>
        <v>0</v>
      </c>
    </row>
    <row r="20" spans="1:46" ht="16" x14ac:dyDescent="0.2">
      <c r="A20" s="298"/>
      <c r="B20"/>
      <c r="D20" s="303" t="s">
        <v>80</v>
      </c>
      <c r="E20" s="396"/>
      <c r="F20" s="387">
        <v>1</v>
      </c>
      <c r="G20" s="397" t="s">
        <v>527</v>
      </c>
      <c r="H20" s="387" t="str">
        <f t="shared" si="0"/>
        <v>3-1-0</v>
      </c>
      <c r="I20" s="389">
        <f t="shared" si="1"/>
        <v>6</v>
      </c>
      <c r="J20" s="455">
        <f t="shared" si="2"/>
        <v>1</v>
      </c>
      <c r="K20" s="455">
        <f t="shared" si="3"/>
        <v>4</v>
      </c>
      <c r="L20" s="455" t="str">
        <f t="shared" si="26"/>
        <v/>
      </c>
      <c r="M20" s="389" t="str">
        <f>IFERROR(IF(AD20&lt;=VLOOKUP(D20,Tournaments!$A$1:$B$1772,2,FALSE),"TRUE","FALSE"),"")</f>
        <v>TRUE</v>
      </c>
      <c r="N20" s="389">
        <v>1</v>
      </c>
      <c r="O20" s="389">
        <f t="shared" si="4"/>
        <v>2</v>
      </c>
      <c r="Q20" s="389">
        <f t="shared" si="5"/>
        <v>3</v>
      </c>
      <c r="R20" s="389">
        <f t="shared" si="6"/>
        <v>1</v>
      </c>
      <c r="S20" s="389">
        <f t="shared" si="7"/>
        <v>0</v>
      </c>
      <c r="U20" s="389">
        <f t="shared" si="8"/>
        <v>3</v>
      </c>
      <c r="V20" s="389">
        <f t="shared" si="9"/>
        <v>2.5000000000000001E-3</v>
      </c>
      <c r="W20" s="389">
        <f t="shared" si="10"/>
        <v>-2.9975000000000001</v>
      </c>
      <c r="X20" s="389">
        <f t="shared" si="11"/>
        <v>3</v>
      </c>
      <c r="Y20" s="389">
        <f t="shared" si="27"/>
        <v>7.2900000000000006E-2</v>
      </c>
      <c r="Z20" s="389">
        <f t="shared" si="12"/>
        <v>-2.9270999999999998</v>
      </c>
      <c r="AA20" s="389">
        <f t="shared" si="13"/>
        <v>2</v>
      </c>
      <c r="AB20" s="389" t="b">
        <f t="shared" si="14"/>
        <v>0</v>
      </c>
      <c r="AC20" s="389">
        <f t="shared" si="15"/>
        <v>-2</v>
      </c>
      <c r="AD20" s="389">
        <f t="shared" si="16"/>
        <v>2</v>
      </c>
      <c r="AE20" s="389">
        <f t="shared" si="17"/>
        <v>2</v>
      </c>
      <c r="AG20" s="311" t="str">
        <f t="shared" si="18"/>
        <v>Adult Female Volleyball-</v>
      </c>
      <c r="AH20" s="453">
        <f t="shared" si="19"/>
        <v>2</v>
      </c>
      <c r="AI20" s="453">
        <f t="shared" si="20"/>
        <v>2</v>
      </c>
      <c r="AJ20" t="str">
        <f t="array" ref="AJ20">IF(AND(AI20&gt;1,G20&lt;&gt;""),INDEX(FS_teams,MATCH(1,(FS_Keys=AG20)*(FS_Points=I20)*(FS_teams&lt;&gt;G20),0)),"")</f>
        <v>AD F - USA 1</v>
      </c>
      <c r="AK20" s="390" t="e">
        <f t="array" ref="AK20">IF(AJ20&lt;&gt;"",INDEX(TM_Score1,MATCH(1,(TM_Events=D20)*(TM_Participant1=G20)*(TM_Participant2=AJ20),0)),"")</f>
        <v>#N/A</v>
      </c>
      <c r="AL20" s="390" t="e">
        <f t="array" ref="AL20">IF(AJ20&lt;&gt;"",INDEX(TM_Score1,MATCH(1,(TM_Events=D20)*(TM_Participant1=AJ20)*(TM_Participant2=G20),0)),"")</f>
        <v>#N/A</v>
      </c>
      <c r="AM20" s="389" t="str">
        <f t="array" ref="AM20">IF(ISNUMBER(AK20),INDEX(TM_Score2,MATCH(1,(TM_Events=D20)*(TM_Participant1=G20)*(TM_Participant2=AJ20),0)),"")</f>
        <v/>
      </c>
      <c r="AN20" s="389" t="str">
        <f t="array" ref="AN20">IF(ISNUMBER(AL20),INDEX(TM_Score2,MATCH(1,(TM_Events=D20)*(TM_Participant1=AJ20)*(TM_Participant2=G20),0)),"")</f>
        <v/>
      </c>
      <c r="AO20" s="389" t="str">
        <f t="shared" si="21"/>
        <v>did not play</v>
      </c>
      <c r="AP20" s="389">
        <f t="shared" si="28"/>
        <v>3</v>
      </c>
      <c r="AQ20" s="389">
        <f t="shared" si="22"/>
        <v>0</v>
      </c>
      <c r="AR20" s="389">
        <f t="shared" si="23"/>
        <v>1</v>
      </c>
      <c r="AS20" s="453">
        <f t="shared" si="24"/>
        <v>4</v>
      </c>
      <c r="AT20" s="452">
        <f t="shared" si="25"/>
        <v>6</v>
      </c>
    </row>
    <row r="21" spans="1:46" ht="16" x14ac:dyDescent="0.2">
      <c r="A21" s="298"/>
      <c r="B21"/>
      <c r="D21" s="303" t="s">
        <v>85</v>
      </c>
      <c r="E21" s="387"/>
      <c r="F21" s="398">
        <v>1</v>
      </c>
      <c r="G21" s="397" t="s">
        <v>539</v>
      </c>
      <c r="H21" s="387" t="str">
        <f t="shared" si="0"/>
        <v>3-1-0</v>
      </c>
      <c r="I21" s="389">
        <f t="shared" si="1"/>
        <v>6</v>
      </c>
      <c r="J21" s="455">
        <f t="shared" si="2"/>
        <v>2</v>
      </c>
      <c r="K21" s="455" t="str">
        <f t="shared" si="3"/>
        <v/>
      </c>
      <c r="L21" s="455" t="str">
        <f t="shared" si="26"/>
        <v/>
      </c>
      <c r="M21" s="389" t="str">
        <f>IFERROR(IF(AD21&lt;=VLOOKUP(D21,Tournaments!$A$1:$B$1772,2,FALSE),"TRUE","FALSE"),"")</f>
        <v>TRUE</v>
      </c>
      <c r="N21" s="389">
        <v>1</v>
      </c>
      <c r="O21" s="389">
        <f t="shared" si="4"/>
        <v>1</v>
      </c>
      <c r="Q21" s="389">
        <f t="shared" si="5"/>
        <v>3</v>
      </c>
      <c r="R21" s="389">
        <f t="shared" si="6"/>
        <v>1</v>
      </c>
      <c r="S21" s="389">
        <f t="shared" si="7"/>
        <v>0</v>
      </c>
      <c r="U21" s="389">
        <f t="shared" si="8"/>
        <v>2</v>
      </c>
      <c r="V21" s="389">
        <f t="shared" si="9"/>
        <v>2.1999999999999999E-2</v>
      </c>
      <c r="W21" s="389">
        <f t="shared" si="10"/>
        <v>-1.978</v>
      </c>
      <c r="X21" s="389">
        <f t="shared" si="11"/>
        <v>1</v>
      </c>
      <c r="Y21" s="389" t="b">
        <f t="shared" si="27"/>
        <v>0</v>
      </c>
      <c r="Z21" s="389">
        <f t="shared" si="12"/>
        <v>-1</v>
      </c>
      <c r="AA21" s="389">
        <f t="shared" si="13"/>
        <v>1</v>
      </c>
      <c r="AB21" s="389" t="b">
        <f t="shared" si="14"/>
        <v>0</v>
      </c>
      <c r="AC21" s="389">
        <f t="shared" si="15"/>
        <v>-1</v>
      </c>
      <c r="AD21" s="389">
        <f t="shared" si="16"/>
        <v>1</v>
      </c>
      <c r="AE21" s="389">
        <f t="shared" si="17"/>
        <v>1</v>
      </c>
      <c r="AG21" s="311" t="str">
        <f t="shared" si="18"/>
        <v>Adult Male Basketball-</v>
      </c>
      <c r="AH21" s="453">
        <f t="shared" si="19"/>
        <v>1</v>
      </c>
      <c r="AI21" s="453">
        <f t="shared" si="20"/>
        <v>2</v>
      </c>
      <c r="AJ21" t="str">
        <f t="array" ref="AJ21">IF(AND(AI21&gt;1,G21&lt;&gt;""),INDEX(FS_teams,MATCH(1,(FS_Keys=AG21)*(FS_Points=I21)*(FS_teams&lt;&gt;G21),0)),"")</f>
        <v>AD M - VEN 1</v>
      </c>
      <c r="AK21" s="390">
        <f t="array" ref="AK21">IF(AJ21&lt;&gt;"",INDEX(TM_Score1,MATCH(1,(TM_Events=D21)*(TM_Participant1=G21)*(TM_Participant2=AJ21),0)),"")</f>
        <v>50</v>
      </c>
      <c r="AL21" s="390" t="e">
        <f t="array" ref="AL21">IF(AJ21&lt;&gt;"",INDEX(TM_Score1,MATCH(1,(TM_Events=D21)*(TM_Participant1=AJ21)*(TM_Participant2=G21),0)),"")</f>
        <v>#N/A</v>
      </c>
      <c r="AM21" s="389">
        <f t="array" ref="AM21">IF(ISNUMBER(AK21),INDEX(TM_Score2,MATCH(1,(TM_Events=D21)*(TM_Participant1=G21)*(TM_Participant2=AJ21),0)),"")</f>
        <v>37</v>
      </c>
      <c r="AN21" s="389" t="str">
        <f t="array" ref="AN21">IF(ISNUMBER(AL21),INDEX(TM_Score2,MATCH(1,(TM_Events=D21)*(TM_Participant1=AJ21)*(TM_Participant2=G21),0)),"")</f>
        <v/>
      </c>
      <c r="AO21" s="389" t="str">
        <f t="shared" si="21"/>
        <v>Win</v>
      </c>
      <c r="AP21" s="389">
        <f t="shared" si="28"/>
        <v>3</v>
      </c>
      <c r="AQ21" s="389">
        <f t="shared" si="22"/>
        <v>0</v>
      </c>
      <c r="AR21" s="389">
        <f t="shared" si="23"/>
        <v>1</v>
      </c>
      <c r="AS21" s="453">
        <f t="shared" si="24"/>
        <v>29</v>
      </c>
      <c r="AT21" s="452">
        <f t="shared" si="25"/>
        <v>189</v>
      </c>
    </row>
    <row r="22" spans="1:46" ht="16" x14ac:dyDescent="0.2">
      <c r="A22" s="298"/>
      <c r="B22"/>
      <c r="D22" s="303" t="s">
        <v>85</v>
      </c>
      <c r="E22" s="396"/>
      <c r="F22" s="398">
        <v>1</v>
      </c>
      <c r="G22" s="397" t="s">
        <v>533</v>
      </c>
      <c r="H22" s="387" t="str">
        <f t="shared" si="0"/>
        <v>1-3-0</v>
      </c>
      <c r="I22" s="389">
        <f t="shared" si="1"/>
        <v>2</v>
      </c>
      <c r="J22" s="455">
        <f t="shared" si="2"/>
        <v>0</v>
      </c>
      <c r="K22" s="455" t="str">
        <f t="shared" si="3"/>
        <v/>
      </c>
      <c r="L22" s="455" t="str">
        <f t="shared" si="26"/>
        <v/>
      </c>
      <c r="M22" s="389" t="str">
        <f>IFERROR(IF(AD22&lt;=VLOOKUP(D22,Tournaments!$A$1:$B$1772,2,FALSE),"TRUE","FALSE"),"")</f>
        <v>FALSE</v>
      </c>
      <c r="N22" s="389">
        <v>1</v>
      </c>
      <c r="O22" s="389">
        <f t="shared" si="4"/>
        <v>6</v>
      </c>
      <c r="Q22" s="389">
        <f t="shared" si="5"/>
        <v>1</v>
      </c>
      <c r="R22" s="389">
        <f t="shared" si="6"/>
        <v>3</v>
      </c>
      <c r="S22" s="389">
        <f t="shared" si="7"/>
        <v>0</v>
      </c>
      <c r="U22" s="389">
        <f t="shared" si="8"/>
        <v>6</v>
      </c>
      <c r="V22" s="389">
        <f t="shared" si="9"/>
        <v>1E-4</v>
      </c>
      <c r="W22" s="389">
        <f t="shared" si="10"/>
        <v>-5.9999000000000002</v>
      </c>
      <c r="X22" s="389">
        <f t="shared" si="11"/>
        <v>6</v>
      </c>
      <c r="Y22" s="389" t="b">
        <f t="shared" si="27"/>
        <v>0</v>
      </c>
      <c r="Z22" s="389">
        <f t="shared" si="12"/>
        <v>-6</v>
      </c>
      <c r="AA22" s="389">
        <f t="shared" si="13"/>
        <v>6</v>
      </c>
      <c r="AB22" s="389" t="b">
        <f t="shared" si="14"/>
        <v>0</v>
      </c>
      <c r="AC22" s="389">
        <f t="shared" si="15"/>
        <v>-6</v>
      </c>
      <c r="AD22" s="389">
        <f t="shared" si="16"/>
        <v>6</v>
      </c>
      <c r="AE22" s="389">
        <f t="shared" si="17"/>
        <v>1</v>
      </c>
      <c r="AG22" s="311" t="str">
        <f t="shared" si="18"/>
        <v>Adult Male Basketball-</v>
      </c>
      <c r="AH22" s="453">
        <f t="shared" si="19"/>
        <v>5</v>
      </c>
      <c r="AI22" s="453">
        <f t="shared" si="20"/>
        <v>2</v>
      </c>
      <c r="AJ22" t="str">
        <f t="array" ref="AJ22">IF(AND(AI22&gt;1,G22&lt;&gt;""),INDEX(FS_teams,MATCH(1,(FS_Keys=AG22)*(FS_Points=I22)*(FS_teams&lt;&gt;G22),0)),"")</f>
        <v>VET - ISR 1</v>
      </c>
      <c r="AK22" s="390">
        <f t="array" ref="AK22">IF(AJ22&lt;&gt;"",INDEX(TM_Score1,MATCH(1,(TM_Events=D22)*(TM_Participant1=G22)*(TM_Participant2=AJ22),0)),"")</f>
        <v>0</v>
      </c>
      <c r="AL22" s="390" t="e">
        <f t="array" ref="AL22">IF(AJ22&lt;&gt;"",INDEX(TM_Score1,MATCH(1,(TM_Events=D22)*(TM_Participant1=AJ22)*(TM_Participant2=G22),0)),"")</f>
        <v>#N/A</v>
      </c>
      <c r="AM22" s="389">
        <f t="array" ref="AM22">IF(ISNUMBER(AK22),INDEX(TM_Score2,MATCH(1,(TM_Events=D22)*(TM_Participant1=G22)*(TM_Participant2=AJ22),0)),"")</f>
        <v>15</v>
      </c>
      <c r="AN22" s="389" t="str">
        <f t="array" ref="AN22">IF(ISNUMBER(AL22),INDEX(TM_Score2,MATCH(1,(TM_Events=D22)*(TM_Participant1=AJ22)*(TM_Participant2=G22),0)),"")</f>
        <v/>
      </c>
      <c r="AO22" s="389" t="str">
        <f t="shared" si="21"/>
        <v>Loss</v>
      </c>
      <c r="AP22" s="389">
        <f t="shared" si="28"/>
        <v>1</v>
      </c>
      <c r="AQ22" s="389">
        <f t="shared" si="22"/>
        <v>0</v>
      </c>
      <c r="AR22" s="389">
        <f t="shared" si="23"/>
        <v>3</v>
      </c>
      <c r="AS22" s="453">
        <f t="shared" si="24"/>
        <v>-25</v>
      </c>
      <c r="AT22" s="452">
        <f t="shared" si="25"/>
        <v>101</v>
      </c>
    </row>
    <row r="23" spans="1:46" ht="16" x14ac:dyDescent="0.2">
      <c r="A23" s="298"/>
      <c r="B23"/>
      <c r="D23" s="303" t="s">
        <v>85</v>
      </c>
      <c r="E23" s="396"/>
      <c r="F23" s="387">
        <v>1</v>
      </c>
      <c r="G23" s="397" t="s">
        <v>721</v>
      </c>
      <c r="H23" s="387" t="str">
        <f t="shared" si="0"/>
        <v>1-3-0</v>
      </c>
      <c r="I23" s="389">
        <f t="shared" si="1"/>
        <v>2</v>
      </c>
      <c r="J23" s="455">
        <f t="shared" si="2"/>
        <v>2</v>
      </c>
      <c r="K23" s="455" t="str">
        <f t="shared" si="3"/>
        <v/>
      </c>
      <c r="L23" s="455" t="str">
        <f t="shared" si="26"/>
        <v/>
      </c>
      <c r="M23" s="389" t="str">
        <f>IFERROR(IF(AD23&lt;=VLOOKUP(D23,Tournaments!$A$1:$B$1772,2,FALSE),"TRUE","FALSE"),"")</f>
        <v>FALSE</v>
      </c>
      <c r="N23" s="389">
        <v>1</v>
      </c>
      <c r="O23" s="389">
        <f t="shared" si="4"/>
        <v>5</v>
      </c>
      <c r="Q23" s="389">
        <f t="shared" si="5"/>
        <v>1</v>
      </c>
      <c r="R23" s="389">
        <f t="shared" si="6"/>
        <v>3</v>
      </c>
      <c r="S23" s="389">
        <f t="shared" si="7"/>
        <v>0</v>
      </c>
      <c r="U23" s="389">
        <f t="shared" si="8"/>
        <v>6</v>
      </c>
      <c r="V23" s="389">
        <f t="shared" si="9"/>
        <v>2.1999999999999999E-2</v>
      </c>
      <c r="W23" s="389">
        <f t="shared" si="10"/>
        <v>-5.9779999999999998</v>
      </c>
      <c r="X23" s="389">
        <f t="shared" si="11"/>
        <v>5</v>
      </c>
      <c r="Y23" s="389" t="b">
        <f t="shared" si="27"/>
        <v>0</v>
      </c>
      <c r="Z23" s="389">
        <f t="shared" si="12"/>
        <v>-5</v>
      </c>
      <c r="AA23" s="389">
        <f t="shared" si="13"/>
        <v>5</v>
      </c>
      <c r="AB23" s="389" t="b">
        <f t="shared" si="14"/>
        <v>0</v>
      </c>
      <c r="AC23" s="389">
        <f t="shared" si="15"/>
        <v>-5</v>
      </c>
      <c r="AD23" s="389">
        <f t="shared" si="16"/>
        <v>5</v>
      </c>
      <c r="AE23" s="389">
        <f t="shared" si="17"/>
        <v>1</v>
      </c>
      <c r="AG23" s="311" t="str">
        <f t="shared" si="18"/>
        <v>Adult Male Basketball-</v>
      </c>
      <c r="AH23" s="453">
        <f t="shared" si="19"/>
        <v>5</v>
      </c>
      <c r="AI23" s="453">
        <f t="shared" si="20"/>
        <v>2</v>
      </c>
      <c r="AJ23" t="str">
        <f t="array" ref="AJ23">IF(AND(AI23&gt;1,G23&lt;&gt;""),INDEX(FS_teams,MATCH(1,(FS_Keys=AG23)*(FS_Points=I23)*(FS_teams&lt;&gt;G23),0)),"")</f>
        <v>AD M - ARG 1</v>
      </c>
      <c r="AK23" s="390" t="e">
        <f t="array" ref="AK23">IF(AJ23&lt;&gt;"",INDEX(TM_Score1,MATCH(1,(TM_Events=D23)*(TM_Participant1=G23)*(TM_Participant2=AJ23),0)),"")</f>
        <v>#N/A</v>
      </c>
      <c r="AL23" s="390">
        <f t="array" ref="AL23">IF(AJ23&lt;&gt;"",INDEX(TM_Score1,MATCH(1,(TM_Events=D23)*(TM_Participant1=AJ23)*(TM_Participant2=G23),0)),"")</f>
        <v>0</v>
      </c>
      <c r="AM23" s="389" t="str">
        <f t="array" ref="AM23">IF(ISNUMBER(AK23),INDEX(TM_Score2,MATCH(1,(TM_Events=D23)*(TM_Participant1=G23)*(TM_Participant2=AJ23),0)),"")</f>
        <v/>
      </c>
      <c r="AN23" s="389">
        <f t="array" ref="AN23">IF(ISNUMBER(AL23),INDEX(TM_Score2,MATCH(1,(TM_Events=D23)*(TM_Participant1=AJ23)*(TM_Participant2=G23),0)),"")</f>
        <v>15</v>
      </c>
      <c r="AO23" s="389" t="str">
        <f t="shared" si="21"/>
        <v>Win</v>
      </c>
      <c r="AP23" s="389">
        <f t="shared" si="28"/>
        <v>1</v>
      </c>
      <c r="AQ23" s="389">
        <f t="shared" si="22"/>
        <v>0</v>
      </c>
      <c r="AR23" s="389">
        <f t="shared" si="23"/>
        <v>3</v>
      </c>
      <c r="AS23" s="453">
        <f t="shared" si="24"/>
        <v>-20</v>
      </c>
      <c r="AT23" s="452">
        <f t="shared" si="25"/>
        <v>105</v>
      </c>
    </row>
    <row r="24" spans="1:46" ht="16" x14ac:dyDescent="0.2">
      <c r="A24" s="298"/>
      <c r="B24"/>
      <c r="D24" s="303" t="s">
        <v>85</v>
      </c>
      <c r="E24" s="396"/>
      <c r="F24" s="387">
        <v>1</v>
      </c>
      <c r="G24" s="397" t="s">
        <v>541</v>
      </c>
      <c r="H24" s="387" t="str">
        <f t="shared" si="0"/>
        <v>2-2-0</v>
      </c>
      <c r="I24" s="389">
        <f t="shared" si="1"/>
        <v>4</v>
      </c>
      <c r="J24" s="455">
        <f t="shared" si="2"/>
        <v>0</v>
      </c>
      <c r="K24" s="455" t="str">
        <f t="shared" si="3"/>
        <v/>
      </c>
      <c r="L24" s="455" t="str">
        <f t="shared" si="26"/>
        <v/>
      </c>
      <c r="M24" s="389" t="str">
        <f>IFERROR(IF(AD24&lt;=VLOOKUP(D24,Tournaments!$A$1:$B$1772,2,FALSE),"TRUE","FALSE"),"")</f>
        <v>FALSE</v>
      </c>
      <c r="N24" s="389">
        <v>1</v>
      </c>
      <c r="O24" s="389">
        <f t="shared" si="4"/>
        <v>4</v>
      </c>
      <c r="Q24" s="389">
        <f t="shared" si="5"/>
        <v>2</v>
      </c>
      <c r="R24" s="389">
        <f t="shared" si="6"/>
        <v>2</v>
      </c>
      <c r="S24" s="389">
        <f t="shared" si="7"/>
        <v>0</v>
      </c>
      <c r="U24" s="389">
        <f t="shared" si="8"/>
        <v>4</v>
      </c>
      <c r="V24" s="389">
        <f t="shared" si="9"/>
        <v>1E-4</v>
      </c>
      <c r="W24" s="389">
        <f t="shared" si="10"/>
        <v>-3.9998999999999998</v>
      </c>
      <c r="X24" s="389">
        <f t="shared" si="11"/>
        <v>4</v>
      </c>
      <c r="Y24" s="389" t="b">
        <f t="shared" si="27"/>
        <v>0</v>
      </c>
      <c r="Z24" s="389">
        <f t="shared" si="12"/>
        <v>-4</v>
      </c>
      <c r="AA24" s="389">
        <f t="shared" si="13"/>
        <v>4</v>
      </c>
      <c r="AB24" s="389" t="b">
        <f t="shared" si="14"/>
        <v>0</v>
      </c>
      <c r="AC24" s="389">
        <f t="shared" si="15"/>
        <v>-4</v>
      </c>
      <c r="AD24" s="389">
        <f t="shared" si="16"/>
        <v>4</v>
      </c>
      <c r="AE24" s="389">
        <f t="shared" si="17"/>
        <v>1</v>
      </c>
      <c r="AG24" s="311" t="str">
        <f t="shared" si="18"/>
        <v>Adult Male Basketball-</v>
      </c>
      <c r="AH24" s="453">
        <f t="shared" si="19"/>
        <v>3</v>
      </c>
      <c r="AI24" s="453">
        <f t="shared" si="20"/>
        <v>2</v>
      </c>
      <c r="AJ24" t="str">
        <f t="array" ref="AJ24">IF(AND(AI24&gt;1,G24&lt;&gt;""),INDEX(FS_teams,MATCH(1,(FS_Keys=AG24)*(FS_Points=I24)*(FS_teams&lt;&gt;G24),0)),"")</f>
        <v>AD M - PER</v>
      </c>
      <c r="AK24" s="390" t="e">
        <f t="array" ref="AK24">IF(AJ24&lt;&gt;"",INDEX(TM_Score1,MATCH(1,(TM_Events=D24)*(TM_Participant1=G24)*(TM_Participant2=AJ24),0)),"")</f>
        <v>#N/A</v>
      </c>
      <c r="AL24" s="390">
        <f t="array" ref="AL24">IF(AJ24&lt;&gt;"",INDEX(TM_Score1,MATCH(1,(TM_Events=D24)*(TM_Participant1=AJ24)*(TM_Participant2=G24),0)),"")</f>
        <v>24</v>
      </c>
      <c r="AM24" s="389" t="str">
        <f t="array" ref="AM24">IF(ISNUMBER(AK24),INDEX(TM_Score2,MATCH(1,(TM_Events=D24)*(TM_Participant1=G24)*(TM_Participant2=AJ24),0)),"")</f>
        <v/>
      </c>
      <c r="AN24" s="389">
        <f t="array" ref="AN24">IF(ISNUMBER(AL24),INDEX(TM_Score2,MATCH(1,(TM_Events=D24)*(TM_Participant1=AJ24)*(TM_Participant2=G24),0)),"")</f>
        <v>23</v>
      </c>
      <c r="AO24" s="389" t="str">
        <f t="shared" si="21"/>
        <v>Loss</v>
      </c>
      <c r="AP24" s="389">
        <f t="shared" si="28"/>
        <v>2</v>
      </c>
      <c r="AQ24" s="389">
        <f t="shared" si="22"/>
        <v>0</v>
      </c>
      <c r="AR24" s="389">
        <f t="shared" si="23"/>
        <v>2</v>
      </c>
      <c r="AS24" s="453">
        <f t="shared" si="24"/>
        <v>-5</v>
      </c>
      <c r="AT24" s="452">
        <f t="shared" si="25"/>
        <v>117</v>
      </c>
    </row>
    <row r="25" spans="1:46" ht="16" x14ac:dyDescent="0.2">
      <c r="A25" s="298"/>
      <c r="B25"/>
      <c r="D25" s="303" t="s">
        <v>85</v>
      </c>
      <c r="E25" s="396"/>
      <c r="F25" s="387">
        <v>1</v>
      </c>
      <c r="G25" s="397" t="s">
        <v>538</v>
      </c>
      <c r="H25" s="387" t="str">
        <f t="shared" si="0"/>
        <v>2-2-0</v>
      </c>
      <c r="I25" s="389">
        <f t="shared" si="1"/>
        <v>4</v>
      </c>
      <c r="J25" s="455">
        <f t="shared" si="2"/>
        <v>2</v>
      </c>
      <c r="K25" s="455" t="str">
        <f t="shared" si="3"/>
        <v/>
      </c>
      <c r="L25" s="455" t="str">
        <f t="shared" si="26"/>
        <v/>
      </c>
      <c r="M25" s="389" t="str">
        <f>IFERROR(IF(AD25&lt;=VLOOKUP(D25,Tournaments!$A$1:$B$1772,2,FALSE),"TRUE","FALSE"),"")</f>
        <v>FALSE</v>
      </c>
      <c r="N25" s="389">
        <v>1</v>
      </c>
      <c r="O25" s="389">
        <f t="shared" si="4"/>
        <v>3</v>
      </c>
      <c r="Q25" s="389">
        <f t="shared" si="5"/>
        <v>2</v>
      </c>
      <c r="R25" s="389">
        <f t="shared" si="6"/>
        <v>2</v>
      </c>
      <c r="S25" s="389">
        <f t="shared" si="7"/>
        <v>0</v>
      </c>
      <c r="U25" s="389">
        <f t="shared" si="8"/>
        <v>4</v>
      </c>
      <c r="V25" s="389">
        <f t="shared" si="9"/>
        <v>2.1999999999999999E-2</v>
      </c>
      <c r="W25" s="389">
        <f t="shared" si="10"/>
        <v>-3.9780000000000002</v>
      </c>
      <c r="X25" s="389">
        <f t="shared" si="11"/>
        <v>3</v>
      </c>
      <c r="Y25" s="389" t="b">
        <f t="shared" si="27"/>
        <v>0</v>
      </c>
      <c r="Z25" s="389">
        <f t="shared" si="12"/>
        <v>-3</v>
      </c>
      <c r="AA25" s="389">
        <f t="shared" si="13"/>
        <v>3</v>
      </c>
      <c r="AB25" s="389" t="b">
        <f t="shared" si="14"/>
        <v>0</v>
      </c>
      <c r="AC25" s="389">
        <f t="shared" si="15"/>
        <v>-3</v>
      </c>
      <c r="AD25" s="389">
        <f t="shared" si="16"/>
        <v>3</v>
      </c>
      <c r="AE25" s="389">
        <f t="shared" si="17"/>
        <v>1</v>
      </c>
      <c r="AG25" s="311" t="str">
        <f t="shared" si="18"/>
        <v>Adult Male Basketball-</v>
      </c>
      <c r="AH25" s="453">
        <f t="shared" si="19"/>
        <v>3</v>
      </c>
      <c r="AI25" s="453">
        <f t="shared" si="20"/>
        <v>2</v>
      </c>
      <c r="AJ25" t="str">
        <f t="array" ref="AJ25">IF(AND(AI25&gt;1,G25&lt;&gt;""),INDEX(FS_teams,MATCH(1,(FS_Keys=AG25)*(FS_Points=I25)*(FS_teams&lt;&gt;G25),0)),"")</f>
        <v>AD M - ISR 1</v>
      </c>
      <c r="AK25" s="390">
        <f t="array" ref="AK25">IF(AJ25&lt;&gt;"",INDEX(TM_Score1,MATCH(1,(TM_Events=D25)*(TM_Participant1=G25)*(TM_Participant2=AJ25),0)),"")</f>
        <v>24</v>
      </c>
      <c r="AL25" s="390" t="e">
        <f t="array" ref="AL25">IF(AJ25&lt;&gt;"",INDEX(TM_Score1,MATCH(1,(TM_Events=D25)*(TM_Participant1=AJ25)*(TM_Participant2=G25),0)),"")</f>
        <v>#N/A</v>
      </c>
      <c r="AM25" s="389">
        <f t="array" ref="AM25">IF(ISNUMBER(AK25),INDEX(TM_Score2,MATCH(1,(TM_Events=D25)*(TM_Participant1=G25)*(TM_Participant2=AJ25),0)),"")</f>
        <v>23</v>
      </c>
      <c r="AN25" s="389" t="str">
        <f t="array" ref="AN25">IF(ISNUMBER(AL25),INDEX(TM_Score2,MATCH(1,(TM_Events=D25)*(TM_Participant1=AJ25)*(TM_Participant2=G25),0)),"")</f>
        <v/>
      </c>
      <c r="AO25" s="389" t="str">
        <f t="shared" si="21"/>
        <v>Win</v>
      </c>
      <c r="AP25" s="389">
        <f t="shared" si="28"/>
        <v>2</v>
      </c>
      <c r="AQ25" s="389">
        <f t="shared" si="22"/>
        <v>0</v>
      </c>
      <c r="AR25" s="389">
        <f t="shared" si="23"/>
        <v>2</v>
      </c>
      <c r="AS25" s="453">
        <f t="shared" si="24"/>
        <v>-4</v>
      </c>
      <c r="AT25" s="452">
        <f t="shared" si="25"/>
        <v>120</v>
      </c>
    </row>
    <row r="26" spans="1:46" ht="16" x14ac:dyDescent="0.2">
      <c r="A26" s="298"/>
      <c r="B26"/>
      <c r="D26" s="303" t="s">
        <v>85</v>
      </c>
      <c r="E26" s="387"/>
      <c r="F26" s="387">
        <v>1</v>
      </c>
      <c r="G26" s="397" t="s">
        <v>542</v>
      </c>
      <c r="H26" s="387" t="str">
        <f t="shared" si="0"/>
        <v>3-1-0</v>
      </c>
      <c r="I26" s="389">
        <f t="shared" si="1"/>
        <v>6</v>
      </c>
      <c r="J26" s="455">
        <f t="shared" si="2"/>
        <v>0</v>
      </c>
      <c r="K26" s="455" t="str">
        <f t="shared" si="3"/>
        <v/>
      </c>
      <c r="L26" s="455" t="str">
        <f t="shared" si="26"/>
        <v/>
      </c>
      <c r="M26" s="389" t="str">
        <f>IFERROR(IF(AD26&lt;=VLOOKUP(D26,Tournaments!$A$1:$B$1772,2,FALSE),"TRUE","FALSE"),"")</f>
        <v>TRUE</v>
      </c>
      <c r="N26" s="389">
        <v>1</v>
      </c>
      <c r="O26" s="389">
        <f t="shared" si="4"/>
        <v>2</v>
      </c>
      <c r="Q26" s="389">
        <f t="shared" si="5"/>
        <v>3</v>
      </c>
      <c r="R26" s="389">
        <f t="shared" si="6"/>
        <v>1</v>
      </c>
      <c r="S26" s="389">
        <f t="shared" si="7"/>
        <v>0</v>
      </c>
      <c r="U26" s="389">
        <f t="shared" si="8"/>
        <v>2</v>
      </c>
      <c r="V26" s="389">
        <f t="shared" si="9"/>
        <v>1E-4</v>
      </c>
      <c r="W26" s="389">
        <f t="shared" si="10"/>
        <v>-1.9999</v>
      </c>
      <c r="X26" s="389">
        <f t="shared" si="11"/>
        <v>2</v>
      </c>
      <c r="Y26" s="389" t="b">
        <f t="shared" si="27"/>
        <v>0</v>
      </c>
      <c r="Z26" s="389">
        <f t="shared" si="12"/>
        <v>-2</v>
      </c>
      <c r="AA26" s="389">
        <f t="shared" si="13"/>
        <v>2</v>
      </c>
      <c r="AB26" s="389" t="b">
        <f t="shared" si="14"/>
        <v>0</v>
      </c>
      <c r="AC26" s="389">
        <f t="shared" si="15"/>
        <v>-2</v>
      </c>
      <c r="AD26" s="389">
        <f t="shared" si="16"/>
        <v>2</v>
      </c>
      <c r="AE26" s="389">
        <f t="shared" si="17"/>
        <v>1</v>
      </c>
      <c r="AG26" s="311" t="str">
        <f t="shared" si="18"/>
        <v>Adult Male Basketball-</v>
      </c>
      <c r="AH26" s="453">
        <f t="shared" si="19"/>
        <v>1</v>
      </c>
      <c r="AI26" s="453">
        <f t="shared" si="20"/>
        <v>2</v>
      </c>
      <c r="AJ26" t="str">
        <f t="array" ref="AJ26">IF(AND(AI26&gt;1,G26&lt;&gt;""),INDEX(FS_teams,MATCH(1,(FS_Keys=AG26)*(FS_Points=I26)*(FS_teams&lt;&gt;G26),0)),"")</f>
        <v>AD M - USA 1</v>
      </c>
      <c r="AK26" s="390" t="e">
        <f t="array" ref="AK26">IF(AJ26&lt;&gt;"",INDEX(TM_Score1,MATCH(1,(TM_Events=D26)*(TM_Participant1=G26)*(TM_Participant2=AJ26),0)),"")</f>
        <v>#N/A</v>
      </c>
      <c r="AL26" s="390">
        <f t="array" ref="AL26">IF(AJ26&lt;&gt;"",INDEX(TM_Score1,MATCH(1,(TM_Events=D26)*(TM_Participant1=AJ26)*(TM_Participant2=G26),0)),"")</f>
        <v>50</v>
      </c>
      <c r="AM26" s="389" t="str">
        <f t="array" ref="AM26">IF(ISNUMBER(AK26),INDEX(TM_Score2,MATCH(1,(TM_Events=D26)*(TM_Participant1=G26)*(TM_Participant2=AJ26),0)),"")</f>
        <v/>
      </c>
      <c r="AN26" s="389">
        <f t="array" ref="AN26">IF(ISNUMBER(AL26),INDEX(TM_Score2,MATCH(1,(TM_Events=D26)*(TM_Participant1=AJ26)*(TM_Participant2=G26),0)),"")</f>
        <v>37</v>
      </c>
      <c r="AO26" s="389" t="str">
        <f t="shared" si="21"/>
        <v>Loss</v>
      </c>
      <c r="AP26" s="389">
        <f t="shared" si="28"/>
        <v>3</v>
      </c>
      <c r="AQ26" s="389">
        <f t="shared" si="22"/>
        <v>0</v>
      </c>
      <c r="AR26" s="389">
        <f t="shared" si="23"/>
        <v>1</v>
      </c>
      <c r="AS26" s="453">
        <f t="shared" si="24"/>
        <v>25</v>
      </c>
      <c r="AT26" s="452">
        <f t="shared" si="25"/>
        <v>186</v>
      </c>
    </row>
    <row r="27" spans="1:46" ht="16" x14ac:dyDescent="0.2">
      <c r="A27" s="298"/>
      <c r="B27"/>
      <c r="D27" s="303" t="s">
        <v>465</v>
      </c>
      <c r="E27" s="396"/>
      <c r="F27" s="387">
        <v>1</v>
      </c>
      <c r="G27" s="397" t="s">
        <v>539</v>
      </c>
      <c r="H27" s="387" t="str">
        <f t="shared" si="0"/>
        <v>0-2-0</v>
      </c>
      <c r="I27" s="389">
        <f t="shared" si="1"/>
        <v>0</v>
      </c>
      <c r="J27" s="455" t="str">
        <f t="shared" si="2"/>
        <v/>
      </c>
      <c r="K27" s="455" t="str">
        <f t="shared" si="3"/>
        <v/>
      </c>
      <c r="L27" s="455" t="str">
        <f t="shared" si="26"/>
        <v/>
      </c>
      <c r="M27" s="389" t="str">
        <f>IFERROR(IF(AD27&lt;=VLOOKUP(D27,Tournaments!$A$1:$B$1772,2,FALSE),"TRUE","FALSE"),"")</f>
        <v>FALSE</v>
      </c>
      <c r="N27" s="389">
        <v>1</v>
      </c>
      <c r="O27" s="389">
        <f t="shared" si="4"/>
        <v>3</v>
      </c>
      <c r="Q27" s="389">
        <f t="shared" si="5"/>
        <v>0</v>
      </c>
      <c r="R27" s="389">
        <f t="shared" si="6"/>
        <v>2</v>
      </c>
      <c r="S27" s="389">
        <f t="shared" si="7"/>
        <v>0</v>
      </c>
      <c r="U27" s="389">
        <f t="shared" si="8"/>
        <v>3</v>
      </c>
      <c r="V27" s="389" t="b">
        <f t="shared" si="9"/>
        <v>0</v>
      </c>
      <c r="W27" s="389">
        <f t="shared" si="10"/>
        <v>-3</v>
      </c>
      <c r="X27" s="389">
        <f t="shared" si="11"/>
        <v>3</v>
      </c>
      <c r="Y27" s="389" t="b">
        <f t="shared" si="27"/>
        <v>0</v>
      </c>
      <c r="Z27" s="389">
        <f t="shared" si="12"/>
        <v>-3</v>
      </c>
      <c r="AA27" s="389">
        <f t="shared" si="13"/>
        <v>3</v>
      </c>
      <c r="AB27" s="389" t="b">
        <f t="shared" si="14"/>
        <v>0</v>
      </c>
      <c r="AC27" s="389">
        <f t="shared" si="15"/>
        <v>-3</v>
      </c>
      <c r="AD27" s="389">
        <f t="shared" si="16"/>
        <v>3</v>
      </c>
      <c r="AE27" s="389">
        <f t="shared" si="17"/>
        <v>1</v>
      </c>
      <c r="AG27" s="311" t="str">
        <f t="shared" si="18"/>
        <v>Adult Male Flag Football-</v>
      </c>
      <c r="AH27" s="453">
        <f t="shared" si="19"/>
        <v>3</v>
      </c>
      <c r="AI27" s="453">
        <f t="shared" si="20"/>
        <v>1</v>
      </c>
      <c r="AJ27" t="str">
        <f t="array" ref="AJ27">IF(AND(AI27&gt;1,G27&lt;&gt;""),INDEX(FS_teams,MATCH(1,(FS_Keys=AG27)*(FS_Points=I27)*(FS_teams&lt;&gt;G27),0)),"")</f>
        <v/>
      </c>
      <c r="AK27" s="390" t="str">
        <f t="array" ref="AK27">IF(AJ27&lt;&gt;"",INDEX(TM_Score1,MATCH(1,(TM_Events=D27)*(TM_Participant1=G27)*(TM_Participant2=AJ27),0)),"")</f>
        <v/>
      </c>
      <c r="AL27" s="390" t="str">
        <f t="array" ref="AL27">IF(AJ27&lt;&gt;"",INDEX(TM_Score1,MATCH(1,(TM_Events=D27)*(TM_Participant1=AJ27)*(TM_Participant2=G27),0)),"")</f>
        <v/>
      </c>
      <c r="AM27" s="389" t="str">
        <f t="array" ref="AM27">IF(ISNUMBER(AK27),INDEX(TM_Score2,MATCH(1,(TM_Events=D27)*(TM_Participant1=G27)*(TM_Participant2=AJ27),0)),"")</f>
        <v/>
      </c>
      <c r="AN27" s="389" t="str">
        <f t="array" ref="AN27">IF(ISNUMBER(AL27),INDEX(TM_Score2,MATCH(1,(TM_Events=D27)*(TM_Participant1=AJ27)*(TM_Participant2=G27),0)),"")</f>
        <v/>
      </c>
      <c r="AO27" s="389" t="str">
        <f t="shared" si="21"/>
        <v/>
      </c>
      <c r="AP27" s="389">
        <f t="shared" si="28"/>
        <v>0</v>
      </c>
      <c r="AQ27" s="389">
        <f t="shared" si="22"/>
        <v>0</v>
      </c>
      <c r="AR27" s="389">
        <f t="shared" si="23"/>
        <v>2</v>
      </c>
      <c r="AS27" s="453">
        <f t="shared" si="24"/>
        <v>-28</v>
      </c>
      <c r="AT27" s="452">
        <f t="shared" si="25"/>
        <v>33</v>
      </c>
    </row>
    <row r="28" spans="1:46" ht="16" x14ac:dyDescent="0.2">
      <c r="A28" s="298"/>
      <c r="B28"/>
      <c r="D28" s="303" t="s">
        <v>465</v>
      </c>
      <c r="E28" s="396"/>
      <c r="F28" s="387">
        <v>1</v>
      </c>
      <c r="G28" s="397" t="s">
        <v>541</v>
      </c>
      <c r="H28" s="387" t="str">
        <f t="shared" si="0"/>
        <v>2-0-0</v>
      </c>
      <c r="I28" s="389">
        <f t="shared" si="1"/>
        <v>4</v>
      </c>
      <c r="J28" s="455" t="str">
        <f t="shared" si="2"/>
        <v/>
      </c>
      <c r="K28" s="455" t="str">
        <f t="shared" si="3"/>
        <v/>
      </c>
      <c r="L28" s="455" t="str">
        <f t="shared" si="26"/>
        <v/>
      </c>
      <c r="M28" s="389" t="str">
        <f>IFERROR(IF(AD28&lt;=VLOOKUP(D28,Tournaments!$A$1:$B$1772,2,FALSE),"TRUE","FALSE"),"")</f>
        <v>FALSE</v>
      </c>
      <c r="N28" s="389">
        <v>1</v>
      </c>
      <c r="O28" s="389">
        <f t="shared" si="4"/>
        <v>1</v>
      </c>
      <c r="Q28" s="389">
        <f t="shared" si="5"/>
        <v>2</v>
      </c>
      <c r="R28" s="389">
        <f t="shared" si="6"/>
        <v>0</v>
      </c>
      <c r="S28" s="389">
        <f t="shared" si="7"/>
        <v>0</v>
      </c>
      <c r="U28" s="389">
        <f t="shared" si="8"/>
        <v>1</v>
      </c>
      <c r="V28" s="389" t="b">
        <f t="shared" si="9"/>
        <v>0</v>
      </c>
      <c r="W28" s="389">
        <f t="shared" si="10"/>
        <v>-1</v>
      </c>
      <c r="X28" s="389">
        <f t="shared" si="11"/>
        <v>1</v>
      </c>
      <c r="Y28" s="389" t="b">
        <f t="shared" si="27"/>
        <v>0</v>
      </c>
      <c r="Z28" s="389">
        <f t="shared" si="12"/>
        <v>-1</v>
      </c>
      <c r="AA28" s="389">
        <f t="shared" si="13"/>
        <v>1</v>
      </c>
      <c r="AB28" s="389" t="b">
        <f t="shared" si="14"/>
        <v>0</v>
      </c>
      <c r="AC28" s="389">
        <f t="shared" si="15"/>
        <v>-1</v>
      </c>
      <c r="AD28" s="389">
        <f t="shared" si="16"/>
        <v>1</v>
      </c>
      <c r="AE28" s="389">
        <f t="shared" si="17"/>
        <v>1</v>
      </c>
      <c r="AG28" s="311" t="str">
        <f t="shared" si="18"/>
        <v>Adult Male Flag Football-</v>
      </c>
      <c r="AH28" s="453">
        <f t="shared" si="19"/>
        <v>1</v>
      </c>
      <c r="AI28" s="453">
        <f t="shared" si="20"/>
        <v>1</v>
      </c>
      <c r="AJ28" t="str">
        <f t="array" ref="AJ28">IF(AND(AI28&gt;1,G28&lt;&gt;""),INDEX(FS_teams,MATCH(1,(FS_Keys=AG28)*(FS_Points=I28)*(FS_teams&lt;&gt;G28),0)),"")</f>
        <v/>
      </c>
      <c r="AK28" s="390" t="str">
        <f t="array" ref="AK28">IF(AJ28&lt;&gt;"",INDEX(TM_Score1,MATCH(1,(TM_Events=D28)*(TM_Participant1=G28)*(TM_Participant2=AJ28),0)),"")</f>
        <v/>
      </c>
      <c r="AL28" s="390" t="str">
        <f t="array" ref="AL28">IF(AJ28&lt;&gt;"",INDEX(TM_Score1,MATCH(1,(TM_Events=D28)*(TM_Participant1=AJ28)*(TM_Participant2=G28),0)),"")</f>
        <v/>
      </c>
      <c r="AM28" s="389" t="str">
        <f t="array" ref="AM28">IF(ISNUMBER(AK28),INDEX(TM_Score2,MATCH(1,(TM_Events=D28)*(TM_Participant1=G28)*(TM_Participant2=AJ28),0)),"")</f>
        <v/>
      </c>
      <c r="AN28" s="389" t="str">
        <f t="array" ref="AN28">IF(ISNUMBER(AL28),INDEX(TM_Score2,MATCH(1,(TM_Events=D28)*(TM_Participant1=AJ28)*(TM_Participant2=G28),0)),"")</f>
        <v/>
      </c>
      <c r="AO28" s="389" t="str">
        <f t="shared" si="21"/>
        <v/>
      </c>
      <c r="AP28" s="389">
        <f t="shared" si="28"/>
        <v>2</v>
      </c>
      <c r="AQ28" s="389">
        <f t="shared" si="22"/>
        <v>0</v>
      </c>
      <c r="AR28" s="389">
        <f t="shared" si="23"/>
        <v>0</v>
      </c>
      <c r="AS28" s="453">
        <f t="shared" si="24"/>
        <v>37</v>
      </c>
      <c r="AT28" s="452">
        <f t="shared" si="25"/>
        <v>62</v>
      </c>
    </row>
    <row r="29" spans="1:46" ht="16" x14ac:dyDescent="0.2">
      <c r="A29" s="298"/>
      <c r="B29"/>
      <c r="D29" s="303" t="s">
        <v>465</v>
      </c>
      <c r="E29" s="396"/>
      <c r="F29" s="387">
        <v>1</v>
      </c>
      <c r="G29" s="397" t="s">
        <v>538</v>
      </c>
      <c r="H29" s="387" t="str">
        <f t="shared" si="0"/>
        <v>1-2-0</v>
      </c>
      <c r="I29" s="389">
        <f t="shared" si="1"/>
        <v>2</v>
      </c>
      <c r="J29" s="455" t="str">
        <f t="shared" si="2"/>
        <v/>
      </c>
      <c r="K29" s="455" t="str">
        <f t="shared" si="3"/>
        <v/>
      </c>
      <c r="L29" s="455" t="str">
        <f t="shared" si="26"/>
        <v/>
      </c>
      <c r="M29" s="389" t="str">
        <f>IFERROR(IF(AD29&lt;=VLOOKUP(D29,Tournaments!$A$1:$B$1772,2,FALSE),"TRUE","FALSE"),"")</f>
        <v>FALSE</v>
      </c>
      <c r="N29" s="389">
        <v>1</v>
      </c>
      <c r="O29" s="389">
        <f t="shared" si="4"/>
        <v>2</v>
      </c>
      <c r="Q29" s="389">
        <f t="shared" si="5"/>
        <v>1</v>
      </c>
      <c r="R29" s="389">
        <f t="shared" si="6"/>
        <v>2</v>
      </c>
      <c r="S29" s="389">
        <f t="shared" si="7"/>
        <v>0</v>
      </c>
      <c r="U29" s="389">
        <f t="shared" si="8"/>
        <v>2</v>
      </c>
      <c r="V29" s="389" t="b">
        <f t="shared" si="9"/>
        <v>0</v>
      </c>
      <c r="W29" s="389">
        <f t="shared" si="10"/>
        <v>-2</v>
      </c>
      <c r="X29" s="389">
        <f t="shared" si="11"/>
        <v>2</v>
      </c>
      <c r="Y29" s="389" t="b">
        <f t="shared" si="27"/>
        <v>0</v>
      </c>
      <c r="Z29" s="389">
        <f t="shared" si="12"/>
        <v>-2</v>
      </c>
      <c r="AA29" s="389">
        <f t="shared" si="13"/>
        <v>2</v>
      </c>
      <c r="AB29" s="389" t="b">
        <f t="shared" si="14"/>
        <v>0</v>
      </c>
      <c r="AC29" s="389">
        <f t="shared" si="15"/>
        <v>-2</v>
      </c>
      <c r="AD29" s="389">
        <f t="shared" si="16"/>
        <v>2</v>
      </c>
      <c r="AE29" s="389">
        <f t="shared" si="17"/>
        <v>1</v>
      </c>
      <c r="AG29" s="311" t="str">
        <f t="shared" si="18"/>
        <v>Adult Male Flag Football-</v>
      </c>
      <c r="AH29" s="453">
        <f t="shared" si="19"/>
        <v>2</v>
      </c>
      <c r="AI29" s="453">
        <f t="shared" si="20"/>
        <v>1</v>
      </c>
      <c r="AJ29" t="str">
        <f t="array" ref="AJ29">IF(AND(AI29&gt;1,G29&lt;&gt;""),INDEX(FS_teams,MATCH(1,(FS_Keys=AG29)*(FS_Points=I29)*(FS_teams&lt;&gt;G29),0)),"")</f>
        <v/>
      </c>
      <c r="AK29" s="390" t="str">
        <f t="array" ref="AK29">IF(AJ29&lt;&gt;"",INDEX(TM_Score1,MATCH(1,(TM_Events=D29)*(TM_Participant1=G29)*(TM_Participant2=AJ29),0)),"")</f>
        <v/>
      </c>
      <c r="AL29" s="390" t="str">
        <f t="array" ref="AL29">IF(AJ29&lt;&gt;"",INDEX(TM_Score1,MATCH(1,(TM_Events=D29)*(TM_Participant1=AJ29)*(TM_Participant2=G29),0)),"")</f>
        <v/>
      </c>
      <c r="AM29" s="389" t="str">
        <f t="array" ref="AM29">IF(ISNUMBER(AK29),INDEX(TM_Score2,MATCH(1,(TM_Events=D29)*(TM_Participant1=G29)*(TM_Participant2=AJ29),0)),"")</f>
        <v/>
      </c>
      <c r="AN29" s="389" t="str">
        <f t="array" ref="AN29">IF(ISNUMBER(AL29),INDEX(TM_Score2,MATCH(1,(TM_Events=D29)*(TM_Participant1=AJ29)*(TM_Participant2=G29),0)),"")</f>
        <v/>
      </c>
      <c r="AO29" s="389" t="str">
        <f t="shared" si="21"/>
        <v/>
      </c>
      <c r="AP29" s="389">
        <f t="shared" si="28"/>
        <v>1</v>
      </c>
      <c r="AQ29" s="389">
        <f t="shared" si="22"/>
        <v>0</v>
      </c>
      <c r="AR29" s="389">
        <f t="shared" si="23"/>
        <v>2</v>
      </c>
      <c r="AS29" s="453">
        <f t="shared" si="24"/>
        <v>-23</v>
      </c>
      <c r="AT29" s="452">
        <f t="shared" si="25"/>
        <v>46</v>
      </c>
    </row>
    <row r="30" spans="1:46" ht="16" x14ac:dyDescent="0.2">
      <c r="A30" s="298"/>
      <c r="B30"/>
      <c r="D30" s="303" t="s">
        <v>81</v>
      </c>
      <c r="E30" s="396"/>
      <c r="F30" s="387">
        <v>1</v>
      </c>
      <c r="G30" s="397" t="s">
        <v>539</v>
      </c>
      <c r="H30" s="387" t="str">
        <f t="shared" si="0"/>
        <v>5-1-0</v>
      </c>
      <c r="I30" s="389">
        <f t="shared" si="1"/>
        <v>10</v>
      </c>
      <c r="J30" s="455">
        <f t="shared" si="2"/>
        <v>0</v>
      </c>
      <c r="K30" s="455">
        <f t="shared" si="3"/>
        <v>4</v>
      </c>
      <c r="L30" s="455" t="str">
        <f t="shared" si="26"/>
        <v/>
      </c>
      <c r="M30" s="389" t="str">
        <f>IFERROR(IF(AD30&lt;=VLOOKUP(D30,Tournaments!$A$1:$B$1772,2,FALSE),"TRUE","FALSE"),"")</f>
        <v>TRUE</v>
      </c>
      <c r="N30" s="389">
        <v>1</v>
      </c>
      <c r="O30" s="389">
        <f t="shared" si="4"/>
        <v>2</v>
      </c>
      <c r="Q30" s="389">
        <f t="shared" si="5"/>
        <v>5</v>
      </c>
      <c r="R30" s="389">
        <f t="shared" si="6"/>
        <v>1</v>
      </c>
      <c r="S30" s="389">
        <f t="shared" si="7"/>
        <v>0</v>
      </c>
      <c r="U30" s="389">
        <f t="shared" si="8"/>
        <v>2</v>
      </c>
      <c r="V30" s="389">
        <f t="shared" si="9"/>
        <v>1E-4</v>
      </c>
      <c r="W30" s="389">
        <f t="shared" si="10"/>
        <v>-1.9999</v>
      </c>
      <c r="X30" s="389">
        <f t="shared" si="11"/>
        <v>2</v>
      </c>
      <c r="Y30" s="389">
        <f t="shared" si="27"/>
        <v>7.2900000000000006E-2</v>
      </c>
      <c r="Z30" s="389">
        <f t="shared" si="12"/>
        <v>-1.9271</v>
      </c>
      <c r="AA30" s="389">
        <f t="shared" si="13"/>
        <v>2</v>
      </c>
      <c r="AB30" s="389" t="b">
        <f t="shared" si="14"/>
        <v>0</v>
      </c>
      <c r="AC30" s="389">
        <f t="shared" si="15"/>
        <v>-2</v>
      </c>
      <c r="AD30" s="389">
        <f t="shared" si="16"/>
        <v>2</v>
      </c>
      <c r="AE30" s="389">
        <f t="shared" si="17"/>
        <v>2</v>
      </c>
      <c r="AG30" s="311" t="str">
        <f t="shared" si="18"/>
        <v>Adult Male Mini Soccer-</v>
      </c>
      <c r="AH30" s="453">
        <f t="shared" si="19"/>
        <v>1</v>
      </c>
      <c r="AI30" s="453">
        <f t="shared" si="20"/>
        <v>2</v>
      </c>
      <c r="AJ30" t="str">
        <f t="array" ref="AJ30">IF(AND(AI30&gt;1,G30&lt;&gt;""),INDEX(FS_teams,MATCH(1,(FS_Keys=AG30)*(FS_Points=I30)*(FS_teams&lt;&gt;G30),0)),"")</f>
        <v>AD M - MEX</v>
      </c>
      <c r="AK30" s="390">
        <f t="array" ref="AK30">IF(AJ30&lt;&gt;"",INDEX(TM_Score1,MATCH(1,(TM_Events=D30)*(TM_Participant1=G30)*(TM_Participant2=AJ30),0)),"")</f>
        <v>1</v>
      </c>
      <c r="AL30" s="390">
        <f t="array" ref="AL30">IF(AJ30&lt;&gt;"",INDEX(TM_Score1,MATCH(1,(TM_Events=D30)*(TM_Participant1=AJ30)*(TM_Participant2=G30),0)),"")</f>
        <v>2</v>
      </c>
      <c r="AM30" s="389">
        <f t="array" ref="AM30">IF(ISNUMBER(AK30),INDEX(TM_Score2,MATCH(1,(TM_Events=D30)*(TM_Participant1=G30)*(TM_Participant2=AJ30),0)),"")</f>
        <v>5</v>
      </c>
      <c r="AN30" s="389">
        <f t="array" ref="AN30">IF(ISNUMBER(AL30),INDEX(TM_Score2,MATCH(1,(TM_Events=D30)*(TM_Participant1=AJ30)*(TM_Participant2=G30),0)),"")</f>
        <v>3</v>
      </c>
      <c r="AO30" s="389" t="str">
        <f t="shared" si="21"/>
        <v>Loss</v>
      </c>
      <c r="AP30" s="389">
        <f t="shared" si="28"/>
        <v>5</v>
      </c>
      <c r="AQ30" s="389">
        <f t="shared" si="22"/>
        <v>0</v>
      </c>
      <c r="AR30" s="389">
        <f t="shared" si="23"/>
        <v>1</v>
      </c>
      <c r="AS30" s="453">
        <f t="shared" si="24"/>
        <v>4</v>
      </c>
      <c r="AT30" s="452">
        <f t="shared" si="25"/>
        <v>11</v>
      </c>
    </row>
    <row r="31" spans="1:46" ht="16" x14ac:dyDescent="0.2">
      <c r="A31" s="298"/>
      <c r="B31"/>
      <c r="D31" s="303" t="s">
        <v>81</v>
      </c>
      <c r="E31" s="396"/>
      <c r="F31" s="387">
        <v>1</v>
      </c>
      <c r="G31" s="397" t="s">
        <v>537</v>
      </c>
      <c r="H31" s="387" t="str">
        <f t="shared" si="0"/>
        <v>5-1-0</v>
      </c>
      <c r="I31" s="389">
        <f t="shared" si="1"/>
        <v>10</v>
      </c>
      <c r="J31" s="455">
        <f t="shared" si="2"/>
        <v>0</v>
      </c>
      <c r="K31" s="455">
        <f t="shared" si="3"/>
        <v>11</v>
      </c>
      <c r="L31" s="455" t="str">
        <f t="shared" si="26"/>
        <v/>
      </c>
      <c r="M31" s="389" t="str">
        <f>IFERROR(IF(AD31&lt;=VLOOKUP(D31,Tournaments!$A$1:$B$1772,2,FALSE),"TRUE","FALSE"),"")</f>
        <v>TRUE</v>
      </c>
      <c r="N31" s="389">
        <v>1</v>
      </c>
      <c r="O31" s="389">
        <f t="shared" si="4"/>
        <v>1</v>
      </c>
      <c r="Q31" s="389">
        <f t="shared" si="5"/>
        <v>5</v>
      </c>
      <c r="R31" s="389">
        <f t="shared" si="6"/>
        <v>1</v>
      </c>
      <c r="S31" s="389">
        <f t="shared" si="7"/>
        <v>0</v>
      </c>
      <c r="U31" s="389">
        <f t="shared" si="8"/>
        <v>2</v>
      </c>
      <c r="V31" s="389">
        <f t="shared" si="9"/>
        <v>1E-4</v>
      </c>
      <c r="W31" s="389">
        <f t="shared" si="10"/>
        <v>-1.9999</v>
      </c>
      <c r="X31" s="389">
        <f t="shared" si="11"/>
        <v>2</v>
      </c>
      <c r="Y31" s="389">
        <f t="shared" si="27"/>
        <v>7.5300000000000006E-2</v>
      </c>
      <c r="Z31" s="389">
        <f t="shared" si="12"/>
        <v>-1.9247000000000001</v>
      </c>
      <c r="AA31" s="389">
        <f t="shared" si="13"/>
        <v>1</v>
      </c>
      <c r="AB31" s="389" t="b">
        <f t="shared" si="14"/>
        <v>0</v>
      </c>
      <c r="AC31" s="389">
        <f t="shared" si="15"/>
        <v>-1</v>
      </c>
      <c r="AD31" s="389">
        <f t="shared" si="16"/>
        <v>1</v>
      </c>
      <c r="AE31" s="389">
        <f t="shared" si="17"/>
        <v>2</v>
      </c>
      <c r="AG31" s="311" t="str">
        <f t="shared" si="18"/>
        <v>Adult Male Mini Soccer-</v>
      </c>
      <c r="AH31" s="453">
        <f t="shared" si="19"/>
        <v>1</v>
      </c>
      <c r="AI31" s="453">
        <f t="shared" si="20"/>
        <v>2</v>
      </c>
      <c r="AJ31" t="str">
        <f t="array" ref="AJ31">IF(AND(AI31&gt;1,G31&lt;&gt;""),INDEX(FS_teams,MATCH(1,(FS_Keys=AG31)*(FS_Points=I31)*(FS_teams&lt;&gt;G31),0)),"")</f>
        <v>AD M - USA 1</v>
      </c>
      <c r="AK31" s="390">
        <f t="array" ref="AK31">IF(AJ31&lt;&gt;"",INDEX(TM_Score1,MATCH(1,(TM_Events=D31)*(TM_Participant1=G31)*(TM_Participant2=AJ31),0)),"")</f>
        <v>2</v>
      </c>
      <c r="AL31" s="390">
        <f t="array" ref="AL31">IF(AJ31&lt;&gt;"",INDEX(TM_Score1,MATCH(1,(TM_Events=D31)*(TM_Participant1=AJ31)*(TM_Participant2=G31),0)),"")</f>
        <v>1</v>
      </c>
      <c r="AM31" s="389">
        <f t="array" ref="AM31">IF(ISNUMBER(AK31),INDEX(TM_Score2,MATCH(1,(TM_Events=D31)*(TM_Participant1=G31)*(TM_Participant2=AJ31),0)),"")</f>
        <v>3</v>
      </c>
      <c r="AN31" s="389">
        <f t="array" ref="AN31">IF(ISNUMBER(AL31),INDEX(TM_Score2,MATCH(1,(TM_Events=D31)*(TM_Participant1=AJ31)*(TM_Participant2=G31),0)),"")</f>
        <v>5</v>
      </c>
      <c r="AO31" s="389" t="str">
        <f t="shared" si="21"/>
        <v>Loss</v>
      </c>
      <c r="AP31" s="389">
        <f t="shared" si="28"/>
        <v>5</v>
      </c>
      <c r="AQ31" s="389">
        <f t="shared" si="22"/>
        <v>0</v>
      </c>
      <c r="AR31" s="389">
        <f t="shared" si="23"/>
        <v>1</v>
      </c>
      <c r="AS31" s="453">
        <f t="shared" si="24"/>
        <v>11</v>
      </c>
      <c r="AT31" s="452">
        <f t="shared" si="25"/>
        <v>23</v>
      </c>
    </row>
    <row r="32" spans="1:46" ht="16" x14ac:dyDescent="0.2">
      <c r="A32" s="298"/>
      <c r="B32"/>
      <c r="D32" s="303" t="s">
        <v>81</v>
      </c>
      <c r="E32" s="387"/>
      <c r="F32" s="387">
        <v>1</v>
      </c>
      <c r="G32" s="397" t="s">
        <v>538</v>
      </c>
      <c r="H32" s="387" t="str">
        <f t="shared" si="0"/>
        <v>1-4-0</v>
      </c>
      <c r="I32" s="389">
        <f t="shared" si="1"/>
        <v>2</v>
      </c>
      <c r="J32" s="455">
        <f t="shared" si="2"/>
        <v>1</v>
      </c>
      <c r="K32" s="455">
        <f t="shared" si="3"/>
        <v>-6</v>
      </c>
      <c r="L32" s="455" t="str">
        <f t="shared" si="26"/>
        <v/>
      </c>
      <c r="M32" s="389" t="str">
        <f>IFERROR(IF(AD32&lt;=VLOOKUP(D32,Tournaments!$A$1:$B$1772,2,FALSE),"TRUE","FALSE"),"")</f>
        <v>FALSE</v>
      </c>
      <c r="N32" s="389">
        <v>1</v>
      </c>
      <c r="O32" s="389">
        <f t="shared" si="4"/>
        <v>5</v>
      </c>
      <c r="Q32" s="389">
        <f t="shared" si="5"/>
        <v>1</v>
      </c>
      <c r="R32" s="389">
        <f t="shared" si="6"/>
        <v>4</v>
      </c>
      <c r="S32" s="389">
        <f t="shared" si="7"/>
        <v>0</v>
      </c>
      <c r="U32" s="389">
        <f t="shared" si="8"/>
        <v>5</v>
      </c>
      <c r="V32" s="389">
        <f t="shared" si="9"/>
        <v>2.5000000000000001E-3</v>
      </c>
      <c r="W32" s="389">
        <f t="shared" si="10"/>
        <v>-4.9974999999999996</v>
      </c>
      <c r="X32" s="389">
        <f t="shared" si="11"/>
        <v>5</v>
      </c>
      <c r="Y32" s="389">
        <f t="shared" si="27"/>
        <v>5.5999999999999999E-3</v>
      </c>
      <c r="Z32" s="389">
        <f t="shared" si="12"/>
        <v>-4.9943999999999997</v>
      </c>
      <c r="AA32" s="389">
        <f t="shared" si="13"/>
        <v>5</v>
      </c>
      <c r="AB32" s="389" t="b">
        <f t="shared" si="14"/>
        <v>0</v>
      </c>
      <c r="AC32" s="389">
        <f t="shared" si="15"/>
        <v>-5</v>
      </c>
      <c r="AD32" s="389">
        <f t="shared" si="16"/>
        <v>5</v>
      </c>
      <c r="AE32" s="389">
        <f t="shared" si="17"/>
        <v>3</v>
      </c>
      <c r="AG32" s="311" t="str">
        <f t="shared" si="18"/>
        <v>Adult Male Mini Soccer-</v>
      </c>
      <c r="AH32" s="453">
        <f t="shared" si="19"/>
        <v>3</v>
      </c>
      <c r="AI32" s="453">
        <f t="shared" si="20"/>
        <v>3</v>
      </c>
      <c r="AJ32" t="str">
        <f t="array" ref="AJ32">IF(AND(AI32&gt;1,G32&lt;&gt;""),INDEX(FS_teams,MATCH(1,(FS_Keys=AG32)*(FS_Points=I32)*(FS_teams&lt;&gt;G32),0)),"")</f>
        <v>AD M - ARG 1</v>
      </c>
      <c r="AK32" s="390" t="e">
        <f t="array" ref="AK32">IF(AJ32&lt;&gt;"",INDEX(TM_Score1,MATCH(1,(TM_Events=D32)*(TM_Participant1=G32)*(TM_Participant2=AJ32),0)),"")</f>
        <v>#N/A</v>
      </c>
      <c r="AL32" s="390">
        <f t="array" ref="AL32">IF(AJ32&lt;&gt;"",INDEX(TM_Score1,MATCH(1,(TM_Events=D32)*(TM_Participant1=AJ32)*(TM_Participant2=G32),0)),"")</f>
        <v>0</v>
      </c>
      <c r="AM32" s="389" t="str">
        <f t="array" ref="AM32">IF(ISNUMBER(AK32),INDEX(TM_Score2,MATCH(1,(TM_Events=D32)*(TM_Participant1=G32)*(TM_Participant2=AJ32),0)),"")</f>
        <v/>
      </c>
      <c r="AN32" s="389">
        <f t="array" ref="AN32">IF(ISNUMBER(AL32),INDEX(TM_Score2,MATCH(1,(TM_Events=D32)*(TM_Participant1=AJ32)*(TM_Participant2=G32),0)),"")</f>
        <v>2</v>
      </c>
      <c r="AO32" s="389" t="str">
        <f t="shared" si="21"/>
        <v>Win</v>
      </c>
      <c r="AP32" s="389">
        <f t="shared" si="28"/>
        <v>1</v>
      </c>
      <c r="AQ32" s="389">
        <f t="shared" si="22"/>
        <v>0</v>
      </c>
      <c r="AR32" s="389">
        <f t="shared" si="23"/>
        <v>4</v>
      </c>
      <c r="AS32" s="453">
        <f t="shared" si="24"/>
        <v>-6</v>
      </c>
      <c r="AT32" s="452">
        <f t="shared" si="25"/>
        <v>6</v>
      </c>
    </row>
    <row r="33" spans="1:46" ht="16" x14ac:dyDescent="0.2">
      <c r="A33" s="298"/>
      <c r="B33"/>
      <c r="D33" s="303" t="s">
        <v>81</v>
      </c>
      <c r="E33" s="387"/>
      <c r="F33" s="387">
        <v>1</v>
      </c>
      <c r="G33" s="397" t="s">
        <v>533</v>
      </c>
      <c r="H33" s="387" t="str">
        <f t="shared" si="0"/>
        <v>1-3-0</v>
      </c>
      <c r="I33" s="389">
        <f t="shared" si="1"/>
        <v>2</v>
      </c>
      <c r="J33" s="455">
        <f t="shared" si="2"/>
        <v>1</v>
      </c>
      <c r="K33" s="455">
        <f t="shared" si="3"/>
        <v>-4</v>
      </c>
      <c r="L33" s="455" t="str">
        <f t="shared" si="26"/>
        <v/>
      </c>
      <c r="M33" s="389" t="str">
        <f>IFERROR(IF(AD33&lt;=VLOOKUP(D33,Tournaments!$A$1:$B$1772,2,FALSE),"TRUE","FALSE"),"")</f>
        <v>TRUE</v>
      </c>
      <c r="N33" s="389">
        <v>1</v>
      </c>
      <c r="O33" s="389">
        <f t="shared" si="4"/>
        <v>3</v>
      </c>
      <c r="Q33" s="389">
        <f t="shared" si="5"/>
        <v>1</v>
      </c>
      <c r="R33" s="389">
        <f t="shared" si="6"/>
        <v>3</v>
      </c>
      <c r="S33" s="389">
        <f t="shared" si="7"/>
        <v>0</v>
      </c>
      <c r="U33" s="389">
        <f t="shared" si="8"/>
        <v>5</v>
      </c>
      <c r="V33" s="389">
        <f t="shared" si="9"/>
        <v>2.5000000000000001E-3</v>
      </c>
      <c r="W33" s="389">
        <f t="shared" si="10"/>
        <v>-4.9974999999999996</v>
      </c>
      <c r="X33" s="389">
        <f t="shared" si="11"/>
        <v>5</v>
      </c>
      <c r="Y33" s="389">
        <f t="shared" si="27"/>
        <v>7.3000000000000001E-3</v>
      </c>
      <c r="Z33" s="389">
        <f t="shared" si="12"/>
        <v>-4.9927000000000001</v>
      </c>
      <c r="AA33" s="389">
        <f t="shared" si="13"/>
        <v>3</v>
      </c>
      <c r="AB33" s="389" t="b">
        <f t="shared" si="14"/>
        <v>0</v>
      </c>
      <c r="AC33" s="389">
        <f t="shared" si="15"/>
        <v>-3</v>
      </c>
      <c r="AD33" s="389">
        <f t="shared" si="16"/>
        <v>3</v>
      </c>
      <c r="AE33" s="389">
        <f t="shared" si="17"/>
        <v>3</v>
      </c>
      <c r="AG33" s="311" t="str">
        <f t="shared" si="18"/>
        <v>Adult Male Mini Soccer-</v>
      </c>
      <c r="AH33" s="453">
        <f t="shared" si="19"/>
        <v>3</v>
      </c>
      <c r="AI33" s="453">
        <f t="shared" si="20"/>
        <v>3</v>
      </c>
      <c r="AJ33" t="str">
        <f t="array" ref="AJ33">IF(AND(AI33&gt;1,G33&lt;&gt;""),INDEX(FS_teams,MATCH(1,(FS_Keys=AG33)*(FS_Points=I33)*(FS_teams&lt;&gt;G33),0)),"")</f>
        <v>AD M - PER</v>
      </c>
      <c r="AK33" s="390">
        <f t="array" ref="AK33">IF(AJ33&lt;&gt;"",INDEX(TM_Score1,MATCH(1,(TM_Events=D33)*(TM_Participant1=G33)*(TM_Participant2=AJ33),0)),"")</f>
        <v>0</v>
      </c>
      <c r="AL33" s="390" t="e">
        <f t="array" ref="AL33">IF(AJ33&lt;&gt;"",INDEX(TM_Score1,MATCH(1,(TM_Events=D33)*(TM_Participant1=AJ33)*(TM_Participant2=G33),0)),"")</f>
        <v>#N/A</v>
      </c>
      <c r="AM33" s="389">
        <f t="array" ref="AM33">IF(ISNUMBER(AK33),INDEX(TM_Score2,MATCH(1,(TM_Events=D33)*(TM_Participant1=G33)*(TM_Participant2=AJ33),0)),"")</f>
        <v>2</v>
      </c>
      <c r="AN33" s="389" t="str">
        <f t="array" ref="AN33">IF(ISNUMBER(AL33),INDEX(TM_Score2,MATCH(1,(TM_Events=D33)*(TM_Participant1=AJ33)*(TM_Participant2=G33),0)),"")</f>
        <v/>
      </c>
      <c r="AO33" s="389" t="str">
        <f t="shared" si="21"/>
        <v>Loss</v>
      </c>
      <c r="AP33" s="389">
        <f t="shared" si="28"/>
        <v>1</v>
      </c>
      <c r="AQ33" s="389">
        <f t="shared" si="22"/>
        <v>0</v>
      </c>
      <c r="AR33" s="389">
        <f t="shared" si="23"/>
        <v>3</v>
      </c>
      <c r="AS33" s="453">
        <f t="shared" si="24"/>
        <v>-4</v>
      </c>
      <c r="AT33" s="452">
        <f t="shared" si="25"/>
        <v>4</v>
      </c>
    </row>
    <row r="34" spans="1:46" ht="16" x14ac:dyDescent="0.2">
      <c r="A34" s="298"/>
      <c r="B34"/>
      <c r="D34" s="303" t="s">
        <v>81</v>
      </c>
      <c r="E34" s="396"/>
      <c r="F34" s="387">
        <v>1</v>
      </c>
      <c r="G34" s="397" t="s">
        <v>542</v>
      </c>
      <c r="H34" s="387" t="str">
        <f t="shared" si="0"/>
        <v>0-0-0</v>
      </c>
      <c r="I34" s="389">
        <f t="shared" si="1"/>
        <v>0</v>
      </c>
      <c r="J34" s="455" t="str">
        <f t="shared" si="2"/>
        <v/>
      </c>
      <c r="K34" s="455" t="str">
        <f t="shared" si="3"/>
        <v/>
      </c>
      <c r="L34" s="455" t="str">
        <f t="shared" si="26"/>
        <v/>
      </c>
      <c r="M34" s="389" t="str">
        <f>IFERROR(IF(AD34&lt;=VLOOKUP(D34,Tournaments!$A$1:$B$1772,2,FALSE),"TRUE","FALSE"),"")</f>
        <v>FALSE</v>
      </c>
      <c r="N34" s="389">
        <v>1</v>
      </c>
      <c r="O34" s="389">
        <f t="shared" si="4"/>
        <v>6</v>
      </c>
      <c r="Q34" s="389">
        <f t="shared" si="5"/>
        <v>0</v>
      </c>
      <c r="R34" s="389">
        <f t="shared" si="6"/>
        <v>0</v>
      </c>
      <c r="S34" s="389">
        <f t="shared" si="7"/>
        <v>0</v>
      </c>
      <c r="U34" s="389">
        <f t="shared" si="8"/>
        <v>6</v>
      </c>
      <c r="V34" s="389" t="b">
        <f t="shared" si="9"/>
        <v>0</v>
      </c>
      <c r="W34" s="389">
        <f t="shared" si="10"/>
        <v>-6</v>
      </c>
      <c r="X34" s="389">
        <f t="shared" si="11"/>
        <v>6</v>
      </c>
      <c r="Y34" s="389" t="b">
        <f t="shared" si="27"/>
        <v>0</v>
      </c>
      <c r="Z34" s="389">
        <f t="shared" si="12"/>
        <v>-6</v>
      </c>
      <c r="AA34" s="389">
        <f t="shared" si="13"/>
        <v>6</v>
      </c>
      <c r="AB34" s="389" t="b">
        <f t="shared" si="14"/>
        <v>0</v>
      </c>
      <c r="AC34" s="389">
        <f t="shared" si="15"/>
        <v>-6</v>
      </c>
      <c r="AD34" s="389">
        <f t="shared" si="16"/>
        <v>6</v>
      </c>
      <c r="AE34" s="389">
        <f t="shared" si="17"/>
        <v>1</v>
      </c>
      <c r="AG34" s="311" t="str">
        <f t="shared" si="18"/>
        <v>Adult Male Mini Soccer-</v>
      </c>
      <c r="AH34" s="453">
        <f t="shared" si="19"/>
        <v>6</v>
      </c>
      <c r="AI34" s="453">
        <f t="shared" si="20"/>
        <v>1</v>
      </c>
      <c r="AJ34" t="str">
        <f t="array" ref="AJ34">IF(AND(AI34&gt;1,G34&lt;&gt;""),INDEX(FS_teams,MATCH(1,(FS_Keys=AG34)*(FS_Points=I34)*(FS_teams&lt;&gt;G34),0)),"")</f>
        <v/>
      </c>
      <c r="AK34" s="390" t="str">
        <f t="array" ref="AK34">IF(AJ34&lt;&gt;"",INDEX(TM_Score1,MATCH(1,(TM_Events=D34)*(TM_Participant1=G34)*(TM_Participant2=AJ34),0)),"")</f>
        <v/>
      </c>
      <c r="AL34" s="390" t="str">
        <f t="array" ref="AL34">IF(AJ34&lt;&gt;"",INDEX(TM_Score1,MATCH(1,(TM_Events=D34)*(TM_Participant1=AJ34)*(TM_Participant2=G34),0)),"")</f>
        <v/>
      </c>
      <c r="AM34" s="389" t="str">
        <f t="array" ref="AM34">IF(ISNUMBER(AK34),INDEX(TM_Score2,MATCH(1,(TM_Events=D34)*(TM_Participant1=G34)*(TM_Participant2=AJ34),0)),"")</f>
        <v/>
      </c>
      <c r="AN34" s="389" t="str">
        <f t="array" ref="AN34">IF(ISNUMBER(AL34),INDEX(TM_Score2,MATCH(1,(TM_Events=D34)*(TM_Participant1=AJ34)*(TM_Participant2=G34),0)),"")</f>
        <v/>
      </c>
      <c r="AO34" s="389" t="str">
        <f t="shared" si="21"/>
        <v/>
      </c>
      <c r="AP34" s="389">
        <f t="shared" si="28"/>
        <v>0</v>
      </c>
      <c r="AQ34" s="389">
        <f t="shared" si="22"/>
        <v>0</v>
      </c>
      <c r="AR34" s="389">
        <f t="shared" si="23"/>
        <v>0</v>
      </c>
      <c r="AS34" s="453">
        <f t="shared" si="24"/>
        <v>0</v>
      </c>
      <c r="AT34" s="452">
        <f t="shared" si="25"/>
        <v>0</v>
      </c>
    </row>
    <row r="35" spans="1:46" s="333" customFormat="1" ht="16" x14ac:dyDescent="0.2">
      <c r="A35" s="367"/>
      <c r="D35" s="368" t="s">
        <v>81</v>
      </c>
      <c r="E35" s="399"/>
      <c r="F35" s="400">
        <v>1</v>
      </c>
      <c r="G35" s="401" t="s">
        <v>541</v>
      </c>
      <c r="H35" s="400" t="str">
        <f t="shared" si="0"/>
        <v>1-4-0</v>
      </c>
      <c r="I35" s="389">
        <f t="shared" si="1"/>
        <v>2</v>
      </c>
      <c r="J35" s="455">
        <f t="shared" si="2"/>
        <v>1</v>
      </c>
      <c r="K35" s="455">
        <f t="shared" si="3"/>
        <v>-5</v>
      </c>
      <c r="L35" s="455" t="str">
        <f t="shared" si="26"/>
        <v/>
      </c>
      <c r="M35" s="402" t="str">
        <f>IFERROR(IF(AD35&lt;=VLOOKUP(D35,Tournaments!$A$1:$B$1772,2,FALSE),"TRUE","FALSE"),"")</f>
        <v>TRUE</v>
      </c>
      <c r="N35" s="402">
        <v>1</v>
      </c>
      <c r="O35" s="402">
        <f t="shared" si="4"/>
        <v>4</v>
      </c>
      <c r="P35" s="403"/>
      <c r="Q35" s="402">
        <f t="shared" si="5"/>
        <v>1</v>
      </c>
      <c r="R35" s="402">
        <f t="shared" si="6"/>
        <v>4</v>
      </c>
      <c r="S35" s="402">
        <f t="shared" si="7"/>
        <v>0</v>
      </c>
      <c r="T35" s="402"/>
      <c r="U35" s="402">
        <f t="shared" si="8"/>
        <v>5</v>
      </c>
      <c r="V35" s="402">
        <f t="shared" si="9"/>
        <v>2.5000000000000001E-3</v>
      </c>
      <c r="W35" s="402">
        <f t="shared" si="10"/>
        <v>-4.9974999999999996</v>
      </c>
      <c r="X35" s="402">
        <f t="shared" si="11"/>
        <v>5</v>
      </c>
      <c r="Y35" s="402">
        <f t="shared" si="27"/>
        <v>6.4000000000000003E-3</v>
      </c>
      <c r="Z35" s="402">
        <f t="shared" si="12"/>
        <v>-4.9935999999999998</v>
      </c>
      <c r="AA35" s="402">
        <f t="shared" si="13"/>
        <v>4</v>
      </c>
      <c r="AB35" s="402" t="b">
        <f t="shared" si="14"/>
        <v>0</v>
      </c>
      <c r="AC35" s="402">
        <f t="shared" si="15"/>
        <v>-4</v>
      </c>
      <c r="AD35" s="402">
        <f t="shared" si="16"/>
        <v>4</v>
      </c>
      <c r="AE35" s="402">
        <f t="shared" si="17"/>
        <v>3</v>
      </c>
      <c r="AG35" s="369" t="str">
        <f t="shared" si="18"/>
        <v>Adult Male Mini Soccer-</v>
      </c>
      <c r="AH35" s="402">
        <f t="shared" si="19"/>
        <v>3</v>
      </c>
      <c r="AI35" s="402">
        <f t="shared" si="20"/>
        <v>3</v>
      </c>
      <c r="AJ35" s="333" t="str">
        <f t="array" ref="AJ35">IF(AND(AI35&gt;1,G35&lt;&gt;""),INDEX(FS_teams,MATCH(1,(FS_Keys=AG35)*(FS_Points=I35)*(FS_teams&lt;&gt;G35),0)),"")</f>
        <v>AD M - PER</v>
      </c>
      <c r="AK35" s="406" t="e">
        <f t="array" ref="AK35">IF(AJ35&lt;&gt;"",INDEX(TM_Score1,MATCH(1,(TM_Events=D35)*(TM_Participant1=G35)*(TM_Participant2=AJ35),0)),"")</f>
        <v>#N/A</v>
      </c>
      <c r="AL35" s="406">
        <f t="array" ref="AL35">IF(AJ35&lt;&gt;"",INDEX(TM_Score1,MATCH(1,(TM_Events=D35)*(TM_Participant1=AJ35)*(TM_Participant2=G35),0)),"")</f>
        <v>1</v>
      </c>
      <c r="AM35" s="402" t="str">
        <f t="array" ref="AM35">IF(ISNUMBER(AK35),INDEX(TM_Score2,MATCH(1,(TM_Events=D35)*(TM_Participant1=G35)*(TM_Participant2=AJ35),0)),"")</f>
        <v/>
      </c>
      <c r="AN35" s="402">
        <f t="array" ref="AN35">IF(ISNUMBER(AL35),INDEX(TM_Score2,MATCH(1,(TM_Events=D35)*(TM_Participant1=AJ35)*(TM_Participant2=G35),0)),"")</f>
        <v>5</v>
      </c>
      <c r="AO35" s="402" t="str">
        <f t="shared" si="21"/>
        <v>Win</v>
      </c>
      <c r="AP35" s="402">
        <f t="shared" si="28"/>
        <v>1</v>
      </c>
      <c r="AQ35" s="402">
        <f t="shared" si="22"/>
        <v>0</v>
      </c>
      <c r="AR35" s="402">
        <f t="shared" si="23"/>
        <v>4</v>
      </c>
      <c r="AS35" s="453">
        <f t="shared" si="24"/>
        <v>-5</v>
      </c>
      <c r="AT35" s="452">
        <f t="shared" si="25"/>
        <v>8</v>
      </c>
    </row>
    <row r="36" spans="1:46" ht="16" x14ac:dyDescent="0.2">
      <c r="A36" s="298"/>
      <c r="B36"/>
      <c r="D36" s="303" t="s">
        <v>86</v>
      </c>
      <c r="E36" s="396"/>
      <c r="F36" s="387">
        <v>1</v>
      </c>
      <c r="G36" s="397" t="s">
        <v>539</v>
      </c>
      <c r="H36" s="387" t="str">
        <f t="shared" si="0"/>
        <v>5-0-0</v>
      </c>
      <c r="I36" s="389">
        <f t="shared" si="1"/>
        <v>10</v>
      </c>
      <c r="J36" s="455" t="str">
        <f t="shared" si="2"/>
        <v/>
      </c>
      <c r="K36" s="455" t="str">
        <f t="shared" si="3"/>
        <v/>
      </c>
      <c r="L36" s="455" t="str">
        <f t="shared" si="26"/>
        <v/>
      </c>
      <c r="M36" s="389" t="str">
        <f>IFERROR(IF(AD36&lt;=VLOOKUP(D36,Tournaments!$A$1:$B$1772,2,FALSE),"TRUE","FALSE"),"")</f>
        <v>TRUE</v>
      </c>
      <c r="N36" s="389">
        <v>1</v>
      </c>
      <c r="O36" s="389">
        <f t="shared" si="4"/>
        <v>1</v>
      </c>
      <c r="Q36" s="389">
        <f t="shared" si="5"/>
        <v>5</v>
      </c>
      <c r="R36" s="389">
        <f t="shared" si="6"/>
        <v>0</v>
      </c>
      <c r="S36" s="389">
        <f t="shared" si="7"/>
        <v>0</v>
      </c>
      <c r="U36" s="389">
        <f t="shared" si="8"/>
        <v>1</v>
      </c>
      <c r="V36" s="389" t="b">
        <f t="shared" si="9"/>
        <v>0</v>
      </c>
      <c r="W36" s="389">
        <f t="shared" si="10"/>
        <v>-1</v>
      </c>
      <c r="X36" s="389">
        <f t="shared" si="11"/>
        <v>1</v>
      </c>
      <c r="Y36" s="389" t="b">
        <f t="shared" si="27"/>
        <v>0</v>
      </c>
      <c r="Z36" s="389">
        <f t="shared" si="12"/>
        <v>-1</v>
      </c>
      <c r="AA36" s="389">
        <f t="shared" si="13"/>
        <v>1</v>
      </c>
      <c r="AB36" s="389" t="b">
        <f t="shared" si="14"/>
        <v>0</v>
      </c>
      <c r="AC36" s="389">
        <f t="shared" si="15"/>
        <v>-1</v>
      </c>
      <c r="AD36" s="389">
        <f t="shared" si="16"/>
        <v>1</v>
      </c>
      <c r="AE36" s="389">
        <f t="shared" si="17"/>
        <v>1</v>
      </c>
      <c r="AG36" s="311" t="str">
        <f t="shared" si="18"/>
        <v>Adult Male Volleyball-</v>
      </c>
      <c r="AH36" s="453">
        <f t="shared" si="19"/>
        <v>1</v>
      </c>
      <c r="AI36" s="453">
        <f t="shared" si="20"/>
        <v>1</v>
      </c>
      <c r="AJ36" t="str">
        <f t="array" ref="AJ36">IF(AND(AI36&gt;1,G36&lt;&gt;""),INDEX(FS_teams,MATCH(1,(FS_Keys=AG36)*(FS_Points=I36)*(FS_teams&lt;&gt;G36),0)),"")</f>
        <v/>
      </c>
      <c r="AK36" s="390" t="str">
        <f t="array" ref="AK36">IF(AJ36&lt;&gt;"",INDEX(TM_Score1,MATCH(1,(TM_Events=D36)*(TM_Participant1=G36)*(TM_Participant2=AJ36),0)),"")</f>
        <v/>
      </c>
      <c r="AL36" s="390" t="str">
        <f t="array" ref="AL36">IF(AJ36&lt;&gt;"",INDEX(TM_Score1,MATCH(1,(TM_Events=D36)*(TM_Participant1=AJ36)*(TM_Participant2=G36),0)),"")</f>
        <v/>
      </c>
      <c r="AM36" s="389" t="str">
        <f t="array" ref="AM36">IF(ISNUMBER(AK36),INDEX(TM_Score2,MATCH(1,(TM_Events=D36)*(TM_Participant1=G36)*(TM_Participant2=AJ36),0)),"")</f>
        <v/>
      </c>
      <c r="AN36" s="389" t="str">
        <f t="array" ref="AN36">IF(ISNUMBER(AL36),INDEX(TM_Score2,MATCH(1,(TM_Events=D36)*(TM_Participant1=AJ36)*(TM_Participant2=G36),0)),"")</f>
        <v/>
      </c>
      <c r="AO36" s="389" t="str">
        <f t="shared" si="21"/>
        <v/>
      </c>
      <c r="AP36" s="389">
        <f t="shared" si="28"/>
        <v>5</v>
      </c>
      <c r="AQ36" s="389">
        <f t="shared" si="22"/>
        <v>0</v>
      </c>
      <c r="AR36" s="389">
        <f t="shared" si="23"/>
        <v>0</v>
      </c>
      <c r="AS36" s="453">
        <f t="shared" si="24"/>
        <v>9</v>
      </c>
      <c r="AT36" s="452">
        <f t="shared" si="25"/>
        <v>10</v>
      </c>
    </row>
    <row r="37" spans="1:46" ht="16" x14ac:dyDescent="0.2">
      <c r="A37" s="298"/>
      <c r="B37"/>
      <c r="D37" s="303" t="s">
        <v>86</v>
      </c>
      <c r="E37" s="396"/>
      <c r="F37" s="387">
        <v>1</v>
      </c>
      <c r="G37" s="397" t="s">
        <v>541</v>
      </c>
      <c r="H37" s="387" t="str">
        <f t="shared" si="0"/>
        <v>2-2-0</v>
      </c>
      <c r="I37" s="389">
        <f t="shared" si="1"/>
        <v>4</v>
      </c>
      <c r="J37" s="455">
        <f t="shared" si="2"/>
        <v>1</v>
      </c>
      <c r="K37" s="455">
        <f t="shared" si="3"/>
        <v>-1</v>
      </c>
      <c r="L37" s="455">
        <f t="shared" si="26"/>
        <v>4</v>
      </c>
      <c r="M37" s="389" t="str">
        <f>IFERROR(IF(AD37&lt;=VLOOKUP(D37,Tournaments!$A$1:$B$1772,2,FALSE),"TRUE","FALSE"),"")</f>
        <v>FALSE</v>
      </c>
      <c r="N37" s="389">
        <v>1</v>
      </c>
      <c r="O37" s="389">
        <f t="shared" si="4"/>
        <v>4</v>
      </c>
      <c r="Q37" s="389">
        <f t="shared" si="5"/>
        <v>2</v>
      </c>
      <c r="R37" s="389">
        <f t="shared" si="6"/>
        <v>2</v>
      </c>
      <c r="S37" s="389">
        <f t="shared" si="7"/>
        <v>0</v>
      </c>
      <c r="U37" s="389">
        <f t="shared" si="8"/>
        <v>4</v>
      </c>
      <c r="V37" s="389">
        <f t="shared" si="9"/>
        <v>2.5000000000000001E-3</v>
      </c>
      <c r="W37" s="389">
        <f t="shared" si="10"/>
        <v>-3.9975000000000001</v>
      </c>
      <c r="X37" s="389">
        <f t="shared" si="11"/>
        <v>4</v>
      </c>
      <c r="Y37" s="389">
        <f t="shared" si="27"/>
        <v>9.7999999999999997E-3</v>
      </c>
      <c r="Z37" s="389">
        <f t="shared" si="12"/>
        <v>-3.9902000000000002</v>
      </c>
      <c r="AA37" s="389">
        <f t="shared" si="13"/>
        <v>4</v>
      </c>
      <c r="AB37" s="389">
        <f t="shared" si="14"/>
        <v>5.8400000000000001E-2</v>
      </c>
      <c r="AC37" s="389">
        <f t="shared" si="15"/>
        <v>-3.9416000000000002</v>
      </c>
      <c r="AD37" s="389">
        <f t="shared" si="16"/>
        <v>4</v>
      </c>
      <c r="AE37" s="389">
        <f t="shared" si="17"/>
        <v>3</v>
      </c>
      <c r="AG37" s="311" t="str">
        <f t="shared" si="18"/>
        <v>Adult Male Volleyball-</v>
      </c>
      <c r="AH37" s="453">
        <f t="shared" si="19"/>
        <v>2</v>
      </c>
      <c r="AI37" s="453">
        <f t="shared" si="20"/>
        <v>3</v>
      </c>
      <c r="AJ37" t="str">
        <f t="array" ref="AJ37">IF(AND(AI37&gt;1,G37&lt;&gt;""),INDEX(FS_teams,MATCH(1,(FS_Keys=AG37)*(FS_Points=I37)*(FS_teams&lt;&gt;G37),0)),"")</f>
        <v>AD M - VEN 1</v>
      </c>
      <c r="AK37" s="390">
        <f t="array" ref="AK37">IF(AJ37&lt;&gt;"",INDEX(TM_Score1,MATCH(1,(TM_Events=D37)*(TM_Participant1=G37)*(TM_Participant2=AJ37),0)),"")</f>
        <v>0</v>
      </c>
      <c r="AL37" s="390" t="e">
        <f t="array" ref="AL37">IF(AJ37&lt;&gt;"",INDEX(TM_Score1,MATCH(1,(TM_Events=D37)*(TM_Participant1=AJ37)*(TM_Participant2=G37),0)),"")</f>
        <v>#N/A</v>
      </c>
      <c r="AM37" s="389">
        <f t="array" ref="AM37">IF(ISNUMBER(AK37),INDEX(TM_Score2,MATCH(1,(TM_Events=D37)*(TM_Participant1=G37)*(TM_Participant2=AJ37),0)),"")</f>
        <v>2</v>
      </c>
      <c r="AN37" s="389" t="str">
        <f t="array" ref="AN37">IF(ISNUMBER(AL37),INDEX(TM_Score2,MATCH(1,(TM_Events=D37)*(TM_Participant1=AJ37)*(TM_Participant2=G37),0)),"")</f>
        <v/>
      </c>
      <c r="AO37" s="389" t="str">
        <f t="shared" si="21"/>
        <v>Loss</v>
      </c>
      <c r="AP37" s="389">
        <f t="shared" si="28"/>
        <v>2</v>
      </c>
      <c r="AQ37" s="389">
        <f t="shared" si="22"/>
        <v>0</v>
      </c>
      <c r="AR37" s="389">
        <f t="shared" si="23"/>
        <v>2</v>
      </c>
      <c r="AS37" s="453">
        <f t="shared" si="24"/>
        <v>-1</v>
      </c>
      <c r="AT37" s="452">
        <f t="shared" si="25"/>
        <v>4</v>
      </c>
    </row>
    <row r="38" spans="1:46" ht="16" x14ac:dyDescent="0.2">
      <c r="A38" s="298"/>
      <c r="B38"/>
      <c r="D38" s="303" t="s">
        <v>86</v>
      </c>
      <c r="E38" s="396"/>
      <c r="F38" s="387">
        <v>1</v>
      </c>
      <c r="G38" s="397" t="s">
        <v>533</v>
      </c>
      <c r="H38" s="387" t="str">
        <f t="shared" si="0"/>
        <v>0-0-0</v>
      </c>
      <c r="I38" s="389">
        <f t="shared" si="1"/>
        <v>0</v>
      </c>
      <c r="J38" s="455" t="str">
        <f t="shared" si="2"/>
        <v/>
      </c>
      <c r="K38" s="455" t="str">
        <f t="shared" si="3"/>
        <v/>
      </c>
      <c r="L38" s="455" t="str">
        <f t="shared" si="26"/>
        <v/>
      </c>
      <c r="M38" s="389" t="str">
        <f>IFERROR(IF(AD38&lt;=VLOOKUP(D38,Tournaments!$A$1:$B$1772,2,FALSE),"TRUE","FALSE"),"")</f>
        <v>FALSE</v>
      </c>
      <c r="N38" s="389">
        <v>1</v>
      </c>
      <c r="O38" s="389">
        <f t="shared" si="4"/>
        <v>6</v>
      </c>
      <c r="Q38" s="389">
        <f t="shared" si="5"/>
        <v>0</v>
      </c>
      <c r="R38" s="389">
        <f t="shared" si="6"/>
        <v>0</v>
      </c>
      <c r="S38" s="389">
        <f t="shared" si="7"/>
        <v>0</v>
      </c>
      <c r="U38" s="389">
        <f t="shared" si="8"/>
        <v>6</v>
      </c>
      <c r="V38" s="389" t="b">
        <f t="shared" si="9"/>
        <v>0</v>
      </c>
      <c r="W38" s="389">
        <f t="shared" si="10"/>
        <v>-6</v>
      </c>
      <c r="X38" s="389">
        <f t="shared" si="11"/>
        <v>6</v>
      </c>
      <c r="Y38" s="389" t="b">
        <f t="shared" si="27"/>
        <v>0</v>
      </c>
      <c r="Z38" s="389">
        <f t="shared" si="12"/>
        <v>-6</v>
      </c>
      <c r="AA38" s="389">
        <f t="shared" si="13"/>
        <v>6</v>
      </c>
      <c r="AB38" s="389" t="b">
        <f t="shared" si="14"/>
        <v>0</v>
      </c>
      <c r="AC38" s="389">
        <f t="shared" si="15"/>
        <v>-6</v>
      </c>
      <c r="AD38" s="389">
        <f t="shared" si="16"/>
        <v>6</v>
      </c>
      <c r="AE38" s="389">
        <f t="shared" si="17"/>
        <v>1</v>
      </c>
      <c r="AG38" s="311" t="str">
        <f t="shared" si="18"/>
        <v>Adult Male Volleyball-</v>
      </c>
      <c r="AH38" s="453">
        <f t="shared" si="19"/>
        <v>5</v>
      </c>
      <c r="AI38" s="453">
        <f t="shared" si="20"/>
        <v>2</v>
      </c>
      <c r="AJ38" t="str">
        <f t="array" ref="AJ38">IF(AND(AI38&gt;1,G38&lt;&gt;""),INDEX(FS_teams,MATCH(1,(FS_Keys=AG38)*(FS_Points=I38)*(FS_teams&lt;&gt;G38),0)),"")</f>
        <v>AD M - COL 1</v>
      </c>
      <c r="AK38" s="390" t="e">
        <f t="array" ref="AK38">IF(AJ38&lt;&gt;"",INDEX(TM_Score1,MATCH(1,(TM_Events=D38)*(TM_Participant1=G38)*(TM_Participant2=AJ38),0)),"")</f>
        <v>#N/A</v>
      </c>
      <c r="AL38" s="390" t="e">
        <f t="array" ref="AL38">IF(AJ38&lt;&gt;"",INDEX(TM_Score1,MATCH(1,(TM_Events=D38)*(TM_Participant1=AJ38)*(TM_Participant2=G38),0)),"")</f>
        <v>#N/A</v>
      </c>
      <c r="AM38" s="389" t="str">
        <f t="array" ref="AM38">IF(ISNUMBER(AK38),INDEX(TM_Score2,MATCH(1,(TM_Events=D38)*(TM_Participant1=G38)*(TM_Participant2=AJ38),0)),"")</f>
        <v/>
      </c>
      <c r="AN38" s="389" t="str">
        <f t="array" ref="AN38">IF(ISNUMBER(AL38),INDEX(TM_Score2,MATCH(1,(TM_Events=D38)*(TM_Participant1=AJ38)*(TM_Participant2=G38),0)),"")</f>
        <v/>
      </c>
      <c r="AO38" s="389" t="str">
        <f t="shared" si="21"/>
        <v>did not play</v>
      </c>
      <c r="AP38" s="389">
        <f t="shared" si="28"/>
        <v>0</v>
      </c>
      <c r="AQ38" s="389">
        <f t="shared" si="22"/>
        <v>0</v>
      </c>
      <c r="AR38" s="389">
        <f t="shared" si="23"/>
        <v>0</v>
      </c>
      <c r="AS38" s="453">
        <f t="shared" si="24"/>
        <v>0</v>
      </c>
      <c r="AT38" s="452">
        <f t="shared" si="25"/>
        <v>0</v>
      </c>
    </row>
    <row r="39" spans="1:46" ht="16" x14ac:dyDescent="0.2">
      <c r="A39" s="298"/>
      <c r="B39"/>
      <c r="D39" s="303" t="s">
        <v>86</v>
      </c>
      <c r="E39" s="396"/>
      <c r="F39" s="387">
        <v>1</v>
      </c>
      <c r="G39" s="397" t="s">
        <v>536</v>
      </c>
      <c r="H39" s="387" t="str">
        <f t="shared" si="0"/>
        <v>0-4-0</v>
      </c>
      <c r="I39" s="389">
        <f t="shared" si="1"/>
        <v>0</v>
      </c>
      <c r="J39" s="455">
        <f t="shared" si="2"/>
        <v>1</v>
      </c>
      <c r="K39" s="455" t="str">
        <f t="shared" si="3"/>
        <v/>
      </c>
      <c r="L39" s="455" t="str">
        <f t="shared" si="26"/>
        <v/>
      </c>
      <c r="M39" s="389" t="str">
        <f>IFERROR(IF(AD39&lt;=VLOOKUP(D39,Tournaments!$A$1:$B$1772,2,FALSE),"TRUE","FALSE"),"")</f>
        <v>FALSE</v>
      </c>
      <c r="N39" s="389">
        <v>1</v>
      </c>
      <c r="O39" s="389">
        <f t="shared" si="4"/>
        <v>5</v>
      </c>
      <c r="Q39" s="389">
        <f t="shared" si="5"/>
        <v>0</v>
      </c>
      <c r="R39" s="389">
        <f t="shared" si="6"/>
        <v>4</v>
      </c>
      <c r="S39" s="389">
        <f t="shared" si="7"/>
        <v>0</v>
      </c>
      <c r="U39" s="389">
        <f t="shared" si="8"/>
        <v>6</v>
      </c>
      <c r="V39" s="389">
        <f t="shared" si="9"/>
        <v>2.5000000000000001E-3</v>
      </c>
      <c r="W39" s="389">
        <f t="shared" si="10"/>
        <v>-5.9974999999999996</v>
      </c>
      <c r="X39" s="389">
        <f t="shared" si="11"/>
        <v>5</v>
      </c>
      <c r="Y39" s="389" t="b">
        <f t="shared" si="27"/>
        <v>0</v>
      </c>
      <c r="Z39" s="389">
        <f t="shared" si="12"/>
        <v>-5</v>
      </c>
      <c r="AA39" s="389">
        <f t="shared" si="13"/>
        <v>5</v>
      </c>
      <c r="AB39" s="389" t="b">
        <f t="shared" si="14"/>
        <v>0</v>
      </c>
      <c r="AC39" s="389">
        <f t="shared" si="15"/>
        <v>-5</v>
      </c>
      <c r="AD39" s="389">
        <f t="shared" si="16"/>
        <v>5</v>
      </c>
      <c r="AE39" s="389">
        <f t="shared" si="17"/>
        <v>1</v>
      </c>
      <c r="AG39" s="311" t="str">
        <f t="shared" si="18"/>
        <v>Adult Male Volleyball-</v>
      </c>
      <c r="AH39" s="453">
        <f t="shared" si="19"/>
        <v>5</v>
      </c>
      <c r="AI39" s="453">
        <f t="shared" si="20"/>
        <v>2</v>
      </c>
      <c r="AJ39" t="str">
        <f t="array" ref="AJ39">IF(AND(AI39&gt;1,G39&lt;&gt;""),INDEX(FS_teams,MATCH(1,(FS_Keys=AG39)*(FS_Points=I39)*(FS_teams&lt;&gt;G39),0)),"")</f>
        <v>AD M - ARG 1</v>
      </c>
      <c r="AK39" s="390" t="e">
        <f t="array" ref="AK39">IF(AJ39&lt;&gt;"",INDEX(TM_Score1,MATCH(1,(TM_Events=D39)*(TM_Participant1=G39)*(TM_Participant2=AJ39),0)),"")</f>
        <v>#N/A</v>
      </c>
      <c r="AL39" s="390" t="e">
        <f t="array" ref="AL39">IF(AJ39&lt;&gt;"",INDEX(TM_Score1,MATCH(1,(TM_Events=D39)*(TM_Participant1=AJ39)*(TM_Participant2=G39),0)),"")</f>
        <v>#N/A</v>
      </c>
      <c r="AM39" s="389" t="str">
        <f t="array" ref="AM39">IF(ISNUMBER(AK39),INDEX(TM_Score2,MATCH(1,(TM_Events=D39)*(TM_Participant1=G39)*(TM_Participant2=AJ39),0)),"")</f>
        <v/>
      </c>
      <c r="AN39" s="389" t="str">
        <f t="array" ref="AN39">IF(ISNUMBER(AL39),INDEX(TM_Score2,MATCH(1,(TM_Events=D39)*(TM_Participant1=AJ39)*(TM_Participant2=G39),0)),"")</f>
        <v/>
      </c>
      <c r="AO39" s="389" t="str">
        <f t="shared" si="21"/>
        <v>did not play</v>
      </c>
      <c r="AP39" s="389">
        <f t="shared" si="28"/>
        <v>0</v>
      </c>
      <c r="AQ39" s="389">
        <f t="shared" si="22"/>
        <v>0</v>
      </c>
      <c r="AR39" s="389">
        <f t="shared" si="23"/>
        <v>4</v>
      </c>
      <c r="AS39" s="453">
        <f t="shared" si="24"/>
        <v>-6</v>
      </c>
      <c r="AT39" s="452">
        <f t="shared" si="25"/>
        <v>2</v>
      </c>
    </row>
    <row r="40" spans="1:46" ht="16" x14ac:dyDescent="0.2">
      <c r="A40" s="298"/>
      <c r="B40"/>
      <c r="D40" s="303" t="s">
        <v>86</v>
      </c>
      <c r="E40" s="387"/>
      <c r="F40" s="387">
        <v>1</v>
      </c>
      <c r="G40" s="397" t="s">
        <v>542</v>
      </c>
      <c r="H40" s="387" t="str">
        <f t="shared" si="0"/>
        <v>2-3-0</v>
      </c>
      <c r="I40" s="389">
        <f t="shared" si="1"/>
        <v>4</v>
      </c>
      <c r="J40" s="455">
        <f t="shared" si="2"/>
        <v>1</v>
      </c>
      <c r="K40" s="455">
        <f t="shared" si="3"/>
        <v>-1</v>
      </c>
      <c r="L40" s="455">
        <f t="shared" si="26"/>
        <v>6</v>
      </c>
      <c r="M40" s="389" t="str">
        <f>IFERROR(IF(AD40&lt;=VLOOKUP(D40,Tournaments!$A$1:$B$1772,2,FALSE),"TRUE","FALSE"),"")</f>
        <v>TRUE</v>
      </c>
      <c r="N40" s="389">
        <v>1</v>
      </c>
      <c r="O40" s="389">
        <f t="shared" si="4"/>
        <v>2</v>
      </c>
      <c r="Q40" s="389">
        <f t="shared" si="5"/>
        <v>2</v>
      </c>
      <c r="R40" s="389">
        <f t="shared" si="6"/>
        <v>3</v>
      </c>
      <c r="S40" s="389">
        <f t="shared" si="7"/>
        <v>0</v>
      </c>
      <c r="U40" s="389">
        <f t="shared" si="8"/>
        <v>4</v>
      </c>
      <c r="V40" s="389">
        <f t="shared" si="9"/>
        <v>2.5000000000000001E-3</v>
      </c>
      <c r="W40" s="389">
        <f t="shared" si="10"/>
        <v>-3.9975000000000001</v>
      </c>
      <c r="X40" s="389">
        <f t="shared" si="11"/>
        <v>4</v>
      </c>
      <c r="Y40" s="389">
        <f t="shared" si="27"/>
        <v>9.7999999999999997E-3</v>
      </c>
      <c r="Z40" s="389">
        <f t="shared" si="12"/>
        <v>-3.9902000000000002</v>
      </c>
      <c r="AA40" s="389">
        <f t="shared" si="13"/>
        <v>4</v>
      </c>
      <c r="AB40" s="389">
        <f t="shared" si="14"/>
        <v>5.8999999999999997E-2</v>
      </c>
      <c r="AC40" s="389">
        <f t="shared" si="15"/>
        <v>-3.9409999999999998</v>
      </c>
      <c r="AD40" s="389">
        <f t="shared" si="16"/>
        <v>2</v>
      </c>
      <c r="AE40" s="389">
        <f t="shared" si="17"/>
        <v>3</v>
      </c>
      <c r="AG40" s="311" t="str">
        <f t="shared" si="18"/>
        <v>Adult Male Volleyball-</v>
      </c>
      <c r="AH40" s="453">
        <f t="shared" si="19"/>
        <v>2</v>
      </c>
      <c r="AI40" s="453">
        <f t="shared" si="20"/>
        <v>3</v>
      </c>
      <c r="AJ40" t="str">
        <f t="array" ref="AJ40">IF(AND(AI40&gt;1,G40&lt;&gt;""),INDEX(FS_teams,MATCH(1,(FS_Keys=AG40)*(FS_Points=I40)*(FS_teams&lt;&gt;G40),0)),"")</f>
        <v>AD M - ISR 1</v>
      </c>
      <c r="AK40" s="390" t="e">
        <f t="array" ref="AK40">IF(AJ40&lt;&gt;"",INDEX(TM_Score1,MATCH(1,(TM_Events=D40)*(TM_Participant1=G40)*(TM_Participant2=AJ40),0)),"")</f>
        <v>#N/A</v>
      </c>
      <c r="AL40" s="390">
        <f t="array" ref="AL40">IF(AJ40&lt;&gt;"",INDEX(TM_Score1,MATCH(1,(TM_Events=D40)*(TM_Participant1=AJ40)*(TM_Participant2=G40),0)),"")</f>
        <v>0</v>
      </c>
      <c r="AM40" s="389" t="str">
        <f t="array" ref="AM40">IF(ISNUMBER(AK40),INDEX(TM_Score2,MATCH(1,(TM_Events=D40)*(TM_Participant1=G40)*(TM_Participant2=AJ40),0)),"")</f>
        <v/>
      </c>
      <c r="AN40" s="389">
        <f t="array" ref="AN40">IF(ISNUMBER(AL40),INDEX(TM_Score2,MATCH(1,(TM_Events=D40)*(TM_Participant1=AJ40)*(TM_Participant2=G40),0)),"")</f>
        <v>2</v>
      </c>
      <c r="AO40" s="389" t="str">
        <f t="shared" si="21"/>
        <v>Win</v>
      </c>
      <c r="AP40" s="389">
        <f t="shared" si="28"/>
        <v>2</v>
      </c>
      <c r="AQ40" s="389">
        <f t="shared" si="22"/>
        <v>0</v>
      </c>
      <c r="AR40" s="389">
        <f t="shared" si="23"/>
        <v>3</v>
      </c>
      <c r="AS40" s="453">
        <f t="shared" si="24"/>
        <v>-1</v>
      </c>
      <c r="AT40" s="452">
        <f t="shared" si="25"/>
        <v>6</v>
      </c>
    </row>
    <row r="41" spans="1:46" ht="16" x14ac:dyDescent="0.2">
      <c r="A41" s="298"/>
      <c r="B41"/>
      <c r="D41" s="303" t="s">
        <v>86</v>
      </c>
      <c r="E41" s="396"/>
      <c r="F41" s="387">
        <v>1</v>
      </c>
      <c r="G41" s="397" t="s">
        <v>538</v>
      </c>
      <c r="H41" s="387" t="str">
        <f t="shared" si="0"/>
        <v>2-2-0</v>
      </c>
      <c r="I41" s="389">
        <f t="shared" si="1"/>
        <v>4</v>
      </c>
      <c r="J41" s="455">
        <f t="shared" si="2"/>
        <v>1</v>
      </c>
      <c r="K41" s="455">
        <f t="shared" si="3"/>
        <v>-1</v>
      </c>
      <c r="L41" s="455">
        <f t="shared" si="26"/>
        <v>4</v>
      </c>
      <c r="M41" s="389" t="str">
        <f>IFERROR(IF(AD41&lt;=VLOOKUP(D41,Tournaments!$A$1:$B$1772,2,FALSE),"TRUE","FALSE"),"")</f>
        <v>FALSE</v>
      </c>
      <c r="N41" s="389">
        <v>1</v>
      </c>
      <c r="O41" s="389">
        <f t="shared" si="4"/>
        <v>4</v>
      </c>
      <c r="Q41" s="389">
        <f t="shared" si="5"/>
        <v>2</v>
      </c>
      <c r="R41" s="389">
        <f t="shared" si="6"/>
        <v>2</v>
      </c>
      <c r="S41" s="389">
        <f t="shared" si="7"/>
        <v>0</v>
      </c>
      <c r="U41" s="389">
        <f t="shared" si="8"/>
        <v>4</v>
      </c>
      <c r="V41" s="389">
        <f t="shared" si="9"/>
        <v>2.5000000000000001E-3</v>
      </c>
      <c r="W41" s="389">
        <f t="shared" si="10"/>
        <v>-3.9975000000000001</v>
      </c>
      <c r="X41" s="389">
        <f t="shared" si="11"/>
        <v>4</v>
      </c>
      <c r="Y41" s="389">
        <f t="shared" si="27"/>
        <v>9.7999999999999997E-3</v>
      </c>
      <c r="Z41" s="389">
        <f t="shared" si="12"/>
        <v>-3.9902000000000002</v>
      </c>
      <c r="AA41" s="389">
        <f t="shared" si="13"/>
        <v>4</v>
      </c>
      <c r="AB41" s="389">
        <f t="shared" si="14"/>
        <v>5.8400000000000001E-2</v>
      </c>
      <c r="AC41" s="389">
        <f t="shared" si="15"/>
        <v>-3.9416000000000002</v>
      </c>
      <c r="AD41" s="389">
        <f t="shared" si="16"/>
        <v>4</v>
      </c>
      <c r="AE41" s="389">
        <f t="shared" si="17"/>
        <v>3</v>
      </c>
      <c r="AG41" s="311" t="str">
        <f t="shared" si="18"/>
        <v>Adult Male Volleyball-</v>
      </c>
      <c r="AH41" s="453">
        <f t="shared" si="19"/>
        <v>2</v>
      </c>
      <c r="AI41" s="453">
        <f t="shared" si="20"/>
        <v>3</v>
      </c>
      <c r="AJ41" t="str">
        <f t="array" ref="AJ41">IF(AND(AI41&gt;1,G41&lt;&gt;""),INDEX(FS_teams,MATCH(1,(FS_Keys=AG41)*(FS_Points=I41)*(FS_teams&lt;&gt;G41),0)),"")</f>
        <v>AD M - ISR 1</v>
      </c>
      <c r="AK41" s="390">
        <f t="array" ref="AK41">IF(AJ41&lt;&gt;"",INDEX(TM_Score1,MATCH(1,(TM_Events=D41)*(TM_Participant1=G41)*(TM_Participant2=AJ41),0)),"")</f>
        <v>0</v>
      </c>
      <c r="AL41" s="390" t="e">
        <f t="array" ref="AL41">IF(AJ41&lt;&gt;"",INDEX(TM_Score1,MATCH(1,(TM_Events=D41)*(TM_Participant1=AJ41)*(TM_Participant2=G41),0)),"")</f>
        <v>#N/A</v>
      </c>
      <c r="AM41" s="389">
        <f t="array" ref="AM41">IF(ISNUMBER(AK41),INDEX(TM_Score2,MATCH(1,(TM_Events=D41)*(TM_Participant1=G41)*(TM_Participant2=AJ41),0)),"")</f>
        <v>2</v>
      </c>
      <c r="AN41" s="389" t="str">
        <f t="array" ref="AN41">IF(ISNUMBER(AL41),INDEX(TM_Score2,MATCH(1,(TM_Events=D41)*(TM_Participant1=AJ41)*(TM_Participant2=G41),0)),"")</f>
        <v/>
      </c>
      <c r="AO41" s="389" t="str">
        <f t="shared" si="21"/>
        <v>Loss</v>
      </c>
      <c r="AP41" s="389">
        <f t="shared" si="28"/>
        <v>2</v>
      </c>
      <c r="AQ41" s="389">
        <f t="shared" si="22"/>
        <v>0</v>
      </c>
      <c r="AR41" s="389">
        <f t="shared" si="23"/>
        <v>2</v>
      </c>
      <c r="AS41" s="453">
        <f t="shared" si="24"/>
        <v>-1</v>
      </c>
      <c r="AT41" s="452">
        <f t="shared" si="25"/>
        <v>4</v>
      </c>
    </row>
    <row r="42" spans="1:46" s="333" customFormat="1" ht="16" x14ac:dyDescent="0.2">
      <c r="A42" s="367"/>
      <c r="D42" s="368" t="s">
        <v>31</v>
      </c>
      <c r="E42" s="399"/>
      <c r="F42" s="400">
        <v>1</v>
      </c>
      <c r="G42" s="401" t="s">
        <v>548</v>
      </c>
      <c r="H42" s="400" t="str">
        <f t="shared" si="0"/>
        <v>3-0-0</v>
      </c>
      <c r="I42" s="389">
        <f t="shared" si="1"/>
        <v>6</v>
      </c>
      <c r="J42" s="455" t="str">
        <f t="shared" si="2"/>
        <v/>
      </c>
      <c r="K42" s="455" t="str">
        <f t="shared" si="3"/>
        <v/>
      </c>
      <c r="L42" s="455" t="str">
        <f t="shared" si="26"/>
        <v/>
      </c>
      <c r="M42" s="402" t="str">
        <f>IFERROR(IF(AD42&lt;=VLOOKUP(D42,Tournaments!$A$1:$B$1772,2,FALSE),"TRUE","FALSE"),"")</f>
        <v>FALSE</v>
      </c>
      <c r="N42" s="402">
        <v>1</v>
      </c>
      <c r="O42" s="402">
        <f t="shared" si="4"/>
        <v>1</v>
      </c>
      <c r="P42" s="403"/>
      <c r="Q42" s="402">
        <f t="shared" si="5"/>
        <v>3</v>
      </c>
      <c r="R42" s="402">
        <f t="shared" si="6"/>
        <v>0</v>
      </c>
      <c r="S42" s="402">
        <f t="shared" si="7"/>
        <v>0</v>
      </c>
      <c r="T42" s="402"/>
      <c r="U42" s="402">
        <f t="shared" si="8"/>
        <v>1</v>
      </c>
      <c r="V42" s="402" t="b">
        <f t="shared" si="9"/>
        <v>0</v>
      </c>
      <c r="W42" s="402">
        <f t="shared" si="10"/>
        <v>-1</v>
      </c>
      <c r="X42" s="402">
        <f t="shared" si="11"/>
        <v>1</v>
      </c>
      <c r="Y42" s="402" t="b">
        <f t="shared" si="27"/>
        <v>0</v>
      </c>
      <c r="Z42" s="402">
        <f t="shared" si="12"/>
        <v>-1</v>
      </c>
      <c r="AA42" s="402">
        <f t="shared" si="13"/>
        <v>1</v>
      </c>
      <c r="AB42" s="402" t="b">
        <f t="shared" si="14"/>
        <v>0</v>
      </c>
      <c r="AC42" s="402">
        <f t="shared" si="15"/>
        <v>-1</v>
      </c>
      <c r="AD42" s="402">
        <f t="shared" si="16"/>
        <v>1</v>
      </c>
      <c r="AE42" s="402">
        <f t="shared" si="17"/>
        <v>1</v>
      </c>
      <c r="AG42" s="369" t="str">
        <f t="shared" si="18"/>
        <v>Ch A Coed Basketball-</v>
      </c>
      <c r="AH42" s="402">
        <f t="shared" si="19"/>
        <v>1</v>
      </c>
      <c r="AI42" s="402">
        <f t="shared" si="20"/>
        <v>1</v>
      </c>
      <c r="AJ42" s="333" t="str">
        <f t="array" ref="AJ42">IF(AND(AI42&gt;1,G42&lt;&gt;""),INDEX(FS_teams,MATCH(1,(FS_Keys=AG42)*(FS_Points=I42)*(FS_teams&lt;&gt;G42),0)),"")</f>
        <v/>
      </c>
      <c r="AK42" s="406" t="str">
        <f t="array" ref="AK42">IF(AJ42&lt;&gt;"",INDEX(TM_Score1,MATCH(1,(TM_Events=D42)*(TM_Participant1=G42)*(TM_Participant2=AJ42),0)),"")</f>
        <v/>
      </c>
      <c r="AL42" s="406" t="str">
        <f t="array" ref="AL42">IF(AJ42&lt;&gt;"",INDEX(TM_Score1,MATCH(1,(TM_Events=D42)*(TM_Participant1=AJ42)*(TM_Participant2=G42),0)),"")</f>
        <v/>
      </c>
      <c r="AM42" s="402" t="str">
        <f t="array" ref="AM42">IF(ISNUMBER(AK42),INDEX(TM_Score2,MATCH(1,(TM_Events=D42)*(TM_Participant1=G42)*(TM_Participant2=AJ42),0)),"")</f>
        <v/>
      </c>
      <c r="AN42" s="402" t="str">
        <f t="array" ref="AN42">IF(ISNUMBER(AL42),INDEX(TM_Score2,MATCH(1,(TM_Events=D42)*(TM_Participant1=AJ42)*(TM_Participant2=G42),0)),"")</f>
        <v/>
      </c>
      <c r="AO42" s="402" t="str">
        <f t="shared" si="21"/>
        <v/>
      </c>
      <c r="AP42" s="402">
        <f t="shared" si="28"/>
        <v>3</v>
      </c>
      <c r="AQ42" s="402">
        <f t="shared" si="22"/>
        <v>0</v>
      </c>
      <c r="AR42" s="402">
        <f t="shared" si="23"/>
        <v>0</v>
      </c>
      <c r="AS42" s="453">
        <f t="shared" si="24"/>
        <v>41</v>
      </c>
      <c r="AT42" s="452">
        <f t="shared" si="25"/>
        <v>53</v>
      </c>
    </row>
    <row r="43" spans="1:46" ht="16" x14ac:dyDescent="0.2">
      <c r="A43" s="298"/>
      <c r="B43"/>
      <c r="D43" s="303" t="s">
        <v>31</v>
      </c>
      <c r="E43" s="396"/>
      <c r="F43" s="387">
        <v>1</v>
      </c>
      <c r="G43" s="397" t="s">
        <v>545</v>
      </c>
      <c r="H43" s="387" t="str">
        <f t="shared" si="0"/>
        <v>0-3-0</v>
      </c>
      <c r="I43" s="389">
        <f t="shared" si="1"/>
        <v>0</v>
      </c>
      <c r="J43" s="455" t="str">
        <f t="shared" si="2"/>
        <v/>
      </c>
      <c r="K43" s="455" t="str">
        <f t="shared" si="3"/>
        <v/>
      </c>
      <c r="L43" s="455" t="str">
        <f t="shared" si="26"/>
        <v/>
      </c>
      <c r="M43" s="389" t="str">
        <f>IFERROR(IF(AD43&lt;=VLOOKUP(D43,Tournaments!$A$1:$B$1772,2,FALSE),"TRUE","FALSE"),"")</f>
        <v>FALSE</v>
      </c>
      <c r="N43" s="389">
        <v>1</v>
      </c>
      <c r="O43" s="389">
        <f t="shared" si="4"/>
        <v>4</v>
      </c>
      <c r="Q43" s="389">
        <f t="shared" si="5"/>
        <v>0</v>
      </c>
      <c r="R43" s="389">
        <f t="shared" si="6"/>
        <v>3</v>
      </c>
      <c r="S43" s="389">
        <f t="shared" si="7"/>
        <v>0</v>
      </c>
      <c r="U43" s="389">
        <f t="shared" si="8"/>
        <v>4</v>
      </c>
      <c r="V43" s="389" t="b">
        <f t="shared" si="9"/>
        <v>0</v>
      </c>
      <c r="W43" s="389">
        <f t="shared" si="10"/>
        <v>-4</v>
      </c>
      <c r="X43" s="389">
        <f t="shared" si="11"/>
        <v>4</v>
      </c>
      <c r="Y43" s="389" t="b">
        <f t="shared" si="27"/>
        <v>0</v>
      </c>
      <c r="Z43" s="389">
        <f t="shared" si="12"/>
        <v>-4</v>
      </c>
      <c r="AA43" s="389">
        <f t="shared" si="13"/>
        <v>4</v>
      </c>
      <c r="AB43" s="389" t="b">
        <f t="shared" si="14"/>
        <v>0</v>
      </c>
      <c r="AC43" s="389">
        <f t="shared" si="15"/>
        <v>-4</v>
      </c>
      <c r="AD43" s="389">
        <f t="shared" si="16"/>
        <v>4</v>
      </c>
      <c r="AE43" s="389">
        <f t="shared" si="17"/>
        <v>1</v>
      </c>
      <c r="AG43" s="311" t="str">
        <f t="shared" si="18"/>
        <v>Ch A Coed Basketball-</v>
      </c>
      <c r="AH43" s="453">
        <f t="shared" si="19"/>
        <v>4</v>
      </c>
      <c r="AI43" s="453">
        <f t="shared" si="20"/>
        <v>1</v>
      </c>
      <c r="AJ43" t="str">
        <f t="array" ref="AJ43">IF(AND(AI43&gt;1,G43&lt;&gt;""),INDEX(FS_teams,MATCH(1,(FS_Keys=AG43)*(FS_Points=I43)*(FS_teams&lt;&gt;G43),0)),"")</f>
        <v/>
      </c>
      <c r="AK43" s="390" t="str">
        <f t="array" ref="AK43">IF(AJ43&lt;&gt;"",INDEX(TM_Score1,MATCH(1,(TM_Events=D43)*(TM_Participant1=G43)*(TM_Participant2=AJ43),0)),"")</f>
        <v/>
      </c>
      <c r="AL43" s="390" t="str">
        <f t="array" ref="AL43">IF(AJ43&lt;&gt;"",INDEX(TM_Score1,MATCH(1,(TM_Events=D43)*(TM_Participant1=AJ43)*(TM_Participant2=G43),0)),"")</f>
        <v/>
      </c>
      <c r="AM43" s="389" t="str">
        <f t="array" ref="AM43">IF(ISNUMBER(AK43),INDEX(TM_Score2,MATCH(1,(TM_Events=D43)*(TM_Participant1=G43)*(TM_Participant2=AJ43),0)),"")</f>
        <v/>
      </c>
      <c r="AN43" s="389" t="str">
        <f t="array" ref="AN43">IF(ISNUMBER(AL43),INDEX(TM_Score2,MATCH(1,(TM_Events=D43)*(TM_Participant1=AJ43)*(TM_Participant2=G43),0)),"")</f>
        <v/>
      </c>
      <c r="AO43" s="389" t="str">
        <f t="shared" si="21"/>
        <v/>
      </c>
      <c r="AP43" s="389">
        <f t="shared" si="28"/>
        <v>0</v>
      </c>
      <c r="AQ43" s="389">
        <f t="shared" si="22"/>
        <v>0</v>
      </c>
      <c r="AR43" s="389">
        <f t="shared" si="23"/>
        <v>3</v>
      </c>
      <c r="AS43" s="453">
        <f t="shared" si="24"/>
        <v>-34</v>
      </c>
      <c r="AT43" s="452">
        <f t="shared" si="25"/>
        <v>3</v>
      </c>
    </row>
    <row r="44" spans="1:46" ht="16" x14ac:dyDescent="0.2">
      <c r="A44" s="298"/>
      <c r="B44"/>
      <c r="D44" s="303" t="s">
        <v>31</v>
      </c>
      <c r="E44" s="396"/>
      <c r="F44" s="387">
        <v>1</v>
      </c>
      <c r="G44" s="397" t="s">
        <v>775</v>
      </c>
      <c r="H44" s="387" t="str">
        <f t="shared" si="0"/>
        <v>1-2-0</v>
      </c>
      <c r="I44" s="389">
        <f t="shared" si="1"/>
        <v>2</v>
      </c>
      <c r="J44" s="455" t="str">
        <f t="shared" si="2"/>
        <v/>
      </c>
      <c r="K44" s="455" t="str">
        <f t="shared" si="3"/>
        <v/>
      </c>
      <c r="L44" s="455" t="str">
        <f t="shared" si="26"/>
        <v/>
      </c>
      <c r="M44" s="389" t="str">
        <f>IFERROR(IF(AD44&lt;=VLOOKUP(D44,Tournaments!$A$1:$B$1772,2,FALSE),"TRUE","FALSE"),"")</f>
        <v>FALSE</v>
      </c>
      <c r="N44" s="389">
        <v>1</v>
      </c>
      <c r="O44" s="389">
        <f t="shared" si="4"/>
        <v>3</v>
      </c>
      <c r="Q44" s="389">
        <f t="shared" si="5"/>
        <v>1</v>
      </c>
      <c r="R44" s="389">
        <f t="shared" si="6"/>
        <v>2</v>
      </c>
      <c r="S44" s="389">
        <f t="shared" si="7"/>
        <v>0</v>
      </c>
      <c r="U44" s="389">
        <f t="shared" si="8"/>
        <v>3</v>
      </c>
      <c r="V44" s="389" t="b">
        <f t="shared" si="9"/>
        <v>0</v>
      </c>
      <c r="W44" s="389">
        <f t="shared" si="10"/>
        <v>-3</v>
      </c>
      <c r="X44" s="389">
        <f t="shared" si="11"/>
        <v>3</v>
      </c>
      <c r="Y44" s="389" t="b">
        <f t="shared" si="27"/>
        <v>0</v>
      </c>
      <c r="Z44" s="389">
        <f t="shared" si="12"/>
        <v>-3</v>
      </c>
      <c r="AA44" s="389">
        <f t="shared" si="13"/>
        <v>3</v>
      </c>
      <c r="AB44" s="389" t="b">
        <f t="shared" si="14"/>
        <v>0</v>
      </c>
      <c r="AC44" s="389">
        <f t="shared" si="15"/>
        <v>-3</v>
      </c>
      <c r="AD44" s="389">
        <f t="shared" si="16"/>
        <v>3</v>
      </c>
      <c r="AE44" s="389">
        <f t="shared" si="17"/>
        <v>1</v>
      </c>
      <c r="AG44" s="311" t="str">
        <f t="shared" si="18"/>
        <v>Ch A Coed Basketball-</v>
      </c>
      <c r="AH44" s="453">
        <f t="shared" si="19"/>
        <v>3</v>
      </c>
      <c r="AI44" s="453">
        <f t="shared" si="20"/>
        <v>1</v>
      </c>
      <c r="AJ44" t="str">
        <f t="array" ref="AJ44">IF(AND(AI44&gt;1,G44&lt;&gt;""),INDEX(FS_teams,MATCH(1,(FS_Keys=AG44)*(FS_Points=I44)*(FS_teams&lt;&gt;G44),0)),"")</f>
        <v/>
      </c>
      <c r="AK44" s="390" t="str">
        <f t="array" ref="AK44">IF(AJ44&lt;&gt;"",INDEX(TM_Score1,MATCH(1,(TM_Events=D44)*(TM_Participant1=G44)*(TM_Participant2=AJ44),0)),"")</f>
        <v/>
      </c>
      <c r="AL44" s="390" t="str">
        <f t="array" ref="AL44">IF(AJ44&lt;&gt;"",INDEX(TM_Score1,MATCH(1,(TM_Events=D44)*(TM_Participant1=AJ44)*(TM_Participant2=G44),0)),"")</f>
        <v/>
      </c>
      <c r="AM44" s="389" t="str">
        <f t="array" ref="AM44">IF(ISNUMBER(AK44),INDEX(TM_Score2,MATCH(1,(TM_Events=D44)*(TM_Participant1=G44)*(TM_Participant2=AJ44),0)),"")</f>
        <v/>
      </c>
      <c r="AN44" s="389" t="str">
        <f t="array" ref="AN44">IF(ISNUMBER(AL44),INDEX(TM_Score2,MATCH(1,(TM_Events=D44)*(TM_Participant1=AJ44)*(TM_Participant2=G44),0)),"")</f>
        <v/>
      </c>
      <c r="AO44" s="389" t="str">
        <f t="shared" si="21"/>
        <v/>
      </c>
      <c r="AP44" s="389">
        <f t="shared" si="28"/>
        <v>1</v>
      </c>
      <c r="AQ44" s="389">
        <f t="shared" si="22"/>
        <v>0</v>
      </c>
      <c r="AR44" s="389">
        <f t="shared" si="23"/>
        <v>2</v>
      </c>
      <c r="AS44" s="453">
        <f t="shared" si="24"/>
        <v>-7</v>
      </c>
      <c r="AT44" s="452">
        <f t="shared" si="25"/>
        <v>15</v>
      </c>
    </row>
    <row r="45" spans="1:46" ht="16" x14ac:dyDescent="0.2">
      <c r="A45" s="298"/>
      <c r="B45"/>
      <c r="D45" s="303" t="s">
        <v>31</v>
      </c>
      <c r="E45" s="396"/>
      <c r="F45" s="387">
        <v>1</v>
      </c>
      <c r="G45" s="397" t="s">
        <v>549</v>
      </c>
      <c r="H45" s="387" t="str">
        <f t="shared" si="0"/>
        <v>2-1-0</v>
      </c>
      <c r="I45" s="389">
        <f t="shared" si="1"/>
        <v>4</v>
      </c>
      <c r="J45" s="455" t="str">
        <f t="shared" si="2"/>
        <v/>
      </c>
      <c r="K45" s="455" t="str">
        <f t="shared" si="3"/>
        <v/>
      </c>
      <c r="L45" s="455" t="str">
        <f t="shared" si="26"/>
        <v/>
      </c>
      <c r="M45" s="389" t="str">
        <f>IFERROR(IF(AD45&lt;=VLOOKUP(D45,Tournaments!$A$1:$B$1772,2,FALSE),"TRUE","FALSE"),"")</f>
        <v>FALSE</v>
      </c>
      <c r="N45" s="389">
        <v>1</v>
      </c>
      <c r="O45" s="389">
        <f t="shared" si="4"/>
        <v>2</v>
      </c>
      <c r="Q45" s="389">
        <f t="shared" si="5"/>
        <v>2</v>
      </c>
      <c r="R45" s="389">
        <f t="shared" si="6"/>
        <v>1</v>
      </c>
      <c r="S45" s="389">
        <f t="shared" si="7"/>
        <v>0</v>
      </c>
      <c r="U45" s="389">
        <f t="shared" si="8"/>
        <v>2</v>
      </c>
      <c r="V45" s="389" t="b">
        <f t="shared" si="9"/>
        <v>0</v>
      </c>
      <c r="W45" s="389">
        <f t="shared" si="10"/>
        <v>-2</v>
      </c>
      <c r="X45" s="389">
        <f t="shared" si="11"/>
        <v>2</v>
      </c>
      <c r="Y45" s="389" t="b">
        <f t="shared" si="27"/>
        <v>0</v>
      </c>
      <c r="Z45" s="389">
        <f t="shared" si="12"/>
        <v>-2</v>
      </c>
      <c r="AA45" s="389">
        <f t="shared" si="13"/>
        <v>2</v>
      </c>
      <c r="AB45" s="389" t="b">
        <f t="shared" si="14"/>
        <v>0</v>
      </c>
      <c r="AC45" s="389">
        <f t="shared" si="15"/>
        <v>-2</v>
      </c>
      <c r="AD45" s="389">
        <f t="shared" si="16"/>
        <v>2</v>
      </c>
      <c r="AE45" s="389">
        <f t="shared" si="17"/>
        <v>1</v>
      </c>
      <c r="AG45" s="311" t="str">
        <f t="shared" si="18"/>
        <v>Ch A Coed Basketball-</v>
      </c>
      <c r="AH45" s="453">
        <f t="shared" si="19"/>
        <v>2</v>
      </c>
      <c r="AI45" s="453">
        <f t="shared" si="20"/>
        <v>1</v>
      </c>
      <c r="AJ45" t="str">
        <f t="array" ref="AJ45">IF(AND(AI45&gt;1,G45&lt;&gt;""),INDEX(FS_teams,MATCH(1,(FS_Keys=AG45)*(FS_Points=I45)*(FS_teams&lt;&gt;G45),0)),"")</f>
        <v/>
      </c>
      <c r="AK45" s="390" t="str">
        <f t="array" ref="AK45">IF(AJ45&lt;&gt;"",INDEX(TM_Score1,MATCH(1,(TM_Events=D45)*(TM_Participant1=G45)*(TM_Participant2=AJ45),0)),"")</f>
        <v/>
      </c>
      <c r="AL45" s="390" t="str">
        <f t="array" ref="AL45">IF(AJ45&lt;&gt;"",INDEX(TM_Score1,MATCH(1,(TM_Events=D45)*(TM_Participant1=AJ45)*(TM_Participant2=G45),0)),"")</f>
        <v/>
      </c>
      <c r="AM45" s="389" t="str">
        <f t="array" ref="AM45">IF(ISNUMBER(AK45),INDEX(TM_Score2,MATCH(1,(TM_Events=D45)*(TM_Participant1=G45)*(TM_Participant2=AJ45),0)),"")</f>
        <v/>
      </c>
      <c r="AN45" s="389" t="str">
        <f t="array" ref="AN45">IF(ISNUMBER(AL45),INDEX(TM_Score2,MATCH(1,(TM_Events=D45)*(TM_Participant1=AJ45)*(TM_Participant2=G45),0)),"")</f>
        <v/>
      </c>
      <c r="AO45" s="389" t="str">
        <f t="shared" si="21"/>
        <v/>
      </c>
      <c r="AP45" s="389">
        <f t="shared" si="28"/>
        <v>2</v>
      </c>
      <c r="AQ45" s="389">
        <f t="shared" si="22"/>
        <v>0</v>
      </c>
      <c r="AR45" s="389">
        <f t="shared" si="23"/>
        <v>1</v>
      </c>
      <c r="AS45" s="453">
        <f t="shared" si="24"/>
        <v>0</v>
      </c>
      <c r="AT45" s="452">
        <f t="shared" si="25"/>
        <v>26</v>
      </c>
    </row>
    <row r="46" spans="1:46" ht="16" x14ac:dyDescent="0.2">
      <c r="A46" s="298"/>
      <c r="B46"/>
      <c r="D46" s="303" t="s">
        <v>33</v>
      </c>
      <c r="E46" s="396"/>
      <c r="F46" s="387">
        <v>1</v>
      </c>
      <c r="G46" s="397" t="s">
        <v>775</v>
      </c>
      <c r="H46" s="387" t="str">
        <f t="shared" si="0"/>
        <v>2-1-0</v>
      </c>
      <c r="I46" s="389">
        <f t="shared" si="1"/>
        <v>4</v>
      </c>
      <c r="J46" s="455" t="str">
        <f t="shared" si="2"/>
        <v/>
      </c>
      <c r="K46" s="455" t="str">
        <f t="shared" si="3"/>
        <v/>
      </c>
      <c r="L46" s="455" t="str">
        <f t="shared" si="26"/>
        <v/>
      </c>
      <c r="M46" s="389" t="str">
        <f>IFERROR(IF(AD46&lt;=VLOOKUP(D46,Tournaments!$A$1:$B$1772,2,FALSE),"TRUE","FALSE"),"")</f>
        <v>FALSE</v>
      </c>
      <c r="N46" s="389">
        <v>1</v>
      </c>
      <c r="O46" s="389">
        <f t="shared" si="4"/>
        <v>2</v>
      </c>
      <c r="Q46" s="389">
        <f t="shared" si="5"/>
        <v>2</v>
      </c>
      <c r="R46" s="389">
        <f t="shared" si="6"/>
        <v>1</v>
      </c>
      <c r="S46" s="389">
        <f t="shared" si="7"/>
        <v>0</v>
      </c>
      <c r="U46" s="389">
        <f t="shared" si="8"/>
        <v>2</v>
      </c>
      <c r="V46" s="389" t="b">
        <f t="shared" si="9"/>
        <v>0</v>
      </c>
      <c r="W46" s="389">
        <f t="shared" si="10"/>
        <v>-2</v>
      </c>
      <c r="X46" s="389">
        <f t="shared" si="11"/>
        <v>2</v>
      </c>
      <c r="Y46" s="389" t="b">
        <f t="shared" si="27"/>
        <v>0</v>
      </c>
      <c r="Z46" s="389">
        <f t="shared" si="12"/>
        <v>-2</v>
      </c>
      <c r="AA46" s="389">
        <f t="shared" si="13"/>
        <v>2</v>
      </c>
      <c r="AB46" s="389" t="b">
        <f t="shared" si="14"/>
        <v>0</v>
      </c>
      <c r="AC46" s="389">
        <f t="shared" si="15"/>
        <v>-2</v>
      </c>
      <c r="AD46" s="389">
        <f t="shared" si="16"/>
        <v>2</v>
      </c>
      <c r="AE46" s="389">
        <f t="shared" si="17"/>
        <v>1</v>
      </c>
      <c r="AG46" s="311" t="str">
        <f t="shared" si="18"/>
        <v>Ch A Coed Kickball-</v>
      </c>
      <c r="AH46" s="453">
        <f t="shared" si="19"/>
        <v>2</v>
      </c>
      <c r="AI46" s="453">
        <f t="shared" si="20"/>
        <v>1</v>
      </c>
      <c r="AJ46" t="str">
        <f t="array" ref="AJ46">IF(AND(AI46&gt;1,G46&lt;&gt;""),INDEX(FS_teams,MATCH(1,(FS_Keys=AG46)*(FS_Points=I46)*(FS_teams&lt;&gt;G46),0)),"")</f>
        <v/>
      </c>
      <c r="AK46" s="390" t="str">
        <f t="array" ref="AK46">IF(AJ46&lt;&gt;"",INDEX(TM_Score1,MATCH(1,(TM_Events=D46)*(TM_Participant1=G46)*(TM_Participant2=AJ46),0)),"")</f>
        <v/>
      </c>
      <c r="AL46" s="390" t="str">
        <f t="array" ref="AL46">IF(AJ46&lt;&gt;"",INDEX(TM_Score1,MATCH(1,(TM_Events=D46)*(TM_Participant1=AJ46)*(TM_Participant2=G46),0)),"")</f>
        <v/>
      </c>
      <c r="AM46" s="389" t="str">
        <f t="array" ref="AM46">IF(ISNUMBER(AK46),INDEX(TM_Score2,MATCH(1,(TM_Events=D46)*(TM_Participant1=G46)*(TM_Participant2=AJ46),0)),"")</f>
        <v/>
      </c>
      <c r="AN46" s="389" t="str">
        <f t="array" ref="AN46">IF(ISNUMBER(AL46),INDEX(TM_Score2,MATCH(1,(TM_Events=D46)*(TM_Participant1=AJ46)*(TM_Participant2=G46),0)),"")</f>
        <v/>
      </c>
      <c r="AO46" s="389" t="str">
        <f t="shared" si="21"/>
        <v/>
      </c>
      <c r="AP46" s="389">
        <f t="shared" si="28"/>
        <v>2</v>
      </c>
      <c r="AQ46" s="389">
        <f t="shared" si="22"/>
        <v>0</v>
      </c>
      <c r="AR46" s="389">
        <f t="shared" si="23"/>
        <v>1</v>
      </c>
      <c r="AS46" s="453">
        <f t="shared" si="24"/>
        <v>-2</v>
      </c>
      <c r="AT46" s="452">
        <f t="shared" si="25"/>
        <v>32</v>
      </c>
    </row>
    <row r="47" spans="1:46" s="333" customFormat="1" ht="16" x14ac:dyDescent="0.2">
      <c r="A47" s="367"/>
      <c r="D47" s="368" t="s">
        <v>33</v>
      </c>
      <c r="E47" s="399"/>
      <c r="F47" s="400">
        <v>1</v>
      </c>
      <c r="G47" s="401" t="s">
        <v>548</v>
      </c>
      <c r="H47" s="400" t="str">
        <f t="shared" si="0"/>
        <v>3-0-0</v>
      </c>
      <c r="I47" s="389">
        <f t="shared" si="1"/>
        <v>6</v>
      </c>
      <c r="J47" s="455" t="str">
        <f t="shared" si="2"/>
        <v/>
      </c>
      <c r="K47" s="455" t="str">
        <f t="shared" si="3"/>
        <v/>
      </c>
      <c r="L47" s="455" t="str">
        <f t="shared" si="26"/>
        <v/>
      </c>
      <c r="M47" s="402" t="str">
        <f>IFERROR(IF(AD47&lt;=VLOOKUP(D47,Tournaments!$A$1:$B$1772,2,FALSE),"TRUE","FALSE"),"")</f>
        <v>FALSE</v>
      </c>
      <c r="N47" s="402">
        <v>1</v>
      </c>
      <c r="O47" s="402">
        <f t="shared" si="4"/>
        <v>1</v>
      </c>
      <c r="P47" s="403"/>
      <c r="Q47" s="402">
        <f t="shared" si="5"/>
        <v>3</v>
      </c>
      <c r="R47" s="402">
        <f t="shared" si="6"/>
        <v>0</v>
      </c>
      <c r="S47" s="402">
        <f t="shared" si="7"/>
        <v>0</v>
      </c>
      <c r="T47" s="402"/>
      <c r="U47" s="402">
        <f t="shared" si="8"/>
        <v>1</v>
      </c>
      <c r="V47" s="402" t="b">
        <f t="shared" si="9"/>
        <v>0</v>
      </c>
      <c r="W47" s="402">
        <f t="shared" si="10"/>
        <v>-1</v>
      </c>
      <c r="X47" s="402">
        <f t="shared" si="11"/>
        <v>1</v>
      </c>
      <c r="Y47" s="402" t="b">
        <f t="shared" si="27"/>
        <v>0</v>
      </c>
      <c r="Z47" s="402">
        <f t="shared" si="12"/>
        <v>-1</v>
      </c>
      <c r="AA47" s="402">
        <f t="shared" si="13"/>
        <v>1</v>
      </c>
      <c r="AB47" s="402" t="b">
        <f t="shared" si="14"/>
        <v>0</v>
      </c>
      <c r="AC47" s="402">
        <f t="shared" si="15"/>
        <v>-1</v>
      </c>
      <c r="AD47" s="402">
        <f t="shared" si="16"/>
        <v>1</v>
      </c>
      <c r="AE47" s="402">
        <f t="shared" si="17"/>
        <v>1</v>
      </c>
      <c r="AG47" s="369" t="str">
        <f t="shared" si="18"/>
        <v>Ch A Coed Kickball-</v>
      </c>
      <c r="AH47" s="402">
        <f t="shared" si="19"/>
        <v>1</v>
      </c>
      <c r="AI47" s="402">
        <f t="shared" si="20"/>
        <v>1</v>
      </c>
      <c r="AJ47" s="333" t="str">
        <f t="array" ref="AJ47">IF(AND(AI47&gt;1,G47&lt;&gt;""),INDEX(FS_teams,MATCH(1,(FS_Keys=AG47)*(FS_Points=I47)*(FS_teams&lt;&gt;G47),0)),"")</f>
        <v/>
      </c>
      <c r="AK47" s="406" t="str">
        <f t="array" ref="AK47">IF(AJ47&lt;&gt;"",INDEX(TM_Score1,MATCH(1,(TM_Events=D47)*(TM_Participant1=G47)*(TM_Participant2=AJ47),0)),"")</f>
        <v/>
      </c>
      <c r="AL47" s="406" t="str">
        <f t="array" ref="AL47">IF(AJ47&lt;&gt;"",INDEX(TM_Score1,MATCH(1,(TM_Events=D47)*(TM_Participant1=AJ47)*(TM_Participant2=G47),0)),"")</f>
        <v/>
      </c>
      <c r="AM47" s="402" t="str">
        <f t="array" ref="AM47">IF(ISNUMBER(AK47),INDEX(TM_Score2,MATCH(1,(TM_Events=D47)*(TM_Participant1=G47)*(TM_Participant2=AJ47),0)),"")</f>
        <v/>
      </c>
      <c r="AN47" s="402" t="str">
        <f t="array" ref="AN47">IF(ISNUMBER(AL47),INDEX(TM_Score2,MATCH(1,(TM_Events=D47)*(TM_Participant1=AJ47)*(TM_Participant2=G47),0)),"")</f>
        <v/>
      </c>
      <c r="AO47" s="402" t="str">
        <f t="shared" si="21"/>
        <v/>
      </c>
      <c r="AP47" s="402">
        <f t="shared" si="28"/>
        <v>3</v>
      </c>
      <c r="AQ47" s="402">
        <f t="shared" si="22"/>
        <v>0</v>
      </c>
      <c r="AR47" s="402">
        <f t="shared" si="23"/>
        <v>0</v>
      </c>
      <c r="AS47" s="453">
        <f t="shared" si="24"/>
        <v>11</v>
      </c>
      <c r="AT47" s="452">
        <f t="shared" si="25"/>
        <v>45</v>
      </c>
    </row>
    <row r="48" spans="1:46" ht="16" x14ac:dyDescent="0.2">
      <c r="A48" s="298"/>
      <c r="B48"/>
      <c r="D48" s="303" t="s">
        <v>33</v>
      </c>
      <c r="E48" s="387"/>
      <c r="F48" s="387">
        <v>1</v>
      </c>
      <c r="G48" s="397" t="s">
        <v>549</v>
      </c>
      <c r="H48" s="387" t="str">
        <f t="shared" si="0"/>
        <v>1-2-0</v>
      </c>
      <c r="I48" s="389">
        <f t="shared" si="1"/>
        <v>2</v>
      </c>
      <c r="J48" s="455" t="str">
        <f t="shared" si="2"/>
        <v/>
      </c>
      <c r="K48" s="455" t="str">
        <f t="shared" si="3"/>
        <v/>
      </c>
      <c r="L48" s="455" t="str">
        <f t="shared" si="26"/>
        <v/>
      </c>
      <c r="M48" s="389" t="str">
        <f>IFERROR(IF(AD48&lt;=VLOOKUP(D48,Tournaments!$A$1:$B$1772,2,FALSE),"TRUE","FALSE"),"")</f>
        <v>FALSE</v>
      </c>
      <c r="N48" s="389">
        <v>1</v>
      </c>
      <c r="O48" s="389">
        <f t="shared" si="4"/>
        <v>3</v>
      </c>
      <c r="Q48" s="389">
        <f t="shared" si="5"/>
        <v>1</v>
      </c>
      <c r="R48" s="389">
        <f t="shared" si="6"/>
        <v>2</v>
      </c>
      <c r="S48" s="389">
        <f t="shared" si="7"/>
        <v>0</v>
      </c>
      <c r="U48" s="389">
        <f t="shared" si="8"/>
        <v>3</v>
      </c>
      <c r="V48" s="389" t="b">
        <f t="shared" si="9"/>
        <v>0</v>
      </c>
      <c r="W48" s="389">
        <f t="shared" si="10"/>
        <v>-3</v>
      </c>
      <c r="X48" s="389">
        <f t="shared" si="11"/>
        <v>3</v>
      </c>
      <c r="Y48" s="389" t="b">
        <f t="shared" si="27"/>
        <v>0</v>
      </c>
      <c r="Z48" s="389">
        <f t="shared" si="12"/>
        <v>-3</v>
      </c>
      <c r="AA48" s="389">
        <f t="shared" si="13"/>
        <v>3</v>
      </c>
      <c r="AB48" s="389" t="b">
        <f t="shared" si="14"/>
        <v>0</v>
      </c>
      <c r="AC48" s="389">
        <f t="shared" si="15"/>
        <v>-3</v>
      </c>
      <c r="AD48" s="389">
        <f t="shared" si="16"/>
        <v>3</v>
      </c>
      <c r="AE48" s="389">
        <f t="shared" si="17"/>
        <v>1</v>
      </c>
      <c r="AG48" s="311" t="str">
        <f t="shared" si="18"/>
        <v>Ch A Coed Kickball-</v>
      </c>
      <c r="AH48" s="453">
        <f t="shared" si="19"/>
        <v>3</v>
      </c>
      <c r="AI48" s="453">
        <f t="shared" si="20"/>
        <v>1</v>
      </c>
      <c r="AJ48" t="str">
        <f t="array" ref="AJ48">IF(AND(AI48&gt;1,G48&lt;&gt;""),INDEX(FS_teams,MATCH(1,(FS_Keys=AG48)*(FS_Points=I48)*(FS_teams&lt;&gt;G48),0)),"")</f>
        <v/>
      </c>
      <c r="AK48" s="390" t="str">
        <f t="array" ref="AK48">IF(AJ48&lt;&gt;"",INDEX(TM_Score1,MATCH(1,(TM_Events=D48)*(TM_Participant1=G48)*(TM_Participant2=AJ48),0)),"")</f>
        <v/>
      </c>
      <c r="AL48" s="390" t="str">
        <f t="array" ref="AL48">IF(AJ48&lt;&gt;"",INDEX(TM_Score1,MATCH(1,(TM_Events=D48)*(TM_Participant1=AJ48)*(TM_Participant2=G48),0)),"")</f>
        <v/>
      </c>
      <c r="AM48" s="389" t="str">
        <f t="array" ref="AM48">IF(ISNUMBER(AK48),INDEX(TM_Score2,MATCH(1,(TM_Events=D48)*(TM_Participant1=G48)*(TM_Participant2=AJ48),0)),"")</f>
        <v/>
      </c>
      <c r="AN48" s="389" t="str">
        <f t="array" ref="AN48">IF(ISNUMBER(AL48),INDEX(TM_Score2,MATCH(1,(TM_Events=D48)*(TM_Participant1=AJ48)*(TM_Participant2=G48),0)),"")</f>
        <v/>
      </c>
      <c r="AO48" s="389" t="str">
        <f t="shared" si="21"/>
        <v/>
      </c>
      <c r="AP48" s="389">
        <f t="shared" si="28"/>
        <v>1</v>
      </c>
      <c r="AQ48" s="389">
        <f t="shared" si="22"/>
        <v>0</v>
      </c>
      <c r="AR48" s="389">
        <f t="shared" si="23"/>
        <v>2</v>
      </c>
      <c r="AS48" s="453">
        <f t="shared" si="24"/>
        <v>0</v>
      </c>
      <c r="AT48" s="452">
        <f t="shared" si="25"/>
        <v>44</v>
      </c>
    </row>
    <row r="49" spans="1:46" ht="16" x14ac:dyDescent="0.2">
      <c r="A49" s="298"/>
      <c r="B49"/>
      <c r="D49" s="303" t="s">
        <v>33</v>
      </c>
      <c r="E49" s="396"/>
      <c r="F49" s="387">
        <v>1</v>
      </c>
      <c r="G49" s="397" t="s">
        <v>545</v>
      </c>
      <c r="H49" s="387" t="str">
        <f t="shared" si="0"/>
        <v>0-3-0</v>
      </c>
      <c r="I49" s="389">
        <f t="shared" si="1"/>
        <v>0</v>
      </c>
      <c r="J49" s="455" t="str">
        <f t="shared" si="2"/>
        <v/>
      </c>
      <c r="K49" s="455" t="str">
        <f t="shared" si="3"/>
        <v/>
      </c>
      <c r="L49" s="455" t="str">
        <f t="shared" si="26"/>
        <v/>
      </c>
      <c r="M49" s="389" t="str">
        <f>IFERROR(IF(AD49&lt;=VLOOKUP(D49,Tournaments!$A$1:$B$1772,2,FALSE),"TRUE","FALSE"),"")</f>
        <v>FALSE</v>
      </c>
      <c r="N49" s="389">
        <v>1</v>
      </c>
      <c r="O49" s="389">
        <f t="shared" si="4"/>
        <v>4</v>
      </c>
      <c r="Q49" s="389">
        <f t="shared" si="5"/>
        <v>0</v>
      </c>
      <c r="R49" s="389">
        <f t="shared" si="6"/>
        <v>3</v>
      </c>
      <c r="S49" s="389">
        <f t="shared" si="7"/>
        <v>0</v>
      </c>
      <c r="U49" s="389">
        <f t="shared" si="8"/>
        <v>4</v>
      </c>
      <c r="V49" s="389" t="b">
        <f t="shared" si="9"/>
        <v>0</v>
      </c>
      <c r="W49" s="389">
        <f t="shared" si="10"/>
        <v>-4</v>
      </c>
      <c r="X49" s="389">
        <f t="shared" si="11"/>
        <v>4</v>
      </c>
      <c r="Y49" s="389" t="b">
        <f t="shared" si="27"/>
        <v>0</v>
      </c>
      <c r="Z49" s="389">
        <f t="shared" si="12"/>
        <v>-4</v>
      </c>
      <c r="AA49" s="389">
        <f t="shared" si="13"/>
        <v>4</v>
      </c>
      <c r="AB49" s="389" t="b">
        <f t="shared" si="14"/>
        <v>0</v>
      </c>
      <c r="AC49" s="389">
        <f t="shared" si="15"/>
        <v>-4</v>
      </c>
      <c r="AD49" s="389">
        <f t="shared" si="16"/>
        <v>4</v>
      </c>
      <c r="AE49" s="389">
        <f t="shared" si="17"/>
        <v>1</v>
      </c>
      <c r="AG49" s="311" t="str">
        <f t="shared" si="18"/>
        <v>Ch A Coed Kickball-</v>
      </c>
      <c r="AH49" s="453">
        <f t="shared" si="19"/>
        <v>4</v>
      </c>
      <c r="AI49" s="453">
        <f t="shared" si="20"/>
        <v>1</v>
      </c>
      <c r="AJ49" t="str">
        <f t="array" ref="AJ49">IF(AND(AI49&gt;1,G49&lt;&gt;""),INDEX(FS_teams,MATCH(1,(FS_Keys=AG49)*(FS_Points=I49)*(FS_teams&lt;&gt;G49),0)),"")</f>
        <v/>
      </c>
      <c r="AK49" s="390" t="str">
        <f t="array" ref="AK49">IF(AJ49&lt;&gt;"",INDEX(TM_Score1,MATCH(1,(TM_Events=D49)*(TM_Participant1=G49)*(TM_Participant2=AJ49),0)),"")</f>
        <v/>
      </c>
      <c r="AL49" s="390" t="str">
        <f t="array" ref="AL49">IF(AJ49&lt;&gt;"",INDEX(TM_Score1,MATCH(1,(TM_Events=D49)*(TM_Participant1=AJ49)*(TM_Participant2=G49),0)),"")</f>
        <v/>
      </c>
      <c r="AM49" s="389" t="str">
        <f t="array" ref="AM49">IF(ISNUMBER(AK49),INDEX(TM_Score2,MATCH(1,(TM_Events=D49)*(TM_Participant1=G49)*(TM_Participant2=AJ49),0)),"")</f>
        <v/>
      </c>
      <c r="AN49" s="389" t="str">
        <f t="array" ref="AN49">IF(ISNUMBER(AL49),INDEX(TM_Score2,MATCH(1,(TM_Events=D49)*(TM_Participant1=AJ49)*(TM_Participant2=G49),0)),"")</f>
        <v/>
      </c>
      <c r="AO49" s="389" t="str">
        <f t="shared" si="21"/>
        <v/>
      </c>
      <c r="AP49" s="389">
        <f t="shared" si="28"/>
        <v>0</v>
      </c>
      <c r="AQ49" s="389">
        <f t="shared" si="22"/>
        <v>0</v>
      </c>
      <c r="AR49" s="389">
        <f t="shared" si="23"/>
        <v>3</v>
      </c>
      <c r="AS49" s="453">
        <f t="shared" si="24"/>
        <v>-9</v>
      </c>
      <c r="AT49" s="452">
        <f t="shared" si="25"/>
        <v>19</v>
      </c>
    </row>
    <row r="50" spans="1:46" ht="16" x14ac:dyDescent="0.2">
      <c r="A50" s="298"/>
      <c r="B50"/>
      <c r="D50" s="303" t="s">
        <v>30</v>
      </c>
      <c r="E50" s="396"/>
      <c r="F50" s="387">
        <v>1</v>
      </c>
      <c r="G50" s="397" t="s">
        <v>548</v>
      </c>
      <c r="H50" s="387" t="str">
        <f t="shared" si="0"/>
        <v>3-0-0</v>
      </c>
      <c r="I50" s="389">
        <f t="shared" si="1"/>
        <v>6</v>
      </c>
      <c r="J50" s="455" t="str">
        <f t="shared" si="2"/>
        <v/>
      </c>
      <c r="K50" s="455" t="str">
        <f t="shared" si="3"/>
        <v/>
      </c>
      <c r="L50" s="455" t="str">
        <f t="shared" si="26"/>
        <v/>
      </c>
      <c r="M50" s="389" t="str">
        <f>IFERROR(IF(AD50&lt;=VLOOKUP(D50,Tournaments!$A$1:$B$1772,2,FALSE),"TRUE","FALSE"),"")</f>
        <v>FALSE</v>
      </c>
      <c r="N50" s="389">
        <v>1</v>
      </c>
      <c r="O50" s="389">
        <f t="shared" si="4"/>
        <v>1</v>
      </c>
      <c r="Q50" s="389">
        <f t="shared" si="5"/>
        <v>3</v>
      </c>
      <c r="R50" s="389">
        <f t="shared" si="6"/>
        <v>0</v>
      </c>
      <c r="S50" s="389">
        <f t="shared" si="7"/>
        <v>0</v>
      </c>
      <c r="U50" s="389">
        <f t="shared" si="8"/>
        <v>1</v>
      </c>
      <c r="V50" s="389" t="b">
        <f t="shared" si="9"/>
        <v>0</v>
      </c>
      <c r="W50" s="389">
        <f t="shared" si="10"/>
        <v>-1</v>
      </c>
      <c r="X50" s="389">
        <f t="shared" si="11"/>
        <v>1</v>
      </c>
      <c r="Y50" s="389" t="b">
        <f t="shared" si="27"/>
        <v>0</v>
      </c>
      <c r="Z50" s="389">
        <f t="shared" si="12"/>
        <v>-1</v>
      </c>
      <c r="AA50" s="389">
        <f t="shared" si="13"/>
        <v>1</v>
      </c>
      <c r="AB50" s="389" t="b">
        <f t="shared" si="14"/>
        <v>0</v>
      </c>
      <c r="AC50" s="389">
        <f t="shared" si="15"/>
        <v>-1</v>
      </c>
      <c r="AD50" s="389">
        <f t="shared" si="16"/>
        <v>1</v>
      </c>
      <c r="AE50" s="389">
        <f t="shared" si="17"/>
        <v>1</v>
      </c>
      <c r="AG50" s="311" t="str">
        <f t="shared" si="18"/>
        <v>Ch A Coed Mini Soccer-</v>
      </c>
      <c r="AH50" s="453">
        <f t="shared" si="19"/>
        <v>1</v>
      </c>
      <c r="AI50" s="453">
        <f t="shared" si="20"/>
        <v>1</v>
      </c>
      <c r="AJ50" t="str">
        <f t="array" ref="AJ50">IF(AND(AI50&gt;1,G50&lt;&gt;""),INDEX(FS_teams,MATCH(1,(FS_Keys=AG50)*(FS_Points=I50)*(FS_teams&lt;&gt;G50),0)),"")</f>
        <v/>
      </c>
      <c r="AK50" s="390" t="str">
        <f t="array" ref="AK50">IF(AJ50&lt;&gt;"",INDEX(TM_Score1,MATCH(1,(TM_Events=D50)*(TM_Participant1=G50)*(TM_Participant2=AJ50),0)),"")</f>
        <v/>
      </c>
      <c r="AL50" s="390" t="str">
        <f t="array" ref="AL50">IF(AJ50&lt;&gt;"",INDEX(TM_Score1,MATCH(1,(TM_Events=D50)*(TM_Participant1=AJ50)*(TM_Participant2=G50),0)),"")</f>
        <v/>
      </c>
      <c r="AM50" s="389" t="str">
        <f t="array" ref="AM50">IF(ISNUMBER(AK50),INDEX(TM_Score2,MATCH(1,(TM_Events=D50)*(TM_Participant1=G50)*(TM_Participant2=AJ50),0)),"")</f>
        <v/>
      </c>
      <c r="AN50" s="389" t="str">
        <f t="array" ref="AN50">IF(ISNUMBER(AL50),INDEX(TM_Score2,MATCH(1,(TM_Events=D50)*(TM_Participant1=AJ50)*(TM_Participant2=G50),0)),"")</f>
        <v/>
      </c>
      <c r="AO50" s="389" t="str">
        <f t="shared" si="21"/>
        <v/>
      </c>
      <c r="AP50" s="389">
        <f t="shared" si="28"/>
        <v>3</v>
      </c>
      <c r="AQ50" s="389">
        <f t="shared" si="22"/>
        <v>0</v>
      </c>
      <c r="AR50" s="389">
        <f t="shared" si="23"/>
        <v>0</v>
      </c>
      <c r="AS50" s="453">
        <f t="shared" si="24"/>
        <v>7</v>
      </c>
      <c r="AT50" s="452">
        <f t="shared" si="25"/>
        <v>8</v>
      </c>
    </row>
    <row r="51" spans="1:46" s="333" customFormat="1" ht="16" x14ac:dyDescent="0.2">
      <c r="A51" s="367"/>
      <c r="D51" s="368" t="s">
        <v>30</v>
      </c>
      <c r="E51" s="400"/>
      <c r="F51" s="400">
        <v>1</v>
      </c>
      <c r="G51" s="401" t="s">
        <v>775</v>
      </c>
      <c r="H51" s="400" t="str">
        <f t="shared" si="0"/>
        <v>2-1-0</v>
      </c>
      <c r="I51" s="389">
        <f t="shared" si="1"/>
        <v>4</v>
      </c>
      <c r="J51" s="455" t="str">
        <f t="shared" si="2"/>
        <v/>
      </c>
      <c r="K51" s="455" t="str">
        <f t="shared" si="3"/>
        <v/>
      </c>
      <c r="L51" s="455" t="str">
        <f t="shared" si="26"/>
        <v/>
      </c>
      <c r="M51" s="402" t="str">
        <f>IFERROR(IF(AD51&lt;=VLOOKUP(D51,Tournaments!$A$1:$B$1772,2,FALSE),"TRUE","FALSE"),"")</f>
        <v>FALSE</v>
      </c>
      <c r="N51" s="402">
        <v>1</v>
      </c>
      <c r="O51" s="402">
        <f t="shared" si="4"/>
        <v>2</v>
      </c>
      <c r="P51" s="403"/>
      <c r="Q51" s="402">
        <f t="shared" si="5"/>
        <v>2</v>
      </c>
      <c r="R51" s="402">
        <f t="shared" si="6"/>
        <v>1</v>
      </c>
      <c r="S51" s="402">
        <f t="shared" si="7"/>
        <v>0</v>
      </c>
      <c r="T51" s="402"/>
      <c r="U51" s="402">
        <f t="shared" si="8"/>
        <v>2</v>
      </c>
      <c r="V51" s="402" t="b">
        <f t="shared" si="9"/>
        <v>0</v>
      </c>
      <c r="W51" s="402">
        <f t="shared" si="10"/>
        <v>-2</v>
      </c>
      <c r="X51" s="402">
        <f t="shared" si="11"/>
        <v>2</v>
      </c>
      <c r="Y51" s="402" t="b">
        <f t="shared" si="27"/>
        <v>0</v>
      </c>
      <c r="Z51" s="402">
        <f t="shared" si="12"/>
        <v>-2</v>
      </c>
      <c r="AA51" s="402">
        <f t="shared" si="13"/>
        <v>2</v>
      </c>
      <c r="AB51" s="402" t="b">
        <f t="shared" si="14"/>
        <v>0</v>
      </c>
      <c r="AC51" s="402">
        <f t="shared" si="15"/>
        <v>-2</v>
      </c>
      <c r="AD51" s="402">
        <f t="shared" si="16"/>
        <v>2</v>
      </c>
      <c r="AE51" s="402">
        <f t="shared" si="17"/>
        <v>1</v>
      </c>
      <c r="AG51" s="369" t="str">
        <f t="shared" si="18"/>
        <v>Ch A Coed Mini Soccer-</v>
      </c>
      <c r="AH51" s="402">
        <f t="shared" si="19"/>
        <v>2</v>
      </c>
      <c r="AI51" s="402">
        <f t="shared" si="20"/>
        <v>1</v>
      </c>
      <c r="AJ51" s="333" t="str">
        <f t="array" ref="AJ51">IF(AND(AI51&gt;1,G51&lt;&gt;""),INDEX(FS_teams,MATCH(1,(FS_Keys=AG51)*(FS_Points=I51)*(FS_teams&lt;&gt;G51),0)),"")</f>
        <v/>
      </c>
      <c r="AK51" s="406" t="str">
        <f t="array" ref="AK51">IF(AJ51&lt;&gt;"",INDEX(TM_Score1,MATCH(1,(TM_Events=D51)*(TM_Participant1=G51)*(TM_Participant2=AJ51),0)),"")</f>
        <v/>
      </c>
      <c r="AL51" s="406" t="str">
        <f t="array" ref="AL51">IF(AJ51&lt;&gt;"",INDEX(TM_Score1,MATCH(1,(TM_Events=D51)*(TM_Participant1=AJ51)*(TM_Participant2=G51),0)),"")</f>
        <v/>
      </c>
      <c r="AM51" s="402" t="str">
        <f t="array" ref="AM51">IF(ISNUMBER(AK51),INDEX(TM_Score2,MATCH(1,(TM_Events=D51)*(TM_Participant1=G51)*(TM_Participant2=AJ51),0)),"")</f>
        <v/>
      </c>
      <c r="AN51" s="402" t="str">
        <f t="array" ref="AN51">IF(ISNUMBER(AL51),INDEX(TM_Score2,MATCH(1,(TM_Events=D51)*(TM_Participant1=AJ51)*(TM_Participant2=G51),0)),"")</f>
        <v/>
      </c>
      <c r="AO51" s="402" t="str">
        <f t="shared" si="21"/>
        <v/>
      </c>
      <c r="AP51" s="402">
        <f t="shared" si="28"/>
        <v>2</v>
      </c>
      <c r="AQ51" s="402">
        <f t="shared" si="22"/>
        <v>0</v>
      </c>
      <c r="AR51" s="402">
        <f t="shared" si="23"/>
        <v>1</v>
      </c>
      <c r="AS51" s="453">
        <f t="shared" si="24"/>
        <v>2</v>
      </c>
      <c r="AT51" s="452">
        <f t="shared" si="25"/>
        <v>5</v>
      </c>
    </row>
    <row r="52" spans="1:46" ht="16" x14ac:dyDescent="0.2">
      <c r="A52" s="298"/>
      <c r="B52"/>
      <c r="D52" s="303" t="s">
        <v>30</v>
      </c>
      <c r="E52" s="396"/>
      <c r="F52" s="387">
        <v>1</v>
      </c>
      <c r="G52" s="397" t="s">
        <v>549</v>
      </c>
      <c r="H52" s="387" t="str">
        <f t="shared" si="0"/>
        <v>1-2-0</v>
      </c>
      <c r="I52" s="389">
        <f t="shared" si="1"/>
        <v>2</v>
      </c>
      <c r="J52" s="455" t="str">
        <f t="shared" si="2"/>
        <v/>
      </c>
      <c r="K52" s="455" t="str">
        <f t="shared" si="3"/>
        <v/>
      </c>
      <c r="L52" s="455" t="str">
        <f t="shared" si="26"/>
        <v/>
      </c>
      <c r="M52" s="389" t="str">
        <f>IFERROR(IF(AD52&lt;=VLOOKUP(D52,Tournaments!$A$1:$B$1772,2,FALSE),"TRUE","FALSE"),"")</f>
        <v>FALSE</v>
      </c>
      <c r="N52" s="389">
        <v>1</v>
      </c>
      <c r="O52" s="389">
        <f t="shared" si="4"/>
        <v>3</v>
      </c>
      <c r="Q52" s="389">
        <f t="shared" si="5"/>
        <v>1</v>
      </c>
      <c r="R52" s="389">
        <f t="shared" si="6"/>
        <v>2</v>
      </c>
      <c r="S52" s="389">
        <f t="shared" si="7"/>
        <v>0</v>
      </c>
      <c r="U52" s="389">
        <f t="shared" si="8"/>
        <v>3</v>
      </c>
      <c r="V52" s="389" t="b">
        <f t="shared" si="9"/>
        <v>0</v>
      </c>
      <c r="W52" s="389">
        <f t="shared" si="10"/>
        <v>-3</v>
      </c>
      <c r="X52" s="389">
        <f t="shared" si="11"/>
        <v>3</v>
      </c>
      <c r="Y52" s="389" t="b">
        <f t="shared" si="27"/>
        <v>0</v>
      </c>
      <c r="Z52" s="389">
        <f t="shared" si="12"/>
        <v>-3</v>
      </c>
      <c r="AA52" s="389">
        <f t="shared" si="13"/>
        <v>3</v>
      </c>
      <c r="AB52" s="389" t="b">
        <f t="shared" si="14"/>
        <v>0</v>
      </c>
      <c r="AC52" s="389">
        <f t="shared" si="15"/>
        <v>-3</v>
      </c>
      <c r="AD52" s="389">
        <f t="shared" si="16"/>
        <v>3</v>
      </c>
      <c r="AE52" s="389">
        <f t="shared" si="17"/>
        <v>1</v>
      </c>
      <c r="AG52" s="311" t="str">
        <f t="shared" si="18"/>
        <v>Ch A Coed Mini Soccer-</v>
      </c>
      <c r="AH52" s="453">
        <f t="shared" si="19"/>
        <v>3</v>
      </c>
      <c r="AI52" s="453">
        <f t="shared" si="20"/>
        <v>1</v>
      </c>
      <c r="AJ52" t="str">
        <f t="array" ref="AJ52">IF(AND(AI52&gt;1,G52&lt;&gt;""),INDEX(FS_teams,MATCH(1,(FS_Keys=AG52)*(FS_Points=I52)*(FS_teams&lt;&gt;G52),0)),"")</f>
        <v/>
      </c>
      <c r="AK52" s="390" t="str">
        <f t="array" ref="AK52">IF(AJ52&lt;&gt;"",INDEX(TM_Score1,MATCH(1,(TM_Events=D52)*(TM_Participant1=G52)*(TM_Participant2=AJ52),0)),"")</f>
        <v/>
      </c>
      <c r="AL52" s="390" t="str">
        <f t="array" ref="AL52">IF(AJ52&lt;&gt;"",INDEX(TM_Score1,MATCH(1,(TM_Events=D52)*(TM_Participant1=AJ52)*(TM_Participant2=G52),0)),"")</f>
        <v/>
      </c>
      <c r="AM52" s="389" t="str">
        <f t="array" ref="AM52">IF(ISNUMBER(AK52),INDEX(TM_Score2,MATCH(1,(TM_Events=D52)*(TM_Participant1=G52)*(TM_Participant2=AJ52),0)),"")</f>
        <v/>
      </c>
      <c r="AN52" s="389" t="str">
        <f t="array" ref="AN52">IF(ISNUMBER(AL52),INDEX(TM_Score2,MATCH(1,(TM_Events=D52)*(TM_Participant1=AJ52)*(TM_Participant2=G52),0)),"")</f>
        <v/>
      </c>
      <c r="AO52" s="389" t="str">
        <f t="shared" si="21"/>
        <v/>
      </c>
      <c r="AP52" s="389">
        <f t="shared" si="28"/>
        <v>1</v>
      </c>
      <c r="AQ52" s="389">
        <f t="shared" si="22"/>
        <v>0</v>
      </c>
      <c r="AR52" s="389">
        <f t="shared" si="23"/>
        <v>2</v>
      </c>
      <c r="AS52" s="453">
        <f t="shared" si="24"/>
        <v>-2</v>
      </c>
      <c r="AT52" s="452">
        <f t="shared" si="25"/>
        <v>3</v>
      </c>
    </row>
    <row r="53" spans="1:46" ht="16" x14ac:dyDescent="0.2">
      <c r="A53" s="298"/>
      <c r="B53"/>
      <c r="D53" s="303" t="s">
        <v>30</v>
      </c>
      <c r="E53" s="396"/>
      <c r="F53" s="387">
        <v>1</v>
      </c>
      <c r="G53" s="397" t="s">
        <v>545</v>
      </c>
      <c r="H53" s="387" t="str">
        <f t="shared" si="0"/>
        <v>0-3-0</v>
      </c>
      <c r="I53" s="389">
        <f t="shared" si="1"/>
        <v>0</v>
      </c>
      <c r="J53" s="455" t="str">
        <f t="shared" si="2"/>
        <v/>
      </c>
      <c r="K53" s="455" t="str">
        <f t="shared" si="3"/>
        <v/>
      </c>
      <c r="L53" s="455" t="str">
        <f t="shared" si="26"/>
        <v/>
      </c>
      <c r="M53" s="389" t="str">
        <f>IFERROR(IF(AD53&lt;=VLOOKUP(D53,Tournaments!$A$1:$B$1772,2,FALSE),"TRUE","FALSE"),"")</f>
        <v>FALSE</v>
      </c>
      <c r="N53" s="389">
        <v>1</v>
      </c>
      <c r="O53" s="389">
        <f t="shared" si="4"/>
        <v>4</v>
      </c>
      <c r="Q53" s="389">
        <f t="shared" si="5"/>
        <v>0</v>
      </c>
      <c r="R53" s="389">
        <f t="shared" si="6"/>
        <v>3</v>
      </c>
      <c r="S53" s="389">
        <f t="shared" si="7"/>
        <v>0</v>
      </c>
      <c r="U53" s="389">
        <f t="shared" si="8"/>
        <v>4</v>
      </c>
      <c r="V53" s="389" t="b">
        <f t="shared" si="9"/>
        <v>0</v>
      </c>
      <c r="W53" s="389">
        <f t="shared" si="10"/>
        <v>-4</v>
      </c>
      <c r="X53" s="389">
        <f t="shared" si="11"/>
        <v>4</v>
      </c>
      <c r="Y53" s="389" t="b">
        <f t="shared" si="27"/>
        <v>0</v>
      </c>
      <c r="Z53" s="389">
        <f t="shared" si="12"/>
        <v>-4</v>
      </c>
      <c r="AA53" s="389">
        <f t="shared" si="13"/>
        <v>4</v>
      </c>
      <c r="AB53" s="389" t="b">
        <f t="shared" si="14"/>
        <v>0</v>
      </c>
      <c r="AC53" s="389">
        <f t="shared" si="15"/>
        <v>-4</v>
      </c>
      <c r="AD53" s="389">
        <f t="shared" si="16"/>
        <v>4</v>
      </c>
      <c r="AE53" s="389">
        <f t="shared" si="17"/>
        <v>1</v>
      </c>
      <c r="AG53" s="311" t="str">
        <f t="shared" si="18"/>
        <v>Ch A Coed Mini Soccer-</v>
      </c>
      <c r="AH53" s="453">
        <f t="shared" si="19"/>
        <v>4</v>
      </c>
      <c r="AI53" s="453">
        <f t="shared" si="20"/>
        <v>1</v>
      </c>
      <c r="AJ53" t="str">
        <f t="array" ref="AJ53">IF(AND(AI53&gt;1,G53&lt;&gt;""),INDEX(FS_teams,MATCH(1,(FS_Keys=AG53)*(FS_Points=I53)*(FS_teams&lt;&gt;G53),0)),"")</f>
        <v/>
      </c>
      <c r="AK53" s="390" t="str">
        <f t="array" ref="AK53">IF(AJ53&lt;&gt;"",INDEX(TM_Score1,MATCH(1,(TM_Events=D53)*(TM_Participant1=G53)*(TM_Participant2=AJ53),0)),"")</f>
        <v/>
      </c>
      <c r="AL53" s="390" t="str">
        <f t="array" ref="AL53">IF(AJ53&lt;&gt;"",INDEX(TM_Score1,MATCH(1,(TM_Events=D53)*(TM_Participant1=AJ53)*(TM_Participant2=G53),0)),"")</f>
        <v/>
      </c>
      <c r="AM53" s="389" t="str">
        <f t="array" ref="AM53">IF(ISNUMBER(AK53),INDEX(TM_Score2,MATCH(1,(TM_Events=D53)*(TM_Participant1=G53)*(TM_Participant2=AJ53),0)),"")</f>
        <v/>
      </c>
      <c r="AN53" s="389" t="str">
        <f t="array" ref="AN53">IF(ISNUMBER(AL53),INDEX(TM_Score2,MATCH(1,(TM_Events=D53)*(TM_Participant1=AJ53)*(TM_Participant2=G53),0)),"")</f>
        <v/>
      </c>
      <c r="AO53" s="389" t="str">
        <f t="shared" si="21"/>
        <v/>
      </c>
      <c r="AP53" s="389">
        <f t="shared" si="28"/>
        <v>0</v>
      </c>
      <c r="AQ53" s="389">
        <f t="shared" si="22"/>
        <v>0</v>
      </c>
      <c r="AR53" s="389">
        <f t="shared" si="23"/>
        <v>3</v>
      </c>
      <c r="AS53" s="453">
        <f t="shared" si="24"/>
        <v>-7</v>
      </c>
      <c r="AT53" s="452">
        <f t="shared" si="25"/>
        <v>2</v>
      </c>
    </row>
    <row r="54" spans="1:46" ht="16" x14ac:dyDescent="0.2">
      <c r="A54" s="298"/>
      <c r="B54"/>
      <c r="D54" s="303" t="s">
        <v>32</v>
      </c>
      <c r="E54" s="396"/>
      <c r="F54" s="387">
        <v>1</v>
      </c>
      <c r="G54" s="397" t="s">
        <v>545</v>
      </c>
      <c r="H54" s="387" t="str">
        <f t="shared" si="0"/>
        <v>1-2-0</v>
      </c>
      <c r="I54" s="389">
        <f t="shared" si="1"/>
        <v>2</v>
      </c>
      <c r="J54" s="455">
        <f t="shared" si="2"/>
        <v>1</v>
      </c>
      <c r="K54" s="455">
        <f t="shared" si="3"/>
        <v>-3</v>
      </c>
      <c r="L54" s="455" t="str">
        <f t="shared" si="26"/>
        <v/>
      </c>
      <c r="M54" s="389" t="str">
        <f>IFERROR(IF(AD54&lt;=VLOOKUP(D54,Tournaments!$A$1:$B$1772,2,FALSE),"TRUE","FALSE"),"")</f>
        <v>FALSE</v>
      </c>
      <c r="N54" s="389">
        <v>1</v>
      </c>
      <c r="O54" s="389">
        <f t="shared" si="4"/>
        <v>4</v>
      </c>
      <c r="Q54" s="389">
        <f t="shared" si="5"/>
        <v>1</v>
      </c>
      <c r="R54" s="389">
        <f t="shared" si="6"/>
        <v>2</v>
      </c>
      <c r="S54" s="389">
        <f t="shared" si="7"/>
        <v>0</v>
      </c>
      <c r="U54" s="389">
        <f t="shared" si="8"/>
        <v>4</v>
      </c>
      <c r="V54" s="389">
        <f t="shared" si="9"/>
        <v>2.5000000000000001E-3</v>
      </c>
      <c r="W54" s="389">
        <f t="shared" si="10"/>
        <v>-3.9975000000000001</v>
      </c>
      <c r="X54" s="389">
        <f t="shared" si="11"/>
        <v>4</v>
      </c>
      <c r="Y54" s="389">
        <f t="shared" si="27"/>
        <v>8.0000000000000002E-3</v>
      </c>
      <c r="Z54" s="389">
        <f t="shared" si="12"/>
        <v>-3.992</v>
      </c>
      <c r="AA54" s="389">
        <f t="shared" si="13"/>
        <v>4</v>
      </c>
      <c r="AB54" s="389" t="b">
        <f t="shared" si="14"/>
        <v>0</v>
      </c>
      <c r="AC54" s="389">
        <f t="shared" si="15"/>
        <v>-4</v>
      </c>
      <c r="AD54" s="389">
        <f t="shared" si="16"/>
        <v>4</v>
      </c>
      <c r="AE54" s="389">
        <f t="shared" si="17"/>
        <v>3</v>
      </c>
      <c r="AG54" s="311" t="str">
        <f t="shared" si="18"/>
        <v>Ch A Coed Newcomb-</v>
      </c>
      <c r="AH54" s="453">
        <f t="shared" si="19"/>
        <v>2</v>
      </c>
      <c r="AI54" s="453">
        <f t="shared" si="20"/>
        <v>3</v>
      </c>
      <c r="AJ54" t="str">
        <f t="array" ref="AJ54">IF(AND(AI54&gt;1,G54&lt;&gt;""),INDEX(FS_teams,MATCH(1,(FS_Keys=AG54)*(FS_Points=I54)*(FS_teams&lt;&gt;G54),0)),"")</f>
        <v>CHILD A - VEN 1</v>
      </c>
      <c r="AK54" s="390">
        <f t="array" ref="AK54">IF(AJ54&lt;&gt;"",INDEX(TM_Score1,MATCH(1,(TM_Events=D54)*(TM_Participant1=G54)*(TM_Participant2=AJ54),0)),"")</f>
        <v>0</v>
      </c>
      <c r="AL54" s="390" t="e">
        <f t="array" ref="AL54">IF(AJ54&lt;&gt;"",INDEX(TM_Score1,MATCH(1,(TM_Events=D54)*(TM_Participant1=AJ54)*(TM_Participant2=G54),0)),"")</f>
        <v>#N/A</v>
      </c>
      <c r="AM54" s="389">
        <f t="array" ref="AM54">IF(ISNUMBER(AK54),INDEX(TM_Score2,MATCH(1,(TM_Events=D54)*(TM_Participant1=G54)*(TM_Participant2=AJ54),0)),"")</f>
        <v>2</v>
      </c>
      <c r="AN54" s="389" t="str">
        <f t="array" ref="AN54">IF(ISNUMBER(AL54),INDEX(TM_Score2,MATCH(1,(TM_Events=D54)*(TM_Participant1=AJ54)*(TM_Participant2=G54),0)),"")</f>
        <v/>
      </c>
      <c r="AO54" s="389" t="str">
        <f t="shared" si="21"/>
        <v>Loss</v>
      </c>
      <c r="AP54" s="389">
        <f t="shared" si="28"/>
        <v>1</v>
      </c>
      <c r="AQ54" s="389">
        <f t="shared" si="22"/>
        <v>0</v>
      </c>
      <c r="AR54" s="389">
        <f t="shared" si="23"/>
        <v>2</v>
      </c>
      <c r="AS54" s="453">
        <f t="shared" si="24"/>
        <v>-3</v>
      </c>
      <c r="AT54" s="452">
        <f t="shared" si="25"/>
        <v>2</v>
      </c>
    </row>
    <row r="55" spans="1:46" ht="16" x14ac:dyDescent="0.2">
      <c r="A55" s="298"/>
      <c r="B55"/>
      <c r="D55" s="303" t="s">
        <v>32</v>
      </c>
      <c r="E55" s="396"/>
      <c r="F55" s="387">
        <v>1</v>
      </c>
      <c r="G55" s="397" t="s">
        <v>548</v>
      </c>
      <c r="H55" s="387" t="str">
        <f t="shared" si="0"/>
        <v>3-0-0</v>
      </c>
      <c r="I55" s="389">
        <f t="shared" si="1"/>
        <v>6</v>
      </c>
      <c r="J55" s="455" t="str">
        <f t="shared" si="2"/>
        <v/>
      </c>
      <c r="K55" s="455" t="str">
        <f t="shared" si="3"/>
        <v/>
      </c>
      <c r="L55" s="455" t="str">
        <f t="shared" si="26"/>
        <v/>
      </c>
      <c r="M55" s="389" t="str">
        <f>IFERROR(IF(AD55&lt;=VLOOKUP(D55,Tournaments!$A$1:$B$1772,2,FALSE),"TRUE","FALSE"),"")</f>
        <v>FALSE</v>
      </c>
      <c r="N55" s="389">
        <v>1</v>
      </c>
      <c r="O55" s="389">
        <f t="shared" si="4"/>
        <v>1</v>
      </c>
      <c r="Q55" s="389">
        <f t="shared" si="5"/>
        <v>3</v>
      </c>
      <c r="R55" s="389">
        <f t="shared" si="6"/>
        <v>0</v>
      </c>
      <c r="S55" s="389">
        <f t="shared" si="7"/>
        <v>0</v>
      </c>
      <c r="U55" s="389">
        <f t="shared" si="8"/>
        <v>1</v>
      </c>
      <c r="V55" s="389" t="b">
        <f t="shared" si="9"/>
        <v>0</v>
      </c>
      <c r="W55" s="389">
        <f t="shared" si="10"/>
        <v>-1</v>
      </c>
      <c r="X55" s="389">
        <f t="shared" si="11"/>
        <v>1</v>
      </c>
      <c r="Y55" s="389" t="b">
        <f t="shared" si="27"/>
        <v>0</v>
      </c>
      <c r="Z55" s="389">
        <f t="shared" si="12"/>
        <v>-1</v>
      </c>
      <c r="AA55" s="389">
        <f t="shared" si="13"/>
        <v>1</v>
      </c>
      <c r="AB55" s="389" t="b">
        <f t="shared" si="14"/>
        <v>0</v>
      </c>
      <c r="AC55" s="389">
        <f t="shared" si="15"/>
        <v>-1</v>
      </c>
      <c r="AD55" s="389">
        <f t="shared" si="16"/>
        <v>1</v>
      </c>
      <c r="AE55" s="389">
        <f t="shared" si="17"/>
        <v>1</v>
      </c>
      <c r="AG55" s="311" t="str">
        <f t="shared" si="18"/>
        <v>Ch A Coed Newcomb-</v>
      </c>
      <c r="AH55" s="453">
        <f t="shared" si="19"/>
        <v>1</v>
      </c>
      <c r="AI55" s="453">
        <f t="shared" si="20"/>
        <v>1</v>
      </c>
      <c r="AJ55" t="str">
        <f t="array" ref="AJ55">IF(AND(AI55&gt;1,G55&lt;&gt;""),INDEX(FS_teams,MATCH(1,(FS_Keys=AG55)*(FS_Points=I55)*(FS_teams&lt;&gt;G55),0)),"")</f>
        <v/>
      </c>
      <c r="AK55" s="390" t="str">
        <f t="array" ref="AK55">IF(AJ55&lt;&gt;"",INDEX(TM_Score1,MATCH(1,(TM_Events=D55)*(TM_Participant1=G55)*(TM_Participant2=AJ55),0)),"")</f>
        <v/>
      </c>
      <c r="AL55" s="390" t="str">
        <f t="array" ref="AL55">IF(AJ55&lt;&gt;"",INDEX(TM_Score1,MATCH(1,(TM_Events=D55)*(TM_Participant1=AJ55)*(TM_Participant2=G55),0)),"")</f>
        <v/>
      </c>
      <c r="AM55" s="389" t="str">
        <f t="array" ref="AM55">IF(ISNUMBER(AK55),INDEX(TM_Score2,MATCH(1,(TM_Events=D55)*(TM_Participant1=G55)*(TM_Participant2=AJ55),0)),"")</f>
        <v/>
      </c>
      <c r="AN55" s="389" t="str">
        <f t="array" ref="AN55">IF(ISNUMBER(AL55),INDEX(TM_Score2,MATCH(1,(TM_Events=D55)*(TM_Participant1=AJ55)*(TM_Participant2=G55),0)),"")</f>
        <v/>
      </c>
      <c r="AO55" s="389" t="str">
        <f t="shared" si="21"/>
        <v/>
      </c>
      <c r="AP55" s="389">
        <f t="shared" si="28"/>
        <v>3</v>
      </c>
      <c r="AQ55" s="389">
        <f t="shared" si="22"/>
        <v>0</v>
      </c>
      <c r="AR55" s="389">
        <f t="shared" si="23"/>
        <v>0</v>
      </c>
      <c r="AS55" s="453">
        <f t="shared" si="24"/>
        <v>6</v>
      </c>
      <c r="AT55" s="452">
        <f t="shared" si="25"/>
        <v>6</v>
      </c>
    </row>
    <row r="56" spans="1:46" ht="16" x14ac:dyDescent="0.2">
      <c r="A56" s="298"/>
      <c r="B56"/>
      <c r="D56" s="303" t="s">
        <v>32</v>
      </c>
      <c r="E56" s="396"/>
      <c r="F56" s="387">
        <v>1</v>
      </c>
      <c r="G56" s="397" t="s">
        <v>549</v>
      </c>
      <c r="H56" s="387" t="str">
        <f t="shared" si="0"/>
        <v>1-2-0</v>
      </c>
      <c r="I56" s="389">
        <f t="shared" si="1"/>
        <v>2</v>
      </c>
      <c r="J56" s="455">
        <f t="shared" si="2"/>
        <v>1</v>
      </c>
      <c r="K56" s="455">
        <f t="shared" si="3"/>
        <v>-2</v>
      </c>
      <c r="L56" s="455" t="str">
        <f t="shared" si="26"/>
        <v/>
      </c>
      <c r="M56" s="389" t="str">
        <f>IFERROR(IF(AD56&lt;=VLOOKUP(D56,Tournaments!$A$1:$B$1772,2,FALSE),"TRUE","FALSE"),"")</f>
        <v>FALSE</v>
      </c>
      <c r="N56" s="389">
        <v>1</v>
      </c>
      <c r="O56" s="389">
        <f t="shared" si="4"/>
        <v>3</v>
      </c>
      <c r="Q56" s="389">
        <f t="shared" si="5"/>
        <v>1</v>
      </c>
      <c r="R56" s="389">
        <f t="shared" si="6"/>
        <v>2</v>
      </c>
      <c r="S56" s="389">
        <f t="shared" si="7"/>
        <v>0</v>
      </c>
      <c r="U56" s="389">
        <f t="shared" si="8"/>
        <v>4</v>
      </c>
      <c r="V56" s="389">
        <f t="shared" si="9"/>
        <v>2.5000000000000001E-3</v>
      </c>
      <c r="W56" s="389">
        <f t="shared" si="10"/>
        <v>-3.9975000000000001</v>
      </c>
      <c r="X56" s="389">
        <f t="shared" si="11"/>
        <v>4</v>
      </c>
      <c r="Y56" s="389">
        <f t="shared" si="27"/>
        <v>8.9999999999999993E-3</v>
      </c>
      <c r="Z56" s="389">
        <f t="shared" si="12"/>
        <v>-3.9910000000000001</v>
      </c>
      <c r="AA56" s="389">
        <f t="shared" si="13"/>
        <v>3</v>
      </c>
      <c r="AB56" s="389" t="b">
        <f t="shared" si="14"/>
        <v>0</v>
      </c>
      <c r="AC56" s="389">
        <f t="shared" si="15"/>
        <v>-3</v>
      </c>
      <c r="AD56" s="389">
        <f t="shared" si="16"/>
        <v>3</v>
      </c>
      <c r="AE56" s="389">
        <f t="shared" si="17"/>
        <v>3</v>
      </c>
      <c r="AG56" s="311" t="str">
        <f t="shared" si="18"/>
        <v>Ch A Coed Newcomb-</v>
      </c>
      <c r="AH56" s="453">
        <f t="shared" si="19"/>
        <v>2</v>
      </c>
      <c r="AI56" s="453">
        <f t="shared" si="20"/>
        <v>3</v>
      </c>
      <c r="AJ56" t="str">
        <f t="array" ref="AJ56">IF(AND(AI56&gt;1,G56&lt;&gt;""),INDEX(FS_teams,MATCH(1,(FS_Keys=AG56)*(FS_Points=I56)*(FS_teams&lt;&gt;G56),0)),"")</f>
        <v>CHILD A - COL 1</v>
      </c>
      <c r="AK56" s="390" t="e">
        <f t="array" ref="AK56">IF(AJ56&lt;&gt;"",INDEX(TM_Score1,MATCH(1,(TM_Events=D56)*(TM_Participant1=G56)*(TM_Participant2=AJ56),0)),"")</f>
        <v>#N/A</v>
      </c>
      <c r="AL56" s="390">
        <f t="array" ref="AL56">IF(AJ56&lt;&gt;"",INDEX(TM_Score1,MATCH(1,(TM_Events=D56)*(TM_Participant1=AJ56)*(TM_Participant2=G56),0)),"")</f>
        <v>0</v>
      </c>
      <c r="AM56" s="389" t="str">
        <f t="array" ref="AM56">IF(ISNUMBER(AK56),INDEX(TM_Score2,MATCH(1,(TM_Events=D56)*(TM_Participant1=G56)*(TM_Participant2=AJ56),0)),"")</f>
        <v/>
      </c>
      <c r="AN56" s="389">
        <f t="array" ref="AN56">IF(ISNUMBER(AL56),INDEX(TM_Score2,MATCH(1,(TM_Events=D56)*(TM_Participant1=AJ56)*(TM_Participant2=G56),0)),"")</f>
        <v>2</v>
      </c>
      <c r="AO56" s="389" t="str">
        <f t="shared" si="21"/>
        <v>Win</v>
      </c>
      <c r="AP56" s="389">
        <f t="shared" si="28"/>
        <v>1</v>
      </c>
      <c r="AQ56" s="389">
        <f t="shared" si="22"/>
        <v>0</v>
      </c>
      <c r="AR56" s="389">
        <f t="shared" si="23"/>
        <v>2</v>
      </c>
      <c r="AS56" s="453">
        <f t="shared" si="24"/>
        <v>-2</v>
      </c>
      <c r="AT56" s="452">
        <f t="shared" si="25"/>
        <v>2</v>
      </c>
    </row>
    <row r="57" spans="1:46" ht="16" x14ac:dyDescent="0.2">
      <c r="A57" s="298"/>
      <c r="B57"/>
      <c r="D57" s="303" t="s">
        <v>32</v>
      </c>
      <c r="E57" s="387"/>
      <c r="F57" s="387">
        <v>1</v>
      </c>
      <c r="G57" s="397" t="s">
        <v>775</v>
      </c>
      <c r="H57" s="387" t="str">
        <f t="shared" si="0"/>
        <v>1-2-0</v>
      </c>
      <c r="I57" s="389">
        <f t="shared" si="1"/>
        <v>2</v>
      </c>
      <c r="J57" s="455">
        <f t="shared" si="2"/>
        <v>1</v>
      </c>
      <c r="K57" s="455">
        <f t="shared" si="3"/>
        <v>-1</v>
      </c>
      <c r="L57" s="455" t="str">
        <f t="shared" si="26"/>
        <v/>
      </c>
      <c r="M57" s="389" t="str">
        <f>IFERROR(IF(AD57&lt;=VLOOKUP(D57,Tournaments!$A$1:$B$1772,2,FALSE),"TRUE","FALSE"),"")</f>
        <v>FALSE</v>
      </c>
      <c r="N57" s="389">
        <v>1</v>
      </c>
      <c r="O57" s="389">
        <f t="shared" si="4"/>
        <v>2</v>
      </c>
      <c r="Q57" s="389">
        <f t="shared" si="5"/>
        <v>1</v>
      </c>
      <c r="R57" s="389">
        <f t="shared" si="6"/>
        <v>2</v>
      </c>
      <c r="S57" s="389">
        <f t="shared" si="7"/>
        <v>0</v>
      </c>
      <c r="U57" s="389">
        <f t="shared" si="8"/>
        <v>4</v>
      </c>
      <c r="V57" s="389">
        <f t="shared" si="9"/>
        <v>2.5000000000000001E-3</v>
      </c>
      <c r="W57" s="389">
        <f t="shared" si="10"/>
        <v>-3.9975000000000001</v>
      </c>
      <c r="X57" s="389">
        <f t="shared" si="11"/>
        <v>4</v>
      </c>
      <c r="Y57" s="389">
        <f t="shared" si="27"/>
        <v>9.7999999999999997E-3</v>
      </c>
      <c r="Z57" s="389">
        <f t="shared" si="12"/>
        <v>-3.9902000000000002</v>
      </c>
      <c r="AA57" s="389">
        <f t="shared" si="13"/>
        <v>2</v>
      </c>
      <c r="AB57" s="389" t="b">
        <f t="shared" si="14"/>
        <v>0</v>
      </c>
      <c r="AC57" s="389">
        <f t="shared" si="15"/>
        <v>-2</v>
      </c>
      <c r="AD57" s="389">
        <f t="shared" si="16"/>
        <v>2</v>
      </c>
      <c r="AE57" s="389">
        <f t="shared" si="17"/>
        <v>3</v>
      </c>
      <c r="AG57" s="311" t="str">
        <f t="shared" si="18"/>
        <v>Ch A Coed Newcomb-</v>
      </c>
      <c r="AH57" s="453">
        <f t="shared" si="19"/>
        <v>2</v>
      </c>
      <c r="AI57" s="453">
        <f t="shared" si="20"/>
        <v>3</v>
      </c>
      <c r="AJ57" t="str">
        <f t="array" ref="AJ57">IF(AND(AI57&gt;1,G57&lt;&gt;""),INDEX(FS_teams,MATCH(1,(FS_Keys=AG57)*(FS_Points=I57)*(FS_teams&lt;&gt;G57),0)),"")</f>
        <v>CHILD A - COL 1</v>
      </c>
      <c r="AK57" s="390" t="e">
        <f t="array" ref="AK57">IF(AJ57&lt;&gt;"",INDEX(TM_Score1,MATCH(1,(TM_Events=D57)*(TM_Participant1=G57)*(TM_Participant2=AJ57),0)),"")</f>
        <v>#N/A</v>
      </c>
      <c r="AL57" s="390">
        <f t="array" ref="AL57">IF(AJ57&lt;&gt;"",INDEX(TM_Score1,MATCH(1,(TM_Events=D57)*(TM_Participant1=AJ57)*(TM_Participant2=G57),0)),"")</f>
        <v>2</v>
      </c>
      <c r="AM57" s="389" t="str">
        <f t="array" ref="AM57">IF(ISNUMBER(AK57),INDEX(TM_Score2,MATCH(1,(TM_Events=D57)*(TM_Participant1=G57)*(TM_Participant2=AJ57),0)),"")</f>
        <v/>
      </c>
      <c r="AN57" s="389">
        <f t="array" ref="AN57">IF(ISNUMBER(AL57),INDEX(TM_Score2,MATCH(1,(TM_Events=D57)*(TM_Participant1=AJ57)*(TM_Participant2=G57),0)),"")</f>
        <v>1</v>
      </c>
      <c r="AO57" s="389" t="str">
        <f t="shared" si="21"/>
        <v>Loss</v>
      </c>
      <c r="AP57" s="389">
        <f t="shared" si="28"/>
        <v>1</v>
      </c>
      <c r="AQ57" s="389">
        <f t="shared" si="22"/>
        <v>0</v>
      </c>
      <c r="AR57" s="389">
        <f t="shared" si="23"/>
        <v>2</v>
      </c>
      <c r="AS57" s="453">
        <f t="shared" si="24"/>
        <v>-1</v>
      </c>
      <c r="AT57" s="452">
        <f t="shared" si="25"/>
        <v>3</v>
      </c>
    </row>
    <row r="58" spans="1:46" ht="16" x14ac:dyDescent="0.2">
      <c r="A58" s="298"/>
      <c r="B58"/>
      <c r="D58" s="303" t="s">
        <v>35</v>
      </c>
      <c r="E58" s="396" t="s">
        <v>722</v>
      </c>
      <c r="F58" s="387">
        <v>1</v>
      </c>
      <c r="G58" s="397" t="s">
        <v>557</v>
      </c>
      <c r="H58" s="387" t="str">
        <f t="shared" si="0"/>
        <v>1-2-0</v>
      </c>
      <c r="I58" s="389">
        <f t="shared" si="1"/>
        <v>2</v>
      </c>
      <c r="J58" s="455" t="str">
        <f t="shared" si="2"/>
        <v/>
      </c>
      <c r="K58" s="455" t="str">
        <f t="shared" si="3"/>
        <v/>
      </c>
      <c r="L58" s="455" t="str">
        <f t="shared" si="26"/>
        <v/>
      </c>
      <c r="M58" s="389" t="str">
        <f>IFERROR(IF(AD58&lt;=VLOOKUP(D58,Tournaments!$A$1:$B$1772,2,FALSE),"TRUE","FALSE"),"")</f>
        <v>FALSE</v>
      </c>
      <c r="N58" s="389">
        <v>1</v>
      </c>
      <c r="O58" s="389">
        <f t="shared" si="4"/>
        <v>3</v>
      </c>
      <c r="Q58" s="389">
        <f t="shared" si="5"/>
        <v>1</v>
      </c>
      <c r="R58" s="389">
        <f t="shared" si="6"/>
        <v>2</v>
      </c>
      <c r="S58" s="389">
        <f t="shared" si="7"/>
        <v>0</v>
      </c>
      <c r="U58" s="389">
        <f t="shared" si="8"/>
        <v>3</v>
      </c>
      <c r="V58" s="389" t="b">
        <f t="shared" si="9"/>
        <v>0</v>
      </c>
      <c r="W58" s="389">
        <f t="shared" si="10"/>
        <v>-3</v>
      </c>
      <c r="X58" s="389">
        <f t="shared" si="11"/>
        <v>3</v>
      </c>
      <c r="Y58" s="389" t="b">
        <f t="shared" si="27"/>
        <v>0</v>
      </c>
      <c r="Z58" s="389">
        <f t="shared" si="12"/>
        <v>-3</v>
      </c>
      <c r="AA58" s="389">
        <f t="shared" si="13"/>
        <v>3</v>
      </c>
      <c r="AB58" s="389" t="b">
        <f t="shared" si="14"/>
        <v>0</v>
      </c>
      <c r="AC58" s="389">
        <f t="shared" si="15"/>
        <v>-3</v>
      </c>
      <c r="AD58" s="389">
        <f t="shared" si="16"/>
        <v>3</v>
      </c>
      <c r="AE58" s="389">
        <f t="shared" si="17"/>
        <v>1</v>
      </c>
      <c r="AG58" s="311" t="str">
        <f t="shared" si="18"/>
        <v>Ch B Coed Basketball-Pool A</v>
      </c>
      <c r="AH58" s="453">
        <f t="shared" si="19"/>
        <v>3</v>
      </c>
      <c r="AI58" s="453">
        <f t="shared" si="20"/>
        <v>1</v>
      </c>
      <c r="AJ58" t="str">
        <f t="array" ref="AJ58">IF(AND(AI58&gt;1,G58&lt;&gt;""),INDEX(FS_teams,MATCH(1,(FS_Keys=AG58)*(FS_Points=I58)*(FS_teams&lt;&gt;G58),0)),"")</f>
        <v/>
      </c>
      <c r="AK58" s="390" t="str">
        <f t="array" ref="AK58">IF(AJ58&lt;&gt;"",INDEX(TM_Score1,MATCH(1,(TM_Events=D58)*(TM_Participant1=G58)*(TM_Participant2=AJ58),0)),"")</f>
        <v/>
      </c>
      <c r="AL58" s="390" t="str">
        <f t="array" ref="AL58">IF(AJ58&lt;&gt;"",INDEX(TM_Score1,MATCH(1,(TM_Events=D58)*(TM_Participant1=AJ58)*(TM_Participant2=G58),0)),"")</f>
        <v/>
      </c>
      <c r="AM58" s="389" t="str">
        <f t="array" ref="AM58">IF(ISNUMBER(AK58),INDEX(TM_Score2,MATCH(1,(TM_Events=D58)*(TM_Participant1=G58)*(TM_Participant2=AJ58),0)),"")</f>
        <v/>
      </c>
      <c r="AN58" s="389" t="str">
        <f t="array" ref="AN58">IF(ISNUMBER(AL58),INDEX(TM_Score2,MATCH(1,(TM_Events=D58)*(TM_Participant1=AJ58)*(TM_Participant2=G58),0)),"")</f>
        <v/>
      </c>
      <c r="AO58" s="389" t="str">
        <f t="shared" si="21"/>
        <v/>
      </c>
      <c r="AP58" s="389">
        <f t="shared" si="28"/>
        <v>1</v>
      </c>
      <c r="AQ58" s="389">
        <f t="shared" si="22"/>
        <v>0</v>
      </c>
      <c r="AR58" s="389">
        <f t="shared" si="23"/>
        <v>2</v>
      </c>
      <c r="AS58" s="453">
        <f t="shared" si="24"/>
        <v>-10</v>
      </c>
      <c r="AT58" s="452">
        <f t="shared" si="25"/>
        <v>37</v>
      </c>
    </row>
    <row r="59" spans="1:46" ht="16" x14ac:dyDescent="0.2">
      <c r="A59" s="298"/>
      <c r="B59"/>
      <c r="D59" s="303" t="s">
        <v>35</v>
      </c>
      <c r="E59" s="396" t="s">
        <v>722</v>
      </c>
      <c r="F59" s="387">
        <v>1</v>
      </c>
      <c r="G59" s="397" t="s">
        <v>559</v>
      </c>
      <c r="H59" s="387" t="str">
        <f t="shared" si="0"/>
        <v>3-1-0</v>
      </c>
      <c r="I59" s="389">
        <f t="shared" si="1"/>
        <v>6</v>
      </c>
      <c r="J59" s="455" t="str">
        <f t="shared" si="2"/>
        <v/>
      </c>
      <c r="K59" s="455" t="str">
        <f t="shared" si="3"/>
        <v/>
      </c>
      <c r="L59" s="455" t="str">
        <f t="shared" si="26"/>
        <v/>
      </c>
      <c r="M59" s="389" t="str">
        <f>IFERROR(IF(AD59&lt;=VLOOKUP(D59,Tournaments!$A$1:$B$1772,2,FALSE),"TRUE","FALSE"),"")</f>
        <v>TRUE</v>
      </c>
      <c r="N59" s="389">
        <v>1</v>
      </c>
      <c r="O59" s="389">
        <f t="shared" si="4"/>
        <v>1</v>
      </c>
      <c r="Q59" s="389">
        <f t="shared" si="5"/>
        <v>3</v>
      </c>
      <c r="R59" s="389">
        <f t="shared" si="6"/>
        <v>1</v>
      </c>
      <c r="S59" s="389">
        <f t="shared" si="7"/>
        <v>0</v>
      </c>
      <c r="U59" s="389">
        <f t="shared" si="8"/>
        <v>1</v>
      </c>
      <c r="V59" s="389" t="b">
        <f t="shared" si="9"/>
        <v>0</v>
      </c>
      <c r="W59" s="389">
        <f t="shared" si="10"/>
        <v>-1</v>
      </c>
      <c r="X59" s="389">
        <f t="shared" si="11"/>
        <v>1</v>
      </c>
      <c r="Y59" s="389" t="b">
        <f t="shared" si="27"/>
        <v>0</v>
      </c>
      <c r="Z59" s="389">
        <f t="shared" si="12"/>
        <v>-1</v>
      </c>
      <c r="AA59" s="389">
        <f t="shared" si="13"/>
        <v>1</v>
      </c>
      <c r="AB59" s="389" t="b">
        <f t="shared" si="14"/>
        <v>0</v>
      </c>
      <c r="AC59" s="389">
        <f t="shared" si="15"/>
        <v>-1</v>
      </c>
      <c r="AD59" s="389">
        <f t="shared" si="16"/>
        <v>1</v>
      </c>
      <c r="AE59" s="389">
        <f t="shared" si="17"/>
        <v>1</v>
      </c>
      <c r="AG59" s="311" t="str">
        <f t="shared" si="18"/>
        <v>Ch B Coed Basketball-Pool A</v>
      </c>
      <c r="AH59" s="453">
        <f t="shared" si="19"/>
        <v>1</v>
      </c>
      <c r="AI59" s="453">
        <f t="shared" si="20"/>
        <v>1</v>
      </c>
      <c r="AJ59" t="str">
        <f t="array" ref="AJ59">IF(AND(AI59&gt;1,G59&lt;&gt;""),INDEX(FS_teams,MATCH(1,(FS_Keys=AG59)*(FS_Points=I59)*(FS_teams&lt;&gt;G59),0)),"")</f>
        <v/>
      </c>
      <c r="AK59" s="390" t="str">
        <f t="array" ref="AK59">IF(AJ59&lt;&gt;"",INDEX(TM_Score1,MATCH(1,(TM_Events=D59)*(TM_Participant1=G59)*(TM_Participant2=AJ59),0)),"")</f>
        <v/>
      </c>
      <c r="AL59" s="390" t="str">
        <f t="array" ref="AL59">IF(AJ59&lt;&gt;"",INDEX(TM_Score1,MATCH(1,(TM_Events=D59)*(TM_Participant1=AJ59)*(TM_Participant2=G59),0)),"")</f>
        <v/>
      </c>
      <c r="AM59" s="389" t="str">
        <f t="array" ref="AM59">IF(ISNUMBER(AK59),INDEX(TM_Score2,MATCH(1,(TM_Events=D59)*(TM_Participant1=G59)*(TM_Participant2=AJ59),0)),"")</f>
        <v/>
      </c>
      <c r="AN59" s="389" t="str">
        <f t="array" ref="AN59">IF(ISNUMBER(AL59),INDEX(TM_Score2,MATCH(1,(TM_Events=D59)*(TM_Participant1=AJ59)*(TM_Participant2=G59),0)),"")</f>
        <v/>
      </c>
      <c r="AO59" s="389" t="str">
        <f t="shared" si="21"/>
        <v/>
      </c>
      <c r="AP59" s="389">
        <f t="shared" si="28"/>
        <v>3</v>
      </c>
      <c r="AQ59" s="389">
        <f t="shared" si="22"/>
        <v>0</v>
      </c>
      <c r="AR59" s="389">
        <f t="shared" si="23"/>
        <v>1</v>
      </c>
      <c r="AS59" s="453">
        <f t="shared" si="24"/>
        <v>12</v>
      </c>
      <c r="AT59" s="452">
        <f t="shared" si="25"/>
        <v>50</v>
      </c>
    </row>
    <row r="60" spans="1:46" ht="16" x14ac:dyDescent="0.2">
      <c r="A60" s="298"/>
      <c r="B60"/>
      <c r="D60" s="298" t="s">
        <v>35</v>
      </c>
      <c r="E60" s="389" t="s">
        <v>722</v>
      </c>
      <c r="F60" s="389">
        <v>1</v>
      </c>
      <c r="G60" s="390" t="s">
        <v>561</v>
      </c>
      <c r="H60" s="387" t="str">
        <f t="shared" si="0"/>
        <v>0-3-0</v>
      </c>
      <c r="I60" s="389">
        <f t="shared" si="1"/>
        <v>0</v>
      </c>
      <c r="J60" s="455" t="str">
        <f t="shared" si="2"/>
        <v/>
      </c>
      <c r="K60" s="455" t="str">
        <f t="shared" si="3"/>
        <v/>
      </c>
      <c r="L60" s="455" t="str">
        <f t="shared" si="26"/>
        <v/>
      </c>
      <c r="M60" s="389" t="str">
        <f>IFERROR(IF(AD60&lt;=VLOOKUP(D60,Tournaments!$A$1:$B$1772,2,FALSE),"TRUE","FALSE"),"")</f>
        <v>FALSE</v>
      </c>
      <c r="N60" s="389">
        <v>1</v>
      </c>
      <c r="O60" s="389">
        <f t="shared" si="4"/>
        <v>4</v>
      </c>
      <c r="Q60" s="389">
        <f t="shared" si="5"/>
        <v>0</v>
      </c>
      <c r="R60" s="389">
        <f t="shared" si="6"/>
        <v>3</v>
      </c>
      <c r="S60" s="389">
        <f t="shared" si="7"/>
        <v>0</v>
      </c>
      <c r="U60" s="389">
        <f t="shared" si="8"/>
        <v>4</v>
      </c>
      <c r="V60" s="389" t="b">
        <f t="shared" si="9"/>
        <v>0</v>
      </c>
      <c r="W60" s="389">
        <f t="shared" si="10"/>
        <v>-4</v>
      </c>
      <c r="X60" s="389">
        <f t="shared" si="11"/>
        <v>4</v>
      </c>
      <c r="Y60" s="389" t="b">
        <f t="shared" si="27"/>
        <v>0</v>
      </c>
      <c r="Z60" s="389">
        <f t="shared" si="12"/>
        <v>-4</v>
      </c>
      <c r="AA60" s="389">
        <f t="shared" si="13"/>
        <v>4</v>
      </c>
      <c r="AB60" s="389" t="b">
        <f t="shared" si="14"/>
        <v>0</v>
      </c>
      <c r="AC60" s="389">
        <f t="shared" si="15"/>
        <v>-4</v>
      </c>
      <c r="AD60" s="389">
        <f t="shared" si="16"/>
        <v>4</v>
      </c>
      <c r="AE60" s="389">
        <f t="shared" si="17"/>
        <v>1</v>
      </c>
      <c r="AG60" s="311" t="str">
        <f t="shared" si="18"/>
        <v>Ch B Coed Basketball-Pool A</v>
      </c>
      <c r="AH60" s="453">
        <f t="shared" si="19"/>
        <v>4</v>
      </c>
      <c r="AI60" s="453">
        <f t="shared" si="20"/>
        <v>1</v>
      </c>
      <c r="AJ60" t="str">
        <f t="array" ref="AJ60">IF(AND(AI60&gt;1,G60&lt;&gt;""),INDEX(FS_teams,MATCH(1,(FS_Keys=AG60)*(FS_Points=I60)*(FS_teams&lt;&gt;G60),0)),"")</f>
        <v/>
      </c>
      <c r="AK60" s="390" t="str">
        <f t="array" ref="AK60">IF(AJ60&lt;&gt;"",INDEX(TM_Score1,MATCH(1,(TM_Events=D60)*(TM_Participant1=G60)*(TM_Participant2=AJ60),0)),"")</f>
        <v/>
      </c>
      <c r="AL60" s="390" t="str">
        <f t="array" ref="AL60">IF(AJ60&lt;&gt;"",INDEX(TM_Score1,MATCH(1,(TM_Events=D60)*(TM_Participant1=AJ60)*(TM_Participant2=G60),0)),"")</f>
        <v/>
      </c>
      <c r="AM60" s="389" t="str">
        <f t="array" ref="AM60">IF(ISNUMBER(AK60),INDEX(TM_Score2,MATCH(1,(TM_Events=D60)*(TM_Participant1=G60)*(TM_Participant2=AJ60),0)),"")</f>
        <v/>
      </c>
      <c r="AN60" s="389" t="str">
        <f t="array" ref="AN60">IF(ISNUMBER(AL60),INDEX(TM_Score2,MATCH(1,(TM_Events=D60)*(TM_Participant1=AJ60)*(TM_Participant2=G60),0)),"")</f>
        <v/>
      </c>
      <c r="AO60" s="389" t="str">
        <f t="shared" si="21"/>
        <v/>
      </c>
      <c r="AP60" s="389">
        <f t="shared" si="28"/>
        <v>0</v>
      </c>
      <c r="AQ60" s="389">
        <f t="shared" si="22"/>
        <v>0</v>
      </c>
      <c r="AR60" s="389">
        <f t="shared" si="23"/>
        <v>3</v>
      </c>
      <c r="AS60" s="453">
        <f t="shared" si="24"/>
        <v>-10</v>
      </c>
      <c r="AT60" s="452">
        <f t="shared" si="25"/>
        <v>14</v>
      </c>
    </row>
    <row r="61" spans="1:46" s="333" customFormat="1" ht="16" x14ac:dyDescent="0.2">
      <c r="A61" s="367"/>
      <c r="D61" s="368" t="s">
        <v>35</v>
      </c>
      <c r="E61" s="399" t="s">
        <v>722</v>
      </c>
      <c r="F61" s="400">
        <v>1</v>
      </c>
      <c r="G61" s="401" t="s">
        <v>554</v>
      </c>
      <c r="H61" s="400" t="str">
        <f t="shared" si="0"/>
        <v>2-1-0</v>
      </c>
      <c r="I61" s="389">
        <f t="shared" si="1"/>
        <v>4</v>
      </c>
      <c r="J61" s="455" t="str">
        <f t="shared" si="2"/>
        <v/>
      </c>
      <c r="K61" s="455" t="str">
        <f t="shared" si="3"/>
        <v/>
      </c>
      <c r="L61" s="455" t="str">
        <f t="shared" si="26"/>
        <v/>
      </c>
      <c r="M61" s="402" t="str">
        <f>IFERROR(IF(AD61&lt;=VLOOKUP(D61,Tournaments!$A$1:$B$1772,2,FALSE),"TRUE","FALSE"),"")</f>
        <v>FALSE</v>
      </c>
      <c r="N61" s="402">
        <v>1</v>
      </c>
      <c r="O61" s="402">
        <f t="shared" si="4"/>
        <v>2</v>
      </c>
      <c r="P61" s="403"/>
      <c r="Q61" s="402">
        <f t="shared" si="5"/>
        <v>2</v>
      </c>
      <c r="R61" s="402">
        <f t="shared" si="6"/>
        <v>1</v>
      </c>
      <c r="S61" s="402">
        <f t="shared" si="7"/>
        <v>0</v>
      </c>
      <c r="T61" s="402"/>
      <c r="U61" s="402">
        <f t="shared" si="8"/>
        <v>2</v>
      </c>
      <c r="V61" s="402" t="b">
        <f t="shared" si="9"/>
        <v>0</v>
      </c>
      <c r="W61" s="402">
        <f t="shared" si="10"/>
        <v>-2</v>
      </c>
      <c r="X61" s="402">
        <f t="shared" si="11"/>
        <v>2</v>
      </c>
      <c r="Y61" s="402" t="b">
        <f t="shared" si="27"/>
        <v>0</v>
      </c>
      <c r="Z61" s="402">
        <f t="shared" si="12"/>
        <v>-2</v>
      </c>
      <c r="AA61" s="402">
        <f t="shared" si="13"/>
        <v>2</v>
      </c>
      <c r="AB61" s="402" t="b">
        <f t="shared" si="14"/>
        <v>0</v>
      </c>
      <c r="AC61" s="402">
        <f t="shared" si="15"/>
        <v>-2</v>
      </c>
      <c r="AD61" s="402">
        <f t="shared" si="16"/>
        <v>2</v>
      </c>
      <c r="AE61" s="402">
        <f t="shared" si="17"/>
        <v>1</v>
      </c>
      <c r="AG61" s="369" t="str">
        <f t="shared" si="18"/>
        <v>Ch B Coed Basketball-Pool A</v>
      </c>
      <c r="AH61" s="402">
        <f t="shared" si="19"/>
        <v>2</v>
      </c>
      <c r="AI61" s="402">
        <f t="shared" si="20"/>
        <v>1</v>
      </c>
      <c r="AJ61" s="333" t="str">
        <f t="array" ref="AJ61">IF(AND(AI61&gt;1,G61&lt;&gt;""),INDEX(FS_teams,MATCH(1,(FS_Keys=AG61)*(FS_Points=I61)*(FS_teams&lt;&gt;G61),0)),"")</f>
        <v/>
      </c>
      <c r="AK61" s="406" t="str">
        <f t="array" ref="AK61">IF(AJ61&lt;&gt;"",INDEX(TM_Score1,MATCH(1,(TM_Events=D61)*(TM_Participant1=G61)*(TM_Participant2=AJ61),0)),"")</f>
        <v/>
      </c>
      <c r="AL61" s="406" t="str">
        <f t="array" ref="AL61">IF(AJ61&lt;&gt;"",INDEX(TM_Score1,MATCH(1,(TM_Events=D61)*(TM_Participant1=AJ61)*(TM_Participant2=G61),0)),"")</f>
        <v/>
      </c>
      <c r="AM61" s="402" t="str">
        <f t="array" ref="AM61">IF(ISNUMBER(AK61),INDEX(TM_Score2,MATCH(1,(TM_Events=D61)*(TM_Participant1=G61)*(TM_Participant2=AJ61),0)),"")</f>
        <v/>
      </c>
      <c r="AN61" s="402" t="str">
        <f t="array" ref="AN61">IF(ISNUMBER(AL61),INDEX(TM_Score2,MATCH(1,(TM_Events=D61)*(TM_Participant1=AJ61)*(TM_Participant2=G61),0)),"")</f>
        <v/>
      </c>
      <c r="AO61" s="402" t="str">
        <f t="shared" si="21"/>
        <v/>
      </c>
      <c r="AP61" s="402">
        <f t="shared" si="28"/>
        <v>2</v>
      </c>
      <c r="AQ61" s="402">
        <f t="shared" si="22"/>
        <v>0</v>
      </c>
      <c r="AR61" s="402">
        <f t="shared" si="23"/>
        <v>1</v>
      </c>
      <c r="AS61" s="453">
        <f t="shared" si="24"/>
        <v>6</v>
      </c>
      <c r="AT61" s="452">
        <f t="shared" si="25"/>
        <v>40</v>
      </c>
    </row>
    <row r="62" spans="1:46" ht="16" x14ac:dyDescent="0.2">
      <c r="A62" s="298"/>
      <c r="B62"/>
      <c r="D62" s="303" t="s">
        <v>35</v>
      </c>
      <c r="E62" s="396" t="s">
        <v>723</v>
      </c>
      <c r="F62" s="387">
        <v>1</v>
      </c>
      <c r="G62" s="397" t="s">
        <v>558</v>
      </c>
      <c r="H62" s="387" t="str">
        <f t="shared" si="0"/>
        <v>2-1-0</v>
      </c>
      <c r="I62" s="389">
        <f t="shared" si="1"/>
        <v>4</v>
      </c>
      <c r="J62" s="455" t="str">
        <f t="shared" si="2"/>
        <v/>
      </c>
      <c r="K62" s="455" t="str">
        <f t="shared" si="3"/>
        <v/>
      </c>
      <c r="L62" s="455" t="str">
        <f t="shared" si="26"/>
        <v/>
      </c>
      <c r="M62" s="389" t="str">
        <f>IFERROR(IF(AD62&lt;=VLOOKUP(D62,Tournaments!$A$1:$B$1772,2,FALSE),"TRUE","FALSE"),"")</f>
        <v>FALSE</v>
      </c>
      <c r="N62" s="389">
        <v>1</v>
      </c>
      <c r="O62" s="389">
        <f t="shared" si="4"/>
        <v>2</v>
      </c>
      <c r="Q62" s="389">
        <f t="shared" si="5"/>
        <v>2</v>
      </c>
      <c r="R62" s="389">
        <f t="shared" si="6"/>
        <v>1</v>
      </c>
      <c r="S62" s="389">
        <f t="shared" si="7"/>
        <v>0</v>
      </c>
      <c r="U62" s="389">
        <f t="shared" si="8"/>
        <v>2</v>
      </c>
      <c r="V62" s="389" t="b">
        <f t="shared" si="9"/>
        <v>0</v>
      </c>
      <c r="W62" s="389">
        <f t="shared" si="10"/>
        <v>-2</v>
      </c>
      <c r="X62" s="389">
        <f t="shared" si="11"/>
        <v>2</v>
      </c>
      <c r="Y62" s="389" t="b">
        <f t="shared" si="27"/>
        <v>0</v>
      </c>
      <c r="Z62" s="389">
        <f t="shared" si="12"/>
        <v>-2</v>
      </c>
      <c r="AA62" s="389">
        <f t="shared" si="13"/>
        <v>2</v>
      </c>
      <c r="AB62" s="389" t="b">
        <f t="shared" si="14"/>
        <v>0</v>
      </c>
      <c r="AC62" s="389">
        <f t="shared" si="15"/>
        <v>-2</v>
      </c>
      <c r="AD62" s="389">
        <f t="shared" si="16"/>
        <v>2</v>
      </c>
      <c r="AE62" s="389">
        <f t="shared" si="17"/>
        <v>1</v>
      </c>
      <c r="AG62" s="311" t="str">
        <f t="shared" si="18"/>
        <v>Ch B Coed Basketball-Pool B</v>
      </c>
      <c r="AH62" s="453">
        <f t="shared" si="19"/>
        <v>2</v>
      </c>
      <c r="AI62" s="453">
        <f t="shared" si="20"/>
        <v>1</v>
      </c>
      <c r="AJ62" t="str">
        <f t="array" ref="AJ62">IF(AND(AI62&gt;1,G62&lt;&gt;""),INDEX(FS_teams,MATCH(1,(FS_Keys=AG62)*(FS_Points=I62)*(FS_teams&lt;&gt;G62),0)),"")</f>
        <v/>
      </c>
      <c r="AK62" s="390" t="str">
        <f t="array" ref="AK62">IF(AJ62&lt;&gt;"",INDEX(TM_Score1,MATCH(1,(TM_Events=D62)*(TM_Participant1=G62)*(TM_Participant2=AJ62),0)),"")</f>
        <v/>
      </c>
      <c r="AL62" s="390" t="str">
        <f t="array" ref="AL62">IF(AJ62&lt;&gt;"",INDEX(TM_Score1,MATCH(1,(TM_Events=D62)*(TM_Participant1=AJ62)*(TM_Participant2=G62),0)),"")</f>
        <v/>
      </c>
      <c r="AM62" s="389" t="str">
        <f t="array" ref="AM62">IF(ISNUMBER(AK62),INDEX(TM_Score2,MATCH(1,(TM_Events=D62)*(TM_Participant1=G62)*(TM_Participant2=AJ62),0)),"")</f>
        <v/>
      </c>
      <c r="AN62" s="389" t="str">
        <f t="array" ref="AN62">IF(ISNUMBER(AL62),INDEX(TM_Score2,MATCH(1,(TM_Events=D62)*(TM_Participant1=AJ62)*(TM_Participant2=G62),0)),"")</f>
        <v/>
      </c>
      <c r="AO62" s="389" t="str">
        <f t="shared" si="21"/>
        <v/>
      </c>
      <c r="AP62" s="389">
        <f t="shared" si="28"/>
        <v>2</v>
      </c>
      <c r="AQ62" s="389">
        <f t="shared" si="22"/>
        <v>0</v>
      </c>
      <c r="AR62" s="389">
        <f t="shared" si="23"/>
        <v>1</v>
      </c>
      <c r="AS62" s="453">
        <f t="shared" si="24"/>
        <v>12</v>
      </c>
      <c r="AT62" s="452">
        <f t="shared" si="25"/>
        <v>22</v>
      </c>
    </row>
    <row r="63" spans="1:46" ht="16" x14ac:dyDescent="0.2">
      <c r="A63" s="298"/>
      <c r="B63"/>
      <c r="D63" s="303" t="s">
        <v>35</v>
      </c>
      <c r="E63" s="396" t="s">
        <v>723</v>
      </c>
      <c r="F63" s="387">
        <v>1</v>
      </c>
      <c r="G63" s="397" t="s">
        <v>555</v>
      </c>
      <c r="H63" s="387" t="str">
        <f t="shared" si="0"/>
        <v>4-0-0</v>
      </c>
      <c r="I63" s="389">
        <f t="shared" si="1"/>
        <v>8</v>
      </c>
      <c r="J63" s="455" t="str">
        <f t="shared" si="2"/>
        <v/>
      </c>
      <c r="K63" s="455" t="str">
        <f t="shared" si="3"/>
        <v/>
      </c>
      <c r="L63" s="455" t="str">
        <f t="shared" si="26"/>
        <v/>
      </c>
      <c r="M63" s="389" t="str">
        <f>IFERROR(IF(AD63&lt;=VLOOKUP(D63,Tournaments!$A$1:$B$1772,2,FALSE),"TRUE","FALSE"),"")</f>
        <v>TRUE</v>
      </c>
      <c r="N63" s="389">
        <v>1</v>
      </c>
      <c r="O63" s="389">
        <f t="shared" si="4"/>
        <v>1</v>
      </c>
      <c r="Q63" s="389">
        <f t="shared" si="5"/>
        <v>4</v>
      </c>
      <c r="R63" s="389">
        <f t="shared" si="6"/>
        <v>0</v>
      </c>
      <c r="S63" s="389">
        <f t="shared" si="7"/>
        <v>0</v>
      </c>
      <c r="U63" s="389">
        <f t="shared" si="8"/>
        <v>1</v>
      </c>
      <c r="V63" s="389" t="b">
        <f t="shared" si="9"/>
        <v>0</v>
      </c>
      <c r="W63" s="389">
        <f t="shared" si="10"/>
        <v>-1</v>
      </c>
      <c r="X63" s="389">
        <f t="shared" si="11"/>
        <v>1</v>
      </c>
      <c r="Y63" s="389" t="b">
        <f t="shared" si="27"/>
        <v>0</v>
      </c>
      <c r="Z63" s="389">
        <f t="shared" si="12"/>
        <v>-1</v>
      </c>
      <c r="AA63" s="389">
        <f t="shared" si="13"/>
        <v>1</v>
      </c>
      <c r="AB63" s="389" t="b">
        <f t="shared" si="14"/>
        <v>0</v>
      </c>
      <c r="AC63" s="389">
        <f t="shared" si="15"/>
        <v>-1</v>
      </c>
      <c r="AD63" s="389">
        <f t="shared" si="16"/>
        <v>1</v>
      </c>
      <c r="AE63" s="389">
        <f t="shared" si="17"/>
        <v>1</v>
      </c>
      <c r="AG63" s="311" t="str">
        <f t="shared" si="18"/>
        <v>Ch B Coed Basketball-Pool B</v>
      </c>
      <c r="AH63" s="453">
        <f t="shared" si="19"/>
        <v>1</v>
      </c>
      <c r="AI63" s="453">
        <f t="shared" si="20"/>
        <v>1</v>
      </c>
      <c r="AJ63" t="str">
        <f t="array" ref="AJ63">IF(AND(AI63&gt;1,G63&lt;&gt;""),INDEX(FS_teams,MATCH(1,(FS_Keys=AG63)*(FS_Points=I63)*(FS_teams&lt;&gt;G63),0)),"")</f>
        <v/>
      </c>
      <c r="AK63" s="390" t="str">
        <f t="array" ref="AK63">IF(AJ63&lt;&gt;"",INDEX(TM_Score1,MATCH(1,(TM_Events=D63)*(TM_Participant1=G63)*(TM_Participant2=AJ63),0)),"")</f>
        <v/>
      </c>
      <c r="AL63" s="390" t="str">
        <f t="array" ref="AL63">IF(AJ63&lt;&gt;"",INDEX(TM_Score1,MATCH(1,(TM_Events=D63)*(TM_Participant1=AJ63)*(TM_Participant2=G63),0)),"")</f>
        <v/>
      </c>
      <c r="AM63" s="389" t="str">
        <f t="array" ref="AM63">IF(ISNUMBER(AK63),INDEX(TM_Score2,MATCH(1,(TM_Events=D63)*(TM_Participant1=G63)*(TM_Participant2=AJ63),0)),"")</f>
        <v/>
      </c>
      <c r="AN63" s="389" t="str">
        <f t="array" ref="AN63">IF(ISNUMBER(AL63),INDEX(TM_Score2,MATCH(1,(TM_Events=D63)*(TM_Participant1=AJ63)*(TM_Participant2=G63),0)),"")</f>
        <v/>
      </c>
      <c r="AO63" s="389" t="str">
        <f t="shared" si="21"/>
        <v/>
      </c>
      <c r="AP63" s="389">
        <f t="shared" si="28"/>
        <v>4</v>
      </c>
      <c r="AQ63" s="389">
        <f t="shared" si="22"/>
        <v>0</v>
      </c>
      <c r="AR63" s="389">
        <f t="shared" si="23"/>
        <v>0</v>
      </c>
      <c r="AS63" s="453">
        <f t="shared" si="24"/>
        <v>25</v>
      </c>
      <c r="AT63" s="452">
        <f t="shared" si="25"/>
        <v>49</v>
      </c>
    </row>
    <row r="64" spans="1:46" ht="16" x14ac:dyDescent="0.2">
      <c r="A64" s="298"/>
      <c r="B64"/>
      <c r="D64" s="303" t="s">
        <v>35</v>
      </c>
      <c r="E64" s="396" t="s">
        <v>723</v>
      </c>
      <c r="F64" s="387">
        <v>1</v>
      </c>
      <c r="G64" s="397" t="s">
        <v>560</v>
      </c>
      <c r="H64" s="387" t="str">
        <f t="shared" si="0"/>
        <v>0-3-0</v>
      </c>
      <c r="I64" s="389">
        <f t="shared" si="1"/>
        <v>0</v>
      </c>
      <c r="J64" s="455" t="str">
        <f t="shared" si="2"/>
        <v/>
      </c>
      <c r="K64" s="455" t="str">
        <f t="shared" si="3"/>
        <v/>
      </c>
      <c r="L64" s="455" t="str">
        <f t="shared" si="26"/>
        <v/>
      </c>
      <c r="M64" s="389" t="str">
        <f>IFERROR(IF(AD64&lt;=VLOOKUP(D64,Tournaments!$A$1:$B$1772,2,FALSE),"TRUE","FALSE"),"")</f>
        <v>FALSE</v>
      </c>
      <c r="N64" s="389">
        <v>1</v>
      </c>
      <c r="O64" s="389">
        <f t="shared" si="4"/>
        <v>4</v>
      </c>
      <c r="Q64" s="389">
        <f t="shared" si="5"/>
        <v>0</v>
      </c>
      <c r="R64" s="389">
        <f t="shared" si="6"/>
        <v>3</v>
      </c>
      <c r="S64" s="389">
        <f t="shared" si="7"/>
        <v>0</v>
      </c>
      <c r="U64" s="389">
        <f t="shared" si="8"/>
        <v>4</v>
      </c>
      <c r="V64" s="389" t="b">
        <f t="shared" si="9"/>
        <v>0</v>
      </c>
      <c r="W64" s="389">
        <f t="shared" si="10"/>
        <v>-4</v>
      </c>
      <c r="X64" s="389">
        <f t="shared" si="11"/>
        <v>4</v>
      </c>
      <c r="Y64" s="389" t="b">
        <f t="shared" si="27"/>
        <v>0</v>
      </c>
      <c r="Z64" s="389">
        <f t="shared" si="12"/>
        <v>-4</v>
      </c>
      <c r="AA64" s="389">
        <f t="shared" si="13"/>
        <v>4</v>
      </c>
      <c r="AB64" s="389" t="b">
        <f t="shared" si="14"/>
        <v>0</v>
      </c>
      <c r="AC64" s="389">
        <f t="shared" si="15"/>
        <v>-4</v>
      </c>
      <c r="AD64" s="389">
        <f t="shared" si="16"/>
        <v>4</v>
      </c>
      <c r="AE64" s="389">
        <f t="shared" si="17"/>
        <v>1</v>
      </c>
      <c r="AG64" s="311" t="str">
        <f t="shared" si="18"/>
        <v>Ch B Coed Basketball-Pool B</v>
      </c>
      <c r="AH64" s="453">
        <f t="shared" si="19"/>
        <v>4</v>
      </c>
      <c r="AI64" s="453">
        <f t="shared" si="20"/>
        <v>1</v>
      </c>
      <c r="AJ64" t="str">
        <f t="array" ref="AJ64">IF(AND(AI64&gt;1,G64&lt;&gt;""),INDEX(FS_teams,MATCH(1,(FS_Keys=AG64)*(FS_Points=I64)*(FS_teams&lt;&gt;G64),0)),"")</f>
        <v/>
      </c>
      <c r="AK64" s="390" t="str">
        <f t="array" ref="AK64">IF(AJ64&lt;&gt;"",INDEX(TM_Score1,MATCH(1,(TM_Events=D64)*(TM_Participant1=G64)*(TM_Participant2=AJ64),0)),"")</f>
        <v/>
      </c>
      <c r="AL64" s="390" t="str">
        <f t="array" ref="AL64">IF(AJ64&lt;&gt;"",INDEX(TM_Score1,MATCH(1,(TM_Events=D64)*(TM_Participant1=AJ64)*(TM_Participant2=G64),0)),"")</f>
        <v/>
      </c>
      <c r="AM64" s="389" t="str">
        <f t="array" ref="AM64">IF(ISNUMBER(AK64),INDEX(TM_Score2,MATCH(1,(TM_Events=D64)*(TM_Participant1=G64)*(TM_Participant2=AJ64),0)),"")</f>
        <v/>
      </c>
      <c r="AN64" s="389" t="str">
        <f t="array" ref="AN64">IF(ISNUMBER(AL64),INDEX(TM_Score2,MATCH(1,(TM_Events=D64)*(TM_Participant1=AJ64)*(TM_Participant2=G64),0)),"")</f>
        <v/>
      </c>
      <c r="AO64" s="389" t="str">
        <f t="shared" si="21"/>
        <v/>
      </c>
      <c r="AP64" s="389">
        <f t="shared" si="28"/>
        <v>0</v>
      </c>
      <c r="AQ64" s="389">
        <f t="shared" si="22"/>
        <v>0</v>
      </c>
      <c r="AR64" s="389">
        <f t="shared" si="23"/>
        <v>3</v>
      </c>
      <c r="AS64" s="453">
        <f t="shared" si="24"/>
        <v>-25</v>
      </c>
      <c r="AT64" s="452">
        <f t="shared" si="25"/>
        <v>6</v>
      </c>
    </row>
    <row r="65" spans="1:46" ht="16" x14ac:dyDescent="0.2">
      <c r="A65" s="298"/>
      <c r="B65"/>
      <c r="D65" s="303" t="s">
        <v>35</v>
      </c>
      <c r="E65" s="387" t="s">
        <v>723</v>
      </c>
      <c r="F65" s="387">
        <v>1</v>
      </c>
      <c r="G65" s="397" t="s">
        <v>552</v>
      </c>
      <c r="H65" s="387" t="str">
        <f t="shared" si="0"/>
        <v>1-2-0</v>
      </c>
      <c r="I65" s="389">
        <f t="shared" si="1"/>
        <v>2</v>
      </c>
      <c r="J65" s="455" t="str">
        <f t="shared" si="2"/>
        <v/>
      </c>
      <c r="K65" s="455" t="str">
        <f t="shared" si="3"/>
        <v/>
      </c>
      <c r="L65" s="455" t="str">
        <f t="shared" si="26"/>
        <v/>
      </c>
      <c r="M65" s="389" t="str">
        <f>IFERROR(IF(AD65&lt;=VLOOKUP(D65,Tournaments!$A$1:$B$1772,2,FALSE),"TRUE","FALSE"),"")</f>
        <v>FALSE</v>
      </c>
      <c r="N65" s="389">
        <v>1</v>
      </c>
      <c r="O65" s="389">
        <f t="shared" si="4"/>
        <v>3</v>
      </c>
      <c r="Q65" s="389">
        <f t="shared" si="5"/>
        <v>1</v>
      </c>
      <c r="R65" s="389">
        <f t="shared" si="6"/>
        <v>2</v>
      </c>
      <c r="S65" s="389">
        <f t="shared" si="7"/>
        <v>0</v>
      </c>
      <c r="U65" s="389">
        <f t="shared" si="8"/>
        <v>3</v>
      </c>
      <c r="V65" s="389" t="b">
        <f t="shared" si="9"/>
        <v>0</v>
      </c>
      <c r="W65" s="389">
        <f t="shared" si="10"/>
        <v>-3</v>
      </c>
      <c r="X65" s="389">
        <f t="shared" si="11"/>
        <v>3</v>
      </c>
      <c r="Y65" s="389" t="b">
        <f t="shared" si="27"/>
        <v>0</v>
      </c>
      <c r="Z65" s="389">
        <f t="shared" si="12"/>
        <v>-3</v>
      </c>
      <c r="AA65" s="389">
        <f t="shared" si="13"/>
        <v>3</v>
      </c>
      <c r="AB65" s="389" t="b">
        <f t="shared" si="14"/>
        <v>0</v>
      </c>
      <c r="AC65" s="389">
        <f t="shared" si="15"/>
        <v>-3</v>
      </c>
      <c r="AD65" s="389">
        <f t="shared" si="16"/>
        <v>3</v>
      </c>
      <c r="AE65" s="389">
        <f t="shared" si="17"/>
        <v>1</v>
      </c>
      <c r="AG65" s="311" t="str">
        <f t="shared" si="18"/>
        <v>Ch B Coed Basketball-Pool B</v>
      </c>
      <c r="AH65" s="453">
        <f t="shared" si="19"/>
        <v>3</v>
      </c>
      <c r="AI65" s="453">
        <f t="shared" si="20"/>
        <v>1</v>
      </c>
      <c r="AJ65" t="str">
        <f t="array" ref="AJ65">IF(AND(AI65&gt;1,G65&lt;&gt;""),INDEX(FS_teams,MATCH(1,(FS_Keys=AG65)*(FS_Points=I65)*(FS_teams&lt;&gt;G65),0)),"")</f>
        <v/>
      </c>
      <c r="AK65" s="390" t="str">
        <f t="array" ref="AK65">IF(AJ65&lt;&gt;"",INDEX(TM_Score1,MATCH(1,(TM_Events=D65)*(TM_Participant1=G65)*(TM_Participant2=AJ65),0)),"")</f>
        <v/>
      </c>
      <c r="AL65" s="390" t="str">
        <f t="array" ref="AL65">IF(AJ65&lt;&gt;"",INDEX(TM_Score1,MATCH(1,(TM_Events=D65)*(TM_Participant1=AJ65)*(TM_Participant2=G65),0)),"")</f>
        <v/>
      </c>
      <c r="AM65" s="389" t="str">
        <f t="array" ref="AM65">IF(ISNUMBER(AK65),INDEX(TM_Score2,MATCH(1,(TM_Events=D65)*(TM_Participant1=G65)*(TM_Participant2=AJ65),0)),"")</f>
        <v/>
      </c>
      <c r="AN65" s="389" t="str">
        <f t="array" ref="AN65">IF(ISNUMBER(AL65),INDEX(TM_Score2,MATCH(1,(TM_Events=D65)*(TM_Participant1=AJ65)*(TM_Participant2=G65),0)),"")</f>
        <v/>
      </c>
      <c r="AO65" s="389" t="str">
        <f t="shared" si="21"/>
        <v/>
      </c>
      <c r="AP65" s="389">
        <f t="shared" si="28"/>
        <v>1</v>
      </c>
      <c r="AQ65" s="389">
        <f t="shared" si="22"/>
        <v>0</v>
      </c>
      <c r="AR65" s="389">
        <f t="shared" si="23"/>
        <v>2</v>
      </c>
      <c r="AS65" s="453">
        <f t="shared" si="24"/>
        <v>-10</v>
      </c>
      <c r="AT65" s="452">
        <f t="shared" si="25"/>
        <v>16</v>
      </c>
    </row>
    <row r="66" spans="1:46" ht="16" x14ac:dyDescent="0.2">
      <c r="A66" s="298"/>
      <c r="B66"/>
      <c r="D66" s="303" t="s">
        <v>37</v>
      </c>
      <c r="E66" s="396" t="s">
        <v>722</v>
      </c>
      <c r="F66" s="387">
        <v>1</v>
      </c>
      <c r="G66" s="397" t="s">
        <v>561</v>
      </c>
      <c r="H66" s="387" t="str">
        <f t="shared" si="0"/>
        <v>1-2-0</v>
      </c>
      <c r="I66" s="389">
        <f t="shared" si="1"/>
        <v>2</v>
      </c>
      <c r="J66" s="455">
        <f t="shared" si="2"/>
        <v>1</v>
      </c>
      <c r="K66" s="455">
        <f t="shared" si="3"/>
        <v>-5</v>
      </c>
      <c r="L66" s="455" t="str">
        <f t="shared" si="26"/>
        <v/>
      </c>
      <c r="M66" s="389" t="str">
        <f>IFERROR(IF(AD66&lt;=VLOOKUP(D66,Tournaments!$A$1:$B$1772,2,FALSE),"TRUE","FALSE"),"")</f>
        <v>FALSE</v>
      </c>
      <c r="N66" s="389">
        <v>1</v>
      </c>
      <c r="O66" s="389">
        <f t="shared" si="4"/>
        <v>4</v>
      </c>
      <c r="Q66" s="389">
        <f t="shared" si="5"/>
        <v>1</v>
      </c>
      <c r="R66" s="389">
        <f t="shared" si="6"/>
        <v>2</v>
      </c>
      <c r="S66" s="389">
        <f t="shared" si="7"/>
        <v>0</v>
      </c>
      <c r="U66" s="389">
        <f t="shared" si="8"/>
        <v>4</v>
      </c>
      <c r="V66" s="389">
        <f t="shared" si="9"/>
        <v>2.5000000000000001E-3</v>
      </c>
      <c r="W66" s="389">
        <f t="shared" si="10"/>
        <v>-3.9975000000000001</v>
      </c>
      <c r="X66" s="389">
        <f t="shared" si="11"/>
        <v>4</v>
      </c>
      <c r="Y66" s="389">
        <f t="shared" si="27"/>
        <v>6.4000000000000003E-3</v>
      </c>
      <c r="Z66" s="389">
        <f t="shared" si="12"/>
        <v>-3.9935999999999998</v>
      </c>
      <c r="AA66" s="389">
        <f t="shared" si="13"/>
        <v>4</v>
      </c>
      <c r="AB66" s="389" t="b">
        <f t="shared" si="14"/>
        <v>0</v>
      </c>
      <c r="AC66" s="389">
        <f t="shared" si="15"/>
        <v>-4</v>
      </c>
      <c r="AD66" s="389">
        <f t="shared" si="16"/>
        <v>4</v>
      </c>
      <c r="AE66" s="389">
        <f t="shared" si="17"/>
        <v>3</v>
      </c>
      <c r="AG66" s="311" t="str">
        <f t="shared" si="18"/>
        <v>Ch B Coed Kickball-Pool A</v>
      </c>
      <c r="AH66" s="453">
        <f t="shared" si="19"/>
        <v>2</v>
      </c>
      <c r="AI66" s="453">
        <f t="shared" si="20"/>
        <v>3</v>
      </c>
      <c r="AJ66" t="str">
        <f t="array" ref="AJ66">IF(AND(AI66&gt;1,G66&lt;&gt;""),INDEX(FS_teams,MATCH(1,(FS_Keys=AG66)*(FS_Points=I66)*(FS_teams&lt;&gt;G66),0)),"")</f>
        <v>CHILD B - VEN 1</v>
      </c>
      <c r="AK66" s="390" t="e">
        <f t="array" ref="AK66">IF(AJ66&lt;&gt;"",INDEX(TM_Score1,MATCH(1,(TM_Events=D66)*(TM_Participant1=G66)*(TM_Participant2=AJ66),0)),"")</f>
        <v>#N/A</v>
      </c>
      <c r="AL66" s="390">
        <f t="array" ref="AL66">IF(AJ66&lt;&gt;"",INDEX(TM_Score1,MATCH(1,(TM_Events=D66)*(TM_Participant1=AJ66)*(TM_Participant2=G66),0)),"")</f>
        <v>10</v>
      </c>
      <c r="AM66" s="389" t="str">
        <f t="array" ref="AM66">IF(ISNUMBER(AK66),INDEX(TM_Score2,MATCH(1,(TM_Events=D66)*(TM_Participant1=G66)*(TM_Participant2=AJ66),0)),"")</f>
        <v/>
      </c>
      <c r="AN66" s="389">
        <f t="array" ref="AN66">IF(ISNUMBER(AL66),INDEX(TM_Score2,MATCH(1,(TM_Events=D66)*(TM_Participant1=AJ66)*(TM_Participant2=G66),0)),"")</f>
        <v>4</v>
      </c>
      <c r="AO66" s="389" t="str">
        <f t="shared" si="21"/>
        <v>Loss</v>
      </c>
      <c r="AP66" s="389">
        <f t="shared" si="28"/>
        <v>1</v>
      </c>
      <c r="AQ66" s="389">
        <f t="shared" si="22"/>
        <v>0</v>
      </c>
      <c r="AR66" s="389">
        <f t="shared" si="23"/>
        <v>2</v>
      </c>
      <c r="AS66" s="453">
        <f t="shared" si="24"/>
        <v>-5</v>
      </c>
      <c r="AT66" s="452">
        <f t="shared" si="25"/>
        <v>24</v>
      </c>
    </row>
    <row r="67" spans="1:46" ht="16" x14ac:dyDescent="0.2">
      <c r="A67" s="298"/>
      <c r="B67"/>
      <c r="D67" s="303" t="s">
        <v>37</v>
      </c>
      <c r="E67" s="396" t="s">
        <v>722</v>
      </c>
      <c r="F67" s="387">
        <v>1</v>
      </c>
      <c r="G67" s="397" t="s">
        <v>560</v>
      </c>
      <c r="H67" s="387" t="str">
        <f t="shared" ref="H67:H130" si="29">Q67&amp;"-"&amp;R67&amp;"-"&amp;S67</f>
        <v>1-2-0</v>
      </c>
      <c r="I67" s="389">
        <f t="shared" ref="I67:I130" si="30">IF(H67&lt;&gt;"0-0-0",Q67*2+S67,0)</f>
        <v>2</v>
      </c>
      <c r="J67" s="455">
        <f t="shared" si="2"/>
        <v>1</v>
      </c>
      <c r="K67" s="455">
        <f t="shared" ref="K67:K130" si="31">IF(COUNTIFS(AG:AG,AG67,I:I,I67,J:J,J67)&gt;1,AS67,"")</f>
        <v>1</v>
      </c>
      <c r="L67" s="455" t="str">
        <f t="shared" si="26"/>
        <v/>
      </c>
      <c r="M67" s="389" t="str">
        <f>IFERROR(IF(AD67&lt;=VLOOKUP(D67,Tournaments!$A$1:$B$1772,2,FALSE),"TRUE","FALSE"),"")</f>
        <v>FALSE</v>
      </c>
      <c r="N67" s="389">
        <v>1</v>
      </c>
      <c r="O67" s="389">
        <f t="shared" ref="O67:O130" si="32">AD67</f>
        <v>2</v>
      </c>
      <c r="Q67" s="389">
        <f t="shared" ref="Q67:Q130" si="33">AP67</f>
        <v>1</v>
      </c>
      <c r="R67" s="389">
        <f t="shared" ref="R67:R130" si="34">AR67</f>
        <v>2</v>
      </c>
      <c r="S67" s="389">
        <f t="shared" ref="S67:S130" si="35">AQ67</f>
        <v>0</v>
      </c>
      <c r="U67" s="389">
        <f t="shared" ref="U67:U130" si="36">IF(E67&lt;&gt;"",COUNTIFS($D$3:$D$1001,D67,$E$3:$E$1001,E67,$I$3:$I$1001,"&gt;"&amp;I67)+COUNTIFS($D$3:$D$1001,D67,$E$3:$E$1001,E67,$I$3:$I$1001,I67),COUNTIFS($D$3:$D$1001,D67,$I$3:$I$1001,"&gt;"&amp;I67)+COUNTIFS($D$3:$D$1001,D67,$I$3:$I$1001,I67))</f>
        <v>4</v>
      </c>
      <c r="V67" s="389">
        <f t="shared" ref="V67:V130" si="37">IFERROR(RANK(J67,$J:$J,1)/10000,FALSE)</f>
        <v>2.5000000000000001E-3</v>
      </c>
      <c r="W67" s="389">
        <f t="shared" ref="W67:W130" si="38">V67-U67</f>
        <v>-3.9975000000000001</v>
      </c>
      <c r="X67" s="389">
        <f t="shared" ref="X67:X130" si="39">IF(E67&lt;&gt;"",COUNTIFS($D:$D,$D67,$E:$E,$E67,$W:$W,"&gt;"&amp;W67)+COUNTIFS($D:$D,$D67,$E:$E,$E67,$W:$W,W67),COUNTIFS($D:$D,$D67,$W:$W,"&gt;"&amp;W67)+COUNTIFS($D:$D,$D67,$W:$W,W67))</f>
        <v>4</v>
      </c>
      <c r="Y67" s="389">
        <f t="shared" si="27"/>
        <v>7.0000000000000007E-2</v>
      </c>
      <c r="Z67" s="389">
        <f t="shared" ref="Z67:Z130" si="40">Y67-X67</f>
        <v>-3.93</v>
      </c>
      <c r="AA67" s="389">
        <f t="shared" ref="AA67:AA130" si="41">IF(E67&lt;&gt;"",(COUNTIFS($D:$D,D67,$E:$E,E67,$Z:$Z,"&gt;"&amp;Z67)+COUNTIFS($D:$D,D67,$E:$E,E67,$Z:$Z,Z67)),(COUNTIFS($D:$D,D67,$Z:$Z,"&gt;"&amp;Z67)+COUNTIFS($D:$D,D67,$Z:$Z,Z67)))</f>
        <v>2</v>
      </c>
      <c r="AB67" s="389" t="b">
        <f t="shared" ref="AB67:AB130" si="42">IFERROR(RANK(L67,$L:$L,1)/10000,FALSE)</f>
        <v>0</v>
      </c>
      <c r="AC67" s="389">
        <f t="shared" ref="AC67:AC130" si="43">AB67-AA67</f>
        <v>-2</v>
      </c>
      <c r="AD67" s="389">
        <f t="shared" ref="AD67:AD130" si="44">IF(E67&lt;&gt;"",COUNTIFS($D:$D,$D67,$E:$E,$E67,$AC:$AC,"&gt;"&amp;AC67)+COUNTIFS($D:$D,$D67,$E:$E,$E67,$AC:$AC,AC67),COUNTIFS($D:$D,$D67,$AC:$AC,"&gt;"&amp;AC67)+COUNTIFS($D:$D,$D67,$AC:$AC,AC67))</f>
        <v>2</v>
      </c>
      <c r="AE67" s="389">
        <f t="shared" ref="AE67:AE130" si="45">IF(E67&lt;&gt;"",COUNTIFS($D:$D,D67,$E:$E,E67,$I:$I,I67,$J:$J,J67),COUNTIFS($D:$D,D67,$I:$I,I67,$J:$J,J67))</f>
        <v>3</v>
      </c>
      <c r="AG67" s="311" t="str">
        <f t="shared" ref="AG67:AG130" si="46">D67&amp;"-"&amp;E67</f>
        <v>Ch B Coed Kickball-Pool A</v>
      </c>
      <c r="AH67" s="453">
        <f t="shared" ref="AH67:AH130" si="47">IF(G67="","",COUNTIFS(FS_teams,"&lt;&gt;-1",FS_Keys,AG67,FS_Points,"&gt;"&amp;I67)+1)</f>
        <v>2</v>
      </c>
      <c r="AI67" s="453">
        <f t="shared" ref="AI67:AI130" si="48">IF(G67="","",COUNTIFS(FS_Keys,AG67,FS_Rank_on_Points,AH67))</f>
        <v>3</v>
      </c>
      <c r="AJ67" t="str">
        <f t="array" ref="AJ67">IF(AND(AI67&gt;1,G67&lt;&gt;""),INDEX(FS_teams,MATCH(1,(FS_Keys=AG67)*(FS_Points=I67)*(FS_teams&lt;&gt;G67),0)),"")</f>
        <v>CHILD B - VEN 2</v>
      </c>
      <c r="AK67" s="390">
        <f t="array" ref="AK67">IF(AJ67&lt;&gt;"",INDEX(TM_Score1,MATCH(1,(TM_Events=D67)*(TM_Participant1=G67)*(TM_Participant2=AJ67),0)),"")</f>
        <v>10</v>
      </c>
      <c r="AL67" s="390" t="e">
        <f t="array" ref="AL67">IF(AJ67&lt;&gt;"",INDEX(TM_Score1,MATCH(1,(TM_Events=D67)*(TM_Participant1=AJ67)*(TM_Participant2=G67),0)),"")</f>
        <v>#N/A</v>
      </c>
      <c r="AM67" s="389">
        <f t="array" ref="AM67">IF(ISNUMBER(AK67),INDEX(TM_Score2,MATCH(1,(TM_Events=D67)*(TM_Participant1=G67)*(TM_Participant2=AJ67),0)),"")</f>
        <v>4</v>
      </c>
      <c r="AN67" s="389" t="str">
        <f t="array" ref="AN67">IF(ISNUMBER(AL67),INDEX(TM_Score2,MATCH(1,(TM_Events=D67)*(TM_Participant1=AJ67)*(TM_Participant2=G67),0)),"")</f>
        <v/>
      </c>
      <c r="AO67" s="389" t="str">
        <f t="shared" ref="AO67:AO130" si="49">IF(AJ67="","",IF(ISNUMBER(AK67),IF(AK67&gt;AM67,"Win",IF(AK67=AM67,"Tie",IF(AK67&lt;AM67,"Loss","check"))),IF(ISNUMBER(AL67),IF(AN67&gt;AL67,"Win",IF(AN67=AL67,"Tie",IF(AN67&lt;AL67,"Loss","check"))),IF(AND(ISNA(AK67),ISNA(AL67)),"did not play","check"))))</f>
        <v>Win</v>
      </c>
      <c r="AP67" s="389">
        <f t="shared" ref="AP67:AP130" si="50">SUMIFS(TM_W1,TM_Events,D67,TM_Participant1,G67)+SUMIFS(TM_w2,TM_Events,D67,TM_Participant2,G67)</f>
        <v>1</v>
      </c>
      <c r="AQ67" s="389">
        <f t="shared" ref="AQ67:AQ130" si="51">SUMIFS(TM_T1,TM_Events,D67,TM_Participant1,G67)+SUMIFS(TM_T2,TM_Events,D67,TM_Participant2,G67)</f>
        <v>0</v>
      </c>
      <c r="AR67" s="389">
        <f t="shared" ref="AR67:AR130" si="52">SUMIFS(TM_L1,TM_Events,D67,TM_Participant1,G67)+SUMIFS(TM_L2,TM_Events,D67,TM_Participant2,G67)</f>
        <v>2</v>
      </c>
      <c r="AS67" s="453">
        <f t="shared" ref="AS67:AS130" si="53">SUMIFS(Net_1,TM_Events,D67,TM_Participant1,G67)+SUMIFS(Net_2,TM_Events,D67,TM_Participant2,G67)</f>
        <v>1</v>
      </c>
      <c r="AT67" s="452">
        <f t="shared" ref="AT67:AT130" si="54">SUMIFS(Score_1,TM_Events,D67,TM_Participant1,G67)+SUMIFS(Score_2,TM_Events,D67,TM_Participant2,G67)</f>
        <v>21</v>
      </c>
    </row>
    <row r="68" spans="1:46" s="333" customFormat="1" ht="16" x14ac:dyDescent="0.2">
      <c r="A68" s="367"/>
      <c r="D68" s="368" t="s">
        <v>37</v>
      </c>
      <c r="E68" s="399" t="s">
        <v>722</v>
      </c>
      <c r="F68" s="400">
        <v>1</v>
      </c>
      <c r="G68" s="401" t="s">
        <v>559</v>
      </c>
      <c r="H68" s="400" t="str">
        <f t="shared" si="29"/>
        <v>1-2-0</v>
      </c>
      <c r="I68" s="389">
        <f t="shared" si="30"/>
        <v>2</v>
      </c>
      <c r="J68" s="455">
        <f t="shared" ref="J68:J131" si="55">IF(E68&lt;&gt;"",IF(COUNTIFS($D:$D,D68,$E:$E,E68,$I:$I,I68)&lt;3,IFERROR(IF(H68&lt;&gt;"0-0-0",IF(AO68&lt;&gt;"",IF(AO68="Win",2,IF(AO68="Loss",0,1)),""),""),""),1),IF(COUNTIFS(D:D,D68,I:I,I68)&lt;3,IFERROR(IF(H68&lt;&gt;"0-0-0",IF(AO68&lt;&gt;"",IF(AO68="Win",2,IF(AO68="Loss",0,1)),""),""),""),1))</f>
        <v>1</v>
      </c>
      <c r="K68" s="455">
        <f t="shared" si="31"/>
        <v>-4</v>
      </c>
      <c r="L68" s="455" t="str">
        <f t="shared" ref="L68:L131" si="56">IF(COUNTIFS(AG:AG,AG68,I:I,I68,J:J,J68,K:K,K68)&gt;1,AT68,"")</f>
        <v/>
      </c>
      <c r="M68" s="402" t="str">
        <f>IFERROR(IF(AD68&lt;=VLOOKUP(D68,Tournaments!$A$1:$B$1772,2,FALSE),"TRUE","FALSE"),"")</f>
        <v>FALSE</v>
      </c>
      <c r="N68" s="402">
        <v>1</v>
      </c>
      <c r="O68" s="402">
        <f t="shared" si="32"/>
        <v>3</v>
      </c>
      <c r="P68" s="403"/>
      <c r="Q68" s="402">
        <f t="shared" si="33"/>
        <v>1</v>
      </c>
      <c r="R68" s="402">
        <f t="shared" si="34"/>
        <v>2</v>
      </c>
      <c r="S68" s="402">
        <f t="shared" si="35"/>
        <v>0</v>
      </c>
      <c r="T68" s="402"/>
      <c r="U68" s="402">
        <f t="shared" si="36"/>
        <v>4</v>
      </c>
      <c r="V68" s="402">
        <f t="shared" si="37"/>
        <v>2.5000000000000001E-3</v>
      </c>
      <c r="W68" s="402">
        <f t="shared" si="38"/>
        <v>-3.9975000000000001</v>
      </c>
      <c r="X68" s="402">
        <f t="shared" si="39"/>
        <v>4</v>
      </c>
      <c r="Y68" s="402">
        <f t="shared" ref="Y68:Y131" si="57">IFERROR(IF(K68&gt;=0,RANK(K68,$K:$K,1)/10000,RANK(K68,$K:$K,1)/10000),FALSE)</f>
        <v>7.3000000000000001E-3</v>
      </c>
      <c r="Z68" s="402">
        <f t="shared" si="40"/>
        <v>-3.9927000000000001</v>
      </c>
      <c r="AA68" s="402">
        <f t="shared" si="41"/>
        <v>3</v>
      </c>
      <c r="AB68" s="402" t="b">
        <f t="shared" si="42"/>
        <v>0</v>
      </c>
      <c r="AC68" s="402">
        <f t="shared" si="43"/>
        <v>-3</v>
      </c>
      <c r="AD68" s="402">
        <f t="shared" si="44"/>
        <v>3</v>
      </c>
      <c r="AE68" s="402">
        <f t="shared" si="45"/>
        <v>3</v>
      </c>
      <c r="AG68" s="369" t="str">
        <f t="shared" si="46"/>
        <v>Ch B Coed Kickball-Pool A</v>
      </c>
      <c r="AH68" s="402">
        <f t="shared" si="47"/>
        <v>2</v>
      </c>
      <c r="AI68" s="402">
        <f t="shared" si="48"/>
        <v>3</v>
      </c>
      <c r="AJ68" s="333" t="str">
        <f t="array" ref="AJ68">IF(AND(AI68&gt;1,G68&lt;&gt;""),INDEX(FS_teams,MATCH(1,(FS_Keys=AG68)*(FS_Points=I68)*(FS_teams&lt;&gt;G68),0)),"")</f>
        <v>CHILD B - VEN 2</v>
      </c>
      <c r="AK68" s="406">
        <f t="array" ref="AK68">IF(AJ68&lt;&gt;"",INDEX(TM_Score1,MATCH(1,(TM_Events=D68)*(TM_Participant1=G68)*(TM_Participant2=AJ68),0)),"")</f>
        <v>2</v>
      </c>
      <c r="AL68" s="406" t="e">
        <f t="array" ref="AL68">IF(AJ68&lt;&gt;"",INDEX(TM_Score1,MATCH(1,(TM_Events=D68)*(TM_Participant1=AJ68)*(TM_Participant2=G68),0)),"")</f>
        <v>#N/A</v>
      </c>
      <c r="AM68" s="402">
        <f t="array" ref="AM68">IF(ISNUMBER(AK68),INDEX(TM_Score2,MATCH(1,(TM_Events=D68)*(TM_Participant1=G68)*(TM_Participant2=AJ68),0)),"")</f>
        <v>15</v>
      </c>
      <c r="AN68" s="402" t="str">
        <f t="array" ref="AN68">IF(ISNUMBER(AL68),INDEX(TM_Score2,MATCH(1,(TM_Events=D68)*(TM_Participant1=AJ68)*(TM_Participant2=G68),0)),"")</f>
        <v/>
      </c>
      <c r="AO68" s="402" t="str">
        <f t="shared" si="49"/>
        <v>Loss</v>
      </c>
      <c r="AP68" s="402">
        <f t="shared" si="50"/>
        <v>1</v>
      </c>
      <c r="AQ68" s="402">
        <f t="shared" si="51"/>
        <v>0</v>
      </c>
      <c r="AR68" s="402">
        <f t="shared" si="52"/>
        <v>2</v>
      </c>
      <c r="AS68" s="453">
        <f t="shared" si="53"/>
        <v>-4</v>
      </c>
      <c r="AT68" s="452">
        <f t="shared" si="54"/>
        <v>20</v>
      </c>
    </row>
    <row r="69" spans="1:46" ht="16" x14ac:dyDescent="0.2">
      <c r="A69" s="298"/>
      <c r="B69"/>
      <c r="D69" s="303" t="s">
        <v>37</v>
      </c>
      <c r="E69" s="396" t="s">
        <v>722</v>
      </c>
      <c r="F69" s="387">
        <v>1</v>
      </c>
      <c r="G69" s="397" t="s">
        <v>557</v>
      </c>
      <c r="H69" s="387" t="str">
        <f t="shared" si="29"/>
        <v>4-0-0</v>
      </c>
      <c r="I69" s="389">
        <f t="shared" si="30"/>
        <v>8</v>
      </c>
      <c r="J69" s="455" t="str">
        <f t="shared" si="55"/>
        <v/>
      </c>
      <c r="K69" s="455" t="str">
        <f t="shared" si="31"/>
        <v/>
      </c>
      <c r="L69" s="455" t="str">
        <f t="shared" si="56"/>
        <v/>
      </c>
      <c r="M69" s="389" t="str">
        <f>IFERROR(IF(AD69&lt;=VLOOKUP(D69,Tournaments!$A$1:$B$1772,2,FALSE),"TRUE","FALSE"),"")</f>
        <v>TRUE</v>
      </c>
      <c r="N69" s="389">
        <v>1</v>
      </c>
      <c r="O69" s="389">
        <f t="shared" si="32"/>
        <v>1</v>
      </c>
      <c r="Q69" s="389">
        <f t="shared" si="33"/>
        <v>4</v>
      </c>
      <c r="R69" s="389">
        <f t="shared" si="34"/>
        <v>0</v>
      </c>
      <c r="S69" s="389">
        <f t="shared" si="35"/>
        <v>0</v>
      </c>
      <c r="U69" s="389">
        <f t="shared" si="36"/>
        <v>1</v>
      </c>
      <c r="V69" s="389" t="b">
        <f t="shared" si="37"/>
        <v>0</v>
      </c>
      <c r="W69" s="389">
        <f t="shared" si="38"/>
        <v>-1</v>
      </c>
      <c r="X69" s="389">
        <f t="shared" si="39"/>
        <v>1</v>
      </c>
      <c r="Y69" s="389" t="b">
        <f t="shared" si="57"/>
        <v>0</v>
      </c>
      <c r="Z69" s="389">
        <f t="shared" si="40"/>
        <v>-1</v>
      </c>
      <c r="AA69" s="389">
        <f t="shared" si="41"/>
        <v>1</v>
      </c>
      <c r="AB69" s="389" t="b">
        <f t="shared" si="42"/>
        <v>0</v>
      </c>
      <c r="AC69" s="389">
        <f t="shared" si="43"/>
        <v>-1</v>
      </c>
      <c r="AD69" s="389">
        <f t="shared" si="44"/>
        <v>1</v>
      </c>
      <c r="AE69" s="389">
        <f t="shared" si="45"/>
        <v>1</v>
      </c>
      <c r="AG69" s="311" t="str">
        <f t="shared" si="46"/>
        <v>Ch B Coed Kickball-Pool A</v>
      </c>
      <c r="AH69" s="453">
        <f t="shared" si="47"/>
        <v>1</v>
      </c>
      <c r="AI69" s="453">
        <f t="shared" si="48"/>
        <v>1</v>
      </c>
      <c r="AJ69" t="str">
        <f t="array" ref="AJ69">IF(AND(AI69&gt;1,G69&lt;&gt;""),INDEX(FS_teams,MATCH(1,(FS_Keys=AG69)*(FS_Points=I69)*(FS_teams&lt;&gt;G69),0)),"")</f>
        <v/>
      </c>
      <c r="AK69" s="390" t="str">
        <f t="array" ref="AK69">IF(AJ69&lt;&gt;"",INDEX(TM_Score1,MATCH(1,(TM_Events=D69)*(TM_Participant1=G69)*(TM_Participant2=AJ69),0)),"")</f>
        <v/>
      </c>
      <c r="AL69" s="390" t="str">
        <f t="array" ref="AL69">IF(AJ69&lt;&gt;"",INDEX(TM_Score1,MATCH(1,(TM_Events=D69)*(TM_Participant1=AJ69)*(TM_Participant2=G69),0)),"")</f>
        <v/>
      </c>
      <c r="AM69" s="389" t="str">
        <f t="array" ref="AM69">IF(ISNUMBER(AK69),INDEX(TM_Score2,MATCH(1,(TM_Events=D69)*(TM_Participant1=G69)*(TM_Participant2=AJ69),0)),"")</f>
        <v/>
      </c>
      <c r="AN69" s="389" t="str">
        <f t="array" ref="AN69">IF(ISNUMBER(AL69),INDEX(TM_Score2,MATCH(1,(TM_Events=D69)*(TM_Participant1=AJ69)*(TM_Participant2=G69),0)),"")</f>
        <v/>
      </c>
      <c r="AO69" s="389" t="str">
        <f t="shared" si="49"/>
        <v/>
      </c>
      <c r="AP69" s="389">
        <f t="shared" si="50"/>
        <v>4</v>
      </c>
      <c r="AQ69" s="389">
        <f t="shared" si="51"/>
        <v>0</v>
      </c>
      <c r="AR69" s="389">
        <f t="shared" si="52"/>
        <v>0</v>
      </c>
      <c r="AS69" s="453">
        <f t="shared" si="53"/>
        <v>12</v>
      </c>
      <c r="AT69" s="452">
        <f t="shared" si="54"/>
        <v>37</v>
      </c>
    </row>
    <row r="70" spans="1:46" ht="16" x14ac:dyDescent="0.2">
      <c r="A70" s="298"/>
      <c r="B70"/>
      <c r="D70" s="303" t="s">
        <v>37</v>
      </c>
      <c r="E70" s="396" t="s">
        <v>723</v>
      </c>
      <c r="F70" s="387">
        <v>1</v>
      </c>
      <c r="G70" s="397" t="s">
        <v>554</v>
      </c>
      <c r="H70" s="387" t="str">
        <f t="shared" si="29"/>
        <v>1-2-0</v>
      </c>
      <c r="I70" s="389">
        <f t="shared" si="30"/>
        <v>2</v>
      </c>
      <c r="J70" s="455" t="str">
        <f t="shared" si="55"/>
        <v/>
      </c>
      <c r="K70" s="455" t="str">
        <f t="shared" si="31"/>
        <v/>
      </c>
      <c r="L70" s="455" t="str">
        <f t="shared" si="56"/>
        <v/>
      </c>
      <c r="M70" s="389" t="str">
        <f>IFERROR(IF(AD70&lt;=VLOOKUP(D70,Tournaments!$A$1:$B$1772,2,FALSE),"TRUE","FALSE"),"")</f>
        <v>FALSE</v>
      </c>
      <c r="N70" s="389">
        <v>1</v>
      </c>
      <c r="O70" s="389">
        <f t="shared" si="32"/>
        <v>3</v>
      </c>
      <c r="Q70" s="389">
        <f t="shared" si="33"/>
        <v>1</v>
      </c>
      <c r="R70" s="389">
        <f t="shared" si="34"/>
        <v>2</v>
      </c>
      <c r="S70" s="389">
        <f t="shared" si="35"/>
        <v>0</v>
      </c>
      <c r="U70" s="389">
        <f t="shared" si="36"/>
        <v>3</v>
      </c>
      <c r="V70" s="389" t="b">
        <f t="shared" si="37"/>
        <v>0</v>
      </c>
      <c r="W70" s="389">
        <f t="shared" si="38"/>
        <v>-3</v>
      </c>
      <c r="X70" s="389">
        <f t="shared" si="39"/>
        <v>3</v>
      </c>
      <c r="Y70" s="389" t="b">
        <f t="shared" si="57"/>
        <v>0</v>
      </c>
      <c r="Z70" s="389">
        <f t="shared" si="40"/>
        <v>-3</v>
      </c>
      <c r="AA70" s="389">
        <f t="shared" si="41"/>
        <v>3</v>
      </c>
      <c r="AB70" s="389" t="b">
        <f t="shared" si="42"/>
        <v>0</v>
      </c>
      <c r="AC70" s="389">
        <f t="shared" si="43"/>
        <v>-3</v>
      </c>
      <c r="AD70" s="389">
        <f t="shared" si="44"/>
        <v>3</v>
      </c>
      <c r="AE70" s="389">
        <f t="shared" si="45"/>
        <v>1</v>
      </c>
      <c r="AG70" s="311" t="str">
        <f t="shared" si="46"/>
        <v>Ch B Coed Kickball-Pool B</v>
      </c>
      <c r="AH70" s="453">
        <f t="shared" si="47"/>
        <v>3</v>
      </c>
      <c r="AI70" s="453">
        <f t="shared" si="48"/>
        <v>1</v>
      </c>
      <c r="AJ70" t="str">
        <f t="array" ref="AJ70">IF(AND(AI70&gt;1,G70&lt;&gt;""),INDEX(FS_teams,MATCH(1,(FS_Keys=AG70)*(FS_Points=I70)*(FS_teams&lt;&gt;G70),0)),"")</f>
        <v/>
      </c>
      <c r="AK70" s="390" t="str">
        <f t="array" ref="AK70">IF(AJ70&lt;&gt;"",INDEX(TM_Score1,MATCH(1,(TM_Events=D70)*(TM_Participant1=G70)*(TM_Participant2=AJ70),0)),"")</f>
        <v/>
      </c>
      <c r="AL70" s="390" t="str">
        <f t="array" ref="AL70">IF(AJ70&lt;&gt;"",INDEX(TM_Score1,MATCH(1,(TM_Events=D70)*(TM_Participant1=AJ70)*(TM_Participant2=G70),0)),"")</f>
        <v/>
      </c>
      <c r="AM70" s="389" t="str">
        <f t="array" ref="AM70">IF(ISNUMBER(AK70),INDEX(TM_Score2,MATCH(1,(TM_Events=D70)*(TM_Participant1=G70)*(TM_Participant2=AJ70),0)),"")</f>
        <v/>
      </c>
      <c r="AN70" s="389" t="str">
        <f t="array" ref="AN70">IF(ISNUMBER(AL70),INDEX(TM_Score2,MATCH(1,(TM_Events=D70)*(TM_Participant1=AJ70)*(TM_Participant2=G70),0)),"")</f>
        <v/>
      </c>
      <c r="AO70" s="389" t="str">
        <f t="shared" si="49"/>
        <v/>
      </c>
      <c r="AP70" s="389">
        <f t="shared" si="50"/>
        <v>1</v>
      </c>
      <c r="AQ70" s="389">
        <f t="shared" si="51"/>
        <v>0</v>
      </c>
      <c r="AR70" s="389">
        <f t="shared" si="52"/>
        <v>2</v>
      </c>
      <c r="AS70" s="453">
        <f t="shared" si="53"/>
        <v>-2</v>
      </c>
      <c r="AT70" s="452">
        <f t="shared" si="54"/>
        <v>35</v>
      </c>
    </row>
    <row r="71" spans="1:46" ht="16" x14ac:dyDescent="0.2">
      <c r="A71" s="298"/>
      <c r="B71"/>
      <c r="D71" s="303" t="s">
        <v>37</v>
      </c>
      <c r="E71" s="396" t="s">
        <v>723</v>
      </c>
      <c r="F71" s="387">
        <v>1</v>
      </c>
      <c r="G71" s="397" t="s">
        <v>552</v>
      </c>
      <c r="H71" s="387" t="str">
        <f t="shared" si="29"/>
        <v>0-3-0</v>
      </c>
      <c r="I71" s="389">
        <f t="shared" si="30"/>
        <v>0</v>
      </c>
      <c r="J71" s="455" t="str">
        <f t="shared" si="55"/>
        <v/>
      </c>
      <c r="K71" s="455" t="str">
        <f t="shared" si="31"/>
        <v/>
      </c>
      <c r="L71" s="455" t="str">
        <f t="shared" si="56"/>
        <v/>
      </c>
      <c r="M71" s="389" t="str">
        <f>IFERROR(IF(AD71&lt;=VLOOKUP(D71,Tournaments!$A$1:$B$1772,2,FALSE),"TRUE","FALSE"),"")</f>
        <v>FALSE</v>
      </c>
      <c r="N71" s="389">
        <v>1</v>
      </c>
      <c r="O71" s="389">
        <f t="shared" si="32"/>
        <v>4</v>
      </c>
      <c r="Q71" s="389">
        <f t="shared" si="33"/>
        <v>0</v>
      </c>
      <c r="R71" s="389">
        <f t="shared" si="34"/>
        <v>3</v>
      </c>
      <c r="S71" s="389">
        <f t="shared" si="35"/>
        <v>0</v>
      </c>
      <c r="U71" s="389">
        <f t="shared" si="36"/>
        <v>4</v>
      </c>
      <c r="V71" s="389" t="b">
        <f t="shared" si="37"/>
        <v>0</v>
      </c>
      <c r="W71" s="389">
        <f t="shared" si="38"/>
        <v>-4</v>
      </c>
      <c r="X71" s="389">
        <f t="shared" si="39"/>
        <v>4</v>
      </c>
      <c r="Y71" s="389" t="b">
        <f t="shared" si="57"/>
        <v>0</v>
      </c>
      <c r="Z71" s="389">
        <f t="shared" si="40"/>
        <v>-4</v>
      </c>
      <c r="AA71" s="389">
        <f t="shared" si="41"/>
        <v>4</v>
      </c>
      <c r="AB71" s="389" t="b">
        <f t="shared" si="42"/>
        <v>0</v>
      </c>
      <c r="AC71" s="389">
        <f t="shared" si="43"/>
        <v>-4</v>
      </c>
      <c r="AD71" s="389">
        <f t="shared" si="44"/>
        <v>4</v>
      </c>
      <c r="AE71" s="389">
        <f t="shared" si="45"/>
        <v>1</v>
      </c>
      <c r="AG71" s="311" t="str">
        <f t="shared" si="46"/>
        <v>Ch B Coed Kickball-Pool B</v>
      </c>
      <c r="AH71" s="453">
        <f t="shared" si="47"/>
        <v>4</v>
      </c>
      <c r="AI71" s="453">
        <f t="shared" si="48"/>
        <v>1</v>
      </c>
      <c r="AJ71" t="str">
        <f t="array" ref="AJ71">IF(AND(AI71&gt;1,G71&lt;&gt;""),INDEX(FS_teams,MATCH(1,(FS_Keys=AG71)*(FS_Points=I71)*(FS_teams&lt;&gt;G71),0)),"")</f>
        <v/>
      </c>
      <c r="AK71" s="390" t="str">
        <f t="array" ref="AK71">IF(AJ71&lt;&gt;"",INDEX(TM_Score1,MATCH(1,(TM_Events=D71)*(TM_Participant1=G71)*(TM_Participant2=AJ71),0)),"")</f>
        <v/>
      </c>
      <c r="AL71" s="390" t="str">
        <f t="array" ref="AL71">IF(AJ71&lt;&gt;"",INDEX(TM_Score1,MATCH(1,(TM_Events=D71)*(TM_Participant1=AJ71)*(TM_Participant2=G71),0)),"")</f>
        <v/>
      </c>
      <c r="AM71" s="389" t="str">
        <f t="array" ref="AM71">IF(ISNUMBER(AK71),INDEX(TM_Score2,MATCH(1,(TM_Events=D71)*(TM_Participant1=G71)*(TM_Participant2=AJ71),0)),"")</f>
        <v/>
      </c>
      <c r="AN71" s="389" t="str">
        <f t="array" ref="AN71">IF(ISNUMBER(AL71),INDEX(TM_Score2,MATCH(1,(TM_Events=D71)*(TM_Participant1=AJ71)*(TM_Participant2=G71),0)),"")</f>
        <v/>
      </c>
      <c r="AO71" s="389" t="str">
        <f t="shared" si="49"/>
        <v/>
      </c>
      <c r="AP71" s="389">
        <f t="shared" si="50"/>
        <v>0</v>
      </c>
      <c r="AQ71" s="389">
        <f t="shared" si="51"/>
        <v>0</v>
      </c>
      <c r="AR71" s="389">
        <f t="shared" si="52"/>
        <v>3</v>
      </c>
      <c r="AS71" s="453">
        <f t="shared" si="53"/>
        <v>-13</v>
      </c>
      <c r="AT71" s="452">
        <f t="shared" si="54"/>
        <v>16</v>
      </c>
    </row>
    <row r="72" spans="1:46" ht="16" x14ac:dyDescent="0.2">
      <c r="A72" s="298"/>
      <c r="B72"/>
      <c r="D72" s="303" t="s">
        <v>37</v>
      </c>
      <c r="E72" s="396" t="s">
        <v>723</v>
      </c>
      <c r="F72" s="387">
        <v>1</v>
      </c>
      <c r="G72" s="397" t="s">
        <v>558</v>
      </c>
      <c r="H72" s="387" t="str">
        <f t="shared" si="29"/>
        <v>2-1-0</v>
      </c>
      <c r="I72" s="389">
        <f t="shared" si="30"/>
        <v>4</v>
      </c>
      <c r="J72" s="455" t="str">
        <f t="shared" si="55"/>
        <v/>
      </c>
      <c r="K72" s="455" t="str">
        <f t="shared" si="31"/>
        <v/>
      </c>
      <c r="L72" s="455" t="str">
        <f t="shared" si="56"/>
        <v/>
      </c>
      <c r="M72" s="389" t="str">
        <f>IFERROR(IF(AD72&lt;=VLOOKUP(D72,Tournaments!$A$1:$B$1772,2,FALSE),"TRUE","FALSE"),"")</f>
        <v>FALSE</v>
      </c>
      <c r="N72" s="389">
        <v>1</v>
      </c>
      <c r="O72" s="389">
        <f t="shared" si="32"/>
        <v>2</v>
      </c>
      <c r="Q72" s="389">
        <f t="shared" si="33"/>
        <v>2</v>
      </c>
      <c r="R72" s="389">
        <f t="shared" si="34"/>
        <v>1</v>
      </c>
      <c r="S72" s="389">
        <f t="shared" si="35"/>
        <v>0</v>
      </c>
      <c r="U72" s="389">
        <f t="shared" si="36"/>
        <v>2</v>
      </c>
      <c r="V72" s="389" t="b">
        <f t="shared" si="37"/>
        <v>0</v>
      </c>
      <c r="W72" s="389">
        <f t="shared" si="38"/>
        <v>-2</v>
      </c>
      <c r="X72" s="389">
        <f t="shared" si="39"/>
        <v>2</v>
      </c>
      <c r="Y72" s="389" t="b">
        <f t="shared" si="57"/>
        <v>0</v>
      </c>
      <c r="Z72" s="389">
        <f t="shared" si="40"/>
        <v>-2</v>
      </c>
      <c r="AA72" s="389">
        <f t="shared" si="41"/>
        <v>2</v>
      </c>
      <c r="AB72" s="389" t="b">
        <f t="shared" si="42"/>
        <v>0</v>
      </c>
      <c r="AC72" s="389">
        <f t="shared" si="43"/>
        <v>-2</v>
      </c>
      <c r="AD72" s="389">
        <f t="shared" si="44"/>
        <v>2</v>
      </c>
      <c r="AE72" s="389">
        <f t="shared" si="45"/>
        <v>1</v>
      </c>
      <c r="AG72" s="311" t="str">
        <f t="shared" si="46"/>
        <v>Ch B Coed Kickball-Pool B</v>
      </c>
      <c r="AH72" s="453">
        <f t="shared" si="47"/>
        <v>2</v>
      </c>
      <c r="AI72" s="453">
        <f t="shared" si="48"/>
        <v>1</v>
      </c>
      <c r="AJ72" t="str">
        <f t="array" ref="AJ72">IF(AND(AI72&gt;1,G72&lt;&gt;""),INDEX(FS_teams,MATCH(1,(FS_Keys=AG72)*(FS_Points=I72)*(FS_teams&lt;&gt;G72),0)),"")</f>
        <v/>
      </c>
      <c r="AK72" s="390" t="str">
        <f t="array" ref="AK72">IF(AJ72&lt;&gt;"",INDEX(TM_Score1,MATCH(1,(TM_Events=D72)*(TM_Participant1=G72)*(TM_Participant2=AJ72),0)),"")</f>
        <v/>
      </c>
      <c r="AL72" s="390" t="str">
        <f t="array" ref="AL72">IF(AJ72&lt;&gt;"",INDEX(TM_Score1,MATCH(1,(TM_Events=D72)*(TM_Participant1=AJ72)*(TM_Participant2=G72),0)),"")</f>
        <v/>
      </c>
      <c r="AM72" s="389" t="str">
        <f t="array" ref="AM72">IF(ISNUMBER(AK72),INDEX(TM_Score2,MATCH(1,(TM_Events=D72)*(TM_Participant1=G72)*(TM_Participant2=AJ72),0)),"")</f>
        <v/>
      </c>
      <c r="AN72" s="389" t="str">
        <f t="array" ref="AN72">IF(ISNUMBER(AL72),INDEX(TM_Score2,MATCH(1,(TM_Events=D72)*(TM_Participant1=AJ72)*(TM_Participant2=G72),0)),"")</f>
        <v/>
      </c>
      <c r="AO72" s="389" t="str">
        <f t="shared" si="49"/>
        <v/>
      </c>
      <c r="AP72" s="389">
        <f t="shared" si="50"/>
        <v>2</v>
      </c>
      <c r="AQ72" s="389">
        <f t="shared" si="51"/>
        <v>0</v>
      </c>
      <c r="AR72" s="389">
        <f t="shared" si="52"/>
        <v>1</v>
      </c>
      <c r="AS72" s="453">
        <f t="shared" si="53"/>
        <v>4</v>
      </c>
      <c r="AT72" s="452">
        <f t="shared" si="54"/>
        <v>22</v>
      </c>
    </row>
    <row r="73" spans="1:46" ht="16" x14ac:dyDescent="0.2">
      <c r="A73" s="298"/>
      <c r="B73"/>
      <c r="D73" s="303" t="s">
        <v>37</v>
      </c>
      <c r="E73" s="396" t="s">
        <v>723</v>
      </c>
      <c r="F73" s="387">
        <v>1</v>
      </c>
      <c r="G73" s="404" t="s">
        <v>555</v>
      </c>
      <c r="H73" s="387" t="str">
        <f t="shared" si="29"/>
        <v>3-0-0</v>
      </c>
      <c r="I73" s="389">
        <f t="shared" si="30"/>
        <v>6</v>
      </c>
      <c r="J73" s="455" t="str">
        <f t="shared" si="55"/>
        <v/>
      </c>
      <c r="K73" s="455" t="str">
        <f t="shared" si="31"/>
        <v/>
      </c>
      <c r="L73" s="455" t="str">
        <f t="shared" si="56"/>
        <v/>
      </c>
      <c r="M73" s="389" t="str">
        <f>IFERROR(IF(AD73&lt;=VLOOKUP(D73,Tournaments!$A$1:$B$1772,2,FALSE),"TRUE","FALSE"),"")</f>
        <v>TRUE</v>
      </c>
      <c r="N73" s="389">
        <v>1</v>
      </c>
      <c r="O73" s="389">
        <f t="shared" si="32"/>
        <v>1</v>
      </c>
      <c r="Q73" s="389">
        <f t="shared" si="33"/>
        <v>3</v>
      </c>
      <c r="R73" s="389">
        <f t="shared" si="34"/>
        <v>0</v>
      </c>
      <c r="S73" s="389">
        <f t="shared" si="35"/>
        <v>0</v>
      </c>
      <c r="U73" s="389">
        <f t="shared" si="36"/>
        <v>1</v>
      </c>
      <c r="V73" s="389" t="b">
        <f t="shared" si="37"/>
        <v>0</v>
      </c>
      <c r="W73" s="389">
        <f t="shared" si="38"/>
        <v>-1</v>
      </c>
      <c r="X73" s="389">
        <f t="shared" si="39"/>
        <v>1</v>
      </c>
      <c r="Y73" s="389" t="b">
        <f t="shared" si="57"/>
        <v>0</v>
      </c>
      <c r="Z73" s="389">
        <f t="shared" si="40"/>
        <v>-1</v>
      </c>
      <c r="AA73" s="389">
        <f t="shared" si="41"/>
        <v>1</v>
      </c>
      <c r="AB73" s="389" t="b">
        <f t="shared" si="42"/>
        <v>0</v>
      </c>
      <c r="AC73" s="389">
        <f t="shared" si="43"/>
        <v>-1</v>
      </c>
      <c r="AD73" s="389">
        <f t="shared" si="44"/>
        <v>1</v>
      </c>
      <c r="AE73" s="389">
        <f t="shared" si="45"/>
        <v>1</v>
      </c>
      <c r="AG73" s="311" t="str">
        <f t="shared" si="46"/>
        <v>Ch B Coed Kickball-Pool B</v>
      </c>
      <c r="AH73" s="453">
        <f t="shared" si="47"/>
        <v>1</v>
      </c>
      <c r="AI73" s="453">
        <f t="shared" si="48"/>
        <v>1</v>
      </c>
      <c r="AJ73" t="str">
        <f t="array" ref="AJ73">IF(AND(AI73&gt;1,G73&lt;&gt;""),INDEX(FS_teams,MATCH(1,(FS_Keys=AG73)*(FS_Points=I73)*(FS_teams&lt;&gt;G73),0)),"")</f>
        <v/>
      </c>
      <c r="AK73" s="390" t="str">
        <f t="array" ref="AK73">IF(AJ73&lt;&gt;"",INDEX(TM_Score1,MATCH(1,(TM_Events=D73)*(TM_Participant1=G73)*(TM_Participant2=AJ73),0)),"")</f>
        <v/>
      </c>
      <c r="AL73" s="390" t="str">
        <f t="array" ref="AL73">IF(AJ73&lt;&gt;"",INDEX(TM_Score1,MATCH(1,(TM_Events=D73)*(TM_Participant1=AJ73)*(TM_Participant2=G73),0)),"")</f>
        <v/>
      </c>
      <c r="AM73" s="389" t="str">
        <f t="array" ref="AM73">IF(ISNUMBER(AK73),INDEX(TM_Score2,MATCH(1,(TM_Events=D73)*(TM_Participant1=G73)*(TM_Participant2=AJ73),0)),"")</f>
        <v/>
      </c>
      <c r="AN73" s="389" t="str">
        <f t="array" ref="AN73">IF(ISNUMBER(AL73),INDEX(TM_Score2,MATCH(1,(TM_Events=D73)*(TM_Participant1=AJ73)*(TM_Participant2=G73),0)),"")</f>
        <v/>
      </c>
      <c r="AO73" s="389" t="str">
        <f t="shared" si="49"/>
        <v/>
      </c>
      <c r="AP73" s="389">
        <f t="shared" si="50"/>
        <v>3</v>
      </c>
      <c r="AQ73" s="389">
        <f t="shared" si="51"/>
        <v>0</v>
      </c>
      <c r="AR73" s="389">
        <f t="shared" si="52"/>
        <v>0</v>
      </c>
      <c r="AS73" s="453">
        <f t="shared" si="53"/>
        <v>11</v>
      </c>
      <c r="AT73" s="452">
        <f t="shared" si="54"/>
        <v>29</v>
      </c>
    </row>
    <row r="74" spans="1:46" ht="16" x14ac:dyDescent="0.2">
      <c r="A74" s="298"/>
      <c r="B74"/>
      <c r="D74" s="303" t="s">
        <v>34</v>
      </c>
      <c r="E74" s="396" t="s">
        <v>722</v>
      </c>
      <c r="F74" s="387">
        <v>1</v>
      </c>
      <c r="G74" s="397" t="s">
        <v>558</v>
      </c>
      <c r="H74" s="387" t="str">
        <f t="shared" si="29"/>
        <v>1-2-0</v>
      </c>
      <c r="I74" s="389">
        <f t="shared" si="30"/>
        <v>2</v>
      </c>
      <c r="J74" s="455" t="str">
        <f t="shared" si="55"/>
        <v/>
      </c>
      <c r="K74" s="455" t="str">
        <f t="shared" si="31"/>
        <v/>
      </c>
      <c r="L74" s="455" t="str">
        <f t="shared" si="56"/>
        <v/>
      </c>
      <c r="M74" s="389" t="str">
        <f>IFERROR(IF(AD74&lt;=VLOOKUP(D74,Tournaments!$A$1:$B$1772,2,FALSE),"TRUE","FALSE"),"")</f>
        <v>FALSE</v>
      </c>
      <c r="N74" s="389">
        <v>1</v>
      </c>
      <c r="O74" s="389">
        <f t="shared" si="32"/>
        <v>3</v>
      </c>
      <c r="Q74" s="389">
        <f t="shared" si="33"/>
        <v>1</v>
      </c>
      <c r="R74" s="389">
        <f t="shared" si="34"/>
        <v>2</v>
      </c>
      <c r="S74" s="389">
        <f t="shared" si="35"/>
        <v>0</v>
      </c>
      <c r="U74" s="389">
        <f t="shared" si="36"/>
        <v>3</v>
      </c>
      <c r="V74" s="389" t="b">
        <f t="shared" si="37"/>
        <v>0</v>
      </c>
      <c r="W74" s="389">
        <f t="shared" si="38"/>
        <v>-3</v>
      </c>
      <c r="X74" s="389">
        <f t="shared" si="39"/>
        <v>3</v>
      </c>
      <c r="Y74" s="389" t="b">
        <f t="shared" si="57"/>
        <v>0</v>
      </c>
      <c r="Z74" s="389">
        <f t="shared" si="40"/>
        <v>-3</v>
      </c>
      <c r="AA74" s="389">
        <f t="shared" si="41"/>
        <v>3</v>
      </c>
      <c r="AB74" s="389" t="b">
        <f t="shared" si="42"/>
        <v>0</v>
      </c>
      <c r="AC74" s="389">
        <f t="shared" si="43"/>
        <v>-3</v>
      </c>
      <c r="AD74" s="389">
        <f t="shared" si="44"/>
        <v>3</v>
      </c>
      <c r="AE74" s="389">
        <f t="shared" si="45"/>
        <v>1</v>
      </c>
      <c r="AG74" s="311" t="str">
        <f t="shared" si="46"/>
        <v>Ch B Coed Mini Soccer-Pool A</v>
      </c>
      <c r="AH74" s="453">
        <f t="shared" si="47"/>
        <v>3</v>
      </c>
      <c r="AI74" s="453">
        <f t="shared" si="48"/>
        <v>1</v>
      </c>
      <c r="AJ74" t="str">
        <f t="array" ref="AJ74">IF(AND(AI74&gt;1,G74&lt;&gt;""),INDEX(FS_teams,MATCH(1,(FS_Keys=AG74)*(FS_Points=I74)*(FS_teams&lt;&gt;G74),0)),"")</f>
        <v/>
      </c>
      <c r="AK74" s="390" t="str">
        <f t="array" ref="AK74">IF(AJ74&lt;&gt;"",INDEX(TM_Score1,MATCH(1,(TM_Events=D74)*(TM_Participant1=G74)*(TM_Participant2=AJ74),0)),"")</f>
        <v/>
      </c>
      <c r="AL74" s="390" t="str">
        <f t="array" ref="AL74">IF(AJ74&lt;&gt;"",INDEX(TM_Score1,MATCH(1,(TM_Events=D74)*(TM_Participant1=AJ74)*(TM_Participant2=G74),0)),"")</f>
        <v/>
      </c>
      <c r="AM74" s="389" t="str">
        <f t="array" ref="AM74">IF(ISNUMBER(AK74),INDEX(TM_Score2,MATCH(1,(TM_Events=D74)*(TM_Participant1=G74)*(TM_Participant2=AJ74),0)),"")</f>
        <v/>
      </c>
      <c r="AN74" s="389" t="str">
        <f t="array" ref="AN74">IF(ISNUMBER(AL74),INDEX(TM_Score2,MATCH(1,(TM_Events=D74)*(TM_Participant1=AJ74)*(TM_Participant2=G74),0)),"")</f>
        <v/>
      </c>
      <c r="AO74" s="389" t="str">
        <f t="shared" si="49"/>
        <v/>
      </c>
      <c r="AP74" s="389">
        <f t="shared" si="50"/>
        <v>1</v>
      </c>
      <c r="AQ74" s="389">
        <f t="shared" si="51"/>
        <v>0</v>
      </c>
      <c r="AR74" s="389">
        <f t="shared" si="52"/>
        <v>2</v>
      </c>
      <c r="AS74" s="453">
        <f t="shared" si="53"/>
        <v>-1</v>
      </c>
      <c r="AT74" s="452">
        <f t="shared" si="54"/>
        <v>6</v>
      </c>
    </row>
    <row r="75" spans="1:46" ht="16" x14ac:dyDescent="0.2">
      <c r="A75" s="298"/>
      <c r="B75"/>
      <c r="D75" s="303" t="s">
        <v>34</v>
      </c>
      <c r="E75" s="396" t="s">
        <v>722</v>
      </c>
      <c r="F75" s="387">
        <v>1</v>
      </c>
      <c r="G75" s="397" t="s">
        <v>561</v>
      </c>
      <c r="H75" s="387" t="str">
        <f t="shared" si="29"/>
        <v>2-1-0</v>
      </c>
      <c r="I75" s="389">
        <f t="shared" si="30"/>
        <v>4</v>
      </c>
      <c r="J75" s="455" t="str">
        <f t="shared" si="55"/>
        <v/>
      </c>
      <c r="K75" s="455" t="str">
        <f t="shared" si="31"/>
        <v/>
      </c>
      <c r="L75" s="455" t="str">
        <f t="shared" si="56"/>
        <v/>
      </c>
      <c r="M75" s="389" t="str">
        <f>IFERROR(IF(AD75&lt;=VLOOKUP(D75,Tournaments!$A$1:$B$1772,2,FALSE),"TRUE","FALSE"),"")</f>
        <v>FALSE</v>
      </c>
      <c r="N75" s="389">
        <v>1</v>
      </c>
      <c r="O75" s="389">
        <f t="shared" si="32"/>
        <v>2</v>
      </c>
      <c r="Q75" s="389">
        <f t="shared" si="33"/>
        <v>2</v>
      </c>
      <c r="R75" s="389">
        <f t="shared" si="34"/>
        <v>1</v>
      </c>
      <c r="S75" s="389">
        <f t="shared" si="35"/>
        <v>0</v>
      </c>
      <c r="U75" s="389">
        <f t="shared" si="36"/>
        <v>2</v>
      </c>
      <c r="V75" s="389" t="b">
        <f t="shared" si="37"/>
        <v>0</v>
      </c>
      <c r="W75" s="389">
        <f t="shared" si="38"/>
        <v>-2</v>
      </c>
      <c r="X75" s="389">
        <f t="shared" si="39"/>
        <v>2</v>
      </c>
      <c r="Y75" s="389" t="b">
        <f t="shared" si="57"/>
        <v>0</v>
      </c>
      <c r="Z75" s="389">
        <f t="shared" si="40"/>
        <v>-2</v>
      </c>
      <c r="AA75" s="389">
        <f t="shared" si="41"/>
        <v>2</v>
      </c>
      <c r="AB75" s="389" t="b">
        <f t="shared" si="42"/>
        <v>0</v>
      </c>
      <c r="AC75" s="389">
        <f t="shared" si="43"/>
        <v>-2</v>
      </c>
      <c r="AD75" s="389">
        <f t="shared" si="44"/>
        <v>2</v>
      </c>
      <c r="AE75" s="389">
        <f t="shared" si="45"/>
        <v>1</v>
      </c>
      <c r="AG75" s="311" t="str">
        <f t="shared" si="46"/>
        <v>Ch B Coed Mini Soccer-Pool A</v>
      </c>
      <c r="AH75" s="453">
        <f t="shared" si="47"/>
        <v>2</v>
      </c>
      <c r="AI75" s="453">
        <f t="shared" si="48"/>
        <v>1</v>
      </c>
      <c r="AJ75" t="str">
        <f t="array" ref="AJ75">IF(AND(AI75&gt;1,G75&lt;&gt;""),INDEX(FS_teams,MATCH(1,(FS_Keys=AG75)*(FS_Points=I75)*(FS_teams&lt;&gt;G75),0)),"")</f>
        <v/>
      </c>
      <c r="AK75" s="390" t="str">
        <f t="array" ref="AK75">IF(AJ75&lt;&gt;"",INDEX(TM_Score1,MATCH(1,(TM_Events=D75)*(TM_Participant1=G75)*(TM_Participant2=AJ75),0)),"")</f>
        <v/>
      </c>
      <c r="AL75" s="390" t="str">
        <f t="array" ref="AL75">IF(AJ75&lt;&gt;"",INDEX(TM_Score1,MATCH(1,(TM_Events=D75)*(TM_Participant1=AJ75)*(TM_Participant2=G75),0)),"")</f>
        <v/>
      </c>
      <c r="AM75" s="389" t="str">
        <f t="array" ref="AM75">IF(ISNUMBER(AK75),INDEX(TM_Score2,MATCH(1,(TM_Events=D75)*(TM_Participant1=G75)*(TM_Participant2=AJ75),0)),"")</f>
        <v/>
      </c>
      <c r="AN75" s="389" t="str">
        <f t="array" ref="AN75">IF(ISNUMBER(AL75),INDEX(TM_Score2,MATCH(1,(TM_Events=D75)*(TM_Participant1=AJ75)*(TM_Participant2=G75),0)),"")</f>
        <v/>
      </c>
      <c r="AO75" s="389" t="str">
        <f t="shared" si="49"/>
        <v/>
      </c>
      <c r="AP75" s="389">
        <f t="shared" si="50"/>
        <v>2</v>
      </c>
      <c r="AQ75" s="389">
        <f t="shared" si="51"/>
        <v>0</v>
      </c>
      <c r="AR75" s="389">
        <f t="shared" si="52"/>
        <v>1</v>
      </c>
      <c r="AS75" s="453">
        <f t="shared" si="53"/>
        <v>1</v>
      </c>
      <c r="AT75" s="452">
        <f t="shared" si="54"/>
        <v>9</v>
      </c>
    </row>
    <row r="76" spans="1:46" ht="16" x14ac:dyDescent="0.2">
      <c r="A76" s="298"/>
      <c r="B76"/>
      <c r="D76" s="303" t="s">
        <v>34</v>
      </c>
      <c r="E76" s="396" t="s">
        <v>722</v>
      </c>
      <c r="F76" s="387">
        <v>1</v>
      </c>
      <c r="G76" s="397" t="s">
        <v>552</v>
      </c>
      <c r="H76" s="387" t="str">
        <f t="shared" si="29"/>
        <v>0-3-0</v>
      </c>
      <c r="I76" s="389">
        <f t="shared" si="30"/>
        <v>0</v>
      </c>
      <c r="J76" s="455" t="str">
        <f t="shared" si="55"/>
        <v/>
      </c>
      <c r="K76" s="455" t="str">
        <f t="shared" si="31"/>
        <v/>
      </c>
      <c r="L76" s="455" t="str">
        <f t="shared" si="56"/>
        <v/>
      </c>
      <c r="M76" s="389" t="str">
        <f>IFERROR(IF(AD76&lt;=VLOOKUP(D76,Tournaments!$A$1:$B$1772,2,FALSE),"TRUE","FALSE"),"")</f>
        <v>FALSE</v>
      </c>
      <c r="N76" s="389">
        <v>1</v>
      </c>
      <c r="O76" s="389">
        <f t="shared" si="32"/>
        <v>4</v>
      </c>
      <c r="Q76" s="389">
        <f t="shared" si="33"/>
        <v>0</v>
      </c>
      <c r="R76" s="389">
        <f t="shared" si="34"/>
        <v>3</v>
      </c>
      <c r="S76" s="389">
        <f t="shared" si="35"/>
        <v>0</v>
      </c>
      <c r="U76" s="389">
        <f t="shared" si="36"/>
        <v>4</v>
      </c>
      <c r="V76" s="389" t="b">
        <f t="shared" si="37"/>
        <v>0</v>
      </c>
      <c r="W76" s="389">
        <f t="shared" si="38"/>
        <v>-4</v>
      </c>
      <c r="X76" s="389">
        <f t="shared" si="39"/>
        <v>4</v>
      </c>
      <c r="Y76" s="389" t="b">
        <f t="shared" si="57"/>
        <v>0</v>
      </c>
      <c r="Z76" s="389">
        <f t="shared" si="40"/>
        <v>-4</v>
      </c>
      <c r="AA76" s="389">
        <f t="shared" si="41"/>
        <v>4</v>
      </c>
      <c r="AB76" s="389" t="b">
        <f t="shared" si="42"/>
        <v>0</v>
      </c>
      <c r="AC76" s="389">
        <f t="shared" si="43"/>
        <v>-4</v>
      </c>
      <c r="AD76" s="389">
        <f t="shared" si="44"/>
        <v>4</v>
      </c>
      <c r="AE76" s="389">
        <f t="shared" si="45"/>
        <v>1</v>
      </c>
      <c r="AG76" s="311" t="str">
        <f t="shared" si="46"/>
        <v>Ch B Coed Mini Soccer-Pool A</v>
      </c>
      <c r="AH76" s="453">
        <f t="shared" si="47"/>
        <v>4</v>
      </c>
      <c r="AI76" s="453">
        <f t="shared" si="48"/>
        <v>1</v>
      </c>
      <c r="AJ76" t="str">
        <f t="array" ref="AJ76">IF(AND(AI76&gt;1,G76&lt;&gt;""),INDEX(FS_teams,MATCH(1,(FS_Keys=AG76)*(FS_Points=I76)*(FS_teams&lt;&gt;G76),0)),"")</f>
        <v/>
      </c>
      <c r="AK76" s="390" t="str">
        <f t="array" ref="AK76">IF(AJ76&lt;&gt;"",INDEX(TM_Score1,MATCH(1,(TM_Events=D76)*(TM_Participant1=G76)*(TM_Participant2=AJ76),0)),"")</f>
        <v/>
      </c>
      <c r="AL76" s="390" t="str">
        <f t="array" ref="AL76">IF(AJ76&lt;&gt;"",INDEX(TM_Score1,MATCH(1,(TM_Events=D76)*(TM_Participant1=AJ76)*(TM_Participant2=G76),0)),"")</f>
        <v/>
      </c>
      <c r="AM76" s="389" t="str">
        <f t="array" ref="AM76">IF(ISNUMBER(AK76),INDEX(TM_Score2,MATCH(1,(TM_Events=D76)*(TM_Participant1=G76)*(TM_Participant2=AJ76),0)),"")</f>
        <v/>
      </c>
      <c r="AN76" s="389" t="str">
        <f t="array" ref="AN76">IF(ISNUMBER(AL76),INDEX(TM_Score2,MATCH(1,(TM_Events=D76)*(TM_Participant1=AJ76)*(TM_Participant2=G76),0)),"")</f>
        <v/>
      </c>
      <c r="AO76" s="389" t="str">
        <f t="shared" si="49"/>
        <v/>
      </c>
      <c r="AP76" s="389">
        <f t="shared" si="50"/>
        <v>0</v>
      </c>
      <c r="AQ76" s="389">
        <f t="shared" si="51"/>
        <v>0</v>
      </c>
      <c r="AR76" s="389">
        <f t="shared" si="52"/>
        <v>3</v>
      </c>
      <c r="AS76" s="453">
        <f t="shared" si="53"/>
        <v>-9</v>
      </c>
      <c r="AT76" s="452">
        <f t="shared" si="54"/>
        <v>1</v>
      </c>
    </row>
    <row r="77" spans="1:46" ht="16" x14ac:dyDescent="0.2">
      <c r="A77" s="298"/>
      <c r="B77"/>
      <c r="D77" s="303" t="s">
        <v>34</v>
      </c>
      <c r="E77" s="396" t="s">
        <v>722</v>
      </c>
      <c r="F77" s="387">
        <v>1</v>
      </c>
      <c r="G77" s="397" t="s">
        <v>555</v>
      </c>
      <c r="H77" s="387" t="str">
        <f t="shared" si="29"/>
        <v>3-0-0</v>
      </c>
      <c r="I77" s="389">
        <f t="shared" si="30"/>
        <v>6</v>
      </c>
      <c r="J77" s="455" t="str">
        <f t="shared" si="55"/>
        <v/>
      </c>
      <c r="K77" s="455" t="str">
        <f t="shared" si="31"/>
        <v/>
      </c>
      <c r="L77" s="455" t="str">
        <f t="shared" si="56"/>
        <v/>
      </c>
      <c r="M77" s="389" t="str">
        <f>IFERROR(IF(AD77&lt;=VLOOKUP(D77,Tournaments!$A$1:$B$1772,2,FALSE),"TRUE","FALSE"),"")</f>
        <v>TRUE</v>
      </c>
      <c r="N77" s="389">
        <v>1</v>
      </c>
      <c r="O77" s="389">
        <f t="shared" si="32"/>
        <v>1</v>
      </c>
      <c r="Q77" s="389">
        <f t="shared" si="33"/>
        <v>3</v>
      </c>
      <c r="R77" s="389">
        <f t="shared" si="34"/>
        <v>0</v>
      </c>
      <c r="S77" s="389">
        <f t="shared" si="35"/>
        <v>0</v>
      </c>
      <c r="U77" s="389">
        <f t="shared" si="36"/>
        <v>1</v>
      </c>
      <c r="V77" s="389" t="b">
        <f t="shared" si="37"/>
        <v>0</v>
      </c>
      <c r="W77" s="389">
        <f t="shared" si="38"/>
        <v>-1</v>
      </c>
      <c r="X77" s="389">
        <f t="shared" si="39"/>
        <v>1</v>
      </c>
      <c r="Y77" s="389" t="b">
        <f t="shared" si="57"/>
        <v>0</v>
      </c>
      <c r="Z77" s="389">
        <f t="shared" si="40"/>
        <v>-1</v>
      </c>
      <c r="AA77" s="389">
        <f t="shared" si="41"/>
        <v>1</v>
      </c>
      <c r="AB77" s="389" t="b">
        <f t="shared" si="42"/>
        <v>0</v>
      </c>
      <c r="AC77" s="389">
        <f t="shared" si="43"/>
        <v>-1</v>
      </c>
      <c r="AD77" s="389">
        <f t="shared" si="44"/>
        <v>1</v>
      </c>
      <c r="AE77" s="389">
        <f t="shared" si="45"/>
        <v>1</v>
      </c>
      <c r="AG77" s="311" t="str">
        <f t="shared" si="46"/>
        <v>Ch B Coed Mini Soccer-Pool A</v>
      </c>
      <c r="AH77" s="453">
        <f t="shared" si="47"/>
        <v>1</v>
      </c>
      <c r="AI77" s="453">
        <f t="shared" si="48"/>
        <v>1</v>
      </c>
      <c r="AJ77" t="str">
        <f t="array" ref="AJ77">IF(AND(AI77&gt;1,G77&lt;&gt;""),INDEX(FS_teams,MATCH(1,(FS_Keys=AG77)*(FS_Points=I77)*(FS_teams&lt;&gt;G77),0)),"")</f>
        <v/>
      </c>
      <c r="AK77" s="390" t="str">
        <f t="array" ref="AK77">IF(AJ77&lt;&gt;"",INDEX(TM_Score1,MATCH(1,(TM_Events=D77)*(TM_Participant1=G77)*(TM_Participant2=AJ77),0)),"")</f>
        <v/>
      </c>
      <c r="AL77" s="390" t="str">
        <f t="array" ref="AL77">IF(AJ77&lt;&gt;"",INDEX(TM_Score1,MATCH(1,(TM_Events=D77)*(TM_Participant1=AJ77)*(TM_Participant2=G77),0)),"")</f>
        <v/>
      </c>
      <c r="AM77" s="389" t="str">
        <f t="array" ref="AM77">IF(ISNUMBER(AK77),INDEX(TM_Score2,MATCH(1,(TM_Events=D77)*(TM_Participant1=G77)*(TM_Participant2=AJ77),0)),"")</f>
        <v/>
      </c>
      <c r="AN77" s="389" t="str">
        <f t="array" ref="AN77">IF(ISNUMBER(AL77),INDEX(TM_Score2,MATCH(1,(TM_Events=D77)*(TM_Participant1=AJ77)*(TM_Participant2=G77),0)),"")</f>
        <v/>
      </c>
      <c r="AO77" s="389" t="str">
        <f t="shared" si="49"/>
        <v/>
      </c>
      <c r="AP77" s="389">
        <f t="shared" si="50"/>
        <v>3</v>
      </c>
      <c r="AQ77" s="389">
        <f t="shared" si="51"/>
        <v>0</v>
      </c>
      <c r="AR77" s="389">
        <f t="shared" si="52"/>
        <v>0</v>
      </c>
      <c r="AS77" s="453">
        <f t="shared" si="53"/>
        <v>9</v>
      </c>
      <c r="AT77" s="452">
        <f t="shared" si="54"/>
        <v>19</v>
      </c>
    </row>
    <row r="78" spans="1:46" ht="16" x14ac:dyDescent="0.2">
      <c r="A78" s="298"/>
      <c r="B78"/>
      <c r="D78" s="303" t="s">
        <v>34</v>
      </c>
      <c r="E78" s="396" t="s">
        <v>723</v>
      </c>
      <c r="F78" s="387">
        <v>1</v>
      </c>
      <c r="G78" s="397" t="s">
        <v>560</v>
      </c>
      <c r="H78" s="387" t="str">
        <f t="shared" si="29"/>
        <v>3-0-0</v>
      </c>
      <c r="I78" s="389">
        <f t="shared" si="30"/>
        <v>6</v>
      </c>
      <c r="J78" s="455" t="str">
        <f t="shared" si="55"/>
        <v/>
      </c>
      <c r="K78" s="455" t="str">
        <f t="shared" si="31"/>
        <v/>
      </c>
      <c r="L78" s="455" t="str">
        <f t="shared" si="56"/>
        <v/>
      </c>
      <c r="M78" s="389" t="str">
        <f>IFERROR(IF(AD78&lt;=VLOOKUP(D78,Tournaments!$A$1:$B$1772,2,FALSE),"TRUE","FALSE"),"")</f>
        <v>TRUE</v>
      </c>
      <c r="N78" s="389">
        <v>1</v>
      </c>
      <c r="O78" s="389">
        <f t="shared" si="32"/>
        <v>1</v>
      </c>
      <c r="Q78" s="389">
        <f t="shared" si="33"/>
        <v>3</v>
      </c>
      <c r="R78" s="389">
        <f t="shared" si="34"/>
        <v>0</v>
      </c>
      <c r="S78" s="389">
        <f t="shared" si="35"/>
        <v>0</v>
      </c>
      <c r="U78" s="389">
        <f t="shared" si="36"/>
        <v>1</v>
      </c>
      <c r="V78" s="389" t="b">
        <f t="shared" si="37"/>
        <v>0</v>
      </c>
      <c r="W78" s="389">
        <f t="shared" si="38"/>
        <v>-1</v>
      </c>
      <c r="X78" s="389">
        <f t="shared" si="39"/>
        <v>1</v>
      </c>
      <c r="Y78" s="389" t="b">
        <f t="shared" si="57"/>
        <v>0</v>
      </c>
      <c r="Z78" s="389">
        <f t="shared" si="40"/>
        <v>-1</v>
      </c>
      <c r="AA78" s="389">
        <f t="shared" si="41"/>
        <v>1</v>
      </c>
      <c r="AB78" s="389" t="b">
        <f t="shared" si="42"/>
        <v>0</v>
      </c>
      <c r="AC78" s="389">
        <f t="shared" si="43"/>
        <v>-1</v>
      </c>
      <c r="AD78" s="389">
        <f t="shared" si="44"/>
        <v>1</v>
      </c>
      <c r="AE78" s="389">
        <f t="shared" si="45"/>
        <v>1</v>
      </c>
      <c r="AG78" s="311" t="str">
        <f t="shared" si="46"/>
        <v>Ch B Coed Mini Soccer-Pool B</v>
      </c>
      <c r="AH78" s="453">
        <f t="shared" si="47"/>
        <v>1</v>
      </c>
      <c r="AI78" s="453">
        <f t="shared" si="48"/>
        <v>1</v>
      </c>
      <c r="AJ78" t="str">
        <f t="array" ref="AJ78">IF(AND(AI78&gt;1,G78&lt;&gt;""),INDEX(FS_teams,MATCH(1,(FS_Keys=AG78)*(FS_Points=I78)*(FS_teams&lt;&gt;G78),0)),"")</f>
        <v/>
      </c>
      <c r="AK78" s="390" t="str">
        <f t="array" ref="AK78">IF(AJ78&lt;&gt;"",INDEX(TM_Score1,MATCH(1,(TM_Events=D78)*(TM_Participant1=G78)*(TM_Participant2=AJ78),0)),"")</f>
        <v/>
      </c>
      <c r="AL78" s="390" t="str">
        <f t="array" ref="AL78">IF(AJ78&lt;&gt;"",INDEX(TM_Score1,MATCH(1,(TM_Events=D78)*(TM_Participant1=AJ78)*(TM_Participant2=G78),0)),"")</f>
        <v/>
      </c>
      <c r="AM78" s="389" t="str">
        <f t="array" ref="AM78">IF(ISNUMBER(AK78),INDEX(TM_Score2,MATCH(1,(TM_Events=D78)*(TM_Participant1=G78)*(TM_Participant2=AJ78),0)),"")</f>
        <v/>
      </c>
      <c r="AN78" s="389" t="str">
        <f t="array" ref="AN78">IF(ISNUMBER(AL78),INDEX(TM_Score2,MATCH(1,(TM_Events=D78)*(TM_Participant1=AJ78)*(TM_Participant2=G78),0)),"")</f>
        <v/>
      </c>
      <c r="AO78" s="389" t="str">
        <f t="shared" si="49"/>
        <v/>
      </c>
      <c r="AP78" s="389">
        <f t="shared" si="50"/>
        <v>3</v>
      </c>
      <c r="AQ78" s="389">
        <f t="shared" si="51"/>
        <v>0</v>
      </c>
      <c r="AR78" s="389">
        <f t="shared" si="52"/>
        <v>0</v>
      </c>
      <c r="AS78" s="453">
        <f t="shared" si="53"/>
        <v>8</v>
      </c>
      <c r="AT78" s="452">
        <f t="shared" si="54"/>
        <v>11</v>
      </c>
    </row>
    <row r="79" spans="1:46" ht="16" x14ac:dyDescent="0.2">
      <c r="A79" s="298"/>
      <c r="B79"/>
      <c r="D79" s="303" t="s">
        <v>34</v>
      </c>
      <c r="E79" s="396" t="s">
        <v>723</v>
      </c>
      <c r="F79" s="387">
        <v>1</v>
      </c>
      <c r="G79" s="397" t="s">
        <v>559</v>
      </c>
      <c r="H79" s="387" t="str">
        <f t="shared" si="29"/>
        <v>0-2-1</v>
      </c>
      <c r="I79" s="389">
        <f t="shared" si="30"/>
        <v>1</v>
      </c>
      <c r="J79" s="455" t="str">
        <f t="shared" si="55"/>
        <v/>
      </c>
      <c r="K79" s="455" t="str">
        <f t="shared" si="31"/>
        <v/>
      </c>
      <c r="L79" s="455" t="str">
        <f t="shared" si="56"/>
        <v/>
      </c>
      <c r="M79" s="389" t="str">
        <f>IFERROR(IF(AD79&lt;=VLOOKUP(D79,Tournaments!$A$1:$B$1772,2,FALSE),"TRUE","FALSE"),"")</f>
        <v>FALSE</v>
      </c>
      <c r="N79" s="389">
        <v>1</v>
      </c>
      <c r="O79" s="389">
        <f t="shared" si="32"/>
        <v>4</v>
      </c>
      <c r="Q79" s="389">
        <f t="shared" si="33"/>
        <v>0</v>
      </c>
      <c r="R79" s="389">
        <f t="shared" si="34"/>
        <v>2</v>
      </c>
      <c r="S79" s="389">
        <f t="shared" si="35"/>
        <v>1</v>
      </c>
      <c r="U79" s="389">
        <f t="shared" si="36"/>
        <v>4</v>
      </c>
      <c r="V79" s="389" t="b">
        <f t="shared" si="37"/>
        <v>0</v>
      </c>
      <c r="W79" s="389">
        <f t="shared" si="38"/>
        <v>-4</v>
      </c>
      <c r="X79" s="389">
        <f t="shared" si="39"/>
        <v>4</v>
      </c>
      <c r="Y79" s="389" t="b">
        <f t="shared" si="57"/>
        <v>0</v>
      </c>
      <c r="Z79" s="389">
        <f t="shared" si="40"/>
        <v>-4</v>
      </c>
      <c r="AA79" s="389">
        <f t="shared" si="41"/>
        <v>4</v>
      </c>
      <c r="AB79" s="389" t="b">
        <f t="shared" si="42"/>
        <v>0</v>
      </c>
      <c r="AC79" s="389">
        <f t="shared" si="43"/>
        <v>-4</v>
      </c>
      <c r="AD79" s="389">
        <f t="shared" si="44"/>
        <v>4</v>
      </c>
      <c r="AE79" s="389">
        <f t="shared" si="45"/>
        <v>1</v>
      </c>
      <c r="AG79" s="311" t="str">
        <f t="shared" si="46"/>
        <v>Ch B Coed Mini Soccer-Pool B</v>
      </c>
      <c r="AH79" s="453">
        <f t="shared" si="47"/>
        <v>4</v>
      </c>
      <c r="AI79" s="453">
        <f t="shared" si="48"/>
        <v>1</v>
      </c>
      <c r="AJ79" t="str">
        <f t="array" ref="AJ79">IF(AND(AI79&gt;1,G79&lt;&gt;""),INDEX(FS_teams,MATCH(1,(FS_Keys=AG79)*(FS_Points=I79)*(FS_teams&lt;&gt;G79),0)),"")</f>
        <v/>
      </c>
      <c r="AK79" s="390" t="str">
        <f t="array" ref="AK79">IF(AJ79&lt;&gt;"",INDEX(TM_Score1,MATCH(1,(TM_Events=D79)*(TM_Participant1=G79)*(TM_Participant2=AJ79),0)),"")</f>
        <v/>
      </c>
      <c r="AL79" s="390" t="str">
        <f t="array" ref="AL79">IF(AJ79&lt;&gt;"",INDEX(TM_Score1,MATCH(1,(TM_Events=D79)*(TM_Participant1=AJ79)*(TM_Participant2=G79),0)),"")</f>
        <v/>
      </c>
      <c r="AM79" s="389" t="str">
        <f t="array" ref="AM79">IF(ISNUMBER(AK79),INDEX(TM_Score2,MATCH(1,(TM_Events=D79)*(TM_Participant1=G79)*(TM_Participant2=AJ79),0)),"")</f>
        <v/>
      </c>
      <c r="AN79" s="389" t="str">
        <f t="array" ref="AN79">IF(ISNUMBER(AL79),INDEX(TM_Score2,MATCH(1,(TM_Events=D79)*(TM_Participant1=AJ79)*(TM_Participant2=G79),0)),"")</f>
        <v/>
      </c>
      <c r="AO79" s="389" t="str">
        <f t="shared" si="49"/>
        <v/>
      </c>
      <c r="AP79" s="389">
        <f t="shared" si="50"/>
        <v>0</v>
      </c>
      <c r="AQ79" s="389">
        <f t="shared" si="51"/>
        <v>1</v>
      </c>
      <c r="AR79" s="389">
        <f t="shared" si="52"/>
        <v>2</v>
      </c>
      <c r="AS79" s="453">
        <f t="shared" si="53"/>
        <v>-6</v>
      </c>
      <c r="AT79" s="452">
        <f t="shared" si="54"/>
        <v>0</v>
      </c>
    </row>
    <row r="80" spans="1:46" ht="16" x14ac:dyDescent="0.2">
      <c r="A80" s="298"/>
      <c r="B80"/>
      <c r="D80" s="303" t="s">
        <v>34</v>
      </c>
      <c r="E80" s="396" t="s">
        <v>723</v>
      </c>
      <c r="F80" s="387">
        <v>1</v>
      </c>
      <c r="G80" s="397" t="s">
        <v>557</v>
      </c>
      <c r="H80" s="387" t="str">
        <f t="shared" si="29"/>
        <v>1-1-1</v>
      </c>
      <c r="I80" s="389">
        <f t="shared" si="30"/>
        <v>3</v>
      </c>
      <c r="J80" s="455" t="str">
        <f t="shared" si="55"/>
        <v/>
      </c>
      <c r="K80" s="455" t="str">
        <f t="shared" si="31"/>
        <v/>
      </c>
      <c r="L80" s="455" t="str">
        <f t="shared" si="56"/>
        <v/>
      </c>
      <c r="M80" s="389" t="str">
        <f>IFERROR(IF(AD80&lt;=VLOOKUP(D80,Tournaments!$A$1:$B$1772,2,FALSE),"TRUE","FALSE"),"")</f>
        <v>FALSE</v>
      </c>
      <c r="N80" s="389">
        <v>1</v>
      </c>
      <c r="O80" s="389">
        <f t="shared" si="32"/>
        <v>2</v>
      </c>
      <c r="Q80" s="389">
        <f t="shared" si="33"/>
        <v>1</v>
      </c>
      <c r="R80" s="389">
        <f t="shared" si="34"/>
        <v>1</v>
      </c>
      <c r="S80" s="389">
        <f t="shared" si="35"/>
        <v>1</v>
      </c>
      <c r="U80" s="389">
        <f t="shared" si="36"/>
        <v>2</v>
      </c>
      <c r="V80" s="389" t="b">
        <f t="shared" si="37"/>
        <v>0</v>
      </c>
      <c r="W80" s="389">
        <f t="shared" si="38"/>
        <v>-2</v>
      </c>
      <c r="X80" s="389">
        <f t="shared" si="39"/>
        <v>2</v>
      </c>
      <c r="Y80" s="389" t="b">
        <f t="shared" si="57"/>
        <v>0</v>
      </c>
      <c r="Z80" s="389">
        <f t="shared" si="40"/>
        <v>-2</v>
      </c>
      <c r="AA80" s="389">
        <f t="shared" si="41"/>
        <v>2</v>
      </c>
      <c r="AB80" s="389" t="b">
        <f t="shared" si="42"/>
        <v>0</v>
      </c>
      <c r="AC80" s="389">
        <f t="shared" si="43"/>
        <v>-2</v>
      </c>
      <c r="AD80" s="389">
        <f t="shared" si="44"/>
        <v>2</v>
      </c>
      <c r="AE80" s="389">
        <f t="shared" si="45"/>
        <v>1</v>
      </c>
      <c r="AG80" s="311" t="str">
        <f t="shared" si="46"/>
        <v>Ch B Coed Mini Soccer-Pool B</v>
      </c>
      <c r="AH80" s="453">
        <f t="shared" si="47"/>
        <v>2</v>
      </c>
      <c r="AI80" s="453">
        <f t="shared" si="48"/>
        <v>1</v>
      </c>
      <c r="AJ80" t="str">
        <f t="array" ref="AJ80">IF(AND(AI80&gt;1,G80&lt;&gt;""),INDEX(FS_teams,MATCH(1,(FS_Keys=AG80)*(FS_Points=I80)*(FS_teams&lt;&gt;G80),0)),"")</f>
        <v/>
      </c>
      <c r="AK80" s="390" t="str">
        <f t="array" ref="AK80">IF(AJ80&lt;&gt;"",INDEX(TM_Score1,MATCH(1,(TM_Events=D80)*(TM_Participant1=G80)*(TM_Participant2=AJ80),0)),"")</f>
        <v/>
      </c>
      <c r="AL80" s="390" t="str">
        <f t="array" ref="AL80">IF(AJ80&lt;&gt;"",INDEX(TM_Score1,MATCH(1,(TM_Events=D80)*(TM_Participant1=AJ80)*(TM_Participant2=G80),0)),"")</f>
        <v/>
      </c>
      <c r="AM80" s="389" t="str">
        <f t="array" ref="AM80">IF(ISNUMBER(AK80),INDEX(TM_Score2,MATCH(1,(TM_Events=D80)*(TM_Participant1=G80)*(TM_Participant2=AJ80),0)),"")</f>
        <v/>
      </c>
      <c r="AN80" s="389" t="str">
        <f t="array" ref="AN80">IF(ISNUMBER(AL80),INDEX(TM_Score2,MATCH(1,(TM_Events=D80)*(TM_Participant1=AJ80)*(TM_Participant2=G80),0)),"")</f>
        <v/>
      </c>
      <c r="AO80" s="389" t="str">
        <f t="shared" si="49"/>
        <v/>
      </c>
      <c r="AP80" s="389">
        <f t="shared" si="50"/>
        <v>1</v>
      </c>
      <c r="AQ80" s="389">
        <f t="shared" si="51"/>
        <v>1</v>
      </c>
      <c r="AR80" s="389">
        <f t="shared" si="52"/>
        <v>1</v>
      </c>
      <c r="AS80" s="453">
        <f t="shared" si="53"/>
        <v>0</v>
      </c>
      <c r="AT80" s="452">
        <f t="shared" si="54"/>
        <v>8</v>
      </c>
    </row>
    <row r="81" spans="1:46" ht="16" x14ac:dyDescent="0.2">
      <c r="A81" s="298"/>
      <c r="B81"/>
      <c r="D81" s="303" t="s">
        <v>34</v>
      </c>
      <c r="E81" s="387" t="s">
        <v>723</v>
      </c>
      <c r="F81" s="387">
        <v>1</v>
      </c>
      <c r="G81" s="397" t="s">
        <v>554</v>
      </c>
      <c r="H81" s="387" t="str">
        <f t="shared" si="29"/>
        <v>0-1-2</v>
      </c>
      <c r="I81" s="389">
        <f t="shared" si="30"/>
        <v>2</v>
      </c>
      <c r="J81" s="455" t="str">
        <f t="shared" si="55"/>
        <v/>
      </c>
      <c r="K81" s="455" t="str">
        <f t="shared" si="31"/>
        <v/>
      </c>
      <c r="L81" s="455" t="str">
        <f t="shared" si="56"/>
        <v/>
      </c>
      <c r="M81" s="389" t="str">
        <f>IFERROR(IF(AD81&lt;=VLOOKUP(D81,Tournaments!$A$1:$B$1772,2,FALSE),"TRUE","FALSE"),"")</f>
        <v>FALSE</v>
      </c>
      <c r="N81" s="389">
        <v>1</v>
      </c>
      <c r="O81" s="389">
        <f t="shared" si="32"/>
        <v>3</v>
      </c>
      <c r="Q81" s="389">
        <f t="shared" si="33"/>
        <v>0</v>
      </c>
      <c r="R81" s="389">
        <f t="shared" si="34"/>
        <v>1</v>
      </c>
      <c r="S81" s="389">
        <f t="shared" si="35"/>
        <v>2</v>
      </c>
      <c r="U81" s="389">
        <f t="shared" si="36"/>
        <v>3</v>
      </c>
      <c r="V81" s="389" t="b">
        <f t="shared" si="37"/>
        <v>0</v>
      </c>
      <c r="W81" s="389">
        <f t="shared" si="38"/>
        <v>-3</v>
      </c>
      <c r="X81" s="389">
        <f t="shared" si="39"/>
        <v>3</v>
      </c>
      <c r="Y81" s="389" t="b">
        <f t="shared" si="57"/>
        <v>0</v>
      </c>
      <c r="Z81" s="389">
        <f t="shared" si="40"/>
        <v>-3</v>
      </c>
      <c r="AA81" s="389">
        <f t="shared" si="41"/>
        <v>3</v>
      </c>
      <c r="AB81" s="389" t="b">
        <f t="shared" si="42"/>
        <v>0</v>
      </c>
      <c r="AC81" s="389">
        <f t="shared" si="43"/>
        <v>-3</v>
      </c>
      <c r="AD81" s="389">
        <f t="shared" si="44"/>
        <v>3</v>
      </c>
      <c r="AE81" s="389">
        <f t="shared" si="45"/>
        <v>1</v>
      </c>
      <c r="AG81" s="311" t="str">
        <f t="shared" si="46"/>
        <v>Ch B Coed Mini Soccer-Pool B</v>
      </c>
      <c r="AH81" s="453">
        <f t="shared" si="47"/>
        <v>3</v>
      </c>
      <c r="AI81" s="453">
        <f t="shared" si="48"/>
        <v>1</v>
      </c>
      <c r="AJ81" t="str">
        <f t="array" ref="AJ81">IF(AND(AI81&gt;1,G81&lt;&gt;""),INDEX(FS_teams,MATCH(1,(FS_Keys=AG81)*(FS_Points=I81)*(FS_teams&lt;&gt;G81),0)),"")</f>
        <v/>
      </c>
      <c r="AK81" s="390" t="str">
        <f t="array" ref="AK81">IF(AJ81&lt;&gt;"",INDEX(TM_Score1,MATCH(1,(TM_Events=D81)*(TM_Participant1=G81)*(TM_Participant2=AJ81),0)),"")</f>
        <v/>
      </c>
      <c r="AL81" s="390" t="str">
        <f t="array" ref="AL81">IF(AJ81&lt;&gt;"",INDEX(TM_Score1,MATCH(1,(TM_Events=D81)*(TM_Participant1=AJ81)*(TM_Participant2=G81),0)),"")</f>
        <v/>
      </c>
      <c r="AM81" s="389" t="str">
        <f t="array" ref="AM81">IF(ISNUMBER(AK81),INDEX(TM_Score2,MATCH(1,(TM_Events=D81)*(TM_Participant1=G81)*(TM_Participant2=AJ81),0)),"")</f>
        <v/>
      </c>
      <c r="AN81" s="389" t="str">
        <f t="array" ref="AN81">IF(ISNUMBER(AL81),INDEX(TM_Score2,MATCH(1,(TM_Events=D81)*(TM_Participant1=AJ81)*(TM_Participant2=G81),0)),"")</f>
        <v/>
      </c>
      <c r="AO81" s="389" t="str">
        <f t="shared" si="49"/>
        <v/>
      </c>
      <c r="AP81" s="389">
        <f t="shared" si="50"/>
        <v>0</v>
      </c>
      <c r="AQ81" s="389">
        <f t="shared" si="51"/>
        <v>2</v>
      </c>
      <c r="AR81" s="389">
        <f t="shared" si="52"/>
        <v>1</v>
      </c>
      <c r="AS81" s="453">
        <f t="shared" si="53"/>
        <v>-2</v>
      </c>
      <c r="AT81" s="452">
        <f t="shared" si="54"/>
        <v>4</v>
      </c>
    </row>
    <row r="82" spans="1:46" ht="16" x14ac:dyDescent="0.2">
      <c r="A82" s="298"/>
      <c r="B82"/>
      <c r="D82" s="303" t="s">
        <v>36</v>
      </c>
      <c r="E82" s="396" t="s">
        <v>722</v>
      </c>
      <c r="F82" s="387">
        <v>1</v>
      </c>
      <c r="G82" s="397" t="s">
        <v>560</v>
      </c>
      <c r="H82" s="387" t="str">
        <f t="shared" si="29"/>
        <v>1-2-0</v>
      </c>
      <c r="I82" s="389">
        <f t="shared" si="30"/>
        <v>2</v>
      </c>
      <c r="J82" s="455">
        <f t="shared" si="55"/>
        <v>0</v>
      </c>
      <c r="K82" s="455" t="str">
        <f t="shared" si="31"/>
        <v/>
      </c>
      <c r="L82" s="455" t="str">
        <f t="shared" si="56"/>
        <v/>
      </c>
      <c r="M82" s="389" t="str">
        <f>IFERROR(IF(AD82&lt;=VLOOKUP(D82,Tournaments!$A$1:$B$1772,2,FALSE),"TRUE","FALSE"),"")</f>
        <v>FALSE</v>
      </c>
      <c r="N82" s="389">
        <v>1</v>
      </c>
      <c r="O82" s="389">
        <f t="shared" si="32"/>
        <v>4</v>
      </c>
      <c r="Q82" s="389">
        <f t="shared" si="33"/>
        <v>1</v>
      </c>
      <c r="R82" s="389">
        <f t="shared" si="34"/>
        <v>2</v>
      </c>
      <c r="S82" s="389">
        <f t="shared" si="35"/>
        <v>0</v>
      </c>
      <c r="U82" s="389">
        <f t="shared" si="36"/>
        <v>4</v>
      </c>
      <c r="V82" s="389">
        <f t="shared" si="37"/>
        <v>1E-4</v>
      </c>
      <c r="W82" s="389">
        <f t="shared" si="38"/>
        <v>-3.9998999999999998</v>
      </c>
      <c r="X82" s="389">
        <f t="shared" si="39"/>
        <v>4</v>
      </c>
      <c r="Y82" s="389" t="b">
        <f t="shared" si="57"/>
        <v>0</v>
      </c>
      <c r="Z82" s="389">
        <f t="shared" si="40"/>
        <v>-4</v>
      </c>
      <c r="AA82" s="389">
        <f t="shared" si="41"/>
        <v>4</v>
      </c>
      <c r="AB82" s="389" t="b">
        <f t="shared" si="42"/>
        <v>0</v>
      </c>
      <c r="AC82" s="389">
        <f t="shared" si="43"/>
        <v>-4</v>
      </c>
      <c r="AD82" s="389">
        <f t="shared" si="44"/>
        <v>4</v>
      </c>
      <c r="AE82" s="389">
        <f t="shared" si="45"/>
        <v>1</v>
      </c>
      <c r="AG82" s="311" t="str">
        <f t="shared" si="46"/>
        <v>Ch B Coed Newcomb-Pool A</v>
      </c>
      <c r="AH82" s="453">
        <f t="shared" si="47"/>
        <v>3</v>
      </c>
      <c r="AI82" s="453">
        <f t="shared" si="48"/>
        <v>2</v>
      </c>
      <c r="AJ82" t="str">
        <f t="array" ref="AJ82">IF(AND(AI82&gt;1,G82&lt;&gt;""),INDEX(FS_teams,MATCH(1,(FS_Keys=AG82)*(FS_Points=I82)*(FS_teams&lt;&gt;G82),0)),"")</f>
        <v>CHILD B - COL 1</v>
      </c>
      <c r="AK82" s="390" t="e">
        <f t="array" ref="AK82">IF(AJ82&lt;&gt;"",INDEX(TM_Score1,MATCH(1,(TM_Events=D82)*(TM_Participant1=G82)*(TM_Participant2=AJ82),0)),"")</f>
        <v>#N/A</v>
      </c>
      <c r="AL82" s="390">
        <f t="array" ref="AL82">IF(AJ82&lt;&gt;"",INDEX(TM_Score1,MATCH(1,(TM_Events=D82)*(TM_Participant1=AJ82)*(TM_Participant2=G82),0)),"")</f>
        <v>2</v>
      </c>
      <c r="AM82" s="389" t="str">
        <f t="array" ref="AM82">IF(ISNUMBER(AK82),INDEX(TM_Score2,MATCH(1,(TM_Events=D82)*(TM_Participant1=G82)*(TM_Participant2=AJ82),0)),"")</f>
        <v/>
      </c>
      <c r="AN82" s="389">
        <f t="array" ref="AN82">IF(ISNUMBER(AL82),INDEX(TM_Score2,MATCH(1,(TM_Events=D82)*(TM_Participant1=AJ82)*(TM_Participant2=G82),0)),"")</f>
        <v>1</v>
      </c>
      <c r="AO82" s="389" t="str">
        <f t="shared" si="49"/>
        <v>Loss</v>
      </c>
      <c r="AP82" s="389">
        <f t="shared" si="50"/>
        <v>1</v>
      </c>
      <c r="AQ82" s="389">
        <f t="shared" si="51"/>
        <v>0</v>
      </c>
      <c r="AR82" s="389">
        <f t="shared" si="52"/>
        <v>2</v>
      </c>
      <c r="AS82" s="453">
        <f t="shared" si="53"/>
        <v>-1</v>
      </c>
      <c r="AT82" s="452">
        <f t="shared" si="54"/>
        <v>4</v>
      </c>
    </row>
    <row r="83" spans="1:46" ht="16" x14ac:dyDescent="0.2">
      <c r="A83" s="298"/>
      <c r="B83"/>
      <c r="D83" s="303" t="s">
        <v>36</v>
      </c>
      <c r="E83" s="396" t="s">
        <v>722</v>
      </c>
      <c r="F83" s="387">
        <v>1</v>
      </c>
      <c r="G83" s="397" t="s">
        <v>557</v>
      </c>
      <c r="H83" s="387" t="str">
        <f t="shared" si="29"/>
        <v>2-1-0</v>
      </c>
      <c r="I83" s="389">
        <f t="shared" si="30"/>
        <v>4</v>
      </c>
      <c r="J83" s="455">
        <f t="shared" si="55"/>
        <v>0</v>
      </c>
      <c r="K83" s="455" t="str">
        <f t="shared" si="31"/>
        <v/>
      </c>
      <c r="L83" s="455" t="str">
        <f t="shared" si="56"/>
        <v/>
      </c>
      <c r="M83" s="389" t="str">
        <f>IFERROR(IF(AD83&lt;=VLOOKUP(D83,Tournaments!$A$1:$B$1772,2,FALSE),"TRUE","FALSE"),"")</f>
        <v>FALSE</v>
      </c>
      <c r="N83" s="389">
        <v>1</v>
      </c>
      <c r="O83" s="389">
        <f t="shared" si="32"/>
        <v>2</v>
      </c>
      <c r="Q83" s="389">
        <f t="shared" si="33"/>
        <v>2</v>
      </c>
      <c r="R83" s="389">
        <f t="shared" si="34"/>
        <v>1</v>
      </c>
      <c r="S83" s="389">
        <f t="shared" si="35"/>
        <v>0</v>
      </c>
      <c r="U83" s="389">
        <f t="shared" si="36"/>
        <v>2</v>
      </c>
      <c r="V83" s="389">
        <f t="shared" si="37"/>
        <v>1E-4</v>
      </c>
      <c r="W83" s="389">
        <f t="shared" si="38"/>
        <v>-1.9999</v>
      </c>
      <c r="X83" s="389">
        <f t="shared" si="39"/>
        <v>2</v>
      </c>
      <c r="Y83" s="389" t="b">
        <f t="shared" si="57"/>
        <v>0</v>
      </c>
      <c r="Z83" s="389">
        <f t="shared" si="40"/>
        <v>-2</v>
      </c>
      <c r="AA83" s="389">
        <f t="shared" si="41"/>
        <v>2</v>
      </c>
      <c r="AB83" s="389" t="b">
        <f t="shared" si="42"/>
        <v>0</v>
      </c>
      <c r="AC83" s="389">
        <f t="shared" si="43"/>
        <v>-2</v>
      </c>
      <c r="AD83" s="389">
        <f t="shared" si="44"/>
        <v>2</v>
      </c>
      <c r="AE83" s="389">
        <f t="shared" si="45"/>
        <v>1</v>
      </c>
      <c r="AG83" s="311" t="str">
        <f t="shared" si="46"/>
        <v>Ch B Coed Newcomb-Pool A</v>
      </c>
      <c r="AH83" s="453">
        <f t="shared" si="47"/>
        <v>1</v>
      </c>
      <c r="AI83" s="453">
        <f t="shared" si="48"/>
        <v>2</v>
      </c>
      <c r="AJ83" t="str">
        <f t="array" ref="AJ83">IF(AND(AI83&gt;1,G83&lt;&gt;""),INDEX(FS_teams,MATCH(1,(FS_Keys=AG83)*(FS_Points=I83)*(FS_teams&lt;&gt;G83),0)),"")</f>
        <v>CHILD B - USA 2</v>
      </c>
      <c r="AK83" s="390">
        <f t="array" ref="AK83">IF(AJ83&lt;&gt;"",INDEX(TM_Score1,MATCH(1,(TM_Events=D83)*(TM_Participant1=G83)*(TM_Participant2=AJ83),0)),"")</f>
        <v>0</v>
      </c>
      <c r="AL83" s="390" t="e">
        <f t="array" ref="AL83">IF(AJ83&lt;&gt;"",INDEX(TM_Score1,MATCH(1,(TM_Events=D83)*(TM_Participant1=AJ83)*(TM_Participant2=G83),0)),"")</f>
        <v>#N/A</v>
      </c>
      <c r="AM83" s="389">
        <f t="array" ref="AM83">IF(ISNUMBER(AK83),INDEX(TM_Score2,MATCH(1,(TM_Events=D83)*(TM_Participant1=G83)*(TM_Participant2=AJ83),0)),"")</f>
        <v>2</v>
      </c>
      <c r="AN83" s="389" t="str">
        <f t="array" ref="AN83">IF(ISNUMBER(AL83),INDEX(TM_Score2,MATCH(1,(TM_Events=D83)*(TM_Participant1=AJ83)*(TM_Participant2=G83),0)),"")</f>
        <v/>
      </c>
      <c r="AO83" s="389" t="str">
        <f t="shared" si="49"/>
        <v>Loss</v>
      </c>
      <c r="AP83" s="389">
        <f t="shared" si="50"/>
        <v>2</v>
      </c>
      <c r="AQ83" s="389">
        <f t="shared" si="51"/>
        <v>0</v>
      </c>
      <c r="AR83" s="389">
        <f t="shared" si="52"/>
        <v>1</v>
      </c>
      <c r="AS83" s="453">
        <f t="shared" si="53"/>
        <v>0</v>
      </c>
      <c r="AT83" s="452">
        <f t="shared" si="54"/>
        <v>4</v>
      </c>
    </row>
    <row r="84" spans="1:46" ht="16" x14ac:dyDescent="0.2">
      <c r="A84" s="298"/>
      <c r="B84"/>
      <c r="D84" s="303" t="s">
        <v>36</v>
      </c>
      <c r="E84" s="396" t="s">
        <v>722</v>
      </c>
      <c r="F84" s="387">
        <v>1</v>
      </c>
      <c r="G84" s="397" t="s">
        <v>559</v>
      </c>
      <c r="H84" s="387" t="str">
        <f t="shared" si="29"/>
        <v>2-2-0</v>
      </c>
      <c r="I84" s="389">
        <f t="shared" si="30"/>
        <v>4</v>
      </c>
      <c r="J84" s="455">
        <f t="shared" si="55"/>
        <v>2</v>
      </c>
      <c r="K84" s="455" t="str">
        <f t="shared" si="31"/>
        <v/>
      </c>
      <c r="L84" s="455" t="str">
        <f t="shared" si="56"/>
        <v/>
      </c>
      <c r="M84" s="389" t="str">
        <f>IFERROR(IF(AD84&lt;=VLOOKUP(D84,Tournaments!$A$1:$B$1772,2,FALSE),"TRUE","FALSE"),"")</f>
        <v>TRUE</v>
      </c>
      <c r="N84" s="389">
        <v>1</v>
      </c>
      <c r="O84" s="389">
        <f t="shared" si="32"/>
        <v>1</v>
      </c>
      <c r="Q84" s="389">
        <f t="shared" si="33"/>
        <v>2</v>
      </c>
      <c r="R84" s="389">
        <f t="shared" si="34"/>
        <v>2</v>
      </c>
      <c r="S84" s="389">
        <f t="shared" si="35"/>
        <v>0</v>
      </c>
      <c r="U84" s="389">
        <f t="shared" si="36"/>
        <v>2</v>
      </c>
      <c r="V84" s="389">
        <f t="shared" si="37"/>
        <v>2.1999999999999999E-2</v>
      </c>
      <c r="W84" s="389">
        <f t="shared" si="38"/>
        <v>-1.978</v>
      </c>
      <c r="X84" s="389">
        <f t="shared" si="39"/>
        <v>1</v>
      </c>
      <c r="Y84" s="389" t="b">
        <f t="shared" si="57"/>
        <v>0</v>
      </c>
      <c r="Z84" s="389">
        <f t="shared" si="40"/>
        <v>-1</v>
      </c>
      <c r="AA84" s="389">
        <f t="shared" si="41"/>
        <v>1</v>
      </c>
      <c r="AB84" s="389" t="b">
        <f t="shared" si="42"/>
        <v>0</v>
      </c>
      <c r="AC84" s="389">
        <f t="shared" si="43"/>
        <v>-1</v>
      </c>
      <c r="AD84" s="389">
        <f t="shared" si="44"/>
        <v>1</v>
      </c>
      <c r="AE84" s="389">
        <f t="shared" si="45"/>
        <v>1</v>
      </c>
      <c r="AG84" s="311" t="str">
        <f t="shared" si="46"/>
        <v>Ch B Coed Newcomb-Pool A</v>
      </c>
      <c r="AH84" s="453">
        <f t="shared" si="47"/>
        <v>1</v>
      </c>
      <c r="AI84" s="453">
        <f t="shared" si="48"/>
        <v>2</v>
      </c>
      <c r="AJ84" t="str">
        <f t="array" ref="AJ84">IF(AND(AI84&gt;1,G84&lt;&gt;""),INDEX(FS_teams,MATCH(1,(FS_Keys=AG84)*(FS_Points=I84)*(FS_teams&lt;&gt;G84),0)),"")</f>
        <v>CHILD B - MEX</v>
      </c>
      <c r="AK84" s="390" t="e">
        <f t="array" ref="AK84">IF(AJ84&lt;&gt;"",INDEX(TM_Score1,MATCH(1,(TM_Events=D84)*(TM_Participant1=G84)*(TM_Participant2=AJ84),0)),"")</f>
        <v>#N/A</v>
      </c>
      <c r="AL84" s="390">
        <f t="array" ref="AL84">IF(AJ84&lt;&gt;"",INDEX(TM_Score1,MATCH(1,(TM_Events=D84)*(TM_Participant1=AJ84)*(TM_Participant2=G84),0)),"")</f>
        <v>0</v>
      </c>
      <c r="AM84" s="389" t="str">
        <f t="array" ref="AM84">IF(ISNUMBER(AK84),INDEX(TM_Score2,MATCH(1,(TM_Events=D84)*(TM_Participant1=G84)*(TM_Participant2=AJ84),0)),"")</f>
        <v/>
      </c>
      <c r="AN84" s="389">
        <f t="array" ref="AN84">IF(ISNUMBER(AL84),INDEX(TM_Score2,MATCH(1,(TM_Events=D84)*(TM_Participant1=AJ84)*(TM_Participant2=G84),0)),"")</f>
        <v>2</v>
      </c>
      <c r="AO84" s="389" t="str">
        <f t="shared" si="49"/>
        <v>Win</v>
      </c>
      <c r="AP84" s="389">
        <f t="shared" si="50"/>
        <v>2</v>
      </c>
      <c r="AQ84" s="389">
        <f t="shared" si="51"/>
        <v>0</v>
      </c>
      <c r="AR84" s="389">
        <f t="shared" si="52"/>
        <v>2</v>
      </c>
      <c r="AS84" s="453">
        <f t="shared" si="53"/>
        <v>1</v>
      </c>
      <c r="AT84" s="452">
        <f t="shared" si="54"/>
        <v>5</v>
      </c>
    </row>
    <row r="85" spans="1:46" ht="16" x14ac:dyDescent="0.2">
      <c r="A85" s="298"/>
      <c r="B85"/>
      <c r="D85" s="303" t="s">
        <v>36</v>
      </c>
      <c r="E85" s="396" t="s">
        <v>722</v>
      </c>
      <c r="F85" s="387">
        <v>1</v>
      </c>
      <c r="G85" s="397" t="s">
        <v>554</v>
      </c>
      <c r="H85" s="387" t="str">
        <f t="shared" si="29"/>
        <v>1-2-0</v>
      </c>
      <c r="I85" s="389">
        <f t="shared" si="30"/>
        <v>2</v>
      </c>
      <c r="J85" s="455">
        <f t="shared" si="55"/>
        <v>2</v>
      </c>
      <c r="K85" s="455" t="str">
        <f t="shared" si="31"/>
        <v/>
      </c>
      <c r="L85" s="455" t="str">
        <f t="shared" si="56"/>
        <v/>
      </c>
      <c r="M85" s="389" t="str">
        <f>IFERROR(IF(AD85&lt;=VLOOKUP(D85,Tournaments!$A$1:$B$1772,2,FALSE),"TRUE","FALSE"),"")</f>
        <v>FALSE</v>
      </c>
      <c r="N85" s="389">
        <v>1</v>
      </c>
      <c r="O85" s="389">
        <f t="shared" si="32"/>
        <v>3</v>
      </c>
      <c r="Q85" s="389">
        <f t="shared" si="33"/>
        <v>1</v>
      </c>
      <c r="R85" s="389">
        <f t="shared" si="34"/>
        <v>2</v>
      </c>
      <c r="S85" s="389">
        <f t="shared" si="35"/>
        <v>0</v>
      </c>
      <c r="U85" s="389">
        <f t="shared" si="36"/>
        <v>4</v>
      </c>
      <c r="V85" s="389">
        <f t="shared" si="37"/>
        <v>2.1999999999999999E-2</v>
      </c>
      <c r="W85" s="389">
        <f t="shared" si="38"/>
        <v>-3.9780000000000002</v>
      </c>
      <c r="X85" s="389">
        <f t="shared" si="39"/>
        <v>3</v>
      </c>
      <c r="Y85" s="389" t="b">
        <f t="shared" si="57"/>
        <v>0</v>
      </c>
      <c r="Z85" s="389">
        <f t="shared" si="40"/>
        <v>-3</v>
      </c>
      <c r="AA85" s="389">
        <f t="shared" si="41"/>
        <v>3</v>
      </c>
      <c r="AB85" s="389" t="b">
        <f t="shared" si="42"/>
        <v>0</v>
      </c>
      <c r="AC85" s="389">
        <f t="shared" si="43"/>
        <v>-3</v>
      </c>
      <c r="AD85" s="389">
        <f t="shared" si="44"/>
        <v>3</v>
      </c>
      <c r="AE85" s="389">
        <f t="shared" si="45"/>
        <v>1</v>
      </c>
      <c r="AG85" s="311" t="str">
        <f t="shared" si="46"/>
        <v>Ch B Coed Newcomb-Pool A</v>
      </c>
      <c r="AH85" s="453">
        <f t="shared" si="47"/>
        <v>3</v>
      </c>
      <c r="AI85" s="453">
        <f t="shared" si="48"/>
        <v>2</v>
      </c>
      <c r="AJ85" t="str">
        <f t="array" ref="AJ85">IF(AND(AI85&gt;1,G85&lt;&gt;""),INDEX(FS_teams,MATCH(1,(FS_Keys=AG85)*(FS_Points=I85)*(FS_teams&lt;&gt;G85),0)),"")</f>
        <v>CHILD B - VEN 1</v>
      </c>
      <c r="AK85" s="390">
        <f t="array" ref="AK85">IF(AJ85&lt;&gt;"",INDEX(TM_Score1,MATCH(1,(TM_Events=D85)*(TM_Participant1=G85)*(TM_Participant2=AJ85),0)),"")</f>
        <v>2</v>
      </c>
      <c r="AL85" s="390" t="e">
        <f t="array" ref="AL85">IF(AJ85&lt;&gt;"",INDEX(TM_Score1,MATCH(1,(TM_Events=D85)*(TM_Participant1=AJ85)*(TM_Participant2=G85),0)),"")</f>
        <v>#N/A</v>
      </c>
      <c r="AM85" s="389">
        <f t="array" ref="AM85">IF(ISNUMBER(AK85),INDEX(TM_Score2,MATCH(1,(TM_Events=D85)*(TM_Participant1=G85)*(TM_Participant2=AJ85),0)),"")</f>
        <v>1</v>
      </c>
      <c r="AN85" s="389" t="str">
        <f t="array" ref="AN85">IF(ISNUMBER(AL85),INDEX(TM_Score2,MATCH(1,(TM_Events=D85)*(TM_Participant1=AJ85)*(TM_Participant2=G85),0)),"")</f>
        <v/>
      </c>
      <c r="AO85" s="389" t="str">
        <f t="shared" si="49"/>
        <v>Win</v>
      </c>
      <c r="AP85" s="389">
        <f t="shared" si="50"/>
        <v>1</v>
      </c>
      <c r="AQ85" s="389">
        <f t="shared" si="51"/>
        <v>0</v>
      </c>
      <c r="AR85" s="389">
        <f t="shared" si="52"/>
        <v>2</v>
      </c>
      <c r="AS85" s="453">
        <f t="shared" si="53"/>
        <v>-2</v>
      </c>
      <c r="AT85" s="452">
        <f t="shared" si="54"/>
        <v>3</v>
      </c>
    </row>
    <row r="86" spans="1:46" ht="16" x14ac:dyDescent="0.2">
      <c r="A86" s="298"/>
      <c r="B86"/>
      <c r="D86" s="303" t="s">
        <v>36</v>
      </c>
      <c r="E86" s="396" t="s">
        <v>723</v>
      </c>
      <c r="F86" s="387">
        <v>1</v>
      </c>
      <c r="G86" s="397" t="s">
        <v>552</v>
      </c>
      <c r="H86" s="387" t="str">
        <f t="shared" si="29"/>
        <v>1-2-0</v>
      </c>
      <c r="I86" s="389">
        <f t="shared" si="30"/>
        <v>2</v>
      </c>
      <c r="J86" s="455" t="str">
        <f t="shared" si="55"/>
        <v/>
      </c>
      <c r="K86" s="455" t="str">
        <f t="shared" si="31"/>
        <v/>
      </c>
      <c r="L86" s="455" t="str">
        <f t="shared" si="56"/>
        <v/>
      </c>
      <c r="M86" s="389" t="str">
        <f>IFERROR(IF(AD86&lt;=VLOOKUP(D86,Tournaments!$A$1:$B$1772,2,FALSE),"TRUE","FALSE"),"")</f>
        <v>FALSE</v>
      </c>
      <c r="N86" s="389">
        <v>1</v>
      </c>
      <c r="O86" s="389">
        <f t="shared" si="32"/>
        <v>3</v>
      </c>
      <c r="Q86" s="389">
        <f t="shared" si="33"/>
        <v>1</v>
      </c>
      <c r="R86" s="389">
        <f t="shared" si="34"/>
        <v>2</v>
      </c>
      <c r="S86" s="389">
        <f t="shared" si="35"/>
        <v>0</v>
      </c>
      <c r="U86" s="389">
        <f t="shared" si="36"/>
        <v>3</v>
      </c>
      <c r="V86" s="389" t="b">
        <f t="shared" si="37"/>
        <v>0</v>
      </c>
      <c r="W86" s="389">
        <f t="shared" si="38"/>
        <v>-3</v>
      </c>
      <c r="X86" s="389">
        <f t="shared" si="39"/>
        <v>3</v>
      </c>
      <c r="Y86" s="389" t="b">
        <f t="shared" si="57"/>
        <v>0</v>
      </c>
      <c r="Z86" s="389">
        <f t="shared" si="40"/>
        <v>-3</v>
      </c>
      <c r="AA86" s="389">
        <f t="shared" si="41"/>
        <v>3</v>
      </c>
      <c r="AB86" s="389" t="b">
        <f t="shared" si="42"/>
        <v>0</v>
      </c>
      <c r="AC86" s="389">
        <f t="shared" si="43"/>
        <v>-3</v>
      </c>
      <c r="AD86" s="389">
        <f t="shared" si="44"/>
        <v>3</v>
      </c>
      <c r="AE86" s="389">
        <f t="shared" si="45"/>
        <v>1</v>
      </c>
      <c r="AG86" s="311" t="str">
        <f t="shared" si="46"/>
        <v>Ch B Coed Newcomb-Pool B</v>
      </c>
      <c r="AH86" s="453">
        <f t="shared" si="47"/>
        <v>3</v>
      </c>
      <c r="AI86" s="453">
        <f t="shared" si="48"/>
        <v>1</v>
      </c>
      <c r="AJ86" t="str">
        <f t="array" ref="AJ86">IF(AND(AI86&gt;1,G86&lt;&gt;""),INDEX(FS_teams,MATCH(1,(FS_Keys=AG86)*(FS_Points=I86)*(FS_teams&lt;&gt;G86),0)),"")</f>
        <v/>
      </c>
      <c r="AK86" s="390" t="str">
        <f t="array" ref="AK86">IF(AJ86&lt;&gt;"",INDEX(TM_Score1,MATCH(1,(TM_Events=D86)*(TM_Participant1=G86)*(TM_Participant2=AJ86),0)),"")</f>
        <v/>
      </c>
      <c r="AL86" s="390" t="str">
        <f t="array" ref="AL86">IF(AJ86&lt;&gt;"",INDEX(TM_Score1,MATCH(1,(TM_Events=D86)*(TM_Participant1=AJ86)*(TM_Participant2=G86),0)),"")</f>
        <v/>
      </c>
      <c r="AM86" s="389" t="str">
        <f t="array" ref="AM86">IF(ISNUMBER(AK86),INDEX(TM_Score2,MATCH(1,(TM_Events=D86)*(TM_Participant1=G86)*(TM_Participant2=AJ86),0)),"")</f>
        <v/>
      </c>
      <c r="AN86" s="389" t="str">
        <f t="array" ref="AN86">IF(ISNUMBER(AL86),INDEX(TM_Score2,MATCH(1,(TM_Events=D86)*(TM_Participant1=AJ86)*(TM_Participant2=G86),0)),"")</f>
        <v/>
      </c>
      <c r="AO86" s="389" t="str">
        <f t="shared" si="49"/>
        <v/>
      </c>
      <c r="AP86" s="389">
        <f t="shared" si="50"/>
        <v>1</v>
      </c>
      <c r="AQ86" s="389">
        <f t="shared" si="51"/>
        <v>0</v>
      </c>
      <c r="AR86" s="389">
        <f t="shared" si="52"/>
        <v>2</v>
      </c>
      <c r="AS86" s="453">
        <f t="shared" si="53"/>
        <v>-2</v>
      </c>
      <c r="AT86" s="452">
        <f t="shared" si="54"/>
        <v>3</v>
      </c>
    </row>
    <row r="87" spans="1:46" ht="16" x14ac:dyDescent="0.2">
      <c r="A87" s="298"/>
      <c r="B87"/>
      <c r="D87" s="303" t="s">
        <v>36</v>
      </c>
      <c r="E87" s="396" t="s">
        <v>723</v>
      </c>
      <c r="F87" s="387">
        <v>1</v>
      </c>
      <c r="G87" s="397" t="s">
        <v>555</v>
      </c>
      <c r="H87" s="387" t="str">
        <f t="shared" si="29"/>
        <v>2-1-0</v>
      </c>
      <c r="I87" s="389">
        <f t="shared" si="30"/>
        <v>4</v>
      </c>
      <c r="J87" s="455" t="str">
        <f t="shared" si="55"/>
        <v/>
      </c>
      <c r="K87" s="455" t="str">
        <f t="shared" si="31"/>
        <v/>
      </c>
      <c r="L87" s="455" t="str">
        <f t="shared" si="56"/>
        <v/>
      </c>
      <c r="M87" s="389" t="str">
        <f>IFERROR(IF(AD87&lt;=VLOOKUP(D87,Tournaments!$A$1:$B$1772,2,FALSE),"TRUE","FALSE"),"")</f>
        <v>FALSE</v>
      </c>
      <c r="N87" s="389">
        <v>1</v>
      </c>
      <c r="O87" s="389">
        <f t="shared" si="32"/>
        <v>2</v>
      </c>
      <c r="Q87" s="389">
        <f t="shared" si="33"/>
        <v>2</v>
      </c>
      <c r="R87" s="389">
        <f t="shared" si="34"/>
        <v>1</v>
      </c>
      <c r="S87" s="389">
        <f t="shared" si="35"/>
        <v>0</v>
      </c>
      <c r="U87" s="389">
        <f t="shared" si="36"/>
        <v>2</v>
      </c>
      <c r="V87" s="389" t="b">
        <f t="shared" si="37"/>
        <v>0</v>
      </c>
      <c r="W87" s="389">
        <f t="shared" si="38"/>
        <v>-2</v>
      </c>
      <c r="X87" s="389">
        <f t="shared" si="39"/>
        <v>2</v>
      </c>
      <c r="Y87" s="389" t="b">
        <f t="shared" si="57"/>
        <v>0</v>
      </c>
      <c r="Z87" s="389">
        <f t="shared" si="40"/>
        <v>-2</v>
      </c>
      <c r="AA87" s="389">
        <f t="shared" si="41"/>
        <v>2</v>
      </c>
      <c r="AB87" s="389" t="b">
        <f t="shared" si="42"/>
        <v>0</v>
      </c>
      <c r="AC87" s="389">
        <f t="shared" si="43"/>
        <v>-2</v>
      </c>
      <c r="AD87" s="389">
        <f t="shared" si="44"/>
        <v>2</v>
      </c>
      <c r="AE87" s="389">
        <f t="shared" si="45"/>
        <v>1</v>
      </c>
      <c r="AG87" s="311" t="str">
        <f t="shared" si="46"/>
        <v>Ch B Coed Newcomb-Pool B</v>
      </c>
      <c r="AH87" s="453">
        <f t="shared" si="47"/>
        <v>2</v>
      </c>
      <c r="AI87" s="453">
        <f t="shared" si="48"/>
        <v>1</v>
      </c>
      <c r="AJ87" t="str">
        <f t="array" ref="AJ87">IF(AND(AI87&gt;1,G87&lt;&gt;""),INDEX(FS_teams,MATCH(1,(FS_Keys=AG87)*(FS_Points=I87)*(FS_teams&lt;&gt;G87),0)),"")</f>
        <v/>
      </c>
      <c r="AK87" s="390" t="str">
        <f t="array" ref="AK87">IF(AJ87&lt;&gt;"",INDEX(TM_Score1,MATCH(1,(TM_Events=D87)*(TM_Participant1=G87)*(TM_Participant2=AJ87),0)),"")</f>
        <v/>
      </c>
      <c r="AL87" s="390" t="str">
        <f t="array" ref="AL87">IF(AJ87&lt;&gt;"",INDEX(TM_Score1,MATCH(1,(TM_Events=D87)*(TM_Participant1=AJ87)*(TM_Participant2=G87),0)),"")</f>
        <v/>
      </c>
      <c r="AM87" s="389" t="str">
        <f t="array" ref="AM87">IF(ISNUMBER(AK87),INDEX(TM_Score2,MATCH(1,(TM_Events=D87)*(TM_Participant1=G87)*(TM_Participant2=AJ87),0)),"")</f>
        <v/>
      </c>
      <c r="AN87" s="389" t="str">
        <f t="array" ref="AN87">IF(ISNUMBER(AL87),INDEX(TM_Score2,MATCH(1,(TM_Events=D87)*(TM_Participant1=AJ87)*(TM_Participant2=G87),0)),"")</f>
        <v/>
      </c>
      <c r="AO87" s="389" t="str">
        <f t="shared" si="49"/>
        <v/>
      </c>
      <c r="AP87" s="389">
        <f t="shared" si="50"/>
        <v>2</v>
      </c>
      <c r="AQ87" s="389">
        <f t="shared" si="51"/>
        <v>0</v>
      </c>
      <c r="AR87" s="389">
        <f t="shared" si="52"/>
        <v>1</v>
      </c>
      <c r="AS87" s="453">
        <f t="shared" si="53"/>
        <v>2</v>
      </c>
      <c r="AT87" s="452">
        <f t="shared" si="54"/>
        <v>4</v>
      </c>
    </row>
    <row r="88" spans="1:46" ht="16" x14ac:dyDescent="0.2">
      <c r="A88" s="298"/>
      <c r="B88"/>
      <c r="D88" s="303" t="s">
        <v>36</v>
      </c>
      <c r="E88" s="396" t="s">
        <v>723</v>
      </c>
      <c r="F88" s="387">
        <v>1</v>
      </c>
      <c r="G88" s="397" t="s">
        <v>561</v>
      </c>
      <c r="H88" s="387" t="str">
        <f t="shared" si="29"/>
        <v>4-0-0</v>
      </c>
      <c r="I88" s="389">
        <f t="shared" si="30"/>
        <v>8</v>
      </c>
      <c r="J88" s="455" t="str">
        <f t="shared" si="55"/>
        <v/>
      </c>
      <c r="K88" s="455" t="str">
        <f t="shared" si="31"/>
        <v/>
      </c>
      <c r="L88" s="455" t="str">
        <f t="shared" si="56"/>
        <v/>
      </c>
      <c r="M88" s="389" t="str">
        <f>IFERROR(IF(AD88&lt;=VLOOKUP(D88,Tournaments!$A$1:$B$1772,2,FALSE),"TRUE","FALSE"),"")</f>
        <v>TRUE</v>
      </c>
      <c r="N88" s="389">
        <v>1</v>
      </c>
      <c r="O88" s="389">
        <f t="shared" si="32"/>
        <v>1</v>
      </c>
      <c r="Q88" s="389">
        <f t="shared" si="33"/>
        <v>4</v>
      </c>
      <c r="R88" s="389">
        <f t="shared" si="34"/>
        <v>0</v>
      </c>
      <c r="S88" s="389">
        <f t="shared" si="35"/>
        <v>0</v>
      </c>
      <c r="U88" s="389">
        <f t="shared" si="36"/>
        <v>1</v>
      </c>
      <c r="V88" s="389" t="b">
        <f t="shared" si="37"/>
        <v>0</v>
      </c>
      <c r="W88" s="389">
        <f t="shared" si="38"/>
        <v>-1</v>
      </c>
      <c r="X88" s="389">
        <f t="shared" si="39"/>
        <v>1</v>
      </c>
      <c r="Y88" s="389" t="b">
        <f t="shared" si="57"/>
        <v>0</v>
      </c>
      <c r="Z88" s="389">
        <f t="shared" si="40"/>
        <v>-1</v>
      </c>
      <c r="AA88" s="389">
        <f t="shared" si="41"/>
        <v>1</v>
      </c>
      <c r="AB88" s="389" t="b">
        <f t="shared" si="42"/>
        <v>0</v>
      </c>
      <c r="AC88" s="389">
        <f t="shared" si="43"/>
        <v>-1</v>
      </c>
      <c r="AD88" s="389">
        <f t="shared" si="44"/>
        <v>1</v>
      </c>
      <c r="AE88" s="389">
        <f t="shared" si="45"/>
        <v>1</v>
      </c>
      <c r="AG88" s="311" t="str">
        <f t="shared" si="46"/>
        <v>Ch B Coed Newcomb-Pool B</v>
      </c>
      <c r="AH88" s="453">
        <f t="shared" si="47"/>
        <v>1</v>
      </c>
      <c r="AI88" s="453">
        <f t="shared" si="48"/>
        <v>1</v>
      </c>
      <c r="AJ88" t="str">
        <f t="array" ref="AJ88">IF(AND(AI88&gt;1,G88&lt;&gt;""),INDEX(FS_teams,MATCH(1,(FS_Keys=AG88)*(FS_Points=I88)*(FS_teams&lt;&gt;G88),0)),"")</f>
        <v/>
      </c>
      <c r="AK88" s="390" t="str">
        <f t="array" ref="AK88">IF(AJ88&lt;&gt;"",INDEX(TM_Score1,MATCH(1,(TM_Events=D88)*(TM_Participant1=G88)*(TM_Participant2=AJ88),0)),"")</f>
        <v/>
      </c>
      <c r="AL88" s="390" t="str">
        <f t="array" ref="AL88">IF(AJ88&lt;&gt;"",INDEX(TM_Score1,MATCH(1,(TM_Events=D88)*(TM_Participant1=AJ88)*(TM_Participant2=G88),0)),"")</f>
        <v/>
      </c>
      <c r="AM88" s="389" t="str">
        <f t="array" ref="AM88">IF(ISNUMBER(AK88),INDEX(TM_Score2,MATCH(1,(TM_Events=D88)*(TM_Participant1=G88)*(TM_Participant2=AJ88),0)),"")</f>
        <v/>
      </c>
      <c r="AN88" s="389" t="str">
        <f t="array" ref="AN88">IF(ISNUMBER(AL88),INDEX(TM_Score2,MATCH(1,(TM_Events=D88)*(TM_Participant1=AJ88)*(TM_Participant2=G88),0)),"")</f>
        <v/>
      </c>
      <c r="AO88" s="389" t="str">
        <f t="shared" si="49"/>
        <v/>
      </c>
      <c r="AP88" s="389">
        <f t="shared" si="50"/>
        <v>4</v>
      </c>
      <c r="AQ88" s="389">
        <f t="shared" si="51"/>
        <v>0</v>
      </c>
      <c r="AR88" s="389">
        <f t="shared" si="52"/>
        <v>0</v>
      </c>
      <c r="AS88" s="453">
        <f t="shared" si="53"/>
        <v>6</v>
      </c>
      <c r="AT88" s="452">
        <f t="shared" si="54"/>
        <v>8</v>
      </c>
    </row>
    <row r="89" spans="1:46" ht="16" x14ac:dyDescent="0.2">
      <c r="A89" s="298"/>
      <c r="B89"/>
      <c r="D89" s="303" t="s">
        <v>36</v>
      </c>
      <c r="E89" s="396" t="s">
        <v>723</v>
      </c>
      <c r="F89" s="387">
        <v>1</v>
      </c>
      <c r="G89" s="397" t="s">
        <v>558</v>
      </c>
      <c r="H89" s="387" t="str">
        <f t="shared" si="29"/>
        <v>0-3-0</v>
      </c>
      <c r="I89" s="389">
        <f t="shared" si="30"/>
        <v>0</v>
      </c>
      <c r="J89" s="455" t="str">
        <f t="shared" si="55"/>
        <v/>
      </c>
      <c r="K89" s="455" t="str">
        <f t="shared" si="31"/>
        <v/>
      </c>
      <c r="L89" s="455" t="str">
        <f t="shared" si="56"/>
        <v/>
      </c>
      <c r="M89" s="389" t="str">
        <f>IFERROR(IF(AD89&lt;=VLOOKUP(D89,Tournaments!$A$1:$B$1772,2,FALSE),"TRUE","FALSE"),"")</f>
        <v>FALSE</v>
      </c>
      <c r="N89" s="389">
        <v>1</v>
      </c>
      <c r="O89" s="389">
        <f t="shared" si="32"/>
        <v>4</v>
      </c>
      <c r="Q89" s="389">
        <f t="shared" si="33"/>
        <v>0</v>
      </c>
      <c r="R89" s="389">
        <f t="shared" si="34"/>
        <v>3</v>
      </c>
      <c r="S89" s="389">
        <f t="shared" si="35"/>
        <v>0</v>
      </c>
      <c r="U89" s="389">
        <f t="shared" si="36"/>
        <v>4</v>
      </c>
      <c r="V89" s="389" t="b">
        <f t="shared" si="37"/>
        <v>0</v>
      </c>
      <c r="W89" s="389">
        <f t="shared" si="38"/>
        <v>-4</v>
      </c>
      <c r="X89" s="389">
        <f t="shared" si="39"/>
        <v>4</v>
      </c>
      <c r="Y89" s="389" t="b">
        <f t="shared" si="57"/>
        <v>0</v>
      </c>
      <c r="Z89" s="389">
        <f t="shared" si="40"/>
        <v>-4</v>
      </c>
      <c r="AA89" s="389">
        <f t="shared" si="41"/>
        <v>4</v>
      </c>
      <c r="AB89" s="389" t="b">
        <f t="shared" si="42"/>
        <v>0</v>
      </c>
      <c r="AC89" s="389">
        <f t="shared" si="43"/>
        <v>-4</v>
      </c>
      <c r="AD89" s="389">
        <f t="shared" si="44"/>
        <v>4</v>
      </c>
      <c r="AE89" s="389">
        <f t="shared" si="45"/>
        <v>1</v>
      </c>
      <c r="AG89" s="311" t="str">
        <f t="shared" si="46"/>
        <v>Ch B Coed Newcomb-Pool B</v>
      </c>
      <c r="AH89" s="453">
        <f t="shared" si="47"/>
        <v>4</v>
      </c>
      <c r="AI89" s="453">
        <f t="shared" si="48"/>
        <v>1</v>
      </c>
      <c r="AJ89" t="str">
        <f t="array" ref="AJ89">IF(AND(AI89&gt;1,G89&lt;&gt;""),INDEX(FS_teams,MATCH(1,(FS_Keys=AG89)*(FS_Points=I89)*(FS_teams&lt;&gt;G89),0)),"")</f>
        <v/>
      </c>
      <c r="AK89" s="390" t="str">
        <f t="array" ref="AK89">IF(AJ89&lt;&gt;"",INDEX(TM_Score1,MATCH(1,(TM_Events=D89)*(TM_Participant1=G89)*(TM_Participant2=AJ89),0)),"")</f>
        <v/>
      </c>
      <c r="AL89" s="390" t="str">
        <f t="array" ref="AL89">IF(AJ89&lt;&gt;"",INDEX(TM_Score1,MATCH(1,(TM_Events=D89)*(TM_Participant1=AJ89)*(TM_Participant2=G89),0)),"")</f>
        <v/>
      </c>
      <c r="AM89" s="389" t="str">
        <f t="array" ref="AM89">IF(ISNUMBER(AK89),INDEX(TM_Score2,MATCH(1,(TM_Events=D89)*(TM_Participant1=G89)*(TM_Participant2=AJ89),0)),"")</f>
        <v/>
      </c>
      <c r="AN89" s="389" t="str">
        <f t="array" ref="AN89">IF(ISNUMBER(AL89),INDEX(TM_Score2,MATCH(1,(TM_Events=D89)*(TM_Participant1=AJ89)*(TM_Participant2=G89),0)),"")</f>
        <v/>
      </c>
      <c r="AO89" s="389" t="str">
        <f t="shared" si="49"/>
        <v/>
      </c>
      <c r="AP89" s="389">
        <f t="shared" si="50"/>
        <v>0</v>
      </c>
      <c r="AQ89" s="389">
        <f t="shared" si="51"/>
        <v>0</v>
      </c>
      <c r="AR89" s="389">
        <f t="shared" si="52"/>
        <v>3</v>
      </c>
      <c r="AS89" s="453">
        <f t="shared" si="53"/>
        <v>-4</v>
      </c>
      <c r="AT89" s="452">
        <f t="shared" si="54"/>
        <v>2</v>
      </c>
    </row>
    <row r="90" spans="1:46" ht="16" x14ac:dyDescent="0.2">
      <c r="A90" s="298"/>
      <c r="B90"/>
      <c r="D90" s="298" t="s">
        <v>39</v>
      </c>
      <c r="F90" s="389">
        <v>1</v>
      </c>
      <c r="G90" s="390" t="s">
        <v>568</v>
      </c>
      <c r="H90" s="387" t="str">
        <f t="shared" si="29"/>
        <v>0-3-0</v>
      </c>
      <c r="I90" s="389">
        <f t="shared" si="30"/>
        <v>0</v>
      </c>
      <c r="J90" s="455" t="str">
        <f t="shared" si="55"/>
        <v/>
      </c>
      <c r="K90" s="455" t="str">
        <f t="shared" si="31"/>
        <v/>
      </c>
      <c r="L90" s="455" t="str">
        <f t="shared" si="56"/>
        <v/>
      </c>
      <c r="M90" s="389" t="str">
        <f>IFERROR(IF(AD90&lt;=VLOOKUP(D90,Tournaments!$A$1:$B$1772,2,FALSE),"TRUE","FALSE"),"")</f>
        <v>FALSE</v>
      </c>
      <c r="N90" s="389">
        <v>1</v>
      </c>
      <c r="O90" s="389">
        <f t="shared" si="32"/>
        <v>6</v>
      </c>
      <c r="P90" s="381">
        <v>1</v>
      </c>
      <c r="Q90" s="389">
        <f t="shared" si="33"/>
        <v>0</v>
      </c>
      <c r="R90" s="389">
        <f t="shared" si="34"/>
        <v>3</v>
      </c>
      <c r="S90" s="389">
        <f t="shared" si="35"/>
        <v>0</v>
      </c>
      <c r="U90" s="389">
        <f t="shared" si="36"/>
        <v>6</v>
      </c>
      <c r="V90" s="389" t="b">
        <f t="shared" si="37"/>
        <v>0</v>
      </c>
      <c r="W90" s="389">
        <f t="shared" si="38"/>
        <v>-6</v>
      </c>
      <c r="X90" s="389">
        <f t="shared" si="39"/>
        <v>6</v>
      </c>
      <c r="Y90" s="389" t="b">
        <f t="shared" si="57"/>
        <v>0</v>
      </c>
      <c r="Z90" s="389">
        <f t="shared" si="40"/>
        <v>-6</v>
      </c>
      <c r="AA90" s="389">
        <f t="shared" si="41"/>
        <v>6</v>
      </c>
      <c r="AB90" s="389" t="b">
        <f t="shared" si="42"/>
        <v>0</v>
      </c>
      <c r="AC90" s="389">
        <f t="shared" si="43"/>
        <v>-6</v>
      </c>
      <c r="AD90" s="389">
        <f t="shared" si="44"/>
        <v>6</v>
      </c>
      <c r="AE90" s="389">
        <f t="shared" si="45"/>
        <v>1</v>
      </c>
      <c r="AG90" s="311" t="str">
        <f t="shared" si="46"/>
        <v>Ch C Female Basketball-</v>
      </c>
      <c r="AH90" s="453">
        <f t="shared" si="47"/>
        <v>6</v>
      </c>
      <c r="AI90" s="453">
        <f t="shared" si="48"/>
        <v>1</v>
      </c>
      <c r="AJ90" t="str">
        <f t="array" ref="AJ90">IF(AND(AI90&gt;1,G90&lt;&gt;""),INDEX(FS_teams,MATCH(1,(FS_Keys=AG90)*(FS_Points=I90)*(FS_teams&lt;&gt;G90),0)),"")</f>
        <v/>
      </c>
      <c r="AK90" s="390" t="str">
        <f t="array" ref="AK90">IF(AJ90&lt;&gt;"",INDEX(TM_Score1,MATCH(1,(TM_Events=D90)*(TM_Participant1=G90)*(TM_Participant2=AJ90),0)),"")</f>
        <v/>
      </c>
      <c r="AL90" s="390" t="str">
        <f t="array" ref="AL90">IF(AJ90&lt;&gt;"",INDEX(TM_Score1,MATCH(1,(TM_Events=D90)*(TM_Participant1=AJ90)*(TM_Participant2=G90),0)),"")</f>
        <v/>
      </c>
      <c r="AM90" s="389" t="str">
        <f t="array" ref="AM90">IF(ISNUMBER(AK90),INDEX(TM_Score2,MATCH(1,(TM_Events=D90)*(TM_Participant1=G90)*(TM_Participant2=AJ90),0)),"")</f>
        <v/>
      </c>
      <c r="AN90" s="389" t="str">
        <f t="array" ref="AN90">IF(ISNUMBER(AL90),INDEX(TM_Score2,MATCH(1,(TM_Events=D90)*(TM_Participant1=AJ90)*(TM_Participant2=G90),0)),"")</f>
        <v/>
      </c>
      <c r="AO90" s="389" t="str">
        <f t="shared" si="49"/>
        <v/>
      </c>
      <c r="AP90" s="389">
        <f t="shared" si="50"/>
        <v>0</v>
      </c>
      <c r="AQ90" s="389">
        <f t="shared" si="51"/>
        <v>0</v>
      </c>
      <c r="AR90" s="389">
        <f t="shared" si="52"/>
        <v>3</v>
      </c>
      <c r="AS90" s="453">
        <f t="shared" si="53"/>
        <v>-19</v>
      </c>
      <c r="AT90" s="452">
        <f t="shared" si="54"/>
        <v>14</v>
      </c>
    </row>
    <row r="91" spans="1:46" ht="16" x14ac:dyDescent="0.2">
      <c r="A91" s="298"/>
      <c r="B91"/>
      <c r="D91" s="303" t="s">
        <v>39</v>
      </c>
      <c r="E91" s="396"/>
      <c r="F91" s="387">
        <v>1</v>
      </c>
      <c r="G91" s="397" t="s">
        <v>570</v>
      </c>
      <c r="H91" s="387" t="str">
        <f t="shared" si="29"/>
        <v>1-2-0</v>
      </c>
      <c r="I91" s="389">
        <f t="shared" si="30"/>
        <v>2</v>
      </c>
      <c r="J91" s="455" t="str">
        <f t="shared" si="55"/>
        <v/>
      </c>
      <c r="K91" s="455" t="str">
        <f t="shared" si="31"/>
        <v/>
      </c>
      <c r="L91" s="455" t="str">
        <f t="shared" si="56"/>
        <v/>
      </c>
      <c r="M91" s="389" t="str">
        <f>IFERROR(IF(AD91&lt;=VLOOKUP(D91,Tournaments!$A$1:$B$1772,2,FALSE),"TRUE","FALSE"),"")</f>
        <v>FALSE</v>
      </c>
      <c r="N91" s="389">
        <v>1</v>
      </c>
      <c r="O91" s="389">
        <f t="shared" si="32"/>
        <v>5</v>
      </c>
      <c r="P91" s="381">
        <v>2</v>
      </c>
      <c r="Q91" s="389">
        <f t="shared" si="33"/>
        <v>1</v>
      </c>
      <c r="R91" s="389">
        <f t="shared" si="34"/>
        <v>2</v>
      </c>
      <c r="S91" s="389">
        <f t="shared" si="35"/>
        <v>0</v>
      </c>
      <c r="U91" s="389">
        <f t="shared" si="36"/>
        <v>5</v>
      </c>
      <c r="V91" s="389" t="b">
        <f t="shared" si="37"/>
        <v>0</v>
      </c>
      <c r="W91" s="389">
        <f t="shared" si="38"/>
        <v>-5</v>
      </c>
      <c r="X91" s="389">
        <f t="shared" si="39"/>
        <v>5</v>
      </c>
      <c r="Y91" s="389" t="b">
        <f t="shared" si="57"/>
        <v>0</v>
      </c>
      <c r="Z91" s="389">
        <f t="shared" si="40"/>
        <v>-5</v>
      </c>
      <c r="AA91" s="389">
        <f t="shared" si="41"/>
        <v>5</v>
      </c>
      <c r="AB91" s="389" t="b">
        <f t="shared" si="42"/>
        <v>0</v>
      </c>
      <c r="AC91" s="389">
        <f t="shared" si="43"/>
        <v>-5</v>
      </c>
      <c r="AD91" s="389">
        <f t="shared" si="44"/>
        <v>5</v>
      </c>
      <c r="AE91" s="389">
        <f t="shared" si="45"/>
        <v>1</v>
      </c>
      <c r="AG91" s="311" t="str">
        <f t="shared" si="46"/>
        <v>Ch C Female Basketball-</v>
      </c>
      <c r="AH91" s="453">
        <f t="shared" si="47"/>
        <v>5</v>
      </c>
      <c r="AI91" s="453">
        <f t="shared" si="48"/>
        <v>1</v>
      </c>
      <c r="AJ91" t="str">
        <f t="array" ref="AJ91">IF(AND(AI91&gt;1,G91&lt;&gt;""),INDEX(FS_teams,MATCH(1,(FS_Keys=AG91)*(FS_Points=I91)*(FS_teams&lt;&gt;G91),0)),"")</f>
        <v/>
      </c>
      <c r="AK91" s="390" t="str">
        <f t="array" ref="AK91">IF(AJ91&lt;&gt;"",INDEX(TM_Score1,MATCH(1,(TM_Events=D91)*(TM_Participant1=G91)*(TM_Participant2=AJ91),0)),"")</f>
        <v/>
      </c>
      <c r="AL91" s="390" t="str">
        <f t="array" ref="AL91">IF(AJ91&lt;&gt;"",INDEX(TM_Score1,MATCH(1,(TM_Events=D91)*(TM_Participant1=AJ91)*(TM_Participant2=G91),0)),"")</f>
        <v/>
      </c>
      <c r="AM91" s="389" t="str">
        <f t="array" ref="AM91">IF(ISNUMBER(AK91),INDEX(TM_Score2,MATCH(1,(TM_Events=D91)*(TM_Participant1=G91)*(TM_Participant2=AJ91),0)),"")</f>
        <v/>
      </c>
      <c r="AN91" s="389" t="str">
        <f t="array" ref="AN91">IF(ISNUMBER(AL91),INDEX(TM_Score2,MATCH(1,(TM_Events=D91)*(TM_Participant1=AJ91)*(TM_Participant2=G91),0)),"")</f>
        <v/>
      </c>
      <c r="AO91" s="389" t="str">
        <f t="shared" si="49"/>
        <v/>
      </c>
      <c r="AP91" s="389">
        <f t="shared" si="50"/>
        <v>1</v>
      </c>
      <c r="AQ91" s="389">
        <f t="shared" si="51"/>
        <v>0</v>
      </c>
      <c r="AR91" s="389">
        <f t="shared" si="52"/>
        <v>2</v>
      </c>
      <c r="AS91" s="453">
        <f t="shared" si="53"/>
        <v>-5</v>
      </c>
      <c r="AT91" s="452">
        <f t="shared" si="54"/>
        <v>22</v>
      </c>
    </row>
    <row r="92" spans="1:46" ht="16" x14ac:dyDescent="0.2">
      <c r="A92" s="298"/>
      <c r="B92"/>
      <c r="D92" s="303" t="s">
        <v>39</v>
      </c>
      <c r="E92" s="387"/>
      <c r="F92" s="387">
        <v>1</v>
      </c>
      <c r="G92" s="397" t="s">
        <v>565</v>
      </c>
      <c r="H92" s="387" t="str">
        <f t="shared" si="29"/>
        <v>2-2-0</v>
      </c>
      <c r="I92" s="389">
        <f t="shared" si="30"/>
        <v>4</v>
      </c>
      <c r="J92" s="455">
        <f t="shared" si="55"/>
        <v>1</v>
      </c>
      <c r="K92" s="455">
        <f t="shared" si="31"/>
        <v>-6</v>
      </c>
      <c r="L92" s="455" t="str">
        <f t="shared" si="56"/>
        <v/>
      </c>
      <c r="M92" s="389" t="str">
        <f>IFERROR(IF(AD92&lt;=VLOOKUP(D92,Tournaments!$A$1:$B$1772,2,FALSE),"TRUE","FALSE"),"")</f>
        <v>FALSE</v>
      </c>
      <c r="N92" s="389">
        <v>1</v>
      </c>
      <c r="O92" s="389">
        <f t="shared" si="32"/>
        <v>4</v>
      </c>
      <c r="P92" s="381">
        <v>3</v>
      </c>
      <c r="Q92" s="389">
        <f t="shared" si="33"/>
        <v>2</v>
      </c>
      <c r="R92" s="389">
        <f t="shared" si="34"/>
        <v>2</v>
      </c>
      <c r="S92" s="389">
        <f t="shared" si="35"/>
        <v>0</v>
      </c>
      <c r="U92" s="389">
        <f t="shared" si="36"/>
        <v>4</v>
      </c>
      <c r="V92" s="389">
        <f t="shared" si="37"/>
        <v>2.5000000000000001E-3</v>
      </c>
      <c r="W92" s="389">
        <f t="shared" si="38"/>
        <v>-3.9975000000000001</v>
      </c>
      <c r="X92" s="389">
        <f t="shared" si="39"/>
        <v>4</v>
      </c>
      <c r="Y92" s="389">
        <f t="shared" si="57"/>
        <v>5.5999999999999999E-3</v>
      </c>
      <c r="Z92" s="389">
        <f t="shared" si="40"/>
        <v>-3.9944000000000002</v>
      </c>
      <c r="AA92" s="389">
        <f t="shared" si="41"/>
        <v>4</v>
      </c>
      <c r="AB92" s="389" t="b">
        <f t="shared" si="42"/>
        <v>0</v>
      </c>
      <c r="AC92" s="389">
        <f t="shared" si="43"/>
        <v>-4</v>
      </c>
      <c r="AD92" s="389">
        <f t="shared" si="44"/>
        <v>4</v>
      </c>
      <c r="AE92" s="389">
        <f t="shared" si="45"/>
        <v>3</v>
      </c>
      <c r="AG92" s="311" t="str">
        <f t="shared" si="46"/>
        <v>Ch C Female Basketball-</v>
      </c>
      <c r="AH92" s="453">
        <f t="shared" si="47"/>
        <v>2</v>
      </c>
      <c r="AI92" s="453">
        <f t="shared" si="48"/>
        <v>3</v>
      </c>
      <c r="AJ92" t="str">
        <f t="array" ref="AJ92">IF(AND(AI92&gt;1,G92&lt;&gt;""),INDEX(FS_teams,MATCH(1,(FS_Keys=AG92)*(FS_Points=I92)*(FS_teams&lt;&gt;G92),0)),"")</f>
        <v>CHILD CF - USA 1</v>
      </c>
      <c r="AK92" s="390" t="e">
        <f t="array" ref="AK92">IF(AJ92&lt;&gt;"",INDEX(TM_Score1,MATCH(1,(TM_Events=D92)*(TM_Participant1=G92)*(TM_Participant2=AJ92),0)),"")</f>
        <v>#N/A</v>
      </c>
      <c r="AL92" s="390">
        <f t="array" ref="AL92">IF(AJ92&lt;&gt;"",INDEX(TM_Score1,MATCH(1,(TM_Events=D92)*(TM_Participant1=AJ92)*(TM_Participant2=G92),0)),"")</f>
        <v>7</v>
      </c>
      <c r="AM92" s="389" t="str">
        <f t="array" ref="AM92">IF(ISNUMBER(AK92),INDEX(TM_Score2,MATCH(1,(TM_Events=D92)*(TM_Participant1=G92)*(TM_Participant2=AJ92),0)),"")</f>
        <v/>
      </c>
      <c r="AN92" s="389">
        <f t="array" ref="AN92">IF(ISNUMBER(AL92),INDEX(TM_Score2,MATCH(1,(TM_Events=D92)*(TM_Participant1=AJ92)*(TM_Participant2=G92),0)),"")</f>
        <v>6</v>
      </c>
      <c r="AO92" s="389" t="str">
        <f t="shared" si="49"/>
        <v>Loss</v>
      </c>
      <c r="AP92" s="389">
        <f t="shared" si="50"/>
        <v>2</v>
      </c>
      <c r="AQ92" s="389">
        <f t="shared" si="51"/>
        <v>0</v>
      </c>
      <c r="AR92" s="389">
        <f t="shared" si="52"/>
        <v>2</v>
      </c>
      <c r="AS92" s="453">
        <f t="shared" si="53"/>
        <v>-6</v>
      </c>
      <c r="AT92" s="452">
        <f t="shared" si="54"/>
        <v>41</v>
      </c>
    </row>
    <row r="93" spans="1:46" ht="16" x14ac:dyDescent="0.2">
      <c r="A93" s="298"/>
      <c r="B93"/>
      <c r="D93" s="303" t="s">
        <v>39</v>
      </c>
      <c r="E93" s="396"/>
      <c r="F93" s="387">
        <v>1</v>
      </c>
      <c r="G93" s="397" t="s">
        <v>567</v>
      </c>
      <c r="H93" s="387" t="str">
        <f t="shared" si="29"/>
        <v>2-1-0</v>
      </c>
      <c r="I93" s="389">
        <f t="shared" si="30"/>
        <v>4</v>
      </c>
      <c r="J93" s="455">
        <f t="shared" si="55"/>
        <v>1</v>
      </c>
      <c r="K93" s="455">
        <f t="shared" si="31"/>
        <v>3</v>
      </c>
      <c r="L93" s="455">
        <f t="shared" si="56"/>
        <v>15</v>
      </c>
      <c r="M93" s="389" t="str">
        <f>IFERROR(IF(AD93&lt;=VLOOKUP(D93,Tournaments!$A$1:$B$1772,2,FALSE),"TRUE","FALSE"),"")</f>
        <v>FALSE</v>
      </c>
      <c r="N93" s="389">
        <v>1</v>
      </c>
      <c r="O93" s="389">
        <f t="shared" si="32"/>
        <v>3</v>
      </c>
      <c r="P93" s="381">
        <v>4</v>
      </c>
      <c r="Q93" s="389">
        <f t="shared" si="33"/>
        <v>2</v>
      </c>
      <c r="R93" s="389">
        <f t="shared" si="34"/>
        <v>1</v>
      </c>
      <c r="S93" s="389">
        <f t="shared" si="35"/>
        <v>0</v>
      </c>
      <c r="U93" s="389">
        <f t="shared" si="36"/>
        <v>4</v>
      </c>
      <c r="V93" s="389">
        <f t="shared" si="37"/>
        <v>2.5000000000000001E-3</v>
      </c>
      <c r="W93" s="389">
        <f t="shared" si="38"/>
        <v>-3.9975000000000001</v>
      </c>
      <c r="X93" s="389">
        <f t="shared" si="39"/>
        <v>4</v>
      </c>
      <c r="Y93" s="389">
        <f t="shared" si="57"/>
        <v>7.2099999999999997E-2</v>
      </c>
      <c r="Z93" s="389">
        <f t="shared" si="40"/>
        <v>-3.9279000000000002</v>
      </c>
      <c r="AA93" s="389">
        <f t="shared" si="41"/>
        <v>3</v>
      </c>
      <c r="AB93" s="389">
        <f t="shared" si="42"/>
        <v>5.96E-2</v>
      </c>
      <c r="AC93" s="389">
        <f t="shared" si="43"/>
        <v>-2.9403999999999999</v>
      </c>
      <c r="AD93" s="389">
        <f t="shared" si="44"/>
        <v>3</v>
      </c>
      <c r="AE93" s="389">
        <f t="shared" si="45"/>
        <v>3</v>
      </c>
      <c r="AG93" s="311" t="str">
        <f t="shared" si="46"/>
        <v>Ch C Female Basketball-</v>
      </c>
      <c r="AH93" s="453">
        <f t="shared" si="47"/>
        <v>2</v>
      </c>
      <c r="AI93" s="453">
        <f t="shared" si="48"/>
        <v>3</v>
      </c>
      <c r="AJ93" t="str">
        <f t="array" ref="AJ93">IF(AND(AI93&gt;1,G93&lt;&gt;""),INDEX(FS_teams,MATCH(1,(FS_Keys=AG93)*(FS_Points=I93)*(FS_teams&lt;&gt;G93),0)),"")</f>
        <v>CHILD CF - COL 1</v>
      </c>
      <c r="AK93" s="390">
        <f t="array" ref="AK93">IF(AJ93&lt;&gt;"",INDEX(TM_Score1,MATCH(1,(TM_Events=D93)*(TM_Participant1=G93)*(TM_Participant2=AJ93),0)),"")</f>
        <v>7</v>
      </c>
      <c r="AL93" s="390" t="e">
        <f t="array" ref="AL93">IF(AJ93&lt;&gt;"",INDEX(TM_Score1,MATCH(1,(TM_Events=D93)*(TM_Participant1=AJ93)*(TM_Participant2=G93),0)),"")</f>
        <v>#N/A</v>
      </c>
      <c r="AM93" s="389">
        <f t="array" ref="AM93">IF(ISNUMBER(AK93),INDEX(TM_Score2,MATCH(1,(TM_Events=D93)*(TM_Participant1=G93)*(TM_Participant2=AJ93),0)),"")</f>
        <v>6</v>
      </c>
      <c r="AN93" s="389" t="str">
        <f t="array" ref="AN93">IF(ISNUMBER(AL93),INDEX(TM_Score2,MATCH(1,(TM_Events=D93)*(TM_Participant1=AJ93)*(TM_Participant2=G93),0)),"")</f>
        <v/>
      </c>
      <c r="AO93" s="389" t="str">
        <f t="shared" si="49"/>
        <v>Win</v>
      </c>
      <c r="AP93" s="389">
        <f t="shared" si="50"/>
        <v>2</v>
      </c>
      <c r="AQ93" s="389">
        <f t="shared" si="51"/>
        <v>0</v>
      </c>
      <c r="AR93" s="389">
        <f t="shared" si="52"/>
        <v>1</v>
      </c>
      <c r="AS93" s="453">
        <f t="shared" si="53"/>
        <v>3</v>
      </c>
      <c r="AT93" s="452">
        <f t="shared" si="54"/>
        <v>15</v>
      </c>
    </row>
    <row r="94" spans="1:46" ht="16" x14ac:dyDescent="0.2">
      <c r="A94" s="298"/>
      <c r="B94"/>
      <c r="D94" s="303" t="s">
        <v>39</v>
      </c>
      <c r="E94" s="396"/>
      <c r="F94" s="387">
        <v>1</v>
      </c>
      <c r="G94" s="397" t="s">
        <v>569</v>
      </c>
      <c r="H94" s="387" t="str">
        <f t="shared" si="29"/>
        <v>2-1-0</v>
      </c>
      <c r="I94" s="389">
        <f t="shared" si="30"/>
        <v>4</v>
      </c>
      <c r="J94" s="455">
        <f t="shared" si="55"/>
        <v>1</v>
      </c>
      <c r="K94" s="455">
        <f t="shared" si="31"/>
        <v>3</v>
      </c>
      <c r="L94" s="455">
        <f t="shared" si="56"/>
        <v>27</v>
      </c>
      <c r="M94" s="389" t="str">
        <f>IFERROR(IF(AD94&lt;=VLOOKUP(D94,Tournaments!$A$1:$B$1772,2,FALSE),"TRUE","FALSE"),"")</f>
        <v>TRUE</v>
      </c>
      <c r="N94" s="389">
        <v>1</v>
      </c>
      <c r="O94" s="389">
        <f t="shared" si="32"/>
        <v>2</v>
      </c>
      <c r="P94" s="381">
        <v>5</v>
      </c>
      <c r="Q94" s="389">
        <f t="shared" si="33"/>
        <v>2</v>
      </c>
      <c r="R94" s="389">
        <f t="shared" si="34"/>
        <v>1</v>
      </c>
      <c r="S94" s="389">
        <f t="shared" si="35"/>
        <v>0</v>
      </c>
      <c r="U94" s="389">
        <f t="shared" si="36"/>
        <v>4</v>
      </c>
      <c r="V94" s="389">
        <f t="shared" si="37"/>
        <v>2.5000000000000001E-3</v>
      </c>
      <c r="W94" s="389">
        <f t="shared" si="38"/>
        <v>-3.9975000000000001</v>
      </c>
      <c r="X94" s="389">
        <f t="shared" si="39"/>
        <v>4</v>
      </c>
      <c r="Y94" s="389">
        <f t="shared" si="57"/>
        <v>7.2099999999999997E-2</v>
      </c>
      <c r="Z94" s="389">
        <f t="shared" si="40"/>
        <v>-3.9279000000000002</v>
      </c>
      <c r="AA94" s="389">
        <f t="shared" si="41"/>
        <v>3</v>
      </c>
      <c r="AB94" s="389">
        <f t="shared" si="42"/>
        <v>5.9900000000000002E-2</v>
      </c>
      <c r="AC94" s="389">
        <f t="shared" si="43"/>
        <v>-2.9401000000000002</v>
      </c>
      <c r="AD94" s="389">
        <f t="shared" si="44"/>
        <v>2</v>
      </c>
      <c r="AE94" s="389">
        <f t="shared" si="45"/>
        <v>3</v>
      </c>
      <c r="AG94" s="311" t="str">
        <f t="shared" si="46"/>
        <v>Ch C Female Basketball-</v>
      </c>
      <c r="AH94" s="453">
        <f t="shared" si="47"/>
        <v>2</v>
      </c>
      <c r="AI94" s="453">
        <f t="shared" si="48"/>
        <v>3</v>
      </c>
      <c r="AJ94" t="str">
        <f t="array" ref="AJ94">IF(AND(AI94&gt;1,G94&lt;&gt;""),INDEX(FS_teams,MATCH(1,(FS_Keys=AG94)*(FS_Points=I94)*(FS_teams&lt;&gt;G94),0)),"")</f>
        <v>CHILD CF - COL 1</v>
      </c>
      <c r="AK94" s="390" t="e">
        <f t="array" ref="AK94">IF(AJ94&lt;&gt;"",INDEX(TM_Score1,MATCH(1,(TM_Events=D94)*(TM_Participant1=G94)*(TM_Participant2=AJ94),0)),"")</f>
        <v>#N/A</v>
      </c>
      <c r="AL94" s="390" t="e">
        <f t="array" ref="AL94">IF(AJ94&lt;&gt;"",INDEX(TM_Score1,MATCH(1,(TM_Events=D94)*(TM_Participant1=AJ94)*(TM_Participant2=G94),0)),"")</f>
        <v>#N/A</v>
      </c>
      <c r="AM94" s="389" t="str">
        <f t="array" ref="AM94">IF(ISNUMBER(AK94),INDEX(TM_Score2,MATCH(1,(TM_Events=D94)*(TM_Participant1=G94)*(TM_Participant2=AJ94),0)),"")</f>
        <v/>
      </c>
      <c r="AN94" s="389" t="str">
        <f t="array" ref="AN94">IF(ISNUMBER(AL94),INDEX(TM_Score2,MATCH(1,(TM_Events=D94)*(TM_Participant1=AJ94)*(TM_Participant2=G94),0)),"")</f>
        <v/>
      </c>
      <c r="AO94" s="389" t="str">
        <f t="shared" si="49"/>
        <v>did not play</v>
      </c>
      <c r="AP94" s="389">
        <f t="shared" si="50"/>
        <v>2</v>
      </c>
      <c r="AQ94" s="389">
        <f t="shared" si="51"/>
        <v>0</v>
      </c>
      <c r="AR94" s="389">
        <f t="shared" si="52"/>
        <v>1</v>
      </c>
      <c r="AS94" s="453">
        <f t="shared" si="53"/>
        <v>3</v>
      </c>
      <c r="AT94" s="452">
        <f t="shared" si="54"/>
        <v>27</v>
      </c>
    </row>
    <row r="95" spans="1:46" ht="16" x14ac:dyDescent="0.2">
      <c r="A95" s="298"/>
      <c r="B95"/>
      <c r="D95" s="303" t="s">
        <v>39</v>
      </c>
      <c r="E95" s="396"/>
      <c r="F95" s="387">
        <v>1</v>
      </c>
      <c r="G95" s="397" t="s">
        <v>564</v>
      </c>
      <c r="H95" s="387" t="str">
        <f t="shared" si="29"/>
        <v>3-1-0</v>
      </c>
      <c r="I95" s="389">
        <f t="shared" si="30"/>
        <v>6</v>
      </c>
      <c r="J95" s="455" t="str">
        <f t="shared" si="55"/>
        <v/>
      </c>
      <c r="K95" s="455" t="str">
        <f t="shared" si="31"/>
        <v/>
      </c>
      <c r="L95" s="455" t="str">
        <f t="shared" si="56"/>
        <v/>
      </c>
      <c r="M95" s="389" t="str">
        <f>IFERROR(IF(AD95&lt;=VLOOKUP(D95,Tournaments!$A$1:$B$1772,2,FALSE),"TRUE","FALSE"),"")</f>
        <v>TRUE</v>
      </c>
      <c r="N95" s="389">
        <v>1</v>
      </c>
      <c r="O95" s="389">
        <f t="shared" si="32"/>
        <v>1</v>
      </c>
      <c r="P95" s="381">
        <v>6</v>
      </c>
      <c r="Q95" s="389">
        <f t="shared" si="33"/>
        <v>3</v>
      </c>
      <c r="R95" s="389">
        <f t="shared" si="34"/>
        <v>1</v>
      </c>
      <c r="S95" s="389">
        <f t="shared" si="35"/>
        <v>0</v>
      </c>
      <c r="U95" s="389">
        <f t="shared" si="36"/>
        <v>1</v>
      </c>
      <c r="V95" s="389" t="b">
        <f t="shared" si="37"/>
        <v>0</v>
      </c>
      <c r="W95" s="389">
        <f t="shared" si="38"/>
        <v>-1</v>
      </c>
      <c r="X95" s="389">
        <f t="shared" si="39"/>
        <v>1</v>
      </c>
      <c r="Y95" s="389" t="b">
        <f t="shared" si="57"/>
        <v>0</v>
      </c>
      <c r="Z95" s="389">
        <f t="shared" si="40"/>
        <v>-1</v>
      </c>
      <c r="AA95" s="389">
        <f t="shared" si="41"/>
        <v>1</v>
      </c>
      <c r="AB95" s="389" t="b">
        <f t="shared" si="42"/>
        <v>0</v>
      </c>
      <c r="AC95" s="389">
        <f t="shared" si="43"/>
        <v>-1</v>
      </c>
      <c r="AD95" s="389">
        <f t="shared" si="44"/>
        <v>1</v>
      </c>
      <c r="AE95" s="389">
        <f t="shared" si="45"/>
        <v>1</v>
      </c>
      <c r="AG95" s="311" t="str">
        <f t="shared" si="46"/>
        <v>Ch C Female Basketball-</v>
      </c>
      <c r="AH95" s="453">
        <f t="shared" si="47"/>
        <v>1</v>
      </c>
      <c r="AI95" s="453">
        <f t="shared" si="48"/>
        <v>1</v>
      </c>
      <c r="AJ95" t="str">
        <f t="array" ref="AJ95">IF(AND(AI95&gt;1,G95&lt;&gt;""),INDEX(FS_teams,MATCH(1,(FS_Keys=AG95)*(FS_Points=I95)*(FS_teams&lt;&gt;G95),0)),"")</f>
        <v/>
      </c>
      <c r="AK95" s="390" t="str">
        <f t="array" ref="AK95">IF(AJ95&lt;&gt;"",INDEX(TM_Score1,MATCH(1,(TM_Events=D95)*(TM_Participant1=G95)*(TM_Participant2=AJ95),0)),"")</f>
        <v/>
      </c>
      <c r="AL95" s="390" t="str">
        <f t="array" ref="AL95">IF(AJ95&lt;&gt;"",INDEX(TM_Score1,MATCH(1,(TM_Events=D95)*(TM_Participant1=AJ95)*(TM_Participant2=G95),0)),"")</f>
        <v/>
      </c>
      <c r="AM95" s="389" t="str">
        <f t="array" ref="AM95">IF(ISNUMBER(AK95),INDEX(TM_Score2,MATCH(1,(TM_Events=D95)*(TM_Participant1=G95)*(TM_Participant2=AJ95),0)),"")</f>
        <v/>
      </c>
      <c r="AN95" s="389" t="str">
        <f t="array" ref="AN95">IF(ISNUMBER(AL95),INDEX(TM_Score2,MATCH(1,(TM_Events=D95)*(TM_Participant1=AJ95)*(TM_Participant2=G95),0)),"")</f>
        <v/>
      </c>
      <c r="AO95" s="389" t="str">
        <f t="shared" si="49"/>
        <v/>
      </c>
      <c r="AP95" s="389">
        <f t="shared" si="50"/>
        <v>3</v>
      </c>
      <c r="AQ95" s="389">
        <f t="shared" si="51"/>
        <v>0</v>
      </c>
      <c r="AR95" s="389">
        <f t="shared" si="52"/>
        <v>1</v>
      </c>
      <c r="AS95" s="453">
        <f t="shared" si="53"/>
        <v>24</v>
      </c>
      <c r="AT95" s="452">
        <f t="shared" si="54"/>
        <v>53</v>
      </c>
    </row>
    <row r="96" spans="1:46" ht="16" x14ac:dyDescent="0.2">
      <c r="A96" s="298"/>
      <c r="B96"/>
      <c r="D96" s="303" t="s">
        <v>42</v>
      </c>
      <c r="E96" s="396"/>
      <c r="F96" s="387">
        <v>1</v>
      </c>
      <c r="G96" s="397" t="s">
        <v>565</v>
      </c>
      <c r="H96" s="387" t="str">
        <f t="shared" si="29"/>
        <v>3-1-0</v>
      </c>
      <c r="I96" s="389">
        <f t="shared" si="30"/>
        <v>6</v>
      </c>
      <c r="J96" s="455" t="str">
        <f t="shared" si="55"/>
        <v/>
      </c>
      <c r="K96" s="455" t="str">
        <f t="shared" si="31"/>
        <v/>
      </c>
      <c r="L96" s="455" t="str">
        <f t="shared" si="56"/>
        <v/>
      </c>
      <c r="M96" s="389" t="str">
        <f>IFERROR(IF(AD96&lt;=VLOOKUP(D96,Tournaments!$A$1:$B$1772,2,FALSE),"TRUE","FALSE"),"")</f>
        <v>TRUE</v>
      </c>
      <c r="N96" s="389">
        <v>1</v>
      </c>
      <c r="O96" s="389">
        <f t="shared" si="32"/>
        <v>2</v>
      </c>
      <c r="P96" s="381">
        <v>1</v>
      </c>
      <c r="Q96" s="389">
        <f t="shared" si="33"/>
        <v>3</v>
      </c>
      <c r="R96" s="389">
        <f t="shared" si="34"/>
        <v>1</v>
      </c>
      <c r="S96" s="389">
        <f t="shared" si="35"/>
        <v>0</v>
      </c>
      <c r="U96" s="389">
        <f t="shared" si="36"/>
        <v>2</v>
      </c>
      <c r="V96" s="389" t="b">
        <f t="shared" si="37"/>
        <v>0</v>
      </c>
      <c r="W96" s="389">
        <f t="shared" si="38"/>
        <v>-2</v>
      </c>
      <c r="X96" s="389">
        <f t="shared" si="39"/>
        <v>2</v>
      </c>
      <c r="Y96" s="389" t="b">
        <f t="shared" si="57"/>
        <v>0</v>
      </c>
      <c r="Z96" s="389">
        <f t="shared" si="40"/>
        <v>-2</v>
      </c>
      <c r="AA96" s="389">
        <f t="shared" si="41"/>
        <v>2</v>
      </c>
      <c r="AB96" s="389" t="b">
        <f t="shared" si="42"/>
        <v>0</v>
      </c>
      <c r="AC96" s="389">
        <f t="shared" si="43"/>
        <v>-2</v>
      </c>
      <c r="AD96" s="389">
        <f t="shared" si="44"/>
        <v>2</v>
      </c>
      <c r="AE96" s="389">
        <f t="shared" si="45"/>
        <v>1</v>
      </c>
      <c r="AG96" s="311" t="str">
        <f t="shared" si="46"/>
        <v>Ch C Female Kickball-</v>
      </c>
      <c r="AH96" s="453">
        <f t="shared" si="47"/>
        <v>2</v>
      </c>
      <c r="AI96" s="453">
        <f t="shared" si="48"/>
        <v>1</v>
      </c>
      <c r="AJ96" t="str">
        <f t="array" ref="AJ96">IF(AND(AI96&gt;1,G96&lt;&gt;""),INDEX(FS_teams,MATCH(1,(FS_Keys=AG96)*(FS_Points=I96)*(FS_teams&lt;&gt;G96),0)),"")</f>
        <v/>
      </c>
      <c r="AK96" s="390" t="str">
        <f t="array" ref="AK96">IF(AJ96&lt;&gt;"",INDEX(TM_Score1,MATCH(1,(TM_Events=D96)*(TM_Participant1=G96)*(TM_Participant2=AJ96),0)),"")</f>
        <v/>
      </c>
      <c r="AL96" s="390" t="str">
        <f t="array" ref="AL96">IF(AJ96&lt;&gt;"",INDEX(TM_Score1,MATCH(1,(TM_Events=D96)*(TM_Participant1=AJ96)*(TM_Participant2=G96),0)),"")</f>
        <v/>
      </c>
      <c r="AM96" s="389" t="str">
        <f t="array" ref="AM96">IF(ISNUMBER(AK96),INDEX(TM_Score2,MATCH(1,(TM_Events=D96)*(TM_Participant1=G96)*(TM_Participant2=AJ96),0)),"")</f>
        <v/>
      </c>
      <c r="AN96" s="389" t="str">
        <f t="array" ref="AN96">IF(ISNUMBER(AL96),INDEX(TM_Score2,MATCH(1,(TM_Events=D96)*(TM_Participant1=AJ96)*(TM_Participant2=G96),0)),"")</f>
        <v/>
      </c>
      <c r="AO96" s="389" t="str">
        <f t="shared" si="49"/>
        <v/>
      </c>
      <c r="AP96" s="389">
        <f t="shared" si="50"/>
        <v>3</v>
      </c>
      <c r="AQ96" s="389">
        <f t="shared" si="51"/>
        <v>0</v>
      </c>
      <c r="AR96" s="389">
        <f t="shared" si="52"/>
        <v>1</v>
      </c>
      <c r="AS96" s="453">
        <f t="shared" si="53"/>
        <v>2</v>
      </c>
      <c r="AT96" s="452">
        <f t="shared" si="54"/>
        <v>47</v>
      </c>
    </row>
    <row r="97" spans="1:46" ht="16" x14ac:dyDescent="0.2">
      <c r="A97" s="298"/>
      <c r="B97"/>
      <c r="D97" s="303" t="s">
        <v>42</v>
      </c>
      <c r="E97" s="396"/>
      <c r="F97" s="387">
        <v>1</v>
      </c>
      <c r="G97" s="397" t="s">
        <v>570</v>
      </c>
      <c r="H97" s="387" t="str">
        <f t="shared" si="29"/>
        <v>4-0-0</v>
      </c>
      <c r="I97" s="389">
        <f t="shared" si="30"/>
        <v>8</v>
      </c>
      <c r="J97" s="455" t="str">
        <f t="shared" si="55"/>
        <v/>
      </c>
      <c r="K97" s="455" t="str">
        <f t="shared" si="31"/>
        <v/>
      </c>
      <c r="L97" s="455" t="str">
        <f t="shared" si="56"/>
        <v/>
      </c>
      <c r="M97" s="389" t="str">
        <f>IFERROR(IF(AD97&lt;=VLOOKUP(D97,Tournaments!$A$1:$B$1772,2,FALSE),"TRUE","FALSE"),"")</f>
        <v>TRUE</v>
      </c>
      <c r="N97" s="389">
        <v>1</v>
      </c>
      <c r="O97" s="389">
        <f t="shared" si="32"/>
        <v>1</v>
      </c>
      <c r="P97" s="381">
        <v>2</v>
      </c>
      <c r="Q97" s="389">
        <f t="shared" si="33"/>
        <v>4</v>
      </c>
      <c r="R97" s="389">
        <f t="shared" si="34"/>
        <v>0</v>
      </c>
      <c r="S97" s="389">
        <f t="shared" si="35"/>
        <v>0</v>
      </c>
      <c r="U97" s="389">
        <f t="shared" si="36"/>
        <v>1</v>
      </c>
      <c r="V97" s="389" t="b">
        <f t="shared" si="37"/>
        <v>0</v>
      </c>
      <c r="W97" s="389">
        <f t="shared" si="38"/>
        <v>-1</v>
      </c>
      <c r="X97" s="389">
        <f t="shared" si="39"/>
        <v>1</v>
      </c>
      <c r="Y97" s="389" t="b">
        <f t="shared" si="57"/>
        <v>0</v>
      </c>
      <c r="Z97" s="389">
        <f t="shared" si="40"/>
        <v>-1</v>
      </c>
      <c r="AA97" s="389">
        <f t="shared" si="41"/>
        <v>1</v>
      </c>
      <c r="AB97" s="389" t="b">
        <f t="shared" si="42"/>
        <v>0</v>
      </c>
      <c r="AC97" s="389">
        <f t="shared" si="43"/>
        <v>-1</v>
      </c>
      <c r="AD97" s="389">
        <f t="shared" si="44"/>
        <v>1</v>
      </c>
      <c r="AE97" s="389">
        <f t="shared" si="45"/>
        <v>1</v>
      </c>
      <c r="AG97" s="311" t="str">
        <f t="shared" si="46"/>
        <v>Ch C Female Kickball-</v>
      </c>
      <c r="AH97" s="453">
        <f t="shared" si="47"/>
        <v>1</v>
      </c>
      <c r="AI97" s="453">
        <f t="shared" si="48"/>
        <v>1</v>
      </c>
      <c r="AJ97" t="str">
        <f t="array" ref="AJ97">IF(AND(AI97&gt;1,G97&lt;&gt;""),INDEX(FS_teams,MATCH(1,(FS_Keys=AG97)*(FS_Points=I97)*(FS_teams&lt;&gt;G97),0)),"")</f>
        <v/>
      </c>
      <c r="AK97" s="390" t="str">
        <f t="array" ref="AK97">IF(AJ97&lt;&gt;"",INDEX(TM_Score1,MATCH(1,(TM_Events=D97)*(TM_Participant1=G97)*(TM_Participant2=AJ97),0)),"")</f>
        <v/>
      </c>
      <c r="AL97" s="390" t="str">
        <f t="array" ref="AL97">IF(AJ97&lt;&gt;"",INDEX(TM_Score1,MATCH(1,(TM_Events=D97)*(TM_Participant1=AJ97)*(TM_Participant2=G97),0)),"")</f>
        <v/>
      </c>
      <c r="AM97" s="389" t="str">
        <f t="array" ref="AM97">IF(ISNUMBER(AK97),INDEX(TM_Score2,MATCH(1,(TM_Events=D97)*(TM_Participant1=G97)*(TM_Participant2=AJ97),0)),"")</f>
        <v/>
      </c>
      <c r="AN97" s="389" t="str">
        <f t="array" ref="AN97">IF(ISNUMBER(AL97),INDEX(TM_Score2,MATCH(1,(TM_Events=D97)*(TM_Participant1=AJ97)*(TM_Participant2=G97),0)),"")</f>
        <v/>
      </c>
      <c r="AO97" s="389" t="str">
        <f t="shared" si="49"/>
        <v/>
      </c>
      <c r="AP97" s="389">
        <f t="shared" si="50"/>
        <v>4</v>
      </c>
      <c r="AQ97" s="389">
        <f t="shared" si="51"/>
        <v>0</v>
      </c>
      <c r="AR97" s="389">
        <f t="shared" si="52"/>
        <v>0</v>
      </c>
      <c r="AS97" s="453">
        <f t="shared" si="53"/>
        <v>10</v>
      </c>
      <c r="AT97" s="452">
        <f t="shared" si="54"/>
        <v>43</v>
      </c>
    </row>
    <row r="98" spans="1:46" ht="16" x14ac:dyDescent="0.2">
      <c r="A98" s="298"/>
      <c r="B98"/>
      <c r="D98" s="303" t="s">
        <v>42</v>
      </c>
      <c r="E98" s="396"/>
      <c r="F98" s="387">
        <v>1</v>
      </c>
      <c r="G98" s="397" t="s">
        <v>569</v>
      </c>
      <c r="H98" s="387" t="str">
        <f t="shared" si="29"/>
        <v>1-2-0</v>
      </c>
      <c r="I98" s="389">
        <f t="shared" si="30"/>
        <v>2</v>
      </c>
      <c r="J98" s="455">
        <f t="shared" si="55"/>
        <v>1</v>
      </c>
      <c r="K98" s="455">
        <f t="shared" si="31"/>
        <v>-1</v>
      </c>
      <c r="L98" s="455" t="str">
        <f t="shared" si="56"/>
        <v/>
      </c>
      <c r="M98" s="389" t="str">
        <f>IFERROR(IF(AD98&lt;=VLOOKUP(D98,Tournaments!$A$1:$B$1772,2,FALSE),"TRUE","FALSE"),"")</f>
        <v>FALSE</v>
      </c>
      <c r="N98" s="389">
        <v>1</v>
      </c>
      <c r="O98" s="389">
        <f t="shared" si="32"/>
        <v>4</v>
      </c>
      <c r="P98" s="381">
        <v>3</v>
      </c>
      <c r="Q98" s="389">
        <f t="shared" si="33"/>
        <v>1</v>
      </c>
      <c r="R98" s="389">
        <f t="shared" si="34"/>
        <v>2</v>
      </c>
      <c r="S98" s="389">
        <f t="shared" si="35"/>
        <v>0</v>
      </c>
      <c r="U98" s="389">
        <f t="shared" si="36"/>
        <v>5</v>
      </c>
      <c r="V98" s="389">
        <f t="shared" si="37"/>
        <v>2.5000000000000001E-3</v>
      </c>
      <c r="W98" s="389">
        <f t="shared" si="38"/>
        <v>-4.9974999999999996</v>
      </c>
      <c r="X98" s="389">
        <f t="shared" si="39"/>
        <v>5</v>
      </c>
      <c r="Y98" s="389">
        <f t="shared" si="57"/>
        <v>9.7999999999999997E-3</v>
      </c>
      <c r="Z98" s="389">
        <f t="shared" si="40"/>
        <v>-4.9901999999999997</v>
      </c>
      <c r="AA98" s="389">
        <f t="shared" si="41"/>
        <v>4</v>
      </c>
      <c r="AB98" s="389" t="b">
        <f t="shared" si="42"/>
        <v>0</v>
      </c>
      <c r="AC98" s="389">
        <f t="shared" si="43"/>
        <v>-4</v>
      </c>
      <c r="AD98" s="389">
        <f t="shared" si="44"/>
        <v>4</v>
      </c>
      <c r="AE98" s="389">
        <f t="shared" si="45"/>
        <v>3</v>
      </c>
      <c r="AG98" s="311" t="str">
        <f t="shared" si="46"/>
        <v>Ch C Female Kickball-</v>
      </c>
      <c r="AH98" s="453">
        <f t="shared" si="47"/>
        <v>3</v>
      </c>
      <c r="AI98" s="453">
        <f t="shared" si="48"/>
        <v>3</v>
      </c>
      <c r="AJ98" t="str">
        <f t="array" ref="AJ98">IF(AND(AI98&gt;1,G98&lt;&gt;""),INDEX(FS_teams,MATCH(1,(FS_Keys=AG98)*(FS_Points=I98)*(FS_teams&lt;&gt;G98),0)),"")</f>
        <v>CHILD CF - USA 1</v>
      </c>
      <c r="AK98" s="390">
        <f t="array" ref="AK98">IF(AJ98&lt;&gt;"",INDEX(TM_Score1,MATCH(1,(TM_Events=D98)*(TM_Participant1=G98)*(TM_Participant2=AJ98),0)),"")</f>
        <v>9</v>
      </c>
      <c r="AL98" s="390" t="e">
        <f t="array" ref="AL98">IF(AJ98&lt;&gt;"",INDEX(TM_Score1,MATCH(1,(TM_Events=D98)*(TM_Participant1=AJ98)*(TM_Participant2=G98),0)),"")</f>
        <v>#N/A</v>
      </c>
      <c r="AM98" s="389">
        <f t="array" ref="AM98">IF(ISNUMBER(AK98),INDEX(TM_Score2,MATCH(1,(TM_Events=D98)*(TM_Participant1=G98)*(TM_Participant2=AJ98),0)),"")</f>
        <v>10</v>
      </c>
      <c r="AN98" s="389" t="str">
        <f t="array" ref="AN98">IF(ISNUMBER(AL98),INDEX(TM_Score2,MATCH(1,(TM_Events=D98)*(TM_Participant1=AJ98)*(TM_Participant2=G98),0)),"")</f>
        <v/>
      </c>
      <c r="AO98" s="389" t="str">
        <f t="shared" si="49"/>
        <v>Loss</v>
      </c>
      <c r="AP98" s="389">
        <f t="shared" si="50"/>
        <v>1</v>
      </c>
      <c r="AQ98" s="389">
        <f t="shared" si="51"/>
        <v>0</v>
      </c>
      <c r="AR98" s="389">
        <f t="shared" si="52"/>
        <v>2</v>
      </c>
      <c r="AS98" s="453">
        <f t="shared" si="53"/>
        <v>-1</v>
      </c>
      <c r="AT98" s="452">
        <f t="shared" si="54"/>
        <v>32</v>
      </c>
    </row>
    <row r="99" spans="1:46" ht="16" x14ac:dyDescent="0.2">
      <c r="A99" s="298"/>
      <c r="B99"/>
      <c r="D99" s="303" t="s">
        <v>42</v>
      </c>
      <c r="E99" s="396"/>
      <c r="F99" s="387">
        <v>1</v>
      </c>
      <c r="G99" s="397" t="s">
        <v>567</v>
      </c>
      <c r="H99" s="387" t="str">
        <f t="shared" si="29"/>
        <v>1-2-0</v>
      </c>
      <c r="I99" s="389">
        <f t="shared" si="30"/>
        <v>2</v>
      </c>
      <c r="J99" s="455">
        <f t="shared" si="55"/>
        <v>1</v>
      </c>
      <c r="K99" s="455">
        <f t="shared" si="31"/>
        <v>-3</v>
      </c>
      <c r="L99" s="455" t="str">
        <f t="shared" si="56"/>
        <v/>
      </c>
      <c r="M99" s="389" t="str">
        <f>IFERROR(IF(AD99&lt;=VLOOKUP(D99,Tournaments!$A$1:$B$1772,2,FALSE),"TRUE","FALSE"),"")</f>
        <v>FALSE</v>
      </c>
      <c r="N99" s="389">
        <v>1</v>
      </c>
      <c r="O99" s="389">
        <f t="shared" si="32"/>
        <v>5</v>
      </c>
      <c r="P99" s="381">
        <v>4</v>
      </c>
      <c r="Q99" s="389">
        <f t="shared" si="33"/>
        <v>1</v>
      </c>
      <c r="R99" s="389">
        <f t="shared" si="34"/>
        <v>2</v>
      </c>
      <c r="S99" s="389">
        <f t="shared" si="35"/>
        <v>0</v>
      </c>
      <c r="U99" s="389">
        <f t="shared" si="36"/>
        <v>5</v>
      </c>
      <c r="V99" s="389">
        <f t="shared" si="37"/>
        <v>2.5000000000000001E-3</v>
      </c>
      <c r="W99" s="389">
        <f t="shared" si="38"/>
        <v>-4.9974999999999996</v>
      </c>
      <c r="X99" s="389">
        <f t="shared" si="39"/>
        <v>5</v>
      </c>
      <c r="Y99" s="389">
        <f t="shared" si="57"/>
        <v>8.0000000000000002E-3</v>
      </c>
      <c r="Z99" s="389">
        <f t="shared" si="40"/>
        <v>-4.992</v>
      </c>
      <c r="AA99" s="389">
        <f t="shared" si="41"/>
        <v>5</v>
      </c>
      <c r="AB99" s="389" t="b">
        <f t="shared" si="42"/>
        <v>0</v>
      </c>
      <c r="AC99" s="389">
        <f t="shared" si="43"/>
        <v>-5</v>
      </c>
      <c r="AD99" s="389">
        <f t="shared" si="44"/>
        <v>5</v>
      </c>
      <c r="AE99" s="389">
        <f t="shared" si="45"/>
        <v>3</v>
      </c>
      <c r="AG99" s="311" t="str">
        <f t="shared" si="46"/>
        <v>Ch C Female Kickball-</v>
      </c>
      <c r="AH99" s="453">
        <f t="shared" si="47"/>
        <v>3</v>
      </c>
      <c r="AI99" s="453">
        <f t="shared" si="48"/>
        <v>3</v>
      </c>
      <c r="AJ99" t="str">
        <f t="array" ref="AJ99">IF(AND(AI99&gt;1,G99&lt;&gt;""),INDEX(FS_teams,MATCH(1,(FS_Keys=AG99)*(FS_Points=I99)*(FS_teams&lt;&gt;G99),0)),"")</f>
        <v>CHILD CF - VEN 1</v>
      </c>
      <c r="AK99" s="390" t="e">
        <f t="array" ref="AK99">IF(AJ99&lt;&gt;"",INDEX(TM_Score1,MATCH(1,(TM_Events=D99)*(TM_Participant1=G99)*(TM_Participant2=AJ99),0)),"")</f>
        <v>#N/A</v>
      </c>
      <c r="AL99" s="390">
        <f t="array" ref="AL99">IF(AJ99&lt;&gt;"",INDEX(TM_Score1,MATCH(1,(TM_Events=D99)*(TM_Participant1=AJ99)*(TM_Participant2=G99),0)),"")</f>
        <v>9</v>
      </c>
      <c r="AM99" s="389" t="str">
        <f t="array" ref="AM99">IF(ISNUMBER(AK99),INDEX(TM_Score2,MATCH(1,(TM_Events=D99)*(TM_Participant1=G99)*(TM_Participant2=AJ99),0)),"")</f>
        <v/>
      </c>
      <c r="AN99" s="389">
        <f t="array" ref="AN99">IF(ISNUMBER(AL99),INDEX(TM_Score2,MATCH(1,(TM_Events=D99)*(TM_Participant1=AJ99)*(TM_Participant2=G99),0)),"")</f>
        <v>10</v>
      </c>
      <c r="AO99" s="389" t="str">
        <f t="shared" si="49"/>
        <v>Win</v>
      </c>
      <c r="AP99" s="389">
        <f t="shared" si="50"/>
        <v>1</v>
      </c>
      <c r="AQ99" s="389">
        <f t="shared" si="51"/>
        <v>0</v>
      </c>
      <c r="AR99" s="389">
        <f t="shared" si="52"/>
        <v>2</v>
      </c>
      <c r="AS99" s="453">
        <f t="shared" si="53"/>
        <v>-3</v>
      </c>
      <c r="AT99" s="452">
        <f t="shared" si="54"/>
        <v>26</v>
      </c>
    </row>
    <row r="100" spans="1:46" ht="16" x14ac:dyDescent="0.2">
      <c r="A100" s="298"/>
      <c r="B100"/>
      <c r="D100" s="303" t="s">
        <v>42</v>
      </c>
      <c r="E100" s="396"/>
      <c r="F100" s="387">
        <v>1</v>
      </c>
      <c r="G100" s="397" t="s">
        <v>568</v>
      </c>
      <c r="H100" s="387" t="str">
        <f t="shared" si="29"/>
        <v>1-2-0</v>
      </c>
      <c r="I100" s="389">
        <f t="shared" si="30"/>
        <v>2</v>
      </c>
      <c r="J100" s="455">
        <f t="shared" si="55"/>
        <v>1</v>
      </c>
      <c r="K100" s="455">
        <f t="shared" si="31"/>
        <v>3</v>
      </c>
      <c r="L100" s="455" t="str">
        <f t="shared" si="56"/>
        <v/>
      </c>
      <c r="M100" s="389" t="str">
        <f>IFERROR(IF(AD100&lt;=VLOOKUP(D100,Tournaments!$A$1:$B$1772,2,FALSE),"TRUE","FALSE"),"")</f>
        <v>FALSE</v>
      </c>
      <c r="N100" s="389">
        <v>1</v>
      </c>
      <c r="O100" s="389">
        <f t="shared" si="32"/>
        <v>3</v>
      </c>
      <c r="P100" s="381">
        <v>5</v>
      </c>
      <c r="Q100" s="389">
        <f t="shared" si="33"/>
        <v>1</v>
      </c>
      <c r="R100" s="389">
        <f t="shared" si="34"/>
        <v>2</v>
      </c>
      <c r="S100" s="389">
        <f t="shared" si="35"/>
        <v>0</v>
      </c>
      <c r="U100" s="389">
        <f t="shared" si="36"/>
        <v>5</v>
      </c>
      <c r="V100" s="389">
        <f t="shared" si="37"/>
        <v>2.5000000000000001E-3</v>
      </c>
      <c r="W100" s="389">
        <f t="shared" si="38"/>
        <v>-4.9974999999999996</v>
      </c>
      <c r="X100" s="389">
        <f t="shared" si="39"/>
        <v>5</v>
      </c>
      <c r="Y100" s="389">
        <f t="shared" si="57"/>
        <v>7.2099999999999997E-2</v>
      </c>
      <c r="Z100" s="389">
        <f t="shared" si="40"/>
        <v>-4.9279000000000002</v>
      </c>
      <c r="AA100" s="389">
        <f t="shared" si="41"/>
        <v>3</v>
      </c>
      <c r="AB100" s="389" t="b">
        <f t="shared" si="42"/>
        <v>0</v>
      </c>
      <c r="AC100" s="389">
        <f t="shared" si="43"/>
        <v>-3</v>
      </c>
      <c r="AD100" s="389">
        <f t="shared" si="44"/>
        <v>3</v>
      </c>
      <c r="AE100" s="389">
        <f t="shared" si="45"/>
        <v>3</v>
      </c>
      <c r="AG100" s="311" t="str">
        <f t="shared" si="46"/>
        <v>Ch C Female Kickball-</v>
      </c>
      <c r="AH100" s="453">
        <f t="shared" si="47"/>
        <v>3</v>
      </c>
      <c r="AI100" s="453">
        <f t="shared" si="48"/>
        <v>3</v>
      </c>
      <c r="AJ100" t="str">
        <f t="array" ref="AJ100">IF(AND(AI100&gt;1,G100&lt;&gt;""),INDEX(FS_teams,MATCH(1,(FS_Keys=AG100)*(FS_Points=I100)*(FS_teams&lt;&gt;G100),0)),"")</f>
        <v>CHILD CF - VEN 1</v>
      </c>
      <c r="AK100" s="390" t="e">
        <f t="array" ref="AK100">IF(AJ100&lt;&gt;"",INDEX(TM_Score1,MATCH(1,(TM_Events=D100)*(TM_Participant1=G100)*(TM_Participant2=AJ100),0)),"")</f>
        <v>#N/A</v>
      </c>
      <c r="AL100" s="390">
        <f t="array" ref="AL100">IF(AJ100&lt;&gt;"",INDEX(TM_Score1,MATCH(1,(TM_Events=D100)*(TM_Participant1=AJ100)*(TM_Participant2=G100),0)),"")</f>
        <v>8</v>
      </c>
      <c r="AM100" s="389" t="str">
        <f t="array" ref="AM100">IF(ISNUMBER(AK100),INDEX(TM_Score2,MATCH(1,(TM_Events=D100)*(TM_Participant1=G100)*(TM_Participant2=AJ100),0)),"")</f>
        <v/>
      </c>
      <c r="AN100" s="389">
        <f t="array" ref="AN100">IF(ISNUMBER(AL100),INDEX(TM_Score2,MATCH(1,(TM_Events=D100)*(TM_Participant1=AJ100)*(TM_Participant2=G100),0)),"")</f>
        <v>13</v>
      </c>
      <c r="AO100" s="389" t="str">
        <f t="shared" si="49"/>
        <v>Win</v>
      </c>
      <c r="AP100" s="389">
        <f t="shared" si="50"/>
        <v>1</v>
      </c>
      <c r="AQ100" s="389">
        <f t="shared" si="51"/>
        <v>0</v>
      </c>
      <c r="AR100" s="389">
        <f t="shared" si="52"/>
        <v>2</v>
      </c>
      <c r="AS100" s="453">
        <f t="shared" si="53"/>
        <v>3</v>
      </c>
      <c r="AT100" s="452">
        <f t="shared" si="54"/>
        <v>33</v>
      </c>
    </row>
    <row r="101" spans="1:46" ht="16" x14ac:dyDescent="0.2">
      <c r="A101" s="298"/>
      <c r="B101"/>
      <c r="D101" s="303" t="s">
        <v>42</v>
      </c>
      <c r="E101" s="396"/>
      <c r="F101" s="387">
        <v>1</v>
      </c>
      <c r="G101" s="397" t="s">
        <v>564</v>
      </c>
      <c r="H101" s="387" t="str">
        <f t="shared" si="29"/>
        <v>0-3-0</v>
      </c>
      <c r="I101" s="389">
        <f t="shared" si="30"/>
        <v>0</v>
      </c>
      <c r="J101" s="455" t="str">
        <f t="shared" si="55"/>
        <v/>
      </c>
      <c r="K101" s="455" t="str">
        <f t="shared" si="31"/>
        <v/>
      </c>
      <c r="L101" s="455" t="str">
        <f t="shared" si="56"/>
        <v/>
      </c>
      <c r="M101" s="389" t="str">
        <f>IFERROR(IF(AD101&lt;=VLOOKUP(D101,Tournaments!$A$1:$B$1772,2,FALSE),"TRUE","FALSE"),"")</f>
        <v>FALSE</v>
      </c>
      <c r="N101" s="389">
        <v>1</v>
      </c>
      <c r="O101" s="389">
        <f t="shared" si="32"/>
        <v>6</v>
      </c>
      <c r="P101" s="381">
        <v>6</v>
      </c>
      <c r="Q101" s="389">
        <f t="shared" si="33"/>
        <v>0</v>
      </c>
      <c r="R101" s="389">
        <f t="shared" si="34"/>
        <v>3</v>
      </c>
      <c r="S101" s="389">
        <f t="shared" si="35"/>
        <v>0</v>
      </c>
      <c r="U101" s="389">
        <f t="shared" si="36"/>
        <v>6</v>
      </c>
      <c r="V101" s="389" t="b">
        <f t="shared" si="37"/>
        <v>0</v>
      </c>
      <c r="W101" s="389">
        <f t="shared" si="38"/>
        <v>-6</v>
      </c>
      <c r="X101" s="389">
        <f t="shared" si="39"/>
        <v>6</v>
      </c>
      <c r="Y101" s="389" t="b">
        <f t="shared" si="57"/>
        <v>0</v>
      </c>
      <c r="Z101" s="389">
        <f t="shared" si="40"/>
        <v>-6</v>
      </c>
      <c r="AA101" s="389">
        <f t="shared" si="41"/>
        <v>6</v>
      </c>
      <c r="AB101" s="389" t="b">
        <f t="shared" si="42"/>
        <v>0</v>
      </c>
      <c r="AC101" s="389">
        <f t="shared" si="43"/>
        <v>-6</v>
      </c>
      <c r="AD101" s="389">
        <f t="shared" si="44"/>
        <v>6</v>
      </c>
      <c r="AE101" s="389">
        <f t="shared" si="45"/>
        <v>1</v>
      </c>
      <c r="AG101" s="311" t="str">
        <f t="shared" si="46"/>
        <v>Ch C Female Kickball-</v>
      </c>
      <c r="AH101" s="453">
        <f t="shared" si="47"/>
        <v>6</v>
      </c>
      <c r="AI101" s="453">
        <f t="shared" si="48"/>
        <v>1</v>
      </c>
      <c r="AJ101" t="str">
        <f t="array" ref="AJ101">IF(AND(AI101&gt;1,G101&lt;&gt;""),INDEX(FS_teams,MATCH(1,(FS_Keys=AG101)*(FS_Points=I101)*(FS_teams&lt;&gt;G101),0)),"")</f>
        <v/>
      </c>
      <c r="AK101" s="390" t="str">
        <f t="array" ref="AK101">IF(AJ101&lt;&gt;"",INDEX(TM_Score1,MATCH(1,(TM_Events=D101)*(TM_Participant1=G101)*(TM_Participant2=AJ101),0)),"")</f>
        <v/>
      </c>
      <c r="AL101" s="390" t="str">
        <f t="array" ref="AL101">IF(AJ101&lt;&gt;"",INDEX(TM_Score1,MATCH(1,(TM_Events=D101)*(TM_Participant1=AJ101)*(TM_Participant2=G101),0)),"")</f>
        <v/>
      </c>
      <c r="AM101" s="389" t="str">
        <f t="array" ref="AM101">IF(ISNUMBER(AK101),INDEX(TM_Score2,MATCH(1,(TM_Events=D101)*(TM_Participant1=G101)*(TM_Participant2=AJ101),0)),"")</f>
        <v/>
      </c>
      <c r="AN101" s="389" t="str">
        <f t="array" ref="AN101">IF(ISNUMBER(AL101),INDEX(TM_Score2,MATCH(1,(TM_Events=D101)*(TM_Participant1=AJ101)*(TM_Participant2=G101),0)),"")</f>
        <v/>
      </c>
      <c r="AO101" s="389" t="str">
        <f t="shared" si="49"/>
        <v/>
      </c>
      <c r="AP101" s="389">
        <f t="shared" si="50"/>
        <v>0</v>
      </c>
      <c r="AQ101" s="389">
        <f t="shared" si="51"/>
        <v>0</v>
      </c>
      <c r="AR101" s="389">
        <f t="shared" si="52"/>
        <v>3</v>
      </c>
      <c r="AS101" s="453">
        <f t="shared" si="53"/>
        <v>-11</v>
      </c>
      <c r="AT101" s="452">
        <f t="shared" si="54"/>
        <v>27</v>
      </c>
    </row>
    <row r="102" spans="1:46" ht="16" x14ac:dyDescent="0.2">
      <c r="A102" s="298"/>
      <c r="B102"/>
      <c r="D102" s="303" t="s">
        <v>38</v>
      </c>
      <c r="E102" s="396"/>
      <c r="F102" s="387">
        <v>1</v>
      </c>
      <c r="G102" s="397" t="s">
        <v>569</v>
      </c>
      <c r="H102" s="387" t="str">
        <f t="shared" si="29"/>
        <v>3-0-0</v>
      </c>
      <c r="I102" s="389">
        <f t="shared" si="30"/>
        <v>6</v>
      </c>
      <c r="J102" s="455" t="str">
        <f t="shared" si="55"/>
        <v/>
      </c>
      <c r="K102" s="455" t="str">
        <f t="shared" si="31"/>
        <v/>
      </c>
      <c r="L102" s="455" t="str">
        <f t="shared" si="56"/>
        <v/>
      </c>
      <c r="M102" s="389" t="str">
        <f>IFERROR(IF(AD102&lt;=VLOOKUP(D102,Tournaments!$A$1:$B$1772,2,FALSE),"TRUE","FALSE"),"")</f>
        <v>TRUE</v>
      </c>
      <c r="N102" s="389">
        <v>1</v>
      </c>
      <c r="O102" s="389">
        <f t="shared" si="32"/>
        <v>1</v>
      </c>
      <c r="P102" s="381">
        <v>3</v>
      </c>
      <c r="Q102" s="389">
        <f t="shared" si="33"/>
        <v>3</v>
      </c>
      <c r="R102" s="389">
        <f t="shared" si="34"/>
        <v>0</v>
      </c>
      <c r="S102" s="389">
        <f t="shared" si="35"/>
        <v>0</v>
      </c>
      <c r="U102" s="389">
        <f t="shared" si="36"/>
        <v>1</v>
      </c>
      <c r="V102" s="389" t="b">
        <f t="shared" si="37"/>
        <v>0</v>
      </c>
      <c r="W102" s="389">
        <f t="shared" si="38"/>
        <v>-1</v>
      </c>
      <c r="X102" s="389">
        <f t="shared" si="39"/>
        <v>1</v>
      </c>
      <c r="Y102" s="389" t="b">
        <f t="shared" si="57"/>
        <v>0</v>
      </c>
      <c r="Z102" s="389">
        <f t="shared" si="40"/>
        <v>-1</v>
      </c>
      <c r="AA102" s="389">
        <f t="shared" si="41"/>
        <v>1</v>
      </c>
      <c r="AB102" s="389" t="b">
        <f t="shared" si="42"/>
        <v>0</v>
      </c>
      <c r="AC102" s="389">
        <f t="shared" si="43"/>
        <v>-1</v>
      </c>
      <c r="AD102" s="389">
        <f t="shared" si="44"/>
        <v>1</v>
      </c>
      <c r="AE102" s="389">
        <f t="shared" si="45"/>
        <v>1</v>
      </c>
      <c r="AG102" s="311" t="str">
        <f t="shared" si="46"/>
        <v>Ch C Female Mini Soccer-</v>
      </c>
      <c r="AH102" s="453">
        <f t="shared" si="47"/>
        <v>1</v>
      </c>
      <c r="AI102" s="453">
        <f t="shared" si="48"/>
        <v>1</v>
      </c>
      <c r="AJ102" t="str">
        <f t="array" ref="AJ102">IF(AND(AI102&gt;1,G102&lt;&gt;""),INDEX(FS_teams,MATCH(1,(FS_Keys=AG102)*(FS_Points=I102)*(FS_teams&lt;&gt;G102),0)),"")</f>
        <v/>
      </c>
      <c r="AK102" s="390" t="str">
        <f t="array" ref="AK102">IF(AJ102&lt;&gt;"",INDEX(TM_Score1,MATCH(1,(TM_Events=D102)*(TM_Participant1=G102)*(TM_Participant2=AJ102),0)),"")</f>
        <v/>
      </c>
      <c r="AL102" s="390" t="str">
        <f t="array" ref="AL102">IF(AJ102&lt;&gt;"",INDEX(TM_Score1,MATCH(1,(TM_Events=D102)*(TM_Participant1=AJ102)*(TM_Participant2=G102),0)),"")</f>
        <v/>
      </c>
      <c r="AM102" s="389" t="str">
        <f t="array" ref="AM102">IF(ISNUMBER(AK102),INDEX(TM_Score2,MATCH(1,(TM_Events=D102)*(TM_Participant1=G102)*(TM_Participant2=AJ102),0)),"")</f>
        <v/>
      </c>
      <c r="AN102" s="389" t="str">
        <f t="array" ref="AN102">IF(ISNUMBER(AL102),INDEX(TM_Score2,MATCH(1,(TM_Events=D102)*(TM_Participant1=AJ102)*(TM_Participant2=G102),0)),"")</f>
        <v/>
      </c>
      <c r="AO102" s="389" t="str">
        <f t="shared" si="49"/>
        <v/>
      </c>
      <c r="AP102" s="389">
        <f t="shared" si="50"/>
        <v>3</v>
      </c>
      <c r="AQ102" s="389">
        <f t="shared" si="51"/>
        <v>0</v>
      </c>
      <c r="AR102" s="389">
        <f t="shared" si="52"/>
        <v>0</v>
      </c>
      <c r="AS102" s="453">
        <f t="shared" si="53"/>
        <v>5</v>
      </c>
      <c r="AT102" s="452">
        <f t="shared" si="54"/>
        <v>7</v>
      </c>
    </row>
    <row r="103" spans="1:46" ht="16" x14ac:dyDescent="0.2">
      <c r="A103" s="298"/>
      <c r="B103"/>
      <c r="D103" s="298" t="s">
        <v>38</v>
      </c>
      <c r="F103" s="389">
        <v>1</v>
      </c>
      <c r="G103" s="390" t="s">
        <v>565</v>
      </c>
      <c r="H103" s="387" t="str">
        <f t="shared" si="29"/>
        <v>0-3-0</v>
      </c>
      <c r="I103" s="389">
        <f t="shared" si="30"/>
        <v>0</v>
      </c>
      <c r="J103" s="455">
        <f t="shared" si="55"/>
        <v>1</v>
      </c>
      <c r="K103" s="455">
        <f t="shared" si="31"/>
        <v>-5</v>
      </c>
      <c r="L103" s="455" t="str">
        <f t="shared" si="56"/>
        <v/>
      </c>
      <c r="M103" s="389" t="str">
        <f>IFERROR(IF(AD103&lt;=VLOOKUP(D103,Tournaments!$A$1:$B$1772,2,FALSE),"TRUE","FALSE"),"")</f>
        <v>FALSE</v>
      </c>
      <c r="N103" s="389">
        <v>1</v>
      </c>
      <c r="O103" s="389">
        <f t="shared" si="32"/>
        <v>5</v>
      </c>
      <c r="P103" s="381">
        <v>1</v>
      </c>
      <c r="Q103" s="389">
        <f t="shared" si="33"/>
        <v>0</v>
      </c>
      <c r="R103" s="389">
        <f t="shared" si="34"/>
        <v>3</v>
      </c>
      <c r="S103" s="389">
        <f t="shared" si="35"/>
        <v>0</v>
      </c>
      <c r="U103" s="389">
        <f t="shared" si="36"/>
        <v>6</v>
      </c>
      <c r="V103" s="389">
        <f t="shared" si="37"/>
        <v>2.5000000000000001E-3</v>
      </c>
      <c r="W103" s="389">
        <f t="shared" si="38"/>
        <v>-5.9974999999999996</v>
      </c>
      <c r="X103" s="389">
        <f t="shared" si="39"/>
        <v>6</v>
      </c>
      <c r="Y103" s="389">
        <f t="shared" si="57"/>
        <v>6.4000000000000003E-3</v>
      </c>
      <c r="Z103" s="389">
        <f t="shared" si="40"/>
        <v>-5.9935999999999998</v>
      </c>
      <c r="AA103" s="389">
        <f t="shared" si="41"/>
        <v>5</v>
      </c>
      <c r="AB103" s="389" t="b">
        <f t="shared" si="42"/>
        <v>0</v>
      </c>
      <c r="AC103" s="389">
        <f t="shared" si="43"/>
        <v>-5</v>
      </c>
      <c r="AD103" s="389">
        <f t="shared" si="44"/>
        <v>5</v>
      </c>
      <c r="AE103" s="389">
        <f t="shared" si="45"/>
        <v>2</v>
      </c>
      <c r="AG103" s="311" t="str">
        <f t="shared" si="46"/>
        <v>Ch C Female Mini Soccer-</v>
      </c>
      <c r="AH103" s="453">
        <f t="shared" si="47"/>
        <v>5</v>
      </c>
      <c r="AI103" s="453">
        <f t="shared" si="48"/>
        <v>2</v>
      </c>
      <c r="AJ103" t="str">
        <f t="array" ref="AJ103">IF(AND(AI103&gt;1,G103&lt;&gt;""),INDEX(FS_teams,MATCH(1,(FS_Keys=AG103)*(FS_Points=I103)*(FS_teams&lt;&gt;G103),0)),"")</f>
        <v>CHILD CF - USA 2</v>
      </c>
      <c r="AK103" s="390" t="e">
        <f t="array" ref="AK103">IF(AJ103&lt;&gt;"",INDEX(TM_Score1,MATCH(1,(TM_Events=D103)*(TM_Participant1=G103)*(TM_Participant2=AJ103),0)),"")</f>
        <v>#N/A</v>
      </c>
      <c r="AL103" s="390" t="e">
        <f t="array" ref="AL103">IF(AJ103&lt;&gt;"",INDEX(TM_Score1,MATCH(1,(TM_Events=D103)*(TM_Participant1=AJ103)*(TM_Participant2=G103),0)),"")</f>
        <v>#N/A</v>
      </c>
      <c r="AM103" s="389" t="str">
        <f t="array" ref="AM103">IF(ISNUMBER(AK103),INDEX(TM_Score2,MATCH(1,(TM_Events=D103)*(TM_Participant1=G103)*(TM_Participant2=AJ103),0)),"")</f>
        <v/>
      </c>
      <c r="AN103" s="389" t="str">
        <f t="array" ref="AN103">IF(ISNUMBER(AL103),INDEX(TM_Score2,MATCH(1,(TM_Events=D103)*(TM_Participant1=AJ103)*(TM_Participant2=G103),0)),"")</f>
        <v/>
      </c>
      <c r="AO103" s="389" t="str">
        <f t="shared" si="49"/>
        <v>did not play</v>
      </c>
      <c r="AP103" s="389">
        <f t="shared" si="50"/>
        <v>0</v>
      </c>
      <c r="AQ103" s="389">
        <f t="shared" si="51"/>
        <v>0</v>
      </c>
      <c r="AR103" s="389">
        <f t="shared" si="52"/>
        <v>3</v>
      </c>
      <c r="AS103" s="453">
        <f t="shared" si="53"/>
        <v>-5</v>
      </c>
      <c r="AT103" s="452">
        <f t="shared" si="54"/>
        <v>1</v>
      </c>
    </row>
    <row r="104" spans="1:46" ht="16" x14ac:dyDescent="0.2">
      <c r="A104" s="298"/>
      <c r="B104"/>
      <c r="D104" s="303" t="s">
        <v>38</v>
      </c>
      <c r="E104" s="387"/>
      <c r="F104" s="387">
        <v>1</v>
      </c>
      <c r="G104" s="397" t="s">
        <v>564</v>
      </c>
      <c r="H104" s="387" t="str">
        <f t="shared" si="29"/>
        <v>2-1-0</v>
      </c>
      <c r="I104" s="389">
        <f t="shared" si="30"/>
        <v>4</v>
      </c>
      <c r="J104" s="455">
        <f t="shared" si="55"/>
        <v>1</v>
      </c>
      <c r="K104" s="455">
        <f t="shared" si="31"/>
        <v>1</v>
      </c>
      <c r="L104" s="455" t="str">
        <f t="shared" si="56"/>
        <v/>
      </c>
      <c r="M104" s="389" t="str">
        <f>IFERROR(IF(AD104&lt;=VLOOKUP(D104,Tournaments!$A$1:$B$1772,2,FALSE),"TRUE","FALSE"),"")</f>
        <v>FALSE</v>
      </c>
      <c r="N104" s="389">
        <v>1</v>
      </c>
      <c r="O104" s="389">
        <f t="shared" si="32"/>
        <v>4</v>
      </c>
      <c r="P104" s="381">
        <v>2</v>
      </c>
      <c r="Q104" s="389">
        <f t="shared" si="33"/>
        <v>2</v>
      </c>
      <c r="R104" s="389">
        <f t="shared" si="34"/>
        <v>1</v>
      </c>
      <c r="S104" s="389">
        <f t="shared" si="35"/>
        <v>0</v>
      </c>
      <c r="U104" s="389">
        <f t="shared" si="36"/>
        <v>4</v>
      </c>
      <c r="V104" s="389">
        <f t="shared" si="37"/>
        <v>2.5000000000000001E-3</v>
      </c>
      <c r="W104" s="389">
        <f t="shared" si="38"/>
        <v>-3.9975000000000001</v>
      </c>
      <c r="X104" s="389">
        <f t="shared" si="39"/>
        <v>4</v>
      </c>
      <c r="Y104" s="389">
        <f t="shared" si="57"/>
        <v>7.0000000000000007E-2</v>
      </c>
      <c r="Z104" s="389">
        <f t="shared" si="40"/>
        <v>-3.93</v>
      </c>
      <c r="AA104" s="389">
        <f t="shared" si="41"/>
        <v>4</v>
      </c>
      <c r="AB104" s="389" t="b">
        <f t="shared" si="42"/>
        <v>0</v>
      </c>
      <c r="AC104" s="389">
        <f t="shared" si="43"/>
        <v>-4</v>
      </c>
      <c r="AD104" s="389">
        <f t="shared" si="44"/>
        <v>4</v>
      </c>
      <c r="AE104" s="389">
        <f t="shared" si="45"/>
        <v>3</v>
      </c>
      <c r="AG104" s="311" t="str">
        <f t="shared" si="46"/>
        <v>Ch C Female Mini Soccer-</v>
      </c>
      <c r="AH104" s="453">
        <f t="shared" si="47"/>
        <v>2</v>
      </c>
      <c r="AI104" s="453">
        <f t="shared" si="48"/>
        <v>3</v>
      </c>
      <c r="AJ104" t="str">
        <f t="array" ref="AJ104">IF(AND(AI104&gt;1,G104&lt;&gt;""),INDEX(FS_teams,MATCH(1,(FS_Keys=AG104)*(FS_Points=I104)*(FS_teams&lt;&gt;G104),0)),"")</f>
        <v>CHILD CF - VEN 2</v>
      </c>
      <c r="AK104" s="390" t="e">
        <f t="array" ref="AK104">IF(AJ104&lt;&gt;"",INDEX(TM_Score1,MATCH(1,(TM_Events=D104)*(TM_Participant1=G104)*(TM_Participant2=AJ104),0)),"")</f>
        <v>#N/A</v>
      </c>
      <c r="AL104" s="390" t="e">
        <f t="array" ref="AL104">IF(AJ104&lt;&gt;"",INDEX(TM_Score1,MATCH(1,(TM_Events=D104)*(TM_Participant1=AJ104)*(TM_Participant2=G104),0)),"")</f>
        <v>#N/A</v>
      </c>
      <c r="AM104" s="389" t="str">
        <f t="array" ref="AM104">IF(ISNUMBER(AK104),INDEX(TM_Score2,MATCH(1,(TM_Events=D104)*(TM_Participant1=G104)*(TM_Participant2=AJ104),0)),"")</f>
        <v/>
      </c>
      <c r="AN104" s="389" t="str">
        <f t="array" ref="AN104">IF(ISNUMBER(AL104),INDEX(TM_Score2,MATCH(1,(TM_Events=D104)*(TM_Participant1=AJ104)*(TM_Participant2=G104),0)),"")</f>
        <v/>
      </c>
      <c r="AO104" s="389" t="str">
        <f t="shared" si="49"/>
        <v>did not play</v>
      </c>
      <c r="AP104" s="389">
        <f t="shared" si="50"/>
        <v>2</v>
      </c>
      <c r="AQ104" s="389">
        <f t="shared" si="51"/>
        <v>0</v>
      </c>
      <c r="AR104" s="389">
        <f t="shared" si="52"/>
        <v>1</v>
      </c>
      <c r="AS104" s="453">
        <f t="shared" si="53"/>
        <v>1</v>
      </c>
      <c r="AT104" s="452">
        <f t="shared" si="54"/>
        <v>4</v>
      </c>
    </row>
    <row r="105" spans="1:46" ht="16" x14ac:dyDescent="0.2">
      <c r="A105" s="298"/>
      <c r="B105"/>
      <c r="D105" s="303" t="s">
        <v>38</v>
      </c>
      <c r="E105" s="396"/>
      <c r="F105" s="387">
        <v>1</v>
      </c>
      <c r="G105" s="397" t="s">
        <v>570</v>
      </c>
      <c r="H105" s="387" t="str">
        <f t="shared" si="29"/>
        <v>2-1-0</v>
      </c>
      <c r="I105" s="389">
        <f t="shared" si="30"/>
        <v>4</v>
      </c>
      <c r="J105" s="455">
        <f t="shared" si="55"/>
        <v>1</v>
      </c>
      <c r="K105" s="455">
        <f t="shared" si="31"/>
        <v>4</v>
      </c>
      <c r="L105" s="455" t="str">
        <f t="shared" si="56"/>
        <v/>
      </c>
      <c r="M105" s="389" t="str">
        <f>IFERROR(IF(AD105&lt;=VLOOKUP(D105,Tournaments!$A$1:$B$1772,2,FALSE),"TRUE","FALSE"),"")</f>
        <v>TRUE</v>
      </c>
      <c r="N105" s="389">
        <v>1</v>
      </c>
      <c r="O105" s="389">
        <f t="shared" si="32"/>
        <v>2</v>
      </c>
      <c r="P105" s="381">
        <v>5</v>
      </c>
      <c r="Q105" s="389">
        <f t="shared" si="33"/>
        <v>2</v>
      </c>
      <c r="R105" s="389">
        <f t="shared" si="34"/>
        <v>1</v>
      </c>
      <c r="S105" s="389">
        <f t="shared" si="35"/>
        <v>0</v>
      </c>
      <c r="U105" s="389">
        <f t="shared" si="36"/>
        <v>4</v>
      </c>
      <c r="V105" s="389">
        <f t="shared" si="37"/>
        <v>2.5000000000000001E-3</v>
      </c>
      <c r="W105" s="389">
        <f t="shared" si="38"/>
        <v>-3.9975000000000001</v>
      </c>
      <c r="X105" s="389">
        <f t="shared" si="39"/>
        <v>4</v>
      </c>
      <c r="Y105" s="389">
        <f t="shared" si="57"/>
        <v>7.2900000000000006E-2</v>
      </c>
      <c r="Z105" s="389">
        <f t="shared" si="40"/>
        <v>-3.9270999999999998</v>
      </c>
      <c r="AA105" s="389">
        <f t="shared" si="41"/>
        <v>2</v>
      </c>
      <c r="AB105" s="389" t="b">
        <f t="shared" si="42"/>
        <v>0</v>
      </c>
      <c r="AC105" s="389">
        <f t="shared" si="43"/>
        <v>-2</v>
      </c>
      <c r="AD105" s="389">
        <f t="shared" si="44"/>
        <v>2</v>
      </c>
      <c r="AE105" s="389">
        <f t="shared" si="45"/>
        <v>3</v>
      </c>
      <c r="AG105" s="311" t="str">
        <f t="shared" si="46"/>
        <v>Ch C Female Mini Soccer-</v>
      </c>
      <c r="AH105" s="453">
        <f t="shared" si="47"/>
        <v>2</v>
      </c>
      <c r="AI105" s="453">
        <f t="shared" si="48"/>
        <v>3</v>
      </c>
      <c r="AJ105" t="str">
        <f t="array" ref="AJ105">IF(AND(AI105&gt;1,G105&lt;&gt;""),INDEX(FS_teams,MATCH(1,(FS_Keys=AG105)*(FS_Points=I105)*(FS_teams&lt;&gt;G105),0)),"")</f>
        <v>CHILD CF - ARG 1</v>
      </c>
      <c r="AK105" s="390" t="e">
        <f t="array" ref="AK105">IF(AJ105&lt;&gt;"",INDEX(TM_Score1,MATCH(1,(TM_Events=D105)*(TM_Participant1=G105)*(TM_Participant2=AJ105),0)),"")</f>
        <v>#N/A</v>
      </c>
      <c r="AL105" s="390" t="e">
        <f t="array" ref="AL105">IF(AJ105&lt;&gt;"",INDEX(TM_Score1,MATCH(1,(TM_Events=D105)*(TM_Participant1=AJ105)*(TM_Participant2=G105),0)),"")</f>
        <v>#N/A</v>
      </c>
      <c r="AM105" s="389" t="str">
        <f t="array" ref="AM105">IF(ISNUMBER(AK105),INDEX(TM_Score2,MATCH(1,(TM_Events=D105)*(TM_Participant1=G105)*(TM_Participant2=AJ105),0)),"")</f>
        <v/>
      </c>
      <c r="AN105" s="389" t="str">
        <f t="array" ref="AN105">IF(ISNUMBER(AL105),INDEX(TM_Score2,MATCH(1,(TM_Events=D105)*(TM_Participant1=AJ105)*(TM_Participant2=G105),0)),"")</f>
        <v/>
      </c>
      <c r="AO105" s="389" t="str">
        <f t="shared" si="49"/>
        <v>did not play</v>
      </c>
      <c r="AP105" s="389">
        <f t="shared" si="50"/>
        <v>2</v>
      </c>
      <c r="AQ105" s="389">
        <f t="shared" si="51"/>
        <v>0</v>
      </c>
      <c r="AR105" s="389">
        <f t="shared" si="52"/>
        <v>1</v>
      </c>
      <c r="AS105" s="453">
        <f t="shared" si="53"/>
        <v>4</v>
      </c>
      <c r="AT105" s="452">
        <f t="shared" si="54"/>
        <v>10</v>
      </c>
    </row>
    <row r="106" spans="1:46" ht="16" x14ac:dyDescent="0.2">
      <c r="A106" s="298"/>
      <c r="B106"/>
      <c r="D106" s="303" t="s">
        <v>38</v>
      </c>
      <c r="E106" s="396"/>
      <c r="F106" s="387">
        <v>1</v>
      </c>
      <c r="G106" s="397" t="s">
        <v>568</v>
      </c>
      <c r="H106" s="387" t="str">
        <f t="shared" si="29"/>
        <v>0-3-0</v>
      </c>
      <c r="I106" s="389">
        <f t="shared" si="30"/>
        <v>0</v>
      </c>
      <c r="J106" s="455">
        <f t="shared" si="55"/>
        <v>1</v>
      </c>
      <c r="K106" s="455">
        <f t="shared" si="31"/>
        <v>-8</v>
      </c>
      <c r="L106" s="455" t="str">
        <f t="shared" si="56"/>
        <v/>
      </c>
      <c r="M106" s="389" t="str">
        <f>IFERROR(IF(AD106&lt;=VLOOKUP(D106,Tournaments!$A$1:$B$1772,2,FALSE),"TRUE","FALSE"),"")</f>
        <v>FALSE</v>
      </c>
      <c r="N106" s="389">
        <v>1</v>
      </c>
      <c r="O106" s="389">
        <f t="shared" si="32"/>
        <v>6</v>
      </c>
      <c r="P106" s="381">
        <v>4</v>
      </c>
      <c r="Q106" s="389">
        <f t="shared" si="33"/>
        <v>0</v>
      </c>
      <c r="R106" s="389">
        <f t="shared" si="34"/>
        <v>3</v>
      </c>
      <c r="S106" s="389">
        <f t="shared" si="35"/>
        <v>0</v>
      </c>
      <c r="U106" s="389">
        <f t="shared" si="36"/>
        <v>6</v>
      </c>
      <c r="V106" s="389">
        <f t="shared" si="37"/>
        <v>2.5000000000000001E-3</v>
      </c>
      <c r="W106" s="389">
        <f t="shared" si="38"/>
        <v>-5.9974999999999996</v>
      </c>
      <c r="X106" s="389">
        <f t="shared" si="39"/>
        <v>6</v>
      </c>
      <c r="Y106" s="389">
        <f t="shared" si="57"/>
        <v>4.4999999999999997E-3</v>
      </c>
      <c r="Z106" s="389">
        <f t="shared" si="40"/>
        <v>-5.9954999999999998</v>
      </c>
      <c r="AA106" s="389">
        <f t="shared" si="41"/>
        <v>6</v>
      </c>
      <c r="AB106" s="389" t="b">
        <f t="shared" si="42"/>
        <v>0</v>
      </c>
      <c r="AC106" s="389">
        <f t="shared" si="43"/>
        <v>-6</v>
      </c>
      <c r="AD106" s="389">
        <f t="shared" si="44"/>
        <v>6</v>
      </c>
      <c r="AE106" s="389">
        <f t="shared" si="45"/>
        <v>2</v>
      </c>
      <c r="AG106" s="311" t="str">
        <f t="shared" si="46"/>
        <v>Ch C Female Mini Soccer-</v>
      </c>
      <c r="AH106" s="453">
        <f t="shared" si="47"/>
        <v>5</v>
      </c>
      <c r="AI106" s="453">
        <f t="shared" si="48"/>
        <v>2</v>
      </c>
      <c r="AJ106" t="str">
        <f t="array" ref="AJ106">IF(AND(AI106&gt;1,G106&lt;&gt;""),INDEX(FS_teams,MATCH(1,(FS_Keys=AG106)*(FS_Points=I106)*(FS_teams&lt;&gt;G106),0)),"")</f>
        <v>CHILD CF - COL 1</v>
      </c>
      <c r="AK106" s="390" t="e">
        <f t="array" ref="AK106">IF(AJ106&lt;&gt;"",INDEX(TM_Score1,MATCH(1,(TM_Events=D106)*(TM_Participant1=G106)*(TM_Participant2=AJ106),0)),"")</f>
        <v>#N/A</v>
      </c>
      <c r="AL106" s="390" t="e">
        <f t="array" ref="AL106">IF(AJ106&lt;&gt;"",INDEX(TM_Score1,MATCH(1,(TM_Events=D106)*(TM_Participant1=AJ106)*(TM_Participant2=G106),0)),"")</f>
        <v>#N/A</v>
      </c>
      <c r="AM106" s="389" t="str">
        <f t="array" ref="AM106">IF(ISNUMBER(AK106),INDEX(TM_Score2,MATCH(1,(TM_Events=D106)*(TM_Participant1=G106)*(TM_Participant2=AJ106),0)),"")</f>
        <v/>
      </c>
      <c r="AN106" s="389" t="str">
        <f t="array" ref="AN106">IF(ISNUMBER(AL106),INDEX(TM_Score2,MATCH(1,(TM_Events=D106)*(TM_Participant1=AJ106)*(TM_Participant2=G106),0)),"")</f>
        <v/>
      </c>
      <c r="AO106" s="389" t="str">
        <f t="shared" si="49"/>
        <v>did not play</v>
      </c>
      <c r="AP106" s="389">
        <f t="shared" si="50"/>
        <v>0</v>
      </c>
      <c r="AQ106" s="389">
        <f t="shared" si="51"/>
        <v>0</v>
      </c>
      <c r="AR106" s="389">
        <f t="shared" si="52"/>
        <v>3</v>
      </c>
      <c r="AS106" s="453">
        <f t="shared" si="53"/>
        <v>-8</v>
      </c>
      <c r="AT106" s="452">
        <f t="shared" si="54"/>
        <v>2</v>
      </c>
    </row>
    <row r="107" spans="1:46" ht="16" x14ac:dyDescent="0.2">
      <c r="A107" s="298"/>
      <c r="B107"/>
      <c r="D107" s="303" t="s">
        <v>38</v>
      </c>
      <c r="E107" s="387"/>
      <c r="F107" s="387">
        <v>1</v>
      </c>
      <c r="G107" s="397" t="s">
        <v>567</v>
      </c>
      <c r="H107" s="387" t="str">
        <f t="shared" si="29"/>
        <v>2-1-0</v>
      </c>
      <c r="I107" s="389">
        <f t="shared" si="30"/>
        <v>4</v>
      </c>
      <c r="J107" s="455">
        <f t="shared" si="55"/>
        <v>1</v>
      </c>
      <c r="K107" s="455">
        <f t="shared" si="31"/>
        <v>3</v>
      </c>
      <c r="L107" s="455" t="str">
        <f t="shared" si="56"/>
        <v/>
      </c>
      <c r="M107" s="389" t="str">
        <f>IFERROR(IF(AD107&lt;=VLOOKUP(D107,Tournaments!$A$1:$B$1772,2,FALSE),"TRUE","FALSE"),"")</f>
        <v>FALSE</v>
      </c>
      <c r="N107" s="389">
        <v>1</v>
      </c>
      <c r="O107" s="389">
        <f t="shared" si="32"/>
        <v>3</v>
      </c>
      <c r="P107" s="381">
        <v>6</v>
      </c>
      <c r="Q107" s="389">
        <f t="shared" si="33"/>
        <v>2</v>
      </c>
      <c r="R107" s="389">
        <f t="shared" si="34"/>
        <v>1</v>
      </c>
      <c r="S107" s="389">
        <f t="shared" si="35"/>
        <v>0</v>
      </c>
      <c r="U107" s="389">
        <f t="shared" si="36"/>
        <v>4</v>
      </c>
      <c r="V107" s="389">
        <f t="shared" si="37"/>
        <v>2.5000000000000001E-3</v>
      </c>
      <c r="W107" s="389">
        <f t="shared" si="38"/>
        <v>-3.9975000000000001</v>
      </c>
      <c r="X107" s="389">
        <f t="shared" si="39"/>
        <v>4</v>
      </c>
      <c r="Y107" s="389">
        <f t="shared" si="57"/>
        <v>7.2099999999999997E-2</v>
      </c>
      <c r="Z107" s="389">
        <f t="shared" si="40"/>
        <v>-3.9279000000000002</v>
      </c>
      <c r="AA107" s="389">
        <f t="shared" si="41"/>
        <v>3</v>
      </c>
      <c r="AB107" s="389" t="b">
        <f t="shared" si="42"/>
        <v>0</v>
      </c>
      <c r="AC107" s="389">
        <f t="shared" si="43"/>
        <v>-3</v>
      </c>
      <c r="AD107" s="389">
        <f t="shared" si="44"/>
        <v>3</v>
      </c>
      <c r="AE107" s="389">
        <f t="shared" si="45"/>
        <v>3</v>
      </c>
      <c r="AG107" s="311" t="str">
        <f t="shared" si="46"/>
        <v>Ch C Female Mini Soccer-</v>
      </c>
      <c r="AH107" s="453">
        <f t="shared" si="47"/>
        <v>2</v>
      </c>
      <c r="AI107" s="453">
        <f t="shared" si="48"/>
        <v>3</v>
      </c>
      <c r="AJ107" t="str">
        <f t="array" ref="AJ107">IF(AND(AI107&gt;1,G107&lt;&gt;""),INDEX(FS_teams,MATCH(1,(FS_Keys=AG107)*(FS_Points=I107)*(FS_teams&lt;&gt;G107),0)),"")</f>
        <v>CHILD CF - ARG 1</v>
      </c>
      <c r="AK107" s="390">
        <f t="array" ref="AK107">IF(AJ107&lt;&gt;"",INDEX(TM_Score1,MATCH(1,(TM_Events=D107)*(TM_Participant1=G107)*(TM_Participant2=AJ107),0)),"")</f>
        <v>1</v>
      </c>
      <c r="AL107" s="390" t="e">
        <f t="array" ref="AL107">IF(AJ107&lt;&gt;"",INDEX(TM_Score1,MATCH(1,(TM_Events=D107)*(TM_Participant1=AJ107)*(TM_Participant2=G107),0)),"")</f>
        <v>#N/A</v>
      </c>
      <c r="AM107" s="389">
        <f t="array" ref="AM107">IF(ISNUMBER(AK107),INDEX(TM_Score2,MATCH(1,(TM_Events=D107)*(TM_Participant1=G107)*(TM_Participant2=AJ107),0)),"")</f>
        <v>2</v>
      </c>
      <c r="AN107" s="389" t="str">
        <f t="array" ref="AN107">IF(ISNUMBER(AL107),INDEX(TM_Score2,MATCH(1,(TM_Events=D107)*(TM_Participant1=AJ107)*(TM_Participant2=G107),0)),"")</f>
        <v/>
      </c>
      <c r="AO107" s="389" t="str">
        <f t="shared" si="49"/>
        <v>Loss</v>
      </c>
      <c r="AP107" s="389">
        <f t="shared" si="50"/>
        <v>2</v>
      </c>
      <c r="AQ107" s="389">
        <f t="shared" si="51"/>
        <v>0</v>
      </c>
      <c r="AR107" s="389">
        <f t="shared" si="52"/>
        <v>1</v>
      </c>
      <c r="AS107" s="453">
        <f t="shared" si="53"/>
        <v>3</v>
      </c>
      <c r="AT107" s="452">
        <f t="shared" si="54"/>
        <v>7</v>
      </c>
    </row>
    <row r="108" spans="1:46" ht="16" x14ac:dyDescent="0.2">
      <c r="A108" s="298"/>
      <c r="B108"/>
      <c r="D108" s="303" t="s">
        <v>523</v>
      </c>
      <c r="E108" s="396"/>
      <c r="F108" s="387">
        <v>1</v>
      </c>
      <c r="G108" s="397" t="s">
        <v>565</v>
      </c>
      <c r="H108" s="387" t="str">
        <f t="shared" si="29"/>
        <v>2-1-0</v>
      </c>
      <c r="I108" s="389">
        <f t="shared" si="30"/>
        <v>4</v>
      </c>
      <c r="J108" s="455">
        <f t="shared" si="55"/>
        <v>1</v>
      </c>
      <c r="K108" s="455">
        <f t="shared" si="31"/>
        <v>-1</v>
      </c>
      <c r="L108" s="455" t="str">
        <f t="shared" si="56"/>
        <v/>
      </c>
      <c r="M108" s="389" t="str">
        <f>IFERROR(IF(AD108&lt;=VLOOKUP(D108,Tournaments!$A$1:$B$1772,2,FALSE),"TRUE","FALSE"),"")</f>
        <v>FALSE</v>
      </c>
      <c r="N108" s="389">
        <v>1</v>
      </c>
      <c r="O108" s="389">
        <f t="shared" si="32"/>
        <v>4</v>
      </c>
      <c r="P108" s="381">
        <v>1</v>
      </c>
      <c r="Q108" s="389">
        <f t="shared" si="33"/>
        <v>2</v>
      </c>
      <c r="R108" s="389">
        <f t="shared" si="34"/>
        <v>1</v>
      </c>
      <c r="S108" s="389">
        <f t="shared" si="35"/>
        <v>0</v>
      </c>
      <c r="U108" s="389">
        <f t="shared" si="36"/>
        <v>4</v>
      </c>
      <c r="V108" s="389">
        <f t="shared" si="37"/>
        <v>2.5000000000000001E-3</v>
      </c>
      <c r="W108" s="389">
        <f t="shared" si="38"/>
        <v>-3.9975000000000001</v>
      </c>
      <c r="X108" s="389">
        <f t="shared" si="39"/>
        <v>4</v>
      </c>
      <c r="Y108" s="389">
        <f t="shared" si="57"/>
        <v>9.7999999999999997E-3</v>
      </c>
      <c r="Z108" s="389">
        <f t="shared" si="40"/>
        <v>-3.9902000000000002</v>
      </c>
      <c r="AA108" s="389">
        <f t="shared" si="41"/>
        <v>4</v>
      </c>
      <c r="AB108" s="389" t="b">
        <f t="shared" si="42"/>
        <v>0</v>
      </c>
      <c r="AC108" s="389">
        <f t="shared" si="43"/>
        <v>-4</v>
      </c>
      <c r="AD108" s="389">
        <f t="shared" si="44"/>
        <v>4</v>
      </c>
      <c r="AE108" s="389">
        <f t="shared" si="45"/>
        <v>3</v>
      </c>
      <c r="AG108" s="311" t="str">
        <f t="shared" si="46"/>
        <v>Ch C Female Newcomb-</v>
      </c>
      <c r="AH108" s="453">
        <f t="shared" si="47"/>
        <v>2</v>
      </c>
      <c r="AI108" s="453">
        <f t="shared" si="48"/>
        <v>3</v>
      </c>
      <c r="AJ108" t="str">
        <f t="array" ref="AJ108">IF(AND(AI108&gt;1,G108&lt;&gt;""),INDEX(FS_teams,MATCH(1,(FS_Keys=AG108)*(FS_Points=I108)*(FS_teams&lt;&gt;G108),0)),"")</f>
        <v>CHILD CF - ARG 1</v>
      </c>
      <c r="AK108" s="390" t="e">
        <f t="array" ref="AK108">IF(AJ108&lt;&gt;"",INDEX(TM_Score1,MATCH(1,(TM_Events=D108)*(TM_Participant1=G108)*(TM_Participant2=AJ108),0)),"")</f>
        <v>#N/A</v>
      </c>
      <c r="AL108" s="390" t="e">
        <f t="array" ref="AL108">IF(AJ108&lt;&gt;"",INDEX(TM_Score1,MATCH(1,(TM_Events=D108)*(TM_Participant1=AJ108)*(TM_Participant2=G108),0)),"")</f>
        <v>#N/A</v>
      </c>
      <c r="AM108" s="389" t="str">
        <f t="array" ref="AM108">IF(ISNUMBER(AK108),INDEX(TM_Score2,MATCH(1,(TM_Events=D108)*(TM_Participant1=G108)*(TM_Participant2=AJ108),0)),"")</f>
        <v/>
      </c>
      <c r="AN108" s="389" t="str">
        <f t="array" ref="AN108">IF(ISNUMBER(AL108),INDEX(TM_Score2,MATCH(1,(TM_Events=D108)*(TM_Participant1=AJ108)*(TM_Participant2=G108),0)),"")</f>
        <v/>
      </c>
      <c r="AO108" s="389" t="str">
        <f t="shared" si="49"/>
        <v>did not play</v>
      </c>
      <c r="AP108" s="389">
        <f t="shared" si="50"/>
        <v>2</v>
      </c>
      <c r="AQ108" s="389">
        <f t="shared" si="51"/>
        <v>0</v>
      </c>
      <c r="AR108" s="389">
        <f t="shared" si="52"/>
        <v>1</v>
      </c>
      <c r="AS108" s="453">
        <f t="shared" si="53"/>
        <v>-1</v>
      </c>
      <c r="AT108" s="452">
        <f t="shared" si="54"/>
        <v>20</v>
      </c>
    </row>
    <row r="109" spans="1:46" ht="16" x14ac:dyDescent="0.2">
      <c r="A109" s="298"/>
      <c r="B109"/>
      <c r="D109" s="303" t="s">
        <v>523</v>
      </c>
      <c r="E109" s="396"/>
      <c r="F109" s="387">
        <v>1</v>
      </c>
      <c r="G109" s="397" t="s">
        <v>564</v>
      </c>
      <c r="H109" s="387" t="str">
        <f t="shared" si="29"/>
        <v>2-2-0</v>
      </c>
      <c r="I109" s="389">
        <f t="shared" si="30"/>
        <v>4</v>
      </c>
      <c r="J109" s="455">
        <f t="shared" si="55"/>
        <v>1</v>
      </c>
      <c r="K109" s="455">
        <f t="shared" si="31"/>
        <v>1</v>
      </c>
      <c r="L109" s="455" t="str">
        <f t="shared" si="56"/>
        <v/>
      </c>
      <c r="M109" s="389" t="str">
        <f>IFERROR(IF(AD109&lt;=VLOOKUP(D109,Tournaments!$A$1:$B$1772,2,FALSE),"TRUE","FALSE"),"")</f>
        <v>FALSE</v>
      </c>
      <c r="N109" s="389">
        <v>1</v>
      </c>
      <c r="O109" s="389">
        <f t="shared" si="32"/>
        <v>3</v>
      </c>
      <c r="P109" s="381">
        <v>2</v>
      </c>
      <c r="Q109" s="389">
        <f t="shared" si="33"/>
        <v>2</v>
      </c>
      <c r="R109" s="389">
        <f t="shared" si="34"/>
        <v>2</v>
      </c>
      <c r="S109" s="389">
        <f t="shared" si="35"/>
        <v>0</v>
      </c>
      <c r="U109" s="389">
        <f t="shared" si="36"/>
        <v>4</v>
      </c>
      <c r="V109" s="389">
        <f t="shared" si="37"/>
        <v>2.5000000000000001E-3</v>
      </c>
      <c r="W109" s="389">
        <f t="shared" si="38"/>
        <v>-3.9975000000000001</v>
      </c>
      <c r="X109" s="389">
        <f t="shared" si="39"/>
        <v>4</v>
      </c>
      <c r="Y109" s="389">
        <f t="shared" si="57"/>
        <v>7.0000000000000007E-2</v>
      </c>
      <c r="Z109" s="389">
        <f t="shared" si="40"/>
        <v>-3.93</v>
      </c>
      <c r="AA109" s="389">
        <f t="shared" si="41"/>
        <v>3</v>
      </c>
      <c r="AB109" s="389" t="b">
        <f t="shared" si="42"/>
        <v>0</v>
      </c>
      <c r="AC109" s="389">
        <f t="shared" si="43"/>
        <v>-3</v>
      </c>
      <c r="AD109" s="389">
        <f t="shared" si="44"/>
        <v>3</v>
      </c>
      <c r="AE109" s="389">
        <f t="shared" si="45"/>
        <v>3</v>
      </c>
      <c r="AG109" s="311" t="str">
        <f t="shared" si="46"/>
        <v>Ch C Female Newcomb-</v>
      </c>
      <c r="AH109" s="453">
        <f t="shared" si="47"/>
        <v>2</v>
      </c>
      <c r="AI109" s="453">
        <f t="shared" si="48"/>
        <v>3</v>
      </c>
      <c r="AJ109" t="str">
        <f t="array" ref="AJ109">IF(AND(AI109&gt;1,G109&lt;&gt;""),INDEX(FS_teams,MATCH(1,(FS_Keys=AG109)*(FS_Points=I109)*(FS_teams&lt;&gt;G109),0)),"")</f>
        <v>CHILD CF - COL 1</v>
      </c>
      <c r="AK109" s="390" t="e">
        <f t="array" ref="AK109">IF(AJ109&lt;&gt;"",INDEX(TM_Score1,MATCH(1,(TM_Events=D109)*(TM_Participant1=G109)*(TM_Participant2=AJ109),0)),"")</f>
        <v>#N/A</v>
      </c>
      <c r="AL109" s="390" t="e">
        <f t="array" ref="AL109">IF(AJ109&lt;&gt;"",INDEX(TM_Score1,MATCH(1,(TM_Events=D109)*(TM_Participant1=AJ109)*(TM_Participant2=G109),0)),"")</f>
        <v>#N/A</v>
      </c>
      <c r="AM109" s="389" t="str">
        <f t="array" ref="AM109">IF(ISNUMBER(AK109),INDEX(TM_Score2,MATCH(1,(TM_Events=D109)*(TM_Participant1=G109)*(TM_Participant2=AJ109),0)),"")</f>
        <v/>
      </c>
      <c r="AN109" s="389" t="str">
        <f t="array" ref="AN109">IF(ISNUMBER(AL109),INDEX(TM_Score2,MATCH(1,(TM_Events=D109)*(TM_Participant1=AJ109)*(TM_Participant2=G109),0)),"")</f>
        <v/>
      </c>
      <c r="AO109" s="389" t="str">
        <f t="shared" si="49"/>
        <v>did not play</v>
      </c>
      <c r="AP109" s="389">
        <f t="shared" si="50"/>
        <v>2</v>
      </c>
      <c r="AQ109" s="389">
        <f t="shared" si="51"/>
        <v>0</v>
      </c>
      <c r="AR109" s="389">
        <f t="shared" si="52"/>
        <v>2</v>
      </c>
      <c r="AS109" s="453">
        <f t="shared" si="53"/>
        <v>1</v>
      </c>
      <c r="AT109" s="452">
        <f t="shared" si="54"/>
        <v>17</v>
      </c>
    </row>
    <row r="110" spans="1:46" ht="16" x14ac:dyDescent="0.2">
      <c r="A110" s="298"/>
      <c r="B110"/>
      <c r="D110" s="303" t="s">
        <v>523</v>
      </c>
      <c r="E110" s="396"/>
      <c r="F110" s="387">
        <v>1</v>
      </c>
      <c r="G110" s="397" t="s">
        <v>569</v>
      </c>
      <c r="H110" s="387" t="str">
        <f t="shared" si="29"/>
        <v>0-3-0</v>
      </c>
      <c r="I110" s="389">
        <f t="shared" si="30"/>
        <v>0</v>
      </c>
      <c r="J110" s="455">
        <f t="shared" si="55"/>
        <v>1</v>
      </c>
      <c r="K110" s="455">
        <f t="shared" si="31"/>
        <v>-16</v>
      </c>
      <c r="L110" s="455" t="str">
        <f t="shared" si="56"/>
        <v/>
      </c>
      <c r="M110" s="389" t="str">
        <f>IFERROR(IF(AD110&lt;=VLOOKUP(D110,Tournaments!$A$1:$B$1772,2,FALSE),"TRUE","FALSE"),"")</f>
        <v>FALSE</v>
      </c>
      <c r="N110" s="389">
        <v>1</v>
      </c>
      <c r="O110" s="389">
        <f t="shared" si="32"/>
        <v>6</v>
      </c>
      <c r="P110" s="381">
        <v>3</v>
      </c>
      <c r="Q110" s="389">
        <f t="shared" si="33"/>
        <v>0</v>
      </c>
      <c r="R110" s="389">
        <f t="shared" si="34"/>
        <v>3</v>
      </c>
      <c r="S110" s="389">
        <f t="shared" si="35"/>
        <v>0</v>
      </c>
      <c r="U110" s="389">
        <f t="shared" si="36"/>
        <v>6</v>
      </c>
      <c r="V110" s="389">
        <f t="shared" si="37"/>
        <v>2.5000000000000001E-3</v>
      </c>
      <c r="W110" s="389">
        <f t="shared" si="38"/>
        <v>-5.9974999999999996</v>
      </c>
      <c r="X110" s="389">
        <f t="shared" si="39"/>
        <v>6</v>
      </c>
      <c r="Y110" s="389">
        <f t="shared" si="57"/>
        <v>2.8E-3</v>
      </c>
      <c r="Z110" s="389">
        <f t="shared" si="40"/>
        <v>-5.9972000000000003</v>
      </c>
      <c r="AA110" s="389">
        <f t="shared" si="41"/>
        <v>6</v>
      </c>
      <c r="AB110" s="389" t="b">
        <f t="shared" si="42"/>
        <v>0</v>
      </c>
      <c r="AC110" s="389">
        <f t="shared" si="43"/>
        <v>-6</v>
      </c>
      <c r="AD110" s="389">
        <f t="shared" si="44"/>
        <v>6</v>
      </c>
      <c r="AE110" s="389">
        <f t="shared" si="45"/>
        <v>2</v>
      </c>
      <c r="AG110" s="311" t="str">
        <f t="shared" si="46"/>
        <v>Ch C Female Newcomb-</v>
      </c>
      <c r="AH110" s="453">
        <f t="shared" si="47"/>
        <v>5</v>
      </c>
      <c r="AI110" s="453">
        <f t="shared" si="48"/>
        <v>2</v>
      </c>
      <c r="AJ110" t="str">
        <f t="array" ref="AJ110">IF(AND(AI110&gt;1,G110&lt;&gt;""),INDEX(FS_teams,MATCH(1,(FS_Keys=AG110)*(FS_Points=I110)*(FS_teams&lt;&gt;G110),0)),"")</f>
        <v>CHILD CF - VEN 2</v>
      </c>
      <c r="AK110" s="390" t="e">
        <f t="array" ref="AK110">IF(AJ110&lt;&gt;"",INDEX(TM_Score1,MATCH(1,(TM_Events=D110)*(TM_Participant1=G110)*(TM_Participant2=AJ110),0)),"")</f>
        <v>#N/A</v>
      </c>
      <c r="AL110" s="390" t="e">
        <f t="array" ref="AL110">IF(AJ110&lt;&gt;"",INDEX(TM_Score1,MATCH(1,(TM_Events=D110)*(TM_Participant1=AJ110)*(TM_Participant2=G110),0)),"")</f>
        <v>#N/A</v>
      </c>
      <c r="AM110" s="389" t="str">
        <f t="array" ref="AM110">IF(ISNUMBER(AK110),INDEX(TM_Score2,MATCH(1,(TM_Events=D110)*(TM_Participant1=G110)*(TM_Participant2=AJ110),0)),"")</f>
        <v/>
      </c>
      <c r="AN110" s="389" t="str">
        <f t="array" ref="AN110">IF(ISNUMBER(AL110),INDEX(TM_Score2,MATCH(1,(TM_Events=D110)*(TM_Participant1=AJ110)*(TM_Participant2=G110),0)),"")</f>
        <v/>
      </c>
      <c r="AO110" s="389" t="str">
        <f t="shared" si="49"/>
        <v>did not play</v>
      </c>
      <c r="AP110" s="389">
        <f t="shared" si="50"/>
        <v>0</v>
      </c>
      <c r="AQ110" s="389">
        <f t="shared" si="51"/>
        <v>0</v>
      </c>
      <c r="AR110" s="389">
        <f t="shared" si="52"/>
        <v>3</v>
      </c>
      <c r="AS110" s="453">
        <f t="shared" si="53"/>
        <v>-16</v>
      </c>
      <c r="AT110" s="452">
        <f t="shared" si="54"/>
        <v>9</v>
      </c>
    </row>
    <row r="111" spans="1:46" ht="16" x14ac:dyDescent="0.2">
      <c r="A111" s="298"/>
      <c r="B111"/>
      <c r="D111" s="303" t="s">
        <v>523</v>
      </c>
      <c r="E111" s="396"/>
      <c r="F111" s="387">
        <v>1</v>
      </c>
      <c r="G111" s="397" t="s">
        <v>570</v>
      </c>
      <c r="H111" s="387" t="str">
        <f t="shared" si="29"/>
        <v>0-3-0</v>
      </c>
      <c r="I111" s="389">
        <f t="shared" si="30"/>
        <v>0</v>
      </c>
      <c r="J111" s="455">
        <f t="shared" si="55"/>
        <v>1</v>
      </c>
      <c r="K111" s="455">
        <f t="shared" si="31"/>
        <v>-6</v>
      </c>
      <c r="L111" s="455" t="str">
        <f t="shared" si="56"/>
        <v/>
      </c>
      <c r="M111" s="389" t="str">
        <f>IFERROR(IF(AD111&lt;=VLOOKUP(D111,Tournaments!$A$1:$B$1772,2,FALSE),"TRUE","FALSE"),"")</f>
        <v>FALSE</v>
      </c>
      <c r="N111" s="389">
        <v>1</v>
      </c>
      <c r="O111" s="389">
        <f t="shared" si="32"/>
        <v>5</v>
      </c>
      <c r="P111" s="381">
        <v>4</v>
      </c>
      <c r="Q111" s="389">
        <f t="shared" si="33"/>
        <v>0</v>
      </c>
      <c r="R111" s="389">
        <f t="shared" si="34"/>
        <v>3</v>
      </c>
      <c r="S111" s="389">
        <f t="shared" si="35"/>
        <v>0</v>
      </c>
      <c r="U111" s="389">
        <f t="shared" si="36"/>
        <v>6</v>
      </c>
      <c r="V111" s="389">
        <f t="shared" si="37"/>
        <v>2.5000000000000001E-3</v>
      </c>
      <c r="W111" s="389">
        <f t="shared" si="38"/>
        <v>-5.9974999999999996</v>
      </c>
      <c r="X111" s="389">
        <f t="shared" si="39"/>
        <v>6</v>
      </c>
      <c r="Y111" s="389">
        <f t="shared" si="57"/>
        <v>5.5999999999999999E-3</v>
      </c>
      <c r="Z111" s="389">
        <f t="shared" si="40"/>
        <v>-5.9943999999999997</v>
      </c>
      <c r="AA111" s="389">
        <f t="shared" si="41"/>
        <v>5</v>
      </c>
      <c r="AB111" s="389" t="b">
        <f t="shared" si="42"/>
        <v>0</v>
      </c>
      <c r="AC111" s="389">
        <f t="shared" si="43"/>
        <v>-5</v>
      </c>
      <c r="AD111" s="389">
        <f t="shared" si="44"/>
        <v>5</v>
      </c>
      <c r="AE111" s="389">
        <f t="shared" si="45"/>
        <v>2</v>
      </c>
      <c r="AG111" s="311" t="str">
        <f t="shared" si="46"/>
        <v>Ch C Female Newcomb-</v>
      </c>
      <c r="AH111" s="453">
        <f t="shared" si="47"/>
        <v>5</v>
      </c>
      <c r="AI111" s="453">
        <f t="shared" si="48"/>
        <v>2</v>
      </c>
      <c r="AJ111" t="str">
        <f t="array" ref="AJ111">IF(AND(AI111&gt;1,G111&lt;&gt;""),INDEX(FS_teams,MATCH(1,(FS_Keys=AG111)*(FS_Points=I111)*(FS_teams&lt;&gt;G111),0)),"")</f>
        <v>CHILD CF - VEN 1</v>
      </c>
      <c r="AK111" s="390" t="e">
        <f t="array" ref="AK111">IF(AJ111&lt;&gt;"",INDEX(TM_Score1,MATCH(1,(TM_Events=D111)*(TM_Participant1=G111)*(TM_Participant2=AJ111),0)),"")</f>
        <v>#N/A</v>
      </c>
      <c r="AL111" s="390" t="e">
        <f t="array" ref="AL111">IF(AJ111&lt;&gt;"",INDEX(TM_Score1,MATCH(1,(TM_Events=D111)*(TM_Participant1=AJ111)*(TM_Participant2=G111),0)),"")</f>
        <v>#N/A</v>
      </c>
      <c r="AM111" s="389" t="str">
        <f t="array" ref="AM111">IF(ISNUMBER(AK111),INDEX(TM_Score2,MATCH(1,(TM_Events=D111)*(TM_Participant1=G111)*(TM_Participant2=AJ111),0)),"")</f>
        <v/>
      </c>
      <c r="AN111" s="389" t="str">
        <f t="array" ref="AN111">IF(ISNUMBER(AL111),INDEX(TM_Score2,MATCH(1,(TM_Events=D111)*(TM_Participant1=AJ111)*(TM_Participant2=G111),0)),"")</f>
        <v/>
      </c>
      <c r="AO111" s="389" t="str">
        <f t="shared" si="49"/>
        <v>did not play</v>
      </c>
      <c r="AP111" s="389">
        <f t="shared" si="50"/>
        <v>0</v>
      </c>
      <c r="AQ111" s="389">
        <f t="shared" si="51"/>
        <v>0</v>
      </c>
      <c r="AR111" s="389">
        <f t="shared" si="52"/>
        <v>3</v>
      </c>
      <c r="AS111" s="453">
        <f t="shared" si="53"/>
        <v>-6</v>
      </c>
      <c r="AT111" s="452">
        <f t="shared" si="54"/>
        <v>0</v>
      </c>
    </row>
    <row r="112" spans="1:46" ht="16" x14ac:dyDescent="0.2">
      <c r="A112" s="298"/>
      <c r="B112"/>
      <c r="D112" s="303" t="s">
        <v>523</v>
      </c>
      <c r="E112" s="396"/>
      <c r="F112" s="387">
        <v>1</v>
      </c>
      <c r="G112" s="397" t="s">
        <v>568</v>
      </c>
      <c r="H112" s="387" t="str">
        <f t="shared" si="29"/>
        <v>2-1-0</v>
      </c>
      <c r="I112" s="389">
        <f t="shared" si="30"/>
        <v>4</v>
      </c>
      <c r="J112" s="455">
        <f t="shared" si="55"/>
        <v>1</v>
      </c>
      <c r="K112" s="455">
        <f t="shared" si="31"/>
        <v>2</v>
      </c>
      <c r="L112" s="455" t="str">
        <f t="shared" si="56"/>
        <v/>
      </c>
      <c r="M112" s="389" t="str">
        <f>IFERROR(IF(AD112&lt;=VLOOKUP(D112,Tournaments!$A$1:$B$1772,2,FALSE),"TRUE","FALSE"),"")</f>
        <v>TRUE</v>
      </c>
      <c r="N112" s="389">
        <v>1</v>
      </c>
      <c r="O112" s="389">
        <f t="shared" si="32"/>
        <v>2</v>
      </c>
      <c r="P112" s="381">
        <v>5</v>
      </c>
      <c r="Q112" s="389">
        <f t="shared" si="33"/>
        <v>2</v>
      </c>
      <c r="R112" s="389">
        <f t="shared" si="34"/>
        <v>1</v>
      </c>
      <c r="S112" s="389">
        <f t="shared" si="35"/>
        <v>0</v>
      </c>
      <c r="U112" s="389">
        <f t="shared" si="36"/>
        <v>4</v>
      </c>
      <c r="V112" s="389">
        <f t="shared" si="37"/>
        <v>2.5000000000000001E-3</v>
      </c>
      <c r="W112" s="389">
        <f t="shared" si="38"/>
        <v>-3.9975000000000001</v>
      </c>
      <c r="X112" s="389">
        <f t="shared" si="39"/>
        <v>4</v>
      </c>
      <c r="Y112" s="389">
        <f t="shared" si="57"/>
        <v>7.1499999999999994E-2</v>
      </c>
      <c r="Z112" s="389">
        <f t="shared" si="40"/>
        <v>-3.9285000000000001</v>
      </c>
      <c r="AA112" s="389">
        <f t="shared" si="41"/>
        <v>2</v>
      </c>
      <c r="AB112" s="389" t="b">
        <f t="shared" si="42"/>
        <v>0</v>
      </c>
      <c r="AC112" s="389">
        <f t="shared" si="43"/>
        <v>-2</v>
      </c>
      <c r="AD112" s="389">
        <f t="shared" si="44"/>
        <v>2</v>
      </c>
      <c r="AE112" s="389">
        <f t="shared" si="45"/>
        <v>3</v>
      </c>
      <c r="AG112" s="311" t="str">
        <f t="shared" si="46"/>
        <v>Ch C Female Newcomb-</v>
      </c>
      <c r="AH112" s="453">
        <f t="shared" si="47"/>
        <v>2</v>
      </c>
      <c r="AI112" s="453">
        <f t="shared" si="48"/>
        <v>3</v>
      </c>
      <c r="AJ112" t="str">
        <f t="array" ref="AJ112">IF(AND(AI112&gt;1,G112&lt;&gt;""),INDEX(FS_teams,MATCH(1,(FS_Keys=AG112)*(FS_Points=I112)*(FS_teams&lt;&gt;G112),0)),"")</f>
        <v>CHILD CF - COL 1</v>
      </c>
      <c r="AK112" s="390" t="e">
        <f t="array" ref="AK112">IF(AJ112&lt;&gt;"",INDEX(TM_Score1,MATCH(1,(TM_Events=D112)*(TM_Participant1=G112)*(TM_Participant2=AJ112),0)),"")</f>
        <v>#N/A</v>
      </c>
      <c r="AL112" s="390" t="e">
        <f t="array" ref="AL112">IF(AJ112&lt;&gt;"",INDEX(TM_Score1,MATCH(1,(TM_Events=D112)*(TM_Participant1=AJ112)*(TM_Participant2=G112),0)),"")</f>
        <v>#N/A</v>
      </c>
      <c r="AM112" s="389" t="str">
        <f t="array" ref="AM112">IF(ISNUMBER(AK112),INDEX(TM_Score2,MATCH(1,(TM_Events=D112)*(TM_Participant1=G112)*(TM_Participant2=AJ112),0)),"")</f>
        <v/>
      </c>
      <c r="AN112" s="389" t="str">
        <f t="array" ref="AN112">IF(ISNUMBER(AL112),INDEX(TM_Score2,MATCH(1,(TM_Events=D112)*(TM_Participant1=AJ112)*(TM_Participant2=G112),0)),"")</f>
        <v/>
      </c>
      <c r="AO112" s="389" t="str">
        <f t="shared" si="49"/>
        <v>did not play</v>
      </c>
      <c r="AP112" s="389">
        <f t="shared" si="50"/>
        <v>2</v>
      </c>
      <c r="AQ112" s="389">
        <f t="shared" si="51"/>
        <v>0</v>
      </c>
      <c r="AR112" s="389">
        <f t="shared" si="52"/>
        <v>1</v>
      </c>
      <c r="AS112" s="453">
        <f t="shared" si="53"/>
        <v>2</v>
      </c>
      <c r="AT112" s="452">
        <f t="shared" si="54"/>
        <v>16</v>
      </c>
    </row>
    <row r="113" spans="1:46" ht="16" x14ac:dyDescent="0.2">
      <c r="A113" s="298"/>
      <c r="B113"/>
      <c r="D113" s="303" t="s">
        <v>523</v>
      </c>
      <c r="E113" s="396"/>
      <c r="F113" s="387">
        <v>1</v>
      </c>
      <c r="G113" s="397" t="s">
        <v>567</v>
      </c>
      <c r="H113" s="387" t="str">
        <f t="shared" si="29"/>
        <v>4-0-0</v>
      </c>
      <c r="I113" s="389">
        <f t="shared" si="30"/>
        <v>8</v>
      </c>
      <c r="J113" s="455" t="str">
        <f t="shared" si="55"/>
        <v/>
      </c>
      <c r="K113" s="455" t="str">
        <f t="shared" si="31"/>
        <v/>
      </c>
      <c r="L113" s="455" t="str">
        <f t="shared" si="56"/>
        <v/>
      </c>
      <c r="M113" s="389" t="str">
        <f>IFERROR(IF(AD113&lt;=VLOOKUP(D113,Tournaments!$A$1:$B$1772,2,FALSE),"TRUE","FALSE"),"")</f>
        <v>TRUE</v>
      </c>
      <c r="N113" s="389">
        <v>1</v>
      </c>
      <c r="O113" s="389">
        <f t="shared" si="32"/>
        <v>1</v>
      </c>
      <c r="P113" s="381">
        <v>6</v>
      </c>
      <c r="Q113" s="389">
        <f t="shared" si="33"/>
        <v>4</v>
      </c>
      <c r="R113" s="389">
        <f t="shared" si="34"/>
        <v>0</v>
      </c>
      <c r="S113" s="389">
        <f t="shared" si="35"/>
        <v>0</v>
      </c>
      <c r="U113" s="389">
        <f t="shared" si="36"/>
        <v>1</v>
      </c>
      <c r="V113" s="389" t="b">
        <f t="shared" si="37"/>
        <v>0</v>
      </c>
      <c r="W113" s="389">
        <f t="shared" si="38"/>
        <v>-1</v>
      </c>
      <c r="X113" s="389">
        <f t="shared" si="39"/>
        <v>1</v>
      </c>
      <c r="Y113" s="389" t="b">
        <f t="shared" si="57"/>
        <v>0</v>
      </c>
      <c r="Z113" s="389">
        <f t="shared" si="40"/>
        <v>-1</v>
      </c>
      <c r="AA113" s="389">
        <f t="shared" si="41"/>
        <v>1</v>
      </c>
      <c r="AB113" s="389" t="b">
        <f t="shared" si="42"/>
        <v>0</v>
      </c>
      <c r="AC113" s="389">
        <f t="shared" si="43"/>
        <v>-1</v>
      </c>
      <c r="AD113" s="389">
        <f t="shared" si="44"/>
        <v>1</v>
      </c>
      <c r="AE113" s="389">
        <f t="shared" si="45"/>
        <v>1</v>
      </c>
      <c r="AG113" s="311" t="str">
        <f t="shared" si="46"/>
        <v>Ch C Female Newcomb-</v>
      </c>
      <c r="AH113" s="453">
        <f t="shared" si="47"/>
        <v>1</v>
      </c>
      <c r="AI113" s="453">
        <f t="shared" si="48"/>
        <v>1</v>
      </c>
      <c r="AJ113" t="str">
        <f t="array" ref="AJ113">IF(AND(AI113&gt;1,G113&lt;&gt;""),INDEX(FS_teams,MATCH(1,(FS_Keys=AG113)*(FS_Points=I113)*(FS_teams&lt;&gt;G113),0)),"")</f>
        <v/>
      </c>
      <c r="AK113" s="390" t="str">
        <f t="array" ref="AK113">IF(AJ113&lt;&gt;"",INDEX(TM_Score1,MATCH(1,(TM_Events=D113)*(TM_Participant1=G113)*(TM_Participant2=AJ113),0)),"")</f>
        <v/>
      </c>
      <c r="AL113" s="390" t="str">
        <f t="array" ref="AL113">IF(AJ113&lt;&gt;"",INDEX(TM_Score1,MATCH(1,(TM_Events=D113)*(TM_Participant1=AJ113)*(TM_Participant2=G113),0)),"")</f>
        <v/>
      </c>
      <c r="AM113" s="389" t="str">
        <f t="array" ref="AM113">IF(ISNUMBER(AK113),INDEX(TM_Score2,MATCH(1,(TM_Events=D113)*(TM_Participant1=G113)*(TM_Participant2=AJ113),0)),"")</f>
        <v/>
      </c>
      <c r="AN113" s="389" t="str">
        <f t="array" ref="AN113">IF(ISNUMBER(AL113),INDEX(TM_Score2,MATCH(1,(TM_Events=D113)*(TM_Participant1=AJ113)*(TM_Participant2=G113),0)),"")</f>
        <v/>
      </c>
      <c r="AO113" s="389" t="str">
        <f t="shared" si="49"/>
        <v/>
      </c>
      <c r="AP113" s="389">
        <f t="shared" si="50"/>
        <v>4</v>
      </c>
      <c r="AQ113" s="389">
        <f t="shared" si="51"/>
        <v>0</v>
      </c>
      <c r="AR113" s="389">
        <f t="shared" si="52"/>
        <v>0</v>
      </c>
      <c r="AS113" s="453">
        <f t="shared" si="53"/>
        <v>20</v>
      </c>
      <c r="AT113" s="452">
        <f t="shared" si="54"/>
        <v>46</v>
      </c>
    </row>
    <row r="114" spans="1:46" ht="16" x14ac:dyDescent="0.2">
      <c r="A114" s="298"/>
      <c r="B114"/>
      <c r="D114" s="303" t="s">
        <v>44</v>
      </c>
      <c r="E114" s="396"/>
      <c r="F114" s="387">
        <v>1</v>
      </c>
      <c r="G114" s="397" t="s">
        <v>581</v>
      </c>
      <c r="H114" s="387" t="str">
        <f t="shared" si="29"/>
        <v>3-1-0</v>
      </c>
      <c r="I114" s="389">
        <f t="shared" si="30"/>
        <v>6</v>
      </c>
      <c r="J114" s="455" t="str">
        <f t="shared" si="55"/>
        <v/>
      </c>
      <c r="K114" s="455" t="str">
        <f t="shared" si="31"/>
        <v/>
      </c>
      <c r="L114" s="455" t="str">
        <f t="shared" si="56"/>
        <v/>
      </c>
      <c r="M114" s="389" t="str">
        <f>IFERROR(IF(AD114&lt;=VLOOKUP(D114,Tournaments!$A$1:$B$1772,2,FALSE),"TRUE","FALSE"),"")</f>
        <v>TRUE</v>
      </c>
      <c r="N114" s="389">
        <v>1</v>
      </c>
      <c r="O114" s="389">
        <f t="shared" si="32"/>
        <v>2</v>
      </c>
      <c r="Q114" s="389">
        <f t="shared" si="33"/>
        <v>3</v>
      </c>
      <c r="R114" s="389">
        <f t="shared" si="34"/>
        <v>1</v>
      </c>
      <c r="S114" s="389">
        <f t="shared" si="35"/>
        <v>0</v>
      </c>
      <c r="U114" s="389">
        <f t="shared" si="36"/>
        <v>2</v>
      </c>
      <c r="V114" s="389" t="b">
        <f t="shared" si="37"/>
        <v>0</v>
      </c>
      <c r="W114" s="389">
        <f t="shared" si="38"/>
        <v>-2</v>
      </c>
      <c r="X114" s="389">
        <f t="shared" si="39"/>
        <v>2</v>
      </c>
      <c r="Y114" s="389" t="b">
        <f t="shared" si="57"/>
        <v>0</v>
      </c>
      <c r="Z114" s="389">
        <f t="shared" si="40"/>
        <v>-2</v>
      </c>
      <c r="AA114" s="389">
        <f t="shared" si="41"/>
        <v>2</v>
      </c>
      <c r="AB114" s="389" t="b">
        <f t="shared" si="42"/>
        <v>0</v>
      </c>
      <c r="AC114" s="389">
        <f t="shared" si="43"/>
        <v>-2</v>
      </c>
      <c r="AD114" s="389">
        <f t="shared" si="44"/>
        <v>2</v>
      </c>
      <c r="AE114" s="389">
        <f t="shared" si="45"/>
        <v>1</v>
      </c>
      <c r="AG114" s="311" t="str">
        <f t="shared" si="46"/>
        <v>Ch C Male Basketball-</v>
      </c>
      <c r="AH114" s="453">
        <f t="shared" si="47"/>
        <v>2</v>
      </c>
      <c r="AI114" s="453">
        <f t="shared" si="48"/>
        <v>1</v>
      </c>
      <c r="AJ114" t="str">
        <f t="array" ref="AJ114">IF(AND(AI114&gt;1,G114&lt;&gt;""),INDEX(FS_teams,MATCH(1,(FS_Keys=AG114)*(FS_Points=I114)*(FS_teams&lt;&gt;G114),0)),"")</f>
        <v/>
      </c>
      <c r="AK114" s="390" t="str">
        <f t="array" ref="AK114">IF(AJ114&lt;&gt;"",INDEX(TM_Score1,MATCH(1,(TM_Events=D114)*(TM_Participant1=G114)*(TM_Participant2=AJ114),0)),"")</f>
        <v/>
      </c>
      <c r="AL114" s="390" t="str">
        <f t="array" ref="AL114">IF(AJ114&lt;&gt;"",INDEX(TM_Score1,MATCH(1,(TM_Events=D114)*(TM_Participant1=AJ114)*(TM_Participant2=G114),0)),"")</f>
        <v/>
      </c>
      <c r="AM114" s="389" t="str">
        <f t="array" ref="AM114">IF(ISNUMBER(AK114),INDEX(TM_Score2,MATCH(1,(TM_Events=D114)*(TM_Participant1=G114)*(TM_Participant2=AJ114),0)),"")</f>
        <v/>
      </c>
      <c r="AN114" s="389" t="str">
        <f t="array" ref="AN114">IF(ISNUMBER(AL114),INDEX(TM_Score2,MATCH(1,(TM_Events=D114)*(TM_Participant1=AJ114)*(TM_Participant2=G114),0)),"")</f>
        <v/>
      </c>
      <c r="AO114" s="389" t="str">
        <f t="shared" si="49"/>
        <v/>
      </c>
      <c r="AP114" s="389">
        <f t="shared" si="50"/>
        <v>3</v>
      </c>
      <c r="AQ114" s="389">
        <f t="shared" si="51"/>
        <v>0</v>
      </c>
      <c r="AR114" s="389">
        <f t="shared" si="52"/>
        <v>1</v>
      </c>
      <c r="AS114" s="453">
        <f t="shared" si="53"/>
        <v>7</v>
      </c>
      <c r="AT114" s="452">
        <f t="shared" si="54"/>
        <v>44</v>
      </c>
    </row>
    <row r="115" spans="1:46" ht="16" x14ac:dyDescent="0.2">
      <c r="A115" s="298"/>
      <c r="B115"/>
      <c r="D115" s="303" t="s">
        <v>44</v>
      </c>
      <c r="E115" s="396"/>
      <c r="F115" s="398">
        <v>1</v>
      </c>
      <c r="G115" s="397" t="s">
        <v>573</v>
      </c>
      <c r="H115" s="387" t="str">
        <f t="shared" si="29"/>
        <v>0-3-0</v>
      </c>
      <c r="I115" s="389">
        <f t="shared" si="30"/>
        <v>0</v>
      </c>
      <c r="J115" s="455" t="str">
        <f t="shared" si="55"/>
        <v/>
      </c>
      <c r="K115" s="455" t="str">
        <f t="shared" si="31"/>
        <v/>
      </c>
      <c r="L115" s="455" t="str">
        <f t="shared" si="56"/>
        <v/>
      </c>
      <c r="M115" s="389" t="str">
        <f>IFERROR(IF(AD115&lt;=VLOOKUP(D115,Tournaments!$A$1:$B$1772,2,FALSE),"TRUE","FALSE"),"")</f>
        <v>FALSE</v>
      </c>
      <c r="N115" s="389">
        <v>1</v>
      </c>
      <c r="O115" s="389">
        <f t="shared" si="32"/>
        <v>6</v>
      </c>
      <c r="Q115" s="389">
        <f t="shared" si="33"/>
        <v>0</v>
      </c>
      <c r="R115" s="389">
        <f t="shared" si="34"/>
        <v>3</v>
      </c>
      <c r="S115" s="389">
        <f t="shared" si="35"/>
        <v>0</v>
      </c>
      <c r="U115" s="389">
        <f t="shared" si="36"/>
        <v>6</v>
      </c>
      <c r="V115" s="389" t="b">
        <f t="shared" si="37"/>
        <v>0</v>
      </c>
      <c r="W115" s="389">
        <f t="shared" si="38"/>
        <v>-6</v>
      </c>
      <c r="X115" s="389">
        <f t="shared" si="39"/>
        <v>6</v>
      </c>
      <c r="Y115" s="389" t="b">
        <f t="shared" si="57"/>
        <v>0</v>
      </c>
      <c r="Z115" s="389">
        <f t="shared" si="40"/>
        <v>-6</v>
      </c>
      <c r="AA115" s="389">
        <f t="shared" si="41"/>
        <v>6</v>
      </c>
      <c r="AB115" s="389" t="b">
        <f t="shared" si="42"/>
        <v>0</v>
      </c>
      <c r="AC115" s="389">
        <f t="shared" si="43"/>
        <v>-6</v>
      </c>
      <c r="AD115" s="389">
        <f t="shared" si="44"/>
        <v>6</v>
      </c>
      <c r="AE115" s="389">
        <f t="shared" si="45"/>
        <v>1</v>
      </c>
      <c r="AG115" s="311" t="str">
        <f t="shared" si="46"/>
        <v>Ch C Male Basketball-</v>
      </c>
      <c r="AH115" s="453">
        <f t="shared" si="47"/>
        <v>6</v>
      </c>
      <c r="AI115" s="453">
        <f t="shared" si="48"/>
        <v>1</v>
      </c>
      <c r="AJ115" t="str">
        <f t="array" ref="AJ115">IF(AND(AI115&gt;1,G115&lt;&gt;""),INDEX(FS_teams,MATCH(1,(FS_Keys=AG115)*(FS_Points=I115)*(FS_teams&lt;&gt;G115),0)),"")</f>
        <v/>
      </c>
      <c r="AK115" s="390" t="str">
        <f t="array" ref="AK115">IF(AJ115&lt;&gt;"",INDEX(TM_Score1,MATCH(1,(TM_Events=D115)*(TM_Participant1=G115)*(TM_Participant2=AJ115),0)),"")</f>
        <v/>
      </c>
      <c r="AL115" s="390" t="str">
        <f t="array" ref="AL115">IF(AJ115&lt;&gt;"",INDEX(TM_Score1,MATCH(1,(TM_Events=D115)*(TM_Participant1=AJ115)*(TM_Participant2=G115),0)),"")</f>
        <v/>
      </c>
      <c r="AM115" s="389" t="str">
        <f t="array" ref="AM115">IF(ISNUMBER(AK115),INDEX(TM_Score2,MATCH(1,(TM_Events=D115)*(TM_Participant1=G115)*(TM_Participant2=AJ115),0)),"")</f>
        <v/>
      </c>
      <c r="AN115" s="389" t="str">
        <f t="array" ref="AN115">IF(ISNUMBER(AL115),INDEX(TM_Score2,MATCH(1,(TM_Events=D115)*(TM_Participant1=AJ115)*(TM_Participant2=G115),0)),"")</f>
        <v/>
      </c>
      <c r="AO115" s="389" t="str">
        <f t="shared" si="49"/>
        <v/>
      </c>
      <c r="AP115" s="389">
        <f t="shared" si="50"/>
        <v>0</v>
      </c>
      <c r="AQ115" s="389">
        <f t="shared" si="51"/>
        <v>0</v>
      </c>
      <c r="AR115" s="389">
        <f t="shared" si="52"/>
        <v>3</v>
      </c>
      <c r="AS115" s="453">
        <f t="shared" si="53"/>
        <v>-22</v>
      </c>
      <c r="AT115" s="452">
        <f t="shared" si="54"/>
        <v>10</v>
      </c>
    </row>
    <row r="116" spans="1:46" ht="16" x14ac:dyDescent="0.2">
      <c r="A116" s="298"/>
      <c r="B116"/>
      <c r="D116" s="303" t="s">
        <v>44</v>
      </c>
      <c r="E116" s="396"/>
      <c r="F116" s="398">
        <v>1</v>
      </c>
      <c r="G116" s="397" t="s">
        <v>572</v>
      </c>
      <c r="H116" s="387" t="str">
        <f t="shared" si="29"/>
        <v>1-2-0</v>
      </c>
      <c r="I116" s="389">
        <f t="shared" si="30"/>
        <v>2</v>
      </c>
      <c r="J116" s="455">
        <f t="shared" si="55"/>
        <v>1</v>
      </c>
      <c r="K116" s="455">
        <f t="shared" si="31"/>
        <v>-1</v>
      </c>
      <c r="L116" s="455" t="str">
        <f t="shared" si="56"/>
        <v/>
      </c>
      <c r="M116" s="389" t="str">
        <f>IFERROR(IF(AD116&lt;=VLOOKUP(D116,Tournaments!$A$1:$B$1772,2,FALSE),"TRUE","FALSE"),"")</f>
        <v>FALSE</v>
      </c>
      <c r="N116" s="389">
        <v>1</v>
      </c>
      <c r="O116" s="389">
        <f t="shared" si="32"/>
        <v>3</v>
      </c>
      <c r="Q116" s="389">
        <f t="shared" si="33"/>
        <v>1</v>
      </c>
      <c r="R116" s="389">
        <f t="shared" si="34"/>
        <v>2</v>
      </c>
      <c r="S116" s="389">
        <f t="shared" si="35"/>
        <v>0</v>
      </c>
      <c r="U116" s="389">
        <f t="shared" si="36"/>
        <v>5</v>
      </c>
      <c r="V116" s="389">
        <f t="shared" si="37"/>
        <v>2.5000000000000001E-3</v>
      </c>
      <c r="W116" s="389">
        <f t="shared" si="38"/>
        <v>-4.9974999999999996</v>
      </c>
      <c r="X116" s="389">
        <f t="shared" si="39"/>
        <v>5</v>
      </c>
      <c r="Y116" s="389">
        <f t="shared" si="57"/>
        <v>9.7999999999999997E-3</v>
      </c>
      <c r="Z116" s="389">
        <f t="shared" si="40"/>
        <v>-4.9901999999999997</v>
      </c>
      <c r="AA116" s="389">
        <f t="shared" si="41"/>
        <v>3</v>
      </c>
      <c r="AB116" s="389" t="b">
        <f t="shared" si="42"/>
        <v>0</v>
      </c>
      <c r="AC116" s="389">
        <f t="shared" si="43"/>
        <v>-3</v>
      </c>
      <c r="AD116" s="389">
        <f t="shared" si="44"/>
        <v>3</v>
      </c>
      <c r="AE116" s="389">
        <f t="shared" si="45"/>
        <v>3</v>
      </c>
      <c r="AG116" s="311" t="str">
        <f t="shared" si="46"/>
        <v>Ch C Male Basketball-</v>
      </c>
      <c r="AH116" s="453">
        <f t="shared" si="47"/>
        <v>3</v>
      </c>
      <c r="AI116" s="453">
        <f t="shared" si="48"/>
        <v>3</v>
      </c>
      <c r="AJ116" t="str">
        <f t="array" ref="AJ116">IF(AND(AI116&gt;1,G116&lt;&gt;""),INDEX(FS_teams,MATCH(1,(FS_Keys=AG116)*(FS_Points=I116)*(FS_teams&lt;&gt;G116),0)),"")</f>
        <v>CHILD CM - COL 1</v>
      </c>
      <c r="AK116" s="390" t="e">
        <f t="array" ref="AK116">IF(AJ116&lt;&gt;"",INDEX(TM_Score1,MATCH(1,(TM_Events=D116)*(TM_Participant1=G116)*(TM_Participant2=AJ116),0)),"")</f>
        <v>#N/A</v>
      </c>
      <c r="AL116" s="390" t="e">
        <f t="array" ref="AL116">IF(AJ116&lt;&gt;"",INDEX(TM_Score1,MATCH(1,(TM_Events=D116)*(TM_Participant1=AJ116)*(TM_Participant2=G116),0)),"")</f>
        <v>#N/A</v>
      </c>
      <c r="AM116" s="389" t="str">
        <f t="array" ref="AM116">IF(ISNUMBER(AK116),INDEX(TM_Score2,MATCH(1,(TM_Events=D116)*(TM_Participant1=G116)*(TM_Participant2=AJ116),0)),"")</f>
        <v/>
      </c>
      <c r="AN116" s="389" t="str">
        <f t="array" ref="AN116">IF(ISNUMBER(AL116),INDEX(TM_Score2,MATCH(1,(TM_Events=D116)*(TM_Participant1=AJ116)*(TM_Participant2=G116),0)),"")</f>
        <v/>
      </c>
      <c r="AO116" s="389" t="str">
        <f t="shared" si="49"/>
        <v>did not play</v>
      </c>
      <c r="AP116" s="389">
        <f t="shared" si="50"/>
        <v>1</v>
      </c>
      <c r="AQ116" s="389">
        <f t="shared" si="51"/>
        <v>0</v>
      </c>
      <c r="AR116" s="389">
        <f t="shared" si="52"/>
        <v>2</v>
      </c>
      <c r="AS116" s="453">
        <f t="shared" si="53"/>
        <v>-1</v>
      </c>
      <c r="AT116" s="452">
        <f t="shared" si="54"/>
        <v>26</v>
      </c>
    </row>
    <row r="117" spans="1:46" ht="16" x14ac:dyDescent="0.2">
      <c r="A117" s="298"/>
      <c r="B117"/>
      <c r="D117" s="303" t="s">
        <v>44</v>
      </c>
      <c r="E117" s="396"/>
      <c r="F117" s="398">
        <v>1</v>
      </c>
      <c r="G117" s="397" t="s">
        <v>580</v>
      </c>
      <c r="H117" s="387" t="str">
        <f t="shared" si="29"/>
        <v>4-0-0</v>
      </c>
      <c r="I117" s="389">
        <f t="shared" si="30"/>
        <v>8</v>
      </c>
      <c r="J117" s="455" t="str">
        <f t="shared" si="55"/>
        <v/>
      </c>
      <c r="K117" s="455" t="str">
        <f t="shared" si="31"/>
        <v/>
      </c>
      <c r="L117" s="455" t="str">
        <f t="shared" si="56"/>
        <v/>
      </c>
      <c r="M117" s="389" t="str">
        <f>IFERROR(IF(AD117&lt;=VLOOKUP(D117,Tournaments!$A$1:$B$1772,2,FALSE),"TRUE","FALSE"),"")</f>
        <v>TRUE</v>
      </c>
      <c r="N117" s="389">
        <v>1</v>
      </c>
      <c r="O117" s="389">
        <f t="shared" si="32"/>
        <v>1</v>
      </c>
      <c r="Q117" s="389">
        <f t="shared" si="33"/>
        <v>4</v>
      </c>
      <c r="R117" s="389">
        <f t="shared" si="34"/>
        <v>0</v>
      </c>
      <c r="S117" s="389">
        <f t="shared" si="35"/>
        <v>0</v>
      </c>
      <c r="U117" s="389">
        <f t="shared" si="36"/>
        <v>1</v>
      </c>
      <c r="V117" s="389" t="b">
        <f t="shared" si="37"/>
        <v>0</v>
      </c>
      <c r="W117" s="389">
        <f t="shared" si="38"/>
        <v>-1</v>
      </c>
      <c r="X117" s="389">
        <f t="shared" si="39"/>
        <v>1</v>
      </c>
      <c r="Y117" s="389" t="b">
        <f t="shared" si="57"/>
        <v>0</v>
      </c>
      <c r="Z117" s="389">
        <f t="shared" si="40"/>
        <v>-1</v>
      </c>
      <c r="AA117" s="389">
        <f t="shared" si="41"/>
        <v>1</v>
      </c>
      <c r="AB117" s="389" t="b">
        <f t="shared" si="42"/>
        <v>0</v>
      </c>
      <c r="AC117" s="389">
        <f t="shared" si="43"/>
        <v>-1</v>
      </c>
      <c r="AD117" s="389">
        <f t="shared" si="44"/>
        <v>1</v>
      </c>
      <c r="AE117" s="389">
        <f t="shared" si="45"/>
        <v>1</v>
      </c>
      <c r="AG117" s="311" t="str">
        <f t="shared" si="46"/>
        <v>Ch C Male Basketball-</v>
      </c>
      <c r="AH117" s="453">
        <f t="shared" si="47"/>
        <v>1</v>
      </c>
      <c r="AI117" s="453">
        <f t="shared" si="48"/>
        <v>1</v>
      </c>
      <c r="AJ117" t="str">
        <f t="array" ref="AJ117">IF(AND(AI117&gt;1,G117&lt;&gt;""),INDEX(FS_teams,MATCH(1,(FS_Keys=AG117)*(FS_Points=I117)*(FS_teams&lt;&gt;G117),0)),"")</f>
        <v/>
      </c>
      <c r="AK117" s="390" t="str">
        <f t="array" ref="AK117">IF(AJ117&lt;&gt;"",INDEX(TM_Score1,MATCH(1,(TM_Events=D117)*(TM_Participant1=G117)*(TM_Participant2=AJ117),0)),"")</f>
        <v/>
      </c>
      <c r="AL117" s="390" t="str">
        <f t="array" ref="AL117">IF(AJ117&lt;&gt;"",INDEX(TM_Score1,MATCH(1,(TM_Events=D117)*(TM_Participant1=AJ117)*(TM_Participant2=G117),0)),"")</f>
        <v/>
      </c>
      <c r="AM117" s="389" t="str">
        <f t="array" ref="AM117">IF(ISNUMBER(AK117),INDEX(TM_Score2,MATCH(1,(TM_Events=D117)*(TM_Participant1=G117)*(TM_Participant2=AJ117),0)),"")</f>
        <v/>
      </c>
      <c r="AN117" s="389" t="str">
        <f t="array" ref="AN117">IF(ISNUMBER(AL117),INDEX(TM_Score2,MATCH(1,(TM_Events=D117)*(TM_Participant1=AJ117)*(TM_Participant2=G117),0)),"")</f>
        <v/>
      </c>
      <c r="AO117" s="389" t="str">
        <f t="shared" si="49"/>
        <v/>
      </c>
      <c r="AP117" s="389">
        <f t="shared" si="50"/>
        <v>4</v>
      </c>
      <c r="AQ117" s="389">
        <f t="shared" si="51"/>
        <v>0</v>
      </c>
      <c r="AR117" s="389">
        <f t="shared" si="52"/>
        <v>0</v>
      </c>
      <c r="AS117" s="453">
        <f t="shared" si="53"/>
        <v>34</v>
      </c>
      <c r="AT117" s="452">
        <f t="shared" si="54"/>
        <v>56</v>
      </c>
    </row>
    <row r="118" spans="1:46" ht="16" x14ac:dyDescent="0.2">
      <c r="A118" s="298"/>
      <c r="B118"/>
      <c r="D118" s="303" t="s">
        <v>44</v>
      </c>
      <c r="E118" s="396"/>
      <c r="F118" s="398">
        <v>1</v>
      </c>
      <c r="G118" s="397" t="s">
        <v>574</v>
      </c>
      <c r="H118" s="387" t="str">
        <f t="shared" si="29"/>
        <v>1-2-0</v>
      </c>
      <c r="I118" s="389">
        <f t="shared" si="30"/>
        <v>2</v>
      </c>
      <c r="J118" s="455">
        <f t="shared" si="55"/>
        <v>1</v>
      </c>
      <c r="K118" s="455">
        <f t="shared" si="31"/>
        <v>-7</v>
      </c>
      <c r="L118" s="455" t="str">
        <f t="shared" si="56"/>
        <v/>
      </c>
      <c r="M118" s="389" t="str">
        <f>IFERROR(IF(AD118&lt;=VLOOKUP(D118,Tournaments!$A$1:$B$1772,2,FALSE),"TRUE","FALSE"),"")</f>
        <v>FALSE</v>
      </c>
      <c r="N118" s="389">
        <v>1</v>
      </c>
      <c r="O118" s="389">
        <f t="shared" si="32"/>
        <v>4</v>
      </c>
      <c r="Q118" s="389">
        <f t="shared" si="33"/>
        <v>1</v>
      </c>
      <c r="R118" s="389">
        <f t="shared" si="34"/>
        <v>2</v>
      </c>
      <c r="S118" s="389">
        <f t="shared" si="35"/>
        <v>0</v>
      </c>
      <c r="U118" s="389">
        <f t="shared" si="36"/>
        <v>5</v>
      </c>
      <c r="V118" s="389">
        <f t="shared" si="37"/>
        <v>2.5000000000000001E-3</v>
      </c>
      <c r="W118" s="389">
        <f t="shared" si="38"/>
        <v>-4.9974999999999996</v>
      </c>
      <c r="X118" s="389">
        <f t="shared" si="39"/>
        <v>5</v>
      </c>
      <c r="Y118" s="389">
        <f t="shared" si="57"/>
        <v>5.1000000000000004E-3</v>
      </c>
      <c r="Z118" s="389">
        <f t="shared" si="40"/>
        <v>-4.9949000000000003</v>
      </c>
      <c r="AA118" s="389">
        <f t="shared" si="41"/>
        <v>4</v>
      </c>
      <c r="AB118" s="389" t="b">
        <f t="shared" si="42"/>
        <v>0</v>
      </c>
      <c r="AC118" s="389">
        <f t="shared" si="43"/>
        <v>-4</v>
      </c>
      <c r="AD118" s="389">
        <f t="shared" si="44"/>
        <v>4</v>
      </c>
      <c r="AE118" s="389">
        <f t="shared" si="45"/>
        <v>3</v>
      </c>
      <c r="AG118" s="311" t="str">
        <f t="shared" si="46"/>
        <v>Ch C Male Basketball-</v>
      </c>
      <c r="AH118" s="453">
        <f t="shared" si="47"/>
        <v>3</v>
      </c>
      <c r="AI118" s="453">
        <f t="shared" si="48"/>
        <v>3</v>
      </c>
      <c r="AJ118" t="str">
        <f t="array" ref="AJ118">IF(AND(AI118&gt;1,G118&lt;&gt;""),INDEX(FS_teams,MATCH(1,(FS_Keys=AG118)*(FS_Points=I118)*(FS_teams&lt;&gt;G118),0)),"")</f>
        <v>CHILD CM - ARG 1</v>
      </c>
      <c r="AK118" s="390" t="e">
        <f t="array" ref="AK118">IF(AJ118&lt;&gt;"",INDEX(TM_Score1,MATCH(1,(TM_Events=D118)*(TM_Participant1=G118)*(TM_Participant2=AJ118),0)),"")</f>
        <v>#N/A</v>
      </c>
      <c r="AL118" s="390" t="e">
        <f t="array" ref="AL118">IF(AJ118&lt;&gt;"",INDEX(TM_Score1,MATCH(1,(TM_Events=D118)*(TM_Participant1=AJ118)*(TM_Participant2=G118),0)),"")</f>
        <v>#N/A</v>
      </c>
      <c r="AM118" s="389" t="str">
        <f t="array" ref="AM118">IF(ISNUMBER(AK118),INDEX(TM_Score2,MATCH(1,(TM_Events=D118)*(TM_Participant1=G118)*(TM_Participant2=AJ118),0)),"")</f>
        <v/>
      </c>
      <c r="AN118" s="389" t="str">
        <f t="array" ref="AN118">IF(ISNUMBER(AL118),INDEX(TM_Score2,MATCH(1,(TM_Events=D118)*(TM_Participant1=AJ118)*(TM_Participant2=G118),0)),"")</f>
        <v/>
      </c>
      <c r="AO118" s="389" t="str">
        <f t="shared" si="49"/>
        <v>did not play</v>
      </c>
      <c r="AP118" s="389">
        <f t="shared" si="50"/>
        <v>1</v>
      </c>
      <c r="AQ118" s="389">
        <f t="shared" si="51"/>
        <v>0</v>
      </c>
      <c r="AR118" s="389">
        <f t="shared" si="52"/>
        <v>2</v>
      </c>
      <c r="AS118" s="453">
        <f t="shared" si="53"/>
        <v>-7</v>
      </c>
      <c r="AT118" s="452">
        <f t="shared" si="54"/>
        <v>18</v>
      </c>
    </row>
    <row r="119" spans="1:46" ht="16" x14ac:dyDescent="0.2">
      <c r="A119" s="298"/>
      <c r="B119"/>
      <c r="D119" s="303" t="s">
        <v>44</v>
      </c>
      <c r="E119" s="396"/>
      <c r="F119" s="387">
        <v>1</v>
      </c>
      <c r="G119" s="397" t="s">
        <v>578</v>
      </c>
      <c r="H119" s="387" t="str">
        <f t="shared" si="29"/>
        <v>1-2-0</v>
      </c>
      <c r="I119" s="389">
        <f t="shared" si="30"/>
        <v>2</v>
      </c>
      <c r="J119" s="455">
        <f t="shared" si="55"/>
        <v>1</v>
      </c>
      <c r="K119" s="455">
        <f t="shared" si="31"/>
        <v>-11</v>
      </c>
      <c r="L119" s="455" t="str">
        <f t="shared" si="56"/>
        <v/>
      </c>
      <c r="M119" s="389" t="str">
        <f>IFERROR(IF(AD119&lt;=VLOOKUP(D119,Tournaments!$A$1:$B$1772,2,FALSE),"TRUE","FALSE"),"")</f>
        <v>FALSE</v>
      </c>
      <c r="N119" s="389">
        <v>1</v>
      </c>
      <c r="O119" s="389">
        <f t="shared" si="32"/>
        <v>5</v>
      </c>
      <c r="Q119" s="389">
        <f t="shared" si="33"/>
        <v>1</v>
      </c>
      <c r="R119" s="389">
        <f t="shared" si="34"/>
        <v>2</v>
      </c>
      <c r="S119" s="389">
        <f t="shared" si="35"/>
        <v>0</v>
      </c>
      <c r="U119" s="389">
        <f t="shared" si="36"/>
        <v>5</v>
      </c>
      <c r="V119" s="389">
        <f t="shared" si="37"/>
        <v>2.5000000000000001E-3</v>
      </c>
      <c r="W119" s="389">
        <f t="shared" si="38"/>
        <v>-4.9974999999999996</v>
      </c>
      <c r="X119" s="389">
        <f t="shared" si="39"/>
        <v>5</v>
      </c>
      <c r="Y119" s="389">
        <f t="shared" si="57"/>
        <v>3.7000000000000002E-3</v>
      </c>
      <c r="Z119" s="389">
        <f t="shared" si="40"/>
        <v>-4.9962999999999997</v>
      </c>
      <c r="AA119" s="389">
        <f t="shared" si="41"/>
        <v>5</v>
      </c>
      <c r="AB119" s="389" t="b">
        <f t="shared" si="42"/>
        <v>0</v>
      </c>
      <c r="AC119" s="389">
        <f t="shared" si="43"/>
        <v>-5</v>
      </c>
      <c r="AD119" s="389">
        <f t="shared" si="44"/>
        <v>5</v>
      </c>
      <c r="AE119" s="389">
        <f t="shared" si="45"/>
        <v>3</v>
      </c>
      <c r="AG119" s="311" t="str">
        <f t="shared" si="46"/>
        <v>Ch C Male Basketball-</v>
      </c>
      <c r="AH119" s="453">
        <f t="shared" si="47"/>
        <v>3</v>
      </c>
      <c r="AI119" s="453">
        <f t="shared" si="48"/>
        <v>3</v>
      </c>
      <c r="AJ119" t="str">
        <f t="array" ref="AJ119">IF(AND(AI119&gt;1,G119&lt;&gt;""),INDEX(FS_teams,MATCH(1,(FS_Keys=AG119)*(FS_Points=I119)*(FS_teams&lt;&gt;G119),0)),"")</f>
        <v>CHILD CM - ARG 1</v>
      </c>
      <c r="AK119" s="390" t="e">
        <f t="array" ref="AK119">IF(AJ119&lt;&gt;"",INDEX(TM_Score1,MATCH(1,(TM_Events=D119)*(TM_Participant1=G119)*(TM_Participant2=AJ119),0)),"")</f>
        <v>#N/A</v>
      </c>
      <c r="AL119" s="390">
        <f t="array" ref="AL119">IF(AJ119&lt;&gt;"",INDEX(TM_Score1,MATCH(1,(TM_Events=D119)*(TM_Participant1=AJ119)*(TM_Participant2=G119),0)),"")</f>
        <v>11</v>
      </c>
      <c r="AM119" s="389" t="str">
        <f t="array" ref="AM119">IF(ISNUMBER(AK119),INDEX(TM_Score2,MATCH(1,(TM_Events=D119)*(TM_Participant1=G119)*(TM_Participant2=AJ119),0)),"")</f>
        <v/>
      </c>
      <c r="AN119" s="389">
        <f t="array" ref="AN119">IF(ISNUMBER(AL119),INDEX(TM_Score2,MATCH(1,(TM_Events=D119)*(TM_Participant1=AJ119)*(TM_Participant2=G119),0)),"")</f>
        <v>6</v>
      </c>
      <c r="AO119" s="389" t="str">
        <f t="shared" si="49"/>
        <v>Loss</v>
      </c>
      <c r="AP119" s="389">
        <f t="shared" si="50"/>
        <v>1</v>
      </c>
      <c r="AQ119" s="389">
        <f t="shared" si="51"/>
        <v>0</v>
      </c>
      <c r="AR119" s="389">
        <f t="shared" si="52"/>
        <v>2</v>
      </c>
      <c r="AS119" s="453">
        <f t="shared" si="53"/>
        <v>-11</v>
      </c>
      <c r="AT119" s="452">
        <f t="shared" si="54"/>
        <v>20</v>
      </c>
    </row>
    <row r="120" spans="1:46" ht="16" x14ac:dyDescent="0.2">
      <c r="A120" s="298"/>
      <c r="B120"/>
      <c r="D120" s="303" t="s">
        <v>46</v>
      </c>
      <c r="E120" s="396"/>
      <c r="F120" s="387">
        <v>1</v>
      </c>
      <c r="G120" s="397" t="s">
        <v>578</v>
      </c>
      <c r="H120" s="387" t="str">
        <f t="shared" si="29"/>
        <v>1-2-0</v>
      </c>
      <c r="I120" s="389">
        <f t="shared" si="30"/>
        <v>2</v>
      </c>
      <c r="J120" s="455" t="str">
        <f t="shared" si="55"/>
        <v/>
      </c>
      <c r="K120" s="455" t="str">
        <f t="shared" si="31"/>
        <v/>
      </c>
      <c r="L120" s="455" t="str">
        <f t="shared" si="56"/>
        <v/>
      </c>
      <c r="M120" s="389" t="str">
        <f>IFERROR(IF(AD120&lt;=VLOOKUP(D120,Tournaments!$A$1:$B$1772,2,FALSE),"TRUE","FALSE"),"")</f>
        <v>FALSE</v>
      </c>
      <c r="N120" s="389">
        <v>1</v>
      </c>
      <c r="O120" s="389">
        <f t="shared" si="32"/>
        <v>4</v>
      </c>
      <c r="Q120" s="389">
        <f t="shared" si="33"/>
        <v>1</v>
      </c>
      <c r="R120" s="389">
        <f t="shared" si="34"/>
        <v>2</v>
      </c>
      <c r="S120" s="389">
        <f t="shared" si="35"/>
        <v>0</v>
      </c>
      <c r="U120" s="389">
        <f t="shared" si="36"/>
        <v>4</v>
      </c>
      <c r="V120" s="389" t="b">
        <f t="shared" si="37"/>
        <v>0</v>
      </c>
      <c r="W120" s="389">
        <f t="shared" si="38"/>
        <v>-4</v>
      </c>
      <c r="X120" s="389">
        <f t="shared" si="39"/>
        <v>4</v>
      </c>
      <c r="Y120" s="389" t="b">
        <f t="shared" si="57"/>
        <v>0</v>
      </c>
      <c r="Z120" s="389">
        <f t="shared" si="40"/>
        <v>-4</v>
      </c>
      <c r="AA120" s="389">
        <f t="shared" si="41"/>
        <v>4</v>
      </c>
      <c r="AB120" s="389" t="b">
        <f t="shared" si="42"/>
        <v>0</v>
      </c>
      <c r="AC120" s="389">
        <f t="shared" si="43"/>
        <v>-4</v>
      </c>
      <c r="AD120" s="389">
        <f t="shared" si="44"/>
        <v>4</v>
      </c>
      <c r="AE120" s="389">
        <f t="shared" si="45"/>
        <v>1</v>
      </c>
      <c r="AG120" s="311" t="str">
        <f t="shared" si="46"/>
        <v>Ch C Male Flag Football-</v>
      </c>
      <c r="AH120" s="453">
        <f t="shared" si="47"/>
        <v>4</v>
      </c>
      <c r="AI120" s="453">
        <f t="shared" si="48"/>
        <v>1</v>
      </c>
      <c r="AJ120" t="str">
        <f t="array" ref="AJ120">IF(AND(AI120&gt;1,G120&lt;&gt;""),INDEX(FS_teams,MATCH(1,(FS_Keys=AG120)*(FS_Points=I120)*(FS_teams&lt;&gt;G120),0)),"")</f>
        <v/>
      </c>
      <c r="AK120" s="390" t="str">
        <f t="array" ref="AK120">IF(AJ120&lt;&gt;"",INDEX(TM_Score1,MATCH(1,(TM_Events=D120)*(TM_Participant1=G120)*(TM_Participant2=AJ120),0)),"")</f>
        <v/>
      </c>
      <c r="AL120" s="390" t="str">
        <f t="array" ref="AL120">IF(AJ120&lt;&gt;"",INDEX(TM_Score1,MATCH(1,(TM_Events=D120)*(TM_Participant1=AJ120)*(TM_Participant2=G120),0)),"")</f>
        <v/>
      </c>
      <c r="AM120" s="389" t="str">
        <f t="array" ref="AM120">IF(ISNUMBER(AK120),INDEX(TM_Score2,MATCH(1,(TM_Events=D120)*(TM_Participant1=G120)*(TM_Participant2=AJ120),0)),"")</f>
        <v/>
      </c>
      <c r="AN120" s="389" t="str">
        <f t="array" ref="AN120">IF(ISNUMBER(AL120),INDEX(TM_Score2,MATCH(1,(TM_Events=D120)*(TM_Participant1=AJ120)*(TM_Participant2=G120),0)),"")</f>
        <v/>
      </c>
      <c r="AO120" s="389" t="str">
        <f t="shared" si="49"/>
        <v/>
      </c>
      <c r="AP120" s="389">
        <f t="shared" si="50"/>
        <v>1</v>
      </c>
      <c r="AQ120" s="389">
        <f t="shared" si="51"/>
        <v>0</v>
      </c>
      <c r="AR120" s="389">
        <f t="shared" si="52"/>
        <v>2</v>
      </c>
      <c r="AS120" s="453">
        <f t="shared" si="53"/>
        <v>-16</v>
      </c>
      <c r="AT120" s="452">
        <f t="shared" si="54"/>
        <v>32</v>
      </c>
    </row>
    <row r="121" spans="1:46" ht="16" x14ac:dyDescent="0.2">
      <c r="A121" s="298"/>
      <c r="B121"/>
      <c r="D121" s="303" t="s">
        <v>46</v>
      </c>
      <c r="E121" s="396"/>
      <c r="F121" s="387">
        <v>1</v>
      </c>
      <c r="G121" s="397" t="s">
        <v>581</v>
      </c>
      <c r="H121" s="387" t="str">
        <f t="shared" si="29"/>
        <v>3-0-0</v>
      </c>
      <c r="I121" s="389">
        <f t="shared" si="30"/>
        <v>6</v>
      </c>
      <c r="J121" s="455">
        <f t="shared" si="55"/>
        <v>1</v>
      </c>
      <c r="K121" s="455">
        <f t="shared" si="31"/>
        <v>43</v>
      </c>
      <c r="L121" s="455" t="str">
        <f t="shared" si="56"/>
        <v/>
      </c>
      <c r="M121" s="389" t="str">
        <f>IFERROR(IF(AD121&lt;=VLOOKUP(D121,Tournaments!$A$1:$B$1772,2,FALSE),"TRUE","FALSE"),"")</f>
        <v>TRUE</v>
      </c>
      <c r="N121" s="389">
        <v>1</v>
      </c>
      <c r="O121" s="389">
        <f t="shared" si="32"/>
        <v>2</v>
      </c>
      <c r="Q121" s="389">
        <f t="shared" si="33"/>
        <v>3</v>
      </c>
      <c r="R121" s="389">
        <f t="shared" si="34"/>
        <v>0</v>
      </c>
      <c r="S121" s="389">
        <f t="shared" si="35"/>
        <v>0</v>
      </c>
      <c r="U121" s="389">
        <f t="shared" si="36"/>
        <v>2</v>
      </c>
      <c r="V121" s="389">
        <f t="shared" si="37"/>
        <v>2.5000000000000001E-3</v>
      </c>
      <c r="W121" s="389">
        <f t="shared" si="38"/>
        <v>-1.9975000000000001</v>
      </c>
      <c r="X121" s="389">
        <f t="shared" si="39"/>
        <v>2</v>
      </c>
      <c r="Y121" s="389">
        <f t="shared" si="57"/>
        <v>7.6700000000000004E-2</v>
      </c>
      <c r="Z121" s="389">
        <f t="shared" si="40"/>
        <v>-1.9233</v>
      </c>
      <c r="AA121" s="389">
        <f t="shared" si="41"/>
        <v>2</v>
      </c>
      <c r="AB121" s="389" t="b">
        <f t="shared" si="42"/>
        <v>0</v>
      </c>
      <c r="AC121" s="389">
        <f t="shared" si="43"/>
        <v>-2</v>
      </c>
      <c r="AD121" s="389">
        <f t="shared" si="44"/>
        <v>2</v>
      </c>
      <c r="AE121" s="389">
        <f t="shared" si="45"/>
        <v>2</v>
      </c>
      <c r="AG121" s="311" t="str">
        <f t="shared" si="46"/>
        <v>Ch C Male Flag Football-</v>
      </c>
      <c r="AH121" s="453">
        <f t="shared" si="47"/>
        <v>1</v>
      </c>
      <c r="AI121" s="453">
        <f t="shared" si="48"/>
        <v>2</v>
      </c>
      <c r="AJ121" t="str">
        <f t="array" ref="AJ121">IF(AND(AI121&gt;1,G121&lt;&gt;""),INDEX(FS_teams,MATCH(1,(FS_Keys=AG121)*(FS_Points=I121)*(FS_teams&lt;&gt;G121),0)),"")</f>
        <v>CHILD CM - VEN 1</v>
      </c>
      <c r="AK121" s="390" t="e">
        <f t="array" ref="AK121">IF(AJ121&lt;&gt;"",INDEX(TM_Score1,MATCH(1,(TM_Events=D121)*(TM_Participant1=G121)*(TM_Participant2=AJ121),0)),"")</f>
        <v>#N/A</v>
      </c>
      <c r="AL121" s="390">
        <f t="array" ref="AL121">IF(AJ121&lt;&gt;"",INDEX(TM_Score1,MATCH(1,(TM_Events=D121)*(TM_Participant1=AJ121)*(TM_Participant2=G121),0)),"")</f>
        <v>0</v>
      </c>
      <c r="AM121" s="389" t="str">
        <f t="array" ref="AM121">IF(ISNUMBER(AK121),INDEX(TM_Score2,MATCH(1,(TM_Events=D121)*(TM_Participant1=G121)*(TM_Participant2=AJ121),0)),"")</f>
        <v/>
      </c>
      <c r="AN121" s="389">
        <f t="array" ref="AN121">IF(ISNUMBER(AL121),INDEX(TM_Score2,MATCH(1,(TM_Events=D121)*(TM_Participant1=AJ121)*(TM_Participant2=G121),0)),"")</f>
        <v>0</v>
      </c>
      <c r="AO121" s="389" t="str">
        <f t="shared" si="49"/>
        <v>Tie</v>
      </c>
      <c r="AP121" s="389">
        <f t="shared" si="50"/>
        <v>3</v>
      </c>
      <c r="AQ121" s="389">
        <f t="shared" si="51"/>
        <v>0</v>
      </c>
      <c r="AR121" s="389">
        <f t="shared" si="52"/>
        <v>0</v>
      </c>
      <c r="AS121" s="453">
        <f t="shared" si="53"/>
        <v>43</v>
      </c>
      <c r="AT121" s="452">
        <f t="shared" si="54"/>
        <v>72</v>
      </c>
    </row>
    <row r="122" spans="1:46" ht="16" x14ac:dyDescent="0.2">
      <c r="A122" s="298"/>
      <c r="B122"/>
      <c r="D122" s="303" t="s">
        <v>46</v>
      </c>
      <c r="E122" s="396"/>
      <c r="F122" s="387">
        <v>1</v>
      </c>
      <c r="G122" s="397" t="s">
        <v>580</v>
      </c>
      <c r="H122" s="387" t="str">
        <f t="shared" si="29"/>
        <v>3-0-0</v>
      </c>
      <c r="I122" s="389">
        <f t="shared" si="30"/>
        <v>6</v>
      </c>
      <c r="J122" s="455">
        <f t="shared" si="55"/>
        <v>1</v>
      </c>
      <c r="K122" s="455">
        <f t="shared" si="31"/>
        <v>47</v>
      </c>
      <c r="L122" s="455" t="str">
        <f t="shared" si="56"/>
        <v/>
      </c>
      <c r="M122" s="389" t="str">
        <f>IFERROR(IF(AD122&lt;=VLOOKUP(D122,Tournaments!$A$1:$B$1772,2,FALSE),"TRUE","FALSE"),"")</f>
        <v>TRUE</v>
      </c>
      <c r="N122" s="389">
        <v>1</v>
      </c>
      <c r="O122" s="389">
        <f t="shared" si="32"/>
        <v>1</v>
      </c>
      <c r="Q122" s="389">
        <f t="shared" si="33"/>
        <v>3</v>
      </c>
      <c r="R122" s="389">
        <f t="shared" si="34"/>
        <v>0</v>
      </c>
      <c r="S122" s="389">
        <f t="shared" si="35"/>
        <v>0</v>
      </c>
      <c r="U122" s="389">
        <f t="shared" si="36"/>
        <v>2</v>
      </c>
      <c r="V122" s="389">
        <f t="shared" si="37"/>
        <v>2.5000000000000001E-3</v>
      </c>
      <c r="W122" s="389">
        <f t="shared" si="38"/>
        <v>-1.9975000000000001</v>
      </c>
      <c r="X122" s="389">
        <f t="shared" si="39"/>
        <v>2</v>
      </c>
      <c r="Y122" s="389">
        <f t="shared" si="57"/>
        <v>7.6899999999999996E-2</v>
      </c>
      <c r="Z122" s="389">
        <f t="shared" si="40"/>
        <v>-1.9231</v>
      </c>
      <c r="AA122" s="389">
        <f t="shared" si="41"/>
        <v>1</v>
      </c>
      <c r="AB122" s="389" t="b">
        <f t="shared" si="42"/>
        <v>0</v>
      </c>
      <c r="AC122" s="389">
        <f t="shared" si="43"/>
        <v>-1</v>
      </c>
      <c r="AD122" s="389">
        <f t="shared" si="44"/>
        <v>1</v>
      </c>
      <c r="AE122" s="389">
        <f t="shared" si="45"/>
        <v>2</v>
      </c>
      <c r="AG122" s="311" t="str">
        <f t="shared" si="46"/>
        <v>Ch C Male Flag Football-</v>
      </c>
      <c r="AH122" s="453">
        <f t="shared" si="47"/>
        <v>1</v>
      </c>
      <c r="AI122" s="453">
        <f t="shared" si="48"/>
        <v>2</v>
      </c>
      <c r="AJ122" t="str">
        <f t="array" ref="AJ122">IF(AND(AI122&gt;1,G122&lt;&gt;""),INDEX(FS_teams,MATCH(1,(FS_Keys=AG122)*(FS_Points=I122)*(FS_teams&lt;&gt;G122),0)),"")</f>
        <v>CHILD CM - VEN 2</v>
      </c>
      <c r="AK122" s="390">
        <f t="array" ref="AK122">IF(AJ122&lt;&gt;"",INDEX(TM_Score1,MATCH(1,(TM_Events=D122)*(TM_Participant1=G122)*(TM_Participant2=AJ122),0)),"")</f>
        <v>0</v>
      </c>
      <c r="AL122" s="390" t="e">
        <f t="array" ref="AL122">IF(AJ122&lt;&gt;"",INDEX(TM_Score1,MATCH(1,(TM_Events=D122)*(TM_Participant1=AJ122)*(TM_Participant2=G122),0)),"")</f>
        <v>#N/A</v>
      </c>
      <c r="AM122" s="389">
        <f t="array" ref="AM122">IF(ISNUMBER(AK122),INDEX(TM_Score2,MATCH(1,(TM_Events=D122)*(TM_Participant1=G122)*(TM_Participant2=AJ122),0)),"")</f>
        <v>0</v>
      </c>
      <c r="AN122" s="389" t="str">
        <f t="array" ref="AN122">IF(ISNUMBER(AL122),INDEX(TM_Score2,MATCH(1,(TM_Events=D122)*(TM_Participant1=AJ122)*(TM_Participant2=G122),0)),"")</f>
        <v/>
      </c>
      <c r="AO122" s="389" t="str">
        <f t="shared" si="49"/>
        <v>Tie</v>
      </c>
      <c r="AP122" s="389">
        <f t="shared" si="50"/>
        <v>3</v>
      </c>
      <c r="AQ122" s="389">
        <f t="shared" si="51"/>
        <v>0</v>
      </c>
      <c r="AR122" s="389">
        <f t="shared" si="52"/>
        <v>0</v>
      </c>
      <c r="AS122" s="453">
        <f t="shared" si="53"/>
        <v>47</v>
      </c>
      <c r="AT122" s="452">
        <f t="shared" si="54"/>
        <v>62</v>
      </c>
    </row>
    <row r="123" spans="1:46" ht="16" x14ac:dyDescent="0.2">
      <c r="A123" s="298"/>
      <c r="B123"/>
      <c r="D123" s="303" t="s">
        <v>46</v>
      </c>
      <c r="E123" s="396"/>
      <c r="F123" s="387">
        <v>1</v>
      </c>
      <c r="G123" s="397" t="s">
        <v>573</v>
      </c>
      <c r="H123" s="387" t="str">
        <f t="shared" si="29"/>
        <v>0-3-0</v>
      </c>
      <c r="I123" s="389">
        <f t="shared" si="30"/>
        <v>0</v>
      </c>
      <c r="J123" s="455">
        <f t="shared" si="55"/>
        <v>1</v>
      </c>
      <c r="K123" s="455">
        <f t="shared" si="31"/>
        <v>-49</v>
      </c>
      <c r="L123" s="455" t="str">
        <f t="shared" si="56"/>
        <v/>
      </c>
      <c r="M123" s="389" t="str">
        <f>IFERROR(IF(AD123&lt;=VLOOKUP(D123,Tournaments!$A$1:$B$1772,2,FALSE),"TRUE","FALSE"),"")</f>
        <v>FALSE</v>
      </c>
      <c r="N123" s="389">
        <v>1</v>
      </c>
      <c r="O123" s="389">
        <f t="shared" si="32"/>
        <v>6</v>
      </c>
      <c r="Q123" s="389">
        <f t="shared" si="33"/>
        <v>0</v>
      </c>
      <c r="R123" s="389">
        <f t="shared" si="34"/>
        <v>3</v>
      </c>
      <c r="S123" s="389">
        <f t="shared" si="35"/>
        <v>0</v>
      </c>
      <c r="U123" s="389">
        <f t="shared" si="36"/>
        <v>6</v>
      </c>
      <c r="V123" s="389">
        <f t="shared" si="37"/>
        <v>2.5000000000000001E-3</v>
      </c>
      <c r="W123" s="389">
        <f t="shared" si="38"/>
        <v>-5.9974999999999996</v>
      </c>
      <c r="X123" s="389">
        <f t="shared" si="39"/>
        <v>6</v>
      </c>
      <c r="Y123" s="389">
        <f t="shared" si="57"/>
        <v>5.0000000000000001E-4</v>
      </c>
      <c r="Z123" s="389">
        <f t="shared" si="40"/>
        <v>-5.9995000000000003</v>
      </c>
      <c r="AA123" s="389">
        <f t="shared" si="41"/>
        <v>6</v>
      </c>
      <c r="AB123" s="389" t="b">
        <f t="shared" si="42"/>
        <v>0</v>
      </c>
      <c r="AC123" s="389">
        <f t="shared" si="43"/>
        <v>-6</v>
      </c>
      <c r="AD123" s="389">
        <f t="shared" si="44"/>
        <v>6</v>
      </c>
      <c r="AE123" s="389">
        <f t="shared" si="45"/>
        <v>2</v>
      </c>
      <c r="AG123" s="311" t="str">
        <f t="shared" si="46"/>
        <v>Ch C Male Flag Football-</v>
      </c>
      <c r="AH123" s="453">
        <f t="shared" si="47"/>
        <v>5</v>
      </c>
      <c r="AI123" s="453">
        <f t="shared" si="48"/>
        <v>2</v>
      </c>
      <c r="AJ123" t="str">
        <f t="array" ref="AJ123">IF(AND(AI123&gt;1,G123&lt;&gt;""),INDEX(FS_teams,MATCH(1,(FS_Keys=AG123)*(FS_Points=I123)*(FS_teams&lt;&gt;G123),0)),"")</f>
        <v>CHILD CM - ARG 1</v>
      </c>
      <c r="AK123" s="390" t="e">
        <f t="array" ref="AK123">IF(AJ123&lt;&gt;"",INDEX(TM_Score1,MATCH(1,(TM_Events=D123)*(TM_Participant1=G123)*(TM_Participant2=AJ123),0)),"")</f>
        <v>#N/A</v>
      </c>
      <c r="AL123" s="390" t="e">
        <f t="array" ref="AL123">IF(AJ123&lt;&gt;"",INDEX(TM_Score1,MATCH(1,(TM_Events=D123)*(TM_Participant1=AJ123)*(TM_Participant2=G123),0)),"")</f>
        <v>#N/A</v>
      </c>
      <c r="AM123" s="389" t="str">
        <f t="array" ref="AM123">IF(ISNUMBER(AK123),INDEX(TM_Score2,MATCH(1,(TM_Events=D123)*(TM_Participant1=G123)*(TM_Participant2=AJ123),0)),"")</f>
        <v/>
      </c>
      <c r="AN123" s="389" t="str">
        <f t="array" ref="AN123">IF(ISNUMBER(AL123),INDEX(TM_Score2,MATCH(1,(TM_Events=D123)*(TM_Participant1=AJ123)*(TM_Participant2=G123),0)),"")</f>
        <v/>
      </c>
      <c r="AO123" s="389" t="str">
        <f t="shared" si="49"/>
        <v>did not play</v>
      </c>
      <c r="AP123" s="389">
        <f t="shared" si="50"/>
        <v>0</v>
      </c>
      <c r="AQ123" s="389">
        <f t="shared" si="51"/>
        <v>0</v>
      </c>
      <c r="AR123" s="389">
        <f t="shared" si="52"/>
        <v>3</v>
      </c>
      <c r="AS123" s="453">
        <f t="shared" si="53"/>
        <v>-49</v>
      </c>
      <c r="AT123" s="452">
        <f t="shared" si="54"/>
        <v>6</v>
      </c>
    </row>
    <row r="124" spans="1:46" ht="16" x14ac:dyDescent="0.2">
      <c r="A124" s="298"/>
      <c r="B124"/>
      <c r="D124" s="303" t="s">
        <v>46</v>
      </c>
      <c r="E124" s="396"/>
      <c r="F124" s="387">
        <v>1</v>
      </c>
      <c r="G124" s="397" t="s">
        <v>572</v>
      </c>
      <c r="H124" s="387" t="str">
        <f t="shared" si="29"/>
        <v>0-3-0</v>
      </c>
      <c r="I124" s="389">
        <f t="shared" si="30"/>
        <v>0</v>
      </c>
      <c r="J124" s="455">
        <f t="shared" si="55"/>
        <v>1</v>
      </c>
      <c r="K124" s="455">
        <f t="shared" si="31"/>
        <v>-37</v>
      </c>
      <c r="L124" s="455" t="str">
        <f t="shared" si="56"/>
        <v/>
      </c>
      <c r="M124" s="389" t="str">
        <f>IFERROR(IF(AD124&lt;=VLOOKUP(D124,Tournaments!$A$1:$B$1772,2,FALSE),"TRUE","FALSE"),"")</f>
        <v>FALSE</v>
      </c>
      <c r="N124" s="389">
        <v>1</v>
      </c>
      <c r="O124" s="389">
        <f t="shared" si="32"/>
        <v>5</v>
      </c>
      <c r="Q124" s="389">
        <f t="shared" si="33"/>
        <v>0</v>
      </c>
      <c r="R124" s="389">
        <f t="shared" si="34"/>
        <v>3</v>
      </c>
      <c r="S124" s="389">
        <f t="shared" si="35"/>
        <v>0</v>
      </c>
      <c r="U124" s="389">
        <f t="shared" si="36"/>
        <v>6</v>
      </c>
      <c r="V124" s="389">
        <f t="shared" si="37"/>
        <v>2.5000000000000001E-3</v>
      </c>
      <c r="W124" s="389">
        <f t="shared" si="38"/>
        <v>-5.9974999999999996</v>
      </c>
      <c r="X124" s="389">
        <f t="shared" si="39"/>
        <v>6</v>
      </c>
      <c r="Y124" s="389">
        <f t="shared" si="57"/>
        <v>1E-3</v>
      </c>
      <c r="Z124" s="389">
        <f t="shared" si="40"/>
        <v>-5.9989999999999997</v>
      </c>
      <c r="AA124" s="389">
        <f t="shared" si="41"/>
        <v>5</v>
      </c>
      <c r="AB124" s="389" t="b">
        <f t="shared" si="42"/>
        <v>0</v>
      </c>
      <c r="AC124" s="389">
        <f t="shared" si="43"/>
        <v>-5</v>
      </c>
      <c r="AD124" s="389">
        <f t="shared" si="44"/>
        <v>5</v>
      </c>
      <c r="AE124" s="389">
        <f t="shared" si="45"/>
        <v>2</v>
      </c>
      <c r="AG124" s="311" t="str">
        <f t="shared" si="46"/>
        <v>Ch C Male Flag Football-</v>
      </c>
      <c r="AH124" s="453">
        <f t="shared" si="47"/>
        <v>5</v>
      </c>
      <c r="AI124" s="453">
        <f t="shared" si="48"/>
        <v>2</v>
      </c>
      <c r="AJ124" t="str">
        <f t="array" ref="AJ124">IF(AND(AI124&gt;1,G124&lt;&gt;""),INDEX(FS_teams,MATCH(1,(FS_Keys=AG124)*(FS_Points=I124)*(FS_teams&lt;&gt;G124),0)),"")</f>
        <v>CHILD CM - ARG 2</v>
      </c>
      <c r="AK124" s="390" t="e">
        <f t="array" ref="AK124">IF(AJ124&lt;&gt;"",INDEX(TM_Score1,MATCH(1,(TM_Events=D124)*(TM_Participant1=G124)*(TM_Participant2=AJ124),0)),"")</f>
        <v>#N/A</v>
      </c>
      <c r="AL124" s="390" t="e">
        <f t="array" ref="AL124">IF(AJ124&lt;&gt;"",INDEX(TM_Score1,MATCH(1,(TM_Events=D124)*(TM_Participant1=AJ124)*(TM_Participant2=G124),0)),"")</f>
        <v>#N/A</v>
      </c>
      <c r="AM124" s="389" t="str">
        <f t="array" ref="AM124">IF(ISNUMBER(AK124),INDEX(TM_Score2,MATCH(1,(TM_Events=D124)*(TM_Participant1=G124)*(TM_Participant2=AJ124),0)),"")</f>
        <v/>
      </c>
      <c r="AN124" s="389" t="str">
        <f t="array" ref="AN124">IF(ISNUMBER(AL124),INDEX(TM_Score2,MATCH(1,(TM_Events=D124)*(TM_Participant1=AJ124)*(TM_Participant2=G124),0)),"")</f>
        <v/>
      </c>
      <c r="AO124" s="389" t="str">
        <f t="shared" si="49"/>
        <v>did not play</v>
      </c>
      <c r="AP124" s="389">
        <f t="shared" si="50"/>
        <v>0</v>
      </c>
      <c r="AQ124" s="389">
        <f t="shared" si="51"/>
        <v>0</v>
      </c>
      <c r="AR124" s="389">
        <f t="shared" si="52"/>
        <v>3</v>
      </c>
      <c r="AS124" s="453">
        <f t="shared" si="53"/>
        <v>-37</v>
      </c>
      <c r="AT124" s="452">
        <f t="shared" si="54"/>
        <v>23</v>
      </c>
    </row>
    <row r="125" spans="1:46" ht="16" x14ac:dyDescent="0.2">
      <c r="A125" s="298"/>
      <c r="B125"/>
      <c r="D125" s="303" t="s">
        <v>46</v>
      </c>
      <c r="E125" s="387"/>
      <c r="F125" s="387">
        <v>1</v>
      </c>
      <c r="G125" s="397" t="s">
        <v>574</v>
      </c>
      <c r="H125" s="387" t="str">
        <f t="shared" si="29"/>
        <v>2-1-0</v>
      </c>
      <c r="I125" s="389">
        <f t="shared" si="30"/>
        <v>4</v>
      </c>
      <c r="J125" s="455" t="str">
        <f t="shared" si="55"/>
        <v/>
      </c>
      <c r="K125" s="455" t="str">
        <f t="shared" si="31"/>
        <v/>
      </c>
      <c r="L125" s="455" t="str">
        <f t="shared" si="56"/>
        <v/>
      </c>
      <c r="M125" s="389" t="str">
        <f>IFERROR(IF(AD125&lt;=VLOOKUP(D125,Tournaments!$A$1:$B$1772,2,FALSE),"TRUE","FALSE"),"")</f>
        <v>FALSE</v>
      </c>
      <c r="N125" s="389">
        <v>1</v>
      </c>
      <c r="O125" s="389">
        <f t="shared" si="32"/>
        <v>3</v>
      </c>
      <c r="Q125" s="389">
        <f t="shared" si="33"/>
        <v>2</v>
      </c>
      <c r="R125" s="389">
        <f t="shared" si="34"/>
        <v>1</v>
      </c>
      <c r="S125" s="389">
        <f t="shared" si="35"/>
        <v>0</v>
      </c>
      <c r="U125" s="389">
        <f t="shared" si="36"/>
        <v>3</v>
      </c>
      <c r="V125" s="389" t="b">
        <f t="shared" si="37"/>
        <v>0</v>
      </c>
      <c r="W125" s="389">
        <f t="shared" si="38"/>
        <v>-3</v>
      </c>
      <c r="X125" s="389">
        <f t="shared" si="39"/>
        <v>3</v>
      </c>
      <c r="Y125" s="389" t="b">
        <f t="shared" si="57"/>
        <v>0</v>
      </c>
      <c r="Z125" s="389">
        <f t="shared" si="40"/>
        <v>-3</v>
      </c>
      <c r="AA125" s="389">
        <f t="shared" si="41"/>
        <v>3</v>
      </c>
      <c r="AB125" s="389" t="b">
        <f t="shared" si="42"/>
        <v>0</v>
      </c>
      <c r="AC125" s="389">
        <f t="shared" si="43"/>
        <v>-3</v>
      </c>
      <c r="AD125" s="389">
        <f t="shared" si="44"/>
        <v>3</v>
      </c>
      <c r="AE125" s="389">
        <f t="shared" si="45"/>
        <v>1</v>
      </c>
      <c r="AG125" s="311" t="str">
        <f t="shared" si="46"/>
        <v>Ch C Male Flag Football-</v>
      </c>
      <c r="AH125" s="453">
        <f t="shared" si="47"/>
        <v>3</v>
      </c>
      <c r="AI125" s="453">
        <f t="shared" si="48"/>
        <v>1</v>
      </c>
      <c r="AJ125" t="str">
        <f t="array" ref="AJ125">IF(AND(AI125&gt;1,G125&lt;&gt;""),INDEX(FS_teams,MATCH(1,(FS_Keys=AG125)*(FS_Points=I125)*(FS_teams&lt;&gt;G125),0)),"")</f>
        <v/>
      </c>
      <c r="AK125" s="390" t="str">
        <f t="array" ref="AK125">IF(AJ125&lt;&gt;"",INDEX(TM_Score1,MATCH(1,(TM_Events=D125)*(TM_Participant1=G125)*(TM_Participant2=AJ125),0)),"")</f>
        <v/>
      </c>
      <c r="AL125" s="390" t="str">
        <f t="array" ref="AL125">IF(AJ125&lt;&gt;"",INDEX(TM_Score1,MATCH(1,(TM_Events=D125)*(TM_Participant1=AJ125)*(TM_Participant2=G125),0)),"")</f>
        <v/>
      </c>
      <c r="AM125" s="389" t="str">
        <f t="array" ref="AM125">IF(ISNUMBER(AK125),INDEX(TM_Score2,MATCH(1,(TM_Events=D125)*(TM_Participant1=G125)*(TM_Participant2=AJ125),0)),"")</f>
        <v/>
      </c>
      <c r="AN125" s="389" t="str">
        <f t="array" ref="AN125">IF(ISNUMBER(AL125),INDEX(TM_Score2,MATCH(1,(TM_Events=D125)*(TM_Participant1=AJ125)*(TM_Participant2=G125),0)),"")</f>
        <v/>
      </c>
      <c r="AO125" s="389" t="str">
        <f t="shared" si="49"/>
        <v/>
      </c>
      <c r="AP125" s="389">
        <f t="shared" si="50"/>
        <v>2</v>
      </c>
      <c r="AQ125" s="389">
        <f t="shared" si="51"/>
        <v>0</v>
      </c>
      <c r="AR125" s="389">
        <f t="shared" si="52"/>
        <v>1</v>
      </c>
      <c r="AS125" s="453">
        <f t="shared" si="53"/>
        <v>12</v>
      </c>
      <c r="AT125" s="452">
        <f t="shared" si="54"/>
        <v>38</v>
      </c>
    </row>
    <row r="126" spans="1:46" ht="16" x14ac:dyDescent="0.2">
      <c r="A126" s="298"/>
      <c r="B126"/>
      <c r="C126" s="462"/>
      <c r="D126" s="303" t="s">
        <v>47</v>
      </c>
      <c r="E126" s="396"/>
      <c r="F126" s="387">
        <v>1</v>
      </c>
      <c r="G126" s="397" t="s">
        <v>573</v>
      </c>
      <c r="H126" s="387" t="str">
        <f t="shared" si="29"/>
        <v>0-2-1</v>
      </c>
      <c r="I126" s="389">
        <f t="shared" si="30"/>
        <v>1</v>
      </c>
      <c r="J126" s="455" t="str">
        <f t="shared" si="55"/>
        <v/>
      </c>
      <c r="K126" s="455" t="str">
        <f t="shared" si="31"/>
        <v/>
      </c>
      <c r="L126" s="455" t="str">
        <f t="shared" si="56"/>
        <v/>
      </c>
      <c r="M126" s="389" t="str">
        <f>IFERROR(IF(AD126&lt;=VLOOKUP(D126,Tournaments!$A$1:$B$1772,2,FALSE),"TRUE","FALSE"),"")</f>
        <v>FALSE</v>
      </c>
      <c r="N126" s="389">
        <v>1</v>
      </c>
      <c r="O126" s="389">
        <f t="shared" si="32"/>
        <v>5</v>
      </c>
      <c r="Q126" s="389">
        <f t="shared" si="33"/>
        <v>0</v>
      </c>
      <c r="R126" s="389">
        <f t="shared" si="34"/>
        <v>2</v>
      </c>
      <c r="S126" s="389">
        <f t="shared" si="35"/>
        <v>1</v>
      </c>
      <c r="U126" s="389">
        <f t="shared" si="36"/>
        <v>5</v>
      </c>
      <c r="V126" s="389" t="b">
        <f t="shared" si="37"/>
        <v>0</v>
      </c>
      <c r="W126" s="389">
        <f t="shared" si="38"/>
        <v>-5</v>
      </c>
      <c r="X126" s="389">
        <f t="shared" si="39"/>
        <v>5</v>
      </c>
      <c r="Y126" s="389" t="b">
        <f t="shared" si="57"/>
        <v>0</v>
      </c>
      <c r="Z126" s="389">
        <f t="shared" si="40"/>
        <v>-5</v>
      </c>
      <c r="AA126" s="389">
        <f t="shared" si="41"/>
        <v>5</v>
      </c>
      <c r="AB126" s="389" t="b">
        <f t="shared" si="42"/>
        <v>0</v>
      </c>
      <c r="AC126" s="389">
        <f t="shared" si="43"/>
        <v>-5</v>
      </c>
      <c r="AD126" s="389">
        <f t="shared" si="44"/>
        <v>5</v>
      </c>
      <c r="AE126" s="389">
        <f t="shared" si="45"/>
        <v>1</v>
      </c>
      <c r="AG126" s="311" t="str">
        <f t="shared" si="46"/>
        <v>Ch C Male Kickball-</v>
      </c>
      <c r="AH126" s="453">
        <f t="shared" si="47"/>
        <v>5</v>
      </c>
      <c r="AI126" s="453">
        <f t="shared" si="48"/>
        <v>1</v>
      </c>
      <c r="AJ126" t="str">
        <f t="array" ref="AJ126">IF(AND(AI126&gt;1,G126&lt;&gt;""),INDEX(FS_teams,MATCH(1,(FS_Keys=AG126)*(FS_Points=I126)*(FS_teams&lt;&gt;G126),0)),"")</f>
        <v/>
      </c>
      <c r="AK126" s="390" t="str">
        <f t="array" ref="AK126">IF(AJ126&lt;&gt;"",INDEX(TM_Score1,MATCH(1,(TM_Events=D126)*(TM_Participant1=G126)*(TM_Participant2=AJ126),0)),"")</f>
        <v/>
      </c>
      <c r="AL126" s="390" t="str">
        <f t="array" ref="AL126">IF(AJ126&lt;&gt;"",INDEX(TM_Score1,MATCH(1,(TM_Events=D126)*(TM_Participant1=AJ126)*(TM_Participant2=G126),0)),"")</f>
        <v/>
      </c>
      <c r="AM126" s="389" t="str">
        <f t="array" ref="AM126">IF(ISNUMBER(AK126),INDEX(TM_Score2,MATCH(1,(TM_Events=D126)*(TM_Participant1=G126)*(TM_Participant2=AJ126),0)),"")</f>
        <v/>
      </c>
      <c r="AN126" s="389" t="str">
        <f t="array" ref="AN126">IF(ISNUMBER(AL126),INDEX(TM_Score2,MATCH(1,(TM_Events=D126)*(TM_Participant1=AJ126)*(TM_Participant2=G126),0)),"")</f>
        <v/>
      </c>
      <c r="AO126" s="389" t="str">
        <f t="shared" si="49"/>
        <v/>
      </c>
      <c r="AP126" s="389">
        <f t="shared" si="50"/>
        <v>0</v>
      </c>
      <c r="AQ126" s="389">
        <f t="shared" si="51"/>
        <v>1</v>
      </c>
      <c r="AR126" s="389">
        <f t="shared" si="52"/>
        <v>2</v>
      </c>
      <c r="AS126" s="453">
        <f t="shared" si="53"/>
        <v>-6</v>
      </c>
      <c r="AT126" s="452">
        <f t="shared" si="54"/>
        <v>6</v>
      </c>
    </row>
    <row r="127" spans="1:46" ht="16" x14ac:dyDescent="0.2">
      <c r="A127" s="298"/>
      <c r="B127"/>
      <c r="C127" s="462"/>
      <c r="D127" s="303" t="s">
        <v>47</v>
      </c>
      <c r="E127" s="396"/>
      <c r="F127" s="387">
        <v>1</v>
      </c>
      <c r="G127" s="397" t="s">
        <v>581</v>
      </c>
      <c r="H127" s="387" t="str">
        <f t="shared" si="29"/>
        <v>1-1-1</v>
      </c>
      <c r="I127" s="389">
        <f t="shared" si="30"/>
        <v>3</v>
      </c>
      <c r="J127" s="455" t="str">
        <f t="shared" si="55"/>
        <v/>
      </c>
      <c r="K127" s="455" t="str">
        <f t="shared" si="31"/>
        <v/>
      </c>
      <c r="L127" s="455" t="str">
        <f t="shared" si="56"/>
        <v/>
      </c>
      <c r="M127" s="389" t="str">
        <f>IFERROR(IF(AD127&lt;=VLOOKUP(D127,Tournaments!$A$1:$B$1772,2,FALSE),"TRUE","FALSE"),"")</f>
        <v>FALSE</v>
      </c>
      <c r="N127" s="389">
        <v>1</v>
      </c>
      <c r="O127" s="389">
        <f t="shared" si="32"/>
        <v>4</v>
      </c>
      <c r="Q127" s="389">
        <f t="shared" si="33"/>
        <v>1</v>
      </c>
      <c r="R127" s="389">
        <f t="shared" si="34"/>
        <v>1</v>
      </c>
      <c r="S127" s="389">
        <f t="shared" si="35"/>
        <v>1</v>
      </c>
      <c r="U127" s="389">
        <f t="shared" si="36"/>
        <v>4</v>
      </c>
      <c r="V127" s="389" t="b">
        <f t="shared" si="37"/>
        <v>0</v>
      </c>
      <c r="W127" s="389">
        <f t="shared" si="38"/>
        <v>-4</v>
      </c>
      <c r="X127" s="389">
        <f t="shared" si="39"/>
        <v>4</v>
      </c>
      <c r="Y127" s="389" t="b">
        <f t="shared" si="57"/>
        <v>0</v>
      </c>
      <c r="Z127" s="389">
        <f t="shared" si="40"/>
        <v>-4</v>
      </c>
      <c r="AA127" s="389">
        <f t="shared" si="41"/>
        <v>4</v>
      </c>
      <c r="AB127" s="389" t="b">
        <f t="shared" si="42"/>
        <v>0</v>
      </c>
      <c r="AC127" s="389">
        <f t="shared" si="43"/>
        <v>-4</v>
      </c>
      <c r="AD127" s="389">
        <f t="shared" si="44"/>
        <v>4</v>
      </c>
      <c r="AE127" s="389">
        <f t="shared" si="45"/>
        <v>1</v>
      </c>
      <c r="AG127" s="311" t="str">
        <f t="shared" si="46"/>
        <v>Ch C Male Kickball-</v>
      </c>
      <c r="AH127" s="453">
        <f t="shared" si="47"/>
        <v>4</v>
      </c>
      <c r="AI127" s="453">
        <f t="shared" si="48"/>
        <v>1</v>
      </c>
      <c r="AJ127" t="str">
        <f t="array" ref="AJ127">IF(AND(AI127&gt;1,G127&lt;&gt;""),INDEX(FS_teams,MATCH(1,(FS_Keys=AG127)*(FS_Points=I127)*(FS_teams&lt;&gt;G127),0)),"")</f>
        <v/>
      </c>
      <c r="AK127" s="390" t="str">
        <f t="array" ref="AK127">IF(AJ127&lt;&gt;"",INDEX(TM_Score1,MATCH(1,(TM_Events=D127)*(TM_Participant1=G127)*(TM_Participant2=AJ127),0)),"")</f>
        <v/>
      </c>
      <c r="AL127" s="390" t="str">
        <f t="array" ref="AL127">IF(AJ127&lt;&gt;"",INDEX(TM_Score1,MATCH(1,(TM_Events=D127)*(TM_Participant1=AJ127)*(TM_Participant2=G127),0)),"")</f>
        <v/>
      </c>
      <c r="AM127" s="389" t="str">
        <f t="array" ref="AM127">IF(ISNUMBER(AK127),INDEX(TM_Score2,MATCH(1,(TM_Events=D127)*(TM_Participant1=G127)*(TM_Participant2=AJ127),0)),"")</f>
        <v/>
      </c>
      <c r="AN127" s="389" t="str">
        <f t="array" ref="AN127">IF(ISNUMBER(AL127),INDEX(TM_Score2,MATCH(1,(TM_Events=D127)*(TM_Participant1=AJ127)*(TM_Participant2=G127),0)),"")</f>
        <v/>
      </c>
      <c r="AO127" s="389" t="str">
        <f t="shared" si="49"/>
        <v/>
      </c>
      <c r="AP127" s="389">
        <f t="shared" si="50"/>
        <v>1</v>
      </c>
      <c r="AQ127" s="389">
        <f t="shared" si="51"/>
        <v>1</v>
      </c>
      <c r="AR127" s="389">
        <f t="shared" si="52"/>
        <v>1</v>
      </c>
      <c r="AS127" s="453">
        <f t="shared" si="53"/>
        <v>0</v>
      </c>
      <c r="AT127" s="452">
        <f t="shared" si="54"/>
        <v>11</v>
      </c>
    </row>
    <row r="128" spans="1:46" ht="16" x14ac:dyDescent="0.2">
      <c r="A128" s="298"/>
      <c r="B128"/>
      <c r="C128" s="462"/>
      <c r="D128" s="303" t="s">
        <v>47</v>
      </c>
      <c r="E128" s="396"/>
      <c r="F128" s="387">
        <v>1</v>
      </c>
      <c r="G128" s="397" t="s">
        <v>578</v>
      </c>
      <c r="H128" s="387" t="str">
        <f t="shared" si="29"/>
        <v>0-3-0</v>
      </c>
      <c r="I128" s="389">
        <f t="shared" si="30"/>
        <v>0</v>
      </c>
      <c r="J128" s="455" t="str">
        <f t="shared" si="55"/>
        <v/>
      </c>
      <c r="K128" s="455" t="str">
        <f t="shared" si="31"/>
        <v/>
      </c>
      <c r="L128" s="455" t="str">
        <f t="shared" si="56"/>
        <v/>
      </c>
      <c r="M128" s="389" t="str">
        <f>IFERROR(IF(AD128&lt;=VLOOKUP(D128,Tournaments!$A$1:$B$1772,2,FALSE),"TRUE","FALSE"),"")</f>
        <v>FALSE</v>
      </c>
      <c r="N128" s="389">
        <v>1</v>
      </c>
      <c r="O128" s="389">
        <f t="shared" si="32"/>
        <v>6</v>
      </c>
      <c r="Q128" s="389">
        <f t="shared" si="33"/>
        <v>0</v>
      </c>
      <c r="R128" s="389">
        <f t="shared" si="34"/>
        <v>3</v>
      </c>
      <c r="S128" s="389">
        <f t="shared" si="35"/>
        <v>0</v>
      </c>
      <c r="U128" s="389">
        <f t="shared" si="36"/>
        <v>6</v>
      </c>
      <c r="V128" s="389" t="b">
        <f t="shared" si="37"/>
        <v>0</v>
      </c>
      <c r="W128" s="389">
        <f t="shared" si="38"/>
        <v>-6</v>
      </c>
      <c r="X128" s="389">
        <f t="shared" si="39"/>
        <v>6</v>
      </c>
      <c r="Y128" s="389" t="b">
        <f t="shared" si="57"/>
        <v>0</v>
      </c>
      <c r="Z128" s="389">
        <f t="shared" si="40"/>
        <v>-6</v>
      </c>
      <c r="AA128" s="389">
        <f t="shared" si="41"/>
        <v>6</v>
      </c>
      <c r="AB128" s="389" t="b">
        <f t="shared" si="42"/>
        <v>0</v>
      </c>
      <c r="AC128" s="389">
        <f t="shared" si="43"/>
        <v>-6</v>
      </c>
      <c r="AD128" s="389">
        <f t="shared" si="44"/>
        <v>6</v>
      </c>
      <c r="AE128" s="389">
        <f t="shared" si="45"/>
        <v>1</v>
      </c>
      <c r="AG128" s="311" t="str">
        <f t="shared" si="46"/>
        <v>Ch C Male Kickball-</v>
      </c>
      <c r="AH128" s="453">
        <f t="shared" si="47"/>
        <v>6</v>
      </c>
      <c r="AI128" s="453">
        <f t="shared" si="48"/>
        <v>1</v>
      </c>
      <c r="AJ128" t="str">
        <f t="array" ref="AJ128">IF(AND(AI128&gt;1,G128&lt;&gt;""),INDEX(FS_teams,MATCH(1,(FS_Keys=AG128)*(FS_Points=I128)*(FS_teams&lt;&gt;G128),0)),"")</f>
        <v/>
      </c>
      <c r="AK128" s="390" t="str">
        <f t="array" ref="AK128">IF(AJ128&lt;&gt;"",INDEX(TM_Score1,MATCH(1,(TM_Events=D128)*(TM_Participant1=G128)*(TM_Participant2=AJ128),0)),"")</f>
        <v/>
      </c>
      <c r="AL128" s="390" t="str">
        <f t="array" ref="AL128">IF(AJ128&lt;&gt;"",INDEX(TM_Score1,MATCH(1,(TM_Events=D128)*(TM_Participant1=AJ128)*(TM_Participant2=G128),0)),"")</f>
        <v/>
      </c>
      <c r="AM128" s="389" t="str">
        <f t="array" ref="AM128">IF(ISNUMBER(AK128),INDEX(TM_Score2,MATCH(1,(TM_Events=D128)*(TM_Participant1=G128)*(TM_Participant2=AJ128),0)),"")</f>
        <v/>
      </c>
      <c r="AN128" s="389" t="str">
        <f t="array" ref="AN128">IF(ISNUMBER(AL128),INDEX(TM_Score2,MATCH(1,(TM_Events=D128)*(TM_Participant1=AJ128)*(TM_Participant2=G128),0)),"")</f>
        <v/>
      </c>
      <c r="AO128" s="389" t="str">
        <f t="shared" si="49"/>
        <v/>
      </c>
      <c r="AP128" s="389">
        <f t="shared" si="50"/>
        <v>0</v>
      </c>
      <c r="AQ128" s="389">
        <f t="shared" si="51"/>
        <v>0</v>
      </c>
      <c r="AR128" s="389">
        <f t="shared" si="52"/>
        <v>3</v>
      </c>
      <c r="AS128" s="453">
        <f t="shared" si="53"/>
        <v>-13</v>
      </c>
      <c r="AT128" s="452">
        <f t="shared" si="54"/>
        <v>15</v>
      </c>
    </row>
    <row r="129" spans="1:46" ht="16" x14ac:dyDescent="0.2">
      <c r="A129" s="298"/>
      <c r="B129"/>
      <c r="C129" s="462"/>
      <c r="D129" s="303" t="s">
        <v>47</v>
      </c>
      <c r="E129" s="396"/>
      <c r="F129" s="387">
        <v>1</v>
      </c>
      <c r="G129" s="397" t="s">
        <v>580</v>
      </c>
      <c r="H129" s="387" t="str">
        <f t="shared" si="29"/>
        <v>4-0-0</v>
      </c>
      <c r="I129" s="389">
        <f t="shared" si="30"/>
        <v>8</v>
      </c>
      <c r="J129" s="455" t="str">
        <f t="shared" si="55"/>
        <v/>
      </c>
      <c r="K129" s="455" t="str">
        <f t="shared" si="31"/>
        <v/>
      </c>
      <c r="L129" s="455" t="str">
        <f t="shared" si="56"/>
        <v/>
      </c>
      <c r="M129" s="389" t="str">
        <f>IFERROR(IF(AD129&lt;=VLOOKUP(D129,Tournaments!$A$1:$B$1772,2,FALSE),"TRUE","FALSE"),"")</f>
        <v>TRUE</v>
      </c>
      <c r="N129" s="389">
        <v>1</v>
      </c>
      <c r="O129" s="389">
        <f t="shared" si="32"/>
        <v>1</v>
      </c>
      <c r="Q129" s="389">
        <f t="shared" si="33"/>
        <v>4</v>
      </c>
      <c r="R129" s="389">
        <f t="shared" si="34"/>
        <v>0</v>
      </c>
      <c r="S129" s="389">
        <f t="shared" si="35"/>
        <v>0</v>
      </c>
      <c r="U129" s="389">
        <f t="shared" si="36"/>
        <v>1</v>
      </c>
      <c r="V129" s="389" t="b">
        <f t="shared" si="37"/>
        <v>0</v>
      </c>
      <c r="W129" s="389">
        <f t="shared" si="38"/>
        <v>-1</v>
      </c>
      <c r="X129" s="389">
        <f t="shared" si="39"/>
        <v>1</v>
      </c>
      <c r="Y129" s="389" t="b">
        <f t="shared" si="57"/>
        <v>0</v>
      </c>
      <c r="Z129" s="389">
        <f t="shared" si="40"/>
        <v>-1</v>
      </c>
      <c r="AA129" s="389">
        <f t="shared" si="41"/>
        <v>1</v>
      </c>
      <c r="AB129" s="389" t="b">
        <f t="shared" si="42"/>
        <v>0</v>
      </c>
      <c r="AC129" s="389">
        <f t="shared" si="43"/>
        <v>-1</v>
      </c>
      <c r="AD129" s="389">
        <f t="shared" si="44"/>
        <v>1</v>
      </c>
      <c r="AE129" s="389">
        <f t="shared" si="45"/>
        <v>1</v>
      </c>
      <c r="AG129" s="311" t="str">
        <f t="shared" si="46"/>
        <v>Ch C Male Kickball-</v>
      </c>
      <c r="AH129" s="453">
        <f t="shared" si="47"/>
        <v>1</v>
      </c>
      <c r="AI129" s="453">
        <f t="shared" si="48"/>
        <v>1</v>
      </c>
      <c r="AJ129" t="str">
        <f t="array" ref="AJ129">IF(AND(AI129&gt;1,G129&lt;&gt;""),INDEX(FS_teams,MATCH(1,(FS_Keys=AG129)*(FS_Points=I129)*(FS_teams&lt;&gt;G129),0)),"")</f>
        <v/>
      </c>
      <c r="AK129" s="390" t="str">
        <f t="array" ref="AK129">IF(AJ129&lt;&gt;"",INDEX(TM_Score1,MATCH(1,(TM_Events=D129)*(TM_Participant1=G129)*(TM_Participant2=AJ129),0)),"")</f>
        <v/>
      </c>
      <c r="AL129" s="390" t="str">
        <f t="array" ref="AL129">IF(AJ129&lt;&gt;"",INDEX(TM_Score1,MATCH(1,(TM_Events=D129)*(TM_Participant1=AJ129)*(TM_Participant2=G129),0)),"")</f>
        <v/>
      </c>
      <c r="AM129" s="389" t="str">
        <f t="array" ref="AM129">IF(ISNUMBER(AK129),INDEX(TM_Score2,MATCH(1,(TM_Events=D129)*(TM_Participant1=G129)*(TM_Participant2=AJ129),0)),"")</f>
        <v/>
      </c>
      <c r="AN129" s="389" t="str">
        <f t="array" ref="AN129">IF(ISNUMBER(AL129),INDEX(TM_Score2,MATCH(1,(TM_Events=D129)*(TM_Participant1=AJ129)*(TM_Participant2=G129),0)),"")</f>
        <v/>
      </c>
      <c r="AO129" s="389" t="str">
        <f t="shared" si="49"/>
        <v/>
      </c>
      <c r="AP129" s="389">
        <f t="shared" si="50"/>
        <v>4</v>
      </c>
      <c r="AQ129" s="389">
        <f t="shared" si="51"/>
        <v>0</v>
      </c>
      <c r="AR129" s="389">
        <f t="shared" si="52"/>
        <v>0</v>
      </c>
      <c r="AS129" s="453">
        <f t="shared" si="53"/>
        <v>19</v>
      </c>
      <c r="AT129" s="452">
        <f t="shared" si="54"/>
        <v>36</v>
      </c>
    </row>
    <row r="130" spans="1:46" ht="16" x14ac:dyDescent="0.2">
      <c r="A130" s="298"/>
      <c r="B130"/>
      <c r="C130" s="462"/>
      <c r="D130" s="303" t="s">
        <v>47</v>
      </c>
      <c r="E130" s="396"/>
      <c r="F130" s="387">
        <v>1</v>
      </c>
      <c r="G130" s="397" t="s">
        <v>574</v>
      </c>
      <c r="H130" s="387" t="str">
        <f t="shared" si="29"/>
        <v>2-1-0</v>
      </c>
      <c r="I130" s="389">
        <f t="shared" si="30"/>
        <v>4</v>
      </c>
      <c r="J130" s="455">
        <f t="shared" si="55"/>
        <v>0</v>
      </c>
      <c r="K130" s="455" t="str">
        <f t="shared" si="31"/>
        <v/>
      </c>
      <c r="L130" s="455" t="str">
        <f t="shared" si="56"/>
        <v/>
      </c>
      <c r="M130" s="389" t="str">
        <f>IFERROR(IF(AD130&lt;=VLOOKUP(D130,Tournaments!$A$1:$B$1772,2,FALSE),"TRUE","FALSE"),"")</f>
        <v>FALSE</v>
      </c>
      <c r="N130" s="389">
        <v>1</v>
      </c>
      <c r="O130" s="389">
        <f t="shared" si="32"/>
        <v>3</v>
      </c>
      <c r="Q130" s="389">
        <f t="shared" si="33"/>
        <v>2</v>
      </c>
      <c r="R130" s="389">
        <f t="shared" si="34"/>
        <v>1</v>
      </c>
      <c r="S130" s="389">
        <f t="shared" si="35"/>
        <v>0</v>
      </c>
      <c r="U130" s="389">
        <f t="shared" si="36"/>
        <v>3</v>
      </c>
      <c r="V130" s="389">
        <f t="shared" si="37"/>
        <v>1E-4</v>
      </c>
      <c r="W130" s="389">
        <f t="shared" si="38"/>
        <v>-2.9998999999999998</v>
      </c>
      <c r="X130" s="389">
        <f t="shared" si="39"/>
        <v>3</v>
      </c>
      <c r="Y130" s="389" t="b">
        <f t="shared" si="57"/>
        <v>0</v>
      </c>
      <c r="Z130" s="389">
        <f t="shared" si="40"/>
        <v>-3</v>
      </c>
      <c r="AA130" s="389">
        <f t="shared" si="41"/>
        <v>3</v>
      </c>
      <c r="AB130" s="389" t="b">
        <f t="shared" si="42"/>
        <v>0</v>
      </c>
      <c r="AC130" s="389">
        <f t="shared" si="43"/>
        <v>-3</v>
      </c>
      <c r="AD130" s="389">
        <f t="shared" si="44"/>
        <v>3</v>
      </c>
      <c r="AE130" s="389">
        <f t="shared" si="45"/>
        <v>1</v>
      </c>
      <c r="AG130" s="311" t="str">
        <f t="shared" si="46"/>
        <v>Ch C Male Kickball-</v>
      </c>
      <c r="AH130" s="453">
        <f t="shared" si="47"/>
        <v>2</v>
      </c>
      <c r="AI130" s="453">
        <f t="shared" si="48"/>
        <v>2</v>
      </c>
      <c r="AJ130" t="str">
        <f t="array" ref="AJ130">IF(AND(AI130&gt;1,G130&lt;&gt;""),INDEX(FS_teams,MATCH(1,(FS_Keys=AG130)*(FS_Points=I130)*(FS_teams&lt;&gt;G130),0)),"")</f>
        <v>CHILD CM - ARG 1</v>
      </c>
      <c r="AK130" s="390" t="e">
        <f t="array" ref="AK130">IF(AJ130&lt;&gt;"",INDEX(TM_Score1,MATCH(1,(TM_Events=D130)*(TM_Participant1=G130)*(TM_Participant2=AJ130),0)),"")</f>
        <v>#N/A</v>
      </c>
      <c r="AL130" s="390">
        <f t="array" ref="AL130">IF(AJ130&lt;&gt;"",INDEX(TM_Score1,MATCH(1,(TM_Events=D130)*(TM_Participant1=AJ130)*(TM_Participant2=G130),0)),"")</f>
        <v>6</v>
      </c>
      <c r="AM130" s="389" t="str">
        <f t="array" ref="AM130">IF(ISNUMBER(AK130),INDEX(TM_Score2,MATCH(1,(TM_Events=D130)*(TM_Participant1=G130)*(TM_Participant2=AJ130),0)),"")</f>
        <v/>
      </c>
      <c r="AN130" s="389">
        <f t="array" ref="AN130">IF(ISNUMBER(AL130),INDEX(TM_Score2,MATCH(1,(TM_Events=D130)*(TM_Participant1=AJ130)*(TM_Participant2=G130),0)),"")</f>
        <v>4</v>
      </c>
      <c r="AO130" s="389" t="str">
        <f t="shared" si="49"/>
        <v>Loss</v>
      </c>
      <c r="AP130" s="389">
        <f t="shared" si="50"/>
        <v>2</v>
      </c>
      <c r="AQ130" s="389">
        <f t="shared" si="51"/>
        <v>0</v>
      </c>
      <c r="AR130" s="389">
        <f t="shared" si="52"/>
        <v>1</v>
      </c>
      <c r="AS130" s="453">
        <f t="shared" si="53"/>
        <v>4</v>
      </c>
      <c r="AT130" s="452">
        <f t="shared" si="54"/>
        <v>22</v>
      </c>
    </row>
    <row r="131" spans="1:46" ht="16" x14ac:dyDescent="0.2">
      <c r="A131" s="298"/>
      <c r="B131"/>
      <c r="C131" s="462"/>
      <c r="D131" s="303" t="s">
        <v>47</v>
      </c>
      <c r="E131" s="387"/>
      <c r="F131" s="387">
        <v>1</v>
      </c>
      <c r="G131" s="397" t="s">
        <v>572</v>
      </c>
      <c r="H131" s="387" t="str">
        <f t="shared" ref="H131:H194" si="58">Q131&amp;"-"&amp;R131&amp;"-"&amp;S131</f>
        <v>2-2-0</v>
      </c>
      <c r="I131" s="389">
        <f t="shared" ref="I131:I194" si="59">IF(H131&lt;&gt;"0-0-0",Q131*2+S131,0)</f>
        <v>4</v>
      </c>
      <c r="J131" s="455">
        <f t="shared" si="55"/>
        <v>2</v>
      </c>
      <c r="K131" s="455" t="str">
        <f t="shared" ref="K131:K194" si="60">IF(COUNTIFS(AG:AG,AG131,I:I,I131,J:J,J131)&gt;1,AS131,"")</f>
        <v/>
      </c>
      <c r="L131" s="455" t="str">
        <f t="shared" si="56"/>
        <v/>
      </c>
      <c r="M131" s="389" t="str">
        <f>IFERROR(IF(AD131&lt;=VLOOKUP(D131,Tournaments!$A$1:$B$1772,2,FALSE),"TRUE","FALSE"),"")</f>
        <v>TRUE</v>
      </c>
      <c r="N131" s="389">
        <v>1</v>
      </c>
      <c r="O131" s="389">
        <f t="shared" ref="O131:O194" si="61">AD131</f>
        <v>2</v>
      </c>
      <c r="Q131" s="389">
        <f t="shared" ref="Q131:Q194" si="62">AP131</f>
        <v>2</v>
      </c>
      <c r="R131" s="389">
        <f t="shared" ref="R131:R194" si="63">AR131</f>
        <v>2</v>
      </c>
      <c r="S131" s="389">
        <f t="shared" ref="S131:S194" si="64">AQ131</f>
        <v>0</v>
      </c>
      <c r="U131" s="389">
        <f t="shared" ref="U131:U194" si="65">IF(E131&lt;&gt;"",COUNTIFS($D$3:$D$1001,D131,$E$3:$E$1001,E131,$I$3:$I$1001,"&gt;"&amp;I131)+COUNTIFS($D$3:$D$1001,D131,$E$3:$E$1001,E131,$I$3:$I$1001,I131),COUNTIFS($D$3:$D$1001,D131,$I$3:$I$1001,"&gt;"&amp;I131)+COUNTIFS($D$3:$D$1001,D131,$I$3:$I$1001,I131))</f>
        <v>3</v>
      </c>
      <c r="V131" s="389">
        <f t="shared" ref="V131:V194" si="66">IFERROR(RANK(J131,$J:$J,1)/10000,FALSE)</f>
        <v>2.1999999999999999E-2</v>
      </c>
      <c r="W131" s="389">
        <f t="shared" ref="W131:W194" si="67">V131-U131</f>
        <v>-2.9780000000000002</v>
      </c>
      <c r="X131" s="389">
        <f t="shared" ref="X131:X194" si="68">IF(E131&lt;&gt;"",COUNTIFS($D:$D,$D131,$E:$E,$E131,$W:$W,"&gt;"&amp;W131)+COUNTIFS($D:$D,$D131,$E:$E,$E131,$W:$W,W131),COUNTIFS($D:$D,$D131,$W:$W,"&gt;"&amp;W131)+COUNTIFS($D:$D,$D131,$W:$W,W131))</f>
        <v>2</v>
      </c>
      <c r="Y131" s="389" t="b">
        <f t="shared" si="57"/>
        <v>0</v>
      </c>
      <c r="Z131" s="389">
        <f t="shared" ref="Z131:Z194" si="69">Y131-X131</f>
        <v>-2</v>
      </c>
      <c r="AA131" s="389">
        <f t="shared" ref="AA131:AA194" si="70">IF(E131&lt;&gt;"",(COUNTIFS($D:$D,D131,$E:$E,E131,$Z:$Z,"&gt;"&amp;Z131)+COUNTIFS($D:$D,D131,$E:$E,E131,$Z:$Z,Z131)),(COUNTIFS($D:$D,D131,$Z:$Z,"&gt;"&amp;Z131)+COUNTIFS($D:$D,D131,$Z:$Z,Z131)))</f>
        <v>2</v>
      </c>
      <c r="AB131" s="389" t="b">
        <f t="shared" ref="AB131:AB194" si="71">IFERROR(RANK(L131,$L:$L,1)/10000,FALSE)</f>
        <v>0</v>
      </c>
      <c r="AC131" s="389">
        <f t="shared" ref="AC131:AC194" si="72">AB131-AA131</f>
        <v>-2</v>
      </c>
      <c r="AD131" s="389">
        <f t="shared" ref="AD131:AD194" si="73">IF(E131&lt;&gt;"",COUNTIFS($D:$D,$D131,$E:$E,$E131,$AC:$AC,"&gt;"&amp;AC131)+COUNTIFS($D:$D,$D131,$E:$E,$E131,$AC:$AC,AC131),COUNTIFS($D:$D,$D131,$AC:$AC,"&gt;"&amp;AC131)+COUNTIFS($D:$D,$D131,$AC:$AC,AC131))</f>
        <v>2</v>
      </c>
      <c r="AE131" s="389">
        <f t="shared" ref="AE131:AE194" si="74">IF(E131&lt;&gt;"",COUNTIFS($D:$D,D131,$E:$E,E131,$I:$I,I131,$J:$J,J131),COUNTIFS($D:$D,D131,$I:$I,I131,$J:$J,J131))</f>
        <v>1</v>
      </c>
      <c r="AG131" s="311" t="str">
        <f t="shared" ref="AG131:AG194" si="75">D131&amp;"-"&amp;E131</f>
        <v>Ch C Male Kickball-</v>
      </c>
      <c r="AH131" s="453">
        <f t="shared" ref="AH131:AH194" si="76">IF(G131="","",COUNTIFS(FS_teams,"&lt;&gt;-1",FS_Keys,AG131,FS_Points,"&gt;"&amp;I131)+1)</f>
        <v>2</v>
      </c>
      <c r="AI131" s="453">
        <f t="shared" ref="AI131:AI194" si="77">IF(G131="","",COUNTIFS(FS_Keys,AG131,FS_Rank_on_Points,AH131))</f>
        <v>2</v>
      </c>
      <c r="AJ131" t="str">
        <f t="array" ref="AJ131">IF(AND(AI131&gt;1,G131&lt;&gt;""),INDEX(FS_teams,MATCH(1,(FS_Keys=AG131)*(FS_Points=I131)*(FS_teams&lt;&gt;G131),0)),"")</f>
        <v>CHILD CM - COL 1</v>
      </c>
      <c r="AK131" s="390">
        <f t="array" ref="AK131">IF(AJ131&lt;&gt;"",INDEX(TM_Score1,MATCH(1,(TM_Events=D131)*(TM_Participant1=G131)*(TM_Participant2=AJ131),0)),"")</f>
        <v>6</v>
      </c>
      <c r="AL131" s="390" t="e">
        <f t="array" ref="AL131">IF(AJ131&lt;&gt;"",INDEX(TM_Score1,MATCH(1,(TM_Events=D131)*(TM_Participant1=AJ131)*(TM_Participant2=G131),0)),"")</f>
        <v>#N/A</v>
      </c>
      <c r="AM131" s="389">
        <f t="array" ref="AM131">IF(ISNUMBER(AK131),INDEX(TM_Score2,MATCH(1,(TM_Events=D131)*(TM_Participant1=G131)*(TM_Participant2=AJ131),0)),"")</f>
        <v>4</v>
      </c>
      <c r="AN131" s="389" t="str">
        <f t="array" ref="AN131">IF(ISNUMBER(AL131),INDEX(TM_Score2,MATCH(1,(TM_Events=D131)*(TM_Participant1=AJ131)*(TM_Participant2=G131),0)),"")</f>
        <v/>
      </c>
      <c r="AO131" s="389" t="str">
        <f t="shared" ref="AO131:AO194" si="78">IF(AJ131="","",IF(ISNUMBER(AK131),IF(AK131&gt;AM131,"Win",IF(AK131=AM131,"Tie",IF(AK131&lt;AM131,"Loss","check"))),IF(ISNUMBER(AL131),IF(AN131&gt;AL131,"Win",IF(AN131=AL131,"Tie",IF(AN131&lt;AL131,"Loss","check"))),IF(AND(ISNA(AK131),ISNA(AL131)),"did not play","check"))))</f>
        <v>Win</v>
      </c>
      <c r="AP131" s="389">
        <f t="shared" ref="AP131:AP194" si="79">SUMIFS(TM_W1,TM_Events,D131,TM_Participant1,G131)+SUMIFS(TM_w2,TM_Events,D131,TM_Participant2,G131)</f>
        <v>2</v>
      </c>
      <c r="AQ131" s="389">
        <f t="shared" ref="AQ131:AQ194" si="80">SUMIFS(TM_T1,TM_Events,D131,TM_Participant1,G131)+SUMIFS(TM_T2,TM_Events,D131,TM_Participant2,G131)</f>
        <v>0</v>
      </c>
      <c r="AR131" s="389">
        <f t="shared" ref="AR131:AR194" si="81">SUMIFS(TM_L1,TM_Events,D131,TM_Participant1,G131)+SUMIFS(TM_L2,TM_Events,D131,TM_Participant2,G131)</f>
        <v>2</v>
      </c>
      <c r="AS131" s="453">
        <f t="shared" ref="AS131:AS194" si="82">SUMIFS(Net_1,TM_Events,D131,TM_Participant1,G131)+SUMIFS(Net_2,TM_Events,D131,TM_Participant2,G131)</f>
        <v>-4</v>
      </c>
      <c r="AT131" s="452">
        <f t="shared" ref="AT131:AT194" si="83">SUMIFS(Score_1,TM_Events,D131,TM_Participant1,G131)+SUMIFS(Score_2,TM_Events,D131,TM_Participant2,G131)</f>
        <v>22</v>
      </c>
    </row>
    <row r="132" spans="1:46" ht="16" x14ac:dyDescent="0.2">
      <c r="A132" s="298"/>
      <c r="B132"/>
      <c r="D132" s="303" t="s">
        <v>43</v>
      </c>
      <c r="E132" s="396"/>
      <c r="F132" s="387">
        <v>1</v>
      </c>
      <c r="G132" s="397" t="s">
        <v>572</v>
      </c>
      <c r="H132" s="387" t="str">
        <f t="shared" si="58"/>
        <v>0-3-0</v>
      </c>
      <c r="I132" s="389">
        <f t="shared" si="59"/>
        <v>0</v>
      </c>
      <c r="J132" s="455">
        <f t="shared" ref="J132:J195" si="84">IF(E132&lt;&gt;"",IF(COUNTIFS($D:$D,D132,$E:$E,E132,$I:$I,I132)&lt;3,IFERROR(IF(H132&lt;&gt;"0-0-0",IF(AO132&lt;&gt;"",IF(AO132="Win",2,IF(AO132="Loss",0,1)),""),""),""),1),IF(COUNTIFS(D:D,D132,I:I,I132)&lt;3,IFERROR(IF(H132&lt;&gt;"0-0-0",IF(AO132&lt;&gt;"",IF(AO132="Win",2,IF(AO132="Loss",0,1)),""),""),""),1))</f>
        <v>1</v>
      </c>
      <c r="K132" s="455">
        <f t="shared" si="60"/>
        <v>-7</v>
      </c>
      <c r="L132" s="455" t="str">
        <f t="shared" ref="L132:L195" si="85">IF(COUNTIFS(AG:AG,AG132,I:I,I132,J:J,J132,K:K,K132)&gt;1,AT132,"")</f>
        <v/>
      </c>
      <c r="M132" s="389" t="str">
        <f>IFERROR(IF(AD132&lt;=VLOOKUP(D132,Tournaments!$A$1:$B$1772,2,FALSE),"TRUE","FALSE"),"")</f>
        <v>FALSE</v>
      </c>
      <c r="N132" s="389">
        <v>1</v>
      </c>
      <c r="O132" s="389">
        <f t="shared" si="61"/>
        <v>5</v>
      </c>
      <c r="Q132" s="389">
        <f t="shared" si="62"/>
        <v>0</v>
      </c>
      <c r="R132" s="389">
        <f t="shared" si="63"/>
        <v>3</v>
      </c>
      <c r="S132" s="389">
        <f t="shared" si="64"/>
        <v>0</v>
      </c>
      <c r="U132" s="389">
        <f t="shared" si="65"/>
        <v>6</v>
      </c>
      <c r="V132" s="389">
        <f t="shared" si="66"/>
        <v>2.5000000000000001E-3</v>
      </c>
      <c r="W132" s="389">
        <f t="shared" si="67"/>
        <v>-5.9974999999999996</v>
      </c>
      <c r="X132" s="389">
        <f t="shared" si="68"/>
        <v>6</v>
      </c>
      <c r="Y132" s="389">
        <f t="shared" ref="Y132:Y195" si="86">IFERROR(IF(K132&gt;=0,RANK(K132,$K:$K,1)/10000,RANK(K132,$K:$K,1)/10000),FALSE)</f>
        <v>5.1000000000000004E-3</v>
      </c>
      <c r="Z132" s="389">
        <f t="shared" si="69"/>
        <v>-5.9949000000000003</v>
      </c>
      <c r="AA132" s="389">
        <f t="shared" si="70"/>
        <v>5</v>
      </c>
      <c r="AB132" s="389" t="b">
        <f t="shared" si="71"/>
        <v>0</v>
      </c>
      <c r="AC132" s="389">
        <f t="shared" si="72"/>
        <v>-5</v>
      </c>
      <c r="AD132" s="389">
        <f t="shared" si="73"/>
        <v>5</v>
      </c>
      <c r="AE132" s="389">
        <f t="shared" si="74"/>
        <v>2</v>
      </c>
      <c r="AG132" s="311" t="str">
        <f t="shared" si="75"/>
        <v>Ch C Male Mini Soccer-</v>
      </c>
      <c r="AH132" s="453">
        <f t="shared" si="76"/>
        <v>5</v>
      </c>
      <c r="AI132" s="453">
        <f t="shared" si="77"/>
        <v>2</v>
      </c>
      <c r="AJ132" t="str">
        <f t="array" ref="AJ132">IF(AND(AI132&gt;1,G132&lt;&gt;""),INDEX(FS_teams,MATCH(1,(FS_Keys=AG132)*(FS_Points=I132)*(FS_teams&lt;&gt;G132),0)),"")</f>
        <v>CHILD CM - USA 1</v>
      </c>
      <c r="AK132" s="390" t="e">
        <f t="array" ref="AK132">IF(AJ132&lt;&gt;"",INDEX(TM_Score1,MATCH(1,(TM_Events=D132)*(TM_Participant1=G132)*(TM_Participant2=AJ132),0)),"")</f>
        <v>#N/A</v>
      </c>
      <c r="AL132" s="390" t="e">
        <f t="array" ref="AL132">IF(AJ132&lt;&gt;"",INDEX(TM_Score1,MATCH(1,(TM_Events=D132)*(TM_Participant1=AJ132)*(TM_Participant2=G132),0)),"")</f>
        <v>#N/A</v>
      </c>
      <c r="AM132" s="389" t="str">
        <f t="array" ref="AM132">IF(ISNUMBER(AK132),INDEX(TM_Score2,MATCH(1,(TM_Events=D132)*(TM_Participant1=G132)*(TM_Participant2=AJ132),0)),"")</f>
        <v/>
      </c>
      <c r="AN132" s="389" t="str">
        <f t="array" ref="AN132">IF(ISNUMBER(AL132),INDEX(TM_Score2,MATCH(1,(TM_Events=D132)*(TM_Participant1=AJ132)*(TM_Participant2=G132),0)),"")</f>
        <v/>
      </c>
      <c r="AO132" s="389" t="str">
        <f t="shared" si="78"/>
        <v>did not play</v>
      </c>
      <c r="AP132" s="389">
        <f t="shared" si="79"/>
        <v>0</v>
      </c>
      <c r="AQ132" s="389">
        <f t="shared" si="80"/>
        <v>0</v>
      </c>
      <c r="AR132" s="389">
        <f t="shared" si="81"/>
        <v>3</v>
      </c>
      <c r="AS132" s="453">
        <f t="shared" si="82"/>
        <v>-7</v>
      </c>
      <c r="AT132" s="452">
        <f t="shared" si="83"/>
        <v>2</v>
      </c>
    </row>
    <row r="133" spans="1:46" ht="16" x14ac:dyDescent="0.2">
      <c r="A133" s="298"/>
      <c r="B133"/>
      <c r="D133" s="303" t="s">
        <v>43</v>
      </c>
      <c r="E133" s="387"/>
      <c r="F133" s="398">
        <v>1</v>
      </c>
      <c r="G133" s="397" t="s">
        <v>581</v>
      </c>
      <c r="H133" s="387" t="str">
        <f t="shared" si="58"/>
        <v>3-1-0</v>
      </c>
      <c r="I133" s="389">
        <f t="shared" si="59"/>
        <v>6</v>
      </c>
      <c r="J133" s="455" t="str">
        <f t="shared" si="84"/>
        <v/>
      </c>
      <c r="K133" s="455" t="str">
        <f t="shared" si="60"/>
        <v/>
      </c>
      <c r="L133" s="455" t="str">
        <f t="shared" si="85"/>
        <v/>
      </c>
      <c r="M133" s="389" t="str">
        <f>IFERROR(IF(AD133&lt;=VLOOKUP(D133,Tournaments!$A$1:$B$1772,2,FALSE),"TRUE","FALSE"),"")</f>
        <v>TRUE</v>
      </c>
      <c r="N133" s="389">
        <v>1</v>
      </c>
      <c r="O133" s="389">
        <f t="shared" si="61"/>
        <v>2</v>
      </c>
      <c r="Q133" s="389">
        <f t="shared" si="62"/>
        <v>3</v>
      </c>
      <c r="R133" s="389">
        <f t="shared" si="63"/>
        <v>1</v>
      </c>
      <c r="S133" s="389">
        <f t="shared" si="64"/>
        <v>0</v>
      </c>
      <c r="U133" s="389">
        <f t="shared" si="65"/>
        <v>2</v>
      </c>
      <c r="V133" s="389" t="b">
        <f t="shared" si="66"/>
        <v>0</v>
      </c>
      <c r="W133" s="389">
        <f t="shared" si="67"/>
        <v>-2</v>
      </c>
      <c r="X133" s="389">
        <f t="shared" si="68"/>
        <v>2</v>
      </c>
      <c r="Y133" s="389" t="b">
        <f t="shared" si="86"/>
        <v>0</v>
      </c>
      <c r="Z133" s="389">
        <f t="shared" si="69"/>
        <v>-2</v>
      </c>
      <c r="AA133" s="389">
        <f t="shared" si="70"/>
        <v>2</v>
      </c>
      <c r="AB133" s="389" t="b">
        <f t="shared" si="71"/>
        <v>0</v>
      </c>
      <c r="AC133" s="389">
        <f t="shared" si="72"/>
        <v>-2</v>
      </c>
      <c r="AD133" s="389">
        <f t="shared" si="73"/>
        <v>2</v>
      </c>
      <c r="AE133" s="389">
        <f t="shared" si="74"/>
        <v>1</v>
      </c>
      <c r="AG133" s="311" t="str">
        <f t="shared" si="75"/>
        <v>Ch C Male Mini Soccer-</v>
      </c>
      <c r="AH133" s="453">
        <f t="shared" si="76"/>
        <v>2</v>
      </c>
      <c r="AI133" s="453">
        <f t="shared" si="77"/>
        <v>1</v>
      </c>
      <c r="AJ133" t="str">
        <f t="array" ref="AJ133">IF(AND(AI133&gt;1,G133&lt;&gt;""),INDEX(FS_teams,MATCH(1,(FS_Keys=AG133)*(FS_Points=I133)*(FS_teams&lt;&gt;G133),0)),"")</f>
        <v/>
      </c>
      <c r="AK133" s="390" t="str">
        <f t="array" ref="AK133">IF(AJ133&lt;&gt;"",INDEX(TM_Score1,MATCH(1,(TM_Events=D133)*(TM_Participant1=G133)*(TM_Participant2=AJ133),0)),"")</f>
        <v/>
      </c>
      <c r="AL133" s="390" t="str">
        <f t="array" ref="AL133">IF(AJ133&lt;&gt;"",INDEX(TM_Score1,MATCH(1,(TM_Events=D133)*(TM_Participant1=AJ133)*(TM_Participant2=G133),0)),"")</f>
        <v/>
      </c>
      <c r="AM133" s="389" t="str">
        <f t="array" ref="AM133">IF(ISNUMBER(AK133),INDEX(TM_Score2,MATCH(1,(TM_Events=D133)*(TM_Participant1=G133)*(TM_Participant2=AJ133),0)),"")</f>
        <v/>
      </c>
      <c r="AN133" s="389" t="str">
        <f t="array" ref="AN133">IF(ISNUMBER(AL133),INDEX(TM_Score2,MATCH(1,(TM_Events=D133)*(TM_Participant1=AJ133)*(TM_Participant2=G133),0)),"")</f>
        <v/>
      </c>
      <c r="AO133" s="389" t="str">
        <f t="shared" si="78"/>
        <v/>
      </c>
      <c r="AP133" s="389">
        <f t="shared" si="79"/>
        <v>3</v>
      </c>
      <c r="AQ133" s="389">
        <f t="shared" si="80"/>
        <v>0</v>
      </c>
      <c r="AR133" s="389">
        <f t="shared" si="81"/>
        <v>1</v>
      </c>
      <c r="AS133" s="453">
        <f t="shared" si="82"/>
        <v>8</v>
      </c>
      <c r="AT133" s="452">
        <f t="shared" si="83"/>
        <v>21</v>
      </c>
    </row>
    <row r="134" spans="1:46" ht="16" x14ac:dyDescent="0.2">
      <c r="A134" s="298"/>
      <c r="B134"/>
      <c r="D134" s="303" t="s">
        <v>43</v>
      </c>
      <c r="E134" s="396"/>
      <c r="F134" s="398">
        <v>1</v>
      </c>
      <c r="G134" s="397" t="s">
        <v>574</v>
      </c>
      <c r="H134" s="387" t="str">
        <f t="shared" si="58"/>
        <v>2-1-0</v>
      </c>
      <c r="I134" s="389">
        <f t="shared" si="59"/>
        <v>4</v>
      </c>
      <c r="J134" s="455" t="str">
        <f t="shared" si="84"/>
        <v/>
      </c>
      <c r="K134" s="455" t="str">
        <f t="shared" si="60"/>
        <v/>
      </c>
      <c r="L134" s="455" t="str">
        <f t="shared" si="85"/>
        <v/>
      </c>
      <c r="M134" s="389" t="str">
        <f>IFERROR(IF(AD134&lt;=VLOOKUP(D134,Tournaments!$A$1:$B$1772,2,FALSE),"TRUE","FALSE"),"")</f>
        <v>FALSE</v>
      </c>
      <c r="N134" s="389">
        <v>1</v>
      </c>
      <c r="O134" s="389">
        <f t="shared" si="61"/>
        <v>3</v>
      </c>
      <c r="Q134" s="389">
        <f t="shared" si="62"/>
        <v>2</v>
      </c>
      <c r="R134" s="389">
        <f t="shared" si="63"/>
        <v>1</v>
      </c>
      <c r="S134" s="389">
        <f t="shared" si="64"/>
        <v>0</v>
      </c>
      <c r="U134" s="389">
        <f t="shared" si="65"/>
        <v>3</v>
      </c>
      <c r="V134" s="389" t="b">
        <f t="shared" si="66"/>
        <v>0</v>
      </c>
      <c r="W134" s="389">
        <f t="shared" si="67"/>
        <v>-3</v>
      </c>
      <c r="X134" s="389">
        <f t="shared" si="68"/>
        <v>3</v>
      </c>
      <c r="Y134" s="389" t="b">
        <f t="shared" si="86"/>
        <v>0</v>
      </c>
      <c r="Z134" s="389">
        <f t="shared" si="69"/>
        <v>-3</v>
      </c>
      <c r="AA134" s="389">
        <f t="shared" si="70"/>
        <v>3</v>
      </c>
      <c r="AB134" s="389" t="b">
        <f t="shared" si="71"/>
        <v>0</v>
      </c>
      <c r="AC134" s="389">
        <f t="shared" si="72"/>
        <v>-3</v>
      </c>
      <c r="AD134" s="389">
        <f t="shared" si="73"/>
        <v>3</v>
      </c>
      <c r="AE134" s="389">
        <f t="shared" si="74"/>
        <v>1</v>
      </c>
      <c r="AG134" s="311" t="str">
        <f t="shared" si="75"/>
        <v>Ch C Male Mini Soccer-</v>
      </c>
      <c r="AH134" s="453">
        <f t="shared" si="76"/>
        <v>3</v>
      </c>
      <c r="AI134" s="453">
        <f t="shared" si="77"/>
        <v>1</v>
      </c>
      <c r="AJ134" t="str">
        <f t="array" ref="AJ134">IF(AND(AI134&gt;1,G134&lt;&gt;""),INDEX(FS_teams,MATCH(1,(FS_Keys=AG134)*(FS_Points=I134)*(FS_teams&lt;&gt;G134),0)),"")</f>
        <v/>
      </c>
      <c r="AK134" s="390" t="str">
        <f t="array" ref="AK134">IF(AJ134&lt;&gt;"",INDEX(TM_Score1,MATCH(1,(TM_Events=D134)*(TM_Participant1=G134)*(TM_Participant2=AJ134),0)),"")</f>
        <v/>
      </c>
      <c r="AL134" s="390" t="str">
        <f t="array" ref="AL134">IF(AJ134&lt;&gt;"",INDEX(TM_Score1,MATCH(1,(TM_Events=D134)*(TM_Participant1=AJ134)*(TM_Participant2=G134),0)),"")</f>
        <v/>
      </c>
      <c r="AM134" s="389" t="str">
        <f t="array" ref="AM134">IF(ISNUMBER(AK134),INDEX(TM_Score2,MATCH(1,(TM_Events=D134)*(TM_Participant1=G134)*(TM_Participant2=AJ134),0)),"")</f>
        <v/>
      </c>
      <c r="AN134" s="389" t="str">
        <f t="array" ref="AN134">IF(ISNUMBER(AL134),INDEX(TM_Score2,MATCH(1,(TM_Events=D134)*(TM_Participant1=AJ134)*(TM_Participant2=G134),0)),"")</f>
        <v/>
      </c>
      <c r="AO134" s="389" t="str">
        <f t="shared" si="78"/>
        <v/>
      </c>
      <c r="AP134" s="389">
        <f t="shared" si="79"/>
        <v>2</v>
      </c>
      <c r="AQ134" s="389">
        <f t="shared" si="80"/>
        <v>0</v>
      </c>
      <c r="AR134" s="389">
        <f t="shared" si="81"/>
        <v>1</v>
      </c>
      <c r="AS134" s="453">
        <f t="shared" si="82"/>
        <v>4</v>
      </c>
      <c r="AT134" s="452">
        <f t="shared" si="83"/>
        <v>14</v>
      </c>
    </row>
    <row r="135" spans="1:46" ht="16" x14ac:dyDescent="0.2">
      <c r="A135" s="298"/>
      <c r="B135"/>
      <c r="D135" s="303" t="s">
        <v>43</v>
      </c>
      <c r="E135" s="396"/>
      <c r="F135" s="387">
        <v>1</v>
      </c>
      <c r="G135" s="397" t="s">
        <v>580</v>
      </c>
      <c r="H135" s="387" t="str">
        <f t="shared" si="58"/>
        <v>4-0-0</v>
      </c>
      <c r="I135" s="389">
        <f t="shared" si="59"/>
        <v>8</v>
      </c>
      <c r="J135" s="455" t="str">
        <f t="shared" si="84"/>
        <v/>
      </c>
      <c r="K135" s="455" t="str">
        <f t="shared" si="60"/>
        <v/>
      </c>
      <c r="L135" s="455" t="str">
        <f t="shared" si="85"/>
        <v/>
      </c>
      <c r="M135" s="389" t="str">
        <f>IFERROR(IF(AD135&lt;=VLOOKUP(D135,Tournaments!$A$1:$B$1772,2,FALSE),"TRUE","FALSE"),"")</f>
        <v>TRUE</v>
      </c>
      <c r="N135" s="389">
        <v>1</v>
      </c>
      <c r="O135" s="389">
        <f t="shared" si="61"/>
        <v>1</v>
      </c>
      <c r="Q135" s="389">
        <f t="shared" si="62"/>
        <v>4</v>
      </c>
      <c r="R135" s="389">
        <f t="shared" si="63"/>
        <v>0</v>
      </c>
      <c r="S135" s="389">
        <f t="shared" si="64"/>
        <v>0</v>
      </c>
      <c r="U135" s="389">
        <f t="shared" si="65"/>
        <v>1</v>
      </c>
      <c r="V135" s="389" t="b">
        <f t="shared" si="66"/>
        <v>0</v>
      </c>
      <c r="W135" s="389">
        <f t="shared" si="67"/>
        <v>-1</v>
      </c>
      <c r="X135" s="389">
        <f t="shared" si="68"/>
        <v>1</v>
      </c>
      <c r="Y135" s="389" t="b">
        <f t="shared" si="86"/>
        <v>0</v>
      </c>
      <c r="Z135" s="389">
        <f t="shared" si="69"/>
        <v>-1</v>
      </c>
      <c r="AA135" s="389">
        <f t="shared" si="70"/>
        <v>1</v>
      </c>
      <c r="AB135" s="389" t="b">
        <f t="shared" si="71"/>
        <v>0</v>
      </c>
      <c r="AC135" s="389">
        <f t="shared" si="72"/>
        <v>-1</v>
      </c>
      <c r="AD135" s="389">
        <f t="shared" si="73"/>
        <v>1</v>
      </c>
      <c r="AE135" s="389">
        <f t="shared" si="74"/>
        <v>1</v>
      </c>
      <c r="AG135" s="311" t="str">
        <f t="shared" si="75"/>
        <v>Ch C Male Mini Soccer-</v>
      </c>
      <c r="AH135" s="453">
        <f t="shared" si="76"/>
        <v>1</v>
      </c>
      <c r="AI135" s="453">
        <f t="shared" si="77"/>
        <v>1</v>
      </c>
      <c r="AJ135" t="str">
        <f t="array" ref="AJ135">IF(AND(AI135&gt;1,G135&lt;&gt;""),INDEX(FS_teams,MATCH(1,(FS_Keys=AG135)*(FS_Points=I135)*(FS_teams&lt;&gt;G135),0)),"")</f>
        <v/>
      </c>
      <c r="AK135" s="390" t="str">
        <f t="array" ref="AK135">IF(AJ135&lt;&gt;"",INDEX(TM_Score1,MATCH(1,(TM_Events=D135)*(TM_Participant1=G135)*(TM_Participant2=AJ135),0)),"")</f>
        <v/>
      </c>
      <c r="AL135" s="390" t="str">
        <f t="array" ref="AL135">IF(AJ135&lt;&gt;"",INDEX(TM_Score1,MATCH(1,(TM_Events=D135)*(TM_Participant1=AJ135)*(TM_Participant2=G135),0)),"")</f>
        <v/>
      </c>
      <c r="AM135" s="389" t="str">
        <f t="array" ref="AM135">IF(ISNUMBER(AK135),INDEX(TM_Score2,MATCH(1,(TM_Events=D135)*(TM_Participant1=G135)*(TM_Participant2=AJ135),0)),"")</f>
        <v/>
      </c>
      <c r="AN135" s="389" t="str">
        <f t="array" ref="AN135">IF(ISNUMBER(AL135),INDEX(TM_Score2,MATCH(1,(TM_Events=D135)*(TM_Participant1=AJ135)*(TM_Participant2=G135),0)),"")</f>
        <v/>
      </c>
      <c r="AO135" s="389" t="str">
        <f t="shared" si="78"/>
        <v/>
      </c>
      <c r="AP135" s="389">
        <f t="shared" si="79"/>
        <v>4</v>
      </c>
      <c r="AQ135" s="389">
        <f t="shared" si="80"/>
        <v>0</v>
      </c>
      <c r="AR135" s="389">
        <f t="shared" si="81"/>
        <v>0</v>
      </c>
      <c r="AS135" s="453">
        <f t="shared" si="82"/>
        <v>8</v>
      </c>
      <c r="AT135" s="452">
        <f t="shared" si="83"/>
        <v>17</v>
      </c>
    </row>
    <row r="136" spans="1:46" ht="16" x14ac:dyDescent="0.2">
      <c r="A136" s="298"/>
      <c r="B136"/>
      <c r="D136" s="303" t="s">
        <v>43</v>
      </c>
      <c r="E136" s="396"/>
      <c r="F136" s="387">
        <v>1</v>
      </c>
      <c r="G136" s="397" t="s">
        <v>578</v>
      </c>
      <c r="H136" s="387" t="str">
        <f t="shared" si="58"/>
        <v>0-3-0</v>
      </c>
      <c r="I136" s="389">
        <f t="shared" si="59"/>
        <v>0</v>
      </c>
      <c r="J136" s="455">
        <f t="shared" si="84"/>
        <v>1</v>
      </c>
      <c r="K136" s="455">
        <f t="shared" si="60"/>
        <v>-9</v>
      </c>
      <c r="L136" s="455" t="str">
        <f t="shared" si="85"/>
        <v/>
      </c>
      <c r="M136" s="389" t="str">
        <f>IFERROR(IF(AD136&lt;=VLOOKUP(D136,Tournaments!$A$1:$B$1772,2,FALSE),"TRUE","FALSE"),"")</f>
        <v>FALSE</v>
      </c>
      <c r="N136" s="389">
        <v>1</v>
      </c>
      <c r="O136" s="389">
        <f t="shared" si="61"/>
        <v>6</v>
      </c>
      <c r="Q136" s="389">
        <f t="shared" si="62"/>
        <v>0</v>
      </c>
      <c r="R136" s="389">
        <f t="shared" si="63"/>
        <v>3</v>
      </c>
      <c r="S136" s="389">
        <f t="shared" si="64"/>
        <v>0</v>
      </c>
      <c r="U136" s="389">
        <f t="shared" si="65"/>
        <v>6</v>
      </c>
      <c r="V136" s="389">
        <f t="shared" si="66"/>
        <v>2.5000000000000001E-3</v>
      </c>
      <c r="W136" s="389">
        <f t="shared" si="67"/>
        <v>-5.9974999999999996</v>
      </c>
      <c r="X136" s="389">
        <f t="shared" si="68"/>
        <v>6</v>
      </c>
      <c r="Y136" s="389">
        <f t="shared" si="86"/>
        <v>4.1000000000000003E-3</v>
      </c>
      <c r="Z136" s="389">
        <f t="shared" si="69"/>
        <v>-5.9958999999999998</v>
      </c>
      <c r="AA136" s="389">
        <f t="shared" si="70"/>
        <v>6</v>
      </c>
      <c r="AB136" s="389" t="b">
        <f t="shared" si="71"/>
        <v>0</v>
      </c>
      <c r="AC136" s="389">
        <f t="shared" si="72"/>
        <v>-6</v>
      </c>
      <c r="AD136" s="389">
        <f t="shared" si="73"/>
        <v>6</v>
      </c>
      <c r="AE136" s="389">
        <f t="shared" si="74"/>
        <v>2</v>
      </c>
      <c r="AG136" s="311" t="str">
        <f t="shared" si="75"/>
        <v>Ch C Male Mini Soccer-</v>
      </c>
      <c r="AH136" s="453">
        <f t="shared" si="76"/>
        <v>5</v>
      </c>
      <c r="AI136" s="453">
        <f t="shared" si="77"/>
        <v>2</v>
      </c>
      <c r="AJ136" t="str">
        <f t="array" ref="AJ136">IF(AND(AI136&gt;1,G136&lt;&gt;""),INDEX(FS_teams,MATCH(1,(FS_Keys=AG136)*(FS_Points=I136)*(FS_teams&lt;&gt;G136),0)),"")</f>
        <v>CHILD CM - ARG 1</v>
      </c>
      <c r="AK136" s="390" t="e">
        <f t="array" ref="AK136">IF(AJ136&lt;&gt;"",INDEX(TM_Score1,MATCH(1,(TM_Events=D136)*(TM_Participant1=G136)*(TM_Participant2=AJ136),0)),"")</f>
        <v>#N/A</v>
      </c>
      <c r="AL136" s="390" t="e">
        <f t="array" ref="AL136">IF(AJ136&lt;&gt;"",INDEX(TM_Score1,MATCH(1,(TM_Events=D136)*(TM_Participant1=AJ136)*(TM_Participant2=G136),0)),"")</f>
        <v>#N/A</v>
      </c>
      <c r="AM136" s="389" t="str">
        <f t="array" ref="AM136">IF(ISNUMBER(AK136),INDEX(TM_Score2,MATCH(1,(TM_Events=D136)*(TM_Participant1=G136)*(TM_Participant2=AJ136),0)),"")</f>
        <v/>
      </c>
      <c r="AN136" s="389" t="str">
        <f t="array" ref="AN136">IF(ISNUMBER(AL136),INDEX(TM_Score2,MATCH(1,(TM_Events=D136)*(TM_Participant1=AJ136)*(TM_Participant2=G136),0)),"")</f>
        <v/>
      </c>
      <c r="AO136" s="389" t="str">
        <f t="shared" si="78"/>
        <v>did not play</v>
      </c>
      <c r="AP136" s="389">
        <f t="shared" si="79"/>
        <v>0</v>
      </c>
      <c r="AQ136" s="389">
        <f t="shared" si="80"/>
        <v>0</v>
      </c>
      <c r="AR136" s="389">
        <f t="shared" si="81"/>
        <v>3</v>
      </c>
      <c r="AS136" s="453">
        <f t="shared" si="82"/>
        <v>-9</v>
      </c>
      <c r="AT136" s="452">
        <f t="shared" si="83"/>
        <v>2</v>
      </c>
    </row>
    <row r="137" spans="1:46" ht="16" x14ac:dyDescent="0.2">
      <c r="A137" s="298"/>
      <c r="B137"/>
      <c r="D137" s="303" t="s">
        <v>43</v>
      </c>
      <c r="E137" s="396"/>
      <c r="F137" s="387">
        <v>1</v>
      </c>
      <c r="G137" s="397" t="s">
        <v>573</v>
      </c>
      <c r="H137" s="387" t="str">
        <f t="shared" si="58"/>
        <v>1-2-0</v>
      </c>
      <c r="I137" s="389">
        <f t="shared" si="59"/>
        <v>2</v>
      </c>
      <c r="J137" s="455" t="str">
        <f t="shared" si="84"/>
        <v/>
      </c>
      <c r="K137" s="455" t="str">
        <f t="shared" si="60"/>
        <v/>
      </c>
      <c r="L137" s="455" t="str">
        <f t="shared" si="85"/>
        <v/>
      </c>
      <c r="M137" s="389" t="str">
        <f>IFERROR(IF(AD137&lt;=VLOOKUP(D137,Tournaments!$A$1:$B$1772,2,FALSE),"TRUE","FALSE"),"")</f>
        <v>FALSE</v>
      </c>
      <c r="N137" s="389">
        <v>1</v>
      </c>
      <c r="O137" s="389">
        <f t="shared" si="61"/>
        <v>4</v>
      </c>
      <c r="Q137" s="389">
        <f t="shared" si="62"/>
        <v>1</v>
      </c>
      <c r="R137" s="389">
        <f t="shared" si="63"/>
        <v>2</v>
      </c>
      <c r="S137" s="389">
        <f t="shared" si="64"/>
        <v>0</v>
      </c>
      <c r="U137" s="389">
        <f t="shared" si="65"/>
        <v>4</v>
      </c>
      <c r="V137" s="389" t="b">
        <f t="shared" si="66"/>
        <v>0</v>
      </c>
      <c r="W137" s="389">
        <f t="shared" si="67"/>
        <v>-4</v>
      </c>
      <c r="X137" s="389">
        <f t="shared" si="68"/>
        <v>4</v>
      </c>
      <c r="Y137" s="389" t="b">
        <f t="shared" si="86"/>
        <v>0</v>
      </c>
      <c r="Z137" s="389">
        <f t="shared" si="69"/>
        <v>-4</v>
      </c>
      <c r="AA137" s="389">
        <f t="shared" si="70"/>
        <v>4</v>
      </c>
      <c r="AB137" s="389" t="b">
        <f t="shared" si="71"/>
        <v>0</v>
      </c>
      <c r="AC137" s="389">
        <f t="shared" si="72"/>
        <v>-4</v>
      </c>
      <c r="AD137" s="389">
        <f t="shared" si="73"/>
        <v>4</v>
      </c>
      <c r="AE137" s="389">
        <f t="shared" si="74"/>
        <v>1</v>
      </c>
      <c r="AG137" s="311" t="str">
        <f t="shared" si="75"/>
        <v>Ch C Male Mini Soccer-</v>
      </c>
      <c r="AH137" s="453">
        <f t="shared" si="76"/>
        <v>4</v>
      </c>
      <c r="AI137" s="453">
        <f t="shared" si="77"/>
        <v>1</v>
      </c>
      <c r="AJ137" t="str">
        <f t="array" ref="AJ137">IF(AND(AI137&gt;1,G137&lt;&gt;""),INDEX(FS_teams,MATCH(1,(FS_Keys=AG137)*(FS_Points=I137)*(FS_teams&lt;&gt;G137),0)),"")</f>
        <v/>
      </c>
      <c r="AK137" s="390" t="str">
        <f t="array" ref="AK137">IF(AJ137&lt;&gt;"",INDEX(TM_Score1,MATCH(1,(TM_Events=D137)*(TM_Participant1=G137)*(TM_Participant2=AJ137),0)),"")</f>
        <v/>
      </c>
      <c r="AL137" s="390" t="str">
        <f t="array" ref="AL137">IF(AJ137&lt;&gt;"",INDEX(TM_Score1,MATCH(1,(TM_Events=D137)*(TM_Participant1=AJ137)*(TM_Participant2=G137),0)),"")</f>
        <v/>
      </c>
      <c r="AM137" s="389" t="str">
        <f t="array" ref="AM137">IF(ISNUMBER(AK137),INDEX(TM_Score2,MATCH(1,(TM_Events=D137)*(TM_Participant1=G137)*(TM_Participant2=AJ137),0)),"")</f>
        <v/>
      </c>
      <c r="AN137" s="389" t="str">
        <f t="array" ref="AN137">IF(ISNUMBER(AL137),INDEX(TM_Score2,MATCH(1,(TM_Events=D137)*(TM_Participant1=AJ137)*(TM_Participant2=G137),0)),"")</f>
        <v/>
      </c>
      <c r="AO137" s="389" t="str">
        <f t="shared" si="78"/>
        <v/>
      </c>
      <c r="AP137" s="389">
        <f t="shared" si="79"/>
        <v>1</v>
      </c>
      <c r="AQ137" s="389">
        <f t="shared" si="80"/>
        <v>0</v>
      </c>
      <c r="AR137" s="389">
        <f t="shared" si="81"/>
        <v>2</v>
      </c>
      <c r="AS137" s="453">
        <f t="shared" si="82"/>
        <v>-4</v>
      </c>
      <c r="AT137" s="452">
        <f t="shared" si="83"/>
        <v>4</v>
      </c>
    </row>
    <row r="138" spans="1:46" ht="16" x14ac:dyDescent="0.2">
      <c r="A138" s="298"/>
      <c r="B138"/>
      <c r="C138" s="433"/>
      <c r="D138" s="303" t="s">
        <v>49</v>
      </c>
      <c r="E138" s="396" t="s">
        <v>722</v>
      </c>
      <c r="F138" s="387">
        <v>1</v>
      </c>
      <c r="G138" s="397" t="s">
        <v>589</v>
      </c>
      <c r="H138" s="387" t="str">
        <f t="shared" si="58"/>
        <v>1-2-0</v>
      </c>
      <c r="I138" s="389">
        <f t="shared" si="59"/>
        <v>2</v>
      </c>
      <c r="J138" s="455">
        <f t="shared" si="84"/>
        <v>1</v>
      </c>
      <c r="K138" s="455">
        <f t="shared" si="60"/>
        <v>-16</v>
      </c>
      <c r="L138" s="455" t="str">
        <f t="shared" si="85"/>
        <v/>
      </c>
      <c r="M138" s="389" t="str">
        <f>IFERROR(IF(AD138&lt;=VLOOKUP(D138,Tournaments!$A$1:$B$1772,2,FALSE),"TRUE","FALSE"),"")</f>
        <v>FALSE</v>
      </c>
      <c r="N138" s="389">
        <v>1</v>
      </c>
      <c r="O138" s="389">
        <f t="shared" si="61"/>
        <v>4</v>
      </c>
      <c r="Q138" s="389">
        <f t="shared" si="62"/>
        <v>1</v>
      </c>
      <c r="R138" s="389">
        <f t="shared" si="63"/>
        <v>2</v>
      </c>
      <c r="S138" s="389">
        <f t="shared" si="64"/>
        <v>0</v>
      </c>
      <c r="U138" s="389">
        <f t="shared" si="65"/>
        <v>4</v>
      </c>
      <c r="V138" s="389">
        <f t="shared" si="66"/>
        <v>2.5000000000000001E-3</v>
      </c>
      <c r="W138" s="389">
        <f t="shared" si="67"/>
        <v>-3.9975000000000001</v>
      </c>
      <c r="X138" s="389">
        <f t="shared" si="68"/>
        <v>4</v>
      </c>
      <c r="Y138" s="389">
        <f t="shared" si="86"/>
        <v>2.8E-3</v>
      </c>
      <c r="Z138" s="389">
        <f t="shared" si="69"/>
        <v>-3.9971999999999999</v>
      </c>
      <c r="AA138" s="389">
        <f t="shared" si="70"/>
        <v>4</v>
      </c>
      <c r="AB138" s="389" t="b">
        <f t="shared" si="71"/>
        <v>0</v>
      </c>
      <c r="AC138" s="389">
        <f t="shared" si="72"/>
        <v>-4</v>
      </c>
      <c r="AD138" s="389">
        <f t="shared" si="73"/>
        <v>4</v>
      </c>
      <c r="AE138" s="389">
        <f t="shared" si="74"/>
        <v>3</v>
      </c>
      <c r="AG138" s="311" t="str">
        <f t="shared" si="75"/>
        <v>Ch D Female Basketball-Pool A</v>
      </c>
      <c r="AH138" s="453">
        <f t="shared" si="76"/>
        <v>2</v>
      </c>
      <c r="AI138" s="453">
        <f t="shared" si="77"/>
        <v>3</v>
      </c>
      <c r="AJ138" t="str">
        <f t="array" ref="AJ138">IF(AND(AI138&gt;1,G138&lt;&gt;""),INDEX(FS_teams,MATCH(1,(FS_Keys=AG138)*(FS_Points=I138)*(FS_teams&lt;&gt;G138),0)),"")</f>
        <v>CHILD DF - ISR</v>
      </c>
      <c r="AK138" s="390">
        <f t="array" ref="AK138">IF(AJ138&lt;&gt;"",INDEX(TM_Score1,MATCH(1,(TM_Events=D138)*(TM_Participant1=G138)*(TM_Participant2=AJ138),0)),"")</f>
        <v>14</v>
      </c>
      <c r="AL138" s="390" t="e">
        <f t="array" ref="AL138">IF(AJ138&lt;&gt;"",INDEX(TM_Score1,MATCH(1,(TM_Events=D138)*(TM_Participant1=AJ138)*(TM_Participant2=G138),0)),"")</f>
        <v>#N/A</v>
      </c>
      <c r="AM138" s="389">
        <f t="array" ref="AM138">IF(ISNUMBER(AK138),INDEX(TM_Score2,MATCH(1,(TM_Events=D138)*(TM_Participant1=G138)*(TM_Participant2=AJ138),0)),"")</f>
        <v>8</v>
      </c>
      <c r="AN138" s="389" t="str">
        <f t="array" ref="AN138">IF(ISNUMBER(AL138),INDEX(TM_Score2,MATCH(1,(TM_Events=D138)*(TM_Participant1=AJ138)*(TM_Participant2=G138),0)),"")</f>
        <v/>
      </c>
      <c r="AO138" s="389" t="str">
        <f t="shared" si="78"/>
        <v>Win</v>
      </c>
      <c r="AP138" s="389">
        <f t="shared" si="79"/>
        <v>1</v>
      </c>
      <c r="AQ138" s="389">
        <f t="shared" si="80"/>
        <v>0</v>
      </c>
      <c r="AR138" s="389">
        <f t="shared" si="81"/>
        <v>2</v>
      </c>
      <c r="AS138" s="453">
        <f t="shared" si="82"/>
        <v>-16</v>
      </c>
      <c r="AT138" s="452">
        <f t="shared" si="83"/>
        <v>20</v>
      </c>
    </row>
    <row r="139" spans="1:46" ht="16" x14ac:dyDescent="0.2">
      <c r="A139" s="298"/>
      <c r="B139"/>
      <c r="C139" s="433"/>
      <c r="D139" s="303" t="s">
        <v>49</v>
      </c>
      <c r="E139" s="396" t="s">
        <v>722</v>
      </c>
      <c r="F139" s="387">
        <v>1</v>
      </c>
      <c r="G139" s="397" t="s">
        <v>583</v>
      </c>
      <c r="H139" s="387" t="str">
        <f t="shared" si="58"/>
        <v>3-0-0</v>
      </c>
      <c r="I139" s="389">
        <f t="shared" si="59"/>
        <v>6</v>
      </c>
      <c r="J139" s="455" t="str">
        <f t="shared" si="84"/>
        <v/>
      </c>
      <c r="K139" s="455" t="str">
        <f t="shared" si="60"/>
        <v/>
      </c>
      <c r="L139" s="455" t="str">
        <f t="shared" si="85"/>
        <v/>
      </c>
      <c r="M139" s="389" t="str">
        <f>IFERROR(IF(AD139&lt;=VLOOKUP(D139,Tournaments!$A$1:$B$1772,2,FALSE),"TRUE","FALSE"),"")</f>
        <v>TRUE</v>
      </c>
      <c r="N139" s="389">
        <v>1</v>
      </c>
      <c r="O139" s="389">
        <f t="shared" si="61"/>
        <v>1</v>
      </c>
      <c r="Q139" s="389">
        <f t="shared" si="62"/>
        <v>3</v>
      </c>
      <c r="R139" s="389">
        <f t="shared" si="63"/>
        <v>0</v>
      </c>
      <c r="S139" s="389">
        <f t="shared" si="64"/>
        <v>0</v>
      </c>
      <c r="U139" s="389">
        <f t="shared" si="65"/>
        <v>1</v>
      </c>
      <c r="V139" s="389" t="b">
        <f t="shared" si="66"/>
        <v>0</v>
      </c>
      <c r="W139" s="389">
        <f t="shared" si="67"/>
        <v>-1</v>
      </c>
      <c r="X139" s="389">
        <f t="shared" si="68"/>
        <v>1</v>
      </c>
      <c r="Y139" s="389" t="b">
        <f t="shared" si="86"/>
        <v>0</v>
      </c>
      <c r="Z139" s="389">
        <f t="shared" si="69"/>
        <v>-1</v>
      </c>
      <c r="AA139" s="389">
        <f t="shared" si="70"/>
        <v>1</v>
      </c>
      <c r="AB139" s="389" t="b">
        <f t="shared" si="71"/>
        <v>0</v>
      </c>
      <c r="AC139" s="389">
        <f t="shared" si="72"/>
        <v>-1</v>
      </c>
      <c r="AD139" s="389">
        <f t="shared" si="73"/>
        <v>1</v>
      </c>
      <c r="AE139" s="389">
        <f t="shared" si="74"/>
        <v>1</v>
      </c>
      <c r="AG139" s="311" t="str">
        <f t="shared" si="75"/>
        <v>Ch D Female Basketball-Pool A</v>
      </c>
      <c r="AH139" s="453">
        <f t="shared" si="76"/>
        <v>1</v>
      </c>
      <c r="AI139" s="453">
        <f t="shared" si="77"/>
        <v>1</v>
      </c>
      <c r="AJ139" t="str">
        <f t="array" ref="AJ139">IF(AND(AI139&gt;1,G139&lt;&gt;""),INDEX(FS_teams,MATCH(1,(FS_Keys=AG139)*(FS_Points=I139)*(FS_teams&lt;&gt;G139),0)),"")</f>
        <v/>
      </c>
      <c r="AK139" s="390" t="str">
        <f t="array" ref="AK139">IF(AJ139&lt;&gt;"",INDEX(TM_Score1,MATCH(1,(TM_Events=D139)*(TM_Participant1=G139)*(TM_Participant2=AJ139),0)),"")</f>
        <v/>
      </c>
      <c r="AL139" s="390" t="str">
        <f t="array" ref="AL139">IF(AJ139&lt;&gt;"",INDEX(TM_Score1,MATCH(1,(TM_Events=D139)*(TM_Participant1=AJ139)*(TM_Participant2=G139),0)),"")</f>
        <v/>
      </c>
      <c r="AM139" s="389" t="str">
        <f t="array" ref="AM139">IF(ISNUMBER(AK139),INDEX(TM_Score2,MATCH(1,(TM_Events=D139)*(TM_Participant1=G139)*(TM_Participant2=AJ139),0)),"")</f>
        <v/>
      </c>
      <c r="AN139" s="389" t="str">
        <f t="array" ref="AN139">IF(ISNUMBER(AL139),INDEX(TM_Score2,MATCH(1,(TM_Events=D139)*(TM_Participant1=AJ139)*(TM_Participant2=G139),0)),"")</f>
        <v/>
      </c>
      <c r="AO139" s="389" t="str">
        <f t="shared" si="78"/>
        <v/>
      </c>
      <c r="AP139" s="389">
        <f t="shared" si="79"/>
        <v>3</v>
      </c>
      <c r="AQ139" s="389">
        <f t="shared" si="80"/>
        <v>0</v>
      </c>
      <c r="AR139" s="389">
        <f t="shared" si="81"/>
        <v>0</v>
      </c>
      <c r="AS139" s="453">
        <f t="shared" si="82"/>
        <v>19</v>
      </c>
      <c r="AT139" s="452">
        <f t="shared" si="83"/>
        <v>31</v>
      </c>
    </row>
    <row r="140" spans="1:46" ht="16" x14ac:dyDescent="0.2">
      <c r="A140" s="298"/>
      <c r="B140"/>
      <c r="C140" s="433"/>
      <c r="D140" s="303" t="s">
        <v>49</v>
      </c>
      <c r="E140" s="396" t="s">
        <v>722</v>
      </c>
      <c r="F140" s="387">
        <v>1</v>
      </c>
      <c r="G140" s="397" t="s">
        <v>725</v>
      </c>
      <c r="H140" s="387" t="str">
        <f t="shared" si="58"/>
        <v>1-2-0</v>
      </c>
      <c r="I140" s="389">
        <f t="shared" si="59"/>
        <v>2</v>
      </c>
      <c r="J140" s="455">
        <f t="shared" si="84"/>
        <v>1</v>
      </c>
      <c r="K140" s="455">
        <f t="shared" si="60"/>
        <v>-3</v>
      </c>
      <c r="L140" s="455" t="str">
        <f t="shared" si="85"/>
        <v/>
      </c>
      <c r="M140" s="389" t="str">
        <f>IFERROR(IF(AD140&lt;=VLOOKUP(D140,Tournaments!$A$1:$B$1772,2,FALSE),"TRUE","FALSE"),"")</f>
        <v>FALSE</v>
      </c>
      <c r="N140" s="389">
        <v>1</v>
      </c>
      <c r="O140" s="389">
        <f t="shared" si="61"/>
        <v>3</v>
      </c>
      <c r="Q140" s="389">
        <f t="shared" si="62"/>
        <v>1</v>
      </c>
      <c r="R140" s="389">
        <f t="shared" si="63"/>
        <v>2</v>
      </c>
      <c r="S140" s="389">
        <f t="shared" si="64"/>
        <v>0</v>
      </c>
      <c r="U140" s="389">
        <f t="shared" si="65"/>
        <v>4</v>
      </c>
      <c r="V140" s="389">
        <f t="shared" si="66"/>
        <v>2.5000000000000001E-3</v>
      </c>
      <c r="W140" s="389">
        <f t="shared" si="67"/>
        <v>-3.9975000000000001</v>
      </c>
      <c r="X140" s="389">
        <f t="shared" si="68"/>
        <v>4</v>
      </c>
      <c r="Y140" s="389">
        <f t="shared" si="86"/>
        <v>8.0000000000000002E-3</v>
      </c>
      <c r="Z140" s="389">
        <f t="shared" si="69"/>
        <v>-3.992</v>
      </c>
      <c r="AA140" s="389">
        <f t="shared" si="70"/>
        <v>3</v>
      </c>
      <c r="AB140" s="389" t="b">
        <f t="shared" si="71"/>
        <v>0</v>
      </c>
      <c r="AC140" s="389">
        <f t="shared" si="72"/>
        <v>-3</v>
      </c>
      <c r="AD140" s="389">
        <f t="shared" si="73"/>
        <v>3</v>
      </c>
      <c r="AE140" s="389">
        <f t="shared" si="74"/>
        <v>3</v>
      </c>
      <c r="AG140" s="311" t="str">
        <f t="shared" si="75"/>
        <v>Ch D Female Basketball-Pool A</v>
      </c>
      <c r="AH140" s="453">
        <f t="shared" si="76"/>
        <v>2</v>
      </c>
      <c r="AI140" s="453">
        <f t="shared" si="77"/>
        <v>3</v>
      </c>
      <c r="AJ140" t="str">
        <f t="array" ref="AJ140">IF(AND(AI140&gt;1,G140&lt;&gt;""),INDEX(FS_teams,MATCH(1,(FS_Keys=AG140)*(FS_Points=I140)*(FS_teams&lt;&gt;G140),0)),"")</f>
        <v>CHILD DF - VEN 1</v>
      </c>
      <c r="AK140" s="390" t="e">
        <f t="array" ref="AK140">IF(AJ140&lt;&gt;"",INDEX(TM_Score1,MATCH(1,(TM_Events=D140)*(TM_Participant1=G140)*(TM_Participant2=AJ140),0)),"")</f>
        <v>#N/A</v>
      </c>
      <c r="AL140" s="390">
        <f t="array" ref="AL140">IF(AJ140&lt;&gt;"",INDEX(TM_Score1,MATCH(1,(TM_Events=D140)*(TM_Participant1=AJ140)*(TM_Participant2=G140),0)),"")</f>
        <v>14</v>
      </c>
      <c r="AM140" s="389" t="str">
        <f t="array" ref="AM140">IF(ISNUMBER(AK140),INDEX(TM_Score2,MATCH(1,(TM_Events=D140)*(TM_Participant1=G140)*(TM_Participant2=AJ140),0)),"")</f>
        <v/>
      </c>
      <c r="AN140" s="389">
        <f t="array" ref="AN140">IF(ISNUMBER(AL140),INDEX(TM_Score2,MATCH(1,(TM_Events=D140)*(TM_Participant1=AJ140)*(TM_Participant2=G140),0)),"")</f>
        <v>8</v>
      </c>
      <c r="AO140" s="389" t="str">
        <f t="shared" si="78"/>
        <v>Loss</v>
      </c>
      <c r="AP140" s="389">
        <f t="shared" si="79"/>
        <v>1</v>
      </c>
      <c r="AQ140" s="389">
        <f t="shared" si="80"/>
        <v>0</v>
      </c>
      <c r="AR140" s="389">
        <f t="shared" si="81"/>
        <v>2</v>
      </c>
      <c r="AS140" s="453">
        <f t="shared" si="82"/>
        <v>-3</v>
      </c>
      <c r="AT140" s="452">
        <f t="shared" si="83"/>
        <v>22</v>
      </c>
    </row>
    <row r="141" spans="1:46" ht="16" x14ac:dyDescent="0.2">
      <c r="A141" s="298"/>
      <c r="B141"/>
      <c r="C141" s="433"/>
      <c r="D141" s="303" t="s">
        <v>49</v>
      </c>
      <c r="E141" s="396" t="s">
        <v>722</v>
      </c>
      <c r="F141" s="387">
        <v>1</v>
      </c>
      <c r="G141" s="397" t="s">
        <v>587</v>
      </c>
      <c r="H141" s="387" t="str">
        <f t="shared" si="58"/>
        <v>1-2-0</v>
      </c>
      <c r="I141" s="389">
        <f t="shared" si="59"/>
        <v>2</v>
      </c>
      <c r="J141" s="455">
        <f t="shared" si="84"/>
        <v>1</v>
      </c>
      <c r="K141" s="455">
        <f t="shared" si="60"/>
        <v>0</v>
      </c>
      <c r="L141" s="455" t="str">
        <f t="shared" si="85"/>
        <v/>
      </c>
      <c r="M141" s="389" t="str">
        <f>IFERROR(IF(AD141&lt;=VLOOKUP(D141,Tournaments!$A$1:$B$1772,2,FALSE),"TRUE","FALSE"),"")</f>
        <v>FALSE</v>
      </c>
      <c r="N141" s="389">
        <v>1</v>
      </c>
      <c r="O141" s="389">
        <f t="shared" si="61"/>
        <v>2</v>
      </c>
      <c r="Q141" s="389">
        <f t="shared" si="62"/>
        <v>1</v>
      </c>
      <c r="R141" s="389">
        <f t="shared" si="63"/>
        <v>2</v>
      </c>
      <c r="S141" s="389">
        <f t="shared" si="64"/>
        <v>0</v>
      </c>
      <c r="U141" s="389">
        <f t="shared" si="65"/>
        <v>4</v>
      </c>
      <c r="V141" s="389">
        <f t="shared" si="66"/>
        <v>2.5000000000000001E-3</v>
      </c>
      <c r="W141" s="389">
        <f t="shared" si="67"/>
        <v>-3.9975000000000001</v>
      </c>
      <c r="X141" s="389">
        <f t="shared" si="68"/>
        <v>4</v>
      </c>
      <c r="Y141" s="389">
        <f t="shared" si="86"/>
        <v>1.0999999999999999E-2</v>
      </c>
      <c r="Z141" s="389">
        <f t="shared" si="69"/>
        <v>-3.9889999999999999</v>
      </c>
      <c r="AA141" s="389">
        <f t="shared" si="70"/>
        <v>2</v>
      </c>
      <c r="AB141" s="389" t="b">
        <f t="shared" si="71"/>
        <v>0</v>
      </c>
      <c r="AC141" s="389">
        <f t="shared" si="72"/>
        <v>-2</v>
      </c>
      <c r="AD141" s="389">
        <f t="shared" si="73"/>
        <v>2</v>
      </c>
      <c r="AE141" s="389">
        <f t="shared" si="74"/>
        <v>3</v>
      </c>
      <c r="AG141" s="311" t="str">
        <f t="shared" si="75"/>
        <v>Ch D Female Basketball-Pool A</v>
      </c>
      <c r="AH141" s="453">
        <f t="shared" si="76"/>
        <v>2</v>
      </c>
      <c r="AI141" s="453">
        <f t="shared" si="77"/>
        <v>3</v>
      </c>
      <c r="AJ141" t="str">
        <f t="array" ref="AJ141">IF(AND(AI141&gt;1,G141&lt;&gt;""),INDEX(FS_teams,MATCH(1,(FS_Keys=AG141)*(FS_Points=I141)*(FS_teams&lt;&gt;G141),0)),"")</f>
        <v>CHILD DF - VEN 1</v>
      </c>
      <c r="AK141" s="390">
        <f t="array" ref="AK141">IF(AJ141&lt;&gt;"",INDEX(TM_Score1,MATCH(1,(TM_Events=D141)*(TM_Participant1=G141)*(TM_Participant2=AJ141),0)),"")</f>
        <v>12</v>
      </c>
      <c r="AL141" s="390" t="e">
        <f t="array" ref="AL141">IF(AJ141&lt;&gt;"",INDEX(TM_Score1,MATCH(1,(TM_Events=D141)*(TM_Participant1=AJ141)*(TM_Participant2=G141),0)),"")</f>
        <v>#N/A</v>
      </c>
      <c r="AM141" s="389">
        <f t="array" ref="AM141">IF(ISNUMBER(AK141),INDEX(TM_Score2,MATCH(1,(TM_Events=D141)*(TM_Participant1=G141)*(TM_Participant2=AJ141),0)),"")</f>
        <v>4</v>
      </c>
      <c r="AN141" s="389" t="str">
        <f t="array" ref="AN141">IF(ISNUMBER(AL141),INDEX(TM_Score2,MATCH(1,(TM_Events=D141)*(TM_Participant1=AJ141)*(TM_Participant2=G141),0)),"")</f>
        <v/>
      </c>
      <c r="AO141" s="389" t="str">
        <f t="shared" si="78"/>
        <v>Win</v>
      </c>
      <c r="AP141" s="389">
        <f t="shared" si="79"/>
        <v>1</v>
      </c>
      <c r="AQ141" s="389">
        <f t="shared" si="80"/>
        <v>0</v>
      </c>
      <c r="AR141" s="389">
        <f t="shared" si="81"/>
        <v>2</v>
      </c>
      <c r="AS141" s="453">
        <f t="shared" si="82"/>
        <v>0</v>
      </c>
      <c r="AT141" s="452">
        <f t="shared" si="83"/>
        <v>24</v>
      </c>
    </row>
    <row r="142" spans="1:46" ht="16" x14ac:dyDescent="0.2">
      <c r="A142" s="298"/>
      <c r="B142"/>
      <c r="C142" s="433"/>
      <c r="D142" s="303" t="s">
        <v>49</v>
      </c>
      <c r="E142" s="396" t="s">
        <v>723</v>
      </c>
      <c r="F142" s="387">
        <v>1</v>
      </c>
      <c r="G142" s="397" t="s">
        <v>586</v>
      </c>
      <c r="H142" s="387" t="str">
        <f t="shared" si="58"/>
        <v>2-1-0</v>
      </c>
      <c r="I142" s="389">
        <f t="shared" si="59"/>
        <v>4</v>
      </c>
      <c r="J142" s="455">
        <f t="shared" si="84"/>
        <v>1</v>
      </c>
      <c r="K142" s="455">
        <f t="shared" si="60"/>
        <v>13</v>
      </c>
      <c r="L142" s="455" t="str">
        <f t="shared" si="85"/>
        <v/>
      </c>
      <c r="M142" s="389" t="str">
        <f>IFERROR(IF(AD142&lt;=VLOOKUP(D142,Tournaments!$A$1:$B$1772,2,FALSE),"TRUE","FALSE"),"")</f>
        <v>TRUE</v>
      </c>
      <c r="N142" s="389">
        <v>1</v>
      </c>
      <c r="O142" s="389">
        <f t="shared" si="61"/>
        <v>1</v>
      </c>
      <c r="Q142" s="389">
        <f t="shared" si="62"/>
        <v>2</v>
      </c>
      <c r="R142" s="389">
        <f t="shared" si="63"/>
        <v>1</v>
      </c>
      <c r="S142" s="389">
        <f t="shared" si="64"/>
        <v>0</v>
      </c>
      <c r="U142" s="389">
        <f t="shared" si="65"/>
        <v>3</v>
      </c>
      <c r="V142" s="389">
        <f t="shared" si="66"/>
        <v>2.5000000000000001E-3</v>
      </c>
      <c r="W142" s="389">
        <f t="shared" si="67"/>
        <v>-2.9975000000000001</v>
      </c>
      <c r="X142" s="389">
        <f t="shared" si="68"/>
        <v>3</v>
      </c>
      <c r="Y142" s="389">
        <f t="shared" si="86"/>
        <v>7.5600000000000001E-2</v>
      </c>
      <c r="Z142" s="389">
        <f t="shared" si="69"/>
        <v>-2.9243999999999999</v>
      </c>
      <c r="AA142" s="389">
        <f t="shared" si="70"/>
        <v>1</v>
      </c>
      <c r="AB142" s="389" t="b">
        <f t="shared" si="71"/>
        <v>0</v>
      </c>
      <c r="AC142" s="389">
        <f t="shared" si="72"/>
        <v>-1</v>
      </c>
      <c r="AD142" s="389">
        <f t="shared" si="73"/>
        <v>1</v>
      </c>
      <c r="AE142" s="389">
        <f t="shared" si="74"/>
        <v>3</v>
      </c>
      <c r="AG142" s="311" t="str">
        <f t="shared" si="75"/>
        <v>Ch D Female Basketball-Pool B</v>
      </c>
      <c r="AH142" s="453">
        <f t="shared" si="76"/>
        <v>1</v>
      </c>
      <c r="AI142" s="453">
        <f t="shared" si="77"/>
        <v>3</v>
      </c>
      <c r="AJ142" t="str">
        <f t="array" ref="AJ142">IF(AND(AI142&gt;1,G142&lt;&gt;""),INDEX(FS_teams,MATCH(1,(FS_Keys=AG142)*(FS_Points=I142)*(FS_teams&lt;&gt;G142),0)),"")</f>
        <v>CHILD DF - VEN 2</v>
      </c>
      <c r="AK142" s="390">
        <f t="array" ref="AK142">IF(AJ142&lt;&gt;"",INDEX(TM_Score1,MATCH(1,(TM_Events=D142)*(TM_Participant1=G142)*(TM_Participant2=AJ142),0)),"")</f>
        <v>2</v>
      </c>
      <c r="AL142" s="390" t="e">
        <f t="array" ref="AL142">IF(AJ142&lt;&gt;"",INDEX(TM_Score1,MATCH(1,(TM_Events=D142)*(TM_Participant1=AJ142)*(TM_Participant2=G142),0)),"")</f>
        <v>#N/A</v>
      </c>
      <c r="AM142" s="389">
        <f t="array" ref="AM142">IF(ISNUMBER(AK142),INDEX(TM_Score2,MATCH(1,(TM_Events=D142)*(TM_Participant1=G142)*(TM_Participant2=AJ142),0)),"")</f>
        <v>6</v>
      </c>
      <c r="AN142" s="389" t="str">
        <f t="array" ref="AN142">IF(ISNUMBER(AL142),INDEX(TM_Score2,MATCH(1,(TM_Events=D142)*(TM_Participant1=AJ142)*(TM_Participant2=G142),0)),"")</f>
        <v/>
      </c>
      <c r="AO142" s="389" t="str">
        <f t="shared" si="78"/>
        <v>Loss</v>
      </c>
      <c r="AP142" s="389">
        <f t="shared" si="79"/>
        <v>2</v>
      </c>
      <c r="AQ142" s="389">
        <f t="shared" si="80"/>
        <v>0</v>
      </c>
      <c r="AR142" s="389">
        <f t="shared" si="81"/>
        <v>1</v>
      </c>
      <c r="AS142" s="453">
        <f t="shared" si="82"/>
        <v>13</v>
      </c>
      <c r="AT142" s="452">
        <f t="shared" si="83"/>
        <v>23</v>
      </c>
    </row>
    <row r="143" spans="1:46" ht="16" x14ac:dyDescent="0.2">
      <c r="A143" s="298"/>
      <c r="B143"/>
      <c r="C143" s="433"/>
      <c r="D143" s="303" t="s">
        <v>49</v>
      </c>
      <c r="E143" s="396" t="s">
        <v>723</v>
      </c>
      <c r="F143" s="387">
        <v>1</v>
      </c>
      <c r="G143" s="397" t="s">
        <v>590</v>
      </c>
      <c r="H143" s="387" t="str">
        <f t="shared" si="58"/>
        <v>2-1-0</v>
      </c>
      <c r="I143" s="389">
        <f t="shared" si="59"/>
        <v>4</v>
      </c>
      <c r="J143" s="455">
        <f t="shared" si="84"/>
        <v>1</v>
      </c>
      <c r="K143" s="455">
        <f t="shared" si="60"/>
        <v>10</v>
      </c>
      <c r="L143" s="455" t="str">
        <f t="shared" si="85"/>
        <v/>
      </c>
      <c r="M143" s="389" t="str">
        <f>IFERROR(IF(AD143&lt;=VLOOKUP(D143,Tournaments!$A$1:$B$1772,2,FALSE),"TRUE","FALSE"),"")</f>
        <v>FALSE</v>
      </c>
      <c r="N143" s="389">
        <v>1</v>
      </c>
      <c r="O143" s="389">
        <f t="shared" si="61"/>
        <v>2</v>
      </c>
      <c r="Q143" s="389">
        <f t="shared" si="62"/>
        <v>2</v>
      </c>
      <c r="R143" s="389">
        <f t="shared" si="63"/>
        <v>1</v>
      </c>
      <c r="S143" s="389">
        <f t="shared" si="64"/>
        <v>0</v>
      </c>
      <c r="U143" s="389">
        <f t="shared" si="65"/>
        <v>3</v>
      </c>
      <c r="V143" s="389">
        <f t="shared" si="66"/>
        <v>2.5000000000000001E-3</v>
      </c>
      <c r="W143" s="389">
        <f t="shared" si="67"/>
        <v>-2.9975000000000001</v>
      </c>
      <c r="X143" s="389">
        <f t="shared" si="68"/>
        <v>3</v>
      </c>
      <c r="Y143" s="389">
        <f t="shared" si="86"/>
        <v>7.4999999999999997E-2</v>
      </c>
      <c r="Z143" s="389">
        <f t="shared" si="69"/>
        <v>-2.9249999999999998</v>
      </c>
      <c r="AA143" s="389">
        <f t="shared" si="70"/>
        <v>2</v>
      </c>
      <c r="AB143" s="389" t="b">
        <f t="shared" si="71"/>
        <v>0</v>
      </c>
      <c r="AC143" s="389">
        <f t="shared" si="72"/>
        <v>-2</v>
      </c>
      <c r="AD143" s="389">
        <f t="shared" si="73"/>
        <v>2</v>
      </c>
      <c r="AE143" s="389">
        <f t="shared" si="74"/>
        <v>3</v>
      </c>
      <c r="AG143" s="311" t="str">
        <f t="shared" si="75"/>
        <v>Ch D Female Basketball-Pool B</v>
      </c>
      <c r="AH143" s="453">
        <f t="shared" si="76"/>
        <v>1</v>
      </c>
      <c r="AI143" s="453">
        <f t="shared" si="77"/>
        <v>3</v>
      </c>
      <c r="AJ143" t="str">
        <f t="array" ref="AJ143">IF(AND(AI143&gt;1,G143&lt;&gt;""),INDEX(FS_teams,MATCH(1,(FS_Keys=AG143)*(FS_Points=I143)*(FS_teams&lt;&gt;G143),0)),"")</f>
        <v>CHILD DF - COL 1</v>
      </c>
      <c r="AK143" s="390" t="e">
        <f t="array" ref="AK143">IF(AJ143&lt;&gt;"",INDEX(TM_Score1,MATCH(1,(TM_Events=D143)*(TM_Participant1=G143)*(TM_Participant2=AJ143),0)),"")</f>
        <v>#N/A</v>
      </c>
      <c r="AL143" s="390">
        <f t="array" ref="AL143">IF(AJ143&lt;&gt;"",INDEX(TM_Score1,MATCH(1,(TM_Events=D143)*(TM_Participant1=AJ143)*(TM_Participant2=G143),0)),"")</f>
        <v>2</v>
      </c>
      <c r="AM143" s="389" t="str">
        <f t="array" ref="AM143">IF(ISNUMBER(AK143),INDEX(TM_Score2,MATCH(1,(TM_Events=D143)*(TM_Participant1=G143)*(TM_Participant2=AJ143),0)),"")</f>
        <v/>
      </c>
      <c r="AN143" s="389">
        <f t="array" ref="AN143">IF(ISNUMBER(AL143),INDEX(TM_Score2,MATCH(1,(TM_Events=D143)*(TM_Participant1=AJ143)*(TM_Participant2=G143),0)),"")</f>
        <v>6</v>
      </c>
      <c r="AO143" s="389" t="str">
        <f t="shared" si="78"/>
        <v>Win</v>
      </c>
      <c r="AP143" s="389">
        <f t="shared" si="79"/>
        <v>2</v>
      </c>
      <c r="AQ143" s="389">
        <f t="shared" si="80"/>
        <v>0</v>
      </c>
      <c r="AR143" s="389">
        <f t="shared" si="81"/>
        <v>1</v>
      </c>
      <c r="AS143" s="453">
        <f t="shared" si="82"/>
        <v>10</v>
      </c>
      <c r="AT143" s="452">
        <f t="shared" si="83"/>
        <v>16</v>
      </c>
    </row>
    <row r="144" spans="1:46" ht="16" x14ac:dyDescent="0.2">
      <c r="A144" s="298"/>
      <c r="B144"/>
      <c r="C144" s="433"/>
      <c r="D144" s="303" t="s">
        <v>49</v>
      </c>
      <c r="E144" s="396" t="s">
        <v>723</v>
      </c>
      <c r="F144" s="387">
        <v>1</v>
      </c>
      <c r="G144" s="397" t="s">
        <v>588</v>
      </c>
      <c r="H144" s="387" t="str">
        <f t="shared" si="58"/>
        <v>2-1-0</v>
      </c>
      <c r="I144" s="389">
        <f t="shared" si="59"/>
        <v>4</v>
      </c>
      <c r="J144" s="455">
        <f t="shared" si="84"/>
        <v>1</v>
      </c>
      <c r="K144" s="455">
        <f t="shared" si="60"/>
        <v>4</v>
      </c>
      <c r="L144" s="455" t="str">
        <f t="shared" si="85"/>
        <v/>
      </c>
      <c r="M144" s="389" t="str">
        <f>IFERROR(IF(AD144&lt;=VLOOKUP(D144,Tournaments!$A$1:$B$1772,2,FALSE),"TRUE","FALSE"),"")</f>
        <v>FALSE</v>
      </c>
      <c r="N144" s="389">
        <v>1</v>
      </c>
      <c r="O144" s="389">
        <f t="shared" si="61"/>
        <v>3</v>
      </c>
      <c r="Q144" s="389">
        <f t="shared" si="62"/>
        <v>2</v>
      </c>
      <c r="R144" s="389">
        <f t="shared" si="63"/>
        <v>1</v>
      </c>
      <c r="S144" s="389">
        <f t="shared" si="64"/>
        <v>0</v>
      </c>
      <c r="U144" s="389">
        <f t="shared" si="65"/>
        <v>3</v>
      </c>
      <c r="V144" s="389">
        <f t="shared" si="66"/>
        <v>2.5000000000000001E-3</v>
      </c>
      <c r="W144" s="389">
        <f t="shared" si="67"/>
        <v>-2.9975000000000001</v>
      </c>
      <c r="X144" s="389">
        <f t="shared" si="68"/>
        <v>3</v>
      </c>
      <c r="Y144" s="389">
        <f t="shared" si="86"/>
        <v>7.2900000000000006E-2</v>
      </c>
      <c r="Z144" s="389">
        <f t="shared" si="69"/>
        <v>-2.9270999999999998</v>
      </c>
      <c r="AA144" s="389">
        <f t="shared" si="70"/>
        <v>3</v>
      </c>
      <c r="AB144" s="389" t="b">
        <f t="shared" si="71"/>
        <v>0</v>
      </c>
      <c r="AC144" s="389">
        <f t="shared" si="72"/>
        <v>-3</v>
      </c>
      <c r="AD144" s="389">
        <f t="shared" si="73"/>
        <v>3</v>
      </c>
      <c r="AE144" s="389">
        <f t="shared" si="74"/>
        <v>3</v>
      </c>
      <c r="AG144" s="311" t="str">
        <f t="shared" si="75"/>
        <v>Ch D Female Basketball-Pool B</v>
      </c>
      <c r="AH144" s="453">
        <f t="shared" si="76"/>
        <v>1</v>
      </c>
      <c r="AI144" s="453">
        <f t="shared" si="77"/>
        <v>3</v>
      </c>
      <c r="AJ144" t="str">
        <f t="array" ref="AJ144">IF(AND(AI144&gt;1,G144&lt;&gt;""),INDEX(FS_teams,MATCH(1,(FS_Keys=AG144)*(FS_Points=I144)*(FS_teams&lt;&gt;G144),0)),"")</f>
        <v>CHILD DF - COL 1</v>
      </c>
      <c r="AK144" s="390" t="e">
        <f t="array" ref="AK144">IF(AJ144&lt;&gt;"",INDEX(TM_Score1,MATCH(1,(TM_Events=D144)*(TM_Participant1=G144)*(TM_Participant2=AJ144),0)),"")</f>
        <v>#N/A</v>
      </c>
      <c r="AL144" s="390">
        <f t="array" ref="AL144">IF(AJ144&lt;&gt;"",INDEX(TM_Score1,MATCH(1,(TM_Events=D144)*(TM_Participant1=AJ144)*(TM_Participant2=G144),0)),"")</f>
        <v>6</v>
      </c>
      <c r="AM144" s="389" t="str">
        <f t="array" ref="AM144">IF(ISNUMBER(AK144),INDEX(TM_Score2,MATCH(1,(TM_Events=D144)*(TM_Participant1=G144)*(TM_Participant2=AJ144),0)),"")</f>
        <v/>
      </c>
      <c r="AN144" s="389">
        <f t="array" ref="AN144">IF(ISNUMBER(AL144),INDEX(TM_Score2,MATCH(1,(TM_Events=D144)*(TM_Participant1=AJ144)*(TM_Participant2=G144),0)),"")</f>
        <v>4</v>
      </c>
      <c r="AO144" s="389" t="str">
        <f t="shared" si="78"/>
        <v>Loss</v>
      </c>
      <c r="AP144" s="389">
        <f t="shared" si="79"/>
        <v>2</v>
      </c>
      <c r="AQ144" s="389">
        <f t="shared" si="80"/>
        <v>0</v>
      </c>
      <c r="AR144" s="389">
        <f t="shared" si="81"/>
        <v>1</v>
      </c>
      <c r="AS144" s="453">
        <f t="shared" si="82"/>
        <v>4</v>
      </c>
      <c r="AT144" s="452">
        <f t="shared" si="83"/>
        <v>10</v>
      </c>
    </row>
    <row r="145" spans="1:46" ht="16" x14ac:dyDescent="0.2">
      <c r="A145" s="298"/>
      <c r="B145"/>
      <c r="C145" s="433"/>
      <c r="D145" s="303" t="s">
        <v>49</v>
      </c>
      <c r="E145" s="396" t="s">
        <v>723</v>
      </c>
      <c r="F145" s="387">
        <v>1</v>
      </c>
      <c r="G145" s="397" t="s">
        <v>724</v>
      </c>
      <c r="H145" s="387" t="str">
        <f t="shared" si="58"/>
        <v>0-3-0</v>
      </c>
      <c r="I145" s="389">
        <f t="shared" si="59"/>
        <v>0</v>
      </c>
      <c r="J145" s="455" t="str">
        <f t="shared" si="84"/>
        <v/>
      </c>
      <c r="K145" s="455" t="str">
        <f t="shared" si="60"/>
        <v/>
      </c>
      <c r="L145" s="455" t="str">
        <f t="shared" si="85"/>
        <v/>
      </c>
      <c r="M145" s="389" t="str">
        <f>IFERROR(IF(AD145&lt;=VLOOKUP(D145,Tournaments!$A$1:$B$1772,2,FALSE),"TRUE","FALSE"),"")</f>
        <v>FALSE</v>
      </c>
      <c r="N145" s="389">
        <v>1</v>
      </c>
      <c r="O145" s="389">
        <f t="shared" si="61"/>
        <v>4</v>
      </c>
      <c r="Q145" s="389">
        <f t="shared" si="62"/>
        <v>0</v>
      </c>
      <c r="R145" s="389">
        <f t="shared" si="63"/>
        <v>3</v>
      </c>
      <c r="S145" s="389">
        <f t="shared" si="64"/>
        <v>0</v>
      </c>
      <c r="U145" s="389">
        <f t="shared" si="65"/>
        <v>4</v>
      </c>
      <c r="V145" s="389" t="b">
        <f t="shared" si="66"/>
        <v>0</v>
      </c>
      <c r="W145" s="389">
        <f t="shared" si="67"/>
        <v>-4</v>
      </c>
      <c r="X145" s="389">
        <f t="shared" si="68"/>
        <v>4</v>
      </c>
      <c r="Y145" s="389" t="b">
        <f t="shared" si="86"/>
        <v>0</v>
      </c>
      <c r="Z145" s="389">
        <f t="shared" si="69"/>
        <v>-4</v>
      </c>
      <c r="AA145" s="389">
        <f t="shared" si="70"/>
        <v>4</v>
      </c>
      <c r="AB145" s="389" t="b">
        <f t="shared" si="71"/>
        <v>0</v>
      </c>
      <c r="AC145" s="389">
        <f t="shared" si="72"/>
        <v>-4</v>
      </c>
      <c r="AD145" s="389">
        <f t="shared" si="73"/>
        <v>4</v>
      </c>
      <c r="AE145" s="389">
        <f t="shared" si="74"/>
        <v>1</v>
      </c>
      <c r="AG145" s="311" t="str">
        <f t="shared" si="75"/>
        <v>Ch D Female Basketball-Pool B</v>
      </c>
      <c r="AH145" s="453">
        <f t="shared" si="76"/>
        <v>4</v>
      </c>
      <c r="AI145" s="453">
        <f t="shared" si="77"/>
        <v>1</v>
      </c>
      <c r="AJ145" t="str">
        <f t="array" ref="AJ145">IF(AND(AI145&gt;1,G145&lt;&gt;""),INDEX(FS_teams,MATCH(1,(FS_Keys=AG145)*(FS_Points=I145)*(FS_teams&lt;&gt;G145),0)),"")</f>
        <v/>
      </c>
      <c r="AK145" s="390" t="str">
        <f t="array" ref="AK145">IF(AJ145&lt;&gt;"",INDEX(TM_Score1,MATCH(1,(TM_Events=D145)*(TM_Participant1=G145)*(TM_Participant2=AJ145),0)),"")</f>
        <v/>
      </c>
      <c r="AL145" s="390" t="str">
        <f t="array" ref="AL145">IF(AJ145&lt;&gt;"",INDEX(TM_Score1,MATCH(1,(TM_Events=D145)*(TM_Participant1=AJ145)*(TM_Participant2=G145),0)),"")</f>
        <v/>
      </c>
      <c r="AM145" s="389" t="str">
        <f t="array" ref="AM145">IF(ISNUMBER(AK145),INDEX(TM_Score2,MATCH(1,(TM_Events=D145)*(TM_Participant1=G145)*(TM_Participant2=AJ145),0)),"")</f>
        <v/>
      </c>
      <c r="AN145" s="389" t="str">
        <f t="array" ref="AN145">IF(ISNUMBER(AL145),INDEX(TM_Score2,MATCH(1,(TM_Events=D145)*(TM_Participant1=AJ145)*(TM_Participant2=G145),0)),"")</f>
        <v/>
      </c>
      <c r="AO145" s="389" t="str">
        <f t="shared" si="78"/>
        <v/>
      </c>
      <c r="AP145" s="389">
        <f t="shared" si="79"/>
        <v>0</v>
      </c>
      <c r="AQ145" s="389">
        <f t="shared" si="80"/>
        <v>0</v>
      </c>
      <c r="AR145" s="389">
        <f t="shared" si="81"/>
        <v>3</v>
      </c>
      <c r="AS145" s="453">
        <f t="shared" si="82"/>
        <v>-27</v>
      </c>
      <c r="AT145" s="452">
        <f t="shared" si="83"/>
        <v>2</v>
      </c>
    </row>
    <row r="146" spans="1:46" ht="16" x14ac:dyDescent="0.2">
      <c r="A146" s="298"/>
      <c r="B146"/>
      <c r="C146" s="433"/>
      <c r="D146" s="303" t="s">
        <v>52</v>
      </c>
      <c r="E146" s="396" t="s">
        <v>722</v>
      </c>
      <c r="F146" s="387">
        <v>1</v>
      </c>
      <c r="G146" s="397" t="s">
        <v>590</v>
      </c>
      <c r="H146" s="387" t="str">
        <f t="shared" si="58"/>
        <v>2-1-0</v>
      </c>
      <c r="I146" s="389">
        <f t="shared" si="59"/>
        <v>4</v>
      </c>
      <c r="J146" s="455" t="str">
        <f t="shared" si="84"/>
        <v/>
      </c>
      <c r="K146" s="455" t="str">
        <f t="shared" si="60"/>
        <v/>
      </c>
      <c r="L146" s="455" t="str">
        <f t="shared" si="85"/>
        <v/>
      </c>
      <c r="M146" s="389" t="str">
        <f>IFERROR(IF(AD146&lt;=VLOOKUP(D146,Tournaments!$A$1:$B$1772,2,FALSE),"TRUE","FALSE"),"")</f>
        <v>FALSE</v>
      </c>
      <c r="N146" s="389">
        <v>1</v>
      </c>
      <c r="O146" s="389">
        <f t="shared" si="61"/>
        <v>2</v>
      </c>
      <c r="Q146" s="389">
        <f t="shared" si="62"/>
        <v>2</v>
      </c>
      <c r="R146" s="389">
        <f t="shared" si="63"/>
        <v>1</v>
      </c>
      <c r="S146" s="389">
        <f t="shared" si="64"/>
        <v>0</v>
      </c>
      <c r="U146" s="389">
        <f t="shared" si="65"/>
        <v>2</v>
      </c>
      <c r="V146" s="389" t="b">
        <f t="shared" si="66"/>
        <v>0</v>
      </c>
      <c r="W146" s="389">
        <f t="shared" si="67"/>
        <v>-2</v>
      </c>
      <c r="X146" s="389">
        <f t="shared" si="68"/>
        <v>2</v>
      </c>
      <c r="Y146" s="389" t="b">
        <f t="shared" si="86"/>
        <v>0</v>
      </c>
      <c r="Z146" s="389">
        <f t="shared" si="69"/>
        <v>-2</v>
      </c>
      <c r="AA146" s="389">
        <f t="shared" si="70"/>
        <v>2</v>
      </c>
      <c r="AB146" s="389" t="b">
        <f t="shared" si="71"/>
        <v>0</v>
      </c>
      <c r="AC146" s="389">
        <f t="shared" si="72"/>
        <v>-2</v>
      </c>
      <c r="AD146" s="389">
        <f t="shared" si="73"/>
        <v>2</v>
      </c>
      <c r="AE146" s="389">
        <f t="shared" si="74"/>
        <v>1</v>
      </c>
      <c r="AG146" s="311" t="str">
        <f t="shared" si="75"/>
        <v>Ch D Female Kickball-Pool A</v>
      </c>
      <c r="AH146" s="453">
        <f t="shared" si="76"/>
        <v>2</v>
      </c>
      <c r="AI146" s="453">
        <f t="shared" si="77"/>
        <v>1</v>
      </c>
      <c r="AJ146" t="str">
        <f t="array" ref="AJ146">IF(AND(AI146&gt;1,G146&lt;&gt;""),INDEX(FS_teams,MATCH(1,(FS_Keys=AG146)*(FS_Points=I146)*(FS_teams&lt;&gt;G146),0)),"")</f>
        <v/>
      </c>
      <c r="AK146" s="390" t="str">
        <f t="array" ref="AK146">IF(AJ146&lt;&gt;"",INDEX(TM_Score1,MATCH(1,(TM_Events=D146)*(TM_Participant1=G146)*(TM_Participant2=AJ146),0)),"")</f>
        <v/>
      </c>
      <c r="AL146" s="390" t="str">
        <f t="array" ref="AL146">IF(AJ146&lt;&gt;"",INDEX(TM_Score1,MATCH(1,(TM_Events=D146)*(TM_Participant1=AJ146)*(TM_Participant2=G146),0)),"")</f>
        <v/>
      </c>
      <c r="AM146" s="389" t="str">
        <f t="array" ref="AM146">IF(ISNUMBER(AK146),INDEX(TM_Score2,MATCH(1,(TM_Events=D146)*(TM_Participant1=G146)*(TM_Participant2=AJ146),0)),"")</f>
        <v/>
      </c>
      <c r="AN146" s="389" t="str">
        <f t="array" ref="AN146">IF(ISNUMBER(AL146),INDEX(TM_Score2,MATCH(1,(TM_Events=D146)*(TM_Participant1=AJ146)*(TM_Participant2=G146),0)),"")</f>
        <v/>
      </c>
      <c r="AO146" s="389" t="str">
        <f t="shared" si="78"/>
        <v/>
      </c>
      <c r="AP146" s="389">
        <f t="shared" si="79"/>
        <v>2</v>
      </c>
      <c r="AQ146" s="389">
        <f t="shared" si="80"/>
        <v>0</v>
      </c>
      <c r="AR146" s="389">
        <f t="shared" si="81"/>
        <v>1</v>
      </c>
      <c r="AS146" s="453">
        <f t="shared" si="82"/>
        <v>4</v>
      </c>
      <c r="AT146" s="452">
        <f t="shared" si="83"/>
        <v>23</v>
      </c>
    </row>
    <row r="147" spans="1:46" ht="16" x14ac:dyDescent="0.2">
      <c r="A147" s="298"/>
      <c r="B147"/>
      <c r="D147" s="303" t="s">
        <v>52</v>
      </c>
      <c r="E147" s="396" t="s">
        <v>722</v>
      </c>
      <c r="F147" s="387">
        <v>1</v>
      </c>
      <c r="G147" s="397" t="s">
        <v>587</v>
      </c>
      <c r="H147" s="387" t="str">
        <f t="shared" si="58"/>
        <v>4-0-0</v>
      </c>
      <c r="I147" s="389">
        <f t="shared" si="59"/>
        <v>8</v>
      </c>
      <c r="J147" s="455" t="str">
        <f t="shared" si="84"/>
        <v/>
      </c>
      <c r="K147" s="455" t="str">
        <f t="shared" si="60"/>
        <v/>
      </c>
      <c r="L147" s="455" t="str">
        <f t="shared" si="85"/>
        <v/>
      </c>
      <c r="M147" s="389" t="str">
        <f>IFERROR(IF(AD147&lt;=VLOOKUP(D147,Tournaments!$A$1:$B$1772,2,FALSE),"TRUE","FALSE"),"")</f>
        <v>TRUE</v>
      </c>
      <c r="N147" s="389">
        <v>1</v>
      </c>
      <c r="O147" s="389">
        <f t="shared" si="61"/>
        <v>1</v>
      </c>
      <c r="Q147" s="389">
        <f t="shared" si="62"/>
        <v>4</v>
      </c>
      <c r="R147" s="389">
        <f t="shared" si="63"/>
        <v>0</v>
      </c>
      <c r="S147" s="389">
        <f t="shared" si="64"/>
        <v>0</v>
      </c>
      <c r="U147" s="389">
        <f t="shared" si="65"/>
        <v>1</v>
      </c>
      <c r="V147" s="389" t="b">
        <f t="shared" si="66"/>
        <v>0</v>
      </c>
      <c r="W147" s="389">
        <f t="shared" si="67"/>
        <v>-1</v>
      </c>
      <c r="X147" s="389">
        <f t="shared" si="68"/>
        <v>1</v>
      </c>
      <c r="Y147" s="389" t="b">
        <f t="shared" si="86"/>
        <v>0</v>
      </c>
      <c r="Z147" s="389">
        <f t="shared" si="69"/>
        <v>-1</v>
      </c>
      <c r="AA147" s="389">
        <f t="shared" si="70"/>
        <v>1</v>
      </c>
      <c r="AB147" s="389" t="b">
        <f t="shared" si="71"/>
        <v>0</v>
      </c>
      <c r="AC147" s="389">
        <f t="shared" si="72"/>
        <v>-1</v>
      </c>
      <c r="AD147" s="389">
        <f t="shared" si="73"/>
        <v>1</v>
      </c>
      <c r="AE147" s="389">
        <f t="shared" si="74"/>
        <v>1</v>
      </c>
      <c r="AG147" s="311" t="str">
        <f t="shared" si="75"/>
        <v>Ch D Female Kickball-Pool A</v>
      </c>
      <c r="AH147" s="453">
        <f t="shared" si="76"/>
        <v>1</v>
      </c>
      <c r="AI147" s="453">
        <f t="shared" si="77"/>
        <v>1</v>
      </c>
      <c r="AJ147" t="str">
        <f t="array" ref="AJ147">IF(AND(AI147&gt;1,G147&lt;&gt;""),INDEX(FS_teams,MATCH(1,(FS_Keys=AG147)*(FS_Points=I147)*(FS_teams&lt;&gt;G147),0)),"")</f>
        <v/>
      </c>
      <c r="AK147" s="390" t="str">
        <f t="array" ref="AK147">IF(AJ147&lt;&gt;"",INDEX(TM_Score1,MATCH(1,(TM_Events=D147)*(TM_Participant1=G147)*(TM_Participant2=AJ147),0)),"")</f>
        <v/>
      </c>
      <c r="AL147" s="390" t="str">
        <f t="array" ref="AL147">IF(AJ147&lt;&gt;"",INDEX(TM_Score1,MATCH(1,(TM_Events=D147)*(TM_Participant1=AJ147)*(TM_Participant2=G147),0)),"")</f>
        <v/>
      </c>
      <c r="AM147" s="389" t="str">
        <f t="array" ref="AM147">IF(ISNUMBER(AK147),INDEX(TM_Score2,MATCH(1,(TM_Events=D147)*(TM_Participant1=G147)*(TM_Participant2=AJ147),0)),"")</f>
        <v/>
      </c>
      <c r="AN147" s="389" t="str">
        <f t="array" ref="AN147">IF(ISNUMBER(AL147),INDEX(TM_Score2,MATCH(1,(TM_Events=D147)*(TM_Participant1=AJ147)*(TM_Participant2=G147),0)),"")</f>
        <v/>
      </c>
      <c r="AO147" s="389" t="str">
        <f t="shared" si="78"/>
        <v/>
      </c>
      <c r="AP147" s="389">
        <f t="shared" si="79"/>
        <v>4</v>
      </c>
      <c r="AQ147" s="389">
        <f t="shared" si="80"/>
        <v>0</v>
      </c>
      <c r="AR147" s="389">
        <f t="shared" si="81"/>
        <v>0</v>
      </c>
      <c r="AS147" s="453">
        <f t="shared" si="82"/>
        <v>9</v>
      </c>
      <c r="AT147" s="452">
        <f t="shared" si="83"/>
        <v>36</v>
      </c>
    </row>
    <row r="148" spans="1:46" ht="16" x14ac:dyDescent="0.2">
      <c r="A148" s="298"/>
      <c r="B148"/>
      <c r="D148" s="303" t="s">
        <v>52</v>
      </c>
      <c r="E148" s="396" t="s">
        <v>722</v>
      </c>
      <c r="F148" s="387">
        <v>1</v>
      </c>
      <c r="G148" s="397" t="s">
        <v>724</v>
      </c>
      <c r="H148" s="387" t="str">
        <f t="shared" si="58"/>
        <v>0-3-0</v>
      </c>
      <c r="I148" s="389">
        <f t="shared" si="59"/>
        <v>0</v>
      </c>
      <c r="J148" s="455" t="str">
        <f t="shared" si="84"/>
        <v/>
      </c>
      <c r="K148" s="455" t="str">
        <f t="shared" si="60"/>
        <v/>
      </c>
      <c r="L148" s="455" t="str">
        <f t="shared" si="85"/>
        <v/>
      </c>
      <c r="M148" s="389" t="str">
        <f>IFERROR(IF(AD148&lt;=VLOOKUP(D148,Tournaments!$A$1:$B$1772,2,FALSE),"TRUE","FALSE"),"")</f>
        <v>FALSE</v>
      </c>
      <c r="N148" s="389">
        <v>1</v>
      </c>
      <c r="O148" s="389">
        <f t="shared" si="61"/>
        <v>4</v>
      </c>
      <c r="Q148" s="389">
        <f t="shared" si="62"/>
        <v>0</v>
      </c>
      <c r="R148" s="389">
        <f t="shared" si="63"/>
        <v>3</v>
      </c>
      <c r="S148" s="389">
        <f t="shared" si="64"/>
        <v>0</v>
      </c>
      <c r="U148" s="389">
        <f t="shared" si="65"/>
        <v>4</v>
      </c>
      <c r="V148" s="389" t="b">
        <f t="shared" si="66"/>
        <v>0</v>
      </c>
      <c r="W148" s="389">
        <f t="shared" si="67"/>
        <v>-4</v>
      </c>
      <c r="X148" s="389">
        <f t="shared" si="68"/>
        <v>4</v>
      </c>
      <c r="Y148" s="389" t="b">
        <f t="shared" si="86"/>
        <v>0</v>
      </c>
      <c r="Z148" s="389">
        <f t="shared" si="69"/>
        <v>-4</v>
      </c>
      <c r="AA148" s="389">
        <f t="shared" si="70"/>
        <v>4</v>
      </c>
      <c r="AB148" s="389" t="b">
        <f t="shared" si="71"/>
        <v>0</v>
      </c>
      <c r="AC148" s="389">
        <f t="shared" si="72"/>
        <v>-4</v>
      </c>
      <c r="AD148" s="389">
        <f t="shared" si="73"/>
        <v>4</v>
      </c>
      <c r="AE148" s="389">
        <f t="shared" si="74"/>
        <v>1</v>
      </c>
      <c r="AG148" s="311" t="str">
        <f t="shared" si="75"/>
        <v>Ch D Female Kickball-Pool A</v>
      </c>
      <c r="AH148" s="453">
        <f t="shared" si="76"/>
        <v>4</v>
      </c>
      <c r="AI148" s="453">
        <f t="shared" si="77"/>
        <v>1</v>
      </c>
      <c r="AJ148" t="str">
        <f t="array" ref="AJ148">IF(AND(AI148&gt;1,G148&lt;&gt;""),INDEX(FS_teams,MATCH(1,(FS_Keys=AG148)*(FS_Points=I148)*(FS_teams&lt;&gt;G148),0)),"")</f>
        <v/>
      </c>
      <c r="AK148" s="390" t="str">
        <f t="array" ref="AK148">IF(AJ148&lt;&gt;"",INDEX(TM_Score1,MATCH(1,(TM_Events=D148)*(TM_Participant1=G148)*(TM_Participant2=AJ148),0)),"")</f>
        <v/>
      </c>
      <c r="AL148" s="390" t="str">
        <f t="array" ref="AL148">IF(AJ148&lt;&gt;"",INDEX(TM_Score1,MATCH(1,(TM_Events=D148)*(TM_Participant1=AJ148)*(TM_Participant2=G148),0)),"")</f>
        <v/>
      </c>
      <c r="AM148" s="389" t="str">
        <f t="array" ref="AM148">IF(ISNUMBER(AK148),INDEX(TM_Score2,MATCH(1,(TM_Events=D148)*(TM_Participant1=G148)*(TM_Participant2=AJ148),0)),"")</f>
        <v/>
      </c>
      <c r="AN148" s="389" t="str">
        <f t="array" ref="AN148">IF(ISNUMBER(AL148),INDEX(TM_Score2,MATCH(1,(TM_Events=D148)*(TM_Participant1=AJ148)*(TM_Participant2=G148),0)),"")</f>
        <v/>
      </c>
      <c r="AO148" s="389" t="str">
        <f t="shared" si="78"/>
        <v/>
      </c>
      <c r="AP148" s="389">
        <f t="shared" si="79"/>
        <v>0</v>
      </c>
      <c r="AQ148" s="389">
        <f t="shared" si="80"/>
        <v>0</v>
      </c>
      <c r="AR148" s="389">
        <f t="shared" si="81"/>
        <v>3</v>
      </c>
      <c r="AS148" s="453">
        <f t="shared" si="82"/>
        <v>-11</v>
      </c>
      <c r="AT148" s="452">
        <f t="shared" si="83"/>
        <v>22</v>
      </c>
    </row>
    <row r="149" spans="1:46" ht="16" x14ac:dyDescent="0.2">
      <c r="A149" s="298"/>
      <c r="B149"/>
      <c r="D149" s="303" t="s">
        <v>52</v>
      </c>
      <c r="E149" s="396" t="s">
        <v>722</v>
      </c>
      <c r="F149" s="387">
        <v>1</v>
      </c>
      <c r="G149" s="397" t="s">
        <v>586</v>
      </c>
      <c r="H149" s="387" t="str">
        <f t="shared" si="58"/>
        <v>1-2-0</v>
      </c>
      <c r="I149" s="389">
        <f t="shared" si="59"/>
        <v>2</v>
      </c>
      <c r="J149" s="455" t="str">
        <f t="shared" si="84"/>
        <v/>
      </c>
      <c r="K149" s="455" t="str">
        <f t="shared" si="60"/>
        <v/>
      </c>
      <c r="L149" s="455" t="str">
        <f t="shared" si="85"/>
        <v/>
      </c>
      <c r="M149" s="389" t="str">
        <f>IFERROR(IF(AD149&lt;=VLOOKUP(D149,Tournaments!$A$1:$B$1772,2,FALSE),"TRUE","FALSE"),"")</f>
        <v>FALSE</v>
      </c>
      <c r="N149" s="389">
        <v>1</v>
      </c>
      <c r="O149" s="389">
        <f t="shared" si="61"/>
        <v>3</v>
      </c>
      <c r="Q149" s="389">
        <f t="shared" si="62"/>
        <v>1</v>
      </c>
      <c r="R149" s="389">
        <f t="shared" si="63"/>
        <v>2</v>
      </c>
      <c r="S149" s="389">
        <f t="shared" si="64"/>
        <v>0</v>
      </c>
      <c r="U149" s="389">
        <f t="shared" si="65"/>
        <v>3</v>
      </c>
      <c r="V149" s="389" t="b">
        <f t="shared" si="66"/>
        <v>0</v>
      </c>
      <c r="W149" s="389">
        <f t="shared" si="67"/>
        <v>-3</v>
      </c>
      <c r="X149" s="389">
        <f t="shared" si="68"/>
        <v>3</v>
      </c>
      <c r="Y149" s="389" t="b">
        <f t="shared" si="86"/>
        <v>0</v>
      </c>
      <c r="Z149" s="389">
        <f t="shared" si="69"/>
        <v>-3</v>
      </c>
      <c r="AA149" s="389">
        <f t="shared" si="70"/>
        <v>3</v>
      </c>
      <c r="AB149" s="389" t="b">
        <f t="shared" si="71"/>
        <v>0</v>
      </c>
      <c r="AC149" s="389">
        <f t="shared" si="72"/>
        <v>-3</v>
      </c>
      <c r="AD149" s="389">
        <f t="shared" si="73"/>
        <v>3</v>
      </c>
      <c r="AE149" s="389">
        <f t="shared" si="74"/>
        <v>1</v>
      </c>
      <c r="AG149" s="311" t="str">
        <f t="shared" si="75"/>
        <v>Ch D Female Kickball-Pool A</v>
      </c>
      <c r="AH149" s="453">
        <f t="shared" si="76"/>
        <v>3</v>
      </c>
      <c r="AI149" s="453">
        <f t="shared" si="77"/>
        <v>1</v>
      </c>
      <c r="AJ149" t="str">
        <f t="array" ref="AJ149">IF(AND(AI149&gt;1,G149&lt;&gt;""),INDEX(FS_teams,MATCH(1,(FS_Keys=AG149)*(FS_Points=I149)*(FS_teams&lt;&gt;G149),0)),"")</f>
        <v/>
      </c>
      <c r="AK149" s="390" t="str">
        <f t="array" ref="AK149">IF(AJ149&lt;&gt;"",INDEX(TM_Score1,MATCH(1,(TM_Events=D149)*(TM_Participant1=G149)*(TM_Participant2=AJ149),0)),"")</f>
        <v/>
      </c>
      <c r="AL149" s="390" t="str">
        <f t="array" ref="AL149">IF(AJ149&lt;&gt;"",INDEX(TM_Score1,MATCH(1,(TM_Events=D149)*(TM_Participant1=AJ149)*(TM_Participant2=G149),0)),"")</f>
        <v/>
      </c>
      <c r="AM149" s="389" t="str">
        <f t="array" ref="AM149">IF(ISNUMBER(AK149),INDEX(TM_Score2,MATCH(1,(TM_Events=D149)*(TM_Participant1=G149)*(TM_Participant2=AJ149),0)),"")</f>
        <v/>
      </c>
      <c r="AN149" s="389" t="str">
        <f t="array" ref="AN149">IF(ISNUMBER(AL149),INDEX(TM_Score2,MATCH(1,(TM_Events=D149)*(TM_Participant1=AJ149)*(TM_Participant2=G149),0)),"")</f>
        <v/>
      </c>
      <c r="AO149" s="389" t="str">
        <f t="shared" si="78"/>
        <v/>
      </c>
      <c r="AP149" s="389">
        <f t="shared" si="79"/>
        <v>1</v>
      </c>
      <c r="AQ149" s="389">
        <f t="shared" si="80"/>
        <v>0</v>
      </c>
      <c r="AR149" s="389">
        <f t="shared" si="81"/>
        <v>2</v>
      </c>
      <c r="AS149" s="453">
        <f t="shared" si="82"/>
        <v>-1</v>
      </c>
      <c r="AT149" s="452">
        <f t="shared" si="83"/>
        <v>43</v>
      </c>
    </row>
    <row r="150" spans="1:46" ht="16" x14ac:dyDescent="0.2">
      <c r="A150" s="298"/>
      <c r="B150"/>
      <c r="D150" s="303" t="s">
        <v>52</v>
      </c>
      <c r="E150" s="396" t="s">
        <v>723</v>
      </c>
      <c r="F150" s="387">
        <v>1</v>
      </c>
      <c r="G150" s="397" t="s">
        <v>583</v>
      </c>
      <c r="H150" s="387" t="str">
        <f t="shared" si="58"/>
        <v>3-1-0</v>
      </c>
      <c r="I150" s="389">
        <f t="shared" si="59"/>
        <v>6</v>
      </c>
      <c r="J150" s="455" t="str">
        <f t="shared" si="84"/>
        <v/>
      </c>
      <c r="K150" s="455" t="str">
        <f t="shared" si="60"/>
        <v/>
      </c>
      <c r="L150" s="455" t="str">
        <f t="shared" si="85"/>
        <v/>
      </c>
      <c r="M150" s="389" t="str">
        <f>IFERROR(IF(AD150&lt;=VLOOKUP(D150,Tournaments!$A$1:$B$1772,2,FALSE),"TRUE","FALSE"),"")</f>
        <v>TRUE</v>
      </c>
      <c r="N150" s="389">
        <v>1</v>
      </c>
      <c r="O150" s="389">
        <f t="shared" si="61"/>
        <v>1</v>
      </c>
      <c r="Q150" s="389">
        <f t="shared" si="62"/>
        <v>3</v>
      </c>
      <c r="R150" s="389">
        <f t="shared" si="63"/>
        <v>1</v>
      </c>
      <c r="S150" s="389">
        <f t="shared" si="64"/>
        <v>0</v>
      </c>
      <c r="U150" s="389">
        <f t="shared" si="65"/>
        <v>1</v>
      </c>
      <c r="V150" s="389" t="b">
        <f t="shared" si="66"/>
        <v>0</v>
      </c>
      <c r="W150" s="389">
        <f t="shared" si="67"/>
        <v>-1</v>
      </c>
      <c r="X150" s="389">
        <f t="shared" si="68"/>
        <v>1</v>
      </c>
      <c r="Y150" s="389" t="b">
        <f t="shared" si="86"/>
        <v>0</v>
      </c>
      <c r="Z150" s="389">
        <f t="shared" si="69"/>
        <v>-1</v>
      </c>
      <c r="AA150" s="389">
        <f t="shared" si="70"/>
        <v>1</v>
      </c>
      <c r="AB150" s="389" t="b">
        <f t="shared" si="71"/>
        <v>0</v>
      </c>
      <c r="AC150" s="389">
        <f t="shared" si="72"/>
        <v>-1</v>
      </c>
      <c r="AD150" s="389">
        <f t="shared" si="73"/>
        <v>1</v>
      </c>
      <c r="AE150" s="389">
        <f t="shared" si="74"/>
        <v>1</v>
      </c>
      <c r="AG150" s="311" t="str">
        <f t="shared" si="75"/>
        <v>Ch D Female Kickball-Pool B</v>
      </c>
      <c r="AH150" s="453">
        <f t="shared" si="76"/>
        <v>1</v>
      </c>
      <c r="AI150" s="453">
        <f t="shared" si="77"/>
        <v>1</v>
      </c>
      <c r="AJ150" t="str">
        <f t="array" ref="AJ150">IF(AND(AI150&gt;1,G150&lt;&gt;""),INDEX(FS_teams,MATCH(1,(FS_Keys=AG150)*(FS_Points=I150)*(FS_teams&lt;&gt;G150),0)),"")</f>
        <v/>
      </c>
      <c r="AK150" s="390" t="str">
        <f t="array" ref="AK150">IF(AJ150&lt;&gt;"",INDEX(TM_Score1,MATCH(1,(TM_Events=D150)*(TM_Participant1=G150)*(TM_Participant2=AJ150),0)),"")</f>
        <v/>
      </c>
      <c r="AL150" s="390" t="str">
        <f t="array" ref="AL150">IF(AJ150&lt;&gt;"",INDEX(TM_Score1,MATCH(1,(TM_Events=D150)*(TM_Participant1=AJ150)*(TM_Participant2=G150),0)),"")</f>
        <v/>
      </c>
      <c r="AM150" s="389" t="str">
        <f t="array" ref="AM150">IF(ISNUMBER(AK150),INDEX(TM_Score2,MATCH(1,(TM_Events=D150)*(TM_Participant1=G150)*(TM_Participant2=AJ150),0)),"")</f>
        <v/>
      </c>
      <c r="AN150" s="389" t="str">
        <f t="array" ref="AN150">IF(ISNUMBER(AL150),INDEX(TM_Score2,MATCH(1,(TM_Events=D150)*(TM_Participant1=AJ150)*(TM_Participant2=G150),0)),"")</f>
        <v/>
      </c>
      <c r="AO150" s="389" t="str">
        <f t="shared" si="78"/>
        <v/>
      </c>
      <c r="AP150" s="389">
        <f t="shared" si="79"/>
        <v>3</v>
      </c>
      <c r="AQ150" s="389">
        <f t="shared" si="80"/>
        <v>0</v>
      </c>
      <c r="AR150" s="389">
        <f t="shared" si="81"/>
        <v>1</v>
      </c>
      <c r="AS150" s="453">
        <f t="shared" si="82"/>
        <v>10</v>
      </c>
      <c r="AT150" s="452">
        <f t="shared" si="83"/>
        <v>54</v>
      </c>
    </row>
    <row r="151" spans="1:46" ht="16" x14ac:dyDescent="0.2">
      <c r="A151" s="298"/>
      <c r="B151"/>
      <c r="D151" s="303" t="s">
        <v>52</v>
      </c>
      <c r="E151" s="387" t="s">
        <v>723</v>
      </c>
      <c r="F151" s="387">
        <v>1</v>
      </c>
      <c r="G151" s="397" t="s">
        <v>589</v>
      </c>
      <c r="H151" s="387" t="str">
        <f t="shared" si="58"/>
        <v>0-3-0</v>
      </c>
      <c r="I151" s="389">
        <f t="shared" si="59"/>
        <v>0</v>
      </c>
      <c r="J151" s="455" t="str">
        <f t="shared" si="84"/>
        <v/>
      </c>
      <c r="K151" s="455" t="str">
        <f t="shared" si="60"/>
        <v/>
      </c>
      <c r="L151" s="455" t="str">
        <f t="shared" si="85"/>
        <v/>
      </c>
      <c r="M151" s="389" t="str">
        <f>IFERROR(IF(AD151&lt;=VLOOKUP(D151,Tournaments!$A$1:$B$1772,2,FALSE),"TRUE","FALSE"),"")</f>
        <v>FALSE</v>
      </c>
      <c r="N151" s="389">
        <v>1</v>
      </c>
      <c r="O151" s="389">
        <f t="shared" si="61"/>
        <v>4</v>
      </c>
      <c r="Q151" s="389">
        <f t="shared" si="62"/>
        <v>0</v>
      </c>
      <c r="R151" s="389">
        <f t="shared" si="63"/>
        <v>3</v>
      </c>
      <c r="S151" s="389">
        <f t="shared" si="64"/>
        <v>0</v>
      </c>
      <c r="U151" s="389">
        <f t="shared" si="65"/>
        <v>4</v>
      </c>
      <c r="V151" s="389" t="b">
        <f t="shared" si="66"/>
        <v>0</v>
      </c>
      <c r="W151" s="389">
        <f t="shared" si="67"/>
        <v>-4</v>
      </c>
      <c r="X151" s="389">
        <f t="shared" si="68"/>
        <v>4</v>
      </c>
      <c r="Y151" s="389" t="b">
        <f t="shared" si="86"/>
        <v>0</v>
      </c>
      <c r="Z151" s="389">
        <f t="shared" si="69"/>
        <v>-4</v>
      </c>
      <c r="AA151" s="389">
        <f t="shared" si="70"/>
        <v>4</v>
      </c>
      <c r="AB151" s="389" t="b">
        <f t="shared" si="71"/>
        <v>0</v>
      </c>
      <c r="AC151" s="389">
        <f t="shared" si="72"/>
        <v>-4</v>
      </c>
      <c r="AD151" s="389">
        <f t="shared" si="73"/>
        <v>4</v>
      </c>
      <c r="AE151" s="389">
        <f t="shared" si="74"/>
        <v>1</v>
      </c>
      <c r="AG151" s="311" t="str">
        <f t="shared" si="75"/>
        <v>Ch D Female Kickball-Pool B</v>
      </c>
      <c r="AH151" s="453">
        <f t="shared" si="76"/>
        <v>4</v>
      </c>
      <c r="AI151" s="453">
        <f t="shared" si="77"/>
        <v>1</v>
      </c>
      <c r="AJ151" t="str">
        <f t="array" ref="AJ151">IF(AND(AI151&gt;1,G151&lt;&gt;""),INDEX(FS_teams,MATCH(1,(FS_Keys=AG151)*(FS_Points=I151)*(FS_teams&lt;&gt;G151),0)),"")</f>
        <v/>
      </c>
      <c r="AK151" s="390" t="str">
        <f t="array" ref="AK151">IF(AJ151&lt;&gt;"",INDEX(TM_Score1,MATCH(1,(TM_Events=D151)*(TM_Participant1=G151)*(TM_Participant2=AJ151),0)),"")</f>
        <v/>
      </c>
      <c r="AL151" s="390" t="str">
        <f t="array" ref="AL151">IF(AJ151&lt;&gt;"",INDEX(TM_Score1,MATCH(1,(TM_Events=D151)*(TM_Participant1=AJ151)*(TM_Participant2=G151),0)),"")</f>
        <v/>
      </c>
      <c r="AM151" s="389" t="str">
        <f t="array" ref="AM151">IF(ISNUMBER(AK151),INDEX(TM_Score2,MATCH(1,(TM_Events=D151)*(TM_Participant1=G151)*(TM_Participant2=AJ151),0)),"")</f>
        <v/>
      </c>
      <c r="AN151" s="389" t="str">
        <f t="array" ref="AN151">IF(ISNUMBER(AL151),INDEX(TM_Score2,MATCH(1,(TM_Events=D151)*(TM_Participant1=AJ151)*(TM_Participant2=G151),0)),"")</f>
        <v/>
      </c>
      <c r="AO151" s="389" t="str">
        <f t="shared" si="78"/>
        <v/>
      </c>
      <c r="AP151" s="389">
        <f t="shared" si="79"/>
        <v>0</v>
      </c>
      <c r="AQ151" s="389">
        <f t="shared" si="80"/>
        <v>0</v>
      </c>
      <c r="AR151" s="389">
        <f t="shared" si="81"/>
        <v>3</v>
      </c>
      <c r="AS151" s="453">
        <f t="shared" si="82"/>
        <v>-11</v>
      </c>
      <c r="AT151" s="452">
        <f t="shared" si="83"/>
        <v>36</v>
      </c>
    </row>
    <row r="152" spans="1:46" ht="16" x14ac:dyDescent="0.2">
      <c r="A152" s="298"/>
      <c r="B152"/>
      <c r="D152" s="298" t="s">
        <v>52</v>
      </c>
      <c r="E152" s="389" t="s">
        <v>723</v>
      </c>
      <c r="F152" s="389">
        <v>1</v>
      </c>
      <c r="G152" s="390" t="s">
        <v>725</v>
      </c>
      <c r="H152" s="387" t="str">
        <f t="shared" si="58"/>
        <v>1-2-0</v>
      </c>
      <c r="I152" s="389">
        <f t="shared" si="59"/>
        <v>2</v>
      </c>
      <c r="J152" s="455" t="str">
        <f t="shared" si="84"/>
        <v/>
      </c>
      <c r="K152" s="455" t="str">
        <f t="shared" si="60"/>
        <v/>
      </c>
      <c r="L152" s="455" t="str">
        <f t="shared" si="85"/>
        <v/>
      </c>
      <c r="M152" s="389" t="str">
        <f>IFERROR(IF(AD152&lt;=VLOOKUP(D152,Tournaments!$A$1:$B$1772,2,FALSE),"TRUE","FALSE"),"")</f>
        <v>FALSE</v>
      </c>
      <c r="N152" s="389">
        <v>1</v>
      </c>
      <c r="O152" s="389">
        <f t="shared" si="61"/>
        <v>3</v>
      </c>
      <c r="Q152" s="389">
        <f t="shared" si="62"/>
        <v>1</v>
      </c>
      <c r="R152" s="389">
        <f t="shared" si="63"/>
        <v>2</v>
      </c>
      <c r="S152" s="389">
        <f t="shared" si="64"/>
        <v>0</v>
      </c>
      <c r="U152" s="389">
        <f t="shared" si="65"/>
        <v>3</v>
      </c>
      <c r="V152" s="389" t="b">
        <f t="shared" si="66"/>
        <v>0</v>
      </c>
      <c r="W152" s="389">
        <f t="shared" si="67"/>
        <v>-3</v>
      </c>
      <c r="X152" s="389">
        <f t="shared" si="68"/>
        <v>3</v>
      </c>
      <c r="Y152" s="389" t="b">
        <f t="shared" si="86"/>
        <v>0</v>
      </c>
      <c r="Z152" s="389">
        <f t="shared" si="69"/>
        <v>-3</v>
      </c>
      <c r="AA152" s="389">
        <f t="shared" si="70"/>
        <v>3</v>
      </c>
      <c r="AB152" s="389" t="b">
        <f t="shared" si="71"/>
        <v>0</v>
      </c>
      <c r="AC152" s="389">
        <f t="shared" si="72"/>
        <v>-3</v>
      </c>
      <c r="AD152" s="389">
        <f t="shared" si="73"/>
        <v>3</v>
      </c>
      <c r="AE152" s="389">
        <f t="shared" si="74"/>
        <v>1</v>
      </c>
      <c r="AG152" s="311" t="str">
        <f t="shared" si="75"/>
        <v>Ch D Female Kickball-Pool B</v>
      </c>
      <c r="AH152" s="453">
        <f t="shared" si="76"/>
        <v>3</v>
      </c>
      <c r="AI152" s="453">
        <f t="shared" si="77"/>
        <v>1</v>
      </c>
      <c r="AJ152" t="str">
        <f t="array" ref="AJ152">IF(AND(AI152&gt;1,G152&lt;&gt;""),INDEX(FS_teams,MATCH(1,(FS_Keys=AG152)*(FS_Points=I152)*(FS_teams&lt;&gt;G152),0)),"")</f>
        <v/>
      </c>
      <c r="AK152" s="390" t="str">
        <f t="array" ref="AK152">IF(AJ152&lt;&gt;"",INDEX(TM_Score1,MATCH(1,(TM_Events=D152)*(TM_Participant1=G152)*(TM_Participant2=AJ152),0)),"")</f>
        <v/>
      </c>
      <c r="AL152" s="390" t="str">
        <f t="array" ref="AL152">IF(AJ152&lt;&gt;"",INDEX(TM_Score1,MATCH(1,(TM_Events=D152)*(TM_Participant1=AJ152)*(TM_Participant2=G152),0)),"")</f>
        <v/>
      </c>
      <c r="AM152" s="389" t="str">
        <f t="array" ref="AM152">IF(ISNUMBER(AK152),INDEX(TM_Score2,MATCH(1,(TM_Events=D152)*(TM_Participant1=G152)*(TM_Participant2=AJ152),0)),"")</f>
        <v/>
      </c>
      <c r="AN152" s="389" t="str">
        <f t="array" ref="AN152">IF(ISNUMBER(AL152),INDEX(TM_Score2,MATCH(1,(TM_Events=D152)*(TM_Participant1=AJ152)*(TM_Participant2=G152),0)),"")</f>
        <v/>
      </c>
      <c r="AO152" s="389" t="str">
        <f t="shared" si="78"/>
        <v/>
      </c>
      <c r="AP152" s="389">
        <f t="shared" si="79"/>
        <v>1</v>
      </c>
      <c r="AQ152" s="389">
        <f t="shared" si="80"/>
        <v>0</v>
      </c>
      <c r="AR152" s="389">
        <f t="shared" si="81"/>
        <v>2</v>
      </c>
      <c r="AS152" s="453">
        <f t="shared" si="82"/>
        <v>-5</v>
      </c>
      <c r="AT152" s="452">
        <f t="shared" si="83"/>
        <v>14</v>
      </c>
    </row>
    <row r="153" spans="1:46" ht="16" x14ac:dyDescent="0.2">
      <c r="A153" s="298"/>
      <c r="B153"/>
      <c r="C153" s="433"/>
      <c r="D153" s="303" t="s">
        <v>52</v>
      </c>
      <c r="E153" s="396" t="s">
        <v>723</v>
      </c>
      <c r="F153" s="387">
        <v>1</v>
      </c>
      <c r="G153" s="397" t="s">
        <v>588</v>
      </c>
      <c r="H153" s="387" t="str">
        <f t="shared" si="58"/>
        <v>2-1-0</v>
      </c>
      <c r="I153" s="389">
        <f t="shared" si="59"/>
        <v>4</v>
      </c>
      <c r="J153" s="455" t="str">
        <f t="shared" si="84"/>
        <v/>
      </c>
      <c r="K153" s="455" t="str">
        <f t="shared" si="60"/>
        <v/>
      </c>
      <c r="L153" s="455" t="str">
        <f t="shared" si="85"/>
        <v/>
      </c>
      <c r="M153" s="389" t="str">
        <f>IFERROR(IF(AD153&lt;=VLOOKUP(D153,Tournaments!$A$1:$B$1772,2,FALSE),"TRUE","FALSE"),"")</f>
        <v>FALSE</v>
      </c>
      <c r="N153" s="389">
        <v>1</v>
      </c>
      <c r="O153" s="389">
        <f t="shared" si="61"/>
        <v>2</v>
      </c>
      <c r="Q153" s="389">
        <f t="shared" si="62"/>
        <v>2</v>
      </c>
      <c r="R153" s="389">
        <f t="shared" si="63"/>
        <v>1</v>
      </c>
      <c r="S153" s="389">
        <f t="shared" si="64"/>
        <v>0</v>
      </c>
      <c r="U153" s="389">
        <f t="shared" si="65"/>
        <v>2</v>
      </c>
      <c r="V153" s="389" t="b">
        <f t="shared" si="66"/>
        <v>0</v>
      </c>
      <c r="W153" s="389">
        <f t="shared" si="67"/>
        <v>-2</v>
      </c>
      <c r="X153" s="389">
        <f t="shared" si="68"/>
        <v>2</v>
      </c>
      <c r="Y153" s="389" t="b">
        <f t="shared" si="86"/>
        <v>0</v>
      </c>
      <c r="Z153" s="389">
        <f t="shared" si="69"/>
        <v>-2</v>
      </c>
      <c r="AA153" s="389">
        <f t="shared" si="70"/>
        <v>2</v>
      </c>
      <c r="AB153" s="389" t="b">
        <f t="shared" si="71"/>
        <v>0</v>
      </c>
      <c r="AC153" s="389">
        <f t="shared" si="72"/>
        <v>-2</v>
      </c>
      <c r="AD153" s="389">
        <f t="shared" si="73"/>
        <v>2</v>
      </c>
      <c r="AE153" s="389">
        <f t="shared" si="74"/>
        <v>1</v>
      </c>
      <c r="AG153" s="311" t="str">
        <f t="shared" si="75"/>
        <v>Ch D Female Kickball-Pool B</v>
      </c>
      <c r="AH153" s="453">
        <f t="shared" si="76"/>
        <v>2</v>
      </c>
      <c r="AI153" s="453">
        <f t="shared" si="77"/>
        <v>1</v>
      </c>
      <c r="AJ153" t="str">
        <f t="array" ref="AJ153">IF(AND(AI153&gt;1,G153&lt;&gt;""),INDEX(FS_teams,MATCH(1,(FS_Keys=AG153)*(FS_Points=I153)*(FS_teams&lt;&gt;G153),0)),"")</f>
        <v/>
      </c>
      <c r="AK153" s="390" t="str">
        <f t="array" ref="AK153">IF(AJ153&lt;&gt;"",INDEX(TM_Score1,MATCH(1,(TM_Events=D153)*(TM_Participant1=G153)*(TM_Participant2=AJ153),0)),"")</f>
        <v/>
      </c>
      <c r="AL153" s="390" t="str">
        <f t="array" ref="AL153">IF(AJ153&lt;&gt;"",INDEX(TM_Score1,MATCH(1,(TM_Events=D153)*(TM_Participant1=AJ153)*(TM_Participant2=G153),0)),"")</f>
        <v/>
      </c>
      <c r="AM153" s="389" t="str">
        <f t="array" ref="AM153">IF(ISNUMBER(AK153),INDEX(TM_Score2,MATCH(1,(TM_Events=D153)*(TM_Participant1=G153)*(TM_Participant2=AJ153),0)),"")</f>
        <v/>
      </c>
      <c r="AN153" s="389" t="str">
        <f t="array" ref="AN153">IF(ISNUMBER(AL153),INDEX(TM_Score2,MATCH(1,(TM_Events=D153)*(TM_Participant1=AJ153)*(TM_Participant2=G153),0)),"")</f>
        <v/>
      </c>
      <c r="AO153" s="389" t="str">
        <f t="shared" si="78"/>
        <v/>
      </c>
      <c r="AP153" s="389">
        <f t="shared" si="79"/>
        <v>2</v>
      </c>
      <c r="AQ153" s="389">
        <f t="shared" si="80"/>
        <v>0</v>
      </c>
      <c r="AR153" s="389">
        <f t="shared" si="81"/>
        <v>1</v>
      </c>
      <c r="AS153" s="453">
        <f t="shared" si="82"/>
        <v>5</v>
      </c>
      <c r="AT153" s="452">
        <f t="shared" si="83"/>
        <v>27</v>
      </c>
    </row>
    <row r="154" spans="1:46" ht="16" x14ac:dyDescent="0.2">
      <c r="A154" s="298"/>
      <c r="B154"/>
      <c r="C154" s="433"/>
      <c r="D154" s="303" t="s">
        <v>48</v>
      </c>
      <c r="E154" s="396" t="s">
        <v>722</v>
      </c>
      <c r="F154" s="387">
        <v>1</v>
      </c>
      <c r="G154" s="397" t="s">
        <v>588</v>
      </c>
      <c r="H154" s="387" t="str">
        <f t="shared" si="58"/>
        <v>0-3-0</v>
      </c>
      <c r="I154" s="389">
        <f t="shared" si="59"/>
        <v>0</v>
      </c>
      <c r="J154" s="455" t="str">
        <f t="shared" si="84"/>
        <v/>
      </c>
      <c r="K154" s="455" t="str">
        <f t="shared" si="60"/>
        <v/>
      </c>
      <c r="L154" s="455" t="str">
        <f t="shared" si="85"/>
        <v/>
      </c>
      <c r="M154" s="389" t="str">
        <f>IFERROR(IF(AD154&lt;=VLOOKUP(D154,Tournaments!$A$1:$B$1772,2,FALSE),"TRUE","FALSE"),"")</f>
        <v>FALSE</v>
      </c>
      <c r="N154" s="389">
        <v>1</v>
      </c>
      <c r="O154" s="389">
        <f t="shared" si="61"/>
        <v>4</v>
      </c>
      <c r="Q154" s="389">
        <f t="shared" si="62"/>
        <v>0</v>
      </c>
      <c r="R154" s="389">
        <f t="shared" si="63"/>
        <v>3</v>
      </c>
      <c r="S154" s="389">
        <f t="shared" si="64"/>
        <v>0</v>
      </c>
      <c r="U154" s="389">
        <f t="shared" si="65"/>
        <v>4</v>
      </c>
      <c r="V154" s="389" t="b">
        <f t="shared" si="66"/>
        <v>0</v>
      </c>
      <c r="W154" s="389">
        <f t="shared" si="67"/>
        <v>-4</v>
      </c>
      <c r="X154" s="389">
        <f t="shared" si="68"/>
        <v>4</v>
      </c>
      <c r="Y154" s="389" t="b">
        <f t="shared" si="86"/>
        <v>0</v>
      </c>
      <c r="Z154" s="389">
        <f t="shared" si="69"/>
        <v>-4</v>
      </c>
      <c r="AA154" s="389">
        <f t="shared" si="70"/>
        <v>4</v>
      </c>
      <c r="AB154" s="389" t="b">
        <f t="shared" si="71"/>
        <v>0</v>
      </c>
      <c r="AC154" s="389">
        <f t="shared" si="72"/>
        <v>-4</v>
      </c>
      <c r="AD154" s="389">
        <f t="shared" si="73"/>
        <v>4</v>
      </c>
      <c r="AE154" s="389">
        <f t="shared" si="74"/>
        <v>1</v>
      </c>
      <c r="AG154" s="311" t="str">
        <f t="shared" si="75"/>
        <v>Ch D Female Mini Soccer-Pool A</v>
      </c>
      <c r="AH154" s="453">
        <f t="shared" si="76"/>
        <v>4</v>
      </c>
      <c r="AI154" s="453">
        <f t="shared" si="77"/>
        <v>1</v>
      </c>
      <c r="AJ154" t="str">
        <f t="array" ref="AJ154">IF(AND(AI154&gt;1,G154&lt;&gt;""),INDEX(FS_teams,MATCH(1,(FS_Keys=AG154)*(FS_Points=I154)*(FS_teams&lt;&gt;G154),0)),"")</f>
        <v/>
      </c>
      <c r="AK154" s="390" t="str">
        <f t="array" ref="AK154">IF(AJ154&lt;&gt;"",INDEX(TM_Score1,MATCH(1,(TM_Events=D154)*(TM_Participant1=G154)*(TM_Participant2=AJ154),0)),"")</f>
        <v/>
      </c>
      <c r="AL154" s="390" t="str">
        <f t="array" ref="AL154">IF(AJ154&lt;&gt;"",INDEX(TM_Score1,MATCH(1,(TM_Events=D154)*(TM_Participant1=AJ154)*(TM_Participant2=G154),0)),"")</f>
        <v/>
      </c>
      <c r="AM154" s="389" t="str">
        <f t="array" ref="AM154">IF(ISNUMBER(AK154),INDEX(TM_Score2,MATCH(1,(TM_Events=D154)*(TM_Participant1=G154)*(TM_Participant2=AJ154),0)),"")</f>
        <v/>
      </c>
      <c r="AN154" s="389" t="str">
        <f t="array" ref="AN154">IF(ISNUMBER(AL154),INDEX(TM_Score2,MATCH(1,(TM_Events=D154)*(TM_Participant1=AJ154)*(TM_Participant2=G154),0)),"")</f>
        <v/>
      </c>
      <c r="AO154" s="389" t="str">
        <f t="shared" si="78"/>
        <v/>
      </c>
      <c r="AP154" s="389">
        <f t="shared" si="79"/>
        <v>0</v>
      </c>
      <c r="AQ154" s="389">
        <f t="shared" si="80"/>
        <v>0</v>
      </c>
      <c r="AR154" s="389">
        <f t="shared" si="81"/>
        <v>3</v>
      </c>
      <c r="AS154" s="453">
        <f t="shared" si="82"/>
        <v>-8</v>
      </c>
      <c r="AT154" s="452">
        <f t="shared" si="83"/>
        <v>1</v>
      </c>
    </row>
    <row r="155" spans="1:46" ht="16" x14ac:dyDescent="0.2">
      <c r="A155" s="298"/>
      <c r="B155"/>
      <c r="C155" s="433"/>
      <c r="D155" s="303" t="s">
        <v>48</v>
      </c>
      <c r="E155" s="387" t="s">
        <v>722</v>
      </c>
      <c r="F155" s="398">
        <v>1</v>
      </c>
      <c r="G155" s="397" t="s">
        <v>583</v>
      </c>
      <c r="H155" s="387" t="str">
        <f t="shared" si="58"/>
        <v>3-1-0</v>
      </c>
      <c r="I155" s="389">
        <f t="shared" si="59"/>
        <v>6</v>
      </c>
      <c r="J155" s="455" t="str">
        <f t="shared" si="84"/>
        <v/>
      </c>
      <c r="K155" s="455" t="str">
        <f t="shared" si="60"/>
        <v/>
      </c>
      <c r="L155" s="455" t="str">
        <f t="shared" si="85"/>
        <v/>
      </c>
      <c r="M155" s="389" t="str">
        <f>IFERROR(IF(AD155&lt;=VLOOKUP(D155,Tournaments!$A$1:$B$1772,2,FALSE),"TRUE","FALSE"),"")</f>
        <v>TRUE</v>
      </c>
      <c r="N155" s="389">
        <v>1</v>
      </c>
      <c r="O155" s="389">
        <f t="shared" si="61"/>
        <v>1</v>
      </c>
      <c r="Q155" s="389">
        <f t="shared" si="62"/>
        <v>3</v>
      </c>
      <c r="R155" s="389">
        <f t="shared" si="63"/>
        <v>1</v>
      </c>
      <c r="S155" s="389">
        <f t="shared" si="64"/>
        <v>0</v>
      </c>
      <c r="U155" s="389">
        <f t="shared" si="65"/>
        <v>1</v>
      </c>
      <c r="V155" s="389" t="b">
        <f t="shared" si="66"/>
        <v>0</v>
      </c>
      <c r="W155" s="389">
        <f t="shared" si="67"/>
        <v>-1</v>
      </c>
      <c r="X155" s="389">
        <f t="shared" si="68"/>
        <v>1</v>
      </c>
      <c r="Y155" s="389" t="b">
        <f t="shared" si="86"/>
        <v>0</v>
      </c>
      <c r="Z155" s="389">
        <f t="shared" si="69"/>
        <v>-1</v>
      </c>
      <c r="AA155" s="389">
        <f t="shared" si="70"/>
        <v>1</v>
      </c>
      <c r="AB155" s="389" t="b">
        <f t="shared" si="71"/>
        <v>0</v>
      </c>
      <c r="AC155" s="389">
        <f t="shared" si="72"/>
        <v>-1</v>
      </c>
      <c r="AD155" s="389">
        <f t="shared" si="73"/>
        <v>1</v>
      </c>
      <c r="AE155" s="389">
        <f t="shared" si="74"/>
        <v>1</v>
      </c>
      <c r="AG155" s="311" t="str">
        <f t="shared" si="75"/>
        <v>Ch D Female Mini Soccer-Pool A</v>
      </c>
      <c r="AH155" s="453">
        <f t="shared" si="76"/>
        <v>1</v>
      </c>
      <c r="AI155" s="453">
        <f t="shared" si="77"/>
        <v>1</v>
      </c>
      <c r="AJ155" t="str">
        <f t="array" ref="AJ155">IF(AND(AI155&gt;1,G155&lt;&gt;""),INDEX(FS_teams,MATCH(1,(FS_Keys=AG155)*(FS_Points=I155)*(FS_teams&lt;&gt;G155),0)),"")</f>
        <v/>
      </c>
      <c r="AK155" s="390" t="str">
        <f t="array" ref="AK155">IF(AJ155&lt;&gt;"",INDEX(TM_Score1,MATCH(1,(TM_Events=D155)*(TM_Participant1=G155)*(TM_Participant2=AJ155),0)),"")</f>
        <v/>
      </c>
      <c r="AL155" s="390" t="str">
        <f t="array" ref="AL155">IF(AJ155&lt;&gt;"",INDEX(TM_Score1,MATCH(1,(TM_Events=D155)*(TM_Participant1=AJ155)*(TM_Participant2=G155),0)),"")</f>
        <v/>
      </c>
      <c r="AM155" s="389" t="str">
        <f t="array" ref="AM155">IF(ISNUMBER(AK155),INDEX(TM_Score2,MATCH(1,(TM_Events=D155)*(TM_Participant1=G155)*(TM_Participant2=AJ155),0)),"")</f>
        <v/>
      </c>
      <c r="AN155" s="389" t="str">
        <f t="array" ref="AN155">IF(ISNUMBER(AL155),INDEX(TM_Score2,MATCH(1,(TM_Events=D155)*(TM_Participant1=AJ155)*(TM_Participant2=G155),0)),"")</f>
        <v/>
      </c>
      <c r="AO155" s="389" t="str">
        <f t="shared" si="78"/>
        <v/>
      </c>
      <c r="AP155" s="389">
        <f t="shared" si="79"/>
        <v>3</v>
      </c>
      <c r="AQ155" s="389">
        <f t="shared" si="80"/>
        <v>0</v>
      </c>
      <c r="AR155" s="389">
        <f t="shared" si="81"/>
        <v>1</v>
      </c>
      <c r="AS155" s="453">
        <f t="shared" si="82"/>
        <v>3</v>
      </c>
      <c r="AT155" s="452">
        <f t="shared" si="83"/>
        <v>6</v>
      </c>
    </row>
    <row r="156" spans="1:46" ht="16" x14ac:dyDescent="0.2">
      <c r="A156" s="298"/>
      <c r="B156"/>
      <c r="C156" s="433"/>
      <c r="D156" s="298" t="s">
        <v>48</v>
      </c>
      <c r="E156" s="389" t="s">
        <v>722</v>
      </c>
      <c r="F156" s="389">
        <v>1</v>
      </c>
      <c r="G156" s="390" t="s">
        <v>724</v>
      </c>
      <c r="H156" s="387" t="str">
        <f t="shared" si="58"/>
        <v>1-2-0</v>
      </c>
      <c r="I156" s="389">
        <f t="shared" si="59"/>
        <v>2</v>
      </c>
      <c r="J156" s="455" t="str">
        <f t="shared" si="84"/>
        <v/>
      </c>
      <c r="K156" s="455" t="str">
        <f t="shared" si="60"/>
        <v/>
      </c>
      <c r="L156" s="455" t="str">
        <f t="shared" si="85"/>
        <v/>
      </c>
      <c r="M156" s="389" t="str">
        <f>IFERROR(IF(AD156&lt;=VLOOKUP(D156,Tournaments!$A$1:$B$1772,2,FALSE),"TRUE","FALSE"),"")</f>
        <v>FALSE</v>
      </c>
      <c r="N156" s="389">
        <v>1</v>
      </c>
      <c r="O156" s="389">
        <f t="shared" si="61"/>
        <v>3</v>
      </c>
      <c r="Q156" s="389">
        <f t="shared" si="62"/>
        <v>1</v>
      </c>
      <c r="R156" s="389">
        <f t="shared" si="63"/>
        <v>2</v>
      </c>
      <c r="S156" s="389">
        <f t="shared" si="64"/>
        <v>0</v>
      </c>
      <c r="U156" s="389">
        <f t="shared" si="65"/>
        <v>3</v>
      </c>
      <c r="V156" s="389" t="b">
        <f t="shared" si="66"/>
        <v>0</v>
      </c>
      <c r="W156" s="389">
        <f t="shared" si="67"/>
        <v>-3</v>
      </c>
      <c r="X156" s="389">
        <f t="shared" si="68"/>
        <v>3</v>
      </c>
      <c r="Y156" s="389" t="b">
        <f t="shared" si="86"/>
        <v>0</v>
      </c>
      <c r="Z156" s="389">
        <f t="shared" si="69"/>
        <v>-3</v>
      </c>
      <c r="AA156" s="389">
        <f t="shared" si="70"/>
        <v>3</v>
      </c>
      <c r="AB156" s="389" t="b">
        <f t="shared" si="71"/>
        <v>0</v>
      </c>
      <c r="AC156" s="389">
        <f t="shared" si="72"/>
        <v>-3</v>
      </c>
      <c r="AD156" s="389">
        <f t="shared" si="73"/>
        <v>3</v>
      </c>
      <c r="AE156" s="389">
        <f t="shared" si="74"/>
        <v>1</v>
      </c>
      <c r="AG156" s="311" t="str">
        <f t="shared" si="75"/>
        <v>Ch D Female Mini Soccer-Pool A</v>
      </c>
      <c r="AH156" s="453">
        <f t="shared" si="76"/>
        <v>3</v>
      </c>
      <c r="AI156" s="453">
        <f t="shared" si="77"/>
        <v>1</v>
      </c>
      <c r="AJ156" t="str">
        <f t="array" ref="AJ156">IF(AND(AI156&gt;1,G156&lt;&gt;""),INDEX(FS_teams,MATCH(1,(FS_Keys=AG156)*(FS_Points=I156)*(FS_teams&lt;&gt;G156),0)),"")</f>
        <v/>
      </c>
      <c r="AK156" s="390" t="str">
        <f t="array" ref="AK156">IF(AJ156&lt;&gt;"",INDEX(TM_Score1,MATCH(1,(TM_Events=D156)*(TM_Participant1=G156)*(TM_Participant2=AJ156),0)),"")</f>
        <v/>
      </c>
      <c r="AL156" s="390" t="str">
        <f t="array" ref="AL156">IF(AJ156&lt;&gt;"",INDEX(TM_Score1,MATCH(1,(TM_Events=D156)*(TM_Participant1=AJ156)*(TM_Participant2=G156),0)),"")</f>
        <v/>
      </c>
      <c r="AM156" s="389" t="str">
        <f t="array" ref="AM156">IF(ISNUMBER(AK156),INDEX(TM_Score2,MATCH(1,(TM_Events=D156)*(TM_Participant1=G156)*(TM_Participant2=AJ156),0)),"")</f>
        <v/>
      </c>
      <c r="AN156" s="389" t="str">
        <f t="array" ref="AN156">IF(ISNUMBER(AL156),INDEX(TM_Score2,MATCH(1,(TM_Events=D156)*(TM_Participant1=AJ156)*(TM_Participant2=G156),0)),"")</f>
        <v/>
      </c>
      <c r="AO156" s="389" t="str">
        <f t="shared" si="78"/>
        <v/>
      </c>
      <c r="AP156" s="389">
        <f t="shared" si="79"/>
        <v>1</v>
      </c>
      <c r="AQ156" s="389">
        <f t="shared" si="80"/>
        <v>0</v>
      </c>
      <c r="AR156" s="389">
        <f t="shared" si="81"/>
        <v>2</v>
      </c>
      <c r="AS156" s="453">
        <f t="shared" si="82"/>
        <v>-2</v>
      </c>
      <c r="AT156" s="452">
        <f t="shared" si="83"/>
        <v>3</v>
      </c>
    </row>
    <row r="157" spans="1:46" ht="16" x14ac:dyDescent="0.2">
      <c r="A157" s="298"/>
      <c r="B157"/>
      <c r="C157" s="433"/>
      <c r="D157" s="303" t="s">
        <v>48</v>
      </c>
      <c r="E157" s="396" t="s">
        <v>722</v>
      </c>
      <c r="F157" s="398">
        <v>1</v>
      </c>
      <c r="G157" s="397" t="s">
        <v>589</v>
      </c>
      <c r="H157" s="387" t="str">
        <f t="shared" si="58"/>
        <v>2-1-0</v>
      </c>
      <c r="I157" s="389">
        <f t="shared" si="59"/>
        <v>4</v>
      </c>
      <c r="J157" s="455" t="str">
        <f t="shared" si="84"/>
        <v/>
      </c>
      <c r="K157" s="455" t="str">
        <f t="shared" si="60"/>
        <v/>
      </c>
      <c r="L157" s="455" t="str">
        <f t="shared" si="85"/>
        <v/>
      </c>
      <c r="M157" s="389" t="str">
        <f>IFERROR(IF(AD157&lt;=VLOOKUP(D157,Tournaments!$A$1:$B$1772,2,FALSE),"TRUE","FALSE"),"")</f>
        <v>FALSE</v>
      </c>
      <c r="N157" s="389">
        <v>1</v>
      </c>
      <c r="O157" s="389">
        <f t="shared" si="61"/>
        <v>2</v>
      </c>
      <c r="Q157" s="389">
        <f t="shared" si="62"/>
        <v>2</v>
      </c>
      <c r="R157" s="389">
        <f t="shared" si="63"/>
        <v>1</v>
      </c>
      <c r="S157" s="389">
        <f t="shared" si="64"/>
        <v>0</v>
      </c>
      <c r="U157" s="389">
        <f t="shared" si="65"/>
        <v>2</v>
      </c>
      <c r="V157" s="389" t="b">
        <f t="shared" si="66"/>
        <v>0</v>
      </c>
      <c r="W157" s="389">
        <f t="shared" si="67"/>
        <v>-2</v>
      </c>
      <c r="X157" s="389">
        <f t="shared" si="68"/>
        <v>2</v>
      </c>
      <c r="Y157" s="389" t="b">
        <f t="shared" si="86"/>
        <v>0</v>
      </c>
      <c r="Z157" s="389">
        <f t="shared" si="69"/>
        <v>-2</v>
      </c>
      <c r="AA157" s="389">
        <f t="shared" si="70"/>
        <v>2</v>
      </c>
      <c r="AB157" s="389" t="b">
        <f t="shared" si="71"/>
        <v>0</v>
      </c>
      <c r="AC157" s="389">
        <f t="shared" si="72"/>
        <v>-2</v>
      </c>
      <c r="AD157" s="389">
        <f t="shared" si="73"/>
        <v>2</v>
      </c>
      <c r="AE157" s="389">
        <f t="shared" si="74"/>
        <v>1</v>
      </c>
      <c r="AG157" s="311" t="str">
        <f t="shared" si="75"/>
        <v>Ch D Female Mini Soccer-Pool A</v>
      </c>
      <c r="AH157" s="453">
        <f t="shared" si="76"/>
        <v>2</v>
      </c>
      <c r="AI157" s="453">
        <f t="shared" si="77"/>
        <v>1</v>
      </c>
      <c r="AJ157" t="str">
        <f t="array" ref="AJ157">IF(AND(AI157&gt;1,G157&lt;&gt;""),INDEX(FS_teams,MATCH(1,(FS_Keys=AG157)*(FS_Points=I157)*(FS_teams&lt;&gt;G157),0)),"")</f>
        <v/>
      </c>
      <c r="AK157" s="390" t="str">
        <f t="array" ref="AK157">IF(AJ157&lt;&gt;"",INDEX(TM_Score1,MATCH(1,(TM_Events=D157)*(TM_Participant1=G157)*(TM_Participant2=AJ157),0)),"")</f>
        <v/>
      </c>
      <c r="AL157" s="390" t="str">
        <f t="array" ref="AL157">IF(AJ157&lt;&gt;"",INDEX(TM_Score1,MATCH(1,(TM_Events=D157)*(TM_Participant1=AJ157)*(TM_Participant2=G157),0)),"")</f>
        <v/>
      </c>
      <c r="AM157" s="389" t="str">
        <f t="array" ref="AM157">IF(ISNUMBER(AK157),INDEX(TM_Score2,MATCH(1,(TM_Events=D157)*(TM_Participant1=G157)*(TM_Participant2=AJ157),0)),"")</f>
        <v/>
      </c>
      <c r="AN157" s="389" t="str">
        <f t="array" ref="AN157">IF(ISNUMBER(AL157),INDEX(TM_Score2,MATCH(1,(TM_Events=D157)*(TM_Participant1=AJ157)*(TM_Participant2=G157),0)),"")</f>
        <v/>
      </c>
      <c r="AO157" s="389" t="str">
        <f t="shared" si="78"/>
        <v/>
      </c>
      <c r="AP157" s="389">
        <f t="shared" si="79"/>
        <v>2</v>
      </c>
      <c r="AQ157" s="389">
        <f t="shared" si="80"/>
        <v>0</v>
      </c>
      <c r="AR157" s="389">
        <f t="shared" si="81"/>
        <v>1</v>
      </c>
      <c r="AS157" s="453">
        <f t="shared" si="82"/>
        <v>5</v>
      </c>
      <c r="AT157" s="452">
        <f t="shared" si="83"/>
        <v>11</v>
      </c>
    </row>
    <row r="158" spans="1:46" ht="16" x14ac:dyDescent="0.2">
      <c r="A158" s="298"/>
      <c r="B158"/>
      <c r="C158" s="433"/>
      <c r="D158" s="303" t="s">
        <v>48</v>
      </c>
      <c r="E158" s="396" t="s">
        <v>723</v>
      </c>
      <c r="F158" s="387">
        <v>1</v>
      </c>
      <c r="G158" s="397" t="s">
        <v>725</v>
      </c>
      <c r="H158" s="387" t="str">
        <f t="shared" si="58"/>
        <v>2-1-0</v>
      </c>
      <c r="I158" s="389">
        <f t="shared" si="59"/>
        <v>4</v>
      </c>
      <c r="J158" s="455" t="str">
        <f t="shared" si="84"/>
        <v/>
      </c>
      <c r="K158" s="455" t="str">
        <f t="shared" si="60"/>
        <v/>
      </c>
      <c r="L158" s="455" t="str">
        <f t="shared" si="85"/>
        <v/>
      </c>
      <c r="M158" s="389" t="str">
        <f>IFERROR(IF(AD158&lt;=VLOOKUP(D158,Tournaments!$A$1:$B$1772,2,FALSE),"TRUE","FALSE"),"")</f>
        <v>FALSE</v>
      </c>
      <c r="N158" s="389">
        <v>1</v>
      </c>
      <c r="O158" s="389">
        <f t="shared" si="61"/>
        <v>2</v>
      </c>
      <c r="Q158" s="389">
        <f t="shared" si="62"/>
        <v>2</v>
      </c>
      <c r="R158" s="389">
        <f t="shared" si="63"/>
        <v>1</v>
      </c>
      <c r="S158" s="389">
        <f t="shared" si="64"/>
        <v>0</v>
      </c>
      <c r="U158" s="389">
        <f t="shared" si="65"/>
        <v>2</v>
      </c>
      <c r="V158" s="389" t="b">
        <f t="shared" si="66"/>
        <v>0</v>
      </c>
      <c r="W158" s="389">
        <f t="shared" si="67"/>
        <v>-2</v>
      </c>
      <c r="X158" s="389">
        <f t="shared" si="68"/>
        <v>2</v>
      </c>
      <c r="Y158" s="389" t="b">
        <f t="shared" si="86"/>
        <v>0</v>
      </c>
      <c r="Z158" s="389">
        <f t="shared" si="69"/>
        <v>-2</v>
      </c>
      <c r="AA158" s="389">
        <f t="shared" si="70"/>
        <v>2</v>
      </c>
      <c r="AB158" s="389" t="b">
        <f t="shared" si="71"/>
        <v>0</v>
      </c>
      <c r="AC158" s="389">
        <f t="shared" si="72"/>
        <v>-2</v>
      </c>
      <c r="AD158" s="389">
        <f t="shared" si="73"/>
        <v>2</v>
      </c>
      <c r="AE158" s="389">
        <f t="shared" si="74"/>
        <v>1</v>
      </c>
      <c r="AG158" s="311" t="str">
        <f t="shared" si="75"/>
        <v>Ch D Female Mini Soccer-Pool B</v>
      </c>
      <c r="AH158" s="453">
        <f t="shared" si="76"/>
        <v>2</v>
      </c>
      <c r="AI158" s="453">
        <f t="shared" si="77"/>
        <v>1</v>
      </c>
      <c r="AJ158" t="str">
        <f t="array" ref="AJ158">IF(AND(AI158&gt;1,G158&lt;&gt;""),INDEX(FS_teams,MATCH(1,(FS_Keys=AG158)*(FS_Points=I158)*(FS_teams&lt;&gt;G158),0)),"")</f>
        <v/>
      </c>
      <c r="AK158" s="390" t="str">
        <f t="array" ref="AK158">IF(AJ158&lt;&gt;"",INDEX(TM_Score1,MATCH(1,(TM_Events=D158)*(TM_Participant1=G158)*(TM_Participant2=AJ158),0)),"")</f>
        <v/>
      </c>
      <c r="AL158" s="390" t="str">
        <f t="array" ref="AL158">IF(AJ158&lt;&gt;"",INDEX(TM_Score1,MATCH(1,(TM_Events=D158)*(TM_Participant1=AJ158)*(TM_Participant2=G158),0)),"")</f>
        <v/>
      </c>
      <c r="AM158" s="389" t="str">
        <f t="array" ref="AM158">IF(ISNUMBER(AK158),INDEX(TM_Score2,MATCH(1,(TM_Events=D158)*(TM_Participant1=G158)*(TM_Participant2=AJ158),0)),"")</f>
        <v/>
      </c>
      <c r="AN158" s="389" t="str">
        <f t="array" ref="AN158">IF(ISNUMBER(AL158),INDEX(TM_Score2,MATCH(1,(TM_Events=D158)*(TM_Participant1=AJ158)*(TM_Participant2=G158),0)),"")</f>
        <v/>
      </c>
      <c r="AO158" s="389" t="str">
        <f t="shared" si="78"/>
        <v/>
      </c>
      <c r="AP158" s="389">
        <f t="shared" si="79"/>
        <v>2</v>
      </c>
      <c r="AQ158" s="389">
        <f t="shared" si="80"/>
        <v>0</v>
      </c>
      <c r="AR158" s="389">
        <f t="shared" si="81"/>
        <v>1</v>
      </c>
      <c r="AS158" s="453">
        <f t="shared" si="82"/>
        <v>1</v>
      </c>
      <c r="AT158" s="452">
        <f t="shared" si="83"/>
        <v>6</v>
      </c>
    </row>
    <row r="159" spans="1:46" ht="16" x14ac:dyDescent="0.2">
      <c r="A159" s="298"/>
      <c r="B159"/>
      <c r="C159" s="433"/>
      <c r="D159" s="303" t="s">
        <v>48</v>
      </c>
      <c r="E159" s="396" t="s">
        <v>723</v>
      </c>
      <c r="F159" s="387">
        <v>1</v>
      </c>
      <c r="G159" s="397" t="s">
        <v>586</v>
      </c>
      <c r="H159" s="387" t="str">
        <f t="shared" si="58"/>
        <v>4-0-0</v>
      </c>
      <c r="I159" s="389">
        <f t="shared" si="59"/>
        <v>8</v>
      </c>
      <c r="J159" s="455" t="str">
        <f t="shared" si="84"/>
        <v/>
      </c>
      <c r="K159" s="455" t="str">
        <f t="shared" si="60"/>
        <v/>
      </c>
      <c r="L159" s="455" t="str">
        <f t="shared" si="85"/>
        <v/>
      </c>
      <c r="M159" s="389" t="str">
        <f>IFERROR(IF(AD159&lt;=VLOOKUP(D159,Tournaments!$A$1:$B$1772,2,FALSE),"TRUE","FALSE"),"")</f>
        <v>TRUE</v>
      </c>
      <c r="N159" s="389">
        <v>1</v>
      </c>
      <c r="O159" s="389">
        <f t="shared" si="61"/>
        <v>1</v>
      </c>
      <c r="Q159" s="389">
        <f t="shared" si="62"/>
        <v>4</v>
      </c>
      <c r="R159" s="389">
        <f t="shared" si="63"/>
        <v>0</v>
      </c>
      <c r="S159" s="389">
        <f t="shared" si="64"/>
        <v>0</v>
      </c>
      <c r="U159" s="389">
        <f t="shared" si="65"/>
        <v>1</v>
      </c>
      <c r="V159" s="389" t="b">
        <f t="shared" si="66"/>
        <v>0</v>
      </c>
      <c r="W159" s="389">
        <f t="shared" si="67"/>
        <v>-1</v>
      </c>
      <c r="X159" s="389">
        <f t="shared" si="68"/>
        <v>1</v>
      </c>
      <c r="Y159" s="389" t="b">
        <f t="shared" si="86"/>
        <v>0</v>
      </c>
      <c r="Z159" s="389">
        <f t="shared" si="69"/>
        <v>-1</v>
      </c>
      <c r="AA159" s="389">
        <f t="shared" si="70"/>
        <v>1</v>
      </c>
      <c r="AB159" s="389" t="b">
        <f t="shared" si="71"/>
        <v>0</v>
      </c>
      <c r="AC159" s="389">
        <f t="shared" si="72"/>
        <v>-1</v>
      </c>
      <c r="AD159" s="389">
        <f t="shared" si="73"/>
        <v>1</v>
      </c>
      <c r="AE159" s="389">
        <f t="shared" si="74"/>
        <v>1</v>
      </c>
      <c r="AG159" s="311" t="str">
        <f t="shared" si="75"/>
        <v>Ch D Female Mini Soccer-Pool B</v>
      </c>
      <c r="AH159" s="453">
        <f t="shared" si="76"/>
        <v>1</v>
      </c>
      <c r="AI159" s="453">
        <f t="shared" si="77"/>
        <v>1</v>
      </c>
      <c r="AJ159" t="str">
        <f t="array" ref="AJ159">IF(AND(AI159&gt;1,G159&lt;&gt;""),INDEX(FS_teams,MATCH(1,(FS_Keys=AG159)*(FS_Points=I159)*(FS_teams&lt;&gt;G159),0)),"")</f>
        <v/>
      </c>
      <c r="AK159" s="390" t="str">
        <f t="array" ref="AK159">IF(AJ159&lt;&gt;"",INDEX(TM_Score1,MATCH(1,(TM_Events=D159)*(TM_Participant1=G159)*(TM_Participant2=AJ159),0)),"")</f>
        <v/>
      </c>
      <c r="AL159" s="390" t="str">
        <f t="array" ref="AL159">IF(AJ159&lt;&gt;"",INDEX(TM_Score1,MATCH(1,(TM_Events=D159)*(TM_Participant1=AJ159)*(TM_Participant2=G159),0)),"")</f>
        <v/>
      </c>
      <c r="AM159" s="389" t="str">
        <f t="array" ref="AM159">IF(ISNUMBER(AK159),INDEX(TM_Score2,MATCH(1,(TM_Events=D159)*(TM_Participant1=G159)*(TM_Participant2=AJ159),0)),"")</f>
        <v/>
      </c>
      <c r="AN159" s="389" t="str">
        <f t="array" ref="AN159">IF(ISNUMBER(AL159),INDEX(TM_Score2,MATCH(1,(TM_Events=D159)*(TM_Participant1=AJ159)*(TM_Participant2=G159),0)),"")</f>
        <v/>
      </c>
      <c r="AO159" s="389" t="str">
        <f t="shared" si="78"/>
        <v/>
      </c>
      <c r="AP159" s="389">
        <f t="shared" si="79"/>
        <v>4</v>
      </c>
      <c r="AQ159" s="389">
        <f t="shared" si="80"/>
        <v>0</v>
      </c>
      <c r="AR159" s="389">
        <f t="shared" si="81"/>
        <v>0</v>
      </c>
      <c r="AS159" s="453">
        <f t="shared" si="82"/>
        <v>10</v>
      </c>
      <c r="AT159" s="452">
        <f t="shared" si="83"/>
        <v>11</v>
      </c>
    </row>
    <row r="160" spans="1:46" ht="16" x14ac:dyDescent="0.2">
      <c r="A160" s="298"/>
      <c r="B160"/>
      <c r="C160" s="433"/>
      <c r="D160" s="303" t="s">
        <v>48</v>
      </c>
      <c r="E160" s="396" t="s">
        <v>723</v>
      </c>
      <c r="F160" s="387">
        <v>1</v>
      </c>
      <c r="G160" s="397" t="s">
        <v>587</v>
      </c>
      <c r="H160" s="387" t="str">
        <f t="shared" si="58"/>
        <v>0-3-0</v>
      </c>
      <c r="I160" s="389">
        <f t="shared" si="59"/>
        <v>0</v>
      </c>
      <c r="J160" s="455" t="str">
        <f t="shared" si="84"/>
        <v/>
      </c>
      <c r="K160" s="455" t="str">
        <f t="shared" si="60"/>
        <v/>
      </c>
      <c r="L160" s="455" t="str">
        <f t="shared" si="85"/>
        <v/>
      </c>
      <c r="M160" s="389" t="str">
        <f>IFERROR(IF(AD160&lt;=VLOOKUP(D160,Tournaments!$A$1:$B$1772,2,FALSE),"TRUE","FALSE"),"")</f>
        <v>FALSE</v>
      </c>
      <c r="N160" s="389">
        <v>1</v>
      </c>
      <c r="O160" s="389">
        <f t="shared" si="61"/>
        <v>4</v>
      </c>
      <c r="Q160" s="389">
        <f t="shared" si="62"/>
        <v>0</v>
      </c>
      <c r="R160" s="389">
        <f t="shared" si="63"/>
        <v>3</v>
      </c>
      <c r="S160" s="389">
        <f t="shared" si="64"/>
        <v>0</v>
      </c>
      <c r="U160" s="389">
        <f t="shared" si="65"/>
        <v>4</v>
      </c>
      <c r="V160" s="389" t="b">
        <f t="shared" si="66"/>
        <v>0</v>
      </c>
      <c r="W160" s="389">
        <f t="shared" si="67"/>
        <v>-4</v>
      </c>
      <c r="X160" s="389">
        <f t="shared" si="68"/>
        <v>4</v>
      </c>
      <c r="Y160" s="389" t="b">
        <f t="shared" si="86"/>
        <v>0</v>
      </c>
      <c r="Z160" s="389">
        <f t="shared" si="69"/>
        <v>-4</v>
      </c>
      <c r="AA160" s="389">
        <f t="shared" si="70"/>
        <v>4</v>
      </c>
      <c r="AB160" s="389" t="b">
        <f t="shared" si="71"/>
        <v>0</v>
      </c>
      <c r="AC160" s="389">
        <f t="shared" si="72"/>
        <v>-4</v>
      </c>
      <c r="AD160" s="389">
        <f t="shared" si="73"/>
        <v>4</v>
      </c>
      <c r="AE160" s="389">
        <f t="shared" si="74"/>
        <v>1</v>
      </c>
      <c r="AG160" s="311" t="str">
        <f t="shared" si="75"/>
        <v>Ch D Female Mini Soccer-Pool B</v>
      </c>
      <c r="AH160" s="453">
        <f t="shared" si="76"/>
        <v>4</v>
      </c>
      <c r="AI160" s="453">
        <f t="shared" si="77"/>
        <v>1</v>
      </c>
      <c r="AJ160" t="str">
        <f t="array" ref="AJ160">IF(AND(AI160&gt;1,G160&lt;&gt;""),INDEX(FS_teams,MATCH(1,(FS_Keys=AG160)*(FS_Points=I160)*(FS_teams&lt;&gt;G160),0)),"")</f>
        <v/>
      </c>
      <c r="AK160" s="390" t="str">
        <f t="array" ref="AK160">IF(AJ160&lt;&gt;"",INDEX(TM_Score1,MATCH(1,(TM_Events=D160)*(TM_Participant1=G160)*(TM_Participant2=AJ160),0)),"")</f>
        <v/>
      </c>
      <c r="AL160" s="390" t="str">
        <f t="array" ref="AL160">IF(AJ160&lt;&gt;"",INDEX(TM_Score1,MATCH(1,(TM_Events=D160)*(TM_Participant1=AJ160)*(TM_Participant2=G160),0)),"")</f>
        <v/>
      </c>
      <c r="AM160" s="389" t="str">
        <f t="array" ref="AM160">IF(ISNUMBER(AK160),INDEX(TM_Score2,MATCH(1,(TM_Events=D160)*(TM_Participant1=G160)*(TM_Participant2=AJ160),0)),"")</f>
        <v/>
      </c>
      <c r="AN160" s="389" t="str">
        <f t="array" ref="AN160">IF(ISNUMBER(AL160),INDEX(TM_Score2,MATCH(1,(TM_Events=D160)*(TM_Participant1=AJ160)*(TM_Participant2=G160),0)),"")</f>
        <v/>
      </c>
      <c r="AO160" s="389" t="str">
        <f t="shared" si="78"/>
        <v/>
      </c>
      <c r="AP160" s="389">
        <f t="shared" si="79"/>
        <v>0</v>
      </c>
      <c r="AQ160" s="389">
        <f t="shared" si="80"/>
        <v>0</v>
      </c>
      <c r="AR160" s="389">
        <f t="shared" si="81"/>
        <v>3</v>
      </c>
      <c r="AS160" s="453">
        <f t="shared" si="82"/>
        <v>-8</v>
      </c>
      <c r="AT160" s="452">
        <f t="shared" si="83"/>
        <v>4</v>
      </c>
    </row>
    <row r="161" spans="1:46" ht="16" x14ac:dyDescent="0.2">
      <c r="A161" s="298"/>
      <c r="B161"/>
      <c r="C161" s="433"/>
      <c r="D161" s="303" t="s">
        <v>48</v>
      </c>
      <c r="E161" s="387" t="s">
        <v>723</v>
      </c>
      <c r="F161" s="387">
        <v>1</v>
      </c>
      <c r="G161" s="397" t="s">
        <v>590</v>
      </c>
      <c r="H161" s="387" t="str">
        <f t="shared" si="58"/>
        <v>1-2-0</v>
      </c>
      <c r="I161" s="389">
        <f t="shared" si="59"/>
        <v>2</v>
      </c>
      <c r="J161" s="455" t="str">
        <f t="shared" si="84"/>
        <v/>
      </c>
      <c r="K161" s="455" t="str">
        <f t="shared" si="60"/>
        <v/>
      </c>
      <c r="L161" s="455" t="str">
        <f t="shared" si="85"/>
        <v/>
      </c>
      <c r="M161" s="389" t="str">
        <f>IFERROR(IF(AD161&lt;=VLOOKUP(D161,Tournaments!$A$1:$B$1772,2,FALSE),"TRUE","FALSE"),"")</f>
        <v>FALSE</v>
      </c>
      <c r="N161" s="389">
        <v>1</v>
      </c>
      <c r="O161" s="389">
        <f t="shared" si="61"/>
        <v>3</v>
      </c>
      <c r="Q161" s="389">
        <f t="shared" si="62"/>
        <v>1</v>
      </c>
      <c r="R161" s="389">
        <f t="shared" si="63"/>
        <v>2</v>
      </c>
      <c r="S161" s="389">
        <f t="shared" si="64"/>
        <v>0</v>
      </c>
      <c r="U161" s="389">
        <f t="shared" si="65"/>
        <v>3</v>
      </c>
      <c r="V161" s="389" t="b">
        <f t="shared" si="66"/>
        <v>0</v>
      </c>
      <c r="W161" s="389">
        <f t="shared" si="67"/>
        <v>-3</v>
      </c>
      <c r="X161" s="389">
        <f t="shared" si="68"/>
        <v>3</v>
      </c>
      <c r="Y161" s="389" t="b">
        <f t="shared" si="86"/>
        <v>0</v>
      </c>
      <c r="Z161" s="389">
        <f t="shared" si="69"/>
        <v>-3</v>
      </c>
      <c r="AA161" s="389">
        <f t="shared" si="70"/>
        <v>3</v>
      </c>
      <c r="AB161" s="389" t="b">
        <f t="shared" si="71"/>
        <v>0</v>
      </c>
      <c r="AC161" s="389">
        <f t="shared" si="72"/>
        <v>-3</v>
      </c>
      <c r="AD161" s="389">
        <f t="shared" si="73"/>
        <v>3</v>
      </c>
      <c r="AE161" s="389">
        <f t="shared" si="74"/>
        <v>1</v>
      </c>
      <c r="AG161" s="311" t="str">
        <f t="shared" si="75"/>
        <v>Ch D Female Mini Soccer-Pool B</v>
      </c>
      <c r="AH161" s="453">
        <f t="shared" si="76"/>
        <v>3</v>
      </c>
      <c r="AI161" s="453">
        <f t="shared" si="77"/>
        <v>1</v>
      </c>
      <c r="AJ161" t="str">
        <f t="array" ref="AJ161">IF(AND(AI161&gt;1,G161&lt;&gt;""),INDEX(FS_teams,MATCH(1,(FS_Keys=AG161)*(FS_Points=I161)*(FS_teams&lt;&gt;G161),0)),"")</f>
        <v/>
      </c>
      <c r="AK161" s="390" t="str">
        <f t="array" ref="AK161">IF(AJ161&lt;&gt;"",INDEX(TM_Score1,MATCH(1,(TM_Events=D161)*(TM_Participant1=G161)*(TM_Participant2=AJ161),0)),"")</f>
        <v/>
      </c>
      <c r="AL161" s="390" t="str">
        <f t="array" ref="AL161">IF(AJ161&lt;&gt;"",INDEX(TM_Score1,MATCH(1,(TM_Events=D161)*(TM_Participant1=AJ161)*(TM_Participant2=G161),0)),"")</f>
        <v/>
      </c>
      <c r="AM161" s="389" t="str">
        <f t="array" ref="AM161">IF(ISNUMBER(AK161),INDEX(TM_Score2,MATCH(1,(TM_Events=D161)*(TM_Participant1=G161)*(TM_Participant2=AJ161),0)),"")</f>
        <v/>
      </c>
      <c r="AN161" s="389" t="str">
        <f t="array" ref="AN161">IF(ISNUMBER(AL161),INDEX(TM_Score2,MATCH(1,(TM_Events=D161)*(TM_Participant1=AJ161)*(TM_Participant2=G161),0)),"")</f>
        <v/>
      </c>
      <c r="AO161" s="389" t="str">
        <f t="shared" si="78"/>
        <v/>
      </c>
      <c r="AP161" s="389">
        <f t="shared" si="79"/>
        <v>1</v>
      </c>
      <c r="AQ161" s="389">
        <f t="shared" si="80"/>
        <v>0</v>
      </c>
      <c r="AR161" s="389">
        <f t="shared" si="81"/>
        <v>2</v>
      </c>
      <c r="AS161" s="453">
        <f t="shared" si="82"/>
        <v>-1</v>
      </c>
      <c r="AT161" s="452">
        <f t="shared" si="83"/>
        <v>7</v>
      </c>
    </row>
    <row r="162" spans="1:46" ht="16" x14ac:dyDescent="0.2">
      <c r="A162" s="298"/>
      <c r="B162"/>
      <c r="C162" s="433"/>
      <c r="D162" s="303" t="s">
        <v>520</v>
      </c>
      <c r="E162" s="396" t="s">
        <v>722</v>
      </c>
      <c r="F162" s="387">
        <v>1</v>
      </c>
      <c r="G162" s="397" t="s">
        <v>586</v>
      </c>
      <c r="H162" s="387" t="str">
        <f t="shared" si="58"/>
        <v>2-1-0</v>
      </c>
      <c r="I162" s="389">
        <f t="shared" si="59"/>
        <v>4</v>
      </c>
      <c r="J162" s="455" t="str">
        <f t="shared" si="84"/>
        <v/>
      </c>
      <c r="K162" s="455" t="str">
        <f t="shared" si="60"/>
        <v/>
      </c>
      <c r="L162" s="455" t="str">
        <f t="shared" si="85"/>
        <v/>
      </c>
      <c r="M162" s="389" t="str">
        <f>IFERROR(IF(AD162&lt;=VLOOKUP(D162,Tournaments!$A$1:$B$1772,2,FALSE),"TRUE","FALSE"),"")</f>
        <v>FALSE</v>
      </c>
      <c r="N162" s="389">
        <v>1</v>
      </c>
      <c r="O162" s="389">
        <f t="shared" si="61"/>
        <v>2</v>
      </c>
      <c r="Q162" s="389">
        <f t="shared" si="62"/>
        <v>2</v>
      </c>
      <c r="R162" s="389">
        <f t="shared" si="63"/>
        <v>1</v>
      </c>
      <c r="S162" s="389">
        <f t="shared" si="64"/>
        <v>0</v>
      </c>
      <c r="U162" s="389">
        <f t="shared" si="65"/>
        <v>2</v>
      </c>
      <c r="V162" s="389" t="b">
        <f t="shared" si="66"/>
        <v>0</v>
      </c>
      <c r="W162" s="389">
        <f t="shared" si="67"/>
        <v>-2</v>
      </c>
      <c r="X162" s="389">
        <f t="shared" si="68"/>
        <v>2</v>
      </c>
      <c r="Y162" s="389" t="b">
        <f t="shared" si="86"/>
        <v>0</v>
      </c>
      <c r="Z162" s="389">
        <f t="shared" si="69"/>
        <v>-2</v>
      </c>
      <c r="AA162" s="389">
        <f t="shared" si="70"/>
        <v>2</v>
      </c>
      <c r="AB162" s="389" t="b">
        <f t="shared" si="71"/>
        <v>0</v>
      </c>
      <c r="AC162" s="389">
        <f t="shared" si="72"/>
        <v>-2</v>
      </c>
      <c r="AD162" s="389">
        <f t="shared" si="73"/>
        <v>2</v>
      </c>
      <c r="AE162" s="389">
        <f t="shared" si="74"/>
        <v>1</v>
      </c>
      <c r="AG162" s="311" t="str">
        <f t="shared" si="75"/>
        <v>Ch D Female Volleyball-Pool A</v>
      </c>
      <c r="AH162" s="453">
        <f t="shared" si="76"/>
        <v>2</v>
      </c>
      <c r="AI162" s="453">
        <f t="shared" si="77"/>
        <v>1</v>
      </c>
      <c r="AJ162" t="str">
        <f t="array" ref="AJ162">IF(AND(AI162&gt;1,G162&lt;&gt;""),INDEX(FS_teams,MATCH(1,(FS_Keys=AG162)*(FS_Points=I162)*(FS_teams&lt;&gt;G162),0)),"")</f>
        <v/>
      </c>
      <c r="AK162" s="390" t="str">
        <f t="array" ref="AK162">IF(AJ162&lt;&gt;"",INDEX(TM_Score1,MATCH(1,(TM_Events=D162)*(TM_Participant1=G162)*(TM_Participant2=AJ162),0)),"")</f>
        <v/>
      </c>
      <c r="AL162" s="390" t="str">
        <f t="array" ref="AL162">IF(AJ162&lt;&gt;"",INDEX(TM_Score1,MATCH(1,(TM_Events=D162)*(TM_Participant1=AJ162)*(TM_Participant2=G162),0)),"")</f>
        <v/>
      </c>
      <c r="AM162" s="389" t="str">
        <f t="array" ref="AM162">IF(ISNUMBER(AK162),INDEX(TM_Score2,MATCH(1,(TM_Events=D162)*(TM_Participant1=G162)*(TM_Participant2=AJ162),0)),"")</f>
        <v/>
      </c>
      <c r="AN162" s="389" t="str">
        <f t="array" ref="AN162">IF(ISNUMBER(AL162),INDEX(TM_Score2,MATCH(1,(TM_Events=D162)*(TM_Participant1=AJ162)*(TM_Participant2=G162),0)),"")</f>
        <v/>
      </c>
      <c r="AO162" s="389" t="str">
        <f t="shared" si="78"/>
        <v/>
      </c>
      <c r="AP162" s="389">
        <f t="shared" si="79"/>
        <v>2</v>
      </c>
      <c r="AQ162" s="389">
        <f t="shared" si="80"/>
        <v>0</v>
      </c>
      <c r="AR162" s="389">
        <f t="shared" si="81"/>
        <v>1</v>
      </c>
      <c r="AS162" s="453">
        <f t="shared" si="82"/>
        <v>1</v>
      </c>
      <c r="AT162" s="452">
        <f t="shared" si="83"/>
        <v>4</v>
      </c>
    </row>
    <row r="163" spans="1:46" ht="16" x14ac:dyDescent="0.2">
      <c r="A163" s="298"/>
      <c r="B163"/>
      <c r="C163" s="433"/>
      <c r="D163" s="303" t="s">
        <v>520</v>
      </c>
      <c r="E163" s="396" t="s">
        <v>722</v>
      </c>
      <c r="F163" s="387">
        <v>1</v>
      </c>
      <c r="G163" s="397" t="s">
        <v>724</v>
      </c>
      <c r="H163" s="387" t="str">
        <f t="shared" si="58"/>
        <v>0-3-0</v>
      </c>
      <c r="I163" s="389">
        <f t="shared" si="59"/>
        <v>0</v>
      </c>
      <c r="J163" s="455" t="str">
        <f t="shared" si="84"/>
        <v/>
      </c>
      <c r="K163" s="455" t="str">
        <f t="shared" si="60"/>
        <v/>
      </c>
      <c r="L163" s="455" t="str">
        <f t="shared" si="85"/>
        <v/>
      </c>
      <c r="M163" s="389" t="str">
        <f>IFERROR(IF(AD163&lt;=VLOOKUP(D163,Tournaments!$A$1:$B$1772,2,FALSE),"TRUE","FALSE"),"")</f>
        <v>FALSE</v>
      </c>
      <c r="N163" s="389">
        <v>1</v>
      </c>
      <c r="O163" s="389">
        <f t="shared" si="61"/>
        <v>4</v>
      </c>
      <c r="Q163" s="389">
        <f t="shared" si="62"/>
        <v>0</v>
      </c>
      <c r="R163" s="389">
        <f t="shared" si="63"/>
        <v>3</v>
      </c>
      <c r="S163" s="389">
        <f t="shared" si="64"/>
        <v>0</v>
      </c>
      <c r="U163" s="389">
        <f t="shared" si="65"/>
        <v>4</v>
      </c>
      <c r="V163" s="389" t="b">
        <f t="shared" si="66"/>
        <v>0</v>
      </c>
      <c r="W163" s="389">
        <f t="shared" si="67"/>
        <v>-4</v>
      </c>
      <c r="X163" s="389">
        <f t="shared" si="68"/>
        <v>4</v>
      </c>
      <c r="Y163" s="389" t="b">
        <f t="shared" si="86"/>
        <v>0</v>
      </c>
      <c r="Z163" s="389">
        <f t="shared" si="69"/>
        <v>-4</v>
      </c>
      <c r="AA163" s="389">
        <f t="shared" si="70"/>
        <v>4</v>
      </c>
      <c r="AB163" s="389" t="b">
        <f t="shared" si="71"/>
        <v>0</v>
      </c>
      <c r="AC163" s="389">
        <f t="shared" si="72"/>
        <v>-4</v>
      </c>
      <c r="AD163" s="389">
        <f t="shared" si="73"/>
        <v>4</v>
      </c>
      <c r="AE163" s="389">
        <f t="shared" si="74"/>
        <v>1</v>
      </c>
      <c r="AG163" s="311" t="str">
        <f t="shared" si="75"/>
        <v>Ch D Female Volleyball-Pool A</v>
      </c>
      <c r="AH163" s="453">
        <f t="shared" si="76"/>
        <v>4</v>
      </c>
      <c r="AI163" s="453">
        <f t="shared" si="77"/>
        <v>1</v>
      </c>
      <c r="AJ163" t="str">
        <f t="array" ref="AJ163">IF(AND(AI163&gt;1,G163&lt;&gt;""),INDEX(FS_teams,MATCH(1,(FS_Keys=AG163)*(FS_Points=I163)*(FS_teams&lt;&gt;G163),0)),"")</f>
        <v/>
      </c>
      <c r="AK163" s="390" t="str">
        <f t="array" ref="AK163">IF(AJ163&lt;&gt;"",INDEX(TM_Score1,MATCH(1,(TM_Events=D163)*(TM_Participant1=G163)*(TM_Participant2=AJ163),0)),"")</f>
        <v/>
      </c>
      <c r="AL163" s="390" t="str">
        <f t="array" ref="AL163">IF(AJ163&lt;&gt;"",INDEX(TM_Score1,MATCH(1,(TM_Events=D163)*(TM_Participant1=AJ163)*(TM_Participant2=G163),0)),"")</f>
        <v/>
      </c>
      <c r="AM163" s="389" t="str">
        <f t="array" ref="AM163">IF(ISNUMBER(AK163),INDEX(TM_Score2,MATCH(1,(TM_Events=D163)*(TM_Participant1=G163)*(TM_Participant2=AJ163),0)),"")</f>
        <v/>
      </c>
      <c r="AN163" s="389" t="str">
        <f t="array" ref="AN163">IF(ISNUMBER(AL163),INDEX(TM_Score2,MATCH(1,(TM_Events=D163)*(TM_Participant1=AJ163)*(TM_Participant2=G163),0)),"")</f>
        <v/>
      </c>
      <c r="AO163" s="389" t="str">
        <f t="shared" si="78"/>
        <v/>
      </c>
      <c r="AP163" s="389">
        <f t="shared" si="79"/>
        <v>0</v>
      </c>
      <c r="AQ163" s="389">
        <f t="shared" si="80"/>
        <v>0</v>
      </c>
      <c r="AR163" s="389">
        <f t="shared" si="81"/>
        <v>3</v>
      </c>
      <c r="AS163" s="453">
        <f t="shared" si="82"/>
        <v>-6</v>
      </c>
      <c r="AT163" s="452">
        <f t="shared" si="83"/>
        <v>0</v>
      </c>
    </row>
    <row r="164" spans="1:46" ht="16" x14ac:dyDescent="0.2">
      <c r="A164" s="298"/>
      <c r="B164"/>
      <c r="C164" s="433"/>
      <c r="D164" s="303" t="s">
        <v>520</v>
      </c>
      <c r="E164" s="387" t="s">
        <v>722</v>
      </c>
      <c r="F164" s="387">
        <v>1</v>
      </c>
      <c r="G164" s="397" t="s">
        <v>588</v>
      </c>
      <c r="H164" s="387" t="str">
        <f t="shared" si="58"/>
        <v>1-2-0</v>
      </c>
      <c r="I164" s="389">
        <f t="shared" si="59"/>
        <v>2</v>
      </c>
      <c r="J164" s="455" t="str">
        <f t="shared" si="84"/>
        <v/>
      </c>
      <c r="K164" s="455" t="str">
        <f t="shared" si="60"/>
        <v/>
      </c>
      <c r="L164" s="455" t="str">
        <f t="shared" si="85"/>
        <v/>
      </c>
      <c r="M164" s="389" t="str">
        <f>IFERROR(IF(AD164&lt;=VLOOKUP(D164,Tournaments!$A$1:$B$1772,2,FALSE),"TRUE","FALSE"),"")</f>
        <v>FALSE</v>
      </c>
      <c r="N164" s="389">
        <v>1</v>
      </c>
      <c r="O164" s="389">
        <f t="shared" si="61"/>
        <v>3</v>
      </c>
      <c r="Q164" s="389">
        <f t="shared" si="62"/>
        <v>1</v>
      </c>
      <c r="R164" s="389">
        <f t="shared" si="63"/>
        <v>2</v>
      </c>
      <c r="S164" s="389">
        <f t="shared" si="64"/>
        <v>0</v>
      </c>
      <c r="U164" s="389">
        <f t="shared" si="65"/>
        <v>3</v>
      </c>
      <c r="V164" s="389" t="b">
        <f t="shared" si="66"/>
        <v>0</v>
      </c>
      <c r="W164" s="389">
        <f t="shared" si="67"/>
        <v>-3</v>
      </c>
      <c r="X164" s="389">
        <f t="shared" si="68"/>
        <v>3</v>
      </c>
      <c r="Y164" s="389" t="b">
        <f t="shared" si="86"/>
        <v>0</v>
      </c>
      <c r="Z164" s="389">
        <f t="shared" si="69"/>
        <v>-3</v>
      </c>
      <c r="AA164" s="389">
        <f t="shared" si="70"/>
        <v>3</v>
      </c>
      <c r="AB164" s="389" t="b">
        <f t="shared" si="71"/>
        <v>0</v>
      </c>
      <c r="AC164" s="389">
        <f t="shared" si="72"/>
        <v>-3</v>
      </c>
      <c r="AD164" s="389">
        <f t="shared" si="73"/>
        <v>3</v>
      </c>
      <c r="AE164" s="389">
        <f t="shared" si="74"/>
        <v>1</v>
      </c>
      <c r="AG164" s="311" t="str">
        <f t="shared" si="75"/>
        <v>Ch D Female Volleyball-Pool A</v>
      </c>
      <c r="AH164" s="453">
        <f t="shared" si="76"/>
        <v>3</v>
      </c>
      <c r="AI164" s="453">
        <f t="shared" si="77"/>
        <v>1</v>
      </c>
      <c r="AJ164" t="str">
        <f t="array" ref="AJ164">IF(AND(AI164&gt;1,G164&lt;&gt;""),INDEX(FS_teams,MATCH(1,(FS_Keys=AG164)*(FS_Points=I164)*(FS_teams&lt;&gt;G164),0)),"")</f>
        <v/>
      </c>
      <c r="AK164" s="390" t="str">
        <f t="array" ref="AK164">IF(AJ164&lt;&gt;"",INDEX(TM_Score1,MATCH(1,(TM_Events=D164)*(TM_Participant1=G164)*(TM_Participant2=AJ164),0)),"")</f>
        <v/>
      </c>
      <c r="AL164" s="390" t="str">
        <f t="array" ref="AL164">IF(AJ164&lt;&gt;"",INDEX(TM_Score1,MATCH(1,(TM_Events=D164)*(TM_Participant1=AJ164)*(TM_Participant2=G164),0)),"")</f>
        <v/>
      </c>
      <c r="AM164" s="389" t="str">
        <f t="array" ref="AM164">IF(ISNUMBER(AK164),INDEX(TM_Score2,MATCH(1,(TM_Events=D164)*(TM_Participant1=G164)*(TM_Participant2=AJ164),0)),"")</f>
        <v/>
      </c>
      <c r="AN164" s="389" t="str">
        <f t="array" ref="AN164">IF(ISNUMBER(AL164),INDEX(TM_Score2,MATCH(1,(TM_Events=D164)*(TM_Participant1=AJ164)*(TM_Participant2=G164),0)),"")</f>
        <v/>
      </c>
      <c r="AO164" s="389" t="str">
        <f t="shared" si="78"/>
        <v/>
      </c>
      <c r="AP164" s="389">
        <f t="shared" si="79"/>
        <v>1</v>
      </c>
      <c r="AQ164" s="389">
        <f t="shared" si="80"/>
        <v>0</v>
      </c>
      <c r="AR164" s="389">
        <f t="shared" si="81"/>
        <v>2</v>
      </c>
      <c r="AS164" s="453">
        <f t="shared" si="82"/>
        <v>-1</v>
      </c>
      <c r="AT164" s="452">
        <f t="shared" si="83"/>
        <v>3</v>
      </c>
    </row>
    <row r="165" spans="1:46" ht="16" x14ac:dyDescent="0.2">
      <c r="A165" s="298"/>
      <c r="B165"/>
      <c r="D165" s="303" t="s">
        <v>520</v>
      </c>
      <c r="E165" s="396" t="s">
        <v>722</v>
      </c>
      <c r="F165" s="387">
        <v>1</v>
      </c>
      <c r="G165" s="397" t="s">
        <v>590</v>
      </c>
      <c r="H165" s="387" t="str">
        <f t="shared" si="58"/>
        <v>3-0-0</v>
      </c>
      <c r="I165" s="389">
        <f t="shared" si="59"/>
        <v>6</v>
      </c>
      <c r="J165" s="455" t="str">
        <f t="shared" si="84"/>
        <v/>
      </c>
      <c r="K165" s="455" t="str">
        <f t="shared" si="60"/>
        <v/>
      </c>
      <c r="L165" s="455" t="str">
        <f t="shared" si="85"/>
        <v/>
      </c>
      <c r="M165" s="389" t="str">
        <f>IFERROR(IF(AD165&lt;=VLOOKUP(D165,Tournaments!$A$1:$B$1772,2,FALSE),"TRUE","FALSE"),"")</f>
        <v>TRUE</v>
      </c>
      <c r="N165" s="389">
        <v>1</v>
      </c>
      <c r="O165" s="389">
        <f t="shared" si="61"/>
        <v>1</v>
      </c>
      <c r="Q165" s="389">
        <f t="shared" si="62"/>
        <v>3</v>
      </c>
      <c r="R165" s="389">
        <f t="shared" si="63"/>
        <v>0</v>
      </c>
      <c r="S165" s="389">
        <f t="shared" si="64"/>
        <v>0</v>
      </c>
      <c r="U165" s="389">
        <f t="shared" si="65"/>
        <v>1</v>
      </c>
      <c r="V165" s="389" t="b">
        <f t="shared" si="66"/>
        <v>0</v>
      </c>
      <c r="W165" s="389">
        <f t="shared" si="67"/>
        <v>-1</v>
      </c>
      <c r="X165" s="389">
        <f t="shared" si="68"/>
        <v>1</v>
      </c>
      <c r="Y165" s="389" t="b">
        <f t="shared" si="86"/>
        <v>0</v>
      </c>
      <c r="Z165" s="389">
        <f t="shared" si="69"/>
        <v>-1</v>
      </c>
      <c r="AA165" s="389">
        <f t="shared" si="70"/>
        <v>1</v>
      </c>
      <c r="AB165" s="389" t="b">
        <f t="shared" si="71"/>
        <v>0</v>
      </c>
      <c r="AC165" s="389">
        <f t="shared" si="72"/>
        <v>-1</v>
      </c>
      <c r="AD165" s="389">
        <f t="shared" si="73"/>
        <v>1</v>
      </c>
      <c r="AE165" s="389">
        <f t="shared" si="74"/>
        <v>1</v>
      </c>
      <c r="AG165" s="311" t="str">
        <f t="shared" si="75"/>
        <v>Ch D Female Volleyball-Pool A</v>
      </c>
      <c r="AH165" s="453">
        <f t="shared" si="76"/>
        <v>1</v>
      </c>
      <c r="AI165" s="453">
        <f t="shared" si="77"/>
        <v>1</v>
      </c>
      <c r="AJ165" t="str">
        <f t="array" ref="AJ165">IF(AND(AI165&gt;1,G165&lt;&gt;""),INDEX(FS_teams,MATCH(1,(FS_Keys=AG165)*(FS_Points=I165)*(FS_teams&lt;&gt;G165),0)),"")</f>
        <v/>
      </c>
      <c r="AK165" s="390" t="str">
        <f t="array" ref="AK165">IF(AJ165&lt;&gt;"",INDEX(TM_Score1,MATCH(1,(TM_Events=D165)*(TM_Participant1=G165)*(TM_Participant2=AJ165),0)),"")</f>
        <v/>
      </c>
      <c r="AL165" s="390" t="str">
        <f t="array" ref="AL165">IF(AJ165&lt;&gt;"",INDEX(TM_Score1,MATCH(1,(TM_Events=D165)*(TM_Participant1=AJ165)*(TM_Participant2=G165),0)),"")</f>
        <v/>
      </c>
      <c r="AM165" s="389" t="str">
        <f t="array" ref="AM165">IF(ISNUMBER(AK165),INDEX(TM_Score2,MATCH(1,(TM_Events=D165)*(TM_Participant1=G165)*(TM_Participant2=AJ165),0)),"")</f>
        <v/>
      </c>
      <c r="AN165" s="389" t="str">
        <f t="array" ref="AN165">IF(ISNUMBER(AL165),INDEX(TM_Score2,MATCH(1,(TM_Events=D165)*(TM_Participant1=AJ165)*(TM_Participant2=G165),0)),"")</f>
        <v/>
      </c>
      <c r="AO165" s="389" t="str">
        <f t="shared" si="78"/>
        <v/>
      </c>
      <c r="AP165" s="389">
        <f t="shared" si="79"/>
        <v>3</v>
      </c>
      <c r="AQ165" s="389">
        <f t="shared" si="80"/>
        <v>0</v>
      </c>
      <c r="AR165" s="389">
        <f t="shared" si="81"/>
        <v>0</v>
      </c>
      <c r="AS165" s="453">
        <f t="shared" si="82"/>
        <v>6</v>
      </c>
      <c r="AT165" s="452">
        <f t="shared" si="83"/>
        <v>6</v>
      </c>
    </row>
    <row r="166" spans="1:46" ht="16" x14ac:dyDescent="0.2">
      <c r="A166" s="298"/>
      <c r="B166"/>
      <c r="D166" s="303" t="s">
        <v>520</v>
      </c>
      <c r="E166" s="396" t="s">
        <v>723</v>
      </c>
      <c r="F166" s="387">
        <v>1</v>
      </c>
      <c r="G166" s="397" t="s">
        <v>587</v>
      </c>
      <c r="H166" s="387" t="str">
        <f t="shared" si="58"/>
        <v>0-3-0</v>
      </c>
      <c r="I166" s="389">
        <f t="shared" si="59"/>
        <v>0</v>
      </c>
      <c r="J166" s="455" t="str">
        <f t="shared" si="84"/>
        <v/>
      </c>
      <c r="K166" s="455" t="str">
        <f t="shared" si="60"/>
        <v/>
      </c>
      <c r="L166" s="455" t="str">
        <f t="shared" si="85"/>
        <v/>
      </c>
      <c r="M166" s="389" t="str">
        <f>IFERROR(IF(AD166&lt;=VLOOKUP(D166,Tournaments!$A$1:$B$1772,2,FALSE),"TRUE","FALSE"),"")</f>
        <v>FALSE</v>
      </c>
      <c r="N166" s="389">
        <v>1</v>
      </c>
      <c r="O166" s="389">
        <f t="shared" si="61"/>
        <v>4</v>
      </c>
      <c r="Q166" s="389">
        <f t="shared" si="62"/>
        <v>0</v>
      </c>
      <c r="R166" s="389">
        <f t="shared" si="63"/>
        <v>3</v>
      </c>
      <c r="S166" s="389">
        <f t="shared" si="64"/>
        <v>0</v>
      </c>
      <c r="U166" s="389">
        <f t="shared" si="65"/>
        <v>4</v>
      </c>
      <c r="V166" s="389" t="b">
        <f t="shared" si="66"/>
        <v>0</v>
      </c>
      <c r="W166" s="389">
        <f t="shared" si="67"/>
        <v>-4</v>
      </c>
      <c r="X166" s="389">
        <f t="shared" si="68"/>
        <v>4</v>
      </c>
      <c r="Y166" s="389" t="b">
        <f t="shared" si="86"/>
        <v>0</v>
      </c>
      <c r="Z166" s="389">
        <f t="shared" si="69"/>
        <v>-4</v>
      </c>
      <c r="AA166" s="389">
        <f t="shared" si="70"/>
        <v>4</v>
      </c>
      <c r="AB166" s="389" t="b">
        <f t="shared" si="71"/>
        <v>0</v>
      </c>
      <c r="AC166" s="389">
        <f t="shared" si="72"/>
        <v>-4</v>
      </c>
      <c r="AD166" s="389">
        <f t="shared" si="73"/>
        <v>4</v>
      </c>
      <c r="AE166" s="389">
        <f t="shared" si="74"/>
        <v>1</v>
      </c>
      <c r="AG166" s="311" t="str">
        <f t="shared" si="75"/>
        <v>Ch D Female Volleyball-Pool B</v>
      </c>
      <c r="AH166" s="453">
        <f t="shared" si="76"/>
        <v>4</v>
      </c>
      <c r="AI166" s="453">
        <f t="shared" si="77"/>
        <v>1</v>
      </c>
      <c r="AJ166" t="str">
        <f t="array" ref="AJ166">IF(AND(AI166&gt;1,G166&lt;&gt;""),INDEX(FS_teams,MATCH(1,(FS_Keys=AG166)*(FS_Points=I166)*(FS_teams&lt;&gt;G166),0)),"")</f>
        <v/>
      </c>
      <c r="AK166" s="390" t="str">
        <f t="array" ref="AK166">IF(AJ166&lt;&gt;"",INDEX(TM_Score1,MATCH(1,(TM_Events=D166)*(TM_Participant1=G166)*(TM_Participant2=AJ166),0)),"")</f>
        <v/>
      </c>
      <c r="AL166" s="390" t="str">
        <f t="array" ref="AL166">IF(AJ166&lt;&gt;"",INDEX(TM_Score1,MATCH(1,(TM_Events=D166)*(TM_Participant1=AJ166)*(TM_Participant2=G166),0)),"")</f>
        <v/>
      </c>
      <c r="AM166" s="389" t="str">
        <f t="array" ref="AM166">IF(ISNUMBER(AK166),INDEX(TM_Score2,MATCH(1,(TM_Events=D166)*(TM_Participant1=G166)*(TM_Participant2=AJ166),0)),"")</f>
        <v/>
      </c>
      <c r="AN166" s="389" t="str">
        <f t="array" ref="AN166">IF(ISNUMBER(AL166),INDEX(TM_Score2,MATCH(1,(TM_Events=D166)*(TM_Participant1=AJ166)*(TM_Participant2=G166),0)),"")</f>
        <v/>
      </c>
      <c r="AO166" s="389" t="str">
        <f t="shared" si="78"/>
        <v/>
      </c>
      <c r="AP166" s="389">
        <f t="shared" si="79"/>
        <v>0</v>
      </c>
      <c r="AQ166" s="389">
        <f t="shared" si="80"/>
        <v>0</v>
      </c>
      <c r="AR166" s="389">
        <f t="shared" si="81"/>
        <v>3</v>
      </c>
      <c r="AS166" s="453">
        <f t="shared" si="82"/>
        <v>-5</v>
      </c>
      <c r="AT166" s="452">
        <f t="shared" si="83"/>
        <v>1</v>
      </c>
    </row>
    <row r="167" spans="1:46" ht="16" x14ac:dyDescent="0.2">
      <c r="A167" s="298"/>
      <c r="B167"/>
      <c r="D167" s="303" t="s">
        <v>520</v>
      </c>
      <c r="E167" s="396" t="s">
        <v>723</v>
      </c>
      <c r="F167" s="387">
        <v>1</v>
      </c>
      <c r="G167" s="397" t="s">
        <v>589</v>
      </c>
      <c r="H167" s="387" t="str">
        <f t="shared" si="58"/>
        <v>1-2-0</v>
      </c>
      <c r="I167" s="389">
        <f t="shared" si="59"/>
        <v>2</v>
      </c>
      <c r="J167" s="455" t="str">
        <f t="shared" si="84"/>
        <v/>
      </c>
      <c r="K167" s="455" t="str">
        <f t="shared" si="60"/>
        <v/>
      </c>
      <c r="L167" s="455" t="str">
        <f t="shared" si="85"/>
        <v/>
      </c>
      <c r="M167" s="389" t="str">
        <f>IFERROR(IF(AD167&lt;=VLOOKUP(D167,Tournaments!$A$1:$B$1772,2,FALSE),"TRUE","FALSE"),"")</f>
        <v>FALSE</v>
      </c>
      <c r="N167" s="389">
        <v>1</v>
      </c>
      <c r="O167" s="389">
        <f t="shared" si="61"/>
        <v>3</v>
      </c>
      <c r="Q167" s="389">
        <f t="shared" si="62"/>
        <v>1</v>
      </c>
      <c r="R167" s="389">
        <f t="shared" si="63"/>
        <v>2</v>
      </c>
      <c r="S167" s="389">
        <f t="shared" si="64"/>
        <v>0</v>
      </c>
      <c r="U167" s="389">
        <f t="shared" si="65"/>
        <v>3</v>
      </c>
      <c r="V167" s="389" t="b">
        <f t="shared" si="66"/>
        <v>0</v>
      </c>
      <c r="W167" s="389">
        <f t="shared" si="67"/>
        <v>-3</v>
      </c>
      <c r="X167" s="389">
        <f t="shared" si="68"/>
        <v>3</v>
      </c>
      <c r="Y167" s="389" t="b">
        <f t="shared" si="86"/>
        <v>0</v>
      </c>
      <c r="Z167" s="389">
        <f t="shared" si="69"/>
        <v>-3</v>
      </c>
      <c r="AA167" s="389">
        <f t="shared" si="70"/>
        <v>3</v>
      </c>
      <c r="AB167" s="389" t="b">
        <f t="shared" si="71"/>
        <v>0</v>
      </c>
      <c r="AC167" s="389">
        <f t="shared" si="72"/>
        <v>-3</v>
      </c>
      <c r="AD167" s="389">
        <f t="shared" si="73"/>
        <v>3</v>
      </c>
      <c r="AE167" s="389">
        <f t="shared" si="74"/>
        <v>1</v>
      </c>
      <c r="AG167" s="311" t="str">
        <f t="shared" si="75"/>
        <v>Ch D Female Volleyball-Pool B</v>
      </c>
      <c r="AH167" s="453">
        <f t="shared" si="76"/>
        <v>3</v>
      </c>
      <c r="AI167" s="453">
        <f t="shared" si="77"/>
        <v>1</v>
      </c>
      <c r="AJ167" t="str">
        <f t="array" ref="AJ167">IF(AND(AI167&gt;1,G167&lt;&gt;""),INDEX(FS_teams,MATCH(1,(FS_Keys=AG167)*(FS_Points=I167)*(FS_teams&lt;&gt;G167),0)),"")</f>
        <v/>
      </c>
      <c r="AK167" s="390" t="str">
        <f t="array" ref="AK167">IF(AJ167&lt;&gt;"",INDEX(TM_Score1,MATCH(1,(TM_Events=D167)*(TM_Participant1=G167)*(TM_Participant2=AJ167),0)),"")</f>
        <v/>
      </c>
      <c r="AL167" s="390" t="str">
        <f t="array" ref="AL167">IF(AJ167&lt;&gt;"",INDEX(TM_Score1,MATCH(1,(TM_Events=D167)*(TM_Participant1=AJ167)*(TM_Participant2=G167),0)),"")</f>
        <v/>
      </c>
      <c r="AM167" s="389" t="str">
        <f t="array" ref="AM167">IF(ISNUMBER(AK167),INDEX(TM_Score2,MATCH(1,(TM_Events=D167)*(TM_Participant1=G167)*(TM_Participant2=AJ167),0)),"")</f>
        <v/>
      </c>
      <c r="AN167" s="389" t="str">
        <f t="array" ref="AN167">IF(ISNUMBER(AL167),INDEX(TM_Score2,MATCH(1,(TM_Events=D167)*(TM_Participant1=AJ167)*(TM_Participant2=G167),0)),"")</f>
        <v/>
      </c>
      <c r="AO167" s="389" t="str">
        <f t="shared" si="78"/>
        <v/>
      </c>
      <c r="AP167" s="389">
        <f t="shared" si="79"/>
        <v>1</v>
      </c>
      <c r="AQ167" s="389">
        <f t="shared" si="80"/>
        <v>0</v>
      </c>
      <c r="AR167" s="389">
        <f t="shared" si="81"/>
        <v>2</v>
      </c>
      <c r="AS167" s="453">
        <f t="shared" si="82"/>
        <v>-2</v>
      </c>
      <c r="AT167" s="452">
        <f t="shared" si="83"/>
        <v>2</v>
      </c>
    </row>
    <row r="168" spans="1:46" ht="16" x14ac:dyDescent="0.2">
      <c r="A168" s="298"/>
      <c r="B168"/>
      <c r="D168" s="303" t="s">
        <v>520</v>
      </c>
      <c r="E168" s="387" t="s">
        <v>723</v>
      </c>
      <c r="F168" s="387">
        <v>1</v>
      </c>
      <c r="G168" s="397" t="s">
        <v>583</v>
      </c>
      <c r="H168" s="387" t="str">
        <f t="shared" si="58"/>
        <v>3-0-0</v>
      </c>
      <c r="I168" s="389">
        <f t="shared" si="59"/>
        <v>6</v>
      </c>
      <c r="J168" s="455" t="str">
        <f t="shared" si="84"/>
        <v/>
      </c>
      <c r="K168" s="455" t="str">
        <f t="shared" si="60"/>
        <v/>
      </c>
      <c r="L168" s="455" t="str">
        <f t="shared" si="85"/>
        <v/>
      </c>
      <c r="M168" s="389" t="str">
        <f>IFERROR(IF(AD168&lt;=VLOOKUP(D168,Tournaments!$A$1:$B$1772,2,FALSE),"TRUE","FALSE"),"")</f>
        <v>TRUE</v>
      </c>
      <c r="N168" s="389">
        <v>1</v>
      </c>
      <c r="O168" s="389">
        <f t="shared" si="61"/>
        <v>1</v>
      </c>
      <c r="Q168" s="389">
        <f t="shared" si="62"/>
        <v>3</v>
      </c>
      <c r="R168" s="389">
        <f t="shared" si="63"/>
        <v>0</v>
      </c>
      <c r="S168" s="389">
        <f t="shared" si="64"/>
        <v>0</v>
      </c>
      <c r="U168" s="389">
        <f t="shared" si="65"/>
        <v>1</v>
      </c>
      <c r="V168" s="389" t="b">
        <f t="shared" si="66"/>
        <v>0</v>
      </c>
      <c r="W168" s="389">
        <f t="shared" si="67"/>
        <v>-1</v>
      </c>
      <c r="X168" s="389">
        <f t="shared" si="68"/>
        <v>1</v>
      </c>
      <c r="Y168" s="389" t="b">
        <f t="shared" si="86"/>
        <v>0</v>
      </c>
      <c r="Z168" s="389">
        <f t="shared" si="69"/>
        <v>-1</v>
      </c>
      <c r="AA168" s="389">
        <f t="shared" si="70"/>
        <v>1</v>
      </c>
      <c r="AB168" s="389" t="b">
        <f t="shared" si="71"/>
        <v>0</v>
      </c>
      <c r="AC168" s="389">
        <f t="shared" si="72"/>
        <v>-1</v>
      </c>
      <c r="AD168" s="389">
        <f t="shared" si="73"/>
        <v>1</v>
      </c>
      <c r="AE168" s="389">
        <f t="shared" si="74"/>
        <v>1</v>
      </c>
      <c r="AG168" s="311" t="str">
        <f t="shared" si="75"/>
        <v>Ch D Female Volleyball-Pool B</v>
      </c>
      <c r="AH168" s="453">
        <f t="shared" si="76"/>
        <v>1</v>
      </c>
      <c r="AI168" s="453">
        <f t="shared" si="77"/>
        <v>1</v>
      </c>
      <c r="AJ168" t="str">
        <f t="array" ref="AJ168">IF(AND(AI168&gt;1,G168&lt;&gt;""),INDEX(FS_teams,MATCH(1,(FS_Keys=AG168)*(FS_Points=I168)*(FS_teams&lt;&gt;G168),0)),"")</f>
        <v/>
      </c>
      <c r="AK168" s="390" t="str">
        <f t="array" ref="AK168">IF(AJ168&lt;&gt;"",INDEX(TM_Score1,MATCH(1,(TM_Events=D168)*(TM_Participant1=G168)*(TM_Participant2=AJ168),0)),"")</f>
        <v/>
      </c>
      <c r="AL168" s="390" t="str">
        <f t="array" ref="AL168">IF(AJ168&lt;&gt;"",INDEX(TM_Score1,MATCH(1,(TM_Events=D168)*(TM_Participant1=AJ168)*(TM_Participant2=G168),0)),"")</f>
        <v/>
      </c>
      <c r="AM168" s="389" t="str">
        <f t="array" ref="AM168">IF(ISNUMBER(AK168),INDEX(TM_Score2,MATCH(1,(TM_Events=D168)*(TM_Participant1=G168)*(TM_Participant2=AJ168),0)),"")</f>
        <v/>
      </c>
      <c r="AN168" s="389" t="str">
        <f t="array" ref="AN168">IF(ISNUMBER(AL168),INDEX(TM_Score2,MATCH(1,(TM_Events=D168)*(TM_Participant1=AJ168)*(TM_Participant2=G168),0)),"")</f>
        <v/>
      </c>
      <c r="AO168" s="389" t="str">
        <f t="shared" si="78"/>
        <v/>
      </c>
      <c r="AP168" s="389">
        <f t="shared" si="79"/>
        <v>3</v>
      </c>
      <c r="AQ168" s="389">
        <f t="shared" si="80"/>
        <v>0</v>
      </c>
      <c r="AR168" s="389">
        <f t="shared" si="81"/>
        <v>0</v>
      </c>
      <c r="AS168" s="453">
        <f t="shared" si="82"/>
        <v>4</v>
      </c>
      <c r="AT168" s="452">
        <f t="shared" si="83"/>
        <v>6</v>
      </c>
    </row>
    <row r="169" spans="1:46" ht="16" x14ac:dyDescent="0.2">
      <c r="A169" s="298"/>
      <c r="B169"/>
      <c r="D169" s="303" t="s">
        <v>520</v>
      </c>
      <c r="E169" s="396" t="s">
        <v>723</v>
      </c>
      <c r="F169" s="387">
        <v>1</v>
      </c>
      <c r="G169" s="397" t="s">
        <v>725</v>
      </c>
      <c r="H169" s="387" t="str">
        <f t="shared" si="58"/>
        <v>2-1-0</v>
      </c>
      <c r="I169" s="389">
        <f t="shared" si="59"/>
        <v>4</v>
      </c>
      <c r="J169" s="455" t="str">
        <f t="shared" si="84"/>
        <v/>
      </c>
      <c r="K169" s="455" t="str">
        <f t="shared" si="60"/>
        <v/>
      </c>
      <c r="L169" s="455" t="str">
        <f t="shared" si="85"/>
        <v/>
      </c>
      <c r="M169" s="389" t="str">
        <f>IFERROR(IF(AD169&lt;=VLOOKUP(D169,Tournaments!$A$1:$B$1772,2,FALSE),"TRUE","FALSE"),"")</f>
        <v>FALSE</v>
      </c>
      <c r="N169" s="389">
        <v>1</v>
      </c>
      <c r="O169" s="389">
        <f t="shared" si="61"/>
        <v>2</v>
      </c>
      <c r="Q169" s="389">
        <f t="shared" si="62"/>
        <v>2</v>
      </c>
      <c r="R169" s="389">
        <f t="shared" si="63"/>
        <v>1</v>
      </c>
      <c r="S169" s="389">
        <f t="shared" si="64"/>
        <v>0</v>
      </c>
      <c r="U169" s="389">
        <f t="shared" si="65"/>
        <v>2</v>
      </c>
      <c r="V169" s="389" t="b">
        <f t="shared" si="66"/>
        <v>0</v>
      </c>
      <c r="W169" s="389">
        <f t="shared" si="67"/>
        <v>-2</v>
      </c>
      <c r="X169" s="389">
        <f t="shared" si="68"/>
        <v>2</v>
      </c>
      <c r="Y169" s="389" t="b">
        <f t="shared" si="86"/>
        <v>0</v>
      </c>
      <c r="Z169" s="389">
        <f t="shared" si="69"/>
        <v>-2</v>
      </c>
      <c r="AA169" s="389">
        <f t="shared" si="70"/>
        <v>2</v>
      </c>
      <c r="AB169" s="389" t="b">
        <f t="shared" si="71"/>
        <v>0</v>
      </c>
      <c r="AC169" s="389">
        <f t="shared" si="72"/>
        <v>-2</v>
      </c>
      <c r="AD169" s="389">
        <f t="shared" si="73"/>
        <v>2</v>
      </c>
      <c r="AE169" s="389">
        <f t="shared" si="74"/>
        <v>1</v>
      </c>
      <c r="AG169" s="311" t="str">
        <f t="shared" si="75"/>
        <v>Ch D Female Volleyball-Pool B</v>
      </c>
      <c r="AH169" s="453">
        <f t="shared" si="76"/>
        <v>2</v>
      </c>
      <c r="AI169" s="453">
        <f t="shared" si="77"/>
        <v>1</v>
      </c>
      <c r="AJ169" t="str">
        <f t="array" ref="AJ169">IF(AND(AI169&gt;1,G169&lt;&gt;""),INDEX(FS_teams,MATCH(1,(FS_Keys=AG169)*(FS_Points=I169)*(FS_teams&lt;&gt;G169),0)),"")</f>
        <v/>
      </c>
      <c r="AK169" s="390" t="str">
        <f t="array" ref="AK169">IF(AJ169&lt;&gt;"",INDEX(TM_Score1,MATCH(1,(TM_Events=D169)*(TM_Participant1=G169)*(TM_Participant2=AJ169),0)),"")</f>
        <v/>
      </c>
      <c r="AL169" s="390" t="str">
        <f t="array" ref="AL169">IF(AJ169&lt;&gt;"",INDEX(TM_Score1,MATCH(1,(TM_Events=D169)*(TM_Participant1=AJ169)*(TM_Participant2=G169),0)),"")</f>
        <v/>
      </c>
      <c r="AM169" s="389" t="str">
        <f t="array" ref="AM169">IF(ISNUMBER(AK169),INDEX(TM_Score2,MATCH(1,(TM_Events=D169)*(TM_Participant1=G169)*(TM_Participant2=AJ169),0)),"")</f>
        <v/>
      </c>
      <c r="AN169" s="389" t="str">
        <f t="array" ref="AN169">IF(ISNUMBER(AL169),INDEX(TM_Score2,MATCH(1,(TM_Events=D169)*(TM_Participant1=AJ169)*(TM_Participant2=G169),0)),"")</f>
        <v/>
      </c>
      <c r="AO169" s="389" t="str">
        <f t="shared" si="78"/>
        <v/>
      </c>
      <c r="AP169" s="389">
        <f t="shared" si="79"/>
        <v>2</v>
      </c>
      <c r="AQ169" s="389">
        <f t="shared" si="80"/>
        <v>0</v>
      </c>
      <c r="AR169" s="389">
        <f t="shared" si="81"/>
        <v>1</v>
      </c>
      <c r="AS169" s="453">
        <f t="shared" si="82"/>
        <v>3</v>
      </c>
      <c r="AT169" s="452">
        <f t="shared" si="83"/>
        <v>5</v>
      </c>
    </row>
    <row r="170" spans="1:46" ht="16" x14ac:dyDescent="0.2">
      <c r="A170" s="298"/>
      <c r="B170"/>
      <c r="D170" s="303" t="s">
        <v>54</v>
      </c>
      <c r="E170" s="396"/>
      <c r="F170" s="387">
        <v>1</v>
      </c>
      <c r="G170" s="397" t="s">
        <v>592</v>
      </c>
      <c r="H170" s="387" t="str">
        <f t="shared" si="58"/>
        <v>5-0-0</v>
      </c>
      <c r="I170" s="389">
        <f t="shared" si="59"/>
        <v>10</v>
      </c>
      <c r="J170" s="455" t="str">
        <f t="shared" si="84"/>
        <v/>
      </c>
      <c r="K170" s="455" t="str">
        <f t="shared" si="60"/>
        <v/>
      </c>
      <c r="L170" s="455" t="str">
        <f t="shared" si="85"/>
        <v/>
      </c>
      <c r="M170" s="389" t="str">
        <f>IFERROR(IF(AD170&lt;=VLOOKUP(D170,Tournaments!$A$1:$B$1772,2,FALSE),"TRUE","FALSE"),"")</f>
        <v>TRUE</v>
      </c>
      <c r="N170" s="389">
        <v>1</v>
      </c>
      <c r="O170" s="389">
        <f t="shared" si="61"/>
        <v>1</v>
      </c>
      <c r="Q170" s="389">
        <f t="shared" si="62"/>
        <v>5</v>
      </c>
      <c r="R170" s="389">
        <f t="shared" si="63"/>
        <v>0</v>
      </c>
      <c r="S170" s="389">
        <f t="shared" si="64"/>
        <v>0</v>
      </c>
      <c r="U170" s="389">
        <f t="shared" si="65"/>
        <v>1</v>
      </c>
      <c r="V170" s="389" t="b">
        <f t="shared" si="66"/>
        <v>0</v>
      </c>
      <c r="W170" s="389">
        <f t="shared" si="67"/>
        <v>-1</v>
      </c>
      <c r="X170" s="389">
        <f t="shared" si="68"/>
        <v>1</v>
      </c>
      <c r="Y170" s="389" t="b">
        <f t="shared" si="86"/>
        <v>0</v>
      </c>
      <c r="Z170" s="389">
        <f t="shared" si="69"/>
        <v>-1</v>
      </c>
      <c r="AA170" s="389">
        <f t="shared" si="70"/>
        <v>1</v>
      </c>
      <c r="AB170" s="389" t="b">
        <f t="shared" si="71"/>
        <v>0</v>
      </c>
      <c r="AC170" s="389">
        <f t="shared" si="72"/>
        <v>-1</v>
      </c>
      <c r="AD170" s="389">
        <f t="shared" si="73"/>
        <v>1</v>
      </c>
      <c r="AE170" s="389">
        <f t="shared" si="74"/>
        <v>1</v>
      </c>
      <c r="AG170" s="311" t="str">
        <f t="shared" si="75"/>
        <v>Ch D Male Basketball-</v>
      </c>
      <c r="AH170" s="453">
        <f t="shared" si="76"/>
        <v>1</v>
      </c>
      <c r="AI170" s="453">
        <f t="shared" si="77"/>
        <v>1</v>
      </c>
      <c r="AJ170" t="str">
        <f t="array" ref="AJ170">IF(AND(AI170&gt;1,G170&lt;&gt;""),INDEX(FS_teams,MATCH(1,(FS_Keys=AG170)*(FS_Points=I170)*(FS_teams&lt;&gt;G170),0)),"")</f>
        <v/>
      </c>
      <c r="AK170" s="390" t="str">
        <f t="array" ref="AK170">IF(AJ170&lt;&gt;"",INDEX(TM_Score1,MATCH(1,(TM_Events=D170)*(TM_Participant1=G170)*(TM_Participant2=AJ170),0)),"")</f>
        <v/>
      </c>
      <c r="AL170" s="390" t="str">
        <f t="array" ref="AL170">IF(AJ170&lt;&gt;"",INDEX(TM_Score1,MATCH(1,(TM_Events=D170)*(TM_Participant1=AJ170)*(TM_Participant2=G170),0)),"")</f>
        <v/>
      </c>
      <c r="AM170" s="389" t="str">
        <f t="array" ref="AM170">IF(ISNUMBER(AK170),INDEX(TM_Score2,MATCH(1,(TM_Events=D170)*(TM_Participant1=G170)*(TM_Participant2=AJ170),0)),"")</f>
        <v/>
      </c>
      <c r="AN170" s="389" t="str">
        <f t="array" ref="AN170">IF(ISNUMBER(AL170),INDEX(TM_Score2,MATCH(1,(TM_Events=D170)*(TM_Participant1=AJ170)*(TM_Participant2=G170),0)),"")</f>
        <v/>
      </c>
      <c r="AO170" s="389" t="str">
        <f t="shared" si="78"/>
        <v/>
      </c>
      <c r="AP170" s="389">
        <f t="shared" si="79"/>
        <v>5</v>
      </c>
      <c r="AQ170" s="389">
        <f t="shared" si="80"/>
        <v>0</v>
      </c>
      <c r="AR170" s="389">
        <f t="shared" si="81"/>
        <v>0</v>
      </c>
      <c r="AS170" s="453">
        <f t="shared" si="82"/>
        <v>68</v>
      </c>
      <c r="AT170" s="452">
        <f t="shared" si="83"/>
        <v>132</v>
      </c>
    </row>
    <row r="171" spans="1:46" ht="16" x14ac:dyDescent="0.2">
      <c r="A171" s="298"/>
      <c r="B171"/>
      <c r="D171" s="303" t="s">
        <v>54</v>
      </c>
      <c r="E171" s="396"/>
      <c r="F171" s="398">
        <v>1</v>
      </c>
      <c r="G171" s="397" t="s">
        <v>595</v>
      </c>
      <c r="H171" s="387" t="str">
        <f t="shared" si="58"/>
        <v>4-1-0</v>
      </c>
      <c r="I171" s="389">
        <f t="shared" si="59"/>
        <v>8</v>
      </c>
      <c r="J171" s="455" t="str">
        <f t="shared" si="84"/>
        <v/>
      </c>
      <c r="K171" s="455" t="str">
        <f t="shared" si="60"/>
        <v/>
      </c>
      <c r="L171" s="455" t="str">
        <f t="shared" si="85"/>
        <v/>
      </c>
      <c r="M171" s="389" t="str">
        <f>IFERROR(IF(AD171&lt;=VLOOKUP(D171,Tournaments!$A$1:$B$1772,2,FALSE),"TRUE","FALSE"),"")</f>
        <v>TRUE</v>
      </c>
      <c r="N171" s="389">
        <v>1</v>
      </c>
      <c r="O171" s="389">
        <f t="shared" si="61"/>
        <v>2</v>
      </c>
      <c r="Q171" s="389">
        <f t="shared" si="62"/>
        <v>4</v>
      </c>
      <c r="R171" s="389">
        <f t="shared" si="63"/>
        <v>1</v>
      </c>
      <c r="S171" s="389">
        <f t="shared" si="64"/>
        <v>0</v>
      </c>
      <c r="U171" s="389">
        <f t="shared" si="65"/>
        <v>2</v>
      </c>
      <c r="V171" s="389" t="b">
        <f t="shared" si="66"/>
        <v>0</v>
      </c>
      <c r="W171" s="389">
        <f t="shared" si="67"/>
        <v>-2</v>
      </c>
      <c r="X171" s="389">
        <f t="shared" si="68"/>
        <v>2</v>
      </c>
      <c r="Y171" s="389" t="b">
        <f t="shared" si="86"/>
        <v>0</v>
      </c>
      <c r="Z171" s="389">
        <f t="shared" si="69"/>
        <v>-2</v>
      </c>
      <c r="AA171" s="389">
        <f t="shared" si="70"/>
        <v>2</v>
      </c>
      <c r="AB171" s="389" t="b">
        <f t="shared" si="71"/>
        <v>0</v>
      </c>
      <c r="AC171" s="389">
        <f t="shared" si="72"/>
        <v>-2</v>
      </c>
      <c r="AD171" s="389">
        <f t="shared" si="73"/>
        <v>2</v>
      </c>
      <c r="AE171" s="389">
        <f t="shared" si="74"/>
        <v>1</v>
      </c>
      <c r="AG171" s="311" t="str">
        <f t="shared" si="75"/>
        <v>Ch D Male Basketball-</v>
      </c>
      <c r="AH171" s="453">
        <f t="shared" si="76"/>
        <v>2</v>
      </c>
      <c r="AI171" s="453">
        <f t="shared" si="77"/>
        <v>1</v>
      </c>
      <c r="AJ171" t="str">
        <f t="array" ref="AJ171">IF(AND(AI171&gt;1,G171&lt;&gt;""),INDEX(FS_teams,MATCH(1,(FS_Keys=AG171)*(FS_Points=I171)*(FS_teams&lt;&gt;G171),0)),"")</f>
        <v/>
      </c>
      <c r="AK171" s="390" t="str">
        <f t="array" ref="AK171">IF(AJ171&lt;&gt;"",INDEX(TM_Score1,MATCH(1,(TM_Events=D171)*(TM_Participant1=G171)*(TM_Participant2=AJ171),0)),"")</f>
        <v/>
      </c>
      <c r="AL171" s="390" t="str">
        <f t="array" ref="AL171">IF(AJ171&lt;&gt;"",INDEX(TM_Score1,MATCH(1,(TM_Events=D171)*(TM_Participant1=AJ171)*(TM_Participant2=G171),0)),"")</f>
        <v/>
      </c>
      <c r="AM171" s="389" t="str">
        <f t="array" ref="AM171">IF(ISNUMBER(AK171),INDEX(TM_Score2,MATCH(1,(TM_Events=D171)*(TM_Participant1=G171)*(TM_Participant2=AJ171),0)),"")</f>
        <v/>
      </c>
      <c r="AN171" s="389" t="str">
        <f t="array" ref="AN171">IF(ISNUMBER(AL171),INDEX(TM_Score2,MATCH(1,(TM_Events=D171)*(TM_Participant1=AJ171)*(TM_Participant2=G171),0)),"")</f>
        <v/>
      </c>
      <c r="AO171" s="389" t="str">
        <f t="shared" si="78"/>
        <v/>
      </c>
      <c r="AP171" s="389">
        <f t="shared" si="79"/>
        <v>4</v>
      </c>
      <c r="AQ171" s="389">
        <f t="shared" si="80"/>
        <v>0</v>
      </c>
      <c r="AR171" s="389">
        <f t="shared" si="81"/>
        <v>1</v>
      </c>
      <c r="AS171" s="453">
        <f t="shared" si="82"/>
        <v>35</v>
      </c>
      <c r="AT171" s="452">
        <f t="shared" si="83"/>
        <v>115</v>
      </c>
    </row>
    <row r="172" spans="1:46" ht="16" x14ac:dyDescent="0.2">
      <c r="A172" s="298"/>
      <c r="B172"/>
      <c r="D172" s="303" t="s">
        <v>54</v>
      </c>
      <c r="E172" s="396"/>
      <c r="F172" s="398">
        <v>1</v>
      </c>
      <c r="G172" s="397" t="s">
        <v>597</v>
      </c>
      <c r="H172" s="387" t="str">
        <f t="shared" si="58"/>
        <v>0-3-0</v>
      </c>
      <c r="I172" s="389">
        <f t="shared" si="59"/>
        <v>0</v>
      </c>
      <c r="J172" s="455">
        <f t="shared" si="84"/>
        <v>1</v>
      </c>
      <c r="K172" s="455">
        <f t="shared" si="60"/>
        <v>-38</v>
      </c>
      <c r="L172" s="455" t="str">
        <f t="shared" si="85"/>
        <v/>
      </c>
      <c r="M172" s="389" t="str">
        <f>IFERROR(IF(AD172&lt;=VLOOKUP(D172,Tournaments!$A$1:$B$1772,2,FALSE),"TRUE","FALSE"),"")</f>
        <v>FALSE</v>
      </c>
      <c r="N172" s="389">
        <v>1</v>
      </c>
      <c r="O172" s="389">
        <f t="shared" si="61"/>
        <v>10</v>
      </c>
      <c r="Q172" s="389">
        <f t="shared" si="62"/>
        <v>0</v>
      </c>
      <c r="R172" s="389">
        <f t="shared" si="63"/>
        <v>3</v>
      </c>
      <c r="S172" s="389">
        <f t="shared" si="64"/>
        <v>0</v>
      </c>
      <c r="U172" s="389">
        <f t="shared" si="65"/>
        <v>10</v>
      </c>
      <c r="V172" s="389">
        <f t="shared" si="66"/>
        <v>2.5000000000000001E-3</v>
      </c>
      <c r="W172" s="389">
        <f t="shared" si="67"/>
        <v>-9.9975000000000005</v>
      </c>
      <c r="X172" s="389">
        <f t="shared" si="68"/>
        <v>10</v>
      </c>
      <c r="Y172" s="389">
        <f t="shared" si="86"/>
        <v>8.9999999999999998E-4</v>
      </c>
      <c r="Z172" s="389">
        <f t="shared" si="69"/>
        <v>-9.9991000000000003</v>
      </c>
      <c r="AA172" s="389">
        <f t="shared" si="70"/>
        <v>10</v>
      </c>
      <c r="AB172" s="389" t="b">
        <f t="shared" si="71"/>
        <v>0</v>
      </c>
      <c r="AC172" s="389">
        <f t="shared" si="72"/>
        <v>-10</v>
      </c>
      <c r="AD172" s="389">
        <f t="shared" si="73"/>
        <v>10</v>
      </c>
      <c r="AE172" s="389">
        <f t="shared" si="74"/>
        <v>3</v>
      </c>
      <c r="AG172" s="311" t="str">
        <f t="shared" si="75"/>
        <v>Ch D Male Basketball-</v>
      </c>
      <c r="AH172" s="453">
        <f t="shared" si="76"/>
        <v>8</v>
      </c>
      <c r="AI172" s="453">
        <f t="shared" si="77"/>
        <v>3</v>
      </c>
      <c r="AJ172" t="str">
        <f t="array" ref="AJ172">IF(AND(AI172&gt;1,G172&lt;&gt;""),INDEX(FS_teams,MATCH(1,(FS_Keys=AG172)*(FS_Points=I172)*(FS_teams&lt;&gt;G172),0)),"")</f>
        <v>CHILD DM - ARG 2</v>
      </c>
      <c r="AK172" s="390" t="e">
        <f t="array" ref="AK172">IF(AJ172&lt;&gt;"",INDEX(TM_Score1,MATCH(1,(TM_Events=D172)*(TM_Participant1=G172)*(TM_Participant2=AJ172),0)),"")</f>
        <v>#N/A</v>
      </c>
      <c r="AL172" s="390" t="e">
        <f t="array" ref="AL172">IF(AJ172&lt;&gt;"",INDEX(TM_Score1,MATCH(1,(TM_Events=D172)*(TM_Participant1=AJ172)*(TM_Participant2=G172),0)),"")</f>
        <v>#N/A</v>
      </c>
      <c r="AM172" s="389" t="str">
        <f t="array" ref="AM172">IF(ISNUMBER(AK172),INDEX(TM_Score2,MATCH(1,(TM_Events=D172)*(TM_Participant1=G172)*(TM_Participant2=AJ172),0)),"")</f>
        <v/>
      </c>
      <c r="AN172" s="389" t="str">
        <f t="array" ref="AN172">IF(ISNUMBER(AL172),INDEX(TM_Score2,MATCH(1,(TM_Events=D172)*(TM_Participant1=AJ172)*(TM_Participant2=G172),0)),"")</f>
        <v/>
      </c>
      <c r="AO172" s="389" t="str">
        <f t="shared" si="78"/>
        <v>did not play</v>
      </c>
      <c r="AP172" s="389">
        <f t="shared" si="79"/>
        <v>0</v>
      </c>
      <c r="AQ172" s="389">
        <f t="shared" si="80"/>
        <v>0</v>
      </c>
      <c r="AR172" s="389">
        <f t="shared" si="81"/>
        <v>3</v>
      </c>
      <c r="AS172" s="453">
        <f t="shared" si="82"/>
        <v>-38</v>
      </c>
      <c r="AT172" s="452">
        <f t="shared" si="83"/>
        <v>18</v>
      </c>
    </row>
    <row r="173" spans="1:46" ht="16" x14ac:dyDescent="0.2">
      <c r="A173" s="298"/>
      <c r="B173"/>
      <c r="D173" s="303" t="s">
        <v>54</v>
      </c>
      <c r="E173" s="387"/>
      <c r="F173" s="387">
        <v>1</v>
      </c>
      <c r="G173" s="397" t="s">
        <v>598</v>
      </c>
      <c r="H173" s="387" t="str">
        <f t="shared" si="58"/>
        <v>0-3-0</v>
      </c>
      <c r="I173" s="389">
        <f t="shared" si="59"/>
        <v>0</v>
      </c>
      <c r="J173" s="455">
        <f t="shared" si="84"/>
        <v>1</v>
      </c>
      <c r="K173" s="455">
        <f t="shared" si="60"/>
        <v>-29</v>
      </c>
      <c r="L173" s="455" t="str">
        <f t="shared" si="85"/>
        <v/>
      </c>
      <c r="M173" s="389" t="str">
        <f>IFERROR(IF(AD173&lt;=VLOOKUP(D173,Tournaments!$A$1:$B$1772,2,FALSE),"TRUE","FALSE"),"")</f>
        <v>FALSE</v>
      </c>
      <c r="N173" s="389">
        <v>1</v>
      </c>
      <c r="O173" s="389">
        <f t="shared" si="61"/>
        <v>9</v>
      </c>
      <c r="Q173" s="389">
        <f t="shared" si="62"/>
        <v>0</v>
      </c>
      <c r="R173" s="389">
        <f t="shared" si="63"/>
        <v>3</v>
      </c>
      <c r="S173" s="389">
        <f t="shared" si="64"/>
        <v>0</v>
      </c>
      <c r="U173" s="389">
        <f t="shared" si="65"/>
        <v>10</v>
      </c>
      <c r="V173" s="389">
        <f t="shared" si="66"/>
        <v>2.5000000000000001E-3</v>
      </c>
      <c r="W173" s="389">
        <f t="shared" si="67"/>
        <v>-9.9975000000000005</v>
      </c>
      <c r="X173" s="389">
        <f t="shared" si="68"/>
        <v>10</v>
      </c>
      <c r="Y173" s="389">
        <f t="shared" si="86"/>
        <v>1.9E-3</v>
      </c>
      <c r="Z173" s="389">
        <f t="shared" si="69"/>
        <v>-9.9981000000000009</v>
      </c>
      <c r="AA173" s="389">
        <f t="shared" si="70"/>
        <v>9</v>
      </c>
      <c r="AB173" s="389" t="b">
        <f t="shared" si="71"/>
        <v>0</v>
      </c>
      <c r="AC173" s="389">
        <f t="shared" si="72"/>
        <v>-9</v>
      </c>
      <c r="AD173" s="389">
        <f t="shared" si="73"/>
        <v>9</v>
      </c>
      <c r="AE173" s="389">
        <f t="shared" si="74"/>
        <v>3</v>
      </c>
      <c r="AG173" s="311" t="str">
        <f t="shared" si="75"/>
        <v>Ch D Male Basketball-</v>
      </c>
      <c r="AH173" s="453">
        <f t="shared" si="76"/>
        <v>8</v>
      </c>
      <c r="AI173" s="453">
        <f t="shared" si="77"/>
        <v>3</v>
      </c>
      <c r="AJ173" t="str">
        <f t="array" ref="AJ173">IF(AND(AI173&gt;1,G173&lt;&gt;""),INDEX(FS_teams,MATCH(1,(FS_Keys=AG173)*(FS_Points=I173)*(FS_teams&lt;&gt;G173),0)),"")</f>
        <v>CHILD DM - VEN 1</v>
      </c>
      <c r="AK173" s="390" t="e">
        <f t="array" ref="AK173">IF(AJ173&lt;&gt;"",INDEX(TM_Score1,MATCH(1,(TM_Events=D173)*(TM_Participant1=G173)*(TM_Participant2=AJ173),0)),"")</f>
        <v>#N/A</v>
      </c>
      <c r="AL173" s="390" t="e">
        <f t="array" ref="AL173">IF(AJ173&lt;&gt;"",INDEX(TM_Score1,MATCH(1,(TM_Events=D173)*(TM_Participant1=AJ173)*(TM_Participant2=G173),0)),"")</f>
        <v>#N/A</v>
      </c>
      <c r="AM173" s="389" t="str">
        <f t="array" ref="AM173">IF(ISNUMBER(AK173),INDEX(TM_Score2,MATCH(1,(TM_Events=D173)*(TM_Participant1=G173)*(TM_Participant2=AJ173),0)),"")</f>
        <v/>
      </c>
      <c r="AN173" s="389" t="str">
        <f t="array" ref="AN173">IF(ISNUMBER(AL173),INDEX(TM_Score2,MATCH(1,(TM_Events=D173)*(TM_Participant1=AJ173)*(TM_Participant2=G173),0)),"")</f>
        <v/>
      </c>
      <c r="AO173" s="389" t="str">
        <f t="shared" si="78"/>
        <v>did not play</v>
      </c>
      <c r="AP173" s="389">
        <f t="shared" si="79"/>
        <v>0</v>
      </c>
      <c r="AQ173" s="389">
        <f t="shared" si="80"/>
        <v>0</v>
      </c>
      <c r="AR173" s="389">
        <f t="shared" si="81"/>
        <v>3</v>
      </c>
      <c r="AS173" s="453">
        <f t="shared" si="82"/>
        <v>-29</v>
      </c>
      <c r="AT173" s="452">
        <f t="shared" si="83"/>
        <v>22</v>
      </c>
    </row>
    <row r="174" spans="1:46" ht="16" x14ac:dyDescent="0.2">
      <c r="A174" s="298"/>
      <c r="B174"/>
      <c r="D174" s="303" t="s">
        <v>54</v>
      </c>
      <c r="E174" s="387"/>
      <c r="F174" s="387">
        <v>1</v>
      </c>
      <c r="G174" s="397" t="s">
        <v>599</v>
      </c>
      <c r="H174" s="387" t="str">
        <f t="shared" si="58"/>
        <v>2-2-0</v>
      </c>
      <c r="I174" s="389">
        <f t="shared" si="59"/>
        <v>4</v>
      </c>
      <c r="J174" s="455">
        <f t="shared" si="84"/>
        <v>1</v>
      </c>
      <c r="K174" s="455">
        <f t="shared" si="60"/>
        <v>5</v>
      </c>
      <c r="L174" s="455" t="str">
        <f t="shared" si="85"/>
        <v/>
      </c>
      <c r="M174" s="389" t="str">
        <f>IFERROR(IF(AD174&lt;=VLOOKUP(D174,Tournaments!$A$1:$B$1772,2,FALSE),"TRUE","FALSE"),"")</f>
        <v>TRUE</v>
      </c>
      <c r="N174" s="389">
        <v>1</v>
      </c>
      <c r="O174" s="389">
        <f t="shared" si="61"/>
        <v>3</v>
      </c>
      <c r="Q174" s="389">
        <f t="shared" si="62"/>
        <v>2</v>
      </c>
      <c r="R174" s="389">
        <f t="shared" si="63"/>
        <v>2</v>
      </c>
      <c r="S174" s="389">
        <f t="shared" si="64"/>
        <v>0</v>
      </c>
      <c r="U174" s="389">
        <f t="shared" si="65"/>
        <v>6</v>
      </c>
      <c r="V174" s="389">
        <f t="shared" si="66"/>
        <v>2.5000000000000001E-3</v>
      </c>
      <c r="W174" s="389">
        <f t="shared" si="67"/>
        <v>-5.9974999999999996</v>
      </c>
      <c r="X174" s="389">
        <f t="shared" si="68"/>
        <v>6</v>
      </c>
      <c r="Y174" s="389">
        <f t="shared" si="86"/>
        <v>7.3599999999999999E-2</v>
      </c>
      <c r="Z174" s="389">
        <f t="shared" si="69"/>
        <v>-5.9264000000000001</v>
      </c>
      <c r="AA174" s="389">
        <f t="shared" si="70"/>
        <v>3</v>
      </c>
      <c r="AB174" s="389" t="b">
        <f t="shared" si="71"/>
        <v>0</v>
      </c>
      <c r="AC174" s="389">
        <f t="shared" si="72"/>
        <v>-3</v>
      </c>
      <c r="AD174" s="389">
        <f t="shared" si="73"/>
        <v>3</v>
      </c>
      <c r="AE174" s="389">
        <f t="shared" si="74"/>
        <v>4</v>
      </c>
      <c r="AG174" s="311" t="str">
        <f t="shared" si="75"/>
        <v>Ch D Male Basketball-</v>
      </c>
      <c r="AH174" s="453">
        <f t="shared" si="76"/>
        <v>3</v>
      </c>
      <c r="AI174" s="453">
        <f t="shared" si="77"/>
        <v>4</v>
      </c>
      <c r="AJ174" t="str">
        <f t="array" ref="AJ174">IF(AND(AI174&gt;1,G174&lt;&gt;""),INDEX(FS_teams,MATCH(1,(FS_Keys=AG174)*(FS_Points=I174)*(FS_teams&lt;&gt;G174),0)),"")</f>
        <v>CHILD DM - VEN 2</v>
      </c>
      <c r="AK174" s="390" t="e">
        <f t="array" ref="AK174">IF(AJ174&lt;&gt;"",INDEX(TM_Score1,MATCH(1,(TM_Events=D174)*(TM_Participant1=G174)*(TM_Participant2=AJ174),0)),"")</f>
        <v>#N/A</v>
      </c>
      <c r="AL174" s="390" t="e">
        <f t="array" ref="AL174">IF(AJ174&lt;&gt;"",INDEX(TM_Score1,MATCH(1,(TM_Events=D174)*(TM_Participant1=AJ174)*(TM_Participant2=G174),0)),"")</f>
        <v>#N/A</v>
      </c>
      <c r="AM174" s="389" t="str">
        <f t="array" ref="AM174">IF(ISNUMBER(AK174),INDEX(TM_Score2,MATCH(1,(TM_Events=D174)*(TM_Participant1=G174)*(TM_Participant2=AJ174),0)),"")</f>
        <v/>
      </c>
      <c r="AN174" s="389" t="str">
        <f t="array" ref="AN174">IF(ISNUMBER(AL174),INDEX(TM_Score2,MATCH(1,(TM_Events=D174)*(TM_Participant1=AJ174)*(TM_Participant2=G174),0)),"")</f>
        <v/>
      </c>
      <c r="AO174" s="389" t="str">
        <f t="shared" si="78"/>
        <v>did not play</v>
      </c>
      <c r="AP174" s="389">
        <f t="shared" si="79"/>
        <v>2</v>
      </c>
      <c r="AQ174" s="389">
        <f t="shared" si="80"/>
        <v>0</v>
      </c>
      <c r="AR174" s="389">
        <f t="shared" si="81"/>
        <v>2</v>
      </c>
      <c r="AS174" s="453">
        <f t="shared" si="82"/>
        <v>5</v>
      </c>
      <c r="AT174" s="452">
        <f t="shared" si="83"/>
        <v>79</v>
      </c>
    </row>
    <row r="175" spans="1:46" ht="16" x14ac:dyDescent="0.2">
      <c r="A175" s="298"/>
      <c r="B175"/>
      <c r="D175" s="303" t="s">
        <v>54</v>
      </c>
      <c r="E175" s="396"/>
      <c r="F175" s="387">
        <v>1</v>
      </c>
      <c r="G175" s="397" t="s">
        <v>600</v>
      </c>
      <c r="H175" s="387" t="str">
        <f t="shared" si="58"/>
        <v>0-3-0</v>
      </c>
      <c r="I175" s="389">
        <f t="shared" si="59"/>
        <v>0</v>
      </c>
      <c r="J175" s="455">
        <f t="shared" si="84"/>
        <v>1</v>
      </c>
      <c r="K175" s="455">
        <f t="shared" si="60"/>
        <v>-14</v>
      </c>
      <c r="L175" s="455" t="str">
        <f t="shared" si="85"/>
        <v/>
      </c>
      <c r="M175" s="389" t="str">
        <f>IFERROR(IF(AD175&lt;=VLOOKUP(D175,Tournaments!$A$1:$B$1772,2,FALSE),"TRUE","FALSE"),"")</f>
        <v>FALSE</v>
      </c>
      <c r="N175" s="389">
        <v>1</v>
      </c>
      <c r="O175" s="389">
        <f t="shared" si="61"/>
        <v>8</v>
      </c>
      <c r="Q175" s="389">
        <f t="shared" si="62"/>
        <v>0</v>
      </c>
      <c r="R175" s="389">
        <f t="shared" si="63"/>
        <v>3</v>
      </c>
      <c r="S175" s="389">
        <f t="shared" si="64"/>
        <v>0</v>
      </c>
      <c r="U175" s="389">
        <f t="shared" si="65"/>
        <v>10</v>
      </c>
      <c r="V175" s="389">
        <f t="shared" si="66"/>
        <v>2.5000000000000001E-3</v>
      </c>
      <c r="W175" s="389">
        <f t="shared" si="67"/>
        <v>-9.9975000000000005</v>
      </c>
      <c r="X175" s="389">
        <f t="shared" si="68"/>
        <v>10</v>
      </c>
      <c r="Y175" s="389">
        <f t="shared" si="86"/>
        <v>3.0999999999999999E-3</v>
      </c>
      <c r="Z175" s="389">
        <f t="shared" si="69"/>
        <v>-9.9969000000000001</v>
      </c>
      <c r="AA175" s="389">
        <f t="shared" si="70"/>
        <v>8</v>
      </c>
      <c r="AB175" s="389" t="b">
        <f t="shared" si="71"/>
        <v>0</v>
      </c>
      <c r="AC175" s="389">
        <f t="shared" si="72"/>
        <v>-8</v>
      </c>
      <c r="AD175" s="389">
        <f t="shared" si="73"/>
        <v>8</v>
      </c>
      <c r="AE175" s="389">
        <f t="shared" si="74"/>
        <v>3</v>
      </c>
      <c r="AG175" s="311" t="str">
        <f t="shared" si="75"/>
        <v>Ch D Male Basketball-</v>
      </c>
      <c r="AH175" s="453">
        <f t="shared" si="76"/>
        <v>8</v>
      </c>
      <c r="AI175" s="453">
        <f t="shared" si="77"/>
        <v>3</v>
      </c>
      <c r="AJ175" t="str">
        <f t="array" ref="AJ175">IF(AND(AI175&gt;1,G175&lt;&gt;""),INDEX(FS_teams,MATCH(1,(FS_Keys=AG175)*(FS_Points=I175)*(FS_teams&lt;&gt;G175),0)),"")</f>
        <v>CHILD DM - VEN 1</v>
      </c>
      <c r="AK175" s="390" t="e">
        <f t="array" ref="AK175">IF(AJ175&lt;&gt;"",INDEX(TM_Score1,MATCH(1,(TM_Events=D175)*(TM_Participant1=G175)*(TM_Participant2=AJ175),0)),"")</f>
        <v>#N/A</v>
      </c>
      <c r="AL175" s="390" t="e">
        <f t="array" ref="AL175">IF(AJ175&lt;&gt;"",INDEX(TM_Score1,MATCH(1,(TM_Events=D175)*(TM_Participant1=AJ175)*(TM_Participant2=G175),0)),"")</f>
        <v>#N/A</v>
      </c>
      <c r="AM175" s="389" t="str">
        <f t="array" ref="AM175">IF(ISNUMBER(AK175),INDEX(TM_Score2,MATCH(1,(TM_Events=D175)*(TM_Participant1=G175)*(TM_Participant2=AJ175),0)),"")</f>
        <v/>
      </c>
      <c r="AN175" s="389" t="str">
        <f t="array" ref="AN175">IF(ISNUMBER(AL175),INDEX(TM_Score2,MATCH(1,(TM_Events=D175)*(TM_Participant1=AJ175)*(TM_Participant2=G175),0)),"")</f>
        <v/>
      </c>
      <c r="AO175" s="389" t="str">
        <f t="shared" si="78"/>
        <v>did not play</v>
      </c>
      <c r="AP175" s="389">
        <f t="shared" si="79"/>
        <v>0</v>
      </c>
      <c r="AQ175" s="389">
        <f t="shared" si="80"/>
        <v>0</v>
      </c>
      <c r="AR175" s="389">
        <f t="shared" si="81"/>
        <v>3</v>
      </c>
      <c r="AS175" s="453">
        <f t="shared" si="82"/>
        <v>-14</v>
      </c>
      <c r="AT175" s="452">
        <f t="shared" si="83"/>
        <v>37</v>
      </c>
    </row>
    <row r="176" spans="1:46" ht="16" x14ac:dyDescent="0.2">
      <c r="A176" s="298"/>
      <c r="B176"/>
      <c r="D176" s="303" t="s">
        <v>54</v>
      </c>
      <c r="E176" s="396"/>
      <c r="F176" s="387">
        <v>1</v>
      </c>
      <c r="G176" s="397" t="s">
        <v>602</v>
      </c>
      <c r="H176" s="387" t="str">
        <f t="shared" si="58"/>
        <v>2-1-0</v>
      </c>
      <c r="I176" s="389">
        <f t="shared" si="59"/>
        <v>4</v>
      </c>
      <c r="J176" s="455">
        <f t="shared" si="84"/>
        <v>1</v>
      </c>
      <c r="K176" s="455">
        <f t="shared" si="60"/>
        <v>2</v>
      </c>
      <c r="L176" s="455" t="str">
        <f t="shared" si="85"/>
        <v/>
      </c>
      <c r="M176" s="389" t="str">
        <f>IFERROR(IF(AD176&lt;=VLOOKUP(D176,Tournaments!$A$1:$B$1772,2,FALSE),"TRUE","FALSE"),"")</f>
        <v>FALSE</v>
      </c>
      <c r="N176" s="389">
        <v>1</v>
      </c>
      <c r="O176" s="389">
        <f t="shared" si="61"/>
        <v>5</v>
      </c>
      <c r="Q176" s="389">
        <f t="shared" si="62"/>
        <v>2</v>
      </c>
      <c r="R176" s="389">
        <f t="shared" si="63"/>
        <v>1</v>
      </c>
      <c r="S176" s="389">
        <f t="shared" si="64"/>
        <v>0</v>
      </c>
      <c r="U176" s="389">
        <f t="shared" si="65"/>
        <v>6</v>
      </c>
      <c r="V176" s="389">
        <f t="shared" si="66"/>
        <v>2.5000000000000001E-3</v>
      </c>
      <c r="W176" s="389">
        <f t="shared" si="67"/>
        <v>-5.9974999999999996</v>
      </c>
      <c r="X176" s="389">
        <f t="shared" si="68"/>
        <v>6</v>
      </c>
      <c r="Y176" s="389">
        <f t="shared" si="86"/>
        <v>7.1499999999999994E-2</v>
      </c>
      <c r="Z176" s="389">
        <f t="shared" si="69"/>
        <v>-5.9284999999999997</v>
      </c>
      <c r="AA176" s="389">
        <f t="shared" si="70"/>
        <v>5</v>
      </c>
      <c r="AB176" s="389" t="b">
        <f t="shared" si="71"/>
        <v>0</v>
      </c>
      <c r="AC176" s="389">
        <f t="shared" si="72"/>
        <v>-5</v>
      </c>
      <c r="AD176" s="389">
        <f t="shared" si="73"/>
        <v>5</v>
      </c>
      <c r="AE176" s="389">
        <f t="shared" si="74"/>
        <v>4</v>
      </c>
      <c r="AG176" s="311" t="str">
        <f t="shared" si="75"/>
        <v>Ch D Male Basketball-</v>
      </c>
      <c r="AH176" s="453">
        <f t="shared" si="76"/>
        <v>3</v>
      </c>
      <c r="AI176" s="453">
        <f t="shared" si="77"/>
        <v>4</v>
      </c>
      <c r="AJ176" t="str">
        <f t="array" ref="AJ176">IF(AND(AI176&gt;1,G176&lt;&gt;""),INDEX(FS_teams,MATCH(1,(FS_Keys=AG176)*(FS_Points=I176)*(FS_teams&lt;&gt;G176),0)),"")</f>
        <v>CHILD DM - COL 2</v>
      </c>
      <c r="AK176" s="390" t="e">
        <f t="array" ref="AK176">IF(AJ176&lt;&gt;"",INDEX(TM_Score1,MATCH(1,(TM_Events=D176)*(TM_Participant1=G176)*(TM_Participant2=AJ176),0)),"")</f>
        <v>#N/A</v>
      </c>
      <c r="AL176" s="390" t="e">
        <f t="array" ref="AL176">IF(AJ176&lt;&gt;"",INDEX(TM_Score1,MATCH(1,(TM_Events=D176)*(TM_Participant1=AJ176)*(TM_Participant2=G176),0)),"")</f>
        <v>#N/A</v>
      </c>
      <c r="AM176" s="389" t="str">
        <f t="array" ref="AM176">IF(ISNUMBER(AK176),INDEX(TM_Score2,MATCH(1,(TM_Events=D176)*(TM_Participant1=G176)*(TM_Participant2=AJ176),0)),"")</f>
        <v/>
      </c>
      <c r="AN176" s="389" t="str">
        <f t="array" ref="AN176">IF(ISNUMBER(AL176),INDEX(TM_Score2,MATCH(1,(TM_Events=D176)*(TM_Participant1=AJ176)*(TM_Participant2=G176),0)),"")</f>
        <v/>
      </c>
      <c r="AO176" s="389" t="str">
        <f t="shared" si="78"/>
        <v>did not play</v>
      </c>
      <c r="AP176" s="389">
        <f t="shared" si="79"/>
        <v>2</v>
      </c>
      <c r="AQ176" s="389">
        <f t="shared" si="80"/>
        <v>0</v>
      </c>
      <c r="AR176" s="389">
        <f t="shared" si="81"/>
        <v>1</v>
      </c>
      <c r="AS176" s="453">
        <f t="shared" si="82"/>
        <v>2</v>
      </c>
      <c r="AT176" s="452">
        <f t="shared" si="83"/>
        <v>44</v>
      </c>
    </row>
    <row r="177" spans="1:46" ht="16" x14ac:dyDescent="0.2">
      <c r="A177" s="298"/>
      <c r="B177"/>
      <c r="D177" s="303" t="s">
        <v>54</v>
      </c>
      <c r="E177" s="396"/>
      <c r="F177" s="387">
        <v>1</v>
      </c>
      <c r="G177" s="397" t="s">
        <v>601</v>
      </c>
      <c r="H177" s="387" t="str">
        <f t="shared" si="58"/>
        <v>1-2-0</v>
      </c>
      <c r="I177" s="389">
        <f t="shared" si="59"/>
        <v>2</v>
      </c>
      <c r="J177" s="455" t="str">
        <f t="shared" si="84"/>
        <v/>
      </c>
      <c r="K177" s="455" t="str">
        <f t="shared" si="60"/>
        <v/>
      </c>
      <c r="L177" s="455" t="str">
        <f t="shared" si="85"/>
        <v/>
      </c>
      <c r="M177" s="389" t="str">
        <f>IFERROR(IF(AD177&lt;=VLOOKUP(D177,Tournaments!$A$1:$B$1772,2,FALSE),"TRUE","FALSE"),"")</f>
        <v>FALSE</v>
      </c>
      <c r="N177" s="389">
        <v>1</v>
      </c>
      <c r="O177" s="389">
        <f t="shared" si="61"/>
        <v>7</v>
      </c>
      <c r="Q177" s="389">
        <f t="shared" si="62"/>
        <v>1</v>
      </c>
      <c r="R177" s="389">
        <f t="shared" si="63"/>
        <v>2</v>
      </c>
      <c r="S177" s="389">
        <f t="shared" si="64"/>
        <v>0</v>
      </c>
      <c r="U177" s="389">
        <f t="shared" si="65"/>
        <v>7</v>
      </c>
      <c r="V177" s="389" t="b">
        <f t="shared" si="66"/>
        <v>0</v>
      </c>
      <c r="W177" s="389">
        <f t="shared" si="67"/>
        <v>-7</v>
      </c>
      <c r="X177" s="389">
        <f t="shared" si="68"/>
        <v>7</v>
      </c>
      <c r="Y177" s="389" t="b">
        <f t="shared" si="86"/>
        <v>0</v>
      </c>
      <c r="Z177" s="389">
        <f t="shared" si="69"/>
        <v>-7</v>
      </c>
      <c r="AA177" s="389">
        <f t="shared" si="70"/>
        <v>7</v>
      </c>
      <c r="AB177" s="389" t="b">
        <f t="shared" si="71"/>
        <v>0</v>
      </c>
      <c r="AC177" s="389">
        <f t="shared" si="72"/>
        <v>-7</v>
      </c>
      <c r="AD177" s="389">
        <f t="shared" si="73"/>
        <v>7</v>
      </c>
      <c r="AE177" s="389">
        <f t="shared" si="74"/>
        <v>1</v>
      </c>
      <c r="AG177" s="311" t="str">
        <f t="shared" si="75"/>
        <v>Ch D Male Basketball-</v>
      </c>
      <c r="AH177" s="453">
        <f t="shared" si="76"/>
        <v>7</v>
      </c>
      <c r="AI177" s="453">
        <f t="shared" si="77"/>
        <v>1</v>
      </c>
      <c r="AJ177" t="str">
        <f t="array" ref="AJ177">IF(AND(AI177&gt;1,G177&lt;&gt;""),INDEX(FS_teams,MATCH(1,(FS_Keys=AG177)*(FS_Points=I177)*(FS_teams&lt;&gt;G177),0)),"")</f>
        <v/>
      </c>
      <c r="AK177" s="390" t="str">
        <f t="array" ref="AK177">IF(AJ177&lt;&gt;"",INDEX(TM_Score1,MATCH(1,(TM_Events=D177)*(TM_Participant1=G177)*(TM_Participant2=AJ177),0)),"")</f>
        <v/>
      </c>
      <c r="AL177" s="390" t="str">
        <f t="array" ref="AL177">IF(AJ177&lt;&gt;"",INDEX(TM_Score1,MATCH(1,(TM_Events=D177)*(TM_Participant1=AJ177)*(TM_Participant2=G177),0)),"")</f>
        <v/>
      </c>
      <c r="AM177" s="389" t="str">
        <f t="array" ref="AM177">IF(ISNUMBER(AK177),INDEX(TM_Score2,MATCH(1,(TM_Events=D177)*(TM_Participant1=G177)*(TM_Participant2=AJ177),0)),"")</f>
        <v/>
      </c>
      <c r="AN177" s="389" t="str">
        <f t="array" ref="AN177">IF(ISNUMBER(AL177),INDEX(TM_Score2,MATCH(1,(TM_Events=D177)*(TM_Participant1=AJ177)*(TM_Participant2=G177),0)),"")</f>
        <v/>
      </c>
      <c r="AO177" s="389" t="str">
        <f t="shared" si="78"/>
        <v/>
      </c>
      <c r="AP177" s="389">
        <f t="shared" si="79"/>
        <v>1</v>
      </c>
      <c r="AQ177" s="389">
        <f t="shared" si="80"/>
        <v>0</v>
      </c>
      <c r="AR177" s="389">
        <f t="shared" si="81"/>
        <v>2</v>
      </c>
      <c r="AS177" s="453">
        <f t="shared" si="82"/>
        <v>-25</v>
      </c>
      <c r="AT177" s="452">
        <f t="shared" si="83"/>
        <v>29</v>
      </c>
    </row>
    <row r="178" spans="1:46" ht="16" x14ac:dyDescent="0.2">
      <c r="A178" s="298"/>
      <c r="B178"/>
      <c r="D178" s="303" t="s">
        <v>54</v>
      </c>
      <c r="E178" s="396"/>
      <c r="F178" s="387">
        <v>1</v>
      </c>
      <c r="G178" s="397" t="s">
        <v>593</v>
      </c>
      <c r="H178" s="387" t="str">
        <f t="shared" si="58"/>
        <v>2-2-0</v>
      </c>
      <c r="I178" s="389">
        <f t="shared" si="59"/>
        <v>4</v>
      </c>
      <c r="J178" s="455">
        <f t="shared" si="84"/>
        <v>1</v>
      </c>
      <c r="K178" s="455">
        <f t="shared" si="60"/>
        <v>-8</v>
      </c>
      <c r="L178" s="455" t="str">
        <f t="shared" si="85"/>
        <v/>
      </c>
      <c r="M178" s="389" t="str">
        <f>IFERROR(IF(AD178&lt;=VLOOKUP(D178,Tournaments!$A$1:$B$1772,2,FALSE),"TRUE","FALSE"),"")</f>
        <v>FALSE</v>
      </c>
      <c r="N178" s="389">
        <v>1</v>
      </c>
      <c r="O178" s="389">
        <f t="shared" si="61"/>
        <v>6</v>
      </c>
      <c r="Q178" s="389">
        <f t="shared" si="62"/>
        <v>2</v>
      </c>
      <c r="R178" s="389">
        <f t="shared" si="63"/>
        <v>2</v>
      </c>
      <c r="S178" s="389">
        <f t="shared" si="64"/>
        <v>0</v>
      </c>
      <c r="U178" s="389">
        <f t="shared" si="65"/>
        <v>6</v>
      </c>
      <c r="V178" s="389">
        <f t="shared" si="66"/>
        <v>2.5000000000000001E-3</v>
      </c>
      <c r="W178" s="389">
        <f t="shared" si="67"/>
        <v>-5.9974999999999996</v>
      </c>
      <c r="X178" s="389">
        <f t="shared" si="68"/>
        <v>6</v>
      </c>
      <c r="Y178" s="389">
        <f t="shared" si="86"/>
        <v>4.4999999999999997E-3</v>
      </c>
      <c r="Z178" s="389">
        <f t="shared" si="69"/>
        <v>-5.9954999999999998</v>
      </c>
      <c r="AA178" s="389">
        <f t="shared" si="70"/>
        <v>6</v>
      </c>
      <c r="AB178" s="389" t="b">
        <f t="shared" si="71"/>
        <v>0</v>
      </c>
      <c r="AC178" s="389">
        <f t="shared" si="72"/>
        <v>-6</v>
      </c>
      <c r="AD178" s="389">
        <f t="shared" si="73"/>
        <v>6</v>
      </c>
      <c r="AE178" s="389">
        <f t="shared" si="74"/>
        <v>4</v>
      </c>
      <c r="AG178" s="311" t="str">
        <f t="shared" si="75"/>
        <v>Ch D Male Basketball-</v>
      </c>
      <c r="AH178" s="453">
        <f t="shared" si="76"/>
        <v>3</v>
      </c>
      <c r="AI178" s="453">
        <f t="shared" si="77"/>
        <v>4</v>
      </c>
      <c r="AJ178" t="str">
        <f t="array" ref="AJ178">IF(AND(AI178&gt;1,G178&lt;&gt;""),INDEX(FS_teams,MATCH(1,(FS_Keys=AG178)*(FS_Points=I178)*(FS_teams&lt;&gt;G178),0)),"")</f>
        <v>CHILD DM - COL 2</v>
      </c>
      <c r="AK178" s="390" t="e">
        <f t="array" ref="AK178">IF(AJ178&lt;&gt;"",INDEX(TM_Score1,MATCH(1,(TM_Events=D178)*(TM_Participant1=G178)*(TM_Participant2=AJ178),0)),"")</f>
        <v>#N/A</v>
      </c>
      <c r="AL178" s="390" t="e">
        <f t="array" ref="AL178">IF(AJ178&lt;&gt;"",INDEX(TM_Score1,MATCH(1,(TM_Events=D178)*(TM_Participant1=AJ178)*(TM_Participant2=G178),0)),"")</f>
        <v>#N/A</v>
      </c>
      <c r="AM178" s="389" t="str">
        <f t="array" ref="AM178">IF(ISNUMBER(AK178),INDEX(TM_Score2,MATCH(1,(TM_Events=D178)*(TM_Participant1=G178)*(TM_Participant2=AJ178),0)),"")</f>
        <v/>
      </c>
      <c r="AN178" s="389" t="str">
        <f t="array" ref="AN178">IF(ISNUMBER(AL178),INDEX(TM_Score2,MATCH(1,(TM_Events=D178)*(TM_Participant1=AJ178)*(TM_Participant2=G178),0)),"")</f>
        <v/>
      </c>
      <c r="AO178" s="389" t="str">
        <f t="shared" si="78"/>
        <v>did not play</v>
      </c>
      <c r="AP178" s="389">
        <f t="shared" si="79"/>
        <v>2</v>
      </c>
      <c r="AQ178" s="389">
        <f t="shared" si="80"/>
        <v>0</v>
      </c>
      <c r="AR178" s="389">
        <f t="shared" si="81"/>
        <v>2</v>
      </c>
      <c r="AS178" s="453">
        <f t="shared" si="82"/>
        <v>-8</v>
      </c>
      <c r="AT178" s="452">
        <f t="shared" si="83"/>
        <v>49</v>
      </c>
    </row>
    <row r="179" spans="1:46" ht="16" x14ac:dyDescent="0.2">
      <c r="A179" s="298"/>
      <c r="B179"/>
      <c r="D179" s="303" t="s">
        <v>54</v>
      </c>
      <c r="E179" s="396"/>
      <c r="F179" s="387">
        <v>1</v>
      </c>
      <c r="G179" s="397" t="s">
        <v>594</v>
      </c>
      <c r="H179" s="387" t="str">
        <f t="shared" si="58"/>
        <v>2-1-0</v>
      </c>
      <c r="I179" s="389">
        <f t="shared" si="59"/>
        <v>4</v>
      </c>
      <c r="J179" s="455">
        <f t="shared" si="84"/>
        <v>1</v>
      </c>
      <c r="K179" s="455">
        <f t="shared" si="60"/>
        <v>4</v>
      </c>
      <c r="L179" s="455" t="str">
        <f t="shared" si="85"/>
        <v/>
      </c>
      <c r="M179" s="389" t="str">
        <f>IFERROR(IF(AD179&lt;=VLOOKUP(D179,Tournaments!$A$1:$B$1772,2,FALSE),"TRUE","FALSE"),"")</f>
        <v>TRUE</v>
      </c>
      <c r="N179" s="389">
        <v>1</v>
      </c>
      <c r="O179" s="389">
        <f t="shared" si="61"/>
        <v>4</v>
      </c>
      <c r="Q179" s="389">
        <f t="shared" si="62"/>
        <v>2</v>
      </c>
      <c r="R179" s="389">
        <f t="shared" si="63"/>
        <v>1</v>
      </c>
      <c r="S179" s="389">
        <f t="shared" si="64"/>
        <v>0</v>
      </c>
      <c r="U179" s="389">
        <f t="shared" si="65"/>
        <v>6</v>
      </c>
      <c r="V179" s="389">
        <f t="shared" si="66"/>
        <v>2.5000000000000001E-3</v>
      </c>
      <c r="W179" s="389">
        <f t="shared" si="67"/>
        <v>-5.9974999999999996</v>
      </c>
      <c r="X179" s="389">
        <f t="shared" si="68"/>
        <v>6</v>
      </c>
      <c r="Y179" s="389">
        <f t="shared" si="86"/>
        <v>7.2900000000000006E-2</v>
      </c>
      <c r="Z179" s="389">
        <f t="shared" si="69"/>
        <v>-5.9271000000000003</v>
      </c>
      <c r="AA179" s="389">
        <f t="shared" si="70"/>
        <v>4</v>
      </c>
      <c r="AB179" s="389" t="b">
        <f t="shared" si="71"/>
        <v>0</v>
      </c>
      <c r="AC179" s="389">
        <f t="shared" si="72"/>
        <v>-4</v>
      </c>
      <c r="AD179" s="389">
        <f t="shared" si="73"/>
        <v>4</v>
      </c>
      <c r="AE179" s="389">
        <f t="shared" si="74"/>
        <v>4</v>
      </c>
      <c r="AG179" s="311" t="str">
        <f t="shared" si="75"/>
        <v>Ch D Male Basketball-</v>
      </c>
      <c r="AH179" s="453">
        <f t="shared" si="76"/>
        <v>3</v>
      </c>
      <c r="AI179" s="453">
        <f t="shared" si="77"/>
        <v>4</v>
      </c>
      <c r="AJ179" t="str">
        <f t="array" ref="AJ179">IF(AND(AI179&gt;1,G179&lt;&gt;""),INDEX(FS_teams,MATCH(1,(FS_Keys=AG179)*(FS_Points=I179)*(FS_teams&lt;&gt;G179),0)),"")</f>
        <v>CHILD DM - COL 2</v>
      </c>
      <c r="AK179" s="390" t="e">
        <f t="array" ref="AK179">IF(AJ179&lt;&gt;"",INDEX(TM_Score1,MATCH(1,(TM_Events=D179)*(TM_Participant1=G179)*(TM_Participant2=AJ179),0)),"")</f>
        <v>#N/A</v>
      </c>
      <c r="AL179" s="390">
        <f t="array" ref="AL179">IF(AJ179&lt;&gt;"",INDEX(TM_Score1,MATCH(1,(TM_Events=D179)*(TM_Participant1=AJ179)*(TM_Participant2=G179),0)),"")</f>
        <v>25</v>
      </c>
      <c r="AM179" s="389" t="str">
        <f t="array" ref="AM179">IF(ISNUMBER(AK179),INDEX(TM_Score2,MATCH(1,(TM_Events=D179)*(TM_Participant1=G179)*(TM_Participant2=AJ179),0)),"")</f>
        <v/>
      </c>
      <c r="AN179" s="389">
        <f t="array" ref="AN179">IF(ISNUMBER(AL179),INDEX(TM_Score2,MATCH(1,(TM_Events=D179)*(TM_Participant1=AJ179)*(TM_Participant2=G179),0)),"")</f>
        <v>26</v>
      </c>
      <c r="AO179" s="389" t="str">
        <f t="shared" si="78"/>
        <v>Win</v>
      </c>
      <c r="AP179" s="389">
        <f t="shared" si="79"/>
        <v>2</v>
      </c>
      <c r="AQ179" s="389">
        <f t="shared" si="80"/>
        <v>0</v>
      </c>
      <c r="AR179" s="389">
        <f t="shared" si="81"/>
        <v>1</v>
      </c>
      <c r="AS179" s="453">
        <f t="shared" si="82"/>
        <v>4</v>
      </c>
      <c r="AT179" s="452">
        <f t="shared" si="83"/>
        <v>48</v>
      </c>
    </row>
    <row r="180" spans="1:46" ht="16" x14ac:dyDescent="0.2">
      <c r="A180" s="298"/>
      <c r="B180"/>
      <c r="D180" s="303" t="s">
        <v>55</v>
      </c>
      <c r="E180" s="396"/>
      <c r="F180" s="398">
        <v>1</v>
      </c>
      <c r="G180" s="397" t="s">
        <v>595</v>
      </c>
      <c r="H180" s="387" t="str">
        <f t="shared" si="58"/>
        <v>1-2-0</v>
      </c>
      <c r="I180" s="389">
        <f t="shared" si="59"/>
        <v>2</v>
      </c>
      <c r="J180" s="455">
        <f t="shared" si="84"/>
        <v>1</v>
      </c>
      <c r="K180" s="455">
        <f t="shared" si="60"/>
        <v>9</v>
      </c>
      <c r="L180" s="455" t="str">
        <f t="shared" si="85"/>
        <v/>
      </c>
      <c r="M180" s="389" t="str">
        <f>IFERROR(IF(AD180&lt;=VLOOKUP(D180,Tournaments!$A$1:$B$1772,2,FALSE),"TRUE","FALSE"),"")</f>
        <v>FALSE</v>
      </c>
      <c r="N180" s="389">
        <v>1</v>
      </c>
      <c r="O180" s="389">
        <f t="shared" si="61"/>
        <v>6</v>
      </c>
      <c r="Q180" s="389">
        <f t="shared" si="62"/>
        <v>1</v>
      </c>
      <c r="R180" s="389">
        <f t="shared" si="63"/>
        <v>2</v>
      </c>
      <c r="S180" s="389">
        <f t="shared" si="64"/>
        <v>0</v>
      </c>
      <c r="U180" s="389">
        <f t="shared" si="65"/>
        <v>9</v>
      </c>
      <c r="V180" s="389">
        <f t="shared" si="66"/>
        <v>2.5000000000000001E-3</v>
      </c>
      <c r="W180" s="389">
        <f t="shared" si="67"/>
        <v>-8.9975000000000005</v>
      </c>
      <c r="X180" s="389">
        <f t="shared" si="68"/>
        <v>9</v>
      </c>
      <c r="Y180" s="389">
        <f t="shared" si="86"/>
        <v>7.4700000000000003E-2</v>
      </c>
      <c r="Z180" s="389">
        <f t="shared" si="69"/>
        <v>-8.9253</v>
      </c>
      <c r="AA180" s="389">
        <f t="shared" si="70"/>
        <v>6</v>
      </c>
      <c r="AB180" s="389" t="b">
        <f t="shared" si="71"/>
        <v>0</v>
      </c>
      <c r="AC180" s="389">
        <f t="shared" si="72"/>
        <v>-6</v>
      </c>
      <c r="AD180" s="389">
        <f t="shared" si="73"/>
        <v>6</v>
      </c>
      <c r="AE180" s="389">
        <f t="shared" si="74"/>
        <v>4</v>
      </c>
      <c r="AG180" s="311" t="str">
        <f t="shared" si="75"/>
        <v>Ch D Male Flag Football-</v>
      </c>
      <c r="AH180" s="453">
        <f t="shared" si="76"/>
        <v>6</v>
      </c>
      <c r="AI180" s="453">
        <f t="shared" si="77"/>
        <v>4</v>
      </c>
      <c r="AJ180" t="str">
        <f t="array" ref="AJ180">IF(AND(AI180&gt;1,G180&lt;&gt;""),INDEX(FS_teams,MATCH(1,(FS_Keys=AG180)*(FS_Points=I180)*(FS_teams&lt;&gt;G180),0)),"")</f>
        <v>CHILD DM - ARG 2</v>
      </c>
      <c r="AK180" s="390" t="e">
        <f t="array" ref="AK180">IF(AJ180&lt;&gt;"",INDEX(TM_Score1,MATCH(1,(TM_Events=D180)*(TM_Participant1=G180)*(TM_Participant2=AJ180),0)),"")</f>
        <v>#N/A</v>
      </c>
      <c r="AL180" s="390" t="e">
        <f t="array" ref="AL180">IF(AJ180&lt;&gt;"",INDEX(TM_Score1,MATCH(1,(TM_Events=D180)*(TM_Participant1=AJ180)*(TM_Participant2=G180),0)),"")</f>
        <v>#N/A</v>
      </c>
      <c r="AM180" s="389" t="str">
        <f t="array" ref="AM180">IF(ISNUMBER(AK180),INDEX(TM_Score2,MATCH(1,(TM_Events=D180)*(TM_Participant1=G180)*(TM_Participant2=AJ180),0)),"")</f>
        <v/>
      </c>
      <c r="AN180" s="389" t="str">
        <f t="array" ref="AN180">IF(ISNUMBER(AL180),INDEX(TM_Score2,MATCH(1,(TM_Events=D180)*(TM_Participant1=AJ180)*(TM_Participant2=G180),0)),"")</f>
        <v/>
      </c>
      <c r="AO180" s="389" t="str">
        <f t="shared" si="78"/>
        <v>did not play</v>
      </c>
      <c r="AP180" s="389">
        <f t="shared" si="79"/>
        <v>1</v>
      </c>
      <c r="AQ180" s="389">
        <f t="shared" si="80"/>
        <v>0</v>
      </c>
      <c r="AR180" s="389">
        <f t="shared" si="81"/>
        <v>2</v>
      </c>
      <c r="AS180" s="453">
        <f t="shared" si="82"/>
        <v>9</v>
      </c>
      <c r="AT180" s="452">
        <f t="shared" si="83"/>
        <v>47</v>
      </c>
    </row>
    <row r="181" spans="1:46" ht="16" x14ac:dyDescent="0.2">
      <c r="A181" s="298"/>
      <c r="B181"/>
      <c r="D181" s="303" t="s">
        <v>55</v>
      </c>
      <c r="E181" s="396"/>
      <c r="F181" s="398">
        <v>1</v>
      </c>
      <c r="G181" s="397" t="s">
        <v>598</v>
      </c>
      <c r="H181" s="387" t="str">
        <f t="shared" si="58"/>
        <v>1-2-0</v>
      </c>
      <c r="I181" s="389">
        <f t="shared" si="59"/>
        <v>2</v>
      </c>
      <c r="J181" s="455">
        <f t="shared" si="84"/>
        <v>1</v>
      </c>
      <c r="K181" s="455">
        <f t="shared" si="60"/>
        <v>-23</v>
      </c>
      <c r="L181" s="455" t="str">
        <f t="shared" si="85"/>
        <v/>
      </c>
      <c r="M181" s="389" t="str">
        <f>IFERROR(IF(AD181&lt;=VLOOKUP(D181,Tournaments!$A$1:$B$1772,2,FALSE),"TRUE","FALSE"),"")</f>
        <v>FALSE</v>
      </c>
      <c r="N181" s="389">
        <v>1</v>
      </c>
      <c r="O181" s="389">
        <f t="shared" si="61"/>
        <v>8</v>
      </c>
      <c r="Q181" s="389">
        <f t="shared" si="62"/>
        <v>1</v>
      </c>
      <c r="R181" s="389">
        <f t="shared" si="63"/>
        <v>2</v>
      </c>
      <c r="S181" s="389">
        <f t="shared" si="64"/>
        <v>0</v>
      </c>
      <c r="U181" s="389">
        <f t="shared" si="65"/>
        <v>9</v>
      </c>
      <c r="V181" s="389">
        <f t="shared" si="66"/>
        <v>2.5000000000000001E-3</v>
      </c>
      <c r="W181" s="389">
        <f t="shared" si="67"/>
        <v>-8.9975000000000005</v>
      </c>
      <c r="X181" s="389">
        <f t="shared" si="68"/>
        <v>9</v>
      </c>
      <c r="Y181" s="389">
        <f t="shared" si="86"/>
        <v>2.0999999999999999E-3</v>
      </c>
      <c r="Z181" s="389">
        <f t="shared" si="69"/>
        <v>-8.9978999999999996</v>
      </c>
      <c r="AA181" s="389">
        <f t="shared" si="70"/>
        <v>8</v>
      </c>
      <c r="AB181" s="389" t="b">
        <f t="shared" si="71"/>
        <v>0</v>
      </c>
      <c r="AC181" s="389">
        <f t="shared" si="72"/>
        <v>-8</v>
      </c>
      <c r="AD181" s="389">
        <f t="shared" si="73"/>
        <v>8</v>
      </c>
      <c r="AE181" s="389">
        <f t="shared" si="74"/>
        <v>4</v>
      </c>
      <c r="AG181" s="311" t="str">
        <f t="shared" si="75"/>
        <v>Ch D Male Flag Football-</v>
      </c>
      <c r="AH181" s="453">
        <f t="shared" si="76"/>
        <v>6</v>
      </c>
      <c r="AI181" s="453">
        <f t="shared" si="77"/>
        <v>4</v>
      </c>
      <c r="AJ181" t="str">
        <f t="array" ref="AJ181">IF(AND(AI181&gt;1,G181&lt;&gt;""),INDEX(FS_teams,MATCH(1,(FS_Keys=AG181)*(FS_Points=I181)*(FS_teams&lt;&gt;G181),0)),"")</f>
        <v>CHILD DM - USA 1</v>
      </c>
      <c r="AK181" s="390" t="e">
        <f t="array" ref="AK181">IF(AJ181&lt;&gt;"",INDEX(TM_Score1,MATCH(1,(TM_Events=D181)*(TM_Participant1=G181)*(TM_Participant2=AJ181),0)),"")</f>
        <v>#N/A</v>
      </c>
      <c r="AL181" s="390" t="e">
        <f t="array" ref="AL181">IF(AJ181&lt;&gt;"",INDEX(TM_Score1,MATCH(1,(TM_Events=D181)*(TM_Participant1=AJ181)*(TM_Participant2=G181),0)),"")</f>
        <v>#N/A</v>
      </c>
      <c r="AM181" s="389" t="str">
        <f t="array" ref="AM181">IF(ISNUMBER(AK181),INDEX(TM_Score2,MATCH(1,(TM_Events=D181)*(TM_Participant1=G181)*(TM_Participant2=AJ181),0)),"")</f>
        <v/>
      </c>
      <c r="AN181" s="389" t="str">
        <f t="array" ref="AN181">IF(ISNUMBER(AL181),INDEX(TM_Score2,MATCH(1,(TM_Events=D181)*(TM_Participant1=AJ181)*(TM_Participant2=G181),0)),"")</f>
        <v/>
      </c>
      <c r="AO181" s="389" t="str">
        <f t="shared" si="78"/>
        <v>did not play</v>
      </c>
      <c r="AP181" s="389">
        <f t="shared" si="79"/>
        <v>1</v>
      </c>
      <c r="AQ181" s="389">
        <f t="shared" si="80"/>
        <v>0</v>
      </c>
      <c r="AR181" s="389">
        <f t="shared" si="81"/>
        <v>2</v>
      </c>
      <c r="AS181" s="453">
        <f t="shared" si="82"/>
        <v>-23</v>
      </c>
      <c r="AT181" s="452">
        <f t="shared" si="83"/>
        <v>37</v>
      </c>
    </row>
    <row r="182" spans="1:46" ht="16" x14ac:dyDescent="0.2">
      <c r="A182" s="298"/>
      <c r="B182"/>
      <c r="D182" s="303" t="s">
        <v>55</v>
      </c>
      <c r="E182" s="396"/>
      <c r="F182" s="387">
        <v>1</v>
      </c>
      <c r="G182" s="397" t="s">
        <v>599</v>
      </c>
      <c r="H182" s="387" t="str">
        <f t="shared" si="58"/>
        <v>2-2-0</v>
      </c>
      <c r="I182" s="389">
        <f t="shared" si="59"/>
        <v>4</v>
      </c>
      <c r="J182" s="455">
        <f t="shared" si="84"/>
        <v>1</v>
      </c>
      <c r="K182" s="455">
        <f t="shared" si="60"/>
        <v>15</v>
      </c>
      <c r="L182" s="455" t="str">
        <f t="shared" si="85"/>
        <v/>
      </c>
      <c r="M182" s="389" t="str">
        <f>IFERROR(IF(AD182&lt;=VLOOKUP(D182,Tournaments!$A$1:$B$1772,2,FALSE),"TRUE","FALSE"),"")</f>
        <v>TRUE</v>
      </c>
      <c r="N182" s="389">
        <v>1</v>
      </c>
      <c r="O182" s="389">
        <f t="shared" si="61"/>
        <v>4</v>
      </c>
      <c r="Q182" s="389">
        <f t="shared" si="62"/>
        <v>2</v>
      </c>
      <c r="R182" s="389">
        <f t="shared" si="63"/>
        <v>2</v>
      </c>
      <c r="S182" s="389">
        <f t="shared" si="64"/>
        <v>0</v>
      </c>
      <c r="U182" s="389">
        <f t="shared" si="65"/>
        <v>5</v>
      </c>
      <c r="V182" s="389">
        <f t="shared" si="66"/>
        <v>2.5000000000000001E-3</v>
      </c>
      <c r="W182" s="389">
        <f t="shared" si="67"/>
        <v>-4.9974999999999996</v>
      </c>
      <c r="X182" s="389">
        <f t="shared" si="68"/>
        <v>5</v>
      </c>
      <c r="Y182" s="389">
        <f t="shared" si="86"/>
        <v>7.5800000000000006E-2</v>
      </c>
      <c r="Z182" s="389">
        <f t="shared" si="69"/>
        <v>-4.9241999999999999</v>
      </c>
      <c r="AA182" s="389">
        <f t="shared" si="70"/>
        <v>4</v>
      </c>
      <c r="AB182" s="389" t="b">
        <f t="shared" si="71"/>
        <v>0</v>
      </c>
      <c r="AC182" s="389">
        <f t="shared" si="72"/>
        <v>-4</v>
      </c>
      <c r="AD182" s="389">
        <f t="shared" si="73"/>
        <v>4</v>
      </c>
      <c r="AE182" s="389">
        <f t="shared" si="74"/>
        <v>2</v>
      </c>
      <c r="AG182" s="311" t="str">
        <f t="shared" si="75"/>
        <v>Ch D Male Flag Football-</v>
      </c>
      <c r="AH182" s="453">
        <f t="shared" si="76"/>
        <v>4</v>
      </c>
      <c r="AI182" s="453">
        <f t="shared" si="77"/>
        <v>2</v>
      </c>
      <c r="AJ182" t="str">
        <f t="array" ref="AJ182">IF(AND(AI182&gt;1,G182&lt;&gt;""),INDEX(FS_teams,MATCH(1,(FS_Keys=AG182)*(FS_Points=I182)*(FS_teams&lt;&gt;G182),0)),"")</f>
        <v>CHILD DM - PER</v>
      </c>
      <c r="AK182" s="390" t="e">
        <f t="array" ref="AK182">IF(AJ182&lt;&gt;"",INDEX(TM_Score1,MATCH(1,(TM_Events=D182)*(TM_Participant1=G182)*(TM_Participant2=AJ182),0)),"")</f>
        <v>#N/A</v>
      </c>
      <c r="AL182" s="390" t="e">
        <f t="array" ref="AL182">IF(AJ182&lt;&gt;"",INDEX(TM_Score1,MATCH(1,(TM_Events=D182)*(TM_Participant1=AJ182)*(TM_Participant2=G182),0)),"")</f>
        <v>#N/A</v>
      </c>
      <c r="AM182" s="389" t="str">
        <f t="array" ref="AM182">IF(ISNUMBER(AK182),INDEX(TM_Score2,MATCH(1,(TM_Events=D182)*(TM_Participant1=G182)*(TM_Participant2=AJ182),0)),"")</f>
        <v/>
      </c>
      <c r="AN182" s="389" t="str">
        <f t="array" ref="AN182">IF(ISNUMBER(AL182),INDEX(TM_Score2,MATCH(1,(TM_Events=D182)*(TM_Participant1=AJ182)*(TM_Participant2=G182),0)),"")</f>
        <v/>
      </c>
      <c r="AO182" s="389" t="str">
        <f t="shared" si="78"/>
        <v>did not play</v>
      </c>
      <c r="AP182" s="389">
        <f t="shared" si="79"/>
        <v>2</v>
      </c>
      <c r="AQ182" s="389">
        <f t="shared" si="80"/>
        <v>0</v>
      </c>
      <c r="AR182" s="389">
        <f t="shared" si="81"/>
        <v>2</v>
      </c>
      <c r="AS182" s="453">
        <f t="shared" si="82"/>
        <v>15</v>
      </c>
      <c r="AT182" s="452">
        <f t="shared" si="83"/>
        <v>77</v>
      </c>
    </row>
    <row r="183" spans="1:46" ht="16" x14ac:dyDescent="0.2">
      <c r="A183" s="298"/>
      <c r="B183"/>
      <c r="D183" s="303" t="s">
        <v>55</v>
      </c>
      <c r="E183" s="396"/>
      <c r="F183" s="387">
        <v>1</v>
      </c>
      <c r="G183" s="397" t="s">
        <v>602</v>
      </c>
      <c r="H183" s="387" t="str">
        <f t="shared" si="58"/>
        <v>3-1-0</v>
      </c>
      <c r="I183" s="389">
        <f t="shared" si="59"/>
        <v>6</v>
      </c>
      <c r="J183" s="455">
        <f t="shared" si="84"/>
        <v>1</v>
      </c>
      <c r="K183" s="455">
        <f t="shared" si="60"/>
        <v>29</v>
      </c>
      <c r="L183" s="455" t="str">
        <f t="shared" si="85"/>
        <v/>
      </c>
      <c r="M183" s="389" t="str">
        <f>IFERROR(IF(AD183&lt;=VLOOKUP(D183,Tournaments!$A$1:$B$1772,2,FALSE),"TRUE","FALSE"),"")</f>
        <v>TRUE</v>
      </c>
      <c r="N183" s="389">
        <v>1</v>
      </c>
      <c r="O183" s="389">
        <f t="shared" si="61"/>
        <v>1</v>
      </c>
      <c r="Q183" s="389">
        <f t="shared" si="62"/>
        <v>3</v>
      </c>
      <c r="R183" s="389">
        <f t="shared" si="63"/>
        <v>1</v>
      </c>
      <c r="S183" s="389">
        <f t="shared" si="64"/>
        <v>0</v>
      </c>
      <c r="U183" s="389">
        <f t="shared" si="65"/>
        <v>3</v>
      </c>
      <c r="V183" s="389">
        <f t="shared" si="66"/>
        <v>2.5000000000000001E-3</v>
      </c>
      <c r="W183" s="389">
        <f t="shared" si="67"/>
        <v>-2.9975000000000001</v>
      </c>
      <c r="X183" s="389">
        <f t="shared" si="68"/>
        <v>3</v>
      </c>
      <c r="Y183" s="389">
        <f t="shared" si="86"/>
        <v>7.6399999999999996E-2</v>
      </c>
      <c r="Z183" s="389">
        <f t="shared" si="69"/>
        <v>-2.9236</v>
      </c>
      <c r="AA183" s="389">
        <f t="shared" si="70"/>
        <v>1</v>
      </c>
      <c r="AB183" s="389" t="b">
        <f t="shared" si="71"/>
        <v>0</v>
      </c>
      <c r="AC183" s="389">
        <f t="shared" si="72"/>
        <v>-1</v>
      </c>
      <c r="AD183" s="389">
        <f t="shared" si="73"/>
        <v>1</v>
      </c>
      <c r="AE183" s="389">
        <f t="shared" si="74"/>
        <v>3</v>
      </c>
      <c r="AG183" s="311" t="str">
        <f t="shared" si="75"/>
        <v>Ch D Male Flag Football-</v>
      </c>
      <c r="AH183" s="453">
        <f t="shared" si="76"/>
        <v>1</v>
      </c>
      <c r="AI183" s="453">
        <f t="shared" si="77"/>
        <v>3</v>
      </c>
      <c r="AJ183" t="str">
        <f t="array" ref="AJ183">IF(AND(AI183&gt;1,G183&lt;&gt;""),INDEX(FS_teams,MATCH(1,(FS_Keys=AG183)*(FS_Points=I183)*(FS_teams&lt;&gt;G183),0)),"")</f>
        <v>CHILD DM - COL 1</v>
      </c>
      <c r="AK183" s="390" t="e">
        <f t="array" ref="AK183">IF(AJ183&lt;&gt;"",INDEX(TM_Score1,MATCH(1,(TM_Events=D183)*(TM_Participant1=G183)*(TM_Participant2=AJ183),0)),"")</f>
        <v>#N/A</v>
      </c>
      <c r="AL183" s="390">
        <f t="array" ref="AL183">IF(AJ183&lt;&gt;"",INDEX(TM_Score1,MATCH(1,(TM_Events=D183)*(TM_Participant1=AJ183)*(TM_Participant2=G183),0)),"")</f>
        <v>13</v>
      </c>
      <c r="AM183" s="389" t="str">
        <f t="array" ref="AM183">IF(ISNUMBER(AK183),INDEX(TM_Score2,MATCH(1,(TM_Events=D183)*(TM_Participant1=G183)*(TM_Participant2=AJ183),0)),"")</f>
        <v/>
      </c>
      <c r="AN183" s="389">
        <f t="array" ref="AN183">IF(ISNUMBER(AL183),INDEX(TM_Score2,MATCH(1,(TM_Events=D183)*(TM_Participant1=AJ183)*(TM_Participant2=G183),0)),"")</f>
        <v>7</v>
      </c>
      <c r="AO183" s="389" t="str">
        <f t="shared" si="78"/>
        <v>Loss</v>
      </c>
      <c r="AP183" s="389">
        <f t="shared" si="79"/>
        <v>3</v>
      </c>
      <c r="AQ183" s="389">
        <f t="shared" si="80"/>
        <v>0</v>
      </c>
      <c r="AR183" s="389">
        <f t="shared" si="81"/>
        <v>1</v>
      </c>
      <c r="AS183" s="453">
        <f t="shared" si="82"/>
        <v>29</v>
      </c>
      <c r="AT183" s="452">
        <f t="shared" si="83"/>
        <v>75</v>
      </c>
    </row>
    <row r="184" spans="1:46" ht="16" x14ac:dyDescent="0.2">
      <c r="A184" s="298"/>
      <c r="B184"/>
      <c r="D184" s="303" t="s">
        <v>55</v>
      </c>
      <c r="E184" s="396"/>
      <c r="F184" s="387">
        <v>1</v>
      </c>
      <c r="G184" s="397" t="s">
        <v>597</v>
      </c>
      <c r="H184" s="387" t="str">
        <f t="shared" si="58"/>
        <v>1-2-0</v>
      </c>
      <c r="I184" s="389">
        <f t="shared" si="59"/>
        <v>2</v>
      </c>
      <c r="J184" s="455">
        <f t="shared" si="84"/>
        <v>1</v>
      </c>
      <c r="K184" s="455">
        <f t="shared" si="60"/>
        <v>-41</v>
      </c>
      <c r="L184" s="455" t="str">
        <f t="shared" si="85"/>
        <v/>
      </c>
      <c r="M184" s="389" t="str">
        <f>IFERROR(IF(AD184&lt;=VLOOKUP(D184,Tournaments!$A$1:$B$1772,2,FALSE),"TRUE","FALSE"),"")</f>
        <v>FALSE</v>
      </c>
      <c r="N184" s="389">
        <v>1</v>
      </c>
      <c r="O184" s="389">
        <f t="shared" si="61"/>
        <v>9</v>
      </c>
      <c r="Q184" s="389">
        <f t="shared" si="62"/>
        <v>1</v>
      </c>
      <c r="R184" s="389">
        <f t="shared" si="63"/>
        <v>2</v>
      </c>
      <c r="S184" s="389">
        <f t="shared" si="64"/>
        <v>0</v>
      </c>
      <c r="U184" s="389">
        <f t="shared" si="65"/>
        <v>9</v>
      </c>
      <c r="V184" s="389">
        <f t="shared" si="66"/>
        <v>2.5000000000000001E-3</v>
      </c>
      <c r="W184" s="389">
        <f t="shared" si="67"/>
        <v>-8.9975000000000005</v>
      </c>
      <c r="X184" s="389">
        <f t="shared" si="68"/>
        <v>9</v>
      </c>
      <c r="Y184" s="389">
        <f t="shared" si="86"/>
        <v>6.9999999999999999E-4</v>
      </c>
      <c r="Z184" s="389">
        <f t="shared" si="69"/>
        <v>-8.9992999999999999</v>
      </c>
      <c r="AA184" s="389">
        <f t="shared" si="70"/>
        <v>9</v>
      </c>
      <c r="AB184" s="389" t="b">
        <f t="shared" si="71"/>
        <v>0</v>
      </c>
      <c r="AC184" s="389">
        <f t="shared" si="72"/>
        <v>-9</v>
      </c>
      <c r="AD184" s="389">
        <f t="shared" si="73"/>
        <v>9</v>
      </c>
      <c r="AE184" s="389">
        <f t="shared" si="74"/>
        <v>4</v>
      </c>
      <c r="AG184" s="311" t="str">
        <f t="shared" si="75"/>
        <v>Ch D Male Flag Football-</v>
      </c>
      <c r="AH184" s="453">
        <f t="shared" si="76"/>
        <v>6</v>
      </c>
      <c r="AI184" s="453">
        <f t="shared" si="77"/>
        <v>4</v>
      </c>
      <c r="AJ184" t="str">
        <f t="array" ref="AJ184">IF(AND(AI184&gt;1,G184&lt;&gt;""),INDEX(FS_teams,MATCH(1,(FS_Keys=AG184)*(FS_Points=I184)*(FS_teams&lt;&gt;G184),0)),"")</f>
        <v>CHILD DM - USA 1</v>
      </c>
      <c r="AK184" s="390" t="e">
        <f t="array" ref="AK184">IF(AJ184&lt;&gt;"",INDEX(TM_Score1,MATCH(1,(TM_Events=D184)*(TM_Participant1=G184)*(TM_Participant2=AJ184),0)),"")</f>
        <v>#N/A</v>
      </c>
      <c r="AL184" s="390" t="e">
        <f t="array" ref="AL184">IF(AJ184&lt;&gt;"",INDEX(TM_Score1,MATCH(1,(TM_Events=D184)*(TM_Participant1=AJ184)*(TM_Participant2=G184),0)),"")</f>
        <v>#N/A</v>
      </c>
      <c r="AM184" s="389" t="str">
        <f t="array" ref="AM184">IF(ISNUMBER(AK184),INDEX(TM_Score2,MATCH(1,(TM_Events=D184)*(TM_Participant1=G184)*(TM_Participant2=AJ184),0)),"")</f>
        <v/>
      </c>
      <c r="AN184" s="389" t="str">
        <f t="array" ref="AN184">IF(ISNUMBER(AL184),INDEX(TM_Score2,MATCH(1,(TM_Events=D184)*(TM_Participant1=AJ184)*(TM_Participant2=G184),0)),"")</f>
        <v/>
      </c>
      <c r="AO184" s="389" t="str">
        <f t="shared" si="78"/>
        <v>did not play</v>
      </c>
      <c r="AP184" s="389">
        <f t="shared" si="79"/>
        <v>1</v>
      </c>
      <c r="AQ184" s="389">
        <f t="shared" si="80"/>
        <v>0</v>
      </c>
      <c r="AR184" s="389">
        <f t="shared" si="81"/>
        <v>2</v>
      </c>
      <c r="AS184" s="453">
        <f t="shared" si="82"/>
        <v>-41</v>
      </c>
      <c r="AT184" s="452">
        <f t="shared" si="83"/>
        <v>31</v>
      </c>
    </row>
    <row r="185" spans="1:46" ht="16" x14ac:dyDescent="0.2">
      <c r="A185" s="298"/>
      <c r="B185"/>
      <c r="D185" s="303" t="s">
        <v>55</v>
      </c>
      <c r="E185" s="396"/>
      <c r="F185" s="387">
        <v>1</v>
      </c>
      <c r="G185" s="397" t="s">
        <v>593</v>
      </c>
      <c r="H185" s="387" t="str">
        <f t="shared" si="58"/>
        <v>3-1-0</v>
      </c>
      <c r="I185" s="389">
        <f t="shared" si="59"/>
        <v>6</v>
      </c>
      <c r="J185" s="455">
        <f t="shared" si="84"/>
        <v>1</v>
      </c>
      <c r="K185" s="455">
        <f t="shared" si="60"/>
        <v>5</v>
      </c>
      <c r="L185" s="455" t="str">
        <f t="shared" si="85"/>
        <v/>
      </c>
      <c r="M185" s="389" t="str">
        <f>IFERROR(IF(AD185&lt;=VLOOKUP(D185,Tournaments!$A$1:$B$1772,2,FALSE),"TRUE","FALSE"),"")</f>
        <v>TRUE</v>
      </c>
      <c r="N185" s="389">
        <v>1</v>
      </c>
      <c r="O185" s="389">
        <f t="shared" si="61"/>
        <v>3</v>
      </c>
      <c r="Q185" s="389">
        <f t="shared" si="62"/>
        <v>3</v>
      </c>
      <c r="R185" s="389">
        <f t="shared" si="63"/>
        <v>1</v>
      </c>
      <c r="S185" s="389">
        <f t="shared" si="64"/>
        <v>0</v>
      </c>
      <c r="U185" s="389">
        <f t="shared" si="65"/>
        <v>3</v>
      </c>
      <c r="V185" s="389">
        <f t="shared" si="66"/>
        <v>2.5000000000000001E-3</v>
      </c>
      <c r="W185" s="389">
        <f t="shared" si="67"/>
        <v>-2.9975000000000001</v>
      </c>
      <c r="X185" s="389">
        <f t="shared" si="68"/>
        <v>3</v>
      </c>
      <c r="Y185" s="389">
        <f t="shared" si="86"/>
        <v>7.3599999999999999E-2</v>
      </c>
      <c r="Z185" s="389">
        <f t="shared" si="69"/>
        <v>-2.9264000000000001</v>
      </c>
      <c r="AA185" s="389">
        <f t="shared" si="70"/>
        <v>3</v>
      </c>
      <c r="AB185" s="389" t="b">
        <f t="shared" si="71"/>
        <v>0</v>
      </c>
      <c r="AC185" s="389">
        <f t="shared" si="72"/>
        <v>-3</v>
      </c>
      <c r="AD185" s="389">
        <f t="shared" si="73"/>
        <v>3</v>
      </c>
      <c r="AE185" s="389">
        <f t="shared" si="74"/>
        <v>3</v>
      </c>
      <c r="AG185" s="311" t="str">
        <f t="shared" si="75"/>
        <v>Ch D Male Flag Football-</v>
      </c>
      <c r="AH185" s="453">
        <f t="shared" si="76"/>
        <v>1</v>
      </c>
      <c r="AI185" s="453">
        <f t="shared" si="77"/>
        <v>3</v>
      </c>
      <c r="AJ185" t="str">
        <f t="array" ref="AJ185">IF(AND(AI185&gt;1,G185&lt;&gt;""),INDEX(FS_teams,MATCH(1,(FS_Keys=AG185)*(FS_Points=I185)*(FS_teams&lt;&gt;G185),0)),"")</f>
        <v>CHILD DM - VEN 2</v>
      </c>
      <c r="AK185" s="390">
        <f t="array" ref="AK185">IF(AJ185&lt;&gt;"",INDEX(TM_Score1,MATCH(1,(TM_Events=D185)*(TM_Participant1=G185)*(TM_Participant2=AJ185),0)),"")</f>
        <v>13</v>
      </c>
      <c r="AL185" s="390" t="e">
        <f t="array" ref="AL185">IF(AJ185&lt;&gt;"",INDEX(TM_Score1,MATCH(1,(TM_Events=D185)*(TM_Participant1=AJ185)*(TM_Participant2=G185),0)),"")</f>
        <v>#N/A</v>
      </c>
      <c r="AM185" s="389">
        <f t="array" ref="AM185">IF(ISNUMBER(AK185),INDEX(TM_Score2,MATCH(1,(TM_Events=D185)*(TM_Participant1=G185)*(TM_Participant2=AJ185),0)),"")</f>
        <v>7</v>
      </c>
      <c r="AN185" s="389" t="str">
        <f t="array" ref="AN185">IF(ISNUMBER(AL185),INDEX(TM_Score2,MATCH(1,(TM_Events=D185)*(TM_Participant1=AJ185)*(TM_Participant2=G185),0)),"")</f>
        <v/>
      </c>
      <c r="AO185" s="389" t="str">
        <f t="shared" si="78"/>
        <v>Win</v>
      </c>
      <c r="AP185" s="389">
        <f t="shared" si="79"/>
        <v>3</v>
      </c>
      <c r="AQ185" s="389">
        <f t="shared" si="80"/>
        <v>0</v>
      </c>
      <c r="AR185" s="389">
        <f t="shared" si="81"/>
        <v>1</v>
      </c>
      <c r="AS185" s="453">
        <f t="shared" si="82"/>
        <v>5</v>
      </c>
      <c r="AT185" s="452">
        <f t="shared" si="83"/>
        <v>38</v>
      </c>
    </row>
    <row r="186" spans="1:46" ht="16" x14ac:dyDescent="0.2">
      <c r="A186" s="298"/>
      <c r="B186"/>
      <c r="D186" s="303" t="s">
        <v>55</v>
      </c>
      <c r="E186" s="396"/>
      <c r="F186" s="387">
        <v>1</v>
      </c>
      <c r="G186" s="397" t="s">
        <v>600</v>
      </c>
      <c r="H186" s="387" t="str">
        <f t="shared" si="58"/>
        <v>0-3-0</v>
      </c>
      <c r="I186" s="389">
        <f t="shared" si="59"/>
        <v>0</v>
      </c>
      <c r="J186" s="455" t="str">
        <f t="shared" si="84"/>
        <v/>
      </c>
      <c r="K186" s="455" t="str">
        <f t="shared" si="60"/>
        <v/>
      </c>
      <c r="L186" s="455" t="str">
        <f t="shared" si="85"/>
        <v/>
      </c>
      <c r="M186" s="389" t="str">
        <f>IFERROR(IF(AD186&lt;=VLOOKUP(D186,Tournaments!$A$1:$B$1772,2,FALSE),"TRUE","FALSE"),"")</f>
        <v>FALSE</v>
      </c>
      <c r="N186" s="389">
        <v>1</v>
      </c>
      <c r="O186" s="389">
        <f t="shared" si="61"/>
        <v>10</v>
      </c>
      <c r="Q186" s="389">
        <f t="shared" si="62"/>
        <v>0</v>
      </c>
      <c r="R186" s="389">
        <f t="shared" si="63"/>
        <v>3</v>
      </c>
      <c r="S186" s="389">
        <f t="shared" si="64"/>
        <v>0</v>
      </c>
      <c r="U186" s="389">
        <f t="shared" si="65"/>
        <v>10</v>
      </c>
      <c r="V186" s="389" t="b">
        <f t="shared" si="66"/>
        <v>0</v>
      </c>
      <c r="W186" s="389">
        <f t="shared" si="67"/>
        <v>-10</v>
      </c>
      <c r="X186" s="389">
        <f t="shared" si="68"/>
        <v>10</v>
      </c>
      <c r="Y186" s="389" t="b">
        <f t="shared" si="86"/>
        <v>0</v>
      </c>
      <c r="Z186" s="389">
        <f t="shared" si="69"/>
        <v>-10</v>
      </c>
      <c r="AA186" s="389">
        <f t="shared" si="70"/>
        <v>10</v>
      </c>
      <c r="AB186" s="389" t="b">
        <f t="shared" si="71"/>
        <v>0</v>
      </c>
      <c r="AC186" s="389">
        <f t="shared" si="72"/>
        <v>-10</v>
      </c>
      <c r="AD186" s="389">
        <f t="shared" si="73"/>
        <v>10</v>
      </c>
      <c r="AE186" s="389">
        <f t="shared" si="74"/>
        <v>1</v>
      </c>
      <c r="AG186" s="311" t="str">
        <f t="shared" si="75"/>
        <v>Ch D Male Flag Football-</v>
      </c>
      <c r="AH186" s="453">
        <f t="shared" si="76"/>
        <v>10</v>
      </c>
      <c r="AI186" s="453">
        <f t="shared" si="77"/>
        <v>1</v>
      </c>
      <c r="AJ186" t="str">
        <f t="array" ref="AJ186">IF(AND(AI186&gt;1,G186&lt;&gt;""),INDEX(FS_teams,MATCH(1,(FS_Keys=AG186)*(FS_Points=I186)*(FS_teams&lt;&gt;G186),0)),"")</f>
        <v/>
      </c>
      <c r="AK186" s="390" t="str">
        <f t="array" ref="AK186">IF(AJ186&lt;&gt;"",INDEX(TM_Score1,MATCH(1,(TM_Events=D186)*(TM_Participant1=G186)*(TM_Participant2=AJ186),0)),"")</f>
        <v/>
      </c>
      <c r="AL186" s="390" t="str">
        <f t="array" ref="AL186">IF(AJ186&lt;&gt;"",INDEX(TM_Score1,MATCH(1,(TM_Events=D186)*(TM_Participant1=AJ186)*(TM_Participant2=G186),0)),"")</f>
        <v/>
      </c>
      <c r="AM186" s="389" t="str">
        <f t="array" ref="AM186">IF(ISNUMBER(AK186),INDEX(TM_Score2,MATCH(1,(TM_Events=D186)*(TM_Participant1=G186)*(TM_Participant2=AJ186),0)),"")</f>
        <v/>
      </c>
      <c r="AN186" s="389" t="str">
        <f t="array" ref="AN186">IF(ISNUMBER(AL186),INDEX(TM_Score2,MATCH(1,(TM_Events=D186)*(TM_Participant1=AJ186)*(TM_Participant2=G186),0)),"")</f>
        <v/>
      </c>
      <c r="AO186" s="389" t="str">
        <f t="shared" si="78"/>
        <v/>
      </c>
      <c r="AP186" s="389">
        <f t="shared" si="79"/>
        <v>0</v>
      </c>
      <c r="AQ186" s="389">
        <f t="shared" si="80"/>
        <v>0</v>
      </c>
      <c r="AR186" s="389">
        <f t="shared" si="81"/>
        <v>3</v>
      </c>
      <c r="AS186" s="453">
        <f t="shared" si="82"/>
        <v>-25</v>
      </c>
      <c r="AT186" s="452">
        <f t="shared" si="83"/>
        <v>13</v>
      </c>
    </row>
    <row r="187" spans="1:46" ht="16" x14ac:dyDescent="0.2">
      <c r="A187" s="298"/>
      <c r="B187"/>
      <c r="D187" s="303" t="s">
        <v>55</v>
      </c>
      <c r="E187" s="396"/>
      <c r="F187" s="387">
        <v>1</v>
      </c>
      <c r="G187" s="397" t="s">
        <v>594</v>
      </c>
      <c r="H187" s="387" t="str">
        <f t="shared" si="58"/>
        <v>2-1-0</v>
      </c>
      <c r="I187" s="389">
        <f t="shared" si="59"/>
        <v>4</v>
      </c>
      <c r="J187" s="455">
        <f t="shared" si="84"/>
        <v>1</v>
      </c>
      <c r="K187" s="455">
        <f t="shared" si="60"/>
        <v>6</v>
      </c>
      <c r="L187" s="455" t="str">
        <f t="shared" si="85"/>
        <v/>
      </c>
      <c r="M187" s="389" t="str">
        <f>IFERROR(IF(AD187&lt;=VLOOKUP(D187,Tournaments!$A$1:$B$1772,2,FALSE),"TRUE","FALSE"),"")</f>
        <v>FALSE</v>
      </c>
      <c r="N187" s="389">
        <v>1</v>
      </c>
      <c r="O187" s="389">
        <f t="shared" si="61"/>
        <v>5</v>
      </c>
      <c r="Q187" s="389">
        <f t="shared" si="62"/>
        <v>2</v>
      </c>
      <c r="R187" s="389">
        <f t="shared" si="63"/>
        <v>1</v>
      </c>
      <c r="S187" s="389">
        <f t="shared" si="64"/>
        <v>0</v>
      </c>
      <c r="U187" s="389">
        <f t="shared" si="65"/>
        <v>5</v>
      </c>
      <c r="V187" s="389">
        <f t="shared" si="66"/>
        <v>2.5000000000000001E-3</v>
      </c>
      <c r="W187" s="389">
        <f t="shared" si="67"/>
        <v>-4.9974999999999996</v>
      </c>
      <c r="X187" s="389">
        <f t="shared" si="68"/>
        <v>5</v>
      </c>
      <c r="Y187" s="389">
        <f t="shared" si="86"/>
        <v>7.3800000000000004E-2</v>
      </c>
      <c r="Z187" s="389">
        <f t="shared" si="69"/>
        <v>-4.9261999999999997</v>
      </c>
      <c r="AA187" s="389">
        <f t="shared" si="70"/>
        <v>5</v>
      </c>
      <c r="AB187" s="389" t="b">
        <f t="shared" si="71"/>
        <v>0</v>
      </c>
      <c r="AC187" s="389">
        <f t="shared" si="72"/>
        <v>-5</v>
      </c>
      <c r="AD187" s="389">
        <f t="shared" si="73"/>
        <v>5</v>
      </c>
      <c r="AE187" s="389">
        <f t="shared" si="74"/>
        <v>2</v>
      </c>
      <c r="AG187" s="311" t="str">
        <f t="shared" si="75"/>
        <v>Ch D Male Flag Football-</v>
      </c>
      <c r="AH187" s="453">
        <f t="shared" si="76"/>
        <v>4</v>
      </c>
      <c r="AI187" s="453">
        <f t="shared" si="77"/>
        <v>2</v>
      </c>
      <c r="AJ187" t="str">
        <f t="array" ref="AJ187">IF(AND(AI187&gt;1,G187&lt;&gt;""),INDEX(FS_teams,MATCH(1,(FS_Keys=AG187)*(FS_Points=I187)*(FS_teams&lt;&gt;G187),0)),"")</f>
        <v>CHILD DM - COL 2</v>
      </c>
      <c r="AK187" s="390" t="e">
        <f t="array" ref="AK187">IF(AJ187&lt;&gt;"",INDEX(TM_Score1,MATCH(1,(TM_Events=D187)*(TM_Participant1=G187)*(TM_Participant2=AJ187),0)),"")</f>
        <v>#N/A</v>
      </c>
      <c r="AL187" s="390" t="e">
        <f t="array" ref="AL187">IF(AJ187&lt;&gt;"",INDEX(TM_Score1,MATCH(1,(TM_Events=D187)*(TM_Participant1=AJ187)*(TM_Participant2=G187),0)),"")</f>
        <v>#N/A</v>
      </c>
      <c r="AM187" s="389" t="str">
        <f t="array" ref="AM187">IF(ISNUMBER(AK187),INDEX(TM_Score2,MATCH(1,(TM_Events=D187)*(TM_Participant1=G187)*(TM_Participant2=AJ187),0)),"")</f>
        <v/>
      </c>
      <c r="AN187" s="389" t="str">
        <f t="array" ref="AN187">IF(ISNUMBER(AL187),INDEX(TM_Score2,MATCH(1,(TM_Events=D187)*(TM_Participant1=AJ187)*(TM_Participant2=G187),0)),"")</f>
        <v/>
      </c>
      <c r="AO187" s="389" t="str">
        <f t="shared" si="78"/>
        <v>did not play</v>
      </c>
      <c r="AP187" s="389">
        <f t="shared" si="79"/>
        <v>2</v>
      </c>
      <c r="AQ187" s="389">
        <f t="shared" si="80"/>
        <v>0</v>
      </c>
      <c r="AR187" s="389">
        <f t="shared" si="81"/>
        <v>1</v>
      </c>
      <c r="AS187" s="453">
        <f t="shared" si="82"/>
        <v>6</v>
      </c>
      <c r="AT187" s="452">
        <f t="shared" si="83"/>
        <v>36</v>
      </c>
    </row>
    <row r="188" spans="1:46" ht="16" x14ac:dyDescent="0.2">
      <c r="A188" s="298"/>
      <c r="B188"/>
      <c r="D188" s="303" t="s">
        <v>55</v>
      </c>
      <c r="E188" s="396"/>
      <c r="F188" s="387">
        <v>1</v>
      </c>
      <c r="G188" s="397" t="s">
        <v>592</v>
      </c>
      <c r="H188" s="387" t="str">
        <f t="shared" si="58"/>
        <v>1-2-0</v>
      </c>
      <c r="I188" s="389">
        <f t="shared" si="59"/>
        <v>2</v>
      </c>
      <c r="J188" s="455">
        <f t="shared" si="84"/>
        <v>1</v>
      </c>
      <c r="K188" s="455">
        <f t="shared" si="60"/>
        <v>-1</v>
      </c>
      <c r="L188" s="455" t="str">
        <f t="shared" si="85"/>
        <v/>
      </c>
      <c r="M188" s="389" t="str">
        <f>IFERROR(IF(AD188&lt;=VLOOKUP(D188,Tournaments!$A$1:$B$1772,2,FALSE),"TRUE","FALSE"),"")</f>
        <v>FALSE</v>
      </c>
      <c r="N188" s="389">
        <v>1</v>
      </c>
      <c r="O188" s="389">
        <f t="shared" si="61"/>
        <v>7</v>
      </c>
      <c r="Q188" s="389">
        <f t="shared" si="62"/>
        <v>1</v>
      </c>
      <c r="R188" s="389">
        <f t="shared" si="63"/>
        <v>2</v>
      </c>
      <c r="S188" s="389">
        <f t="shared" si="64"/>
        <v>0</v>
      </c>
      <c r="U188" s="389">
        <f t="shared" si="65"/>
        <v>9</v>
      </c>
      <c r="V188" s="389">
        <f t="shared" si="66"/>
        <v>2.5000000000000001E-3</v>
      </c>
      <c r="W188" s="389">
        <f t="shared" si="67"/>
        <v>-8.9975000000000005</v>
      </c>
      <c r="X188" s="389">
        <f t="shared" si="68"/>
        <v>9</v>
      </c>
      <c r="Y188" s="389">
        <f t="shared" si="86"/>
        <v>9.7999999999999997E-3</v>
      </c>
      <c r="Z188" s="389">
        <f t="shared" si="69"/>
        <v>-8.9901999999999997</v>
      </c>
      <c r="AA188" s="389">
        <f t="shared" si="70"/>
        <v>7</v>
      </c>
      <c r="AB188" s="389" t="b">
        <f t="shared" si="71"/>
        <v>0</v>
      </c>
      <c r="AC188" s="389">
        <f t="shared" si="72"/>
        <v>-7</v>
      </c>
      <c r="AD188" s="389">
        <f t="shared" si="73"/>
        <v>7</v>
      </c>
      <c r="AE188" s="389">
        <f t="shared" si="74"/>
        <v>4</v>
      </c>
      <c r="AG188" s="311" t="str">
        <f t="shared" si="75"/>
        <v>Ch D Male Flag Football-</v>
      </c>
      <c r="AH188" s="453">
        <f t="shared" si="76"/>
        <v>6</v>
      </c>
      <c r="AI188" s="453">
        <f t="shared" si="77"/>
        <v>4</v>
      </c>
      <c r="AJ188" t="str">
        <f t="array" ref="AJ188">IF(AND(AI188&gt;1,G188&lt;&gt;""),INDEX(FS_teams,MATCH(1,(FS_Keys=AG188)*(FS_Points=I188)*(FS_teams&lt;&gt;G188),0)),"")</f>
        <v>CHILD DM - USA 1</v>
      </c>
      <c r="AK188" s="390">
        <f t="array" ref="AK188">IF(AJ188&lt;&gt;"",INDEX(TM_Score1,MATCH(1,(TM_Events=D188)*(TM_Participant1=G188)*(TM_Participant2=AJ188),0)),"")</f>
        <v>6</v>
      </c>
      <c r="AL188" s="390" t="e">
        <f t="array" ref="AL188">IF(AJ188&lt;&gt;"",INDEX(TM_Score1,MATCH(1,(TM_Events=D188)*(TM_Participant1=AJ188)*(TM_Participant2=G188),0)),"")</f>
        <v>#N/A</v>
      </c>
      <c r="AM188" s="389">
        <f t="array" ref="AM188">IF(ISNUMBER(AK188),INDEX(TM_Score2,MATCH(1,(TM_Events=D188)*(TM_Participant1=G188)*(TM_Participant2=AJ188),0)),"")</f>
        <v>28</v>
      </c>
      <c r="AN188" s="389" t="str">
        <f t="array" ref="AN188">IF(ISNUMBER(AL188),INDEX(TM_Score2,MATCH(1,(TM_Events=D188)*(TM_Participant1=AJ188)*(TM_Participant2=G188),0)),"")</f>
        <v/>
      </c>
      <c r="AO188" s="389" t="str">
        <f t="shared" si="78"/>
        <v>Loss</v>
      </c>
      <c r="AP188" s="389">
        <f t="shared" si="79"/>
        <v>1</v>
      </c>
      <c r="AQ188" s="389">
        <f t="shared" si="80"/>
        <v>0</v>
      </c>
      <c r="AR188" s="389">
        <f t="shared" si="81"/>
        <v>2</v>
      </c>
      <c r="AS188" s="453">
        <f t="shared" si="82"/>
        <v>-1</v>
      </c>
      <c r="AT188" s="452">
        <f t="shared" si="83"/>
        <v>54</v>
      </c>
    </row>
    <row r="189" spans="1:46" ht="16" x14ac:dyDescent="0.2">
      <c r="A189" s="298"/>
      <c r="B189"/>
      <c r="D189" s="303" t="s">
        <v>55</v>
      </c>
      <c r="E189" s="396"/>
      <c r="F189" s="387">
        <v>1</v>
      </c>
      <c r="G189" s="397" t="s">
        <v>601</v>
      </c>
      <c r="H189" s="387" t="str">
        <f t="shared" si="58"/>
        <v>3-1-0</v>
      </c>
      <c r="I189" s="389">
        <f t="shared" si="59"/>
        <v>6</v>
      </c>
      <c r="J189" s="455">
        <f t="shared" si="84"/>
        <v>1</v>
      </c>
      <c r="K189" s="455">
        <f t="shared" si="60"/>
        <v>26</v>
      </c>
      <c r="L189" s="455" t="str">
        <f t="shared" si="85"/>
        <v/>
      </c>
      <c r="M189" s="389" t="str">
        <f>IFERROR(IF(AD189&lt;=VLOOKUP(D189,Tournaments!$A$1:$B$1772,2,FALSE),"TRUE","FALSE"),"")</f>
        <v>TRUE</v>
      </c>
      <c r="N189" s="389">
        <v>1</v>
      </c>
      <c r="O189" s="389">
        <f t="shared" si="61"/>
        <v>2</v>
      </c>
      <c r="Q189" s="389">
        <f t="shared" si="62"/>
        <v>3</v>
      </c>
      <c r="R189" s="389">
        <f t="shared" si="63"/>
        <v>1</v>
      </c>
      <c r="S189" s="389">
        <f t="shared" si="64"/>
        <v>0</v>
      </c>
      <c r="U189" s="389">
        <f t="shared" si="65"/>
        <v>3</v>
      </c>
      <c r="V189" s="389">
        <f t="shared" si="66"/>
        <v>2.5000000000000001E-3</v>
      </c>
      <c r="W189" s="389">
        <f t="shared" si="67"/>
        <v>-2.9975000000000001</v>
      </c>
      <c r="X189" s="389">
        <f t="shared" si="68"/>
        <v>3</v>
      </c>
      <c r="Y189" s="389">
        <f t="shared" si="86"/>
        <v>7.6200000000000004E-2</v>
      </c>
      <c r="Z189" s="389">
        <f t="shared" si="69"/>
        <v>-2.9238</v>
      </c>
      <c r="AA189" s="389">
        <f t="shared" si="70"/>
        <v>2</v>
      </c>
      <c r="AB189" s="389" t="b">
        <f t="shared" si="71"/>
        <v>0</v>
      </c>
      <c r="AC189" s="389">
        <f t="shared" si="72"/>
        <v>-2</v>
      </c>
      <c r="AD189" s="389">
        <f t="shared" si="73"/>
        <v>2</v>
      </c>
      <c r="AE189" s="389">
        <f t="shared" si="74"/>
        <v>3</v>
      </c>
      <c r="AG189" s="311" t="str">
        <f t="shared" si="75"/>
        <v>Ch D Male Flag Football-</v>
      </c>
      <c r="AH189" s="453">
        <f t="shared" si="76"/>
        <v>1</v>
      </c>
      <c r="AI189" s="453">
        <f t="shared" si="77"/>
        <v>3</v>
      </c>
      <c r="AJ189" t="str">
        <f t="array" ref="AJ189">IF(AND(AI189&gt;1,G189&lt;&gt;""),INDEX(FS_teams,MATCH(1,(FS_Keys=AG189)*(FS_Points=I189)*(FS_teams&lt;&gt;G189),0)),"")</f>
        <v>CHILD DM - VEN 2</v>
      </c>
      <c r="AK189" s="390" t="e">
        <f t="array" ref="AK189">IF(AJ189&lt;&gt;"",INDEX(TM_Score1,MATCH(1,(TM_Events=D189)*(TM_Participant1=G189)*(TM_Participant2=AJ189),0)),"")</f>
        <v>#N/A</v>
      </c>
      <c r="AL189" s="390" t="e">
        <f t="array" ref="AL189">IF(AJ189&lt;&gt;"",INDEX(TM_Score1,MATCH(1,(TM_Events=D189)*(TM_Participant1=AJ189)*(TM_Participant2=G189),0)),"")</f>
        <v>#N/A</v>
      </c>
      <c r="AM189" s="389" t="str">
        <f t="array" ref="AM189">IF(ISNUMBER(AK189),INDEX(TM_Score2,MATCH(1,(TM_Events=D189)*(TM_Participant1=G189)*(TM_Participant2=AJ189),0)),"")</f>
        <v/>
      </c>
      <c r="AN189" s="389" t="str">
        <f t="array" ref="AN189">IF(ISNUMBER(AL189),INDEX(TM_Score2,MATCH(1,(TM_Events=D189)*(TM_Participant1=AJ189)*(TM_Participant2=G189),0)),"")</f>
        <v/>
      </c>
      <c r="AO189" s="389" t="str">
        <f t="shared" si="78"/>
        <v>did not play</v>
      </c>
      <c r="AP189" s="389">
        <f t="shared" si="79"/>
        <v>3</v>
      </c>
      <c r="AQ189" s="389">
        <f t="shared" si="80"/>
        <v>0</v>
      </c>
      <c r="AR189" s="389">
        <f t="shared" si="81"/>
        <v>1</v>
      </c>
      <c r="AS189" s="453">
        <f t="shared" si="82"/>
        <v>26</v>
      </c>
      <c r="AT189" s="452">
        <f t="shared" si="83"/>
        <v>87</v>
      </c>
    </row>
    <row r="190" spans="1:46" ht="16" x14ac:dyDescent="0.2">
      <c r="A190" s="298"/>
      <c r="B190"/>
      <c r="C190" s="462"/>
      <c r="D190" s="303" t="s">
        <v>57</v>
      </c>
      <c r="E190" s="396"/>
      <c r="F190" s="398">
        <v>1</v>
      </c>
      <c r="G190" s="397" t="s">
        <v>592</v>
      </c>
      <c r="H190" s="387" t="str">
        <f t="shared" si="58"/>
        <v>3-1-1</v>
      </c>
      <c r="I190" s="389">
        <f t="shared" si="59"/>
        <v>7</v>
      </c>
      <c r="J190" s="455" t="str">
        <f t="shared" si="84"/>
        <v/>
      </c>
      <c r="K190" s="455" t="str">
        <f t="shared" si="60"/>
        <v/>
      </c>
      <c r="L190" s="455" t="str">
        <f t="shared" si="85"/>
        <v/>
      </c>
      <c r="M190" s="389" t="str">
        <f>IFERROR(IF(AD190&lt;=VLOOKUP(D190,Tournaments!$A$1:$B$1772,2,FALSE),"TRUE","FALSE"),"")</f>
        <v>TRUE</v>
      </c>
      <c r="N190" s="389">
        <v>1</v>
      </c>
      <c r="O190" s="389">
        <f t="shared" si="61"/>
        <v>2</v>
      </c>
      <c r="Q190" s="389">
        <f t="shared" si="62"/>
        <v>3</v>
      </c>
      <c r="R190" s="389">
        <f t="shared" si="63"/>
        <v>1</v>
      </c>
      <c r="S190" s="389">
        <f t="shared" si="64"/>
        <v>1</v>
      </c>
      <c r="U190" s="389">
        <f t="shared" si="65"/>
        <v>2</v>
      </c>
      <c r="V190" s="389" t="b">
        <f t="shared" si="66"/>
        <v>0</v>
      </c>
      <c r="W190" s="389">
        <f t="shared" si="67"/>
        <v>-2</v>
      </c>
      <c r="X190" s="389">
        <f t="shared" si="68"/>
        <v>2</v>
      </c>
      <c r="Y190" s="389" t="b">
        <f t="shared" si="86"/>
        <v>0</v>
      </c>
      <c r="Z190" s="389">
        <f t="shared" si="69"/>
        <v>-2</v>
      </c>
      <c r="AA190" s="389">
        <f t="shared" si="70"/>
        <v>2</v>
      </c>
      <c r="AB190" s="389" t="b">
        <f t="shared" si="71"/>
        <v>0</v>
      </c>
      <c r="AC190" s="389">
        <f t="shared" si="72"/>
        <v>-2</v>
      </c>
      <c r="AD190" s="389">
        <f t="shared" si="73"/>
        <v>2</v>
      </c>
      <c r="AE190" s="389">
        <f t="shared" si="74"/>
        <v>1</v>
      </c>
      <c r="AG190" s="311" t="str">
        <f t="shared" si="75"/>
        <v>Ch D Male Kickball-</v>
      </c>
      <c r="AH190" s="453">
        <f t="shared" si="76"/>
        <v>2</v>
      </c>
      <c r="AI190" s="453">
        <f t="shared" si="77"/>
        <v>1</v>
      </c>
      <c r="AJ190" t="str">
        <f t="array" ref="AJ190">IF(AND(AI190&gt;1,G190&lt;&gt;""),INDEX(FS_teams,MATCH(1,(FS_Keys=AG190)*(FS_Points=I190)*(FS_teams&lt;&gt;G190),0)),"")</f>
        <v/>
      </c>
      <c r="AK190" s="390" t="str">
        <f t="array" ref="AK190">IF(AJ190&lt;&gt;"",INDEX(TM_Score1,MATCH(1,(TM_Events=D190)*(TM_Participant1=G190)*(TM_Participant2=AJ190),0)),"")</f>
        <v/>
      </c>
      <c r="AL190" s="390" t="str">
        <f t="array" ref="AL190">IF(AJ190&lt;&gt;"",INDEX(TM_Score1,MATCH(1,(TM_Events=D190)*(TM_Participant1=AJ190)*(TM_Participant2=G190),0)),"")</f>
        <v/>
      </c>
      <c r="AM190" s="389" t="str">
        <f t="array" ref="AM190">IF(ISNUMBER(AK190),INDEX(TM_Score2,MATCH(1,(TM_Events=D190)*(TM_Participant1=G190)*(TM_Participant2=AJ190),0)),"")</f>
        <v/>
      </c>
      <c r="AN190" s="389" t="str">
        <f t="array" ref="AN190">IF(ISNUMBER(AL190),INDEX(TM_Score2,MATCH(1,(TM_Events=D190)*(TM_Participant1=AJ190)*(TM_Participant2=G190),0)),"")</f>
        <v/>
      </c>
      <c r="AO190" s="389" t="str">
        <f t="shared" si="78"/>
        <v/>
      </c>
      <c r="AP190" s="389">
        <f t="shared" si="79"/>
        <v>3</v>
      </c>
      <c r="AQ190" s="389">
        <f t="shared" si="80"/>
        <v>1</v>
      </c>
      <c r="AR190" s="389">
        <f t="shared" si="81"/>
        <v>1</v>
      </c>
      <c r="AS190" s="453">
        <f t="shared" si="82"/>
        <v>10</v>
      </c>
      <c r="AT190" s="452">
        <f t="shared" si="83"/>
        <v>47</v>
      </c>
    </row>
    <row r="191" spans="1:46" ht="16" x14ac:dyDescent="0.2">
      <c r="A191" s="298"/>
      <c r="B191"/>
      <c r="C191" s="462"/>
      <c r="D191" s="303" t="s">
        <v>57</v>
      </c>
      <c r="E191" s="396"/>
      <c r="F191" s="398">
        <v>1</v>
      </c>
      <c r="G191" s="397" t="s">
        <v>598</v>
      </c>
      <c r="H191" s="387" t="str">
        <f t="shared" si="58"/>
        <v>1-2-0</v>
      </c>
      <c r="I191" s="389">
        <f t="shared" si="59"/>
        <v>2</v>
      </c>
      <c r="J191" s="455" t="str">
        <f t="shared" si="84"/>
        <v/>
      </c>
      <c r="K191" s="455" t="str">
        <f t="shared" si="60"/>
        <v/>
      </c>
      <c r="L191" s="455" t="str">
        <f t="shared" si="85"/>
        <v/>
      </c>
      <c r="M191" s="389" t="str">
        <f>IFERROR(IF(AD191&lt;=VLOOKUP(D191,Tournaments!$A$1:$B$1772,2,FALSE),"TRUE","FALSE"),"")</f>
        <v>FALSE</v>
      </c>
      <c r="N191" s="389">
        <v>1</v>
      </c>
      <c r="O191" s="389">
        <f t="shared" si="61"/>
        <v>7</v>
      </c>
      <c r="Q191" s="389">
        <f t="shared" si="62"/>
        <v>1</v>
      </c>
      <c r="R191" s="389">
        <f t="shared" si="63"/>
        <v>2</v>
      </c>
      <c r="S191" s="389">
        <f t="shared" si="64"/>
        <v>0</v>
      </c>
      <c r="U191" s="389">
        <f t="shared" si="65"/>
        <v>7</v>
      </c>
      <c r="V191" s="389" t="b">
        <f t="shared" si="66"/>
        <v>0</v>
      </c>
      <c r="W191" s="389">
        <f t="shared" si="67"/>
        <v>-7</v>
      </c>
      <c r="X191" s="389">
        <f t="shared" si="68"/>
        <v>7</v>
      </c>
      <c r="Y191" s="389" t="b">
        <f t="shared" si="86"/>
        <v>0</v>
      </c>
      <c r="Z191" s="389">
        <f t="shared" si="69"/>
        <v>-7</v>
      </c>
      <c r="AA191" s="389">
        <f t="shared" si="70"/>
        <v>7</v>
      </c>
      <c r="AB191" s="389" t="b">
        <f t="shared" si="71"/>
        <v>0</v>
      </c>
      <c r="AC191" s="389">
        <f t="shared" si="72"/>
        <v>-7</v>
      </c>
      <c r="AD191" s="389">
        <f t="shared" si="73"/>
        <v>7</v>
      </c>
      <c r="AE191" s="389">
        <f t="shared" si="74"/>
        <v>1</v>
      </c>
      <c r="AG191" s="311" t="str">
        <f t="shared" si="75"/>
        <v>Ch D Male Kickball-</v>
      </c>
      <c r="AH191" s="453">
        <f t="shared" si="76"/>
        <v>7</v>
      </c>
      <c r="AI191" s="453">
        <f t="shared" si="77"/>
        <v>1</v>
      </c>
      <c r="AJ191" t="str">
        <f t="array" ref="AJ191">IF(AND(AI191&gt;1,G191&lt;&gt;""),INDEX(FS_teams,MATCH(1,(FS_Keys=AG191)*(FS_Points=I191)*(FS_teams&lt;&gt;G191),0)),"")</f>
        <v/>
      </c>
      <c r="AK191" s="390" t="str">
        <f t="array" ref="AK191">IF(AJ191&lt;&gt;"",INDEX(TM_Score1,MATCH(1,(TM_Events=D191)*(TM_Participant1=G191)*(TM_Participant2=AJ191),0)),"")</f>
        <v/>
      </c>
      <c r="AL191" s="390" t="str">
        <f t="array" ref="AL191">IF(AJ191&lt;&gt;"",INDEX(TM_Score1,MATCH(1,(TM_Events=D191)*(TM_Participant1=AJ191)*(TM_Participant2=G191),0)),"")</f>
        <v/>
      </c>
      <c r="AM191" s="389" t="str">
        <f t="array" ref="AM191">IF(ISNUMBER(AK191),INDEX(TM_Score2,MATCH(1,(TM_Events=D191)*(TM_Participant1=G191)*(TM_Participant2=AJ191),0)),"")</f>
        <v/>
      </c>
      <c r="AN191" s="389" t="str">
        <f t="array" ref="AN191">IF(ISNUMBER(AL191),INDEX(TM_Score2,MATCH(1,(TM_Events=D191)*(TM_Participant1=AJ191)*(TM_Participant2=G191),0)),"")</f>
        <v/>
      </c>
      <c r="AO191" s="389" t="str">
        <f t="shared" si="78"/>
        <v/>
      </c>
      <c r="AP191" s="389">
        <f t="shared" si="79"/>
        <v>1</v>
      </c>
      <c r="AQ191" s="389">
        <f t="shared" si="80"/>
        <v>0</v>
      </c>
      <c r="AR191" s="389">
        <f t="shared" si="81"/>
        <v>2</v>
      </c>
      <c r="AS191" s="453">
        <f t="shared" si="82"/>
        <v>-3</v>
      </c>
      <c r="AT191" s="452">
        <f t="shared" si="83"/>
        <v>18</v>
      </c>
    </row>
    <row r="192" spans="1:46" ht="16" x14ac:dyDescent="0.2">
      <c r="A192" s="298"/>
      <c r="B192"/>
      <c r="C192" s="462"/>
      <c r="D192" s="303" t="s">
        <v>57</v>
      </c>
      <c r="E192" s="396"/>
      <c r="F192" s="387">
        <v>1</v>
      </c>
      <c r="G192" s="397" t="s">
        <v>599</v>
      </c>
      <c r="H192" s="387" t="str">
        <f t="shared" si="58"/>
        <v>0-3-0</v>
      </c>
      <c r="I192" s="389">
        <f t="shared" si="59"/>
        <v>0</v>
      </c>
      <c r="J192" s="455">
        <f t="shared" si="84"/>
        <v>1</v>
      </c>
      <c r="K192" s="455">
        <f t="shared" si="60"/>
        <v>-14</v>
      </c>
      <c r="L192" s="455" t="str">
        <f t="shared" si="85"/>
        <v/>
      </c>
      <c r="M192" s="389" t="str">
        <f>IFERROR(IF(AD192&lt;=VLOOKUP(D192,Tournaments!$A$1:$B$1772,2,FALSE),"TRUE","FALSE"),"")</f>
        <v>FALSE</v>
      </c>
      <c r="N192" s="389">
        <v>1</v>
      </c>
      <c r="O192" s="389">
        <f t="shared" si="61"/>
        <v>10</v>
      </c>
      <c r="Q192" s="389">
        <f t="shared" si="62"/>
        <v>0</v>
      </c>
      <c r="R192" s="389">
        <f t="shared" si="63"/>
        <v>3</v>
      </c>
      <c r="S192" s="389">
        <f t="shared" si="64"/>
        <v>0</v>
      </c>
      <c r="U192" s="389">
        <f t="shared" si="65"/>
        <v>10</v>
      </c>
      <c r="V192" s="389">
        <f t="shared" si="66"/>
        <v>2.5000000000000001E-3</v>
      </c>
      <c r="W192" s="389">
        <f t="shared" si="67"/>
        <v>-9.9975000000000005</v>
      </c>
      <c r="X192" s="389">
        <f t="shared" si="68"/>
        <v>10</v>
      </c>
      <c r="Y192" s="389">
        <f t="shared" si="86"/>
        <v>3.0999999999999999E-3</v>
      </c>
      <c r="Z192" s="389">
        <f t="shared" si="69"/>
        <v>-9.9969000000000001</v>
      </c>
      <c r="AA192" s="389">
        <f t="shared" si="70"/>
        <v>10</v>
      </c>
      <c r="AB192" s="389" t="b">
        <f t="shared" si="71"/>
        <v>0</v>
      </c>
      <c r="AC192" s="389">
        <f t="shared" si="72"/>
        <v>-10</v>
      </c>
      <c r="AD192" s="389">
        <f t="shared" si="73"/>
        <v>10</v>
      </c>
      <c r="AE192" s="389">
        <f t="shared" si="74"/>
        <v>2</v>
      </c>
      <c r="AG192" s="311" t="str">
        <f t="shared" si="75"/>
        <v>Ch D Male Kickball-</v>
      </c>
      <c r="AH192" s="453">
        <f t="shared" si="76"/>
        <v>9</v>
      </c>
      <c r="AI192" s="453">
        <f t="shared" si="77"/>
        <v>2</v>
      </c>
      <c r="AJ192" t="str">
        <f t="array" ref="AJ192">IF(AND(AI192&gt;1,G192&lt;&gt;""),INDEX(FS_teams,MATCH(1,(FS_Keys=AG192)*(FS_Points=I192)*(FS_teams&lt;&gt;G192),0)),"")</f>
        <v>CHILD DM - ISR 1</v>
      </c>
      <c r="AK192" s="390" t="e">
        <f t="array" ref="AK192">IF(AJ192&lt;&gt;"",INDEX(TM_Score1,MATCH(1,(TM_Events=D192)*(TM_Participant1=G192)*(TM_Participant2=AJ192),0)),"")</f>
        <v>#N/A</v>
      </c>
      <c r="AL192" s="390" t="e">
        <f t="array" ref="AL192">IF(AJ192&lt;&gt;"",INDEX(TM_Score1,MATCH(1,(TM_Events=D192)*(TM_Participant1=AJ192)*(TM_Participant2=G192),0)),"")</f>
        <v>#N/A</v>
      </c>
      <c r="AM192" s="389" t="str">
        <f t="array" ref="AM192">IF(ISNUMBER(AK192),INDEX(TM_Score2,MATCH(1,(TM_Events=D192)*(TM_Participant1=G192)*(TM_Participant2=AJ192),0)),"")</f>
        <v/>
      </c>
      <c r="AN192" s="389" t="str">
        <f t="array" ref="AN192">IF(ISNUMBER(AL192),INDEX(TM_Score2,MATCH(1,(TM_Events=D192)*(TM_Participant1=AJ192)*(TM_Participant2=G192),0)),"")</f>
        <v/>
      </c>
      <c r="AO192" s="389" t="str">
        <f t="shared" si="78"/>
        <v>did not play</v>
      </c>
      <c r="AP192" s="389">
        <f t="shared" si="79"/>
        <v>0</v>
      </c>
      <c r="AQ192" s="389">
        <f t="shared" si="80"/>
        <v>0</v>
      </c>
      <c r="AR192" s="389">
        <f t="shared" si="81"/>
        <v>3</v>
      </c>
      <c r="AS192" s="453">
        <f t="shared" si="82"/>
        <v>-14</v>
      </c>
      <c r="AT192" s="452">
        <f t="shared" si="83"/>
        <v>9</v>
      </c>
    </row>
    <row r="193" spans="1:46" ht="16" x14ac:dyDescent="0.2">
      <c r="A193" s="298"/>
      <c r="B193"/>
      <c r="C193" s="462"/>
      <c r="D193" s="303" t="s">
        <v>57</v>
      </c>
      <c r="E193" s="396"/>
      <c r="F193" s="398">
        <v>1</v>
      </c>
      <c r="G193" s="397" t="s">
        <v>597</v>
      </c>
      <c r="H193" s="387" t="str">
        <f t="shared" si="58"/>
        <v>2-1-0</v>
      </c>
      <c r="I193" s="389">
        <f t="shared" si="59"/>
        <v>4</v>
      </c>
      <c r="J193" s="455">
        <f t="shared" si="84"/>
        <v>1</v>
      </c>
      <c r="K193" s="455">
        <f t="shared" si="60"/>
        <v>3</v>
      </c>
      <c r="L193" s="455" t="str">
        <f t="shared" si="85"/>
        <v/>
      </c>
      <c r="M193" s="389" t="str">
        <f>IFERROR(IF(AD193&lt;=VLOOKUP(D193,Tournaments!$A$1:$B$1772,2,FALSE),"TRUE","FALSE"),"")</f>
        <v>TRUE</v>
      </c>
      <c r="N193" s="389">
        <v>1</v>
      </c>
      <c r="O193" s="389">
        <f t="shared" si="61"/>
        <v>4</v>
      </c>
      <c r="Q193" s="389">
        <f t="shared" si="62"/>
        <v>2</v>
      </c>
      <c r="R193" s="389">
        <f t="shared" si="63"/>
        <v>1</v>
      </c>
      <c r="S193" s="389">
        <f t="shared" si="64"/>
        <v>0</v>
      </c>
      <c r="U193" s="389">
        <f t="shared" si="65"/>
        <v>6</v>
      </c>
      <c r="V193" s="389">
        <f t="shared" si="66"/>
        <v>2.5000000000000001E-3</v>
      </c>
      <c r="W193" s="389">
        <f t="shared" si="67"/>
        <v>-5.9974999999999996</v>
      </c>
      <c r="X193" s="389">
        <f t="shared" si="68"/>
        <v>6</v>
      </c>
      <c r="Y193" s="389">
        <f t="shared" si="86"/>
        <v>7.2099999999999997E-2</v>
      </c>
      <c r="Z193" s="389">
        <f t="shared" si="69"/>
        <v>-5.9279000000000002</v>
      </c>
      <c r="AA193" s="389">
        <f t="shared" si="70"/>
        <v>4</v>
      </c>
      <c r="AB193" s="389" t="b">
        <f t="shared" si="71"/>
        <v>0</v>
      </c>
      <c r="AC193" s="389">
        <f t="shared" si="72"/>
        <v>-4</v>
      </c>
      <c r="AD193" s="389">
        <f t="shared" si="73"/>
        <v>4</v>
      </c>
      <c r="AE193" s="389">
        <f t="shared" si="74"/>
        <v>4</v>
      </c>
      <c r="AG193" s="311" t="str">
        <f t="shared" si="75"/>
        <v>Ch D Male Kickball-</v>
      </c>
      <c r="AH193" s="453">
        <f t="shared" si="76"/>
        <v>3</v>
      </c>
      <c r="AI193" s="453">
        <f t="shared" si="77"/>
        <v>4</v>
      </c>
      <c r="AJ193" t="str">
        <f t="array" ref="AJ193">IF(AND(AI193&gt;1,G193&lt;&gt;""),INDEX(FS_teams,MATCH(1,(FS_Keys=AG193)*(FS_Points=I193)*(FS_teams&lt;&gt;G193),0)),"")</f>
        <v>CHILD DM - MEX</v>
      </c>
      <c r="AK193" s="390" t="e">
        <f t="array" ref="AK193">IF(AJ193&lt;&gt;"",INDEX(TM_Score1,MATCH(1,(TM_Events=D193)*(TM_Participant1=G193)*(TM_Participant2=AJ193),0)),"")</f>
        <v>#N/A</v>
      </c>
      <c r="AL193" s="390" t="e">
        <f t="array" ref="AL193">IF(AJ193&lt;&gt;"",INDEX(TM_Score1,MATCH(1,(TM_Events=D193)*(TM_Participant1=AJ193)*(TM_Participant2=G193),0)),"")</f>
        <v>#N/A</v>
      </c>
      <c r="AM193" s="389" t="str">
        <f t="array" ref="AM193">IF(ISNUMBER(AK193),INDEX(TM_Score2,MATCH(1,(TM_Events=D193)*(TM_Participant1=G193)*(TM_Participant2=AJ193),0)),"")</f>
        <v/>
      </c>
      <c r="AN193" s="389" t="str">
        <f t="array" ref="AN193">IF(ISNUMBER(AL193),INDEX(TM_Score2,MATCH(1,(TM_Events=D193)*(TM_Participant1=AJ193)*(TM_Participant2=G193),0)),"")</f>
        <v/>
      </c>
      <c r="AO193" s="389" t="str">
        <f t="shared" si="78"/>
        <v>did not play</v>
      </c>
      <c r="AP193" s="389">
        <f t="shared" si="79"/>
        <v>2</v>
      </c>
      <c r="AQ193" s="389">
        <f t="shared" si="80"/>
        <v>0</v>
      </c>
      <c r="AR193" s="389">
        <f t="shared" si="81"/>
        <v>1</v>
      </c>
      <c r="AS193" s="453">
        <f t="shared" si="82"/>
        <v>3</v>
      </c>
      <c r="AT193" s="452">
        <f t="shared" si="83"/>
        <v>28</v>
      </c>
    </row>
    <row r="194" spans="1:46" ht="16" x14ac:dyDescent="0.2">
      <c r="A194" s="298"/>
      <c r="B194"/>
      <c r="C194" s="462"/>
      <c r="D194" s="303" t="s">
        <v>57</v>
      </c>
      <c r="E194" s="387"/>
      <c r="F194" s="398">
        <v>1</v>
      </c>
      <c r="G194" s="397" t="s">
        <v>601</v>
      </c>
      <c r="H194" s="387" t="str">
        <f t="shared" si="58"/>
        <v>2-2-0</v>
      </c>
      <c r="I194" s="389">
        <f t="shared" si="59"/>
        <v>4</v>
      </c>
      <c r="J194" s="455">
        <f t="shared" si="84"/>
        <v>1</v>
      </c>
      <c r="K194" s="455">
        <f t="shared" si="60"/>
        <v>4</v>
      </c>
      <c r="L194" s="455" t="str">
        <f t="shared" si="85"/>
        <v/>
      </c>
      <c r="M194" s="389" t="str">
        <f>IFERROR(IF(AD194&lt;=VLOOKUP(D194,Tournaments!$A$1:$B$1772,2,FALSE),"TRUE","FALSE"),"")</f>
        <v>TRUE</v>
      </c>
      <c r="N194" s="389">
        <v>1</v>
      </c>
      <c r="O194" s="389">
        <f t="shared" si="61"/>
        <v>3</v>
      </c>
      <c r="Q194" s="389">
        <f t="shared" si="62"/>
        <v>2</v>
      </c>
      <c r="R194" s="389">
        <f t="shared" si="63"/>
        <v>2</v>
      </c>
      <c r="S194" s="389">
        <f t="shared" si="64"/>
        <v>0</v>
      </c>
      <c r="U194" s="389">
        <f t="shared" si="65"/>
        <v>6</v>
      </c>
      <c r="V194" s="389">
        <f t="shared" si="66"/>
        <v>2.5000000000000001E-3</v>
      </c>
      <c r="W194" s="389">
        <f t="shared" si="67"/>
        <v>-5.9974999999999996</v>
      </c>
      <c r="X194" s="389">
        <f t="shared" si="68"/>
        <v>6</v>
      </c>
      <c r="Y194" s="389">
        <f t="shared" si="86"/>
        <v>7.2900000000000006E-2</v>
      </c>
      <c r="Z194" s="389">
        <f t="shared" si="69"/>
        <v>-5.9271000000000003</v>
      </c>
      <c r="AA194" s="389">
        <f t="shared" si="70"/>
        <v>3</v>
      </c>
      <c r="AB194" s="389" t="b">
        <f t="shared" si="71"/>
        <v>0</v>
      </c>
      <c r="AC194" s="389">
        <f t="shared" si="72"/>
        <v>-3</v>
      </c>
      <c r="AD194" s="389">
        <f t="shared" si="73"/>
        <v>3</v>
      </c>
      <c r="AE194" s="389">
        <f t="shared" si="74"/>
        <v>4</v>
      </c>
      <c r="AG194" s="311" t="str">
        <f t="shared" si="75"/>
        <v>Ch D Male Kickball-</v>
      </c>
      <c r="AH194" s="453">
        <f t="shared" si="76"/>
        <v>3</v>
      </c>
      <c r="AI194" s="453">
        <f t="shared" si="77"/>
        <v>4</v>
      </c>
      <c r="AJ194" t="str">
        <f t="array" ref="AJ194">IF(AND(AI194&gt;1,G194&lt;&gt;""),INDEX(FS_teams,MATCH(1,(FS_Keys=AG194)*(FS_Points=I194)*(FS_teams&lt;&gt;G194),0)),"")</f>
        <v>CHILD DM - VEN 1</v>
      </c>
      <c r="AK194" s="390" t="e">
        <f t="array" ref="AK194">IF(AJ194&lt;&gt;"",INDEX(TM_Score1,MATCH(1,(TM_Events=D194)*(TM_Participant1=G194)*(TM_Participant2=AJ194),0)),"")</f>
        <v>#N/A</v>
      </c>
      <c r="AL194" s="390" t="e">
        <f t="array" ref="AL194">IF(AJ194&lt;&gt;"",INDEX(TM_Score1,MATCH(1,(TM_Events=D194)*(TM_Participant1=AJ194)*(TM_Participant2=G194),0)),"")</f>
        <v>#N/A</v>
      </c>
      <c r="AM194" s="389" t="str">
        <f t="array" ref="AM194">IF(ISNUMBER(AK194),INDEX(TM_Score2,MATCH(1,(TM_Events=D194)*(TM_Participant1=G194)*(TM_Participant2=AJ194),0)),"")</f>
        <v/>
      </c>
      <c r="AN194" s="389" t="str">
        <f t="array" ref="AN194">IF(ISNUMBER(AL194),INDEX(TM_Score2,MATCH(1,(TM_Events=D194)*(TM_Participant1=AJ194)*(TM_Participant2=G194),0)),"")</f>
        <v/>
      </c>
      <c r="AO194" s="389" t="str">
        <f t="shared" si="78"/>
        <v>did not play</v>
      </c>
      <c r="AP194" s="389">
        <f t="shared" si="79"/>
        <v>2</v>
      </c>
      <c r="AQ194" s="389">
        <f t="shared" si="80"/>
        <v>0</v>
      </c>
      <c r="AR194" s="389">
        <f t="shared" si="81"/>
        <v>2</v>
      </c>
      <c r="AS194" s="453">
        <f t="shared" si="82"/>
        <v>4</v>
      </c>
      <c r="AT194" s="452">
        <f t="shared" si="83"/>
        <v>30</v>
      </c>
    </row>
    <row r="195" spans="1:46" ht="16" x14ac:dyDescent="0.2">
      <c r="A195" s="298"/>
      <c r="B195"/>
      <c r="C195" s="462"/>
      <c r="D195" s="303" t="s">
        <v>57</v>
      </c>
      <c r="E195" s="396"/>
      <c r="F195" s="387">
        <v>1</v>
      </c>
      <c r="G195" s="397" t="s">
        <v>595</v>
      </c>
      <c r="H195" s="387" t="str">
        <f t="shared" ref="H195:H258" si="87">Q195&amp;"-"&amp;R195&amp;"-"&amp;S195</f>
        <v>0-2-1</v>
      </c>
      <c r="I195" s="389">
        <f t="shared" ref="I195:I258" si="88">IF(H195&lt;&gt;"0-0-0",Q195*2+S195,0)</f>
        <v>1</v>
      </c>
      <c r="J195" s="455" t="str">
        <f t="shared" si="84"/>
        <v/>
      </c>
      <c r="K195" s="455" t="str">
        <f t="shared" ref="K195:K258" si="89">IF(COUNTIFS(AG:AG,AG195,I:I,I195,J:J,J195)&gt;1,AS195,"")</f>
        <v/>
      </c>
      <c r="L195" s="455" t="str">
        <f t="shared" si="85"/>
        <v/>
      </c>
      <c r="M195" s="389" t="str">
        <f>IFERROR(IF(AD195&lt;=VLOOKUP(D195,Tournaments!$A$1:$B$1772,2,FALSE),"TRUE","FALSE"),"")</f>
        <v>FALSE</v>
      </c>
      <c r="N195" s="389">
        <v>1</v>
      </c>
      <c r="O195" s="389">
        <f t="shared" ref="O195:O258" si="90">AD195</f>
        <v>8</v>
      </c>
      <c r="Q195" s="389">
        <f t="shared" ref="Q195:Q258" si="91">AP195</f>
        <v>0</v>
      </c>
      <c r="R195" s="389">
        <f t="shared" ref="R195:R258" si="92">AR195</f>
        <v>2</v>
      </c>
      <c r="S195" s="389">
        <f t="shared" ref="S195:S258" si="93">AQ195</f>
        <v>1</v>
      </c>
      <c r="U195" s="389">
        <f t="shared" ref="U195:U258" si="94">IF(E195&lt;&gt;"",COUNTIFS($D$3:$D$1001,D195,$E$3:$E$1001,E195,$I$3:$I$1001,"&gt;"&amp;I195)+COUNTIFS($D$3:$D$1001,D195,$E$3:$E$1001,E195,$I$3:$I$1001,I195),COUNTIFS($D$3:$D$1001,D195,$I$3:$I$1001,"&gt;"&amp;I195)+COUNTIFS($D$3:$D$1001,D195,$I$3:$I$1001,I195))</f>
        <v>8</v>
      </c>
      <c r="V195" s="389" t="b">
        <f t="shared" ref="V195:V258" si="95">IFERROR(RANK(J195,$J:$J,1)/10000,FALSE)</f>
        <v>0</v>
      </c>
      <c r="W195" s="389">
        <f t="shared" ref="W195:W258" si="96">V195-U195</f>
        <v>-8</v>
      </c>
      <c r="X195" s="389">
        <f t="shared" ref="X195:X258" si="97">IF(E195&lt;&gt;"",COUNTIFS($D:$D,$D195,$E:$E,$E195,$W:$W,"&gt;"&amp;W195)+COUNTIFS($D:$D,$D195,$E:$E,$E195,$W:$W,W195),COUNTIFS($D:$D,$D195,$W:$W,"&gt;"&amp;W195)+COUNTIFS($D:$D,$D195,$W:$W,W195))</f>
        <v>8</v>
      </c>
      <c r="Y195" s="389" t="b">
        <f t="shared" si="86"/>
        <v>0</v>
      </c>
      <c r="Z195" s="389">
        <f t="shared" ref="Z195:Z258" si="98">Y195-X195</f>
        <v>-8</v>
      </c>
      <c r="AA195" s="389">
        <f t="shared" ref="AA195:AA258" si="99">IF(E195&lt;&gt;"",(COUNTIFS($D:$D,D195,$E:$E,E195,$Z:$Z,"&gt;"&amp;Z195)+COUNTIFS($D:$D,D195,$E:$E,E195,$Z:$Z,Z195)),(COUNTIFS($D:$D,D195,$Z:$Z,"&gt;"&amp;Z195)+COUNTIFS($D:$D,D195,$Z:$Z,Z195)))</f>
        <v>8</v>
      </c>
      <c r="AB195" s="389" t="b">
        <f t="shared" ref="AB195:AB258" si="100">IFERROR(RANK(L195,$L:$L,1)/10000,FALSE)</f>
        <v>0</v>
      </c>
      <c r="AC195" s="389">
        <f t="shared" ref="AC195:AC258" si="101">AB195-AA195</f>
        <v>-8</v>
      </c>
      <c r="AD195" s="389">
        <f t="shared" ref="AD195:AD258" si="102">IF(E195&lt;&gt;"",COUNTIFS($D:$D,$D195,$E:$E,$E195,$AC:$AC,"&gt;"&amp;AC195)+COUNTIFS($D:$D,$D195,$E:$E,$E195,$AC:$AC,AC195),COUNTIFS($D:$D,$D195,$AC:$AC,"&gt;"&amp;AC195)+COUNTIFS($D:$D,$D195,$AC:$AC,AC195))</f>
        <v>8</v>
      </c>
      <c r="AE195" s="389">
        <f t="shared" ref="AE195:AE258" si="103">IF(E195&lt;&gt;"",COUNTIFS($D:$D,D195,$E:$E,E195,$I:$I,I195,$J:$J,J195),COUNTIFS($D:$D,D195,$I:$I,I195,$J:$J,J195))</f>
        <v>1</v>
      </c>
      <c r="AG195" s="311" t="str">
        <f t="shared" ref="AG195:AG258" si="104">D195&amp;"-"&amp;E195</f>
        <v>Ch D Male Kickball-</v>
      </c>
      <c r="AH195" s="453">
        <f t="shared" ref="AH195:AH258" si="105">IF(G195="","",COUNTIFS(FS_teams,"&lt;&gt;-1",FS_Keys,AG195,FS_Points,"&gt;"&amp;I195)+1)</f>
        <v>8</v>
      </c>
      <c r="AI195" s="453">
        <f t="shared" ref="AI195:AI258" si="106">IF(G195="","",COUNTIFS(FS_Keys,AG195,FS_Rank_on_Points,AH195))</f>
        <v>1</v>
      </c>
      <c r="AJ195" t="str">
        <f t="array" ref="AJ195">IF(AND(AI195&gt;1,G195&lt;&gt;""),INDEX(FS_teams,MATCH(1,(FS_Keys=AG195)*(FS_Points=I195)*(FS_teams&lt;&gt;G195),0)),"")</f>
        <v/>
      </c>
      <c r="AK195" s="390" t="str">
        <f t="array" ref="AK195">IF(AJ195&lt;&gt;"",INDEX(TM_Score1,MATCH(1,(TM_Events=D195)*(TM_Participant1=G195)*(TM_Participant2=AJ195),0)),"")</f>
        <v/>
      </c>
      <c r="AL195" s="390" t="str">
        <f t="array" ref="AL195">IF(AJ195&lt;&gt;"",INDEX(TM_Score1,MATCH(1,(TM_Events=D195)*(TM_Participant1=AJ195)*(TM_Participant2=G195),0)),"")</f>
        <v/>
      </c>
      <c r="AM195" s="389" t="str">
        <f t="array" ref="AM195">IF(ISNUMBER(AK195),INDEX(TM_Score2,MATCH(1,(TM_Events=D195)*(TM_Participant1=G195)*(TM_Participant2=AJ195),0)),"")</f>
        <v/>
      </c>
      <c r="AN195" s="389" t="str">
        <f t="array" ref="AN195">IF(ISNUMBER(AL195),INDEX(TM_Score2,MATCH(1,(TM_Events=D195)*(TM_Participant1=AJ195)*(TM_Participant2=G195),0)),"")</f>
        <v/>
      </c>
      <c r="AO195" s="389" t="str">
        <f t="shared" ref="AO195:AO258" si="107">IF(AJ195="","",IF(ISNUMBER(AK195),IF(AK195&gt;AM195,"Win",IF(AK195=AM195,"Tie",IF(AK195&lt;AM195,"Loss","check"))),IF(ISNUMBER(AL195),IF(AN195&gt;AL195,"Win",IF(AN195=AL195,"Tie",IF(AN195&lt;AL195,"Loss","check"))),IF(AND(ISNA(AK195),ISNA(AL195)),"did not play","check"))))</f>
        <v/>
      </c>
      <c r="AP195" s="389">
        <f t="shared" ref="AP195:AP258" si="108">SUMIFS(TM_W1,TM_Events,D195,TM_Participant1,G195)+SUMIFS(TM_w2,TM_Events,D195,TM_Participant2,G195)</f>
        <v>0</v>
      </c>
      <c r="AQ195" s="389">
        <f t="shared" ref="AQ195:AQ258" si="109">SUMIFS(TM_T1,TM_Events,D195,TM_Participant1,G195)+SUMIFS(TM_T2,TM_Events,D195,TM_Participant2,G195)</f>
        <v>1</v>
      </c>
      <c r="AR195" s="389">
        <f t="shared" ref="AR195:AR258" si="110">SUMIFS(TM_L1,TM_Events,D195,TM_Participant1,G195)+SUMIFS(TM_L2,TM_Events,D195,TM_Participant2,G195)</f>
        <v>2</v>
      </c>
      <c r="AS195" s="453">
        <f t="shared" ref="AS195:AS258" si="111">SUMIFS(Net_1,TM_Events,D195,TM_Participant1,G195)+SUMIFS(Net_2,TM_Events,D195,TM_Participant2,G195)</f>
        <v>-6</v>
      </c>
      <c r="AT195" s="452">
        <f t="shared" ref="AT195:AT258" si="112">SUMIFS(Score_1,TM_Events,D195,TM_Participant1,G195)+SUMIFS(Score_2,TM_Events,D195,TM_Participant2,G195)</f>
        <v>7</v>
      </c>
    </row>
    <row r="196" spans="1:46" ht="16" x14ac:dyDescent="0.2">
      <c r="A196" s="298"/>
      <c r="B196"/>
      <c r="C196" s="462"/>
      <c r="D196" s="303" t="s">
        <v>57</v>
      </c>
      <c r="E196" s="396"/>
      <c r="F196" s="387">
        <v>1</v>
      </c>
      <c r="G196" s="397" t="s">
        <v>594</v>
      </c>
      <c r="H196" s="387" t="str">
        <f t="shared" si="87"/>
        <v>5-0-0</v>
      </c>
      <c r="I196" s="389">
        <f t="shared" si="88"/>
        <v>10</v>
      </c>
      <c r="J196" s="455" t="str">
        <f t="shared" ref="J196:J259" si="113">IF(E196&lt;&gt;"",IF(COUNTIFS($D:$D,D196,$E:$E,E196,$I:$I,I196)&lt;3,IFERROR(IF(H196&lt;&gt;"0-0-0",IF(AO196&lt;&gt;"",IF(AO196="Win",2,IF(AO196="Loss",0,1)),""),""),""),1),IF(COUNTIFS(D:D,D196,I:I,I196)&lt;3,IFERROR(IF(H196&lt;&gt;"0-0-0",IF(AO196&lt;&gt;"",IF(AO196="Win",2,IF(AO196="Loss",0,1)),""),""),""),1))</f>
        <v/>
      </c>
      <c r="K196" s="455" t="str">
        <f t="shared" si="89"/>
        <v/>
      </c>
      <c r="L196" s="455" t="str">
        <f t="shared" ref="L196:L259" si="114">IF(COUNTIFS(AG:AG,AG196,I:I,I196,J:J,J196,K:K,K196)&gt;1,AT196,"")</f>
        <v/>
      </c>
      <c r="M196" s="389" t="str">
        <f>IFERROR(IF(AD196&lt;=VLOOKUP(D196,Tournaments!$A$1:$B$1772,2,FALSE),"TRUE","FALSE"),"")</f>
        <v>TRUE</v>
      </c>
      <c r="N196" s="389">
        <v>1</v>
      </c>
      <c r="O196" s="389">
        <f t="shared" si="90"/>
        <v>1</v>
      </c>
      <c r="Q196" s="389">
        <f t="shared" si="91"/>
        <v>5</v>
      </c>
      <c r="R196" s="389">
        <f t="shared" si="92"/>
        <v>0</v>
      </c>
      <c r="S196" s="389">
        <f t="shared" si="93"/>
        <v>0</v>
      </c>
      <c r="U196" s="389">
        <f t="shared" si="94"/>
        <v>1</v>
      </c>
      <c r="V196" s="389" t="b">
        <f t="shared" si="95"/>
        <v>0</v>
      </c>
      <c r="W196" s="389">
        <f t="shared" si="96"/>
        <v>-1</v>
      </c>
      <c r="X196" s="389">
        <f t="shared" si="97"/>
        <v>1</v>
      </c>
      <c r="Y196" s="389" t="b">
        <f t="shared" ref="Y196:Y259" si="115">IFERROR(IF(K196&gt;=0,RANK(K196,$K:$K,1)/10000,RANK(K196,$K:$K,1)/10000),FALSE)</f>
        <v>0</v>
      </c>
      <c r="Z196" s="389">
        <f t="shared" si="98"/>
        <v>-1</v>
      </c>
      <c r="AA196" s="389">
        <f t="shared" si="99"/>
        <v>1</v>
      </c>
      <c r="AB196" s="389" t="b">
        <f t="shared" si="100"/>
        <v>0</v>
      </c>
      <c r="AC196" s="389">
        <f t="shared" si="101"/>
        <v>-1</v>
      </c>
      <c r="AD196" s="389">
        <f t="shared" si="102"/>
        <v>1</v>
      </c>
      <c r="AE196" s="389">
        <f t="shared" si="103"/>
        <v>1</v>
      </c>
      <c r="AG196" s="311" t="str">
        <f t="shared" si="104"/>
        <v>Ch D Male Kickball-</v>
      </c>
      <c r="AH196" s="453">
        <f t="shared" si="105"/>
        <v>1</v>
      </c>
      <c r="AI196" s="453">
        <f t="shared" si="106"/>
        <v>1</v>
      </c>
      <c r="AJ196" t="str">
        <f t="array" ref="AJ196">IF(AND(AI196&gt;1,G196&lt;&gt;""),INDEX(FS_teams,MATCH(1,(FS_Keys=AG196)*(FS_Points=I196)*(FS_teams&lt;&gt;G196),0)),"")</f>
        <v/>
      </c>
      <c r="AK196" s="390" t="str">
        <f t="array" ref="AK196">IF(AJ196&lt;&gt;"",INDEX(TM_Score1,MATCH(1,(TM_Events=D196)*(TM_Participant1=G196)*(TM_Participant2=AJ196),0)),"")</f>
        <v/>
      </c>
      <c r="AL196" s="390" t="str">
        <f t="array" ref="AL196">IF(AJ196&lt;&gt;"",INDEX(TM_Score1,MATCH(1,(TM_Events=D196)*(TM_Participant1=AJ196)*(TM_Participant2=G196),0)),"")</f>
        <v/>
      </c>
      <c r="AM196" s="389" t="str">
        <f t="array" ref="AM196">IF(ISNUMBER(AK196),INDEX(TM_Score2,MATCH(1,(TM_Events=D196)*(TM_Participant1=G196)*(TM_Participant2=AJ196),0)),"")</f>
        <v/>
      </c>
      <c r="AN196" s="389" t="str">
        <f t="array" ref="AN196">IF(ISNUMBER(AL196),INDEX(TM_Score2,MATCH(1,(TM_Events=D196)*(TM_Participant1=AJ196)*(TM_Participant2=G196),0)),"")</f>
        <v/>
      </c>
      <c r="AO196" s="389" t="str">
        <f t="shared" si="107"/>
        <v/>
      </c>
      <c r="AP196" s="389">
        <f t="shared" si="108"/>
        <v>5</v>
      </c>
      <c r="AQ196" s="389">
        <f t="shared" si="109"/>
        <v>0</v>
      </c>
      <c r="AR196" s="389">
        <f t="shared" si="110"/>
        <v>0</v>
      </c>
      <c r="AS196" s="453">
        <f t="shared" si="111"/>
        <v>13</v>
      </c>
      <c r="AT196" s="452">
        <f t="shared" si="112"/>
        <v>46</v>
      </c>
    </row>
    <row r="197" spans="1:46" ht="16" x14ac:dyDescent="0.2">
      <c r="A197" s="298"/>
      <c r="B197"/>
      <c r="C197" s="462"/>
      <c r="D197" s="303" t="s">
        <v>57</v>
      </c>
      <c r="E197" s="396"/>
      <c r="F197" s="387">
        <v>1</v>
      </c>
      <c r="G197" s="397" t="s">
        <v>600</v>
      </c>
      <c r="H197" s="387" t="str">
        <f t="shared" si="87"/>
        <v>0-3-0</v>
      </c>
      <c r="I197" s="389">
        <f t="shared" si="88"/>
        <v>0</v>
      </c>
      <c r="J197" s="455">
        <f t="shared" si="113"/>
        <v>1</v>
      </c>
      <c r="K197" s="455">
        <f t="shared" si="89"/>
        <v>-8</v>
      </c>
      <c r="L197" s="455" t="str">
        <f t="shared" si="114"/>
        <v/>
      </c>
      <c r="M197" s="389" t="str">
        <f>IFERROR(IF(AD197&lt;=VLOOKUP(D197,Tournaments!$A$1:$B$1772,2,FALSE),"TRUE","FALSE"),"")</f>
        <v>FALSE</v>
      </c>
      <c r="N197" s="389">
        <v>1</v>
      </c>
      <c r="O197" s="389">
        <f t="shared" si="90"/>
        <v>9</v>
      </c>
      <c r="Q197" s="389">
        <f t="shared" si="91"/>
        <v>0</v>
      </c>
      <c r="R197" s="389">
        <f t="shared" si="92"/>
        <v>3</v>
      </c>
      <c r="S197" s="389">
        <f t="shared" si="93"/>
        <v>0</v>
      </c>
      <c r="U197" s="389">
        <f t="shared" si="94"/>
        <v>10</v>
      </c>
      <c r="V197" s="389">
        <f t="shared" si="95"/>
        <v>2.5000000000000001E-3</v>
      </c>
      <c r="W197" s="389">
        <f t="shared" si="96"/>
        <v>-9.9975000000000005</v>
      </c>
      <c r="X197" s="389">
        <f t="shared" si="97"/>
        <v>10</v>
      </c>
      <c r="Y197" s="389">
        <f t="shared" si="115"/>
        <v>4.4999999999999997E-3</v>
      </c>
      <c r="Z197" s="389">
        <f t="shared" si="98"/>
        <v>-9.9954999999999998</v>
      </c>
      <c r="AA197" s="389">
        <f t="shared" si="99"/>
        <v>9</v>
      </c>
      <c r="AB197" s="389" t="b">
        <f t="shared" si="100"/>
        <v>0</v>
      </c>
      <c r="AC197" s="389">
        <f t="shared" si="101"/>
        <v>-9</v>
      </c>
      <c r="AD197" s="389">
        <f t="shared" si="102"/>
        <v>9</v>
      </c>
      <c r="AE197" s="389">
        <f t="shared" si="103"/>
        <v>2</v>
      </c>
      <c r="AG197" s="311" t="str">
        <f t="shared" si="104"/>
        <v>Ch D Male Kickball-</v>
      </c>
      <c r="AH197" s="453">
        <f t="shared" si="105"/>
        <v>9</v>
      </c>
      <c r="AI197" s="453">
        <f t="shared" si="106"/>
        <v>2</v>
      </c>
      <c r="AJ197" t="str">
        <f t="array" ref="AJ197">IF(AND(AI197&gt;1,G197&lt;&gt;""),INDEX(FS_teams,MATCH(1,(FS_Keys=AG197)*(FS_Points=I197)*(FS_teams&lt;&gt;G197),0)),"")</f>
        <v>CHILD DM - COL 2</v>
      </c>
      <c r="AK197" s="390" t="e">
        <f t="array" ref="AK197">IF(AJ197&lt;&gt;"",INDEX(TM_Score1,MATCH(1,(TM_Events=D197)*(TM_Participant1=G197)*(TM_Participant2=AJ197),0)),"")</f>
        <v>#N/A</v>
      </c>
      <c r="AL197" s="390" t="e">
        <f t="array" ref="AL197">IF(AJ197&lt;&gt;"",INDEX(TM_Score1,MATCH(1,(TM_Events=D197)*(TM_Participant1=AJ197)*(TM_Participant2=G197),0)),"")</f>
        <v>#N/A</v>
      </c>
      <c r="AM197" s="389" t="str">
        <f t="array" ref="AM197">IF(ISNUMBER(AK197),INDEX(TM_Score2,MATCH(1,(TM_Events=D197)*(TM_Participant1=G197)*(TM_Participant2=AJ197),0)),"")</f>
        <v/>
      </c>
      <c r="AN197" s="389" t="str">
        <f t="array" ref="AN197">IF(ISNUMBER(AL197),INDEX(TM_Score2,MATCH(1,(TM_Events=D197)*(TM_Participant1=AJ197)*(TM_Participant2=G197),0)),"")</f>
        <v/>
      </c>
      <c r="AO197" s="389" t="str">
        <f t="shared" si="107"/>
        <v>did not play</v>
      </c>
      <c r="AP197" s="389">
        <f t="shared" si="108"/>
        <v>0</v>
      </c>
      <c r="AQ197" s="389">
        <f t="shared" si="109"/>
        <v>0</v>
      </c>
      <c r="AR197" s="389">
        <f t="shared" si="110"/>
        <v>3</v>
      </c>
      <c r="AS197" s="453">
        <f t="shared" si="111"/>
        <v>-8</v>
      </c>
      <c r="AT197" s="452">
        <f t="shared" si="112"/>
        <v>13</v>
      </c>
    </row>
    <row r="198" spans="1:46" ht="16" x14ac:dyDescent="0.2">
      <c r="A198" s="298"/>
      <c r="B198"/>
      <c r="C198" s="462"/>
      <c r="D198" s="303" t="s">
        <v>57</v>
      </c>
      <c r="E198" s="387"/>
      <c r="F198" s="387">
        <v>1</v>
      </c>
      <c r="G198" s="397" t="s">
        <v>593</v>
      </c>
      <c r="H198" s="387" t="str">
        <f t="shared" si="87"/>
        <v>2-1-0</v>
      </c>
      <c r="I198" s="389">
        <f t="shared" si="88"/>
        <v>4</v>
      </c>
      <c r="J198" s="455">
        <f t="shared" si="113"/>
        <v>1</v>
      </c>
      <c r="K198" s="455">
        <f t="shared" si="89"/>
        <v>1</v>
      </c>
      <c r="L198" s="455" t="str">
        <f t="shared" si="114"/>
        <v/>
      </c>
      <c r="M198" s="389" t="str">
        <f>IFERROR(IF(AD198&lt;=VLOOKUP(D198,Tournaments!$A$1:$B$1772,2,FALSE),"TRUE","FALSE"),"")</f>
        <v>FALSE</v>
      </c>
      <c r="N198" s="389">
        <v>1</v>
      </c>
      <c r="O198" s="389">
        <f t="shared" si="90"/>
        <v>5</v>
      </c>
      <c r="Q198" s="389">
        <f t="shared" si="91"/>
        <v>2</v>
      </c>
      <c r="R198" s="389">
        <f t="shared" si="92"/>
        <v>1</v>
      </c>
      <c r="S198" s="389">
        <f t="shared" si="93"/>
        <v>0</v>
      </c>
      <c r="U198" s="389">
        <f t="shared" si="94"/>
        <v>6</v>
      </c>
      <c r="V198" s="389">
        <f t="shared" si="95"/>
        <v>2.5000000000000001E-3</v>
      </c>
      <c r="W198" s="389">
        <f t="shared" si="96"/>
        <v>-5.9974999999999996</v>
      </c>
      <c r="X198" s="389">
        <f t="shared" si="97"/>
        <v>6</v>
      </c>
      <c r="Y198" s="389">
        <f t="shared" si="115"/>
        <v>7.0000000000000007E-2</v>
      </c>
      <c r="Z198" s="389">
        <f t="shared" si="98"/>
        <v>-5.93</v>
      </c>
      <c r="AA198" s="389">
        <f t="shared" si="99"/>
        <v>5</v>
      </c>
      <c r="AB198" s="389" t="b">
        <f t="shared" si="100"/>
        <v>0</v>
      </c>
      <c r="AC198" s="389">
        <f t="shared" si="101"/>
        <v>-5</v>
      </c>
      <c r="AD198" s="389">
        <f t="shared" si="102"/>
        <v>5</v>
      </c>
      <c r="AE198" s="389">
        <f t="shared" si="103"/>
        <v>4</v>
      </c>
      <c r="AG198" s="311" t="str">
        <f t="shared" si="104"/>
        <v>Ch D Male Kickball-</v>
      </c>
      <c r="AH198" s="453">
        <f t="shared" si="105"/>
        <v>3</v>
      </c>
      <c r="AI198" s="453">
        <f t="shared" si="106"/>
        <v>4</v>
      </c>
      <c r="AJ198" t="str">
        <f t="array" ref="AJ198">IF(AND(AI198&gt;1,G198&lt;&gt;""),INDEX(FS_teams,MATCH(1,(FS_Keys=AG198)*(FS_Points=I198)*(FS_teams&lt;&gt;G198),0)),"")</f>
        <v>CHILD DM - VEN 1</v>
      </c>
      <c r="AK198" s="390" t="e">
        <f t="array" ref="AK198">IF(AJ198&lt;&gt;"",INDEX(TM_Score1,MATCH(1,(TM_Events=D198)*(TM_Participant1=G198)*(TM_Participant2=AJ198),0)),"")</f>
        <v>#N/A</v>
      </c>
      <c r="AL198" s="390" t="e">
        <f t="array" ref="AL198">IF(AJ198&lt;&gt;"",INDEX(TM_Score1,MATCH(1,(TM_Events=D198)*(TM_Participant1=AJ198)*(TM_Participant2=G198),0)),"")</f>
        <v>#N/A</v>
      </c>
      <c r="AM198" s="389" t="str">
        <f t="array" ref="AM198">IF(ISNUMBER(AK198),INDEX(TM_Score2,MATCH(1,(TM_Events=D198)*(TM_Participant1=G198)*(TM_Participant2=AJ198),0)),"")</f>
        <v/>
      </c>
      <c r="AN198" s="389" t="str">
        <f t="array" ref="AN198">IF(ISNUMBER(AL198),INDEX(TM_Score2,MATCH(1,(TM_Events=D198)*(TM_Participant1=AJ198)*(TM_Participant2=G198),0)),"")</f>
        <v/>
      </c>
      <c r="AO198" s="389" t="str">
        <f t="shared" si="107"/>
        <v>did not play</v>
      </c>
      <c r="AP198" s="389">
        <f t="shared" si="108"/>
        <v>2</v>
      </c>
      <c r="AQ198" s="389">
        <f t="shared" si="109"/>
        <v>0</v>
      </c>
      <c r="AR198" s="389">
        <f t="shared" si="110"/>
        <v>1</v>
      </c>
      <c r="AS198" s="453">
        <f t="shared" si="111"/>
        <v>1</v>
      </c>
      <c r="AT198" s="452">
        <f t="shared" si="112"/>
        <v>13</v>
      </c>
    </row>
    <row r="199" spans="1:46" ht="16" x14ac:dyDescent="0.2">
      <c r="A199" s="298"/>
      <c r="B199"/>
      <c r="C199" s="462"/>
      <c r="D199" s="303" t="s">
        <v>57</v>
      </c>
      <c r="E199" s="396"/>
      <c r="F199" s="387">
        <v>1</v>
      </c>
      <c r="G199" s="397" t="s">
        <v>602</v>
      </c>
      <c r="H199" s="387" t="str">
        <f t="shared" si="87"/>
        <v>2-2-0</v>
      </c>
      <c r="I199" s="389">
        <f t="shared" si="88"/>
        <v>4</v>
      </c>
      <c r="J199" s="455">
        <f t="shared" si="113"/>
        <v>1</v>
      </c>
      <c r="K199" s="455">
        <f t="shared" si="89"/>
        <v>0</v>
      </c>
      <c r="L199" s="455" t="str">
        <f t="shared" si="114"/>
        <v/>
      </c>
      <c r="M199" s="389" t="str">
        <f>IFERROR(IF(AD199&lt;=VLOOKUP(D199,Tournaments!$A$1:$B$1772,2,FALSE),"TRUE","FALSE"),"")</f>
        <v>FALSE</v>
      </c>
      <c r="N199" s="389">
        <v>1</v>
      </c>
      <c r="O199" s="389">
        <f t="shared" si="90"/>
        <v>6</v>
      </c>
      <c r="Q199" s="389">
        <f t="shared" si="91"/>
        <v>2</v>
      </c>
      <c r="R199" s="389">
        <f t="shared" si="92"/>
        <v>2</v>
      </c>
      <c r="S199" s="389">
        <f t="shared" si="93"/>
        <v>0</v>
      </c>
      <c r="U199" s="389">
        <f t="shared" si="94"/>
        <v>6</v>
      </c>
      <c r="V199" s="389">
        <f t="shared" si="95"/>
        <v>2.5000000000000001E-3</v>
      </c>
      <c r="W199" s="389">
        <f t="shared" si="96"/>
        <v>-5.9974999999999996</v>
      </c>
      <c r="X199" s="389">
        <f t="shared" si="97"/>
        <v>6</v>
      </c>
      <c r="Y199" s="389">
        <f t="shared" si="115"/>
        <v>1.0999999999999999E-2</v>
      </c>
      <c r="Z199" s="389">
        <f t="shared" si="98"/>
        <v>-5.9889999999999999</v>
      </c>
      <c r="AA199" s="389">
        <f t="shared" si="99"/>
        <v>6</v>
      </c>
      <c r="AB199" s="389" t="b">
        <f t="shared" si="100"/>
        <v>0</v>
      </c>
      <c r="AC199" s="389">
        <f t="shared" si="101"/>
        <v>-6</v>
      </c>
      <c r="AD199" s="389">
        <f t="shared" si="102"/>
        <v>6</v>
      </c>
      <c r="AE199" s="389">
        <f t="shared" si="103"/>
        <v>4</v>
      </c>
      <c r="AG199" s="311" t="str">
        <f t="shared" si="104"/>
        <v>Ch D Male Kickball-</v>
      </c>
      <c r="AH199" s="453">
        <f t="shared" si="105"/>
        <v>3</v>
      </c>
      <c r="AI199" s="453">
        <f t="shared" si="106"/>
        <v>4</v>
      </c>
      <c r="AJ199" t="str">
        <f t="array" ref="AJ199">IF(AND(AI199&gt;1,G199&lt;&gt;""),INDEX(FS_teams,MATCH(1,(FS_Keys=AG199)*(FS_Points=I199)*(FS_teams&lt;&gt;G199),0)),"")</f>
        <v>CHILD DM - VEN 1</v>
      </c>
      <c r="AK199" s="390" t="e">
        <f t="array" ref="AK199">IF(AJ199&lt;&gt;"",INDEX(TM_Score1,MATCH(1,(TM_Events=D199)*(TM_Participant1=G199)*(TM_Participant2=AJ199),0)),"")</f>
        <v>#N/A</v>
      </c>
      <c r="AL199" s="390" t="e">
        <f t="array" ref="AL199">IF(AJ199&lt;&gt;"",INDEX(TM_Score1,MATCH(1,(TM_Events=D199)*(TM_Participant1=AJ199)*(TM_Participant2=G199),0)),"")</f>
        <v>#N/A</v>
      </c>
      <c r="AM199" s="389" t="str">
        <f t="array" ref="AM199">IF(ISNUMBER(AK199),INDEX(TM_Score2,MATCH(1,(TM_Events=D199)*(TM_Participant1=G199)*(TM_Participant2=AJ199),0)),"")</f>
        <v/>
      </c>
      <c r="AN199" s="389" t="str">
        <f t="array" ref="AN199">IF(ISNUMBER(AL199),INDEX(TM_Score2,MATCH(1,(TM_Events=D199)*(TM_Participant1=AJ199)*(TM_Participant2=G199),0)),"")</f>
        <v/>
      </c>
      <c r="AO199" s="389" t="str">
        <f t="shared" si="107"/>
        <v>did not play</v>
      </c>
      <c r="AP199" s="389">
        <f t="shared" si="108"/>
        <v>2</v>
      </c>
      <c r="AQ199" s="389">
        <f t="shared" si="109"/>
        <v>0</v>
      </c>
      <c r="AR199" s="389">
        <f t="shared" si="110"/>
        <v>2</v>
      </c>
      <c r="AS199" s="453">
        <f t="shared" si="111"/>
        <v>0</v>
      </c>
      <c r="AT199" s="452">
        <f t="shared" si="112"/>
        <v>28</v>
      </c>
    </row>
    <row r="200" spans="1:46" ht="16" x14ac:dyDescent="0.2">
      <c r="A200" s="298"/>
      <c r="B200"/>
      <c r="D200" s="298" t="s">
        <v>53</v>
      </c>
      <c r="F200" s="389">
        <v>1</v>
      </c>
      <c r="G200" s="390" t="s">
        <v>594</v>
      </c>
      <c r="H200" s="387" t="str">
        <f t="shared" si="87"/>
        <v>3-1-0</v>
      </c>
      <c r="I200" s="389">
        <f t="shared" si="88"/>
        <v>6</v>
      </c>
      <c r="J200" s="455" t="str">
        <f t="shared" si="113"/>
        <v/>
      </c>
      <c r="K200" s="455" t="str">
        <f t="shared" si="89"/>
        <v/>
      </c>
      <c r="L200" s="455" t="str">
        <f t="shared" si="114"/>
        <v/>
      </c>
      <c r="M200" s="389" t="str">
        <f>IFERROR(IF(AD200&lt;=VLOOKUP(D200,Tournaments!$A$1:$B$1772,2,FALSE),"TRUE","FALSE"),"")</f>
        <v>TRUE</v>
      </c>
      <c r="N200" s="389">
        <v>1</v>
      </c>
      <c r="O200" s="389">
        <f t="shared" si="90"/>
        <v>3</v>
      </c>
      <c r="Q200" s="389">
        <f t="shared" si="91"/>
        <v>3</v>
      </c>
      <c r="R200" s="389">
        <f t="shared" si="92"/>
        <v>1</v>
      </c>
      <c r="S200" s="389">
        <f t="shared" si="93"/>
        <v>0</v>
      </c>
      <c r="U200" s="389">
        <f t="shared" si="94"/>
        <v>3</v>
      </c>
      <c r="V200" s="389" t="b">
        <f t="shared" si="95"/>
        <v>0</v>
      </c>
      <c r="W200" s="389">
        <f t="shared" si="96"/>
        <v>-3</v>
      </c>
      <c r="X200" s="389">
        <f t="shared" si="97"/>
        <v>3</v>
      </c>
      <c r="Y200" s="389" t="b">
        <f t="shared" si="115"/>
        <v>0</v>
      </c>
      <c r="Z200" s="389">
        <f t="shared" si="98"/>
        <v>-3</v>
      </c>
      <c r="AA200" s="389">
        <f t="shared" si="99"/>
        <v>3</v>
      </c>
      <c r="AB200" s="389" t="b">
        <f t="shared" si="100"/>
        <v>0</v>
      </c>
      <c r="AC200" s="389">
        <f t="shared" si="101"/>
        <v>-3</v>
      </c>
      <c r="AD200" s="389">
        <f t="shared" si="102"/>
        <v>3</v>
      </c>
      <c r="AE200" s="389">
        <f t="shared" si="103"/>
        <v>1</v>
      </c>
      <c r="AG200" s="311" t="str">
        <f t="shared" si="104"/>
        <v>Ch D Male Mini Soccer-</v>
      </c>
      <c r="AH200" s="453">
        <f t="shared" si="105"/>
        <v>3</v>
      </c>
      <c r="AI200" s="453">
        <f t="shared" si="106"/>
        <v>1</v>
      </c>
      <c r="AJ200" t="str">
        <f t="array" ref="AJ200">IF(AND(AI200&gt;1,G200&lt;&gt;""),INDEX(FS_teams,MATCH(1,(FS_Keys=AG200)*(FS_Points=I200)*(FS_teams&lt;&gt;G200),0)),"")</f>
        <v/>
      </c>
      <c r="AK200" s="390" t="str">
        <f t="array" ref="AK200">IF(AJ200&lt;&gt;"",INDEX(TM_Score1,MATCH(1,(TM_Events=D200)*(TM_Participant1=G200)*(TM_Participant2=AJ200),0)),"")</f>
        <v/>
      </c>
      <c r="AL200" s="390" t="str">
        <f t="array" ref="AL200">IF(AJ200&lt;&gt;"",INDEX(TM_Score1,MATCH(1,(TM_Events=D200)*(TM_Participant1=AJ200)*(TM_Participant2=G200),0)),"")</f>
        <v/>
      </c>
      <c r="AM200" s="389" t="str">
        <f t="array" ref="AM200">IF(ISNUMBER(AK200),INDEX(TM_Score2,MATCH(1,(TM_Events=D200)*(TM_Participant1=G200)*(TM_Participant2=AJ200),0)),"")</f>
        <v/>
      </c>
      <c r="AN200" s="389" t="str">
        <f t="array" ref="AN200">IF(ISNUMBER(AL200),INDEX(TM_Score2,MATCH(1,(TM_Events=D200)*(TM_Participant1=AJ200)*(TM_Participant2=G200),0)),"")</f>
        <v/>
      </c>
      <c r="AO200" s="389" t="str">
        <f t="shared" si="107"/>
        <v/>
      </c>
      <c r="AP200" s="389">
        <f t="shared" si="108"/>
        <v>3</v>
      </c>
      <c r="AQ200" s="389">
        <f t="shared" si="109"/>
        <v>0</v>
      </c>
      <c r="AR200" s="389">
        <f t="shared" si="110"/>
        <v>1</v>
      </c>
      <c r="AS200" s="453">
        <f t="shared" si="111"/>
        <v>2</v>
      </c>
      <c r="AT200" s="452">
        <f t="shared" si="112"/>
        <v>8</v>
      </c>
    </row>
    <row r="201" spans="1:46" ht="16" x14ac:dyDescent="0.2">
      <c r="A201" s="298"/>
      <c r="B201"/>
      <c r="D201" s="303" t="s">
        <v>53</v>
      </c>
      <c r="E201" s="387"/>
      <c r="F201" s="387">
        <v>1</v>
      </c>
      <c r="G201" s="397" t="s">
        <v>595</v>
      </c>
      <c r="H201" s="387" t="str">
        <f t="shared" si="87"/>
        <v>0-3-0</v>
      </c>
      <c r="I201" s="389">
        <f t="shared" si="88"/>
        <v>0</v>
      </c>
      <c r="J201" s="455">
        <f t="shared" si="113"/>
        <v>1</v>
      </c>
      <c r="K201" s="455">
        <f t="shared" si="89"/>
        <v>-6</v>
      </c>
      <c r="L201" s="455" t="str">
        <f t="shared" si="114"/>
        <v/>
      </c>
      <c r="M201" s="389" t="str">
        <f>IFERROR(IF(AD201&lt;=VLOOKUP(D201,Tournaments!$A$1:$B$1772,2,FALSE),"TRUE","FALSE"),"")</f>
        <v>FALSE</v>
      </c>
      <c r="N201" s="389">
        <v>1</v>
      </c>
      <c r="O201" s="389">
        <f t="shared" si="90"/>
        <v>8</v>
      </c>
      <c r="Q201" s="389">
        <f t="shared" si="91"/>
        <v>0</v>
      </c>
      <c r="R201" s="389">
        <f t="shared" si="92"/>
        <v>3</v>
      </c>
      <c r="S201" s="389">
        <f t="shared" si="93"/>
        <v>0</v>
      </c>
      <c r="U201" s="389">
        <f t="shared" si="94"/>
        <v>10</v>
      </c>
      <c r="V201" s="389">
        <f t="shared" si="95"/>
        <v>2.5000000000000001E-3</v>
      </c>
      <c r="W201" s="389">
        <f t="shared" si="96"/>
        <v>-9.9975000000000005</v>
      </c>
      <c r="X201" s="389">
        <f t="shared" si="97"/>
        <v>10</v>
      </c>
      <c r="Y201" s="389">
        <f t="shared" si="115"/>
        <v>5.5999999999999999E-3</v>
      </c>
      <c r="Z201" s="389">
        <f t="shared" si="98"/>
        <v>-9.9944000000000006</v>
      </c>
      <c r="AA201" s="389">
        <f t="shared" si="99"/>
        <v>8</v>
      </c>
      <c r="AB201" s="389" t="b">
        <f t="shared" si="100"/>
        <v>0</v>
      </c>
      <c r="AC201" s="389">
        <f t="shared" si="101"/>
        <v>-8</v>
      </c>
      <c r="AD201" s="389">
        <f t="shared" si="102"/>
        <v>8</v>
      </c>
      <c r="AE201" s="389">
        <f t="shared" si="103"/>
        <v>3</v>
      </c>
      <c r="AG201" s="311" t="str">
        <f t="shared" si="104"/>
        <v>Ch D Male Mini Soccer-</v>
      </c>
      <c r="AH201" s="453">
        <f t="shared" si="105"/>
        <v>8</v>
      </c>
      <c r="AI201" s="453">
        <f t="shared" si="106"/>
        <v>3</v>
      </c>
      <c r="AJ201" t="str">
        <f t="array" ref="AJ201">IF(AND(AI201&gt;1,G201&lt;&gt;""),INDEX(FS_teams,MATCH(1,(FS_Keys=AG201)*(FS_Points=I201)*(FS_teams&lt;&gt;G201),0)),"")</f>
        <v>CHILD DM - COL 1</v>
      </c>
      <c r="AK201" s="390" t="e">
        <f t="array" ref="AK201">IF(AJ201&lt;&gt;"",INDEX(TM_Score1,MATCH(1,(TM_Events=D201)*(TM_Participant1=G201)*(TM_Participant2=AJ201),0)),"")</f>
        <v>#N/A</v>
      </c>
      <c r="AL201" s="390" t="e">
        <f t="array" ref="AL201">IF(AJ201&lt;&gt;"",INDEX(TM_Score1,MATCH(1,(TM_Events=D201)*(TM_Participant1=AJ201)*(TM_Participant2=G201),0)),"")</f>
        <v>#N/A</v>
      </c>
      <c r="AM201" s="389" t="str">
        <f t="array" ref="AM201">IF(ISNUMBER(AK201),INDEX(TM_Score2,MATCH(1,(TM_Events=D201)*(TM_Participant1=G201)*(TM_Participant2=AJ201),0)),"")</f>
        <v/>
      </c>
      <c r="AN201" s="389" t="str">
        <f t="array" ref="AN201">IF(ISNUMBER(AL201),INDEX(TM_Score2,MATCH(1,(TM_Events=D201)*(TM_Participant1=AJ201)*(TM_Participant2=G201),0)),"")</f>
        <v/>
      </c>
      <c r="AO201" s="389" t="str">
        <f t="shared" si="107"/>
        <v>did not play</v>
      </c>
      <c r="AP201" s="389">
        <f t="shared" si="108"/>
        <v>0</v>
      </c>
      <c r="AQ201" s="389">
        <f t="shared" si="109"/>
        <v>0</v>
      </c>
      <c r="AR201" s="389">
        <f t="shared" si="110"/>
        <v>3</v>
      </c>
      <c r="AS201" s="453">
        <f t="shared" si="111"/>
        <v>-6</v>
      </c>
      <c r="AT201" s="452">
        <f t="shared" si="112"/>
        <v>6</v>
      </c>
    </row>
    <row r="202" spans="1:46" ht="16" x14ac:dyDescent="0.2">
      <c r="A202" s="298"/>
      <c r="B202"/>
      <c r="D202" s="303" t="s">
        <v>53</v>
      </c>
      <c r="E202" s="387"/>
      <c r="F202" s="387">
        <v>1</v>
      </c>
      <c r="G202" s="397" t="s">
        <v>597</v>
      </c>
      <c r="H202" s="387" t="str">
        <f t="shared" si="87"/>
        <v>1-2-0</v>
      </c>
      <c r="I202" s="389">
        <f t="shared" si="88"/>
        <v>2</v>
      </c>
      <c r="J202" s="455">
        <f t="shared" si="113"/>
        <v>1</v>
      </c>
      <c r="K202" s="455">
        <f t="shared" si="89"/>
        <v>1</v>
      </c>
      <c r="L202" s="455" t="str">
        <f t="shared" si="114"/>
        <v/>
      </c>
      <c r="M202" s="389" t="str">
        <f>IFERROR(IF(AD202&lt;=VLOOKUP(D202,Tournaments!$A$1:$B$1772,2,FALSE),"TRUE","FALSE"),"")</f>
        <v>FALSE</v>
      </c>
      <c r="N202" s="389">
        <v>1</v>
      </c>
      <c r="O202" s="389">
        <f t="shared" si="90"/>
        <v>6</v>
      </c>
      <c r="Q202" s="389">
        <f t="shared" si="91"/>
        <v>1</v>
      </c>
      <c r="R202" s="389">
        <f t="shared" si="92"/>
        <v>2</v>
      </c>
      <c r="S202" s="389">
        <f t="shared" si="93"/>
        <v>0</v>
      </c>
      <c r="U202" s="389">
        <f t="shared" si="94"/>
        <v>7</v>
      </c>
      <c r="V202" s="389">
        <f t="shared" si="95"/>
        <v>2.5000000000000001E-3</v>
      </c>
      <c r="W202" s="389">
        <f t="shared" si="96"/>
        <v>-6.9974999999999996</v>
      </c>
      <c r="X202" s="389">
        <f t="shared" si="97"/>
        <v>7</v>
      </c>
      <c r="Y202" s="389">
        <f t="shared" si="115"/>
        <v>7.0000000000000007E-2</v>
      </c>
      <c r="Z202" s="389">
        <f t="shared" si="98"/>
        <v>-6.93</v>
      </c>
      <c r="AA202" s="389">
        <f t="shared" si="99"/>
        <v>6</v>
      </c>
      <c r="AB202" s="389" t="b">
        <f t="shared" si="100"/>
        <v>0</v>
      </c>
      <c r="AC202" s="389">
        <f t="shared" si="101"/>
        <v>-6</v>
      </c>
      <c r="AD202" s="389">
        <f t="shared" si="102"/>
        <v>6</v>
      </c>
      <c r="AE202" s="389">
        <f t="shared" si="103"/>
        <v>2</v>
      </c>
      <c r="AG202" s="311" t="str">
        <f t="shared" si="104"/>
        <v>Ch D Male Mini Soccer-</v>
      </c>
      <c r="AH202" s="453">
        <f t="shared" si="105"/>
        <v>6</v>
      </c>
      <c r="AI202" s="453">
        <f t="shared" si="106"/>
        <v>2</v>
      </c>
      <c r="AJ202" t="str">
        <f t="array" ref="AJ202">IF(AND(AI202&gt;1,G202&lt;&gt;""),INDEX(FS_teams,MATCH(1,(FS_Keys=AG202)*(FS_Points=I202)*(FS_teams&lt;&gt;G202),0)),"")</f>
        <v>CHILD DM - COL 2</v>
      </c>
      <c r="AK202" s="390" t="e">
        <f t="array" ref="AK202">IF(AJ202&lt;&gt;"",INDEX(TM_Score1,MATCH(1,(TM_Events=D202)*(TM_Participant1=G202)*(TM_Participant2=AJ202),0)),"")</f>
        <v>#N/A</v>
      </c>
      <c r="AL202" s="390" t="e">
        <f t="array" ref="AL202">IF(AJ202&lt;&gt;"",INDEX(TM_Score1,MATCH(1,(TM_Events=D202)*(TM_Participant1=AJ202)*(TM_Participant2=G202),0)),"")</f>
        <v>#N/A</v>
      </c>
      <c r="AM202" s="389" t="str">
        <f t="array" ref="AM202">IF(ISNUMBER(AK202),INDEX(TM_Score2,MATCH(1,(TM_Events=D202)*(TM_Participant1=G202)*(TM_Participant2=AJ202),0)),"")</f>
        <v/>
      </c>
      <c r="AN202" s="389" t="str">
        <f t="array" ref="AN202">IF(ISNUMBER(AL202),INDEX(TM_Score2,MATCH(1,(TM_Events=D202)*(TM_Participant1=AJ202)*(TM_Participant2=G202),0)),"")</f>
        <v/>
      </c>
      <c r="AO202" s="389" t="str">
        <f t="shared" si="107"/>
        <v>did not play</v>
      </c>
      <c r="AP202" s="389">
        <f t="shared" si="108"/>
        <v>1</v>
      </c>
      <c r="AQ202" s="389">
        <f t="shared" si="109"/>
        <v>0</v>
      </c>
      <c r="AR202" s="389">
        <f t="shared" si="110"/>
        <v>2</v>
      </c>
      <c r="AS202" s="453">
        <f t="shared" si="111"/>
        <v>1</v>
      </c>
      <c r="AT202" s="452">
        <f t="shared" si="112"/>
        <v>6</v>
      </c>
    </row>
    <row r="203" spans="1:46" ht="16" x14ac:dyDescent="0.2">
      <c r="A203" s="298"/>
      <c r="B203"/>
      <c r="D203" s="303" t="s">
        <v>53</v>
      </c>
      <c r="E203" s="396"/>
      <c r="F203" s="398">
        <v>1</v>
      </c>
      <c r="G203" s="397" t="s">
        <v>593</v>
      </c>
      <c r="H203" s="387" t="str">
        <f t="shared" si="87"/>
        <v>0-3-0</v>
      </c>
      <c r="I203" s="389">
        <f t="shared" si="88"/>
        <v>0</v>
      </c>
      <c r="J203" s="455">
        <f t="shared" si="113"/>
        <v>1</v>
      </c>
      <c r="K203" s="455">
        <f t="shared" si="89"/>
        <v>-7</v>
      </c>
      <c r="L203" s="455" t="str">
        <f t="shared" si="114"/>
        <v/>
      </c>
      <c r="M203" s="389" t="str">
        <f>IFERROR(IF(AD203&lt;=VLOOKUP(D203,Tournaments!$A$1:$B$1772,2,FALSE),"TRUE","FALSE"),"")</f>
        <v>FALSE</v>
      </c>
      <c r="N203" s="389">
        <v>1</v>
      </c>
      <c r="O203" s="389">
        <f t="shared" si="90"/>
        <v>9</v>
      </c>
      <c r="Q203" s="389">
        <f t="shared" si="91"/>
        <v>0</v>
      </c>
      <c r="R203" s="389">
        <f t="shared" si="92"/>
        <v>3</v>
      </c>
      <c r="S203" s="389">
        <f t="shared" si="93"/>
        <v>0</v>
      </c>
      <c r="U203" s="389">
        <f t="shared" si="94"/>
        <v>10</v>
      </c>
      <c r="V203" s="389">
        <f t="shared" si="95"/>
        <v>2.5000000000000001E-3</v>
      </c>
      <c r="W203" s="389">
        <f t="shared" si="96"/>
        <v>-9.9975000000000005</v>
      </c>
      <c r="X203" s="389">
        <f t="shared" si="97"/>
        <v>10</v>
      </c>
      <c r="Y203" s="389">
        <f t="shared" si="115"/>
        <v>5.1000000000000004E-3</v>
      </c>
      <c r="Z203" s="389">
        <f t="shared" si="98"/>
        <v>-9.9948999999999995</v>
      </c>
      <c r="AA203" s="389">
        <f t="shared" si="99"/>
        <v>9</v>
      </c>
      <c r="AB203" s="389" t="b">
        <f t="shared" si="100"/>
        <v>0</v>
      </c>
      <c r="AC203" s="389">
        <f t="shared" si="101"/>
        <v>-9</v>
      </c>
      <c r="AD203" s="389">
        <f t="shared" si="102"/>
        <v>9</v>
      </c>
      <c r="AE203" s="389">
        <f t="shared" si="103"/>
        <v>3</v>
      </c>
      <c r="AG203" s="311" t="str">
        <f t="shared" si="104"/>
        <v>Ch D Male Mini Soccer-</v>
      </c>
      <c r="AH203" s="453">
        <f t="shared" si="105"/>
        <v>8</v>
      </c>
      <c r="AI203" s="453">
        <f t="shared" si="106"/>
        <v>3</v>
      </c>
      <c r="AJ203" t="str">
        <f t="array" ref="AJ203">IF(AND(AI203&gt;1,G203&lt;&gt;""),INDEX(FS_teams,MATCH(1,(FS_Keys=AG203)*(FS_Points=I203)*(FS_teams&lt;&gt;G203),0)),"")</f>
        <v>CHILD DM - USA 1</v>
      </c>
      <c r="AK203" s="390" t="e">
        <f t="array" ref="AK203">IF(AJ203&lt;&gt;"",INDEX(TM_Score1,MATCH(1,(TM_Events=D203)*(TM_Participant1=G203)*(TM_Participant2=AJ203),0)),"")</f>
        <v>#N/A</v>
      </c>
      <c r="AL203" s="390" t="e">
        <f t="array" ref="AL203">IF(AJ203&lt;&gt;"",INDEX(TM_Score1,MATCH(1,(TM_Events=D203)*(TM_Participant1=AJ203)*(TM_Participant2=G203),0)),"")</f>
        <v>#N/A</v>
      </c>
      <c r="AM203" s="389" t="str">
        <f t="array" ref="AM203">IF(ISNUMBER(AK203),INDEX(TM_Score2,MATCH(1,(TM_Events=D203)*(TM_Participant1=G203)*(TM_Participant2=AJ203),0)),"")</f>
        <v/>
      </c>
      <c r="AN203" s="389" t="str">
        <f t="array" ref="AN203">IF(ISNUMBER(AL203),INDEX(TM_Score2,MATCH(1,(TM_Events=D203)*(TM_Participant1=AJ203)*(TM_Participant2=G203),0)),"")</f>
        <v/>
      </c>
      <c r="AO203" s="389" t="str">
        <f t="shared" si="107"/>
        <v>did not play</v>
      </c>
      <c r="AP203" s="389">
        <f t="shared" si="108"/>
        <v>0</v>
      </c>
      <c r="AQ203" s="389">
        <f t="shared" si="109"/>
        <v>0</v>
      </c>
      <c r="AR203" s="389">
        <f t="shared" si="110"/>
        <v>3</v>
      </c>
      <c r="AS203" s="453">
        <f t="shared" si="111"/>
        <v>-7</v>
      </c>
      <c r="AT203" s="452">
        <f t="shared" si="112"/>
        <v>3</v>
      </c>
    </row>
    <row r="204" spans="1:46" ht="16" x14ac:dyDescent="0.2">
      <c r="A204" s="298"/>
      <c r="B204"/>
      <c r="D204" s="303" t="s">
        <v>53</v>
      </c>
      <c r="E204" s="387"/>
      <c r="F204" s="398">
        <v>1</v>
      </c>
      <c r="G204" s="397" t="s">
        <v>602</v>
      </c>
      <c r="H204" s="387" t="str">
        <f t="shared" si="87"/>
        <v>2-2-0</v>
      </c>
      <c r="I204" s="389">
        <f t="shared" si="88"/>
        <v>4</v>
      </c>
      <c r="J204" s="455">
        <f t="shared" si="113"/>
        <v>2</v>
      </c>
      <c r="K204" s="455" t="str">
        <f t="shared" si="89"/>
        <v/>
      </c>
      <c r="L204" s="455" t="str">
        <f t="shared" si="114"/>
        <v/>
      </c>
      <c r="M204" s="389" t="str">
        <f>IFERROR(IF(AD204&lt;=VLOOKUP(D204,Tournaments!$A$1:$B$1772,2,FALSE),"TRUE","FALSE"),"")</f>
        <v>TRUE</v>
      </c>
      <c r="N204" s="389">
        <v>1</v>
      </c>
      <c r="O204" s="389">
        <f t="shared" si="90"/>
        <v>4</v>
      </c>
      <c r="Q204" s="389">
        <f t="shared" si="91"/>
        <v>2</v>
      </c>
      <c r="R204" s="389">
        <f t="shared" si="92"/>
        <v>2</v>
      </c>
      <c r="S204" s="389">
        <f t="shared" si="93"/>
        <v>0</v>
      </c>
      <c r="U204" s="389">
        <f t="shared" si="94"/>
        <v>5</v>
      </c>
      <c r="V204" s="389">
        <f t="shared" si="95"/>
        <v>2.1999999999999999E-2</v>
      </c>
      <c r="W204" s="389">
        <f t="shared" si="96"/>
        <v>-4.9779999999999998</v>
      </c>
      <c r="X204" s="389">
        <f t="shared" si="97"/>
        <v>4</v>
      </c>
      <c r="Y204" s="389" t="b">
        <f t="shared" si="115"/>
        <v>0</v>
      </c>
      <c r="Z204" s="389">
        <f t="shared" si="98"/>
        <v>-4</v>
      </c>
      <c r="AA204" s="389">
        <f t="shared" si="99"/>
        <v>4</v>
      </c>
      <c r="AB204" s="389" t="b">
        <f t="shared" si="100"/>
        <v>0</v>
      </c>
      <c r="AC204" s="389">
        <f t="shared" si="101"/>
        <v>-4</v>
      </c>
      <c r="AD204" s="389">
        <f t="shared" si="102"/>
        <v>4</v>
      </c>
      <c r="AE204" s="389">
        <f t="shared" si="103"/>
        <v>1</v>
      </c>
      <c r="AG204" s="311" t="str">
        <f t="shared" si="104"/>
        <v>Ch D Male Mini Soccer-</v>
      </c>
      <c r="AH204" s="453">
        <f t="shared" si="105"/>
        <v>4</v>
      </c>
      <c r="AI204" s="453">
        <f t="shared" si="106"/>
        <v>2</v>
      </c>
      <c r="AJ204" t="str">
        <f t="array" ref="AJ204">IF(AND(AI204&gt;1,G204&lt;&gt;""),INDEX(FS_teams,MATCH(1,(FS_Keys=AG204)*(FS_Points=I204)*(FS_teams&lt;&gt;G204),0)),"")</f>
        <v>CHILD DM - ARG 2</v>
      </c>
      <c r="AK204" s="390">
        <f t="array" ref="AK204">IF(AJ204&lt;&gt;"",INDEX(TM_Score1,MATCH(1,(TM_Events=D204)*(TM_Participant1=G204)*(TM_Participant2=AJ204),0)),"")</f>
        <v>5</v>
      </c>
      <c r="AL204" s="390" t="e">
        <f t="array" ref="AL204">IF(AJ204&lt;&gt;"",INDEX(TM_Score1,MATCH(1,(TM_Events=D204)*(TM_Participant1=AJ204)*(TM_Participant2=G204),0)),"")</f>
        <v>#N/A</v>
      </c>
      <c r="AM204" s="389">
        <f t="array" ref="AM204">IF(ISNUMBER(AK204),INDEX(TM_Score2,MATCH(1,(TM_Events=D204)*(TM_Participant1=G204)*(TM_Participant2=AJ204),0)),"")</f>
        <v>1</v>
      </c>
      <c r="AN204" s="389" t="str">
        <f t="array" ref="AN204">IF(ISNUMBER(AL204),INDEX(TM_Score2,MATCH(1,(TM_Events=D204)*(TM_Participant1=AJ204)*(TM_Participant2=G204),0)),"")</f>
        <v/>
      </c>
      <c r="AO204" s="389" t="str">
        <f t="shared" si="107"/>
        <v>Win</v>
      </c>
      <c r="AP204" s="389">
        <f t="shared" si="108"/>
        <v>2</v>
      </c>
      <c r="AQ204" s="389">
        <f t="shared" si="109"/>
        <v>0</v>
      </c>
      <c r="AR204" s="389">
        <f t="shared" si="110"/>
        <v>2</v>
      </c>
      <c r="AS204" s="453">
        <f t="shared" si="111"/>
        <v>4</v>
      </c>
      <c r="AT204" s="452">
        <f t="shared" si="112"/>
        <v>15</v>
      </c>
    </row>
    <row r="205" spans="1:46" ht="16" x14ac:dyDescent="0.2">
      <c r="A205" s="298"/>
      <c r="B205"/>
      <c r="D205" s="303" t="s">
        <v>53</v>
      </c>
      <c r="E205" s="396"/>
      <c r="F205" s="387">
        <v>1</v>
      </c>
      <c r="G205" s="397" t="s">
        <v>599</v>
      </c>
      <c r="H205" s="387" t="str">
        <f t="shared" si="87"/>
        <v>1-2-0</v>
      </c>
      <c r="I205" s="389">
        <f t="shared" si="88"/>
        <v>2</v>
      </c>
      <c r="J205" s="455">
        <f t="shared" si="113"/>
        <v>1</v>
      </c>
      <c r="K205" s="455">
        <f t="shared" si="89"/>
        <v>-1</v>
      </c>
      <c r="L205" s="455" t="str">
        <f t="shared" si="114"/>
        <v/>
      </c>
      <c r="M205" s="389" t="str">
        <f>IFERROR(IF(AD205&lt;=VLOOKUP(D205,Tournaments!$A$1:$B$1772,2,FALSE),"TRUE","FALSE"),"")</f>
        <v>FALSE</v>
      </c>
      <c r="N205" s="389">
        <v>1</v>
      </c>
      <c r="O205" s="389">
        <f t="shared" si="90"/>
        <v>7</v>
      </c>
      <c r="Q205" s="389">
        <f t="shared" si="91"/>
        <v>1</v>
      </c>
      <c r="R205" s="389">
        <f t="shared" si="92"/>
        <v>2</v>
      </c>
      <c r="S205" s="389">
        <f t="shared" si="93"/>
        <v>0</v>
      </c>
      <c r="U205" s="389">
        <f t="shared" si="94"/>
        <v>7</v>
      </c>
      <c r="V205" s="389">
        <f t="shared" si="95"/>
        <v>2.5000000000000001E-3</v>
      </c>
      <c r="W205" s="389">
        <f t="shared" si="96"/>
        <v>-6.9974999999999996</v>
      </c>
      <c r="X205" s="389">
        <f t="shared" si="97"/>
        <v>7</v>
      </c>
      <c r="Y205" s="389">
        <f t="shared" si="115"/>
        <v>9.7999999999999997E-3</v>
      </c>
      <c r="Z205" s="389">
        <f t="shared" si="98"/>
        <v>-6.9901999999999997</v>
      </c>
      <c r="AA205" s="389">
        <f t="shared" si="99"/>
        <v>7</v>
      </c>
      <c r="AB205" s="389" t="b">
        <f t="shared" si="100"/>
        <v>0</v>
      </c>
      <c r="AC205" s="389">
        <f t="shared" si="101"/>
        <v>-7</v>
      </c>
      <c r="AD205" s="389">
        <f t="shared" si="102"/>
        <v>7</v>
      </c>
      <c r="AE205" s="389">
        <f t="shared" si="103"/>
        <v>2</v>
      </c>
      <c r="AG205" s="311" t="str">
        <f t="shared" si="104"/>
        <v>Ch D Male Mini Soccer-</v>
      </c>
      <c r="AH205" s="453">
        <f t="shared" si="105"/>
        <v>6</v>
      </c>
      <c r="AI205" s="453">
        <f t="shared" si="106"/>
        <v>2</v>
      </c>
      <c r="AJ205" t="str">
        <f t="array" ref="AJ205">IF(AND(AI205&gt;1,G205&lt;&gt;""),INDEX(FS_teams,MATCH(1,(FS_Keys=AG205)*(FS_Points=I205)*(FS_teams&lt;&gt;G205),0)),"")</f>
        <v>CHILD DM - VEN 1</v>
      </c>
      <c r="AK205" s="390" t="e">
        <f t="array" ref="AK205">IF(AJ205&lt;&gt;"",INDEX(TM_Score1,MATCH(1,(TM_Events=D205)*(TM_Participant1=G205)*(TM_Participant2=AJ205),0)),"")</f>
        <v>#N/A</v>
      </c>
      <c r="AL205" s="390" t="e">
        <f t="array" ref="AL205">IF(AJ205&lt;&gt;"",INDEX(TM_Score1,MATCH(1,(TM_Events=D205)*(TM_Participant1=AJ205)*(TM_Participant2=G205),0)),"")</f>
        <v>#N/A</v>
      </c>
      <c r="AM205" s="389" t="str">
        <f t="array" ref="AM205">IF(ISNUMBER(AK205),INDEX(TM_Score2,MATCH(1,(TM_Events=D205)*(TM_Participant1=G205)*(TM_Participant2=AJ205),0)),"")</f>
        <v/>
      </c>
      <c r="AN205" s="389" t="str">
        <f t="array" ref="AN205">IF(ISNUMBER(AL205),INDEX(TM_Score2,MATCH(1,(TM_Events=D205)*(TM_Participant1=AJ205)*(TM_Participant2=G205),0)),"")</f>
        <v/>
      </c>
      <c r="AO205" s="389" t="str">
        <f t="shared" si="107"/>
        <v>did not play</v>
      </c>
      <c r="AP205" s="389">
        <f t="shared" si="108"/>
        <v>1</v>
      </c>
      <c r="AQ205" s="389">
        <f t="shared" si="109"/>
        <v>0</v>
      </c>
      <c r="AR205" s="389">
        <f t="shared" si="110"/>
        <v>2</v>
      </c>
      <c r="AS205" s="453">
        <f t="shared" si="111"/>
        <v>-1</v>
      </c>
      <c r="AT205" s="452">
        <f t="shared" si="112"/>
        <v>3</v>
      </c>
    </row>
    <row r="206" spans="1:46" ht="16" x14ac:dyDescent="0.2">
      <c r="A206" s="298"/>
      <c r="B206"/>
      <c r="D206" s="303" t="s">
        <v>53</v>
      </c>
      <c r="E206" s="387"/>
      <c r="F206" s="398">
        <v>1</v>
      </c>
      <c r="G206" s="397" t="s">
        <v>598</v>
      </c>
      <c r="H206" s="387" t="str">
        <f t="shared" si="87"/>
        <v>2-1-0</v>
      </c>
      <c r="I206" s="389">
        <f t="shared" si="88"/>
        <v>4</v>
      </c>
      <c r="J206" s="455">
        <f t="shared" si="113"/>
        <v>0</v>
      </c>
      <c r="K206" s="455" t="str">
        <f t="shared" si="89"/>
        <v/>
      </c>
      <c r="L206" s="455" t="str">
        <f t="shared" si="114"/>
        <v/>
      </c>
      <c r="M206" s="389" t="str">
        <f>IFERROR(IF(AD206&lt;=VLOOKUP(D206,Tournaments!$A$1:$B$1772,2,FALSE),"TRUE","FALSE"),"")</f>
        <v>FALSE</v>
      </c>
      <c r="N206" s="389">
        <v>1</v>
      </c>
      <c r="O206" s="389">
        <f t="shared" si="90"/>
        <v>5</v>
      </c>
      <c r="Q206" s="389">
        <f t="shared" si="91"/>
        <v>2</v>
      </c>
      <c r="R206" s="389">
        <f t="shared" si="92"/>
        <v>1</v>
      </c>
      <c r="S206" s="389">
        <f t="shared" si="93"/>
        <v>0</v>
      </c>
      <c r="U206" s="389">
        <f t="shared" si="94"/>
        <v>5</v>
      </c>
      <c r="V206" s="389">
        <f t="shared" si="95"/>
        <v>1E-4</v>
      </c>
      <c r="W206" s="389">
        <f t="shared" si="96"/>
        <v>-4.9999000000000002</v>
      </c>
      <c r="X206" s="389">
        <f t="shared" si="97"/>
        <v>5</v>
      </c>
      <c r="Y206" s="389" t="b">
        <f t="shared" si="115"/>
        <v>0</v>
      </c>
      <c r="Z206" s="389">
        <f t="shared" si="98"/>
        <v>-5</v>
      </c>
      <c r="AA206" s="389">
        <f t="shared" si="99"/>
        <v>5</v>
      </c>
      <c r="AB206" s="389" t="b">
        <f t="shared" si="100"/>
        <v>0</v>
      </c>
      <c r="AC206" s="389">
        <f t="shared" si="101"/>
        <v>-5</v>
      </c>
      <c r="AD206" s="389">
        <f t="shared" si="102"/>
        <v>5</v>
      </c>
      <c r="AE206" s="389">
        <f t="shared" si="103"/>
        <v>1</v>
      </c>
      <c r="AG206" s="311" t="str">
        <f t="shared" si="104"/>
        <v>Ch D Male Mini Soccer-</v>
      </c>
      <c r="AH206" s="453">
        <f t="shared" si="105"/>
        <v>4</v>
      </c>
      <c r="AI206" s="453">
        <f t="shared" si="106"/>
        <v>2</v>
      </c>
      <c r="AJ206" t="str">
        <f t="array" ref="AJ206">IF(AND(AI206&gt;1,G206&lt;&gt;""),INDEX(FS_teams,MATCH(1,(FS_Keys=AG206)*(FS_Points=I206)*(FS_teams&lt;&gt;G206),0)),"")</f>
        <v>CHILD DM - VEN 2</v>
      </c>
      <c r="AK206" s="390" t="e">
        <f t="array" ref="AK206">IF(AJ206&lt;&gt;"",INDEX(TM_Score1,MATCH(1,(TM_Events=D206)*(TM_Participant1=G206)*(TM_Participant2=AJ206),0)),"")</f>
        <v>#N/A</v>
      </c>
      <c r="AL206" s="390">
        <f t="array" ref="AL206">IF(AJ206&lt;&gt;"",INDEX(TM_Score1,MATCH(1,(TM_Events=D206)*(TM_Participant1=AJ206)*(TM_Participant2=G206),0)),"")</f>
        <v>5</v>
      </c>
      <c r="AM206" s="389" t="str">
        <f t="array" ref="AM206">IF(ISNUMBER(AK206),INDEX(TM_Score2,MATCH(1,(TM_Events=D206)*(TM_Participant1=G206)*(TM_Participant2=AJ206),0)),"")</f>
        <v/>
      </c>
      <c r="AN206" s="389">
        <f t="array" ref="AN206">IF(ISNUMBER(AL206),INDEX(TM_Score2,MATCH(1,(TM_Events=D206)*(TM_Participant1=AJ206)*(TM_Participant2=G206),0)),"")</f>
        <v>1</v>
      </c>
      <c r="AO206" s="389" t="str">
        <f t="shared" si="107"/>
        <v>Loss</v>
      </c>
      <c r="AP206" s="389">
        <f t="shared" si="108"/>
        <v>2</v>
      </c>
      <c r="AQ206" s="389">
        <f t="shared" si="109"/>
        <v>0</v>
      </c>
      <c r="AR206" s="389">
        <f t="shared" si="110"/>
        <v>1</v>
      </c>
      <c r="AS206" s="453">
        <f t="shared" si="111"/>
        <v>2</v>
      </c>
      <c r="AT206" s="452">
        <f t="shared" si="112"/>
        <v>6</v>
      </c>
    </row>
    <row r="207" spans="1:46" ht="16" x14ac:dyDescent="0.2">
      <c r="A207" s="298"/>
      <c r="B207"/>
      <c r="D207" s="303" t="s">
        <v>53</v>
      </c>
      <c r="E207" s="396"/>
      <c r="F207" s="398">
        <v>1</v>
      </c>
      <c r="G207" s="397" t="s">
        <v>601</v>
      </c>
      <c r="H207" s="387" t="str">
        <f t="shared" si="87"/>
        <v>4-1-0</v>
      </c>
      <c r="I207" s="389">
        <f t="shared" si="88"/>
        <v>8</v>
      </c>
      <c r="J207" s="455" t="str">
        <f t="shared" si="113"/>
        <v/>
      </c>
      <c r="K207" s="455" t="str">
        <f t="shared" si="89"/>
        <v/>
      </c>
      <c r="L207" s="455" t="str">
        <f t="shared" si="114"/>
        <v/>
      </c>
      <c r="M207" s="389" t="str">
        <f>IFERROR(IF(AD207&lt;=VLOOKUP(D207,Tournaments!$A$1:$B$1772,2,FALSE),"TRUE","FALSE"),"")</f>
        <v>TRUE</v>
      </c>
      <c r="N207" s="389">
        <v>1</v>
      </c>
      <c r="O207" s="389">
        <f t="shared" si="90"/>
        <v>2</v>
      </c>
      <c r="Q207" s="389">
        <f t="shared" si="91"/>
        <v>4</v>
      </c>
      <c r="R207" s="389">
        <f t="shared" si="92"/>
        <v>1</v>
      </c>
      <c r="S207" s="389">
        <f t="shared" si="93"/>
        <v>0</v>
      </c>
      <c r="U207" s="389">
        <f t="shared" si="94"/>
        <v>2</v>
      </c>
      <c r="V207" s="389" t="b">
        <f t="shared" si="95"/>
        <v>0</v>
      </c>
      <c r="W207" s="389">
        <f t="shared" si="96"/>
        <v>-2</v>
      </c>
      <c r="X207" s="389">
        <f t="shared" si="97"/>
        <v>2</v>
      </c>
      <c r="Y207" s="389" t="b">
        <f t="shared" si="115"/>
        <v>0</v>
      </c>
      <c r="Z207" s="389">
        <f t="shared" si="98"/>
        <v>-2</v>
      </c>
      <c r="AA207" s="389">
        <f t="shared" si="99"/>
        <v>2</v>
      </c>
      <c r="AB207" s="389" t="b">
        <f t="shared" si="100"/>
        <v>0</v>
      </c>
      <c r="AC207" s="389">
        <f t="shared" si="101"/>
        <v>-2</v>
      </c>
      <c r="AD207" s="389">
        <f t="shared" si="102"/>
        <v>2</v>
      </c>
      <c r="AE207" s="389">
        <f t="shared" si="103"/>
        <v>1</v>
      </c>
      <c r="AG207" s="311" t="str">
        <f t="shared" si="104"/>
        <v>Ch D Male Mini Soccer-</v>
      </c>
      <c r="AH207" s="453">
        <f t="shared" si="105"/>
        <v>2</v>
      </c>
      <c r="AI207" s="453">
        <f t="shared" si="106"/>
        <v>1</v>
      </c>
      <c r="AJ207" t="str">
        <f t="array" ref="AJ207">IF(AND(AI207&gt;1,G207&lt;&gt;""),INDEX(FS_teams,MATCH(1,(FS_Keys=AG207)*(FS_Points=I207)*(FS_teams&lt;&gt;G207),0)),"")</f>
        <v/>
      </c>
      <c r="AK207" s="390" t="str">
        <f t="array" ref="AK207">IF(AJ207&lt;&gt;"",INDEX(TM_Score1,MATCH(1,(TM_Events=D207)*(TM_Participant1=G207)*(TM_Participant2=AJ207),0)),"")</f>
        <v/>
      </c>
      <c r="AL207" s="390" t="str">
        <f t="array" ref="AL207">IF(AJ207&lt;&gt;"",INDEX(TM_Score1,MATCH(1,(TM_Events=D207)*(TM_Participant1=AJ207)*(TM_Participant2=G207),0)),"")</f>
        <v/>
      </c>
      <c r="AM207" s="389" t="str">
        <f t="array" ref="AM207">IF(ISNUMBER(AK207),INDEX(TM_Score2,MATCH(1,(TM_Events=D207)*(TM_Participant1=G207)*(TM_Participant2=AJ207),0)),"")</f>
        <v/>
      </c>
      <c r="AN207" s="389" t="str">
        <f t="array" ref="AN207">IF(ISNUMBER(AL207),INDEX(TM_Score2,MATCH(1,(TM_Events=D207)*(TM_Participant1=AJ207)*(TM_Participant2=G207),0)),"")</f>
        <v/>
      </c>
      <c r="AO207" s="389" t="str">
        <f t="shared" si="107"/>
        <v/>
      </c>
      <c r="AP207" s="389">
        <f t="shared" si="108"/>
        <v>4</v>
      </c>
      <c r="AQ207" s="389">
        <f t="shared" si="109"/>
        <v>0</v>
      </c>
      <c r="AR207" s="389">
        <f t="shared" si="110"/>
        <v>1</v>
      </c>
      <c r="AS207" s="453">
        <f t="shared" si="111"/>
        <v>9</v>
      </c>
      <c r="AT207" s="452">
        <f t="shared" si="112"/>
        <v>23</v>
      </c>
    </row>
    <row r="208" spans="1:46" ht="16" x14ac:dyDescent="0.2">
      <c r="A208" s="298"/>
      <c r="B208"/>
      <c r="D208" s="303" t="s">
        <v>53</v>
      </c>
      <c r="E208" s="387"/>
      <c r="F208" s="387">
        <v>1</v>
      </c>
      <c r="G208" s="397" t="s">
        <v>592</v>
      </c>
      <c r="H208" s="387" t="str">
        <f t="shared" si="87"/>
        <v>5-0-0</v>
      </c>
      <c r="I208" s="389">
        <f t="shared" si="88"/>
        <v>10</v>
      </c>
      <c r="J208" s="455" t="str">
        <f t="shared" si="113"/>
        <v/>
      </c>
      <c r="K208" s="455" t="str">
        <f t="shared" si="89"/>
        <v/>
      </c>
      <c r="L208" s="455" t="str">
        <f t="shared" si="114"/>
        <v/>
      </c>
      <c r="M208" s="389" t="str">
        <f>IFERROR(IF(AD208&lt;=VLOOKUP(D208,Tournaments!$A$1:$B$1772,2,FALSE),"TRUE","FALSE"),"")</f>
        <v>TRUE</v>
      </c>
      <c r="N208" s="389">
        <v>1</v>
      </c>
      <c r="O208" s="389">
        <f t="shared" si="90"/>
        <v>1</v>
      </c>
      <c r="Q208" s="389">
        <f t="shared" si="91"/>
        <v>5</v>
      </c>
      <c r="R208" s="389">
        <f t="shared" si="92"/>
        <v>0</v>
      </c>
      <c r="S208" s="389">
        <f t="shared" si="93"/>
        <v>0</v>
      </c>
      <c r="U208" s="389">
        <f t="shared" si="94"/>
        <v>1</v>
      </c>
      <c r="V208" s="389" t="b">
        <f t="shared" si="95"/>
        <v>0</v>
      </c>
      <c r="W208" s="389">
        <f t="shared" si="96"/>
        <v>-1</v>
      </c>
      <c r="X208" s="389">
        <f t="shared" si="97"/>
        <v>1</v>
      </c>
      <c r="Y208" s="389" t="b">
        <f t="shared" si="115"/>
        <v>0</v>
      </c>
      <c r="Z208" s="389">
        <f t="shared" si="98"/>
        <v>-1</v>
      </c>
      <c r="AA208" s="389">
        <f t="shared" si="99"/>
        <v>1</v>
      </c>
      <c r="AB208" s="389" t="b">
        <f t="shared" si="100"/>
        <v>0</v>
      </c>
      <c r="AC208" s="389">
        <f t="shared" si="101"/>
        <v>-1</v>
      </c>
      <c r="AD208" s="389">
        <f t="shared" si="102"/>
        <v>1</v>
      </c>
      <c r="AE208" s="389">
        <f t="shared" si="103"/>
        <v>1</v>
      </c>
      <c r="AG208" s="311" t="str">
        <f t="shared" si="104"/>
        <v>Ch D Male Mini Soccer-</v>
      </c>
      <c r="AH208" s="453">
        <f t="shared" si="105"/>
        <v>1</v>
      </c>
      <c r="AI208" s="453">
        <f t="shared" si="106"/>
        <v>1</v>
      </c>
      <c r="AJ208" t="str">
        <f t="array" ref="AJ208">IF(AND(AI208&gt;1,G208&lt;&gt;""),INDEX(FS_teams,MATCH(1,(FS_Keys=AG208)*(FS_Points=I208)*(FS_teams&lt;&gt;G208),0)),"")</f>
        <v/>
      </c>
      <c r="AK208" s="390" t="str">
        <f t="array" ref="AK208">IF(AJ208&lt;&gt;"",INDEX(TM_Score1,MATCH(1,(TM_Events=D208)*(TM_Participant1=G208)*(TM_Participant2=AJ208),0)),"")</f>
        <v/>
      </c>
      <c r="AL208" s="390" t="str">
        <f t="array" ref="AL208">IF(AJ208&lt;&gt;"",INDEX(TM_Score1,MATCH(1,(TM_Events=D208)*(TM_Participant1=AJ208)*(TM_Participant2=G208),0)),"")</f>
        <v/>
      </c>
      <c r="AM208" s="389" t="str">
        <f t="array" ref="AM208">IF(ISNUMBER(AK208),INDEX(TM_Score2,MATCH(1,(TM_Events=D208)*(TM_Participant1=G208)*(TM_Participant2=AJ208),0)),"")</f>
        <v/>
      </c>
      <c r="AN208" s="389" t="str">
        <f t="array" ref="AN208">IF(ISNUMBER(AL208),INDEX(TM_Score2,MATCH(1,(TM_Events=D208)*(TM_Participant1=AJ208)*(TM_Participant2=G208),0)),"")</f>
        <v/>
      </c>
      <c r="AO208" s="389" t="str">
        <f t="shared" si="107"/>
        <v/>
      </c>
      <c r="AP208" s="389">
        <f t="shared" si="108"/>
        <v>5</v>
      </c>
      <c r="AQ208" s="389">
        <f t="shared" si="109"/>
        <v>0</v>
      </c>
      <c r="AR208" s="389">
        <f t="shared" si="110"/>
        <v>0</v>
      </c>
      <c r="AS208" s="453">
        <f t="shared" si="111"/>
        <v>5</v>
      </c>
      <c r="AT208" s="452">
        <f t="shared" si="112"/>
        <v>10</v>
      </c>
    </row>
    <row r="209" spans="1:46" ht="16" x14ac:dyDescent="0.2">
      <c r="A209" s="298"/>
      <c r="B209"/>
      <c r="D209" s="303" t="s">
        <v>53</v>
      </c>
      <c r="E209" s="396"/>
      <c r="F209" s="387">
        <v>1</v>
      </c>
      <c r="G209" s="397" t="s">
        <v>600</v>
      </c>
      <c r="H209" s="387" t="str">
        <f t="shared" si="87"/>
        <v>0-3-0</v>
      </c>
      <c r="I209" s="389">
        <f t="shared" si="88"/>
        <v>0</v>
      </c>
      <c r="J209" s="455">
        <f t="shared" si="113"/>
        <v>1</v>
      </c>
      <c r="K209" s="455">
        <f t="shared" si="89"/>
        <v>-9</v>
      </c>
      <c r="L209" s="455" t="str">
        <f t="shared" si="114"/>
        <v/>
      </c>
      <c r="M209" s="389" t="str">
        <f>IFERROR(IF(AD209&lt;=VLOOKUP(D209,Tournaments!$A$1:$B$1772,2,FALSE),"TRUE","FALSE"),"")</f>
        <v>FALSE</v>
      </c>
      <c r="N209" s="389">
        <v>1</v>
      </c>
      <c r="O209" s="389">
        <f t="shared" si="90"/>
        <v>10</v>
      </c>
      <c r="Q209" s="389">
        <f t="shared" si="91"/>
        <v>0</v>
      </c>
      <c r="R209" s="389">
        <f t="shared" si="92"/>
        <v>3</v>
      </c>
      <c r="S209" s="389">
        <f t="shared" si="93"/>
        <v>0</v>
      </c>
      <c r="U209" s="389">
        <f t="shared" si="94"/>
        <v>10</v>
      </c>
      <c r="V209" s="389">
        <f t="shared" si="95"/>
        <v>2.5000000000000001E-3</v>
      </c>
      <c r="W209" s="389">
        <f t="shared" si="96"/>
        <v>-9.9975000000000005</v>
      </c>
      <c r="X209" s="389">
        <f t="shared" si="97"/>
        <v>10</v>
      </c>
      <c r="Y209" s="389">
        <f t="shared" si="115"/>
        <v>4.1000000000000003E-3</v>
      </c>
      <c r="Z209" s="389">
        <f t="shared" si="98"/>
        <v>-9.9959000000000007</v>
      </c>
      <c r="AA209" s="389">
        <f t="shared" si="99"/>
        <v>10</v>
      </c>
      <c r="AB209" s="389" t="b">
        <f t="shared" si="100"/>
        <v>0</v>
      </c>
      <c r="AC209" s="389">
        <f t="shared" si="101"/>
        <v>-10</v>
      </c>
      <c r="AD209" s="389">
        <f t="shared" si="102"/>
        <v>10</v>
      </c>
      <c r="AE209" s="389">
        <f t="shared" si="103"/>
        <v>3</v>
      </c>
      <c r="AG209" s="311" t="str">
        <f t="shared" si="104"/>
        <v>Ch D Male Mini Soccer-</v>
      </c>
      <c r="AH209" s="453">
        <f t="shared" si="105"/>
        <v>8</v>
      </c>
      <c r="AI209" s="453">
        <f t="shared" si="106"/>
        <v>3</v>
      </c>
      <c r="AJ209" t="str">
        <f t="array" ref="AJ209">IF(AND(AI209&gt;1,G209&lt;&gt;""),INDEX(FS_teams,MATCH(1,(FS_Keys=AG209)*(FS_Points=I209)*(FS_teams&lt;&gt;G209),0)),"")</f>
        <v>CHILD DM - USA 1</v>
      </c>
      <c r="AK209" s="390" t="e">
        <f t="array" ref="AK209">IF(AJ209&lt;&gt;"",INDEX(TM_Score1,MATCH(1,(TM_Events=D209)*(TM_Participant1=G209)*(TM_Participant2=AJ209),0)),"")</f>
        <v>#N/A</v>
      </c>
      <c r="AL209" s="390" t="e">
        <f t="array" ref="AL209">IF(AJ209&lt;&gt;"",INDEX(TM_Score1,MATCH(1,(TM_Events=D209)*(TM_Participant1=AJ209)*(TM_Participant2=G209),0)),"")</f>
        <v>#N/A</v>
      </c>
      <c r="AM209" s="389" t="str">
        <f t="array" ref="AM209">IF(ISNUMBER(AK209),INDEX(TM_Score2,MATCH(1,(TM_Events=D209)*(TM_Participant1=G209)*(TM_Participant2=AJ209),0)),"")</f>
        <v/>
      </c>
      <c r="AN209" s="389" t="str">
        <f t="array" ref="AN209">IF(ISNUMBER(AL209),INDEX(TM_Score2,MATCH(1,(TM_Events=D209)*(TM_Participant1=AJ209)*(TM_Participant2=G209),0)),"")</f>
        <v/>
      </c>
      <c r="AO209" s="389" t="str">
        <f t="shared" si="107"/>
        <v>did not play</v>
      </c>
      <c r="AP209" s="389">
        <f t="shared" si="108"/>
        <v>0</v>
      </c>
      <c r="AQ209" s="389">
        <f t="shared" si="109"/>
        <v>0</v>
      </c>
      <c r="AR209" s="389">
        <f t="shared" si="110"/>
        <v>3</v>
      </c>
      <c r="AS209" s="453">
        <f t="shared" si="111"/>
        <v>-9</v>
      </c>
      <c r="AT209" s="452">
        <f t="shared" si="112"/>
        <v>0</v>
      </c>
    </row>
    <row r="210" spans="1:46" ht="16" x14ac:dyDescent="0.2">
      <c r="A210" s="298"/>
      <c r="B210"/>
      <c r="D210" s="303" t="s">
        <v>59</v>
      </c>
      <c r="E210" s="396"/>
      <c r="F210" s="387">
        <v>1</v>
      </c>
      <c r="G210" s="397" t="s">
        <v>609</v>
      </c>
      <c r="H210" s="387" t="str">
        <f t="shared" si="87"/>
        <v>3-1-0</v>
      </c>
      <c r="I210" s="389">
        <f t="shared" si="88"/>
        <v>6</v>
      </c>
      <c r="J210" s="455">
        <f t="shared" si="113"/>
        <v>1</v>
      </c>
      <c r="K210" s="455">
        <f t="shared" si="89"/>
        <v>17</v>
      </c>
      <c r="L210" s="455" t="str">
        <f t="shared" si="114"/>
        <v/>
      </c>
      <c r="M210" s="389" t="str">
        <f>IFERROR(IF(AD210&lt;=VLOOKUP(D210,Tournaments!$A$1:$B$1772,2,FALSE),"TRUE","FALSE"),"")</f>
        <v>FALSE</v>
      </c>
      <c r="N210" s="389">
        <v>1</v>
      </c>
      <c r="O210" s="389">
        <f t="shared" si="90"/>
        <v>3</v>
      </c>
      <c r="Q210" s="389">
        <f t="shared" si="91"/>
        <v>3</v>
      </c>
      <c r="R210" s="389">
        <f t="shared" si="92"/>
        <v>1</v>
      </c>
      <c r="S210" s="389">
        <f t="shared" si="93"/>
        <v>0</v>
      </c>
      <c r="U210" s="389">
        <f t="shared" si="94"/>
        <v>4</v>
      </c>
      <c r="V210" s="389">
        <f t="shared" si="95"/>
        <v>2.5000000000000001E-3</v>
      </c>
      <c r="W210" s="389">
        <f t="shared" si="96"/>
        <v>-3.9975000000000001</v>
      </c>
      <c r="X210" s="389">
        <f t="shared" si="97"/>
        <v>4</v>
      </c>
      <c r="Y210" s="389">
        <f t="shared" si="115"/>
        <v>7.5899999999999995E-2</v>
      </c>
      <c r="Z210" s="389">
        <f t="shared" si="98"/>
        <v>-3.9241000000000001</v>
      </c>
      <c r="AA210" s="389">
        <f t="shared" si="99"/>
        <v>3</v>
      </c>
      <c r="AB210" s="389" t="b">
        <f t="shared" si="100"/>
        <v>0</v>
      </c>
      <c r="AC210" s="389">
        <f t="shared" si="101"/>
        <v>-3</v>
      </c>
      <c r="AD210" s="389">
        <f t="shared" si="102"/>
        <v>3</v>
      </c>
      <c r="AE210" s="389">
        <f t="shared" si="103"/>
        <v>3</v>
      </c>
      <c r="AG210" s="311" t="str">
        <f t="shared" si="104"/>
        <v>Ch E Female Basketball-</v>
      </c>
      <c r="AH210" s="453">
        <f t="shared" si="105"/>
        <v>2</v>
      </c>
      <c r="AI210" s="453">
        <f t="shared" si="106"/>
        <v>3</v>
      </c>
      <c r="AJ210" t="str">
        <f t="array" ref="AJ210">IF(AND(AI210&gt;1,G210&lt;&gt;""),INDEX(FS_teams,MATCH(1,(FS_Keys=AG210)*(FS_Points=I210)*(FS_teams&lt;&gt;G210),0)),"")</f>
        <v>CHILD EF - MEX</v>
      </c>
      <c r="AK210" s="390" t="e">
        <f t="array" ref="AK210">IF(AJ210&lt;&gt;"",INDEX(TM_Score1,MATCH(1,(TM_Events=D210)*(TM_Participant1=G210)*(TM_Participant2=AJ210),0)),"")</f>
        <v>#N/A</v>
      </c>
      <c r="AL210" s="390" t="e">
        <f t="array" ref="AL210">IF(AJ210&lt;&gt;"",INDEX(TM_Score1,MATCH(1,(TM_Events=D210)*(TM_Participant1=AJ210)*(TM_Participant2=G210),0)),"")</f>
        <v>#N/A</v>
      </c>
      <c r="AM210" s="389" t="str">
        <f t="array" ref="AM210">IF(ISNUMBER(AK210),INDEX(TM_Score2,MATCH(1,(TM_Events=D210)*(TM_Participant1=G210)*(TM_Participant2=AJ210),0)),"")</f>
        <v/>
      </c>
      <c r="AN210" s="389" t="str">
        <f t="array" ref="AN210">IF(ISNUMBER(AL210),INDEX(TM_Score2,MATCH(1,(TM_Events=D210)*(TM_Participant1=AJ210)*(TM_Participant2=G210),0)),"")</f>
        <v/>
      </c>
      <c r="AO210" s="389" t="str">
        <f t="shared" si="107"/>
        <v>did not play</v>
      </c>
      <c r="AP210" s="389">
        <f t="shared" si="108"/>
        <v>3</v>
      </c>
      <c r="AQ210" s="389">
        <f t="shared" si="109"/>
        <v>0</v>
      </c>
      <c r="AR210" s="389">
        <f t="shared" si="110"/>
        <v>1</v>
      </c>
      <c r="AS210" s="453">
        <f t="shared" si="111"/>
        <v>17</v>
      </c>
      <c r="AT210" s="452">
        <f t="shared" si="112"/>
        <v>49</v>
      </c>
    </row>
    <row r="211" spans="1:46" ht="16" x14ac:dyDescent="0.2">
      <c r="A211" s="298"/>
      <c r="B211"/>
      <c r="D211" s="303" t="s">
        <v>59</v>
      </c>
      <c r="E211" s="396"/>
      <c r="F211" s="387">
        <v>1</v>
      </c>
      <c r="G211" s="397" t="s">
        <v>608</v>
      </c>
      <c r="H211" s="387" t="str">
        <f t="shared" si="87"/>
        <v>3-1-0</v>
      </c>
      <c r="I211" s="389">
        <f t="shared" si="88"/>
        <v>6</v>
      </c>
      <c r="J211" s="455">
        <f t="shared" si="113"/>
        <v>1</v>
      </c>
      <c r="K211" s="455">
        <f t="shared" si="89"/>
        <v>44</v>
      </c>
      <c r="L211" s="455" t="str">
        <f t="shared" si="114"/>
        <v/>
      </c>
      <c r="M211" s="389" t="str">
        <f>IFERROR(IF(AD211&lt;=VLOOKUP(D211,Tournaments!$A$1:$B$1772,2,FALSE),"TRUE","FALSE"),"")</f>
        <v>TRUE</v>
      </c>
      <c r="N211" s="389">
        <v>1</v>
      </c>
      <c r="O211" s="389">
        <f t="shared" si="90"/>
        <v>2</v>
      </c>
      <c r="Q211" s="389">
        <f t="shared" si="91"/>
        <v>3</v>
      </c>
      <c r="R211" s="389">
        <f t="shared" si="92"/>
        <v>1</v>
      </c>
      <c r="S211" s="389">
        <f t="shared" si="93"/>
        <v>0</v>
      </c>
      <c r="U211" s="389">
        <f t="shared" si="94"/>
        <v>4</v>
      </c>
      <c r="V211" s="389">
        <f t="shared" si="95"/>
        <v>2.5000000000000001E-3</v>
      </c>
      <c r="W211" s="389">
        <f t="shared" si="96"/>
        <v>-3.9975000000000001</v>
      </c>
      <c r="X211" s="389">
        <f t="shared" si="97"/>
        <v>4</v>
      </c>
      <c r="Y211" s="389">
        <f t="shared" si="115"/>
        <v>7.6799999999999993E-2</v>
      </c>
      <c r="Z211" s="389">
        <f t="shared" si="98"/>
        <v>-3.9232</v>
      </c>
      <c r="AA211" s="389">
        <f t="shared" si="99"/>
        <v>2</v>
      </c>
      <c r="AB211" s="389" t="b">
        <f t="shared" si="100"/>
        <v>0</v>
      </c>
      <c r="AC211" s="389">
        <f t="shared" si="101"/>
        <v>-2</v>
      </c>
      <c r="AD211" s="389">
        <f t="shared" si="102"/>
        <v>2</v>
      </c>
      <c r="AE211" s="389">
        <f t="shared" si="103"/>
        <v>3</v>
      </c>
      <c r="AG211" s="311" t="str">
        <f t="shared" si="104"/>
        <v>Ch E Female Basketball-</v>
      </c>
      <c r="AH211" s="453">
        <f t="shared" si="105"/>
        <v>2</v>
      </c>
      <c r="AI211" s="453">
        <f t="shared" si="106"/>
        <v>3</v>
      </c>
      <c r="AJ211" t="str">
        <f t="array" ref="AJ211">IF(AND(AI211&gt;1,G211&lt;&gt;""),INDEX(FS_teams,MATCH(1,(FS_Keys=AG211)*(FS_Points=I211)*(FS_teams&lt;&gt;G211),0)),"")</f>
        <v>CHILD EF - USA 1</v>
      </c>
      <c r="AK211" s="390" t="e">
        <f t="array" ref="AK211">IF(AJ211&lt;&gt;"",INDEX(TM_Score1,MATCH(1,(TM_Events=D211)*(TM_Participant1=G211)*(TM_Participant2=AJ211),0)),"")</f>
        <v>#N/A</v>
      </c>
      <c r="AL211" s="390" t="e">
        <f t="array" ref="AL211">IF(AJ211&lt;&gt;"",INDEX(TM_Score1,MATCH(1,(TM_Events=D211)*(TM_Participant1=AJ211)*(TM_Participant2=G211),0)),"")</f>
        <v>#N/A</v>
      </c>
      <c r="AM211" s="389" t="str">
        <f t="array" ref="AM211">IF(ISNUMBER(AK211),INDEX(TM_Score2,MATCH(1,(TM_Events=D211)*(TM_Participant1=G211)*(TM_Participant2=AJ211),0)),"")</f>
        <v/>
      </c>
      <c r="AN211" s="389" t="str">
        <f t="array" ref="AN211">IF(ISNUMBER(AL211),INDEX(TM_Score2,MATCH(1,(TM_Events=D211)*(TM_Participant1=AJ211)*(TM_Participant2=G211),0)),"")</f>
        <v/>
      </c>
      <c r="AO211" s="389" t="str">
        <f t="shared" si="107"/>
        <v>did not play</v>
      </c>
      <c r="AP211" s="389">
        <f t="shared" si="108"/>
        <v>3</v>
      </c>
      <c r="AQ211" s="389">
        <f t="shared" si="109"/>
        <v>0</v>
      </c>
      <c r="AR211" s="389">
        <f t="shared" si="110"/>
        <v>1</v>
      </c>
      <c r="AS211" s="453">
        <f t="shared" si="111"/>
        <v>44</v>
      </c>
      <c r="AT211" s="452">
        <f t="shared" si="112"/>
        <v>83</v>
      </c>
    </row>
    <row r="212" spans="1:46" ht="16" x14ac:dyDescent="0.2">
      <c r="A212" s="298"/>
      <c r="B212"/>
      <c r="D212" s="303" t="s">
        <v>59</v>
      </c>
      <c r="E212" s="396"/>
      <c r="F212" s="387">
        <v>1</v>
      </c>
      <c r="G212" s="397" t="s">
        <v>605</v>
      </c>
      <c r="H212" s="387" t="str">
        <f t="shared" si="87"/>
        <v>0-4-0</v>
      </c>
      <c r="I212" s="389">
        <f t="shared" si="88"/>
        <v>0</v>
      </c>
      <c r="J212" s="455">
        <f t="shared" si="113"/>
        <v>1</v>
      </c>
      <c r="K212" s="455">
        <f t="shared" si="89"/>
        <v>-32</v>
      </c>
      <c r="L212" s="455" t="str">
        <f t="shared" si="114"/>
        <v/>
      </c>
      <c r="M212" s="389" t="str">
        <f>IFERROR(IF(AD212&lt;=VLOOKUP(D212,Tournaments!$A$1:$B$1772,2,FALSE),"TRUE","FALSE"),"")</f>
        <v>FALSE</v>
      </c>
      <c r="N212" s="389">
        <v>1</v>
      </c>
      <c r="O212" s="389">
        <f t="shared" si="90"/>
        <v>6</v>
      </c>
      <c r="Q212" s="389">
        <f t="shared" si="91"/>
        <v>0</v>
      </c>
      <c r="R212" s="389">
        <f t="shared" si="92"/>
        <v>4</v>
      </c>
      <c r="S212" s="389">
        <f t="shared" si="93"/>
        <v>0</v>
      </c>
      <c r="U212" s="389">
        <f t="shared" si="94"/>
        <v>7</v>
      </c>
      <c r="V212" s="389">
        <f t="shared" si="95"/>
        <v>2.5000000000000001E-3</v>
      </c>
      <c r="W212" s="389">
        <f t="shared" si="96"/>
        <v>-6.9974999999999996</v>
      </c>
      <c r="X212" s="389">
        <f t="shared" si="97"/>
        <v>7</v>
      </c>
      <c r="Y212" s="389">
        <f t="shared" si="115"/>
        <v>1.6999999999999999E-3</v>
      </c>
      <c r="Z212" s="389">
        <f t="shared" si="98"/>
        <v>-6.9983000000000004</v>
      </c>
      <c r="AA212" s="389">
        <f t="shared" si="99"/>
        <v>6</v>
      </c>
      <c r="AB212" s="389" t="b">
        <f t="shared" si="100"/>
        <v>0</v>
      </c>
      <c r="AC212" s="389">
        <f t="shared" si="101"/>
        <v>-6</v>
      </c>
      <c r="AD212" s="389">
        <f t="shared" si="102"/>
        <v>6</v>
      </c>
      <c r="AE212" s="389">
        <f t="shared" si="103"/>
        <v>2</v>
      </c>
      <c r="AG212" s="311" t="str">
        <f t="shared" si="104"/>
        <v>Ch E Female Basketball-</v>
      </c>
      <c r="AH212" s="453">
        <f t="shared" si="105"/>
        <v>6</v>
      </c>
      <c r="AI212" s="453">
        <f t="shared" si="106"/>
        <v>2</v>
      </c>
      <c r="AJ212" t="str">
        <f t="array" ref="AJ212">IF(AND(AI212&gt;1,G212&lt;&gt;""),INDEX(FS_teams,MATCH(1,(FS_Keys=AG212)*(FS_Points=I212)*(FS_teams&lt;&gt;G212),0)),"")</f>
        <v>CHILD EF - COL 1</v>
      </c>
      <c r="AK212" s="390" t="e">
        <f t="array" ref="AK212">IF(AJ212&lt;&gt;"",INDEX(TM_Score1,MATCH(1,(TM_Events=D212)*(TM_Participant1=G212)*(TM_Participant2=AJ212),0)),"")</f>
        <v>#N/A</v>
      </c>
      <c r="AL212" s="390" t="e">
        <f t="array" ref="AL212">IF(AJ212&lt;&gt;"",INDEX(TM_Score1,MATCH(1,(TM_Events=D212)*(TM_Participant1=AJ212)*(TM_Participant2=G212),0)),"")</f>
        <v>#N/A</v>
      </c>
      <c r="AM212" s="389" t="str">
        <f t="array" ref="AM212">IF(ISNUMBER(AK212),INDEX(TM_Score2,MATCH(1,(TM_Events=D212)*(TM_Participant1=G212)*(TM_Participant2=AJ212),0)),"")</f>
        <v/>
      </c>
      <c r="AN212" s="389" t="str">
        <f t="array" ref="AN212">IF(ISNUMBER(AL212),INDEX(TM_Score2,MATCH(1,(TM_Events=D212)*(TM_Participant1=AJ212)*(TM_Participant2=G212),0)),"")</f>
        <v/>
      </c>
      <c r="AO212" s="389" t="str">
        <f t="shared" si="107"/>
        <v>did not play</v>
      </c>
      <c r="AP212" s="389">
        <f t="shared" si="108"/>
        <v>0</v>
      </c>
      <c r="AQ212" s="389">
        <f t="shared" si="109"/>
        <v>0</v>
      </c>
      <c r="AR212" s="389">
        <f t="shared" si="110"/>
        <v>4</v>
      </c>
      <c r="AS212" s="453">
        <f t="shared" si="111"/>
        <v>-32</v>
      </c>
      <c r="AT212" s="452">
        <f t="shared" si="112"/>
        <v>13</v>
      </c>
    </row>
    <row r="213" spans="1:46" ht="16" x14ac:dyDescent="0.2">
      <c r="A213" s="298"/>
      <c r="B213"/>
      <c r="D213" s="303" t="s">
        <v>59</v>
      </c>
      <c r="E213" s="387"/>
      <c r="F213" s="387">
        <v>1</v>
      </c>
      <c r="G213" s="397" t="s">
        <v>612</v>
      </c>
      <c r="H213" s="387" t="str">
        <f t="shared" si="87"/>
        <v>4-0-0</v>
      </c>
      <c r="I213" s="389">
        <f t="shared" si="88"/>
        <v>8</v>
      </c>
      <c r="J213" s="455" t="str">
        <f t="shared" si="113"/>
        <v/>
      </c>
      <c r="K213" s="455" t="str">
        <f t="shared" si="89"/>
        <v/>
      </c>
      <c r="L213" s="455" t="str">
        <f t="shared" si="114"/>
        <v/>
      </c>
      <c r="M213" s="389" t="str">
        <f>IFERROR(IF(AD213&lt;=VLOOKUP(D213,Tournaments!$A$1:$B$1772,2,FALSE),"TRUE","FALSE"),"")</f>
        <v>TRUE</v>
      </c>
      <c r="N213" s="389">
        <v>1</v>
      </c>
      <c r="O213" s="389">
        <f t="shared" si="90"/>
        <v>1</v>
      </c>
      <c r="Q213" s="389">
        <f t="shared" si="91"/>
        <v>4</v>
      </c>
      <c r="R213" s="389">
        <f t="shared" si="92"/>
        <v>0</v>
      </c>
      <c r="S213" s="389">
        <f t="shared" si="93"/>
        <v>0</v>
      </c>
      <c r="U213" s="389">
        <f t="shared" si="94"/>
        <v>1</v>
      </c>
      <c r="V213" s="389" t="b">
        <f t="shared" si="95"/>
        <v>0</v>
      </c>
      <c r="W213" s="389">
        <f t="shared" si="96"/>
        <v>-1</v>
      </c>
      <c r="X213" s="389">
        <f t="shared" si="97"/>
        <v>1</v>
      </c>
      <c r="Y213" s="389" t="b">
        <f t="shared" si="115"/>
        <v>0</v>
      </c>
      <c r="Z213" s="389">
        <f t="shared" si="98"/>
        <v>-1</v>
      </c>
      <c r="AA213" s="389">
        <f t="shared" si="99"/>
        <v>1</v>
      </c>
      <c r="AB213" s="389" t="b">
        <f t="shared" si="100"/>
        <v>0</v>
      </c>
      <c r="AC213" s="389">
        <f t="shared" si="101"/>
        <v>-1</v>
      </c>
      <c r="AD213" s="389">
        <f t="shared" si="102"/>
        <v>1</v>
      </c>
      <c r="AE213" s="389">
        <f t="shared" si="103"/>
        <v>1</v>
      </c>
      <c r="AG213" s="311" t="str">
        <f t="shared" si="104"/>
        <v>Ch E Female Basketball-</v>
      </c>
      <c r="AH213" s="453">
        <f t="shared" si="105"/>
        <v>1</v>
      </c>
      <c r="AI213" s="453">
        <f t="shared" si="106"/>
        <v>1</v>
      </c>
      <c r="AJ213" t="str">
        <f t="array" ref="AJ213">IF(AND(AI213&gt;1,G213&lt;&gt;""),INDEX(FS_teams,MATCH(1,(FS_Keys=AG213)*(FS_Points=I213)*(FS_teams&lt;&gt;G213),0)),"")</f>
        <v/>
      </c>
      <c r="AK213" s="390" t="str">
        <f t="array" ref="AK213">IF(AJ213&lt;&gt;"",INDEX(TM_Score1,MATCH(1,(TM_Events=D213)*(TM_Participant1=G213)*(TM_Participant2=AJ213),0)),"")</f>
        <v/>
      </c>
      <c r="AL213" s="390" t="str">
        <f t="array" ref="AL213">IF(AJ213&lt;&gt;"",INDEX(TM_Score1,MATCH(1,(TM_Events=D213)*(TM_Participant1=AJ213)*(TM_Participant2=G213),0)),"")</f>
        <v/>
      </c>
      <c r="AM213" s="389" t="str">
        <f t="array" ref="AM213">IF(ISNUMBER(AK213),INDEX(TM_Score2,MATCH(1,(TM_Events=D213)*(TM_Participant1=G213)*(TM_Participant2=AJ213),0)),"")</f>
        <v/>
      </c>
      <c r="AN213" s="389" t="str">
        <f t="array" ref="AN213">IF(ISNUMBER(AL213),INDEX(TM_Score2,MATCH(1,(TM_Events=D213)*(TM_Participant1=AJ213)*(TM_Participant2=G213),0)),"")</f>
        <v/>
      </c>
      <c r="AO213" s="389" t="str">
        <f t="shared" si="107"/>
        <v/>
      </c>
      <c r="AP213" s="389">
        <f t="shared" si="108"/>
        <v>4</v>
      </c>
      <c r="AQ213" s="389">
        <f t="shared" si="109"/>
        <v>0</v>
      </c>
      <c r="AR213" s="389">
        <f t="shared" si="110"/>
        <v>0</v>
      </c>
      <c r="AS213" s="453">
        <f t="shared" si="111"/>
        <v>45</v>
      </c>
      <c r="AT213" s="452">
        <f t="shared" si="112"/>
        <v>76</v>
      </c>
    </row>
    <row r="214" spans="1:46" ht="16" x14ac:dyDescent="0.2">
      <c r="A214" s="298"/>
      <c r="B214"/>
      <c r="D214" s="303" t="s">
        <v>59</v>
      </c>
      <c r="E214" s="396"/>
      <c r="F214" s="387">
        <v>1</v>
      </c>
      <c r="G214" s="397" t="s">
        <v>607</v>
      </c>
      <c r="H214" s="387" t="str">
        <f t="shared" si="87"/>
        <v>3-1-0</v>
      </c>
      <c r="I214" s="389">
        <f t="shared" si="88"/>
        <v>6</v>
      </c>
      <c r="J214" s="455">
        <f t="shared" si="113"/>
        <v>1</v>
      </c>
      <c r="K214" s="455">
        <f t="shared" si="89"/>
        <v>1</v>
      </c>
      <c r="L214" s="455" t="str">
        <f t="shared" si="114"/>
        <v/>
      </c>
      <c r="M214" s="389" t="str">
        <f>IFERROR(IF(AD214&lt;=VLOOKUP(D214,Tournaments!$A$1:$B$1772,2,FALSE),"TRUE","FALSE"),"")</f>
        <v>FALSE</v>
      </c>
      <c r="N214" s="389">
        <v>1</v>
      </c>
      <c r="O214" s="389">
        <f t="shared" si="90"/>
        <v>4</v>
      </c>
      <c r="Q214" s="389">
        <f t="shared" si="91"/>
        <v>3</v>
      </c>
      <c r="R214" s="389">
        <f t="shared" si="92"/>
        <v>1</v>
      </c>
      <c r="S214" s="389">
        <f t="shared" si="93"/>
        <v>0</v>
      </c>
      <c r="U214" s="389">
        <f t="shared" si="94"/>
        <v>4</v>
      </c>
      <c r="V214" s="389">
        <f t="shared" si="95"/>
        <v>2.5000000000000001E-3</v>
      </c>
      <c r="W214" s="389">
        <f t="shared" si="96"/>
        <v>-3.9975000000000001</v>
      </c>
      <c r="X214" s="389">
        <f t="shared" si="97"/>
        <v>4</v>
      </c>
      <c r="Y214" s="389">
        <f t="shared" si="115"/>
        <v>7.0000000000000007E-2</v>
      </c>
      <c r="Z214" s="389">
        <f t="shared" si="98"/>
        <v>-3.93</v>
      </c>
      <c r="AA214" s="389">
        <f t="shared" si="99"/>
        <v>4</v>
      </c>
      <c r="AB214" s="389" t="b">
        <f t="shared" si="100"/>
        <v>0</v>
      </c>
      <c r="AC214" s="389">
        <f t="shared" si="101"/>
        <v>-4</v>
      </c>
      <c r="AD214" s="389">
        <f t="shared" si="102"/>
        <v>4</v>
      </c>
      <c r="AE214" s="389">
        <f t="shared" si="103"/>
        <v>3</v>
      </c>
      <c r="AG214" s="311" t="str">
        <f t="shared" si="104"/>
        <v>Ch E Female Basketball-</v>
      </c>
      <c r="AH214" s="453">
        <f t="shared" si="105"/>
        <v>2</v>
      </c>
      <c r="AI214" s="453">
        <f t="shared" si="106"/>
        <v>3</v>
      </c>
      <c r="AJ214" t="str">
        <f t="array" ref="AJ214">IF(AND(AI214&gt;1,G214&lt;&gt;""),INDEX(FS_teams,MATCH(1,(FS_Keys=AG214)*(FS_Points=I214)*(FS_teams&lt;&gt;G214),0)),"")</f>
        <v>CHILD EF - USA 1</v>
      </c>
      <c r="AK214" s="390">
        <f t="array" ref="AK214">IF(AJ214&lt;&gt;"",INDEX(TM_Score1,MATCH(1,(TM_Events=D214)*(TM_Participant1=G214)*(TM_Participant2=AJ214),0)),"")</f>
        <v>5</v>
      </c>
      <c r="AL214" s="390" t="e">
        <f t="array" ref="AL214">IF(AJ214&lt;&gt;"",INDEX(TM_Score1,MATCH(1,(TM_Events=D214)*(TM_Participant1=AJ214)*(TM_Participant2=G214),0)),"")</f>
        <v>#N/A</v>
      </c>
      <c r="AM214" s="389">
        <f t="array" ref="AM214">IF(ISNUMBER(AK214),INDEX(TM_Score2,MATCH(1,(TM_Events=D214)*(TM_Participant1=G214)*(TM_Participant2=AJ214),0)),"")</f>
        <v>8</v>
      </c>
      <c r="AN214" s="389" t="str">
        <f t="array" ref="AN214">IF(ISNUMBER(AL214),INDEX(TM_Score2,MATCH(1,(TM_Events=D214)*(TM_Participant1=AJ214)*(TM_Participant2=G214),0)),"")</f>
        <v/>
      </c>
      <c r="AO214" s="389" t="str">
        <f t="shared" si="107"/>
        <v>Loss</v>
      </c>
      <c r="AP214" s="389">
        <f t="shared" si="108"/>
        <v>3</v>
      </c>
      <c r="AQ214" s="389">
        <f t="shared" si="109"/>
        <v>0</v>
      </c>
      <c r="AR214" s="389">
        <f t="shared" si="110"/>
        <v>1</v>
      </c>
      <c r="AS214" s="453">
        <f t="shared" si="111"/>
        <v>1</v>
      </c>
      <c r="AT214" s="452">
        <f t="shared" si="112"/>
        <v>25</v>
      </c>
    </row>
    <row r="215" spans="1:46" ht="16" x14ac:dyDescent="0.2">
      <c r="A215" s="298"/>
      <c r="B215"/>
      <c r="D215" s="303" t="s">
        <v>59</v>
      </c>
      <c r="E215" s="387"/>
      <c r="F215" s="387">
        <v>1</v>
      </c>
      <c r="G215" s="397" t="s">
        <v>611</v>
      </c>
      <c r="H215" s="387" t="str">
        <f t="shared" si="87"/>
        <v>1-3-0</v>
      </c>
      <c r="I215" s="389">
        <f t="shared" si="88"/>
        <v>2</v>
      </c>
      <c r="J215" s="455" t="str">
        <f t="shared" si="113"/>
        <v/>
      </c>
      <c r="K215" s="455" t="str">
        <f t="shared" si="89"/>
        <v/>
      </c>
      <c r="L215" s="455" t="str">
        <f t="shared" si="114"/>
        <v/>
      </c>
      <c r="M215" s="389" t="str">
        <f>IFERROR(IF(AD215&lt;=VLOOKUP(D215,Tournaments!$A$1:$B$1772,2,FALSE),"TRUE","FALSE"),"")</f>
        <v>FALSE</v>
      </c>
      <c r="N215" s="389">
        <v>1</v>
      </c>
      <c r="O215" s="389">
        <f t="shared" si="90"/>
        <v>5</v>
      </c>
      <c r="Q215" s="389">
        <f t="shared" si="91"/>
        <v>1</v>
      </c>
      <c r="R215" s="389">
        <f t="shared" si="92"/>
        <v>3</v>
      </c>
      <c r="S215" s="389">
        <f t="shared" si="93"/>
        <v>0</v>
      </c>
      <c r="U215" s="389">
        <f t="shared" si="94"/>
        <v>5</v>
      </c>
      <c r="V215" s="389" t="b">
        <f t="shared" si="95"/>
        <v>0</v>
      </c>
      <c r="W215" s="389">
        <f t="shared" si="96"/>
        <v>-5</v>
      </c>
      <c r="X215" s="389">
        <f t="shared" si="97"/>
        <v>5</v>
      </c>
      <c r="Y215" s="389" t="b">
        <f t="shared" si="115"/>
        <v>0</v>
      </c>
      <c r="Z215" s="389">
        <f t="shared" si="98"/>
        <v>-5</v>
      </c>
      <c r="AA215" s="389">
        <f t="shared" si="99"/>
        <v>5</v>
      </c>
      <c r="AB215" s="389" t="b">
        <f t="shared" si="100"/>
        <v>0</v>
      </c>
      <c r="AC215" s="389">
        <f t="shared" si="101"/>
        <v>-5</v>
      </c>
      <c r="AD215" s="389">
        <f t="shared" si="102"/>
        <v>5</v>
      </c>
      <c r="AE215" s="389">
        <f t="shared" si="103"/>
        <v>1</v>
      </c>
      <c r="AG215" s="311" t="str">
        <f t="shared" si="104"/>
        <v>Ch E Female Basketball-</v>
      </c>
      <c r="AH215" s="453">
        <f t="shared" si="105"/>
        <v>5</v>
      </c>
      <c r="AI215" s="453">
        <f t="shared" si="106"/>
        <v>1</v>
      </c>
      <c r="AJ215" t="str">
        <f t="array" ref="AJ215">IF(AND(AI215&gt;1,G215&lt;&gt;""),INDEX(FS_teams,MATCH(1,(FS_Keys=AG215)*(FS_Points=I215)*(FS_teams&lt;&gt;G215),0)),"")</f>
        <v/>
      </c>
      <c r="AK215" s="390" t="str">
        <f t="array" ref="AK215">IF(AJ215&lt;&gt;"",INDEX(TM_Score1,MATCH(1,(TM_Events=D215)*(TM_Participant1=G215)*(TM_Participant2=AJ215),0)),"")</f>
        <v/>
      </c>
      <c r="AL215" s="390" t="str">
        <f t="array" ref="AL215">IF(AJ215&lt;&gt;"",INDEX(TM_Score1,MATCH(1,(TM_Events=D215)*(TM_Participant1=AJ215)*(TM_Participant2=G215),0)),"")</f>
        <v/>
      </c>
      <c r="AM215" s="389" t="str">
        <f t="array" ref="AM215">IF(ISNUMBER(AK215),INDEX(TM_Score2,MATCH(1,(TM_Events=D215)*(TM_Participant1=G215)*(TM_Participant2=AJ215),0)),"")</f>
        <v/>
      </c>
      <c r="AN215" s="389" t="str">
        <f t="array" ref="AN215">IF(ISNUMBER(AL215),INDEX(TM_Score2,MATCH(1,(TM_Events=D215)*(TM_Participant1=AJ215)*(TM_Participant2=G215),0)),"")</f>
        <v/>
      </c>
      <c r="AO215" s="389" t="str">
        <f t="shared" si="107"/>
        <v/>
      </c>
      <c r="AP215" s="389">
        <f t="shared" si="108"/>
        <v>1</v>
      </c>
      <c r="AQ215" s="389">
        <f t="shared" si="109"/>
        <v>0</v>
      </c>
      <c r="AR215" s="389">
        <f t="shared" si="110"/>
        <v>3</v>
      </c>
      <c r="AS215" s="453">
        <f t="shared" si="111"/>
        <v>-29</v>
      </c>
      <c r="AT215" s="452">
        <f t="shared" si="112"/>
        <v>35</v>
      </c>
    </row>
    <row r="216" spans="1:46" ht="16" x14ac:dyDescent="0.2">
      <c r="A216" s="298"/>
      <c r="B216"/>
      <c r="D216" s="303" t="s">
        <v>59</v>
      </c>
      <c r="E216" s="396"/>
      <c r="F216" s="387">
        <v>1</v>
      </c>
      <c r="G216" s="397" t="s">
        <v>606</v>
      </c>
      <c r="H216" s="387" t="str">
        <f t="shared" si="87"/>
        <v>0-4-0</v>
      </c>
      <c r="I216" s="389">
        <f t="shared" si="88"/>
        <v>0</v>
      </c>
      <c r="J216" s="455">
        <f t="shared" si="113"/>
        <v>1</v>
      </c>
      <c r="K216" s="455">
        <f t="shared" si="89"/>
        <v>-46</v>
      </c>
      <c r="L216" s="455" t="str">
        <f t="shared" si="114"/>
        <v/>
      </c>
      <c r="M216" s="389" t="str">
        <f>IFERROR(IF(AD216&lt;=VLOOKUP(D216,Tournaments!$A$1:$B$1772,2,FALSE),"TRUE","FALSE"),"")</f>
        <v>FALSE</v>
      </c>
      <c r="N216" s="389">
        <v>1</v>
      </c>
      <c r="O216" s="389">
        <f t="shared" si="90"/>
        <v>7</v>
      </c>
      <c r="Q216" s="389">
        <f t="shared" si="91"/>
        <v>0</v>
      </c>
      <c r="R216" s="389">
        <f t="shared" si="92"/>
        <v>4</v>
      </c>
      <c r="S216" s="389">
        <f t="shared" si="93"/>
        <v>0</v>
      </c>
      <c r="U216" s="389">
        <f t="shared" si="94"/>
        <v>7</v>
      </c>
      <c r="V216" s="389">
        <f t="shared" si="95"/>
        <v>2.5000000000000001E-3</v>
      </c>
      <c r="W216" s="389">
        <f t="shared" si="96"/>
        <v>-6.9974999999999996</v>
      </c>
      <c r="X216" s="389">
        <f t="shared" si="97"/>
        <v>7</v>
      </c>
      <c r="Y216" s="389">
        <f t="shared" si="115"/>
        <v>5.9999999999999995E-4</v>
      </c>
      <c r="Z216" s="389">
        <f t="shared" si="98"/>
        <v>-6.9993999999999996</v>
      </c>
      <c r="AA216" s="389">
        <f t="shared" si="99"/>
        <v>7</v>
      </c>
      <c r="AB216" s="389" t="b">
        <f t="shared" si="100"/>
        <v>0</v>
      </c>
      <c r="AC216" s="389">
        <f t="shared" si="101"/>
        <v>-7</v>
      </c>
      <c r="AD216" s="389">
        <f t="shared" si="102"/>
        <v>7</v>
      </c>
      <c r="AE216" s="389">
        <f t="shared" si="103"/>
        <v>2</v>
      </c>
      <c r="AG216" s="311" t="str">
        <f t="shared" si="104"/>
        <v>Ch E Female Basketball-</v>
      </c>
      <c r="AH216" s="453">
        <f t="shared" si="105"/>
        <v>6</v>
      </c>
      <c r="AI216" s="453">
        <f t="shared" si="106"/>
        <v>2</v>
      </c>
      <c r="AJ216" t="str">
        <f t="array" ref="AJ216">IF(AND(AI216&gt;1,G216&lt;&gt;""),INDEX(FS_teams,MATCH(1,(FS_Keys=AG216)*(FS_Points=I216)*(FS_teams&lt;&gt;G216),0)),"")</f>
        <v>CHILD EF - ARG 1</v>
      </c>
      <c r="AK216" s="390" t="e">
        <f t="array" ref="AK216">IF(AJ216&lt;&gt;"",INDEX(TM_Score1,MATCH(1,(TM_Events=D216)*(TM_Participant1=G216)*(TM_Participant2=AJ216),0)),"")</f>
        <v>#N/A</v>
      </c>
      <c r="AL216" s="390" t="e">
        <f t="array" ref="AL216">IF(AJ216&lt;&gt;"",INDEX(TM_Score1,MATCH(1,(TM_Events=D216)*(TM_Participant1=AJ216)*(TM_Participant2=G216),0)),"")</f>
        <v>#N/A</v>
      </c>
      <c r="AM216" s="389" t="str">
        <f t="array" ref="AM216">IF(ISNUMBER(AK216),INDEX(TM_Score2,MATCH(1,(TM_Events=D216)*(TM_Participant1=G216)*(TM_Participant2=AJ216),0)),"")</f>
        <v/>
      </c>
      <c r="AN216" s="389" t="str">
        <f t="array" ref="AN216">IF(ISNUMBER(AL216),INDEX(TM_Score2,MATCH(1,(TM_Events=D216)*(TM_Participant1=AJ216)*(TM_Participant2=G216),0)),"")</f>
        <v/>
      </c>
      <c r="AO216" s="389" t="str">
        <f t="shared" si="107"/>
        <v>did not play</v>
      </c>
      <c r="AP216" s="389">
        <f t="shared" si="108"/>
        <v>0</v>
      </c>
      <c r="AQ216" s="389">
        <f t="shared" si="109"/>
        <v>0</v>
      </c>
      <c r="AR216" s="389">
        <f t="shared" si="110"/>
        <v>4</v>
      </c>
      <c r="AS216" s="453">
        <f t="shared" si="111"/>
        <v>-46</v>
      </c>
      <c r="AT216" s="452">
        <f t="shared" si="112"/>
        <v>16</v>
      </c>
    </row>
    <row r="217" spans="1:46" ht="16" x14ac:dyDescent="0.2">
      <c r="A217" s="298"/>
      <c r="B217"/>
      <c r="D217" s="303" t="s">
        <v>145</v>
      </c>
      <c r="E217" s="387"/>
      <c r="F217" s="387">
        <v>1</v>
      </c>
      <c r="G217" s="397" t="s">
        <v>605</v>
      </c>
      <c r="H217" s="387" t="str">
        <f t="shared" si="87"/>
        <v>3-2-0</v>
      </c>
      <c r="I217" s="389">
        <f t="shared" si="88"/>
        <v>6</v>
      </c>
      <c r="J217" s="455" t="str">
        <f t="shared" si="113"/>
        <v/>
      </c>
      <c r="K217" s="455" t="str">
        <f t="shared" si="89"/>
        <v/>
      </c>
      <c r="L217" s="455" t="str">
        <f t="shared" si="114"/>
        <v/>
      </c>
      <c r="M217" s="389" t="str">
        <f>IFERROR(IF(AD217&lt;=VLOOKUP(D217,Tournaments!$A$1:$B$1772,2,FALSE),"TRUE","FALSE"),"")</f>
        <v>TRUE</v>
      </c>
      <c r="N217" s="389">
        <v>1</v>
      </c>
      <c r="O217" s="389">
        <f t="shared" si="90"/>
        <v>2</v>
      </c>
      <c r="Q217" s="389">
        <f t="shared" si="91"/>
        <v>3</v>
      </c>
      <c r="R217" s="389">
        <f t="shared" si="92"/>
        <v>2</v>
      </c>
      <c r="S217" s="389">
        <f t="shared" si="93"/>
        <v>0</v>
      </c>
      <c r="U217" s="389">
        <f t="shared" si="94"/>
        <v>2</v>
      </c>
      <c r="V217" s="389" t="b">
        <f t="shared" si="95"/>
        <v>0</v>
      </c>
      <c r="W217" s="389">
        <f t="shared" si="96"/>
        <v>-2</v>
      </c>
      <c r="X217" s="389">
        <f t="shared" si="97"/>
        <v>2</v>
      </c>
      <c r="Y217" s="389" t="b">
        <f t="shared" si="115"/>
        <v>0</v>
      </c>
      <c r="Z217" s="389">
        <f t="shared" si="98"/>
        <v>-2</v>
      </c>
      <c r="AA217" s="389">
        <f t="shared" si="99"/>
        <v>2</v>
      </c>
      <c r="AB217" s="389" t="b">
        <f t="shared" si="100"/>
        <v>0</v>
      </c>
      <c r="AC217" s="389">
        <f t="shared" si="101"/>
        <v>-2</v>
      </c>
      <c r="AD217" s="389">
        <f t="shared" si="102"/>
        <v>2</v>
      </c>
      <c r="AE217" s="389">
        <f t="shared" si="103"/>
        <v>1</v>
      </c>
      <c r="AG217" s="311" t="str">
        <f t="shared" si="104"/>
        <v>Ch E Female Kickball-</v>
      </c>
      <c r="AH217" s="453">
        <f t="shared" si="105"/>
        <v>2</v>
      </c>
      <c r="AI217" s="453">
        <f t="shared" si="106"/>
        <v>1</v>
      </c>
      <c r="AJ217" t="str">
        <f t="array" ref="AJ217">IF(AND(AI217&gt;1,G217&lt;&gt;""),INDEX(FS_teams,MATCH(1,(FS_Keys=AG217)*(FS_Points=I217)*(FS_teams&lt;&gt;G217),0)),"")</f>
        <v/>
      </c>
      <c r="AK217" s="390" t="str">
        <f t="array" ref="AK217">IF(AJ217&lt;&gt;"",INDEX(TM_Score1,MATCH(1,(TM_Events=D217)*(TM_Participant1=G217)*(TM_Participant2=AJ217),0)),"")</f>
        <v/>
      </c>
      <c r="AL217" s="390" t="str">
        <f t="array" ref="AL217">IF(AJ217&lt;&gt;"",INDEX(TM_Score1,MATCH(1,(TM_Events=D217)*(TM_Participant1=AJ217)*(TM_Participant2=G217),0)),"")</f>
        <v/>
      </c>
      <c r="AM217" s="389" t="str">
        <f t="array" ref="AM217">IF(ISNUMBER(AK217),INDEX(TM_Score2,MATCH(1,(TM_Events=D217)*(TM_Participant1=G217)*(TM_Participant2=AJ217),0)),"")</f>
        <v/>
      </c>
      <c r="AN217" s="389" t="str">
        <f t="array" ref="AN217">IF(ISNUMBER(AL217),INDEX(TM_Score2,MATCH(1,(TM_Events=D217)*(TM_Participant1=AJ217)*(TM_Participant2=G217),0)),"")</f>
        <v/>
      </c>
      <c r="AO217" s="389" t="str">
        <f t="shared" si="107"/>
        <v/>
      </c>
      <c r="AP217" s="389">
        <f t="shared" si="108"/>
        <v>3</v>
      </c>
      <c r="AQ217" s="389">
        <f t="shared" si="109"/>
        <v>0</v>
      </c>
      <c r="AR217" s="389">
        <f t="shared" si="110"/>
        <v>2</v>
      </c>
      <c r="AS217" s="453">
        <f t="shared" si="111"/>
        <v>-2</v>
      </c>
      <c r="AT217" s="452">
        <f t="shared" si="112"/>
        <v>42</v>
      </c>
    </row>
    <row r="218" spans="1:46" ht="16" x14ac:dyDescent="0.2">
      <c r="A218" s="298"/>
      <c r="B218"/>
      <c r="D218" s="303" t="s">
        <v>145</v>
      </c>
      <c r="E218" s="396"/>
      <c r="F218" s="387">
        <v>1</v>
      </c>
      <c r="G218" s="397" t="s">
        <v>608</v>
      </c>
      <c r="H218" s="387" t="str">
        <f t="shared" si="87"/>
        <v>2-2-0</v>
      </c>
      <c r="I218" s="389">
        <f t="shared" si="88"/>
        <v>4</v>
      </c>
      <c r="J218" s="455">
        <f t="shared" si="113"/>
        <v>1</v>
      </c>
      <c r="K218" s="455">
        <f t="shared" si="89"/>
        <v>0</v>
      </c>
      <c r="L218" s="455" t="str">
        <f t="shared" si="114"/>
        <v/>
      </c>
      <c r="M218" s="389" t="str">
        <f>IFERROR(IF(AD218&lt;=VLOOKUP(D218,Tournaments!$A$1:$B$1772,2,FALSE),"TRUE","FALSE"),"")</f>
        <v>FALSE</v>
      </c>
      <c r="N218" s="389">
        <v>1</v>
      </c>
      <c r="O218" s="389">
        <f t="shared" si="90"/>
        <v>5</v>
      </c>
      <c r="Q218" s="389">
        <f t="shared" si="91"/>
        <v>2</v>
      </c>
      <c r="R218" s="389">
        <f t="shared" si="92"/>
        <v>2</v>
      </c>
      <c r="S218" s="389">
        <f t="shared" si="93"/>
        <v>0</v>
      </c>
      <c r="U218" s="389">
        <f t="shared" si="94"/>
        <v>5</v>
      </c>
      <c r="V218" s="389">
        <f t="shared" si="95"/>
        <v>2.5000000000000001E-3</v>
      </c>
      <c r="W218" s="389">
        <f t="shared" si="96"/>
        <v>-4.9974999999999996</v>
      </c>
      <c r="X218" s="389">
        <f t="shared" si="97"/>
        <v>5</v>
      </c>
      <c r="Y218" s="389">
        <f t="shared" si="115"/>
        <v>1.0999999999999999E-2</v>
      </c>
      <c r="Z218" s="389">
        <f t="shared" si="98"/>
        <v>-4.9889999999999999</v>
      </c>
      <c r="AA218" s="389">
        <f t="shared" si="99"/>
        <v>5</v>
      </c>
      <c r="AB218" s="389" t="b">
        <f t="shared" si="100"/>
        <v>0</v>
      </c>
      <c r="AC218" s="389">
        <f t="shared" si="101"/>
        <v>-5</v>
      </c>
      <c r="AD218" s="389">
        <f t="shared" si="102"/>
        <v>5</v>
      </c>
      <c r="AE218" s="389">
        <f t="shared" si="103"/>
        <v>3</v>
      </c>
      <c r="AG218" s="311" t="str">
        <f t="shared" si="104"/>
        <v>Ch E Female Kickball-</v>
      </c>
      <c r="AH218" s="453">
        <f t="shared" si="105"/>
        <v>3</v>
      </c>
      <c r="AI218" s="453">
        <f t="shared" si="106"/>
        <v>3</v>
      </c>
      <c r="AJ218" t="str">
        <f t="array" ref="AJ218">IF(AND(AI218&gt;1,G218&lt;&gt;""),INDEX(FS_teams,MATCH(1,(FS_Keys=AG218)*(FS_Points=I218)*(FS_teams&lt;&gt;G218),0)),"")</f>
        <v>CHILD EF - ISR 1</v>
      </c>
      <c r="AK218" s="390" t="e">
        <f t="array" ref="AK218">IF(AJ218&lt;&gt;"",INDEX(TM_Score1,MATCH(1,(TM_Events=D218)*(TM_Participant1=G218)*(TM_Participant2=AJ218),0)),"")</f>
        <v>#N/A</v>
      </c>
      <c r="AL218" s="390">
        <f t="array" ref="AL218">IF(AJ218&lt;&gt;"",INDEX(TM_Score1,MATCH(1,(TM_Events=D218)*(TM_Participant1=AJ218)*(TM_Participant2=G218),0)),"")</f>
        <v>2</v>
      </c>
      <c r="AM218" s="389" t="str">
        <f t="array" ref="AM218">IF(ISNUMBER(AK218),INDEX(TM_Score2,MATCH(1,(TM_Events=D218)*(TM_Participant1=G218)*(TM_Participant2=AJ218),0)),"")</f>
        <v/>
      </c>
      <c r="AN218" s="389">
        <f t="array" ref="AN218">IF(ISNUMBER(AL218),INDEX(TM_Score2,MATCH(1,(TM_Events=D218)*(TM_Participant1=AJ218)*(TM_Participant2=G218),0)),"")</f>
        <v>1</v>
      </c>
      <c r="AO218" s="389" t="str">
        <f t="shared" si="107"/>
        <v>Loss</v>
      </c>
      <c r="AP218" s="389">
        <f t="shared" si="108"/>
        <v>2</v>
      </c>
      <c r="AQ218" s="389">
        <f t="shared" si="109"/>
        <v>0</v>
      </c>
      <c r="AR218" s="389">
        <f t="shared" si="110"/>
        <v>2</v>
      </c>
      <c r="AS218" s="453">
        <f t="shared" si="111"/>
        <v>0</v>
      </c>
      <c r="AT218" s="452">
        <f t="shared" si="112"/>
        <v>28</v>
      </c>
    </row>
    <row r="219" spans="1:46" ht="16" x14ac:dyDescent="0.2">
      <c r="A219" s="298"/>
      <c r="B219"/>
      <c r="D219" s="303" t="s">
        <v>145</v>
      </c>
      <c r="E219" s="396"/>
      <c r="F219" s="387">
        <v>1</v>
      </c>
      <c r="G219" s="397" t="s">
        <v>607</v>
      </c>
      <c r="H219" s="387" t="str">
        <f t="shared" si="87"/>
        <v>2-2-0</v>
      </c>
      <c r="I219" s="389">
        <f t="shared" si="88"/>
        <v>4</v>
      </c>
      <c r="J219" s="455">
        <f t="shared" si="113"/>
        <v>1</v>
      </c>
      <c r="K219" s="455">
        <f t="shared" si="89"/>
        <v>4</v>
      </c>
      <c r="L219" s="455" t="str">
        <f t="shared" si="114"/>
        <v/>
      </c>
      <c r="M219" s="389" t="str">
        <f>IFERROR(IF(AD219&lt;=VLOOKUP(D219,Tournaments!$A$1:$B$1772,2,FALSE),"TRUE","FALSE"),"")</f>
        <v>FALSE</v>
      </c>
      <c r="N219" s="389">
        <v>1</v>
      </c>
      <c r="O219" s="389">
        <f t="shared" si="90"/>
        <v>3</v>
      </c>
      <c r="Q219" s="389">
        <f t="shared" si="91"/>
        <v>2</v>
      </c>
      <c r="R219" s="389">
        <f t="shared" si="92"/>
        <v>2</v>
      </c>
      <c r="S219" s="389">
        <f t="shared" si="93"/>
        <v>0</v>
      </c>
      <c r="U219" s="389">
        <f t="shared" si="94"/>
        <v>5</v>
      </c>
      <c r="V219" s="389">
        <f t="shared" si="95"/>
        <v>2.5000000000000001E-3</v>
      </c>
      <c r="W219" s="389">
        <f t="shared" si="96"/>
        <v>-4.9974999999999996</v>
      </c>
      <c r="X219" s="389">
        <f t="shared" si="97"/>
        <v>5</v>
      </c>
      <c r="Y219" s="389">
        <f t="shared" si="115"/>
        <v>7.2900000000000006E-2</v>
      </c>
      <c r="Z219" s="389">
        <f t="shared" si="98"/>
        <v>-4.9271000000000003</v>
      </c>
      <c r="AA219" s="389">
        <f t="shared" si="99"/>
        <v>3</v>
      </c>
      <c r="AB219" s="389" t="b">
        <f t="shared" si="100"/>
        <v>0</v>
      </c>
      <c r="AC219" s="389">
        <f t="shared" si="101"/>
        <v>-3</v>
      </c>
      <c r="AD219" s="389">
        <f t="shared" si="102"/>
        <v>3</v>
      </c>
      <c r="AE219" s="389">
        <f t="shared" si="103"/>
        <v>3</v>
      </c>
      <c r="AG219" s="311" t="str">
        <f t="shared" si="104"/>
        <v>Ch E Female Kickball-</v>
      </c>
      <c r="AH219" s="453">
        <f t="shared" si="105"/>
        <v>3</v>
      </c>
      <c r="AI219" s="453">
        <f t="shared" si="106"/>
        <v>3</v>
      </c>
      <c r="AJ219" t="str">
        <f t="array" ref="AJ219">IF(AND(AI219&gt;1,G219&lt;&gt;""),INDEX(FS_teams,MATCH(1,(FS_Keys=AG219)*(FS_Points=I219)*(FS_teams&lt;&gt;G219),0)),"")</f>
        <v>CHILD EF - MEX</v>
      </c>
      <c r="AK219" s="390">
        <f t="array" ref="AK219">IF(AJ219&lt;&gt;"",INDEX(TM_Score1,MATCH(1,(TM_Events=D219)*(TM_Participant1=G219)*(TM_Participant2=AJ219),0)),"")</f>
        <v>2</v>
      </c>
      <c r="AL219" s="390" t="e">
        <f t="array" ref="AL219">IF(AJ219&lt;&gt;"",INDEX(TM_Score1,MATCH(1,(TM_Events=D219)*(TM_Participant1=AJ219)*(TM_Participant2=G219),0)),"")</f>
        <v>#N/A</v>
      </c>
      <c r="AM219" s="389">
        <f t="array" ref="AM219">IF(ISNUMBER(AK219),INDEX(TM_Score2,MATCH(1,(TM_Events=D219)*(TM_Participant1=G219)*(TM_Participant2=AJ219),0)),"")</f>
        <v>1</v>
      </c>
      <c r="AN219" s="389" t="str">
        <f t="array" ref="AN219">IF(ISNUMBER(AL219),INDEX(TM_Score2,MATCH(1,(TM_Events=D219)*(TM_Participant1=AJ219)*(TM_Participant2=G219),0)),"")</f>
        <v/>
      </c>
      <c r="AO219" s="389" t="str">
        <f t="shared" si="107"/>
        <v>Win</v>
      </c>
      <c r="AP219" s="389">
        <f t="shared" si="108"/>
        <v>2</v>
      </c>
      <c r="AQ219" s="389">
        <f t="shared" si="109"/>
        <v>0</v>
      </c>
      <c r="AR219" s="389">
        <f t="shared" si="110"/>
        <v>2</v>
      </c>
      <c r="AS219" s="453">
        <f t="shared" si="111"/>
        <v>4</v>
      </c>
      <c r="AT219" s="452">
        <f t="shared" si="112"/>
        <v>38</v>
      </c>
    </row>
    <row r="220" spans="1:46" ht="16" x14ac:dyDescent="0.2">
      <c r="A220" s="298"/>
      <c r="B220"/>
      <c r="D220" s="303" t="s">
        <v>145</v>
      </c>
      <c r="E220" s="396"/>
      <c r="F220" s="387">
        <v>1</v>
      </c>
      <c r="G220" s="397" t="s">
        <v>612</v>
      </c>
      <c r="H220" s="387" t="str">
        <f t="shared" si="87"/>
        <v>5-0-0</v>
      </c>
      <c r="I220" s="389">
        <f t="shared" si="88"/>
        <v>10</v>
      </c>
      <c r="J220" s="455" t="str">
        <f t="shared" si="113"/>
        <v/>
      </c>
      <c r="K220" s="455" t="str">
        <f t="shared" si="89"/>
        <v/>
      </c>
      <c r="L220" s="455" t="str">
        <f t="shared" si="114"/>
        <v/>
      </c>
      <c r="M220" s="389" t="str">
        <f>IFERROR(IF(AD220&lt;=VLOOKUP(D220,Tournaments!$A$1:$B$1772,2,FALSE),"TRUE","FALSE"),"")</f>
        <v>TRUE</v>
      </c>
      <c r="N220" s="389">
        <v>1</v>
      </c>
      <c r="O220" s="389">
        <f t="shared" si="90"/>
        <v>1</v>
      </c>
      <c r="Q220" s="389">
        <f t="shared" si="91"/>
        <v>5</v>
      </c>
      <c r="R220" s="389">
        <f t="shared" si="92"/>
        <v>0</v>
      </c>
      <c r="S220" s="389">
        <f t="shared" si="93"/>
        <v>0</v>
      </c>
      <c r="U220" s="389">
        <f t="shared" si="94"/>
        <v>1</v>
      </c>
      <c r="V220" s="389" t="b">
        <f t="shared" si="95"/>
        <v>0</v>
      </c>
      <c r="W220" s="389">
        <f t="shared" si="96"/>
        <v>-1</v>
      </c>
      <c r="X220" s="389">
        <f t="shared" si="97"/>
        <v>1</v>
      </c>
      <c r="Y220" s="389" t="b">
        <f t="shared" si="115"/>
        <v>0</v>
      </c>
      <c r="Z220" s="389">
        <f t="shared" si="98"/>
        <v>-1</v>
      </c>
      <c r="AA220" s="389">
        <f t="shared" si="99"/>
        <v>1</v>
      </c>
      <c r="AB220" s="389" t="b">
        <f t="shared" si="100"/>
        <v>0</v>
      </c>
      <c r="AC220" s="389">
        <f t="shared" si="101"/>
        <v>-1</v>
      </c>
      <c r="AD220" s="389">
        <f t="shared" si="102"/>
        <v>1</v>
      </c>
      <c r="AE220" s="389">
        <f t="shared" si="103"/>
        <v>1</v>
      </c>
      <c r="AG220" s="311" t="str">
        <f t="shared" si="104"/>
        <v>Ch E Female Kickball-</v>
      </c>
      <c r="AH220" s="453">
        <f t="shared" si="105"/>
        <v>1</v>
      </c>
      <c r="AI220" s="453">
        <f t="shared" si="106"/>
        <v>1</v>
      </c>
      <c r="AJ220" t="str">
        <f t="array" ref="AJ220">IF(AND(AI220&gt;1,G220&lt;&gt;""),INDEX(FS_teams,MATCH(1,(FS_Keys=AG220)*(FS_Points=I220)*(FS_teams&lt;&gt;G220),0)),"")</f>
        <v/>
      </c>
      <c r="AK220" s="390" t="str">
        <f t="array" ref="AK220">IF(AJ220&lt;&gt;"",INDEX(TM_Score1,MATCH(1,(TM_Events=D220)*(TM_Participant1=G220)*(TM_Participant2=AJ220),0)),"")</f>
        <v/>
      </c>
      <c r="AL220" s="390" t="str">
        <f t="array" ref="AL220">IF(AJ220&lt;&gt;"",INDEX(TM_Score1,MATCH(1,(TM_Events=D220)*(TM_Participant1=AJ220)*(TM_Participant2=G220),0)),"")</f>
        <v/>
      </c>
      <c r="AM220" s="389" t="str">
        <f t="array" ref="AM220">IF(ISNUMBER(AK220),INDEX(TM_Score2,MATCH(1,(TM_Events=D220)*(TM_Participant1=G220)*(TM_Participant2=AJ220),0)),"")</f>
        <v/>
      </c>
      <c r="AN220" s="389" t="str">
        <f t="array" ref="AN220">IF(ISNUMBER(AL220),INDEX(TM_Score2,MATCH(1,(TM_Events=D220)*(TM_Participant1=AJ220)*(TM_Participant2=G220),0)),"")</f>
        <v/>
      </c>
      <c r="AO220" s="389" t="str">
        <f t="shared" si="107"/>
        <v/>
      </c>
      <c r="AP220" s="389">
        <f t="shared" si="108"/>
        <v>5</v>
      </c>
      <c r="AQ220" s="389">
        <f t="shared" si="109"/>
        <v>0</v>
      </c>
      <c r="AR220" s="389">
        <f t="shared" si="110"/>
        <v>0</v>
      </c>
      <c r="AS220" s="453">
        <f t="shared" si="111"/>
        <v>19</v>
      </c>
      <c r="AT220" s="452">
        <f t="shared" si="112"/>
        <v>76</v>
      </c>
    </row>
    <row r="221" spans="1:46" ht="16" x14ac:dyDescent="0.2">
      <c r="A221" s="298"/>
      <c r="B221"/>
      <c r="D221" s="303" t="s">
        <v>145</v>
      </c>
      <c r="E221" s="396"/>
      <c r="F221" s="387">
        <v>1</v>
      </c>
      <c r="G221" s="397" t="s">
        <v>609</v>
      </c>
      <c r="H221" s="387" t="str">
        <f t="shared" si="87"/>
        <v>1-3-0</v>
      </c>
      <c r="I221" s="389">
        <f t="shared" si="88"/>
        <v>2</v>
      </c>
      <c r="J221" s="455" t="str">
        <f t="shared" si="113"/>
        <v/>
      </c>
      <c r="K221" s="455" t="str">
        <f t="shared" si="89"/>
        <v/>
      </c>
      <c r="L221" s="455" t="str">
        <f t="shared" si="114"/>
        <v/>
      </c>
      <c r="M221" s="389" t="str">
        <f>IFERROR(IF(AD221&lt;=VLOOKUP(D221,Tournaments!$A$1:$B$1772,2,FALSE),"TRUE","FALSE"),"")</f>
        <v>FALSE</v>
      </c>
      <c r="N221" s="389">
        <v>1</v>
      </c>
      <c r="O221" s="389">
        <f t="shared" si="90"/>
        <v>6</v>
      </c>
      <c r="Q221" s="389">
        <f t="shared" si="91"/>
        <v>1</v>
      </c>
      <c r="R221" s="389">
        <f t="shared" si="92"/>
        <v>3</v>
      </c>
      <c r="S221" s="389">
        <f t="shared" si="93"/>
        <v>0</v>
      </c>
      <c r="U221" s="389">
        <f t="shared" si="94"/>
        <v>6</v>
      </c>
      <c r="V221" s="389" t="b">
        <f t="shared" si="95"/>
        <v>0</v>
      </c>
      <c r="W221" s="389">
        <f t="shared" si="96"/>
        <v>-6</v>
      </c>
      <c r="X221" s="389">
        <f t="shared" si="97"/>
        <v>6</v>
      </c>
      <c r="Y221" s="389" t="b">
        <f t="shared" si="115"/>
        <v>0</v>
      </c>
      <c r="Z221" s="389">
        <f t="shared" si="98"/>
        <v>-6</v>
      </c>
      <c r="AA221" s="389">
        <f t="shared" si="99"/>
        <v>6</v>
      </c>
      <c r="AB221" s="389" t="b">
        <f t="shared" si="100"/>
        <v>0</v>
      </c>
      <c r="AC221" s="389">
        <f t="shared" si="101"/>
        <v>-6</v>
      </c>
      <c r="AD221" s="389">
        <f t="shared" si="102"/>
        <v>6</v>
      </c>
      <c r="AE221" s="389">
        <f t="shared" si="103"/>
        <v>1</v>
      </c>
      <c r="AG221" s="311" t="str">
        <f t="shared" si="104"/>
        <v>Ch E Female Kickball-</v>
      </c>
      <c r="AH221" s="453">
        <f t="shared" si="105"/>
        <v>6</v>
      </c>
      <c r="AI221" s="453">
        <f t="shared" si="106"/>
        <v>1</v>
      </c>
      <c r="AJ221" t="str">
        <f t="array" ref="AJ221">IF(AND(AI221&gt;1,G221&lt;&gt;""),INDEX(FS_teams,MATCH(1,(FS_Keys=AG221)*(FS_Points=I221)*(FS_teams&lt;&gt;G221),0)),"")</f>
        <v/>
      </c>
      <c r="AK221" s="390" t="str">
        <f t="array" ref="AK221">IF(AJ221&lt;&gt;"",INDEX(TM_Score1,MATCH(1,(TM_Events=D221)*(TM_Participant1=G221)*(TM_Participant2=AJ221),0)),"")</f>
        <v/>
      </c>
      <c r="AL221" s="390" t="str">
        <f t="array" ref="AL221">IF(AJ221&lt;&gt;"",INDEX(TM_Score1,MATCH(1,(TM_Events=D221)*(TM_Participant1=AJ221)*(TM_Participant2=G221),0)),"")</f>
        <v/>
      </c>
      <c r="AM221" s="389" t="str">
        <f t="array" ref="AM221">IF(ISNUMBER(AK221),INDEX(TM_Score2,MATCH(1,(TM_Events=D221)*(TM_Participant1=G221)*(TM_Participant2=AJ221),0)),"")</f>
        <v/>
      </c>
      <c r="AN221" s="389" t="str">
        <f t="array" ref="AN221">IF(ISNUMBER(AL221),INDEX(TM_Score2,MATCH(1,(TM_Events=D221)*(TM_Participant1=AJ221)*(TM_Participant2=G221),0)),"")</f>
        <v/>
      </c>
      <c r="AO221" s="389" t="str">
        <f t="shared" si="107"/>
        <v/>
      </c>
      <c r="AP221" s="389">
        <f t="shared" si="108"/>
        <v>1</v>
      </c>
      <c r="AQ221" s="389">
        <f t="shared" si="109"/>
        <v>0</v>
      </c>
      <c r="AR221" s="389">
        <f t="shared" si="110"/>
        <v>3</v>
      </c>
      <c r="AS221" s="453">
        <f t="shared" si="111"/>
        <v>-6</v>
      </c>
      <c r="AT221" s="452">
        <f t="shared" si="112"/>
        <v>34</v>
      </c>
    </row>
    <row r="222" spans="1:46" ht="16" x14ac:dyDescent="0.2">
      <c r="A222" s="298"/>
      <c r="B222"/>
      <c r="D222" s="303" t="s">
        <v>145</v>
      </c>
      <c r="E222" s="396"/>
      <c r="F222" s="387">
        <v>1</v>
      </c>
      <c r="G222" s="397" t="s">
        <v>606</v>
      </c>
      <c r="H222" s="387" t="str">
        <f t="shared" si="87"/>
        <v>0-4-0</v>
      </c>
      <c r="I222" s="389">
        <f t="shared" si="88"/>
        <v>0</v>
      </c>
      <c r="J222" s="455" t="str">
        <f t="shared" si="113"/>
        <v/>
      </c>
      <c r="K222" s="455" t="str">
        <f t="shared" si="89"/>
        <v/>
      </c>
      <c r="L222" s="455" t="str">
        <f t="shared" si="114"/>
        <v/>
      </c>
      <c r="M222" s="389" t="str">
        <f>IFERROR(IF(AD222&lt;=VLOOKUP(D222,Tournaments!$A$1:$B$1772,2,FALSE),"TRUE","FALSE"),"")</f>
        <v>FALSE</v>
      </c>
      <c r="N222" s="389">
        <v>1</v>
      </c>
      <c r="O222" s="389">
        <f t="shared" si="90"/>
        <v>7</v>
      </c>
      <c r="Q222" s="389">
        <f t="shared" si="91"/>
        <v>0</v>
      </c>
      <c r="R222" s="389">
        <f t="shared" si="92"/>
        <v>4</v>
      </c>
      <c r="S222" s="389">
        <f t="shared" si="93"/>
        <v>0</v>
      </c>
      <c r="U222" s="389">
        <f t="shared" si="94"/>
        <v>7</v>
      </c>
      <c r="V222" s="389" t="b">
        <f t="shared" si="95"/>
        <v>0</v>
      </c>
      <c r="W222" s="389">
        <f t="shared" si="96"/>
        <v>-7</v>
      </c>
      <c r="X222" s="389">
        <f t="shared" si="97"/>
        <v>7</v>
      </c>
      <c r="Y222" s="389" t="b">
        <f t="shared" si="115"/>
        <v>0</v>
      </c>
      <c r="Z222" s="389">
        <f t="shared" si="98"/>
        <v>-7</v>
      </c>
      <c r="AA222" s="389">
        <f t="shared" si="99"/>
        <v>7</v>
      </c>
      <c r="AB222" s="389" t="b">
        <f t="shared" si="100"/>
        <v>0</v>
      </c>
      <c r="AC222" s="389">
        <f t="shared" si="101"/>
        <v>-7</v>
      </c>
      <c r="AD222" s="389">
        <f t="shared" si="102"/>
        <v>7</v>
      </c>
      <c r="AE222" s="389">
        <f t="shared" si="103"/>
        <v>1</v>
      </c>
      <c r="AG222" s="311" t="str">
        <f t="shared" si="104"/>
        <v>Ch E Female Kickball-</v>
      </c>
      <c r="AH222" s="453">
        <f t="shared" si="105"/>
        <v>7</v>
      </c>
      <c r="AI222" s="453">
        <f t="shared" si="106"/>
        <v>1</v>
      </c>
      <c r="AJ222" t="str">
        <f t="array" ref="AJ222">IF(AND(AI222&gt;1,G222&lt;&gt;""),INDEX(FS_teams,MATCH(1,(FS_Keys=AG222)*(FS_Points=I222)*(FS_teams&lt;&gt;G222),0)),"")</f>
        <v/>
      </c>
      <c r="AK222" s="390" t="str">
        <f t="array" ref="AK222">IF(AJ222&lt;&gt;"",INDEX(TM_Score1,MATCH(1,(TM_Events=D222)*(TM_Participant1=G222)*(TM_Participant2=AJ222),0)),"")</f>
        <v/>
      </c>
      <c r="AL222" s="390" t="str">
        <f t="array" ref="AL222">IF(AJ222&lt;&gt;"",INDEX(TM_Score1,MATCH(1,(TM_Events=D222)*(TM_Participant1=AJ222)*(TM_Participant2=G222),0)),"")</f>
        <v/>
      </c>
      <c r="AM222" s="389" t="str">
        <f t="array" ref="AM222">IF(ISNUMBER(AK222),INDEX(TM_Score2,MATCH(1,(TM_Events=D222)*(TM_Participant1=G222)*(TM_Participant2=AJ222),0)),"")</f>
        <v/>
      </c>
      <c r="AN222" s="389" t="str">
        <f t="array" ref="AN222">IF(ISNUMBER(AL222),INDEX(TM_Score2,MATCH(1,(TM_Events=D222)*(TM_Participant1=AJ222)*(TM_Participant2=G222),0)),"")</f>
        <v/>
      </c>
      <c r="AO222" s="389" t="str">
        <f t="shared" si="107"/>
        <v/>
      </c>
      <c r="AP222" s="389">
        <f t="shared" si="108"/>
        <v>0</v>
      </c>
      <c r="AQ222" s="389">
        <f t="shared" si="109"/>
        <v>0</v>
      </c>
      <c r="AR222" s="389">
        <f t="shared" si="110"/>
        <v>4</v>
      </c>
      <c r="AS222" s="453">
        <f t="shared" si="111"/>
        <v>-17</v>
      </c>
      <c r="AT222" s="452">
        <f t="shared" si="112"/>
        <v>14</v>
      </c>
    </row>
    <row r="223" spans="1:46" ht="16" x14ac:dyDescent="0.2">
      <c r="A223" s="298"/>
      <c r="B223"/>
      <c r="D223" s="303" t="s">
        <v>145</v>
      </c>
      <c r="E223" s="387"/>
      <c r="F223" s="387">
        <v>1</v>
      </c>
      <c r="G223" s="397" t="s">
        <v>611</v>
      </c>
      <c r="H223" s="387" t="str">
        <f t="shared" si="87"/>
        <v>2-2-0</v>
      </c>
      <c r="I223" s="389">
        <f t="shared" si="88"/>
        <v>4</v>
      </c>
      <c r="J223" s="455">
        <f t="shared" si="113"/>
        <v>1</v>
      </c>
      <c r="K223" s="455">
        <f t="shared" si="89"/>
        <v>2</v>
      </c>
      <c r="L223" s="455" t="str">
        <f t="shared" si="114"/>
        <v/>
      </c>
      <c r="M223" s="389" t="str">
        <f>IFERROR(IF(AD223&lt;=VLOOKUP(D223,Tournaments!$A$1:$B$1772,2,FALSE),"TRUE","FALSE"),"")</f>
        <v>FALSE</v>
      </c>
      <c r="N223" s="389">
        <v>1</v>
      </c>
      <c r="O223" s="389">
        <f t="shared" si="90"/>
        <v>4</v>
      </c>
      <c r="Q223" s="389">
        <f t="shared" si="91"/>
        <v>2</v>
      </c>
      <c r="R223" s="389">
        <f t="shared" si="92"/>
        <v>2</v>
      </c>
      <c r="S223" s="389">
        <f t="shared" si="93"/>
        <v>0</v>
      </c>
      <c r="U223" s="389">
        <f t="shared" si="94"/>
        <v>5</v>
      </c>
      <c r="V223" s="389">
        <f t="shared" si="95"/>
        <v>2.5000000000000001E-3</v>
      </c>
      <c r="W223" s="389">
        <f t="shared" si="96"/>
        <v>-4.9974999999999996</v>
      </c>
      <c r="X223" s="389">
        <f t="shared" si="97"/>
        <v>5</v>
      </c>
      <c r="Y223" s="389">
        <f t="shared" si="115"/>
        <v>7.1499999999999994E-2</v>
      </c>
      <c r="Z223" s="389">
        <f t="shared" si="98"/>
        <v>-4.9284999999999997</v>
      </c>
      <c r="AA223" s="389">
        <f t="shared" si="99"/>
        <v>4</v>
      </c>
      <c r="AB223" s="389" t="b">
        <f t="shared" si="100"/>
        <v>0</v>
      </c>
      <c r="AC223" s="389">
        <f t="shared" si="101"/>
        <v>-4</v>
      </c>
      <c r="AD223" s="389">
        <f t="shared" si="102"/>
        <v>4</v>
      </c>
      <c r="AE223" s="389">
        <f t="shared" si="103"/>
        <v>3</v>
      </c>
      <c r="AG223" s="311" t="str">
        <f t="shared" si="104"/>
        <v>Ch E Female Kickball-</v>
      </c>
      <c r="AH223" s="453">
        <f t="shared" si="105"/>
        <v>3</v>
      </c>
      <c r="AI223" s="453">
        <f t="shared" si="106"/>
        <v>3</v>
      </c>
      <c r="AJ223" t="str">
        <f t="array" ref="AJ223">IF(AND(AI223&gt;1,G223&lt;&gt;""),INDEX(FS_teams,MATCH(1,(FS_Keys=AG223)*(FS_Points=I223)*(FS_teams&lt;&gt;G223),0)),"")</f>
        <v>CHILD EF - MEX</v>
      </c>
      <c r="AK223" s="390">
        <f t="array" ref="AK223">IF(AJ223&lt;&gt;"",INDEX(TM_Score1,MATCH(1,(TM_Events=D223)*(TM_Participant1=G223)*(TM_Participant2=AJ223),0)),"")</f>
        <v>13</v>
      </c>
      <c r="AL223" s="390" t="e">
        <f t="array" ref="AL223">IF(AJ223&lt;&gt;"",INDEX(TM_Score1,MATCH(1,(TM_Events=D223)*(TM_Participant1=AJ223)*(TM_Participant2=G223),0)),"")</f>
        <v>#N/A</v>
      </c>
      <c r="AM223" s="389">
        <f t="array" ref="AM223">IF(ISNUMBER(AK223),INDEX(TM_Score2,MATCH(1,(TM_Events=D223)*(TM_Participant1=G223)*(TM_Participant2=AJ223),0)),"")</f>
        <v>14</v>
      </c>
      <c r="AN223" s="389" t="str">
        <f t="array" ref="AN223">IF(ISNUMBER(AL223),INDEX(TM_Score2,MATCH(1,(TM_Events=D223)*(TM_Participant1=AJ223)*(TM_Participant2=G223),0)),"")</f>
        <v/>
      </c>
      <c r="AO223" s="389" t="str">
        <f t="shared" si="107"/>
        <v>Loss</v>
      </c>
      <c r="AP223" s="389">
        <f t="shared" si="108"/>
        <v>2</v>
      </c>
      <c r="AQ223" s="389">
        <f t="shared" si="109"/>
        <v>0</v>
      </c>
      <c r="AR223" s="389">
        <f t="shared" si="110"/>
        <v>2</v>
      </c>
      <c r="AS223" s="453">
        <f t="shared" si="111"/>
        <v>2</v>
      </c>
      <c r="AT223" s="452">
        <f t="shared" si="112"/>
        <v>52</v>
      </c>
    </row>
    <row r="224" spans="1:46" ht="16" x14ac:dyDescent="0.2">
      <c r="A224" s="298"/>
      <c r="B224"/>
      <c r="D224" s="303" t="s">
        <v>58</v>
      </c>
      <c r="E224" s="396"/>
      <c r="F224" s="387">
        <v>1</v>
      </c>
      <c r="G224" s="397" t="s">
        <v>605</v>
      </c>
      <c r="H224" s="387" t="str">
        <f t="shared" si="87"/>
        <v>3-2-0</v>
      </c>
      <c r="I224" s="389">
        <f t="shared" si="88"/>
        <v>6</v>
      </c>
      <c r="J224" s="455" t="str">
        <f t="shared" si="113"/>
        <v/>
      </c>
      <c r="K224" s="455" t="str">
        <f t="shared" si="89"/>
        <v/>
      </c>
      <c r="L224" s="455" t="str">
        <f t="shared" si="114"/>
        <v/>
      </c>
      <c r="M224" s="389" t="str">
        <f>IFERROR(IF(AD224&lt;=VLOOKUP(D224,Tournaments!$A$1:$B$1772,2,FALSE),"TRUE","FALSE"),"")</f>
        <v>TRUE</v>
      </c>
      <c r="N224" s="389">
        <v>1</v>
      </c>
      <c r="O224" s="389">
        <f t="shared" si="90"/>
        <v>2</v>
      </c>
      <c r="Q224" s="389">
        <f t="shared" si="91"/>
        <v>3</v>
      </c>
      <c r="R224" s="389">
        <f t="shared" si="92"/>
        <v>2</v>
      </c>
      <c r="S224" s="389">
        <f t="shared" si="93"/>
        <v>0</v>
      </c>
      <c r="U224" s="389">
        <f t="shared" si="94"/>
        <v>2</v>
      </c>
      <c r="V224" s="389" t="b">
        <f t="shared" si="95"/>
        <v>0</v>
      </c>
      <c r="W224" s="389">
        <f t="shared" si="96"/>
        <v>-2</v>
      </c>
      <c r="X224" s="389">
        <f t="shared" si="97"/>
        <v>2</v>
      </c>
      <c r="Y224" s="389" t="b">
        <f t="shared" si="115"/>
        <v>0</v>
      </c>
      <c r="Z224" s="389">
        <f t="shared" si="98"/>
        <v>-2</v>
      </c>
      <c r="AA224" s="389">
        <f t="shared" si="99"/>
        <v>2</v>
      </c>
      <c r="AB224" s="389" t="b">
        <f t="shared" si="100"/>
        <v>0</v>
      </c>
      <c r="AC224" s="389">
        <f t="shared" si="101"/>
        <v>-2</v>
      </c>
      <c r="AD224" s="389">
        <f t="shared" si="102"/>
        <v>2</v>
      </c>
      <c r="AE224" s="389">
        <f t="shared" si="103"/>
        <v>1</v>
      </c>
      <c r="AG224" s="311" t="str">
        <f t="shared" si="104"/>
        <v>Ch E Female Mini Soccer-</v>
      </c>
      <c r="AH224" s="453">
        <f t="shared" si="105"/>
        <v>2</v>
      </c>
      <c r="AI224" s="453">
        <f t="shared" si="106"/>
        <v>1</v>
      </c>
      <c r="AJ224" t="str">
        <f t="array" ref="AJ224">IF(AND(AI224&gt;1,G224&lt;&gt;""),INDEX(FS_teams,MATCH(1,(FS_Keys=AG224)*(FS_Points=I224)*(FS_teams&lt;&gt;G224),0)),"")</f>
        <v/>
      </c>
      <c r="AK224" s="390" t="str">
        <f t="array" ref="AK224">IF(AJ224&lt;&gt;"",INDEX(TM_Score1,MATCH(1,(TM_Events=D224)*(TM_Participant1=G224)*(TM_Participant2=AJ224),0)),"")</f>
        <v/>
      </c>
      <c r="AL224" s="390" t="str">
        <f t="array" ref="AL224">IF(AJ224&lt;&gt;"",INDEX(TM_Score1,MATCH(1,(TM_Events=D224)*(TM_Participant1=AJ224)*(TM_Participant2=G224),0)),"")</f>
        <v/>
      </c>
      <c r="AM224" s="389" t="str">
        <f t="array" ref="AM224">IF(ISNUMBER(AK224),INDEX(TM_Score2,MATCH(1,(TM_Events=D224)*(TM_Participant1=G224)*(TM_Participant2=AJ224),0)),"")</f>
        <v/>
      </c>
      <c r="AN224" s="389" t="str">
        <f t="array" ref="AN224">IF(ISNUMBER(AL224),INDEX(TM_Score2,MATCH(1,(TM_Events=D224)*(TM_Participant1=AJ224)*(TM_Participant2=G224),0)),"")</f>
        <v/>
      </c>
      <c r="AO224" s="389" t="str">
        <f t="shared" si="107"/>
        <v/>
      </c>
      <c r="AP224" s="389">
        <f t="shared" si="108"/>
        <v>3</v>
      </c>
      <c r="AQ224" s="389">
        <f t="shared" si="109"/>
        <v>0</v>
      </c>
      <c r="AR224" s="389">
        <f t="shared" si="110"/>
        <v>2</v>
      </c>
      <c r="AS224" s="453">
        <f t="shared" si="111"/>
        <v>5</v>
      </c>
      <c r="AT224" s="452">
        <f t="shared" si="112"/>
        <v>12</v>
      </c>
    </row>
    <row r="225" spans="1:46" ht="16" x14ac:dyDescent="0.2">
      <c r="A225" s="298"/>
      <c r="B225"/>
      <c r="D225" s="303" t="s">
        <v>58</v>
      </c>
      <c r="E225" s="387"/>
      <c r="F225" s="387">
        <v>1</v>
      </c>
      <c r="G225" s="397" t="s">
        <v>611</v>
      </c>
      <c r="H225" s="387" t="str">
        <f t="shared" si="87"/>
        <v>2-2-0</v>
      </c>
      <c r="I225" s="389">
        <f t="shared" si="88"/>
        <v>4</v>
      </c>
      <c r="J225" s="455">
        <f t="shared" si="113"/>
        <v>1</v>
      </c>
      <c r="K225" s="455">
        <f t="shared" si="89"/>
        <v>-1</v>
      </c>
      <c r="L225" s="455" t="str">
        <f t="shared" si="114"/>
        <v/>
      </c>
      <c r="M225" s="389" t="str">
        <f>IFERROR(IF(AD225&lt;=VLOOKUP(D225,Tournaments!$A$1:$B$1772,2,FALSE),"TRUE","FALSE"),"")</f>
        <v>FALSE</v>
      </c>
      <c r="N225" s="389">
        <v>1</v>
      </c>
      <c r="O225" s="389">
        <f t="shared" si="90"/>
        <v>4</v>
      </c>
      <c r="Q225" s="389">
        <f t="shared" si="91"/>
        <v>2</v>
      </c>
      <c r="R225" s="389">
        <f t="shared" si="92"/>
        <v>2</v>
      </c>
      <c r="S225" s="389">
        <f t="shared" si="93"/>
        <v>0</v>
      </c>
      <c r="U225" s="389">
        <f t="shared" si="94"/>
        <v>5</v>
      </c>
      <c r="V225" s="389">
        <f t="shared" si="95"/>
        <v>2.5000000000000001E-3</v>
      </c>
      <c r="W225" s="389">
        <f t="shared" si="96"/>
        <v>-4.9974999999999996</v>
      </c>
      <c r="X225" s="389">
        <f t="shared" si="97"/>
        <v>5</v>
      </c>
      <c r="Y225" s="389">
        <f t="shared" si="115"/>
        <v>9.7999999999999997E-3</v>
      </c>
      <c r="Z225" s="389">
        <f t="shared" si="98"/>
        <v>-4.9901999999999997</v>
      </c>
      <c r="AA225" s="389">
        <f t="shared" si="99"/>
        <v>4</v>
      </c>
      <c r="AB225" s="389" t="b">
        <f t="shared" si="100"/>
        <v>0</v>
      </c>
      <c r="AC225" s="389">
        <f t="shared" si="101"/>
        <v>-4</v>
      </c>
      <c r="AD225" s="389">
        <f t="shared" si="102"/>
        <v>4</v>
      </c>
      <c r="AE225" s="389">
        <f t="shared" si="103"/>
        <v>3</v>
      </c>
      <c r="AG225" s="311" t="str">
        <f t="shared" si="104"/>
        <v>Ch E Female Mini Soccer-</v>
      </c>
      <c r="AH225" s="453">
        <f t="shared" si="105"/>
        <v>3</v>
      </c>
      <c r="AI225" s="453">
        <f t="shared" si="106"/>
        <v>3</v>
      </c>
      <c r="AJ225" t="str">
        <f t="array" ref="AJ225">IF(AND(AI225&gt;1,G225&lt;&gt;""),INDEX(FS_teams,MATCH(1,(FS_Keys=AG225)*(FS_Points=I225)*(FS_teams&lt;&gt;G225),0)),"")</f>
        <v>CHILD EF - COL 1</v>
      </c>
      <c r="AK225" s="390" t="e">
        <f t="array" ref="AK225">IF(AJ225&lt;&gt;"",INDEX(TM_Score1,MATCH(1,(TM_Events=D225)*(TM_Participant1=G225)*(TM_Participant2=AJ225),0)),"")</f>
        <v>#N/A</v>
      </c>
      <c r="AL225" s="390" t="e">
        <f t="array" ref="AL225">IF(AJ225&lt;&gt;"",INDEX(TM_Score1,MATCH(1,(TM_Events=D225)*(TM_Participant1=AJ225)*(TM_Participant2=G225),0)),"")</f>
        <v>#N/A</v>
      </c>
      <c r="AM225" s="389" t="str">
        <f t="array" ref="AM225">IF(ISNUMBER(AK225),INDEX(TM_Score2,MATCH(1,(TM_Events=D225)*(TM_Participant1=G225)*(TM_Participant2=AJ225),0)),"")</f>
        <v/>
      </c>
      <c r="AN225" s="389" t="str">
        <f t="array" ref="AN225">IF(ISNUMBER(AL225),INDEX(TM_Score2,MATCH(1,(TM_Events=D225)*(TM_Participant1=AJ225)*(TM_Participant2=G225),0)),"")</f>
        <v/>
      </c>
      <c r="AO225" s="389" t="str">
        <f t="shared" si="107"/>
        <v>did not play</v>
      </c>
      <c r="AP225" s="389">
        <f t="shared" si="108"/>
        <v>2</v>
      </c>
      <c r="AQ225" s="389">
        <f t="shared" si="109"/>
        <v>0</v>
      </c>
      <c r="AR225" s="389">
        <f t="shared" si="110"/>
        <v>2</v>
      </c>
      <c r="AS225" s="453">
        <f t="shared" si="111"/>
        <v>-1</v>
      </c>
      <c r="AT225" s="452">
        <f t="shared" si="112"/>
        <v>5</v>
      </c>
    </row>
    <row r="226" spans="1:46" ht="16" x14ac:dyDescent="0.2">
      <c r="A226" s="298"/>
      <c r="B226"/>
      <c r="D226" s="303" t="s">
        <v>58</v>
      </c>
      <c r="E226" s="387"/>
      <c r="F226" s="387">
        <v>1</v>
      </c>
      <c r="G226" s="397" t="s">
        <v>612</v>
      </c>
      <c r="H226" s="387" t="str">
        <f t="shared" si="87"/>
        <v>1-3-0</v>
      </c>
      <c r="I226" s="389">
        <f t="shared" si="88"/>
        <v>2</v>
      </c>
      <c r="J226" s="455">
        <f t="shared" si="113"/>
        <v>1</v>
      </c>
      <c r="K226" s="455">
        <f t="shared" si="89"/>
        <v>-3</v>
      </c>
      <c r="L226" s="455" t="str">
        <f t="shared" si="114"/>
        <v/>
      </c>
      <c r="M226" s="389" t="str">
        <f>IFERROR(IF(AD226&lt;=VLOOKUP(D226,Tournaments!$A$1:$B$1772,2,FALSE),"TRUE","FALSE"),"")</f>
        <v>FALSE</v>
      </c>
      <c r="N226" s="389">
        <v>1</v>
      </c>
      <c r="O226" s="389">
        <f t="shared" si="90"/>
        <v>6</v>
      </c>
      <c r="Q226" s="389">
        <f t="shared" si="91"/>
        <v>1</v>
      </c>
      <c r="R226" s="389">
        <f t="shared" si="92"/>
        <v>3</v>
      </c>
      <c r="S226" s="389">
        <f t="shared" si="93"/>
        <v>0</v>
      </c>
      <c r="U226" s="389">
        <f t="shared" si="94"/>
        <v>7</v>
      </c>
      <c r="V226" s="389">
        <f t="shared" si="95"/>
        <v>2.5000000000000001E-3</v>
      </c>
      <c r="W226" s="389">
        <f t="shared" si="96"/>
        <v>-6.9974999999999996</v>
      </c>
      <c r="X226" s="389">
        <f t="shared" si="97"/>
        <v>7</v>
      </c>
      <c r="Y226" s="389">
        <f t="shared" si="115"/>
        <v>8.0000000000000002E-3</v>
      </c>
      <c r="Z226" s="389">
        <f t="shared" si="98"/>
        <v>-6.992</v>
      </c>
      <c r="AA226" s="389">
        <f t="shared" si="99"/>
        <v>6</v>
      </c>
      <c r="AB226" s="389" t="b">
        <f t="shared" si="100"/>
        <v>0</v>
      </c>
      <c r="AC226" s="389">
        <f t="shared" si="101"/>
        <v>-6</v>
      </c>
      <c r="AD226" s="389">
        <f t="shared" si="102"/>
        <v>6</v>
      </c>
      <c r="AE226" s="389">
        <f t="shared" si="103"/>
        <v>2</v>
      </c>
      <c r="AG226" s="311" t="str">
        <f t="shared" si="104"/>
        <v>Ch E Female Mini Soccer-</v>
      </c>
      <c r="AH226" s="453">
        <f t="shared" si="105"/>
        <v>6</v>
      </c>
      <c r="AI226" s="453">
        <f t="shared" si="106"/>
        <v>2</v>
      </c>
      <c r="AJ226" t="str">
        <f t="array" ref="AJ226">IF(AND(AI226&gt;1,G226&lt;&gt;""),INDEX(FS_teams,MATCH(1,(FS_Keys=AG226)*(FS_Points=I226)*(FS_teams&lt;&gt;G226),0)),"")</f>
        <v>CHILD EF - ISR 1</v>
      </c>
      <c r="AK226" s="390" t="e">
        <f t="array" ref="AK226">IF(AJ226&lt;&gt;"",INDEX(TM_Score1,MATCH(1,(TM_Events=D226)*(TM_Participant1=G226)*(TM_Participant2=AJ226),0)),"")</f>
        <v>#N/A</v>
      </c>
      <c r="AL226" s="390" t="e">
        <f t="array" ref="AL226">IF(AJ226&lt;&gt;"",INDEX(TM_Score1,MATCH(1,(TM_Events=D226)*(TM_Participant1=AJ226)*(TM_Participant2=G226),0)),"")</f>
        <v>#N/A</v>
      </c>
      <c r="AM226" s="389" t="str">
        <f t="array" ref="AM226">IF(ISNUMBER(AK226),INDEX(TM_Score2,MATCH(1,(TM_Events=D226)*(TM_Participant1=G226)*(TM_Participant2=AJ226),0)),"")</f>
        <v/>
      </c>
      <c r="AN226" s="389" t="str">
        <f t="array" ref="AN226">IF(ISNUMBER(AL226),INDEX(TM_Score2,MATCH(1,(TM_Events=D226)*(TM_Participant1=AJ226)*(TM_Participant2=G226),0)),"")</f>
        <v/>
      </c>
      <c r="AO226" s="389" t="str">
        <f t="shared" si="107"/>
        <v>did not play</v>
      </c>
      <c r="AP226" s="389">
        <f t="shared" si="108"/>
        <v>1</v>
      </c>
      <c r="AQ226" s="389">
        <f t="shared" si="109"/>
        <v>0</v>
      </c>
      <c r="AR226" s="389">
        <f t="shared" si="110"/>
        <v>3</v>
      </c>
      <c r="AS226" s="453">
        <f t="shared" si="111"/>
        <v>-3</v>
      </c>
      <c r="AT226" s="452">
        <f t="shared" si="112"/>
        <v>2</v>
      </c>
    </row>
    <row r="227" spans="1:46" ht="16" x14ac:dyDescent="0.2">
      <c r="A227" s="298"/>
      <c r="B227"/>
      <c r="D227" s="303" t="s">
        <v>58</v>
      </c>
      <c r="E227" s="396"/>
      <c r="F227" s="387">
        <v>1</v>
      </c>
      <c r="G227" s="397" t="s">
        <v>606</v>
      </c>
      <c r="H227" s="387" t="str">
        <f t="shared" si="87"/>
        <v>2-2-0</v>
      </c>
      <c r="I227" s="389">
        <f t="shared" si="88"/>
        <v>4</v>
      </c>
      <c r="J227" s="455">
        <f t="shared" si="113"/>
        <v>1</v>
      </c>
      <c r="K227" s="455">
        <f t="shared" si="89"/>
        <v>0</v>
      </c>
      <c r="L227" s="455" t="str">
        <f t="shared" si="114"/>
        <v/>
      </c>
      <c r="M227" s="389" t="str">
        <f>IFERROR(IF(AD227&lt;=VLOOKUP(D227,Tournaments!$A$1:$B$1772,2,FALSE),"TRUE","FALSE"),"")</f>
        <v>FALSE</v>
      </c>
      <c r="N227" s="389">
        <v>1</v>
      </c>
      <c r="O227" s="389">
        <f t="shared" si="90"/>
        <v>3</v>
      </c>
      <c r="Q227" s="389">
        <f t="shared" si="91"/>
        <v>2</v>
      </c>
      <c r="R227" s="389">
        <f t="shared" si="92"/>
        <v>2</v>
      </c>
      <c r="S227" s="389">
        <f t="shared" si="93"/>
        <v>0</v>
      </c>
      <c r="U227" s="389">
        <f t="shared" si="94"/>
        <v>5</v>
      </c>
      <c r="V227" s="389">
        <f t="shared" si="95"/>
        <v>2.5000000000000001E-3</v>
      </c>
      <c r="W227" s="389">
        <f t="shared" si="96"/>
        <v>-4.9974999999999996</v>
      </c>
      <c r="X227" s="389">
        <f t="shared" si="97"/>
        <v>5</v>
      </c>
      <c r="Y227" s="389">
        <f t="shared" si="115"/>
        <v>1.0999999999999999E-2</v>
      </c>
      <c r="Z227" s="389">
        <f t="shared" si="98"/>
        <v>-4.9889999999999999</v>
      </c>
      <c r="AA227" s="389">
        <f t="shared" si="99"/>
        <v>3</v>
      </c>
      <c r="AB227" s="389" t="b">
        <f t="shared" si="100"/>
        <v>0</v>
      </c>
      <c r="AC227" s="389">
        <f t="shared" si="101"/>
        <v>-3</v>
      </c>
      <c r="AD227" s="389">
        <f t="shared" si="102"/>
        <v>3</v>
      </c>
      <c r="AE227" s="389">
        <f t="shared" si="103"/>
        <v>3</v>
      </c>
      <c r="AG227" s="311" t="str">
        <f t="shared" si="104"/>
        <v>Ch E Female Mini Soccer-</v>
      </c>
      <c r="AH227" s="453">
        <f t="shared" si="105"/>
        <v>3</v>
      </c>
      <c r="AI227" s="453">
        <f t="shared" si="106"/>
        <v>3</v>
      </c>
      <c r="AJ227" t="str">
        <f t="array" ref="AJ227">IF(AND(AI227&gt;1,G227&lt;&gt;""),INDEX(FS_teams,MATCH(1,(FS_Keys=AG227)*(FS_Points=I227)*(FS_teams&lt;&gt;G227),0)),"")</f>
        <v>CHILD EF - COL 2</v>
      </c>
      <c r="AK227" s="390" t="e">
        <f t="array" ref="AK227">IF(AJ227&lt;&gt;"",INDEX(TM_Score1,MATCH(1,(TM_Events=D227)*(TM_Participant1=G227)*(TM_Participant2=AJ227),0)),"")</f>
        <v>#N/A</v>
      </c>
      <c r="AL227" s="390" t="e">
        <f t="array" ref="AL227">IF(AJ227&lt;&gt;"",INDEX(TM_Score1,MATCH(1,(TM_Events=D227)*(TM_Participant1=AJ227)*(TM_Participant2=G227),0)),"")</f>
        <v>#N/A</v>
      </c>
      <c r="AM227" s="389" t="str">
        <f t="array" ref="AM227">IF(ISNUMBER(AK227),INDEX(TM_Score2,MATCH(1,(TM_Events=D227)*(TM_Participant1=G227)*(TM_Participant2=AJ227),0)),"")</f>
        <v/>
      </c>
      <c r="AN227" s="389" t="str">
        <f t="array" ref="AN227">IF(ISNUMBER(AL227),INDEX(TM_Score2,MATCH(1,(TM_Events=D227)*(TM_Participant1=AJ227)*(TM_Participant2=G227),0)),"")</f>
        <v/>
      </c>
      <c r="AO227" s="389" t="str">
        <f t="shared" si="107"/>
        <v>did not play</v>
      </c>
      <c r="AP227" s="389">
        <f t="shared" si="108"/>
        <v>2</v>
      </c>
      <c r="AQ227" s="389">
        <f t="shared" si="109"/>
        <v>0</v>
      </c>
      <c r="AR227" s="389">
        <f t="shared" si="110"/>
        <v>2</v>
      </c>
      <c r="AS227" s="453">
        <f t="shared" si="111"/>
        <v>0</v>
      </c>
      <c r="AT227" s="452">
        <f t="shared" si="112"/>
        <v>4</v>
      </c>
    </row>
    <row r="228" spans="1:46" ht="16" x14ac:dyDescent="0.2">
      <c r="A228" s="298"/>
      <c r="B228"/>
      <c r="D228" s="303" t="s">
        <v>58</v>
      </c>
      <c r="E228" s="387"/>
      <c r="F228" s="398">
        <v>1</v>
      </c>
      <c r="G228" s="397" t="s">
        <v>608</v>
      </c>
      <c r="H228" s="387" t="str">
        <f t="shared" si="87"/>
        <v>4-1-0</v>
      </c>
      <c r="I228" s="389">
        <f t="shared" si="88"/>
        <v>8</v>
      </c>
      <c r="J228" s="455" t="str">
        <f t="shared" si="113"/>
        <v/>
      </c>
      <c r="K228" s="455" t="str">
        <f t="shared" si="89"/>
        <v/>
      </c>
      <c r="L228" s="455" t="str">
        <f t="shared" si="114"/>
        <v/>
      </c>
      <c r="M228" s="389" t="str">
        <f>IFERROR(IF(AD228&lt;=VLOOKUP(D228,Tournaments!$A$1:$B$1772,2,FALSE),"TRUE","FALSE"),"")</f>
        <v>TRUE</v>
      </c>
      <c r="N228" s="389">
        <v>1</v>
      </c>
      <c r="O228" s="389">
        <f t="shared" si="90"/>
        <v>1</v>
      </c>
      <c r="Q228" s="389">
        <f t="shared" si="91"/>
        <v>4</v>
      </c>
      <c r="R228" s="389">
        <f t="shared" si="92"/>
        <v>1</v>
      </c>
      <c r="S228" s="389">
        <f t="shared" si="93"/>
        <v>0</v>
      </c>
      <c r="U228" s="389">
        <f t="shared" si="94"/>
        <v>1</v>
      </c>
      <c r="V228" s="389" t="b">
        <f t="shared" si="95"/>
        <v>0</v>
      </c>
      <c r="W228" s="389">
        <f t="shared" si="96"/>
        <v>-1</v>
      </c>
      <c r="X228" s="389">
        <f t="shared" si="97"/>
        <v>1</v>
      </c>
      <c r="Y228" s="389" t="b">
        <f t="shared" si="115"/>
        <v>0</v>
      </c>
      <c r="Z228" s="389">
        <f t="shared" si="98"/>
        <v>-1</v>
      </c>
      <c r="AA228" s="389">
        <f t="shared" si="99"/>
        <v>1</v>
      </c>
      <c r="AB228" s="389" t="b">
        <f t="shared" si="100"/>
        <v>0</v>
      </c>
      <c r="AC228" s="389">
        <f t="shared" si="101"/>
        <v>-1</v>
      </c>
      <c r="AD228" s="389">
        <f t="shared" si="102"/>
        <v>1</v>
      </c>
      <c r="AE228" s="389">
        <f t="shared" si="103"/>
        <v>1</v>
      </c>
      <c r="AG228" s="311" t="str">
        <f t="shared" si="104"/>
        <v>Ch E Female Mini Soccer-</v>
      </c>
      <c r="AH228" s="453">
        <f t="shared" si="105"/>
        <v>1</v>
      </c>
      <c r="AI228" s="453">
        <f t="shared" si="106"/>
        <v>1</v>
      </c>
      <c r="AJ228" t="str">
        <f t="array" ref="AJ228">IF(AND(AI228&gt;1,G228&lt;&gt;""),INDEX(FS_teams,MATCH(1,(FS_Keys=AG228)*(FS_Points=I228)*(FS_teams&lt;&gt;G228),0)),"")</f>
        <v/>
      </c>
      <c r="AK228" s="390" t="str">
        <f t="array" ref="AK228">IF(AJ228&lt;&gt;"",INDEX(TM_Score1,MATCH(1,(TM_Events=D228)*(TM_Participant1=G228)*(TM_Participant2=AJ228),0)),"")</f>
        <v/>
      </c>
      <c r="AL228" s="390" t="str">
        <f t="array" ref="AL228">IF(AJ228&lt;&gt;"",INDEX(TM_Score1,MATCH(1,(TM_Events=D228)*(TM_Participant1=AJ228)*(TM_Participant2=G228),0)),"")</f>
        <v/>
      </c>
      <c r="AM228" s="389" t="str">
        <f t="array" ref="AM228">IF(ISNUMBER(AK228),INDEX(TM_Score2,MATCH(1,(TM_Events=D228)*(TM_Participant1=G228)*(TM_Participant2=AJ228),0)),"")</f>
        <v/>
      </c>
      <c r="AN228" s="389" t="str">
        <f t="array" ref="AN228">IF(ISNUMBER(AL228),INDEX(TM_Score2,MATCH(1,(TM_Events=D228)*(TM_Participant1=AJ228)*(TM_Participant2=G228),0)),"")</f>
        <v/>
      </c>
      <c r="AO228" s="389" t="str">
        <f t="shared" si="107"/>
        <v/>
      </c>
      <c r="AP228" s="389">
        <f t="shared" si="108"/>
        <v>4</v>
      </c>
      <c r="AQ228" s="389">
        <f t="shared" si="109"/>
        <v>0</v>
      </c>
      <c r="AR228" s="389">
        <f t="shared" si="110"/>
        <v>1</v>
      </c>
      <c r="AS228" s="453">
        <f t="shared" si="111"/>
        <v>6</v>
      </c>
      <c r="AT228" s="452">
        <f t="shared" si="112"/>
        <v>8</v>
      </c>
    </row>
    <row r="229" spans="1:46" ht="16" x14ac:dyDescent="0.2">
      <c r="A229" s="298"/>
      <c r="B229"/>
      <c r="D229" s="303" t="s">
        <v>58</v>
      </c>
      <c r="E229" s="396"/>
      <c r="F229" s="398">
        <v>1</v>
      </c>
      <c r="G229" s="397" t="s">
        <v>609</v>
      </c>
      <c r="H229" s="387" t="str">
        <f t="shared" si="87"/>
        <v>2-2-0</v>
      </c>
      <c r="I229" s="389">
        <f t="shared" si="88"/>
        <v>4</v>
      </c>
      <c r="J229" s="455">
        <f t="shared" si="113"/>
        <v>1</v>
      </c>
      <c r="K229" s="455">
        <f t="shared" si="89"/>
        <v>-2</v>
      </c>
      <c r="L229" s="455" t="str">
        <f t="shared" si="114"/>
        <v/>
      </c>
      <c r="M229" s="389" t="str">
        <f>IFERROR(IF(AD229&lt;=VLOOKUP(D229,Tournaments!$A$1:$B$1772,2,FALSE),"TRUE","FALSE"),"")</f>
        <v>FALSE</v>
      </c>
      <c r="N229" s="389">
        <v>1</v>
      </c>
      <c r="O229" s="389">
        <f t="shared" si="90"/>
        <v>5</v>
      </c>
      <c r="Q229" s="389">
        <f t="shared" si="91"/>
        <v>2</v>
      </c>
      <c r="R229" s="389">
        <f t="shared" si="92"/>
        <v>2</v>
      </c>
      <c r="S229" s="389">
        <f t="shared" si="93"/>
        <v>0</v>
      </c>
      <c r="U229" s="389">
        <f t="shared" si="94"/>
        <v>5</v>
      </c>
      <c r="V229" s="389">
        <f t="shared" si="95"/>
        <v>2.5000000000000001E-3</v>
      </c>
      <c r="W229" s="389">
        <f t="shared" si="96"/>
        <v>-4.9974999999999996</v>
      </c>
      <c r="X229" s="389">
        <f t="shared" si="97"/>
        <v>5</v>
      </c>
      <c r="Y229" s="389">
        <f t="shared" si="115"/>
        <v>8.9999999999999993E-3</v>
      </c>
      <c r="Z229" s="389">
        <f t="shared" si="98"/>
        <v>-4.9909999999999997</v>
      </c>
      <c r="AA229" s="389">
        <f t="shared" si="99"/>
        <v>5</v>
      </c>
      <c r="AB229" s="389" t="b">
        <f t="shared" si="100"/>
        <v>0</v>
      </c>
      <c r="AC229" s="389">
        <f t="shared" si="101"/>
        <v>-5</v>
      </c>
      <c r="AD229" s="389">
        <f t="shared" si="102"/>
        <v>5</v>
      </c>
      <c r="AE229" s="389">
        <f t="shared" si="103"/>
        <v>3</v>
      </c>
      <c r="AG229" s="311" t="str">
        <f t="shared" si="104"/>
        <v>Ch E Female Mini Soccer-</v>
      </c>
      <c r="AH229" s="453">
        <f t="shared" si="105"/>
        <v>3</v>
      </c>
      <c r="AI229" s="453">
        <f t="shared" si="106"/>
        <v>3</v>
      </c>
      <c r="AJ229" t="str">
        <f t="array" ref="AJ229">IF(AND(AI229&gt;1,G229&lt;&gt;""),INDEX(FS_teams,MATCH(1,(FS_Keys=AG229)*(FS_Points=I229)*(FS_teams&lt;&gt;G229),0)),"")</f>
        <v>CHILD EF - COL 2</v>
      </c>
      <c r="AK229" s="390" t="e">
        <f t="array" ref="AK229">IF(AJ229&lt;&gt;"",INDEX(TM_Score1,MATCH(1,(TM_Events=D229)*(TM_Participant1=G229)*(TM_Participant2=AJ229),0)),"")</f>
        <v>#N/A</v>
      </c>
      <c r="AL229" s="390" t="e">
        <f t="array" ref="AL229">IF(AJ229&lt;&gt;"",INDEX(TM_Score1,MATCH(1,(TM_Events=D229)*(TM_Participant1=AJ229)*(TM_Participant2=G229),0)),"")</f>
        <v>#N/A</v>
      </c>
      <c r="AM229" s="389" t="str">
        <f t="array" ref="AM229">IF(ISNUMBER(AK229),INDEX(TM_Score2,MATCH(1,(TM_Events=D229)*(TM_Participant1=G229)*(TM_Participant2=AJ229),0)),"")</f>
        <v/>
      </c>
      <c r="AN229" s="389" t="str">
        <f t="array" ref="AN229">IF(ISNUMBER(AL229),INDEX(TM_Score2,MATCH(1,(TM_Events=D229)*(TM_Participant1=AJ229)*(TM_Participant2=G229),0)),"")</f>
        <v/>
      </c>
      <c r="AO229" s="389" t="str">
        <f t="shared" si="107"/>
        <v>did not play</v>
      </c>
      <c r="AP229" s="389">
        <f t="shared" si="108"/>
        <v>2</v>
      </c>
      <c r="AQ229" s="389">
        <f t="shared" si="109"/>
        <v>0</v>
      </c>
      <c r="AR229" s="389">
        <f t="shared" si="110"/>
        <v>2</v>
      </c>
      <c r="AS229" s="453">
        <f t="shared" si="111"/>
        <v>-2</v>
      </c>
      <c r="AT229" s="452">
        <f t="shared" si="112"/>
        <v>2</v>
      </c>
    </row>
    <row r="230" spans="1:46" ht="16" x14ac:dyDescent="0.2">
      <c r="A230" s="298"/>
      <c r="B230"/>
      <c r="D230" s="303" t="s">
        <v>58</v>
      </c>
      <c r="E230" s="387"/>
      <c r="F230" s="387">
        <v>1</v>
      </c>
      <c r="G230" s="397" t="s">
        <v>607</v>
      </c>
      <c r="H230" s="387" t="str">
        <f t="shared" si="87"/>
        <v>1-3-0</v>
      </c>
      <c r="I230" s="389">
        <f t="shared" si="88"/>
        <v>2</v>
      </c>
      <c r="J230" s="455">
        <f t="shared" si="113"/>
        <v>1</v>
      </c>
      <c r="K230" s="455">
        <f t="shared" si="89"/>
        <v>-5</v>
      </c>
      <c r="L230" s="455" t="str">
        <f t="shared" si="114"/>
        <v/>
      </c>
      <c r="M230" s="389" t="str">
        <f>IFERROR(IF(AD230&lt;=VLOOKUP(D230,Tournaments!$A$1:$B$1772,2,FALSE),"TRUE","FALSE"),"")</f>
        <v>FALSE</v>
      </c>
      <c r="N230" s="389">
        <v>1</v>
      </c>
      <c r="O230" s="389">
        <f t="shared" si="90"/>
        <v>7</v>
      </c>
      <c r="Q230" s="389">
        <f t="shared" si="91"/>
        <v>1</v>
      </c>
      <c r="R230" s="389">
        <f t="shared" si="92"/>
        <v>3</v>
      </c>
      <c r="S230" s="389">
        <f t="shared" si="93"/>
        <v>0</v>
      </c>
      <c r="U230" s="389">
        <f t="shared" si="94"/>
        <v>7</v>
      </c>
      <c r="V230" s="389">
        <f t="shared" si="95"/>
        <v>2.5000000000000001E-3</v>
      </c>
      <c r="W230" s="389">
        <f t="shared" si="96"/>
        <v>-6.9974999999999996</v>
      </c>
      <c r="X230" s="389">
        <f t="shared" si="97"/>
        <v>7</v>
      </c>
      <c r="Y230" s="389">
        <f t="shared" si="115"/>
        <v>6.4000000000000003E-3</v>
      </c>
      <c r="Z230" s="389">
        <f t="shared" si="98"/>
        <v>-6.9935999999999998</v>
      </c>
      <c r="AA230" s="389">
        <f t="shared" si="99"/>
        <v>7</v>
      </c>
      <c r="AB230" s="389" t="b">
        <f t="shared" si="100"/>
        <v>0</v>
      </c>
      <c r="AC230" s="389">
        <f t="shared" si="101"/>
        <v>-7</v>
      </c>
      <c r="AD230" s="389">
        <f t="shared" si="102"/>
        <v>7</v>
      </c>
      <c r="AE230" s="389">
        <f t="shared" si="103"/>
        <v>2</v>
      </c>
      <c r="AG230" s="311" t="str">
        <f t="shared" si="104"/>
        <v>Ch E Female Mini Soccer-</v>
      </c>
      <c r="AH230" s="453">
        <f t="shared" si="105"/>
        <v>6</v>
      </c>
      <c r="AI230" s="453">
        <f t="shared" si="106"/>
        <v>2</v>
      </c>
      <c r="AJ230" t="str">
        <f t="array" ref="AJ230">IF(AND(AI230&gt;1,G230&lt;&gt;""),INDEX(FS_teams,MATCH(1,(FS_Keys=AG230)*(FS_Points=I230)*(FS_teams&lt;&gt;G230),0)),"")</f>
        <v>CHILD EF - PER</v>
      </c>
      <c r="AK230" s="390" t="e">
        <f t="array" ref="AK230">IF(AJ230&lt;&gt;"",INDEX(TM_Score1,MATCH(1,(TM_Events=D230)*(TM_Participant1=G230)*(TM_Participant2=AJ230),0)),"")</f>
        <v>#N/A</v>
      </c>
      <c r="AL230" s="390" t="e">
        <f t="array" ref="AL230">IF(AJ230&lt;&gt;"",INDEX(TM_Score1,MATCH(1,(TM_Events=D230)*(TM_Participant1=AJ230)*(TM_Participant2=G230),0)),"")</f>
        <v>#N/A</v>
      </c>
      <c r="AM230" s="389" t="str">
        <f t="array" ref="AM230">IF(ISNUMBER(AK230),INDEX(TM_Score2,MATCH(1,(TM_Events=D230)*(TM_Participant1=G230)*(TM_Participant2=AJ230),0)),"")</f>
        <v/>
      </c>
      <c r="AN230" s="389" t="str">
        <f t="array" ref="AN230">IF(ISNUMBER(AL230),INDEX(TM_Score2,MATCH(1,(TM_Events=D230)*(TM_Participant1=AJ230)*(TM_Participant2=G230),0)),"")</f>
        <v/>
      </c>
      <c r="AO230" s="389" t="str">
        <f t="shared" si="107"/>
        <v>did not play</v>
      </c>
      <c r="AP230" s="389">
        <f t="shared" si="108"/>
        <v>1</v>
      </c>
      <c r="AQ230" s="389">
        <f t="shared" si="109"/>
        <v>0</v>
      </c>
      <c r="AR230" s="389">
        <f t="shared" si="110"/>
        <v>3</v>
      </c>
      <c r="AS230" s="453">
        <f t="shared" si="111"/>
        <v>-5</v>
      </c>
      <c r="AT230" s="452">
        <f t="shared" si="112"/>
        <v>3</v>
      </c>
    </row>
    <row r="231" spans="1:46" ht="16" x14ac:dyDescent="0.2">
      <c r="A231" s="298"/>
      <c r="B231"/>
      <c r="D231" s="303" t="s">
        <v>61</v>
      </c>
      <c r="E231" s="387"/>
      <c r="F231" s="387">
        <v>1</v>
      </c>
      <c r="G231" s="397" t="s">
        <v>611</v>
      </c>
      <c r="H231" s="387" t="str">
        <f t="shared" si="87"/>
        <v>2-2-0</v>
      </c>
      <c r="I231" s="389">
        <f t="shared" si="88"/>
        <v>4</v>
      </c>
      <c r="J231" s="455">
        <f t="shared" si="113"/>
        <v>1</v>
      </c>
      <c r="K231" s="455">
        <f t="shared" si="89"/>
        <v>-2</v>
      </c>
      <c r="L231" s="455" t="str">
        <f t="shared" si="114"/>
        <v/>
      </c>
      <c r="M231" s="389" t="str">
        <f>IFERROR(IF(AD231&lt;=VLOOKUP(D231,Tournaments!$A$1:$B$1772,2,FALSE),"TRUE","FALSE"),"")</f>
        <v>FALSE</v>
      </c>
      <c r="N231" s="389">
        <v>1</v>
      </c>
      <c r="O231" s="389">
        <f t="shared" si="90"/>
        <v>5</v>
      </c>
      <c r="Q231" s="389">
        <f t="shared" si="91"/>
        <v>2</v>
      </c>
      <c r="R231" s="389">
        <f t="shared" si="92"/>
        <v>2</v>
      </c>
      <c r="S231" s="389">
        <f t="shared" si="93"/>
        <v>0</v>
      </c>
      <c r="U231" s="389">
        <f t="shared" si="94"/>
        <v>5</v>
      </c>
      <c r="V231" s="389">
        <f t="shared" si="95"/>
        <v>2.5000000000000001E-3</v>
      </c>
      <c r="W231" s="389">
        <f t="shared" si="96"/>
        <v>-4.9974999999999996</v>
      </c>
      <c r="X231" s="389">
        <f t="shared" si="97"/>
        <v>5</v>
      </c>
      <c r="Y231" s="389">
        <f t="shared" si="115"/>
        <v>8.9999999999999993E-3</v>
      </c>
      <c r="Z231" s="389">
        <f t="shared" si="98"/>
        <v>-4.9909999999999997</v>
      </c>
      <c r="AA231" s="389">
        <f t="shared" si="99"/>
        <v>5</v>
      </c>
      <c r="AB231" s="389" t="b">
        <f t="shared" si="100"/>
        <v>0</v>
      </c>
      <c r="AC231" s="389">
        <f t="shared" si="101"/>
        <v>-5</v>
      </c>
      <c r="AD231" s="389">
        <f t="shared" si="102"/>
        <v>5</v>
      </c>
      <c r="AE231" s="389">
        <f t="shared" si="103"/>
        <v>4</v>
      </c>
      <c r="AG231" s="311" t="str">
        <f t="shared" si="104"/>
        <v>Ch E Female Volleyball-</v>
      </c>
      <c r="AH231" s="453">
        <f t="shared" si="105"/>
        <v>2</v>
      </c>
      <c r="AI231" s="453">
        <f t="shared" si="106"/>
        <v>4</v>
      </c>
      <c r="AJ231" t="str">
        <f t="array" ref="AJ231">IF(AND(AI231&gt;1,G231&lt;&gt;""),INDEX(FS_teams,MATCH(1,(FS_Keys=AG231)*(FS_Points=I231)*(FS_teams&lt;&gt;G231),0)),"")</f>
        <v>CHILD EF - ARG 1</v>
      </c>
      <c r="AK231" s="390" t="e">
        <f t="array" ref="AK231">IF(AJ231&lt;&gt;"",INDEX(TM_Score1,MATCH(1,(TM_Events=D231)*(TM_Participant1=G231)*(TM_Participant2=AJ231),0)),"")</f>
        <v>#N/A</v>
      </c>
      <c r="AL231" s="390" t="e">
        <f t="array" ref="AL231">IF(AJ231&lt;&gt;"",INDEX(TM_Score1,MATCH(1,(TM_Events=D231)*(TM_Participant1=AJ231)*(TM_Participant2=G231),0)),"")</f>
        <v>#N/A</v>
      </c>
      <c r="AM231" s="389" t="str">
        <f t="array" ref="AM231">IF(ISNUMBER(AK231),INDEX(TM_Score2,MATCH(1,(TM_Events=D231)*(TM_Participant1=G231)*(TM_Participant2=AJ231),0)),"")</f>
        <v/>
      </c>
      <c r="AN231" s="389" t="str">
        <f t="array" ref="AN231">IF(ISNUMBER(AL231),INDEX(TM_Score2,MATCH(1,(TM_Events=D231)*(TM_Participant1=AJ231)*(TM_Participant2=G231),0)),"")</f>
        <v/>
      </c>
      <c r="AO231" s="389" t="str">
        <f t="shared" si="107"/>
        <v>did not play</v>
      </c>
      <c r="AP231" s="389">
        <f t="shared" si="108"/>
        <v>2</v>
      </c>
      <c r="AQ231" s="389">
        <f t="shared" si="109"/>
        <v>0</v>
      </c>
      <c r="AR231" s="389">
        <f t="shared" si="110"/>
        <v>2</v>
      </c>
      <c r="AS231" s="453">
        <f t="shared" si="111"/>
        <v>-2</v>
      </c>
      <c r="AT231" s="452">
        <f t="shared" si="112"/>
        <v>4</v>
      </c>
    </row>
    <row r="232" spans="1:46" ht="16" x14ac:dyDescent="0.2">
      <c r="A232" s="298"/>
      <c r="B232"/>
      <c r="D232" s="303" t="s">
        <v>61</v>
      </c>
      <c r="E232" s="396"/>
      <c r="F232" s="387">
        <v>1</v>
      </c>
      <c r="G232" s="397" t="s">
        <v>605</v>
      </c>
      <c r="H232" s="387" t="str">
        <f t="shared" si="87"/>
        <v>2-2-0</v>
      </c>
      <c r="I232" s="389">
        <f t="shared" si="88"/>
        <v>4</v>
      </c>
      <c r="J232" s="455">
        <f t="shared" si="113"/>
        <v>1</v>
      </c>
      <c r="K232" s="455">
        <f t="shared" si="89"/>
        <v>0</v>
      </c>
      <c r="L232" s="455">
        <f t="shared" si="114"/>
        <v>5</v>
      </c>
      <c r="M232" s="389" t="str">
        <f>IFERROR(IF(AD232&lt;=VLOOKUP(D232,Tournaments!$A$1:$B$1772,2,FALSE),"TRUE","FALSE"),"")</f>
        <v>FALSE</v>
      </c>
      <c r="N232" s="389">
        <v>1</v>
      </c>
      <c r="O232" s="389">
        <f t="shared" si="90"/>
        <v>4</v>
      </c>
      <c r="Q232" s="389">
        <f t="shared" si="91"/>
        <v>2</v>
      </c>
      <c r="R232" s="389">
        <f t="shared" si="92"/>
        <v>2</v>
      </c>
      <c r="S232" s="389">
        <f t="shared" si="93"/>
        <v>0</v>
      </c>
      <c r="U232" s="389">
        <f t="shared" si="94"/>
        <v>5</v>
      </c>
      <c r="V232" s="389">
        <f t="shared" si="95"/>
        <v>2.5000000000000001E-3</v>
      </c>
      <c r="W232" s="389">
        <f t="shared" si="96"/>
        <v>-4.9974999999999996</v>
      </c>
      <c r="X232" s="389">
        <f t="shared" si="97"/>
        <v>5</v>
      </c>
      <c r="Y232" s="389">
        <f t="shared" si="115"/>
        <v>1.0999999999999999E-2</v>
      </c>
      <c r="Z232" s="389">
        <f t="shared" si="98"/>
        <v>-4.9889999999999999</v>
      </c>
      <c r="AA232" s="389">
        <f t="shared" si="99"/>
        <v>4</v>
      </c>
      <c r="AB232" s="389">
        <f t="shared" si="100"/>
        <v>5.8599999999999999E-2</v>
      </c>
      <c r="AC232" s="389">
        <f t="shared" si="101"/>
        <v>-3.9413999999999998</v>
      </c>
      <c r="AD232" s="389">
        <f t="shared" si="102"/>
        <v>4</v>
      </c>
      <c r="AE232" s="389">
        <f t="shared" si="103"/>
        <v>4</v>
      </c>
      <c r="AG232" s="311" t="str">
        <f t="shared" si="104"/>
        <v>Ch E Female Volleyball-</v>
      </c>
      <c r="AH232" s="453">
        <f t="shared" si="105"/>
        <v>2</v>
      </c>
      <c r="AI232" s="453">
        <f t="shared" si="106"/>
        <v>4</v>
      </c>
      <c r="AJ232" t="str">
        <f t="array" ref="AJ232">IF(AND(AI232&gt;1,G232&lt;&gt;""),INDEX(FS_teams,MATCH(1,(FS_Keys=AG232)*(FS_Points=I232)*(FS_teams&lt;&gt;G232),0)),"")</f>
        <v>CHILD EF - COL 2</v>
      </c>
      <c r="AK232" s="390" t="e">
        <f t="array" ref="AK232">IF(AJ232&lt;&gt;"",INDEX(TM_Score1,MATCH(1,(TM_Events=D232)*(TM_Participant1=G232)*(TM_Participant2=AJ232),0)),"")</f>
        <v>#N/A</v>
      </c>
      <c r="AL232" s="390" t="e">
        <f t="array" ref="AL232">IF(AJ232&lt;&gt;"",INDEX(TM_Score1,MATCH(1,(TM_Events=D232)*(TM_Participant1=AJ232)*(TM_Participant2=G232),0)),"")</f>
        <v>#N/A</v>
      </c>
      <c r="AM232" s="389" t="str">
        <f t="array" ref="AM232">IF(ISNUMBER(AK232),INDEX(TM_Score2,MATCH(1,(TM_Events=D232)*(TM_Participant1=G232)*(TM_Participant2=AJ232),0)),"")</f>
        <v/>
      </c>
      <c r="AN232" s="389" t="str">
        <f t="array" ref="AN232">IF(ISNUMBER(AL232),INDEX(TM_Score2,MATCH(1,(TM_Events=D232)*(TM_Participant1=AJ232)*(TM_Participant2=G232),0)),"")</f>
        <v/>
      </c>
      <c r="AO232" s="389" t="str">
        <f t="shared" si="107"/>
        <v>did not play</v>
      </c>
      <c r="AP232" s="389">
        <f t="shared" si="108"/>
        <v>2</v>
      </c>
      <c r="AQ232" s="389">
        <f t="shared" si="109"/>
        <v>0</v>
      </c>
      <c r="AR232" s="389">
        <f t="shared" si="110"/>
        <v>2</v>
      </c>
      <c r="AS232" s="453">
        <f t="shared" si="111"/>
        <v>0</v>
      </c>
      <c r="AT232" s="452">
        <f t="shared" si="112"/>
        <v>5</v>
      </c>
    </row>
    <row r="233" spans="1:46" ht="16" x14ac:dyDescent="0.2">
      <c r="A233" s="298"/>
      <c r="B233"/>
      <c r="D233" s="303" t="s">
        <v>61</v>
      </c>
      <c r="E233" s="396"/>
      <c r="F233" s="387">
        <v>1</v>
      </c>
      <c r="G233" s="397" t="s">
        <v>609</v>
      </c>
      <c r="H233" s="387" t="str">
        <f t="shared" si="87"/>
        <v>1-3-0</v>
      </c>
      <c r="I233" s="389">
        <f t="shared" si="88"/>
        <v>2</v>
      </c>
      <c r="J233" s="455">
        <f t="shared" si="113"/>
        <v>0</v>
      </c>
      <c r="K233" s="455" t="str">
        <f t="shared" si="89"/>
        <v/>
      </c>
      <c r="L233" s="455" t="str">
        <f t="shared" si="114"/>
        <v/>
      </c>
      <c r="M233" s="389" t="str">
        <f>IFERROR(IF(AD233&lt;=VLOOKUP(D233,Tournaments!$A$1:$B$1772,2,FALSE),"TRUE","FALSE"),"")</f>
        <v>FALSE</v>
      </c>
      <c r="N233" s="389">
        <v>1</v>
      </c>
      <c r="O233" s="389">
        <f t="shared" si="90"/>
        <v>7</v>
      </c>
      <c r="Q233" s="389">
        <f t="shared" si="91"/>
        <v>1</v>
      </c>
      <c r="R233" s="389">
        <f t="shared" si="92"/>
        <v>3</v>
      </c>
      <c r="S233" s="389">
        <f t="shared" si="93"/>
        <v>0</v>
      </c>
      <c r="U233" s="389">
        <f t="shared" si="94"/>
        <v>7</v>
      </c>
      <c r="V233" s="389">
        <f t="shared" si="95"/>
        <v>1E-4</v>
      </c>
      <c r="W233" s="389">
        <f t="shared" si="96"/>
        <v>-6.9999000000000002</v>
      </c>
      <c r="X233" s="389">
        <f t="shared" si="97"/>
        <v>7</v>
      </c>
      <c r="Y233" s="389" t="b">
        <f t="shared" si="115"/>
        <v>0</v>
      </c>
      <c r="Z233" s="389">
        <f t="shared" si="98"/>
        <v>-7</v>
      </c>
      <c r="AA233" s="389">
        <f t="shared" si="99"/>
        <v>7</v>
      </c>
      <c r="AB233" s="389" t="b">
        <f t="shared" si="100"/>
        <v>0</v>
      </c>
      <c r="AC233" s="389">
        <f t="shared" si="101"/>
        <v>-7</v>
      </c>
      <c r="AD233" s="389">
        <f t="shared" si="102"/>
        <v>7</v>
      </c>
      <c r="AE233" s="389">
        <f t="shared" si="103"/>
        <v>1</v>
      </c>
      <c r="AG233" s="311" t="str">
        <f t="shared" si="104"/>
        <v>Ch E Female Volleyball-</v>
      </c>
      <c r="AH233" s="453">
        <f t="shared" si="105"/>
        <v>6</v>
      </c>
      <c r="AI233" s="453">
        <f t="shared" si="106"/>
        <v>2</v>
      </c>
      <c r="AJ233" t="str">
        <f t="array" ref="AJ233">IF(AND(AI233&gt;1,G233&lt;&gt;""),INDEX(FS_teams,MATCH(1,(FS_Keys=AG233)*(FS_Points=I233)*(FS_teams&lt;&gt;G233),0)),"")</f>
        <v>CHILD EF - COL 1</v>
      </c>
      <c r="AK233" s="390" t="e">
        <f t="array" ref="AK233">IF(AJ233&lt;&gt;"",INDEX(TM_Score1,MATCH(1,(TM_Events=D233)*(TM_Participant1=G233)*(TM_Participant2=AJ233),0)),"")</f>
        <v>#N/A</v>
      </c>
      <c r="AL233" s="390">
        <f t="array" ref="AL233">IF(AJ233&lt;&gt;"",INDEX(TM_Score1,MATCH(1,(TM_Events=D233)*(TM_Participant1=AJ233)*(TM_Participant2=G233),0)),"")</f>
        <v>2</v>
      </c>
      <c r="AM233" s="389" t="str">
        <f t="array" ref="AM233">IF(ISNUMBER(AK233),INDEX(TM_Score2,MATCH(1,(TM_Events=D233)*(TM_Participant1=G233)*(TM_Participant2=AJ233),0)),"")</f>
        <v/>
      </c>
      <c r="AN233" s="389">
        <f t="array" ref="AN233">IF(ISNUMBER(AL233),INDEX(TM_Score2,MATCH(1,(TM_Events=D233)*(TM_Participant1=AJ233)*(TM_Participant2=G233),0)),"")</f>
        <v>0</v>
      </c>
      <c r="AO233" s="389" t="str">
        <f t="shared" si="107"/>
        <v>Loss</v>
      </c>
      <c r="AP233" s="389">
        <f t="shared" si="108"/>
        <v>1</v>
      </c>
      <c r="AQ233" s="389">
        <f t="shared" si="109"/>
        <v>0</v>
      </c>
      <c r="AR233" s="389">
        <f t="shared" si="110"/>
        <v>3</v>
      </c>
      <c r="AS233" s="453">
        <f t="shared" si="111"/>
        <v>-3</v>
      </c>
      <c r="AT233" s="452">
        <f t="shared" si="112"/>
        <v>3</v>
      </c>
    </row>
    <row r="234" spans="1:46" ht="16" x14ac:dyDescent="0.2">
      <c r="A234" s="298"/>
      <c r="B234"/>
      <c r="D234" s="303" t="s">
        <v>61</v>
      </c>
      <c r="E234" s="396"/>
      <c r="F234" s="387">
        <v>1</v>
      </c>
      <c r="G234" s="397" t="s">
        <v>607</v>
      </c>
      <c r="H234" s="387" t="str">
        <f t="shared" si="87"/>
        <v>2-2-0</v>
      </c>
      <c r="I234" s="389">
        <f t="shared" si="88"/>
        <v>4</v>
      </c>
      <c r="J234" s="455">
        <f t="shared" si="113"/>
        <v>1</v>
      </c>
      <c r="K234" s="455">
        <f t="shared" si="89"/>
        <v>1</v>
      </c>
      <c r="L234" s="455" t="str">
        <f t="shared" si="114"/>
        <v/>
      </c>
      <c r="M234" s="389" t="str">
        <f>IFERROR(IF(AD234&lt;=VLOOKUP(D234,Tournaments!$A$1:$B$1772,2,FALSE),"TRUE","FALSE"),"")</f>
        <v>TRUE</v>
      </c>
      <c r="N234" s="389">
        <v>1</v>
      </c>
      <c r="O234" s="389">
        <f t="shared" si="90"/>
        <v>2</v>
      </c>
      <c r="Q234" s="389">
        <f t="shared" si="91"/>
        <v>2</v>
      </c>
      <c r="R234" s="389">
        <f t="shared" si="92"/>
        <v>2</v>
      </c>
      <c r="S234" s="389">
        <f t="shared" si="93"/>
        <v>0</v>
      </c>
      <c r="U234" s="389">
        <f t="shared" si="94"/>
        <v>5</v>
      </c>
      <c r="V234" s="389">
        <f t="shared" si="95"/>
        <v>2.5000000000000001E-3</v>
      </c>
      <c r="W234" s="389">
        <f t="shared" si="96"/>
        <v>-4.9974999999999996</v>
      </c>
      <c r="X234" s="389">
        <f t="shared" si="97"/>
        <v>5</v>
      </c>
      <c r="Y234" s="389">
        <f t="shared" si="115"/>
        <v>7.0000000000000007E-2</v>
      </c>
      <c r="Z234" s="389">
        <f t="shared" si="98"/>
        <v>-4.93</v>
      </c>
      <c r="AA234" s="389">
        <f t="shared" si="99"/>
        <v>2</v>
      </c>
      <c r="AB234" s="389" t="b">
        <f t="shared" si="100"/>
        <v>0</v>
      </c>
      <c r="AC234" s="389">
        <f t="shared" si="101"/>
        <v>-2</v>
      </c>
      <c r="AD234" s="389">
        <f t="shared" si="102"/>
        <v>2</v>
      </c>
      <c r="AE234" s="389">
        <f t="shared" si="103"/>
        <v>4</v>
      </c>
      <c r="AG234" s="311" t="str">
        <f t="shared" si="104"/>
        <v>Ch E Female Volleyball-</v>
      </c>
      <c r="AH234" s="453">
        <f t="shared" si="105"/>
        <v>2</v>
      </c>
      <c r="AI234" s="453">
        <f t="shared" si="106"/>
        <v>4</v>
      </c>
      <c r="AJ234" t="str">
        <f t="array" ref="AJ234">IF(AND(AI234&gt;1,G234&lt;&gt;""),INDEX(FS_teams,MATCH(1,(FS_Keys=AG234)*(FS_Points=I234)*(FS_teams&lt;&gt;G234),0)),"")</f>
        <v>CHILD EF - COL 2</v>
      </c>
      <c r="AK234" s="390">
        <f t="array" ref="AK234">IF(AJ234&lt;&gt;"",INDEX(TM_Score1,MATCH(1,(TM_Events=D234)*(TM_Participant1=G234)*(TM_Participant2=AJ234),0)),"")</f>
        <v>1</v>
      </c>
      <c r="AL234" s="390" t="e">
        <f t="array" ref="AL234">IF(AJ234&lt;&gt;"",INDEX(TM_Score1,MATCH(1,(TM_Events=D234)*(TM_Participant1=AJ234)*(TM_Participant2=G234),0)),"")</f>
        <v>#N/A</v>
      </c>
      <c r="AM234" s="389">
        <f t="array" ref="AM234">IF(ISNUMBER(AK234),INDEX(TM_Score2,MATCH(1,(TM_Events=D234)*(TM_Participant1=G234)*(TM_Participant2=AJ234),0)),"")</f>
        <v>2</v>
      </c>
      <c r="AN234" s="389" t="str">
        <f t="array" ref="AN234">IF(ISNUMBER(AL234),INDEX(TM_Score2,MATCH(1,(TM_Events=D234)*(TM_Participant1=AJ234)*(TM_Participant2=G234),0)),"")</f>
        <v/>
      </c>
      <c r="AO234" s="389" t="str">
        <f t="shared" si="107"/>
        <v>Loss</v>
      </c>
      <c r="AP234" s="389">
        <f t="shared" si="108"/>
        <v>2</v>
      </c>
      <c r="AQ234" s="389">
        <f t="shared" si="109"/>
        <v>0</v>
      </c>
      <c r="AR234" s="389">
        <f t="shared" si="110"/>
        <v>2</v>
      </c>
      <c r="AS234" s="453">
        <f t="shared" si="111"/>
        <v>1</v>
      </c>
      <c r="AT234" s="452">
        <f t="shared" si="112"/>
        <v>6</v>
      </c>
    </row>
    <row r="235" spans="1:46" ht="16" x14ac:dyDescent="0.2">
      <c r="A235" s="298"/>
      <c r="B235"/>
      <c r="D235" s="303" t="s">
        <v>61</v>
      </c>
      <c r="E235" s="396"/>
      <c r="F235" s="387">
        <v>1</v>
      </c>
      <c r="G235" s="397" t="s">
        <v>612</v>
      </c>
      <c r="H235" s="387" t="str">
        <f t="shared" si="87"/>
        <v>4-0-0</v>
      </c>
      <c r="I235" s="389">
        <f t="shared" si="88"/>
        <v>8</v>
      </c>
      <c r="J235" s="455" t="str">
        <f t="shared" si="113"/>
        <v/>
      </c>
      <c r="K235" s="455" t="str">
        <f t="shared" si="89"/>
        <v/>
      </c>
      <c r="L235" s="455" t="str">
        <f t="shared" si="114"/>
        <v/>
      </c>
      <c r="M235" s="389" t="str">
        <f>IFERROR(IF(AD235&lt;=VLOOKUP(D235,Tournaments!$A$1:$B$1772,2,FALSE),"TRUE","FALSE"),"")</f>
        <v>TRUE</v>
      </c>
      <c r="N235" s="389">
        <v>1</v>
      </c>
      <c r="O235" s="389">
        <f t="shared" si="90"/>
        <v>1</v>
      </c>
      <c r="Q235" s="389">
        <f t="shared" si="91"/>
        <v>4</v>
      </c>
      <c r="R235" s="389">
        <f t="shared" si="92"/>
        <v>0</v>
      </c>
      <c r="S235" s="389">
        <f t="shared" si="93"/>
        <v>0</v>
      </c>
      <c r="U235" s="389">
        <f t="shared" si="94"/>
        <v>1</v>
      </c>
      <c r="V235" s="389" t="b">
        <f t="shared" si="95"/>
        <v>0</v>
      </c>
      <c r="W235" s="389">
        <f t="shared" si="96"/>
        <v>-1</v>
      </c>
      <c r="X235" s="389">
        <f t="shared" si="97"/>
        <v>1</v>
      </c>
      <c r="Y235" s="389" t="b">
        <f t="shared" si="115"/>
        <v>0</v>
      </c>
      <c r="Z235" s="389">
        <f t="shared" si="98"/>
        <v>-1</v>
      </c>
      <c r="AA235" s="389">
        <f t="shared" si="99"/>
        <v>1</v>
      </c>
      <c r="AB235" s="389" t="b">
        <f t="shared" si="100"/>
        <v>0</v>
      </c>
      <c r="AC235" s="389">
        <f t="shared" si="101"/>
        <v>-1</v>
      </c>
      <c r="AD235" s="389">
        <f t="shared" si="102"/>
        <v>1</v>
      </c>
      <c r="AE235" s="389">
        <f t="shared" si="103"/>
        <v>1</v>
      </c>
      <c r="AG235" s="311" t="str">
        <f t="shared" si="104"/>
        <v>Ch E Female Volleyball-</v>
      </c>
      <c r="AH235" s="453">
        <f t="shared" si="105"/>
        <v>1</v>
      </c>
      <c r="AI235" s="453">
        <f t="shared" si="106"/>
        <v>1</v>
      </c>
      <c r="AJ235" t="str">
        <f t="array" ref="AJ235">IF(AND(AI235&gt;1,G235&lt;&gt;""),INDEX(FS_teams,MATCH(1,(FS_Keys=AG235)*(FS_Points=I235)*(FS_teams&lt;&gt;G235),0)),"")</f>
        <v/>
      </c>
      <c r="AK235" s="390" t="str">
        <f t="array" ref="AK235">IF(AJ235&lt;&gt;"",INDEX(TM_Score1,MATCH(1,(TM_Events=D235)*(TM_Participant1=G235)*(TM_Participant2=AJ235),0)),"")</f>
        <v/>
      </c>
      <c r="AL235" s="390" t="str">
        <f t="array" ref="AL235">IF(AJ235&lt;&gt;"",INDEX(TM_Score1,MATCH(1,(TM_Events=D235)*(TM_Participant1=AJ235)*(TM_Participant2=G235),0)),"")</f>
        <v/>
      </c>
      <c r="AM235" s="389" t="str">
        <f t="array" ref="AM235">IF(ISNUMBER(AK235),INDEX(TM_Score2,MATCH(1,(TM_Events=D235)*(TM_Participant1=G235)*(TM_Participant2=AJ235),0)),"")</f>
        <v/>
      </c>
      <c r="AN235" s="389" t="str">
        <f t="array" ref="AN235">IF(ISNUMBER(AL235),INDEX(TM_Score2,MATCH(1,(TM_Events=D235)*(TM_Participant1=AJ235)*(TM_Participant2=G235),0)),"")</f>
        <v/>
      </c>
      <c r="AO235" s="389" t="str">
        <f t="shared" si="107"/>
        <v/>
      </c>
      <c r="AP235" s="389">
        <f t="shared" si="108"/>
        <v>4</v>
      </c>
      <c r="AQ235" s="389">
        <f t="shared" si="109"/>
        <v>0</v>
      </c>
      <c r="AR235" s="389">
        <f t="shared" si="110"/>
        <v>0</v>
      </c>
      <c r="AS235" s="453">
        <f t="shared" si="111"/>
        <v>8</v>
      </c>
      <c r="AT235" s="452">
        <f t="shared" si="112"/>
        <v>8</v>
      </c>
    </row>
    <row r="236" spans="1:46" ht="16" x14ac:dyDescent="0.2">
      <c r="A236" s="298"/>
      <c r="B236"/>
      <c r="D236" s="303" t="s">
        <v>61</v>
      </c>
      <c r="E236" s="387"/>
      <c r="F236" s="387">
        <v>1</v>
      </c>
      <c r="G236" s="397" t="s">
        <v>606</v>
      </c>
      <c r="H236" s="387" t="str">
        <f t="shared" si="87"/>
        <v>1-3-0</v>
      </c>
      <c r="I236" s="389">
        <f t="shared" si="88"/>
        <v>2</v>
      </c>
      <c r="J236" s="455">
        <f t="shared" si="113"/>
        <v>2</v>
      </c>
      <c r="K236" s="455" t="str">
        <f t="shared" si="89"/>
        <v/>
      </c>
      <c r="L236" s="455" t="str">
        <f t="shared" si="114"/>
        <v/>
      </c>
      <c r="M236" s="389" t="str">
        <f>IFERROR(IF(AD236&lt;=VLOOKUP(D236,Tournaments!$A$1:$B$1772,2,FALSE),"TRUE","FALSE"),"")</f>
        <v>FALSE</v>
      </c>
      <c r="N236" s="389">
        <v>1</v>
      </c>
      <c r="O236" s="389">
        <f t="shared" si="90"/>
        <v>6</v>
      </c>
      <c r="Q236" s="389">
        <f t="shared" si="91"/>
        <v>1</v>
      </c>
      <c r="R236" s="389">
        <f t="shared" si="92"/>
        <v>3</v>
      </c>
      <c r="S236" s="389">
        <f t="shared" si="93"/>
        <v>0</v>
      </c>
      <c r="U236" s="389">
        <f t="shared" si="94"/>
        <v>7</v>
      </c>
      <c r="V236" s="389">
        <f t="shared" si="95"/>
        <v>2.1999999999999999E-2</v>
      </c>
      <c r="W236" s="389">
        <f t="shared" si="96"/>
        <v>-6.9779999999999998</v>
      </c>
      <c r="X236" s="389">
        <f t="shared" si="97"/>
        <v>6</v>
      </c>
      <c r="Y236" s="389" t="b">
        <f t="shared" si="115"/>
        <v>0</v>
      </c>
      <c r="Z236" s="389">
        <f t="shared" si="98"/>
        <v>-6</v>
      </c>
      <c r="AA236" s="389">
        <f t="shared" si="99"/>
        <v>6</v>
      </c>
      <c r="AB236" s="389" t="b">
        <f t="shared" si="100"/>
        <v>0</v>
      </c>
      <c r="AC236" s="389">
        <f t="shared" si="101"/>
        <v>-6</v>
      </c>
      <c r="AD236" s="389">
        <f t="shared" si="102"/>
        <v>6</v>
      </c>
      <c r="AE236" s="389">
        <f t="shared" si="103"/>
        <v>1</v>
      </c>
      <c r="AG236" s="311" t="str">
        <f t="shared" si="104"/>
        <v>Ch E Female Volleyball-</v>
      </c>
      <c r="AH236" s="453">
        <f t="shared" si="105"/>
        <v>6</v>
      </c>
      <c r="AI236" s="453">
        <f t="shared" si="106"/>
        <v>2</v>
      </c>
      <c r="AJ236" t="str">
        <f t="array" ref="AJ236">IF(AND(AI236&gt;1,G236&lt;&gt;""),INDEX(FS_teams,MATCH(1,(FS_Keys=AG236)*(FS_Points=I236)*(FS_teams&lt;&gt;G236),0)),"")</f>
        <v>CHILD EF - USA 1</v>
      </c>
      <c r="AK236" s="390">
        <f t="array" ref="AK236">IF(AJ236&lt;&gt;"",INDEX(TM_Score1,MATCH(1,(TM_Events=D236)*(TM_Participant1=G236)*(TM_Participant2=AJ236),0)),"")</f>
        <v>2</v>
      </c>
      <c r="AL236" s="390" t="e">
        <f t="array" ref="AL236">IF(AJ236&lt;&gt;"",INDEX(TM_Score1,MATCH(1,(TM_Events=D236)*(TM_Participant1=AJ236)*(TM_Participant2=G236),0)),"")</f>
        <v>#N/A</v>
      </c>
      <c r="AM236" s="389">
        <f t="array" ref="AM236">IF(ISNUMBER(AK236),INDEX(TM_Score2,MATCH(1,(TM_Events=D236)*(TM_Participant1=G236)*(TM_Participant2=AJ236),0)),"")</f>
        <v>0</v>
      </c>
      <c r="AN236" s="389" t="str">
        <f t="array" ref="AN236">IF(ISNUMBER(AL236),INDEX(TM_Score2,MATCH(1,(TM_Events=D236)*(TM_Participant1=AJ236)*(TM_Participant2=G236),0)),"")</f>
        <v/>
      </c>
      <c r="AO236" s="389" t="str">
        <f t="shared" si="107"/>
        <v>Win</v>
      </c>
      <c r="AP236" s="389">
        <f t="shared" si="108"/>
        <v>1</v>
      </c>
      <c r="AQ236" s="389">
        <f t="shared" si="109"/>
        <v>0</v>
      </c>
      <c r="AR236" s="389">
        <f t="shared" si="110"/>
        <v>3</v>
      </c>
      <c r="AS236" s="453">
        <f t="shared" si="111"/>
        <v>-4</v>
      </c>
      <c r="AT236" s="452">
        <f t="shared" si="112"/>
        <v>2</v>
      </c>
    </row>
    <row r="237" spans="1:46" ht="16" x14ac:dyDescent="0.2">
      <c r="A237" s="298"/>
      <c r="B237"/>
      <c r="D237" s="303" t="s">
        <v>61</v>
      </c>
      <c r="E237" s="396"/>
      <c r="F237" s="387">
        <v>1</v>
      </c>
      <c r="G237" s="397" t="s">
        <v>608</v>
      </c>
      <c r="H237" s="387" t="str">
        <f t="shared" si="87"/>
        <v>2-2-0</v>
      </c>
      <c r="I237" s="389">
        <f t="shared" si="88"/>
        <v>4</v>
      </c>
      <c r="J237" s="455">
        <f t="shared" si="113"/>
        <v>1</v>
      </c>
      <c r="K237" s="455">
        <f t="shared" si="89"/>
        <v>0</v>
      </c>
      <c r="L237" s="455">
        <f t="shared" si="114"/>
        <v>5</v>
      </c>
      <c r="M237" s="389" t="str">
        <f>IFERROR(IF(AD237&lt;=VLOOKUP(D237,Tournaments!$A$1:$B$1772,2,FALSE),"TRUE","FALSE"),"")</f>
        <v>FALSE</v>
      </c>
      <c r="N237" s="389">
        <v>1</v>
      </c>
      <c r="O237" s="389">
        <f t="shared" si="90"/>
        <v>4</v>
      </c>
      <c r="Q237" s="389">
        <f t="shared" si="91"/>
        <v>2</v>
      </c>
      <c r="R237" s="389">
        <f t="shared" si="92"/>
        <v>2</v>
      </c>
      <c r="S237" s="389">
        <f t="shared" si="93"/>
        <v>0</v>
      </c>
      <c r="U237" s="389">
        <f t="shared" si="94"/>
        <v>5</v>
      </c>
      <c r="V237" s="389">
        <f t="shared" si="95"/>
        <v>2.5000000000000001E-3</v>
      </c>
      <c r="W237" s="389">
        <f t="shared" si="96"/>
        <v>-4.9974999999999996</v>
      </c>
      <c r="X237" s="389">
        <f t="shared" si="97"/>
        <v>5</v>
      </c>
      <c r="Y237" s="389">
        <f t="shared" si="115"/>
        <v>1.0999999999999999E-2</v>
      </c>
      <c r="Z237" s="389">
        <f t="shared" si="98"/>
        <v>-4.9889999999999999</v>
      </c>
      <c r="AA237" s="389">
        <f t="shared" si="99"/>
        <v>4</v>
      </c>
      <c r="AB237" s="389">
        <f t="shared" si="100"/>
        <v>5.8599999999999999E-2</v>
      </c>
      <c r="AC237" s="389">
        <f t="shared" si="101"/>
        <v>-3.9413999999999998</v>
      </c>
      <c r="AD237" s="389">
        <f t="shared" si="102"/>
        <v>4</v>
      </c>
      <c r="AE237" s="389">
        <f t="shared" si="103"/>
        <v>4</v>
      </c>
      <c r="AG237" s="311" t="str">
        <f t="shared" si="104"/>
        <v>Ch E Female Volleyball-</v>
      </c>
      <c r="AH237" s="453">
        <f t="shared" si="105"/>
        <v>2</v>
      </c>
      <c r="AI237" s="453">
        <f t="shared" si="106"/>
        <v>4</v>
      </c>
      <c r="AJ237" t="str">
        <f t="array" ref="AJ237">IF(AND(AI237&gt;1,G237&lt;&gt;""),INDEX(FS_teams,MATCH(1,(FS_Keys=AG237)*(FS_Points=I237)*(FS_teams&lt;&gt;G237),0)),"")</f>
        <v>CHILD EF - COL 2</v>
      </c>
      <c r="AK237" s="390" t="e">
        <f t="array" ref="AK237">IF(AJ237&lt;&gt;"",INDEX(TM_Score1,MATCH(1,(TM_Events=D237)*(TM_Participant1=G237)*(TM_Participant2=AJ237),0)),"")</f>
        <v>#N/A</v>
      </c>
      <c r="AL237" s="390">
        <f t="array" ref="AL237">IF(AJ237&lt;&gt;"",INDEX(TM_Score1,MATCH(1,(TM_Events=D237)*(TM_Participant1=AJ237)*(TM_Participant2=G237),0)),"")</f>
        <v>0</v>
      </c>
      <c r="AM237" s="389" t="str">
        <f t="array" ref="AM237">IF(ISNUMBER(AK237),INDEX(TM_Score2,MATCH(1,(TM_Events=D237)*(TM_Participant1=G237)*(TM_Participant2=AJ237),0)),"")</f>
        <v/>
      </c>
      <c r="AN237" s="389">
        <f t="array" ref="AN237">IF(ISNUMBER(AL237),INDEX(TM_Score2,MATCH(1,(TM_Events=D237)*(TM_Participant1=AJ237)*(TM_Participant2=G237),0)),"")</f>
        <v>2</v>
      </c>
      <c r="AO237" s="389" t="str">
        <f t="shared" si="107"/>
        <v>Win</v>
      </c>
      <c r="AP237" s="389">
        <f t="shared" si="108"/>
        <v>2</v>
      </c>
      <c r="AQ237" s="389">
        <f t="shared" si="109"/>
        <v>0</v>
      </c>
      <c r="AR237" s="389">
        <f t="shared" si="110"/>
        <v>2</v>
      </c>
      <c r="AS237" s="453">
        <f t="shared" si="111"/>
        <v>0</v>
      </c>
      <c r="AT237" s="452">
        <f t="shared" si="112"/>
        <v>5</v>
      </c>
    </row>
    <row r="238" spans="1:46" ht="16" x14ac:dyDescent="0.2">
      <c r="A238" s="298"/>
      <c r="B238"/>
      <c r="D238" s="303" t="s">
        <v>63</v>
      </c>
      <c r="E238" s="396"/>
      <c r="F238" s="387">
        <v>1</v>
      </c>
      <c r="G238" s="397" t="s">
        <v>717</v>
      </c>
      <c r="H238" s="387" t="str">
        <f t="shared" si="87"/>
        <v>4-0-0</v>
      </c>
      <c r="I238" s="389">
        <f t="shared" si="88"/>
        <v>8</v>
      </c>
      <c r="J238" s="455">
        <f t="shared" si="113"/>
        <v>1</v>
      </c>
      <c r="K238" s="455">
        <f t="shared" si="89"/>
        <v>58</v>
      </c>
      <c r="L238" s="455" t="str">
        <f t="shared" si="114"/>
        <v/>
      </c>
      <c r="M238" s="389" t="str">
        <f>IFERROR(IF(AD238&lt;=VLOOKUP(D238,Tournaments!$A$1:$B$1772,2,FALSE),"TRUE","FALSE"),"")</f>
        <v>TRUE</v>
      </c>
      <c r="N238" s="389">
        <v>1</v>
      </c>
      <c r="O238" s="389">
        <f t="shared" si="90"/>
        <v>1</v>
      </c>
      <c r="Q238" s="389">
        <f t="shared" si="91"/>
        <v>4</v>
      </c>
      <c r="R238" s="389">
        <f t="shared" si="92"/>
        <v>0</v>
      </c>
      <c r="S238" s="389">
        <f t="shared" si="93"/>
        <v>0</v>
      </c>
      <c r="U238" s="389">
        <f t="shared" si="94"/>
        <v>2</v>
      </c>
      <c r="V238" s="389">
        <f t="shared" si="95"/>
        <v>2.5000000000000001E-3</v>
      </c>
      <c r="W238" s="389">
        <f t="shared" si="96"/>
        <v>-1.9975000000000001</v>
      </c>
      <c r="X238" s="389">
        <f t="shared" si="97"/>
        <v>2</v>
      </c>
      <c r="Y238" s="389">
        <f t="shared" si="115"/>
        <v>7.7200000000000005E-2</v>
      </c>
      <c r="Z238" s="389">
        <f t="shared" si="98"/>
        <v>-1.9228000000000001</v>
      </c>
      <c r="AA238" s="389">
        <f t="shared" si="99"/>
        <v>1</v>
      </c>
      <c r="AB238" s="389" t="b">
        <f t="shared" si="100"/>
        <v>0</v>
      </c>
      <c r="AC238" s="389">
        <f t="shared" si="101"/>
        <v>-1</v>
      </c>
      <c r="AD238" s="389">
        <f t="shared" si="102"/>
        <v>1</v>
      </c>
      <c r="AE238" s="389">
        <f t="shared" si="103"/>
        <v>2</v>
      </c>
      <c r="AG238" s="311" t="str">
        <f t="shared" si="104"/>
        <v>Ch E Male Basketball-</v>
      </c>
      <c r="AH238" s="453">
        <f t="shared" si="105"/>
        <v>1</v>
      </c>
      <c r="AI238" s="453">
        <f t="shared" si="106"/>
        <v>2</v>
      </c>
      <c r="AJ238" t="str">
        <f t="array" ref="AJ238">IF(AND(AI238&gt;1,G238&lt;&gt;""),INDEX(FS_teams,MATCH(1,(FS_Keys=AG238)*(FS_Points=I238)*(FS_teams&lt;&gt;G238),0)),"")</f>
        <v>CHILD EM - COL 1</v>
      </c>
      <c r="AK238" s="390">
        <f t="array" ref="AK238">IF(AJ238&lt;&gt;"",INDEX(TM_Score1,MATCH(1,(TM_Events=D238)*(TM_Participant1=G238)*(TM_Participant2=AJ238),0)),"")</f>
        <v>0</v>
      </c>
      <c r="AL238" s="390" t="e">
        <f t="array" ref="AL238">IF(AJ238&lt;&gt;"",INDEX(TM_Score1,MATCH(1,(TM_Events=D238)*(TM_Participant1=AJ238)*(TM_Participant2=G238),0)),"")</f>
        <v>#N/A</v>
      </c>
      <c r="AM238" s="389">
        <f t="array" ref="AM238">IF(ISNUMBER(AK238),INDEX(TM_Score2,MATCH(1,(TM_Events=D238)*(TM_Participant1=G238)*(TM_Participant2=AJ238),0)),"")</f>
        <v>0</v>
      </c>
      <c r="AN238" s="389" t="str">
        <f t="array" ref="AN238">IF(ISNUMBER(AL238),INDEX(TM_Score2,MATCH(1,(TM_Events=D238)*(TM_Participant1=AJ238)*(TM_Participant2=G238),0)),"")</f>
        <v/>
      </c>
      <c r="AO238" s="389" t="str">
        <f t="shared" si="107"/>
        <v>Tie</v>
      </c>
      <c r="AP238" s="389">
        <f t="shared" si="108"/>
        <v>4</v>
      </c>
      <c r="AQ238" s="389">
        <f t="shared" si="109"/>
        <v>0</v>
      </c>
      <c r="AR238" s="389">
        <f t="shared" si="110"/>
        <v>0</v>
      </c>
      <c r="AS238" s="453">
        <f t="shared" si="111"/>
        <v>58</v>
      </c>
      <c r="AT238" s="452">
        <f t="shared" si="112"/>
        <v>172</v>
      </c>
    </row>
    <row r="239" spans="1:46" ht="16" x14ac:dyDescent="0.2">
      <c r="A239" s="298"/>
      <c r="B239"/>
      <c r="D239" s="303" t="s">
        <v>63</v>
      </c>
      <c r="E239" s="396"/>
      <c r="F239" s="398">
        <v>1</v>
      </c>
      <c r="G239" s="397" t="s">
        <v>716</v>
      </c>
      <c r="H239" s="387" t="str">
        <f t="shared" si="87"/>
        <v>0-3-0</v>
      </c>
      <c r="I239" s="389">
        <f t="shared" si="88"/>
        <v>0</v>
      </c>
      <c r="J239" s="455">
        <f t="shared" si="113"/>
        <v>1</v>
      </c>
      <c r="K239" s="455">
        <f t="shared" si="89"/>
        <v>-34</v>
      </c>
      <c r="L239" s="455">
        <f t="shared" si="114"/>
        <v>65</v>
      </c>
      <c r="M239" s="389" t="str">
        <f>IFERROR(IF(AD239&lt;=VLOOKUP(D239,Tournaments!$A$1:$B$1772,2,FALSE),"TRUE","FALSE"),"")</f>
        <v>FALSE</v>
      </c>
      <c r="N239" s="389">
        <v>1</v>
      </c>
      <c r="O239" s="389">
        <f t="shared" si="90"/>
        <v>8</v>
      </c>
      <c r="Q239" s="389">
        <f t="shared" si="91"/>
        <v>0</v>
      </c>
      <c r="R239" s="389">
        <f t="shared" si="92"/>
        <v>3</v>
      </c>
      <c r="S239" s="389">
        <f t="shared" si="93"/>
        <v>0</v>
      </c>
      <c r="U239" s="389">
        <f t="shared" si="94"/>
        <v>10</v>
      </c>
      <c r="V239" s="389">
        <f t="shared" si="95"/>
        <v>2.5000000000000001E-3</v>
      </c>
      <c r="W239" s="389">
        <f t="shared" si="96"/>
        <v>-9.9975000000000005</v>
      </c>
      <c r="X239" s="389">
        <f t="shared" si="97"/>
        <v>10</v>
      </c>
      <c r="Y239" s="389">
        <f t="shared" si="115"/>
        <v>1.2999999999999999E-3</v>
      </c>
      <c r="Z239" s="389">
        <f t="shared" si="98"/>
        <v>-9.9986999999999995</v>
      </c>
      <c r="AA239" s="389">
        <f t="shared" si="99"/>
        <v>10</v>
      </c>
      <c r="AB239" s="389">
        <f t="shared" si="100"/>
        <v>6.0100000000000001E-2</v>
      </c>
      <c r="AC239" s="389">
        <f t="shared" si="101"/>
        <v>-9.9398999999999997</v>
      </c>
      <c r="AD239" s="389">
        <f t="shared" si="102"/>
        <v>8</v>
      </c>
      <c r="AE239" s="389">
        <f t="shared" si="103"/>
        <v>3</v>
      </c>
      <c r="AG239" s="311" t="str">
        <f t="shared" si="104"/>
        <v>Ch E Male Basketball-</v>
      </c>
      <c r="AH239" s="453">
        <f t="shared" si="105"/>
        <v>8</v>
      </c>
      <c r="AI239" s="453">
        <f t="shared" si="106"/>
        <v>3</v>
      </c>
      <c r="AJ239" t="str">
        <f t="array" ref="AJ239">IF(AND(AI239&gt;1,G239&lt;&gt;""),INDEX(FS_teams,MATCH(1,(FS_Keys=AG239)*(FS_Points=I239)*(FS_teams&lt;&gt;G239),0)),"")</f>
        <v>CHILD EM - VEN 1</v>
      </c>
      <c r="AK239" s="390" t="e">
        <f t="array" ref="AK239">IF(AJ239&lt;&gt;"",INDEX(TM_Score1,MATCH(1,(TM_Events=D239)*(TM_Participant1=G239)*(TM_Participant2=AJ239),0)),"")</f>
        <v>#N/A</v>
      </c>
      <c r="AL239" s="390" t="e">
        <f t="array" ref="AL239">IF(AJ239&lt;&gt;"",INDEX(TM_Score1,MATCH(1,(TM_Events=D239)*(TM_Participant1=AJ239)*(TM_Participant2=G239),0)),"")</f>
        <v>#N/A</v>
      </c>
      <c r="AM239" s="389" t="str">
        <f t="array" ref="AM239">IF(ISNUMBER(AK239),INDEX(TM_Score2,MATCH(1,(TM_Events=D239)*(TM_Participant1=G239)*(TM_Participant2=AJ239),0)),"")</f>
        <v/>
      </c>
      <c r="AN239" s="389" t="str">
        <f t="array" ref="AN239">IF(ISNUMBER(AL239),INDEX(TM_Score2,MATCH(1,(TM_Events=D239)*(TM_Participant1=AJ239)*(TM_Participant2=G239),0)),"")</f>
        <v/>
      </c>
      <c r="AO239" s="389" t="str">
        <f t="shared" si="107"/>
        <v>did not play</v>
      </c>
      <c r="AP239" s="389">
        <f t="shared" si="108"/>
        <v>0</v>
      </c>
      <c r="AQ239" s="389">
        <f t="shared" si="109"/>
        <v>0</v>
      </c>
      <c r="AR239" s="389">
        <f t="shared" si="110"/>
        <v>3</v>
      </c>
      <c r="AS239" s="453">
        <f t="shared" si="111"/>
        <v>-34</v>
      </c>
      <c r="AT239" s="452">
        <f t="shared" si="112"/>
        <v>65</v>
      </c>
    </row>
    <row r="240" spans="1:46" ht="16" x14ac:dyDescent="0.2">
      <c r="A240" s="298"/>
      <c r="B240"/>
      <c r="D240" s="303" t="s">
        <v>63</v>
      </c>
      <c r="E240" s="396"/>
      <c r="F240" s="398">
        <v>1</v>
      </c>
      <c r="G240" s="397" t="s">
        <v>624</v>
      </c>
      <c r="H240" s="387" t="str">
        <f t="shared" si="87"/>
        <v>0-3-0</v>
      </c>
      <c r="I240" s="389">
        <f t="shared" si="88"/>
        <v>0</v>
      </c>
      <c r="J240" s="455">
        <f t="shared" si="113"/>
        <v>1</v>
      </c>
      <c r="K240" s="455">
        <f t="shared" si="89"/>
        <v>-34</v>
      </c>
      <c r="L240" s="455">
        <f t="shared" si="114"/>
        <v>57</v>
      </c>
      <c r="M240" s="389" t="str">
        <f>IFERROR(IF(AD240&lt;=VLOOKUP(D240,Tournaments!$A$1:$B$1772,2,FALSE),"TRUE","FALSE"),"")</f>
        <v>FALSE</v>
      </c>
      <c r="N240" s="389">
        <v>1</v>
      </c>
      <c r="O240" s="389">
        <f t="shared" si="90"/>
        <v>9</v>
      </c>
      <c r="Q240" s="389">
        <f t="shared" si="91"/>
        <v>0</v>
      </c>
      <c r="R240" s="389">
        <f t="shared" si="92"/>
        <v>3</v>
      </c>
      <c r="S240" s="389">
        <f t="shared" si="93"/>
        <v>0</v>
      </c>
      <c r="U240" s="389">
        <f t="shared" si="94"/>
        <v>10</v>
      </c>
      <c r="V240" s="389">
        <f t="shared" si="95"/>
        <v>2.5000000000000001E-3</v>
      </c>
      <c r="W240" s="389">
        <f t="shared" si="96"/>
        <v>-9.9975000000000005</v>
      </c>
      <c r="X240" s="389">
        <f t="shared" si="97"/>
        <v>10</v>
      </c>
      <c r="Y240" s="389">
        <f t="shared" si="115"/>
        <v>1.2999999999999999E-3</v>
      </c>
      <c r="Z240" s="389">
        <f t="shared" si="98"/>
        <v>-9.9986999999999995</v>
      </c>
      <c r="AA240" s="389">
        <f t="shared" si="99"/>
        <v>10</v>
      </c>
      <c r="AB240" s="389">
        <f t="shared" si="100"/>
        <v>0.06</v>
      </c>
      <c r="AC240" s="389">
        <f t="shared" si="101"/>
        <v>-9.94</v>
      </c>
      <c r="AD240" s="389">
        <f t="shared" si="102"/>
        <v>9</v>
      </c>
      <c r="AE240" s="389">
        <f t="shared" si="103"/>
        <v>3</v>
      </c>
      <c r="AG240" s="311" t="str">
        <f t="shared" si="104"/>
        <v>Ch E Male Basketball-</v>
      </c>
      <c r="AH240" s="453">
        <f t="shared" si="105"/>
        <v>8</v>
      </c>
      <c r="AI240" s="453">
        <f t="shared" si="106"/>
        <v>3</v>
      </c>
      <c r="AJ240" t="str">
        <f t="array" ref="AJ240">IF(AND(AI240&gt;1,G240&lt;&gt;""),INDEX(FS_teams,MATCH(1,(FS_Keys=AG240)*(FS_Points=I240)*(FS_teams&lt;&gt;G240),0)),"")</f>
        <v>CHILD EM - VEN 3</v>
      </c>
      <c r="AK240" s="390" t="e">
        <f t="array" ref="AK240">IF(AJ240&lt;&gt;"",INDEX(TM_Score1,MATCH(1,(TM_Events=D240)*(TM_Participant1=G240)*(TM_Participant2=AJ240),0)),"")</f>
        <v>#N/A</v>
      </c>
      <c r="AL240" s="390" t="e">
        <f t="array" ref="AL240">IF(AJ240&lt;&gt;"",INDEX(TM_Score1,MATCH(1,(TM_Events=D240)*(TM_Participant1=AJ240)*(TM_Participant2=G240),0)),"")</f>
        <v>#N/A</v>
      </c>
      <c r="AM240" s="389" t="str">
        <f t="array" ref="AM240">IF(ISNUMBER(AK240),INDEX(TM_Score2,MATCH(1,(TM_Events=D240)*(TM_Participant1=G240)*(TM_Participant2=AJ240),0)),"")</f>
        <v/>
      </c>
      <c r="AN240" s="389" t="str">
        <f t="array" ref="AN240">IF(ISNUMBER(AL240),INDEX(TM_Score2,MATCH(1,(TM_Events=D240)*(TM_Participant1=AJ240)*(TM_Participant2=G240),0)),"")</f>
        <v/>
      </c>
      <c r="AO240" s="389" t="str">
        <f t="shared" si="107"/>
        <v>did not play</v>
      </c>
      <c r="AP240" s="389">
        <f t="shared" si="108"/>
        <v>0</v>
      </c>
      <c r="AQ240" s="389">
        <f t="shared" si="109"/>
        <v>0</v>
      </c>
      <c r="AR240" s="389">
        <f t="shared" si="110"/>
        <v>3</v>
      </c>
      <c r="AS240" s="453">
        <f t="shared" si="111"/>
        <v>-34</v>
      </c>
      <c r="AT240" s="452">
        <f t="shared" si="112"/>
        <v>57</v>
      </c>
    </row>
    <row r="241" spans="1:46" ht="16" x14ac:dyDescent="0.2">
      <c r="A241" s="298"/>
      <c r="B241"/>
      <c r="D241" s="303" t="s">
        <v>63</v>
      </c>
      <c r="E241" s="396"/>
      <c r="F241" s="398">
        <v>1</v>
      </c>
      <c r="G241" s="397" t="s">
        <v>620</v>
      </c>
      <c r="H241" s="387" t="str">
        <f t="shared" si="87"/>
        <v>2-2-0</v>
      </c>
      <c r="I241" s="389">
        <f t="shared" si="88"/>
        <v>4</v>
      </c>
      <c r="J241" s="455">
        <f t="shared" si="113"/>
        <v>1</v>
      </c>
      <c r="K241" s="455">
        <f t="shared" si="89"/>
        <v>3</v>
      </c>
      <c r="L241" s="455" t="str">
        <f t="shared" si="114"/>
        <v/>
      </c>
      <c r="M241" s="389" t="str">
        <f>IFERROR(IF(AD241&lt;=VLOOKUP(D241,Tournaments!$A$1:$B$1772,2,FALSE),"TRUE","FALSE"),"")</f>
        <v>FALSE</v>
      </c>
      <c r="N241" s="389">
        <v>1</v>
      </c>
      <c r="O241" s="389">
        <f t="shared" si="90"/>
        <v>5</v>
      </c>
      <c r="Q241" s="389">
        <f t="shared" si="91"/>
        <v>2</v>
      </c>
      <c r="R241" s="389">
        <f t="shared" si="92"/>
        <v>2</v>
      </c>
      <c r="S241" s="389">
        <f t="shared" si="93"/>
        <v>0</v>
      </c>
      <c r="U241" s="389">
        <f t="shared" si="94"/>
        <v>5</v>
      </c>
      <c r="V241" s="389">
        <f t="shared" si="95"/>
        <v>2.5000000000000001E-3</v>
      </c>
      <c r="W241" s="389">
        <f t="shared" si="96"/>
        <v>-4.9974999999999996</v>
      </c>
      <c r="X241" s="389">
        <f t="shared" si="97"/>
        <v>5</v>
      </c>
      <c r="Y241" s="389">
        <f t="shared" si="115"/>
        <v>7.2099999999999997E-2</v>
      </c>
      <c r="Z241" s="389">
        <f t="shared" si="98"/>
        <v>-4.9279000000000002</v>
      </c>
      <c r="AA241" s="389">
        <f t="shared" si="99"/>
        <v>5</v>
      </c>
      <c r="AB241" s="389" t="b">
        <f t="shared" si="100"/>
        <v>0</v>
      </c>
      <c r="AC241" s="389">
        <f t="shared" si="101"/>
        <v>-5</v>
      </c>
      <c r="AD241" s="389">
        <f t="shared" si="102"/>
        <v>5</v>
      </c>
      <c r="AE241" s="389">
        <f t="shared" si="103"/>
        <v>2</v>
      </c>
      <c r="AG241" s="311" t="str">
        <f t="shared" si="104"/>
        <v>Ch E Male Basketball-</v>
      </c>
      <c r="AH241" s="453">
        <f t="shared" si="105"/>
        <v>4</v>
      </c>
      <c r="AI241" s="453">
        <f t="shared" si="106"/>
        <v>2</v>
      </c>
      <c r="AJ241" t="str">
        <f t="array" ref="AJ241">IF(AND(AI241&gt;1,G241&lt;&gt;""),INDEX(FS_teams,MATCH(1,(FS_Keys=AG241)*(FS_Points=I241)*(FS_teams&lt;&gt;G241),0)),"")</f>
        <v>CHILD EM - ARG 1</v>
      </c>
      <c r="AK241" s="390" t="e">
        <f t="array" ref="AK241">IF(AJ241&lt;&gt;"",INDEX(TM_Score1,MATCH(1,(TM_Events=D241)*(TM_Participant1=G241)*(TM_Participant2=AJ241),0)),"")</f>
        <v>#N/A</v>
      </c>
      <c r="AL241" s="390" t="e">
        <f t="array" ref="AL241">IF(AJ241&lt;&gt;"",INDEX(TM_Score1,MATCH(1,(TM_Events=D241)*(TM_Participant1=AJ241)*(TM_Participant2=G241),0)),"")</f>
        <v>#N/A</v>
      </c>
      <c r="AM241" s="389" t="str">
        <f t="array" ref="AM241">IF(ISNUMBER(AK241),INDEX(TM_Score2,MATCH(1,(TM_Events=D241)*(TM_Participant1=G241)*(TM_Participant2=AJ241),0)),"")</f>
        <v/>
      </c>
      <c r="AN241" s="389" t="str">
        <f t="array" ref="AN241">IF(ISNUMBER(AL241),INDEX(TM_Score2,MATCH(1,(TM_Events=D241)*(TM_Participant1=AJ241)*(TM_Participant2=G241),0)),"")</f>
        <v/>
      </c>
      <c r="AO241" s="389" t="str">
        <f t="shared" si="107"/>
        <v>did not play</v>
      </c>
      <c r="AP241" s="389">
        <f t="shared" si="108"/>
        <v>2</v>
      </c>
      <c r="AQ241" s="389">
        <f t="shared" si="109"/>
        <v>0</v>
      </c>
      <c r="AR241" s="389">
        <f t="shared" si="110"/>
        <v>2</v>
      </c>
      <c r="AS241" s="453">
        <f t="shared" si="111"/>
        <v>3</v>
      </c>
      <c r="AT241" s="452">
        <f t="shared" si="112"/>
        <v>97</v>
      </c>
    </row>
    <row r="242" spans="1:46" ht="16" x14ac:dyDescent="0.2">
      <c r="A242" s="298"/>
      <c r="B242"/>
      <c r="D242" s="303" t="s">
        <v>63</v>
      </c>
      <c r="E242" s="396"/>
      <c r="F242" s="387">
        <v>1</v>
      </c>
      <c r="G242" s="397" t="s">
        <v>625</v>
      </c>
      <c r="H242" s="387" t="str">
        <f t="shared" si="87"/>
        <v>0-3-0</v>
      </c>
      <c r="I242" s="389">
        <f t="shared" si="88"/>
        <v>0</v>
      </c>
      <c r="J242" s="455">
        <f t="shared" si="113"/>
        <v>1</v>
      </c>
      <c r="K242" s="455">
        <f t="shared" si="89"/>
        <v>-34</v>
      </c>
      <c r="L242" s="455">
        <f t="shared" si="114"/>
        <v>26</v>
      </c>
      <c r="M242" s="389" t="str">
        <f>IFERROR(IF(AD242&lt;=VLOOKUP(D242,Tournaments!$A$1:$B$1772,2,FALSE),"TRUE","FALSE"),"")</f>
        <v>FALSE</v>
      </c>
      <c r="N242" s="389">
        <v>1</v>
      </c>
      <c r="O242" s="389">
        <f t="shared" si="90"/>
        <v>10</v>
      </c>
      <c r="Q242" s="389">
        <f t="shared" si="91"/>
        <v>0</v>
      </c>
      <c r="R242" s="389">
        <f t="shared" si="92"/>
        <v>3</v>
      </c>
      <c r="S242" s="389">
        <f t="shared" si="93"/>
        <v>0</v>
      </c>
      <c r="U242" s="389">
        <f t="shared" si="94"/>
        <v>10</v>
      </c>
      <c r="V242" s="389">
        <f t="shared" si="95"/>
        <v>2.5000000000000001E-3</v>
      </c>
      <c r="W242" s="389">
        <f t="shared" si="96"/>
        <v>-9.9975000000000005</v>
      </c>
      <c r="X242" s="389">
        <f t="shared" si="97"/>
        <v>10</v>
      </c>
      <c r="Y242" s="389">
        <f t="shared" si="115"/>
        <v>1.2999999999999999E-3</v>
      </c>
      <c r="Z242" s="389">
        <f t="shared" si="98"/>
        <v>-9.9986999999999995</v>
      </c>
      <c r="AA242" s="389">
        <f t="shared" si="99"/>
        <v>10</v>
      </c>
      <c r="AB242" s="389">
        <f t="shared" si="100"/>
        <v>5.9799999999999999E-2</v>
      </c>
      <c r="AC242" s="389">
        <f t="shared" si="101"/>
        <v>-9.9402000000000008</v>
      </c>
      <c r="AD242" s="389">
        <f t="shared" si="102"/>
        <v>10</v>
      </c>
      <c r="AE242" s="389">
        <f t="shared" si="103"/>
        <v>3</v>
      </c>
      <c r="AG242" s="311" t="str">
        <f t="shared" si="104"/>
        <v>Ch E Male Basketball-</v>
      </c>
      <c r="AH242" s="453">
        <f t="shared" si="105"/>
        <v>8</v>
      </c>
      <c r="AI242" s="453">
        <f t="shared" si="106"/>
        <v>3</v>
      </c>
      <c r="AJ242" t="str">
        <f t="array" ref="AJ242">IF(AND(AI242&gt;1,G242&lt;&gt;""),INDEX(FS_teams,MATCH(1,(FS_Keys=AG242)*(FS_Points=I242)*(FS_teams&lt;&gt;G242),0)),"")</f>
        <v>CHILD EM - VEN 3</v>
      </c>
      <c r="AK242" s="390" t="e">
        <f t="array" ref="AK242">IF(AJ242&lt;&gt;"",INDEX(TM_Score1,MATCH(1,(TM_Events=D242)*(TM_Participant1=G242)*(TM_Participant2=AJ242),0)),"")</f>
        <v>#N/A</v>
      </c>
      <c r="AL242" s="390" t="e">
        <f t="array" ref="AL242">IF(AJ242&lt;&gt;"",INDEX(TM_Score1,MATCH(1,(TM_Events=D242)*(TM_Participant1=AJ242)*(TM_Participant2=G242),0)),"")</f>
        <v>#N/A</v>
      </c>
      <c r="AM242" s="389" t="str">
        <f t="array" ref="AM242">IF(ISNUMBER(AK242),INDEX(TM_Score2,MATCH(1,(TM_Events=D242)*(TM_Participant1=G242)*(TM_Participant2=AJ242),0)),"")</f>
        <v/>
      </c>
      <c r="AN242" s="389" t="str">
        <f t="array" ref="AN242">IF(ISNUMBER(AL242),INDEX(TM_Score2,MATCH(1,(TM_Events=D242)*(TM_Participant1=AJ242)*(TM_Participant2=G242),0)),"")</f>
        <v/>
      </c>
      <c r="AO242" s="389" t="str">
        <f t="shared" si="107"/>
        <v>did not play</v>
      </c>
      <c r="AP242" s="389">
        <f t="shared" si="108"/>
        <v>0</v>
      </c>
      <c r="AQ242" s="389">
        <f t="shared" si="109"/>
        <v>0</v>
      </c>
      <c r="AR242" s="389">
        <f t="shared" si="110"/>
        <v>3</v>
      </c>
      <c r="AS242" s="453">
        <f t="shared" si="111"/>
        <v>-34</v>
      </c>
      <c r="AT242" s="452">
        <f t="shared" si="112"/>
        <v>26</v>
      </c>
    </row>
    <row r="243" spans="1:46" ht="16" x14ac:dyDescent="0.2">
      <c r="A243" s="298"/>
      <c r="B243"/>
      <c r="D243" s="303" t="s">
        <v>63</v>
      </c>
      <c r="E243" s="387"/>
      <c r="F243" s="387">
        <v>1</v>
      </c>
      <c r="G243" s="397" t="s">
        <v>718</v>
      </c>
      <c r="H243" s="387" t="str">
        <f t="shared" si="87"/>
        <v>3-1-0</v>
      </c>
      <c r="I243" s="389">
        <f t="shared" si="88"/>
        <v>6</v>
      </c>
      <c r="J243" s="455" t="str">
        <f t="shared" si="113"/>
        <v/>
      </c>
      <c r="K243" s="455" t="str">
        <f t="shared" si="89"/>
        <v/>
      </c>
      <c r="L243" s="455" t="str">
        <f t="shared" si="114"/>
        <v/>
      </c>
      <c r="M243" s="389" t="str">
        <f>IFERROR(IF(AD243&lt;=VLOOKUP(D243,Tournaments!$A$1:$B$1772,2,FALSE),"TRUE","FALSE"),"")</f>
        <v>TRUE</v>
      </c>
      <c r="N243" s="389">
        <v>1</v>
      </c>
      <c r="O243" s="389">
        <f t="shared" si="90"/>
        <v>3</v>
      </c>
      <c r="Q243" s="389">
        <f t="shared" si="91"/>
        <v>3</v>
      </c>
      <c r="R243" s="389">
        <f t="shared" si="92"/>
        <v>1</v>
      </c>
      <c r="S243" s="389">
        <f t="shared" si="93"/>
        <v>0</v>
      </c>
      <c r="U243" s="389">
        <f t="shared" si="94"/>
        <v>3</v>
      </c>
      <c r="V243" s="389" t="b">
        <f t="shared" si="95"/>
        <v>0</v>
      </c>
      <c r="W243" s="389">
        <f t="shared" si="96"/>
        <v>-3</v>
      </c>
      <c r="X243" s="389">
        <f t="shared" si="97"/>
        <v>3</v>
      </c>
      <c r="Y243" s="389" t="b">
        <f t="shared" si="115"/>
        <v>0</v>
      </c>
      <c r="Z243" s="389">
        <f t="shared" si="98"/>
        <v>-3</v>
      </c>
      <c r="AA243" s="389">
        <f t="shared" si="99"/>
        <v>3</v>
      </c>
      <c r="AB243" s="389" t="b">
        <f t="shared" si="100"/>
        <v>0</v>
      </c>
      <c r="AC243" s="389">
        <f t="shared" si="101"/>
        <v>-3</v>
      </c>
      <c r="AD243" s="389">
        <f t="shared" si="102"/>
        <v>3</v>
      </c>
      <c r="AE243" s="389">
        <f t="shared" si="103"/>
        <v>1</v>
      </c>
      <c r="AG243" s="311" t="str">
        <f t="shared" si="104"/>
        <v>Ch E Male Basketball-</v>
      </c>
      <c r="AH243" s="453">
        <f t="shared" si="105"/>
        <v>3</v>
      </c>
      <c r="AI243" s="453">
        <f t="shared" si="106"/>
        <v>1</v>
      </c>
      <c r="AJ243" t="str">
        <f t="array" ref="AJ243">IF(AND(AI243&gt;1,G243&lt;&gt;""),INDEX(FS_teams,MATCH(1,(FS_Keys=AG243)*(FS_Points=I243)*(FS_teams&lt;&gt;G243),0)),"")</f>
        <v/>
      </c>
      <c r="AK243" s="390" t="str">
        <f t="array" ref="AK243">IF(AJ243&lt;&gt;"",INDEX(TM_Score1,MATCH(1,(TM_Events=D243)*(TM_Participant1=G243)*(TM_Participant2=AJ243),0)),"")</f>
        <v/>
      </c>
      <c r="AL243" s="390" t="str">
        <f t="array" ref="AL243">IF(AJ243&lt;&gt;"",INDEX(TM_Score1,MATCH(1,(TM_Events=D243)*(TM_Participant1=AJ243)*(TM_Participant2=G243),0)),"")</f>
        <v/>
      </c>
      <c r="AM243" s="389" t="str">
        <f t="array" ref="AM243">IF(ISNUMBER(AK243),INDEX(TM_Score2,MATCH(1,(TM_Events=D243)*(TM_Participant1=G243)*(TM_Participant2=AJ243),0)),"")</f>
        <v/>
      </c>
      <c r="AN243" s="389" t="str">
        <f t="array" ref="AN243">IF(ISNUMBER(AL243),INDEX(TM_Score2,MATCH(1,(TM_Events=D243)*(TM_Participant1=AJ243)*(TM_Participant2=G243),0)),"")</f>
        <v/>
      </c>
      <c r="AO243" s="389" t="str">
        <f t="shared" si="107"/>
        <v/>
      </c>
      <c r="AP243" s="389">
        <f t="shared" si="108"/>
        <v>3</v>
      </c>
      <c r="AQ243" s="389">
        <f t="shared" si="109"/>
        <v>0</v>
      </c>
      <c r="AR243" s="389">
        <f t="shared" si="110"/>
        <v>1</v>
      </c>
      <c r="AS243" s="453">
        <f t="shared" si="111"/>
        <v>16</v>
      </c>
      <c r="AT243" s="452">
        <f t="shared" si="112"/>
        <v>142</v>
      </c>
    </row>
    <row r="244" spans="1:46" ht="16" x14ac:dyDescent="0.2">
      <c r="A244" s="298"/>
      <c r="B244"/>
      <c r="D244" s="303" t="s">
        <v>63</v>
      </c>
      <c r="E244" s="396"/>
      <c r="F244" s="387">
        <v>1</v>
      </c>
      <c r="G244" s="397" t="s">
        <v>622</v>
      </c>
      <c r="H244" s="387" t="str">
        <f t="shared" si="87"/>
        <v>1-2-0</v>
      </c>
      <c r="I244" s="389">
        <f t="shared" si="88"/>
        <v>2</v>
      </c>
      <c r="J244" s="455">
        <f t="shared" si="113"/>
        <v>1</v>
      </c>
      <c r="K244" s="455">
        <f t="shared" si="89"/>
        <v>-17</v>
      </c>
      <c r="L244" s="455" t="str">
        <f t="shared" si="114"/>
        <v/>
      </c>
      <c r="M244" s="389" t="str">
        <f>IFERROR(IF(AD244&lt;=VLOOKUP(D244,Tournaments!$A$1:$B$1772,2,FALSE),"TRUE","FALSE"),"")</f>
        <v>FALSE</v>
      </c>
      <c r="N244" s="389">
        <v>1</v>
      </c>
      <c r="O244" s="389">
        <f t="shared" si="90"/>
        <v>6</v>
      </c>
      <c r="Q244" s="389">
        <f t="shared" si="91"/>
        <v>1</v>
      </c>
      <c r="R244" s="389">
        <f t="shared" si="92"/>
        <v>2</v>
      </c>
      <c r="S244" s="389">
        <f t="shared" si="93"/>
        <v>0</v>
      </c>
      <c r="U244" s="389">
        <f t="shared" si="94"/>
        <v>7</v>
      </c>
      <c r="V244" s="389">
        <f t="shared" si="95"/>
        <v>2.5000000000000001E-3</v>
      </c>
      <c r="W244" s="389">
        <f t="shared" si="96"/>
        <v>-6.9974999999999996</v>
      </c>
      <c r="X244" s="389">
        <f t="shared" si="97"/>
        <v>7</v>
      </c>
      <c r="Y244" s="389">
        <f t="shared" si="115"/>
        <v>2.5999999999999999E-3</v>
      </c>
      <c r="Z244" s="389">
        <f t="shared" si="98"/>
        <v>-6.9973999999999998</v>
      </c>
      <c r="AA244" s="389">
        <f t="shared" si="99"/>
        <v>6</v>
      </c>
      <c r="AB244" s="389" t="b">
        <f t="shared" si="100"/>
        <v>0</v>
      </c>
      <c r="AC244" s="389">
        <f t="shared" si="101"/>
        <v>-6</v>
      </c>
      <c r="AD244" s="389">
        <f t="shared" si="102"/>
        <v>6</v>
      </c>
      <c r="AE244" s="389">
        <f t="shared" si="103"/>
        <v>2</v>
      </c>
      <c r="AG244" s="311" t="str">
        <f t="shared" si="104"/>
        <v>Ch E Male Basketball-</v>
      </c>
      <c r="AH244" s="453">
        <f t="shared" si="105"/>
        <v>6</v>
      </c>
      <c r="AI244" s="453">
        <f t="shared" si="106"/>
        <v>2</v>
      </c>
      <c r="AJ244" t="str">
        <f t="array" ref="AJ244">IF(AND(AI244&gt;1,G244&lt;&gt;""),INDEX(FS_teams,MATCH(1,(FS_Keys=AG244)*(FS_Points=I244)*(FS_teams&lt;&gt;G244),0)),"")</f>
        <v>CHILD EM - USA 1</v>
      </c>
      <c r="AK244" s="390" t="e">
        <f t="array" ref="AK244">IF(AJ244&lt;&gt;"",INDEX(TM_Score1,MATCH(1,(TM_Events=D244)*(TM_Participant1=G244)*(TM_Participant2=AJ244),0)),"")</f>
        <v>#N/A</v>
      </c>
      <c r="AL244" s="390" t="e">
        <f t="array" ref="AL244">IF(AJ244&lt;&gt;"",INDEX(TM_Score1,MATCH(1,(TM_Events=D244)*(TM_Participant1=AJ244)*(TM_Participant2=G244),0)),"")</f>
        <v>#N/A</v>
      </c>
      <c r="AM244" s="389" t="str">
        <f t="array" ref="AM244">IF(ISNUMBER(AK244),INDEX(TM_Score2,MATCH(1,(TM_Events=D244)*(TM_Participant1=G244)*(TM_Participant2=AJ244),0)),"")</f>
        <v/>
      </c>
      <c r="AN244" s="389" t="str">
        <f t="array" ref="AN244">IF(ISNUMBER(AL244),INDEX(TM_Score2,MATCH(1,(TM_Events=D244)*(TM_Participant1=AJ244)*(TM_Participant2=G244),0)),"")</f>
        <v/>
      </c>
      <c r="AO244" s="389" t="str">
        <f t="shared" si="107"/>
        <v>did not play</v>
      </c>
      <c r="AP244" s="389">
        <f t="shared" si="108"/>
        <v>1</v>
      </c>
      <c r="AQ244" s="389">
        <f t="shared" si="109"/>
        <v>0</v>
      </c>
      <c r="AR244" s="389">
        <f t="shared" si="110"/>
        <v>2</v>
      </c>
      <c r="AS244" s="453">
        <f t="shared" si="111"/>
        <v>-17</v>
      </c>
      <c r="AT244" s="452">
        <f t="shared" si="112"/>
        <v>71</v>
      </c>
    </row>
    <row r="245" spans="1:46" ht="16" x14ac:dyDescent="0.2">
      <c r="A245" s="298"/>
      <c r="B245"/>
      <c r="D245" s="303" t="s">
        <v>63</v>
      </c>
      <c r="E245" s="396"/>
      <c r="F245" s="387">
        <v>1</v>
      </c>
      <c r="G245" s="397" t="s">
        <v>616</v>
      </c>
      <c r="H245" s="387" t="str">
        <f t="shared" si="87"/>
        <v>2-1-0</v>
      </c>
      <c r="I245" s="389">
        <f t="shared" si="88"/>
        <v>4</v>
      </c>
      <c r="J245" s="455">
        <f t="shared" si="113"/>
        <v>1</v>
      </c>
      <c r="K245" s="455">
        <f t="shared" si="89"/>
        <v>12</v>
      </c>
      <c r="L245" s="455" t="str">
        <f t="shared" si="114"/>
        <v/>
      </c>
      <c r="M245" s="389" t="str">
        <f>IFERROR(IF(AD245&lt;=VLOOKUP(D245,Tournaments!$A$1:$B$1772,2,FALSE),"TRUE","FALSE"),"")</f>
        <v>TRUE</v>
      </c>
      <c r="N245" s="389">
        <v>1</v>
      </c>
      <c r="O245" s="389">
        <f t="shared" si="90"/>
        <v>4</v>
      </c>
      <c r="Q245" s="389">
        <f t="shared" si="91"/>
        <v>2</v>
      </c>
      <c r="R245" s="389">
        <f t="shared" si="92"/>
        <v>1</v>
      </c>
      <c r="S245" s="389">
        <f t="shared" si="93"/>
        <v>0</v>
      </c>
      <c r="U245" s="389">
        <f t="shared" si="94"/>
        <v>5</v>
      </c>
      <c r="V245" s="389">
        <f t="shared" si="95"/>
        <v>2.5000000000000001E-3</v>
      </c>
      <c r="W245" s="389">
        <f t="shared" si="96"/>
        <v>-4.9974999999999996</v>
      </c>
      <c r="X245" s="389">
        <f t="shared" si="97"/>
        <v>5</v>
      </c>
      <c r="Y245" s="389">
        <f t="shared" si="115"/>
        <v>7.5399999999999995E-2</v>
      </c>
      <c r="Z245" s="389">
        <f t="shared" si="98"/>
        <v>-4.9245999999999999</v>
      </c>
      <c r="AA245" s="389">
        <f t="shared" si="99"/>
        <v>4</v>
      </c>
      <c r="AB245" s="389" t="b">
        <f t="shared" si="100"/>
        <v>0</v>
      </c>
      <c r="AC245" s="389">
        <f t="shared" si="101"/>
        <v>-4</v>
      </c>
      <c r="AD245" s="389">
        <f t="shared" si="102"/>
        <v>4</v>
      </c>
      <c r="AE245" s="389">
        <f t="shared" si="103"/>
        <v>2</v>
      </c>
      <c r="AG245" s="311" t="str">
        <f t="shared" si="104"/>
        <v>Ch E Male Basketball-</v>
      </c>
      <c r="AH245" s="453">
        <f t="shared" si="105"/>
        <v>4</v>
      </c>
      <c r="AI245" s="453">
        <f t="shared" si="106"/>
        <v>2</v>
      </c>
      <c r="AJ245" t="str">
        <f t="array" ref="AJ245">IF(AND(AI245&gt;1,G245&lt;&gt;""),INDEX(FS_teams,MATCH(1,(FS_Keys=AG245)*(FS_Points=I245)*(FS_teams&lt;&gt;G245),0)),"")</f>
        <v>CHILD EM - PER</v>
      </c>
      <c r="AK245" s="390" t="e">
        <f t="array" ref="AK245">IF(AJ245&lt;&gt;"",INDEX(TM_Score1,MATCH(1,(TM_Events=D245)*(TM_Participant1=G245)*(TM_Participant2=AJ245),0)),"")</f>
        <v>#N/A</v>
      </c>
      <c r="AL245" s="390" t="e">
        <f t="array" ref="AL245">IF(AJ245&lt;&gt;"",INDEX(TM_Score1,MATCH(1,(TM_Events=D245)*(TM_Participant1=AJ245)*(TM_Participant2=G245),0)),"")</f>
        <v>#N/A</v>
      </c>
      <c r="AM245" s="389" t="str">
        <f t="array" ref="AM245">IF(ISNUMBER(AK245),INDEX(TM_Score2,MATCH(1,(TM_Events=D245)*(TM_Participant1=G245)*(TM_Participant2=AJ245),0)),"")</f>
        <v/>
      </c>
      <c r="AN245" s="389" t="str">
        <f t="array" ref="AN245">IF(ISNUMBER(AL245),INDEX(TM_Score2,MATCH(1,(TM_Events=D245)*(TM_Participant1=AJ245)*(TM_Participant2=G245),0)),"")</f>
        <v/>
      </c>
      <c r="AO245" s="389" t="str">
        <f t="shared" si="107"/>
        <v>did not play</v>
      </c>
      <c r="AP245" s="389">
        <f t="shared" si="108"/>
        <v>2</v>
      </c>
      <c r="AQ245" s="389">
        <f t="shared" si="109"/>
        <v>0</v>
      </c>
      <c r="AR245" s="389">
        <f t="shared" si="110"/>
        <v>1</v>
      </c>
      <c r="AS245" s="453">
        <f t="shared" si="111"/>
        <v>12</v>
      </c>
      <c r="AT245" s="452">
        <f t="shared" si="112"/>
        <v>80</v>
      </c>
    </row>
    <row r="246" spans="1:46" ht="16" x14ac:dyDescent="0.2">
      <c r="A246" s="298"/>
      <c r="B246"/>
      <c r="D246" s="303" t="s">
        <v>63</v>
      </c>
      <c r="E246" s="387"/>
      <c r="F246" s="387">
        <v>1</v>
      </c>
      <c r="G246" s="397" t="s">
        <v>618</v>
      </c>
      <c r="H246" s="387" t="str">
        <f t="shared" si="87"/>
        <v>4-0-0</v>
      </c>
      <c r="I246" s="389">
        <f t="shared" si="88"/>
        <v>8</v>
      </c>
      <c r="J246" s="455">
        <f t="shared" si="113"/>
        <v>1</v>
      </c>
      <c r="K246" s="455">
        <f t="shared" si="89"/>
        <v>52</v>
      </c>
      <c r="L246" s="455" t="str">
        <f t="shared" si="114"/>
        <v/>
      </c>
      <c r="M246" s="389" t="str">
        <f>IFERROR(IF(AD246&lt;=VLOOKUP(D246,Tournaments!$A$1:$B$1772,2,FALSE),"TRUE","FALSE"),"")</f>
        <v>TRUE</v>
      </c>
      <c r="N246" s="389">
        <v>1</v>
      </c>
      <c r="O246" s="389">
        <f t="shared" si="90"/>
        <v>2</v>
      </c>
      <c r="Q246" s="389">
        <f t="shared" si="91"/>
        <v>4</v>
      </c>
      <c r="R246" s="389">
        <f t="shared" si="92"/>
        <v>0</v>
      </c>
      <c r="S246" s="389">
        <f t="shared" si="93"/>
        <v>0</v>
      </c>
      <c r="U246" s="389">
        <f t="shared" si="94"/>
        <v>2</v>
      </c>
      <c r="V246" s="389">
        <f t="shared" si="95"/>
        <v>2.5000000000000001E-3</v>
      </c>
      <c r="W246" s="389">
        <f t="shared" si="96"/>
        <v>-1.9975000000000001</v>
      </c>
      <c r="X246" s="389">
        <f t="shared" si="97"/>
        <v>2</v>
      </c>
      <c r="Y246" s="389">
        <f t="shared" si="115"/>
        <v>7.6999999999999999E-2</v>
      </c>
      <c r="Z246" s="389">
        <f t="shared" si="98"/>
        <v>-1.923</v>
      </c>
      <c r="AA246" s="389">
        <f t="shared" si="99"/>
        <v>2</v>
      </c>
      <c r="AB246" s="389" t="b">
        <f t="shared" si="100"/>
        <v>0</v>
      </c>
      <c r="AC246" s="389">
        <f t="shared" si="101"/>
        <v>-2</v>
      </c>
      <c r="AD246" s="389">
        <f t="shared" si="102"/>
        <v>2</v>
      </c>
      <c r="AE246" s="389">
        <f t="shared" si="103"/>
        <v>2</v>
      </c>
      <c r="AG246" s="311" t="str">
        <f t="shared" si="104"/>
        <v>Ch E Male Basketball-</v>
      </c>
      <c r="AH246" s="453">
        <f t="shared" si="105"/>
        <v>1</v>
      </c>
      <c r="AI246" s="453">
        <f t="shared" si="106"/>
        <v>2</v>
      </c>
      <c r="AJ246" t="str">
        <f t="array" ref="AJ246">IF(AND(AI246&gt;1,G246&lt;&gt;""),INDEX(FS_teams,MATCH(1,(FS_Keys=AG246)*(FS_Points=I246)*(FS_teams&lt;&gt;G246),0)),"")</f>
        <v>CHILD EM - MEX 1</v>
      </c>
      <c r="AK246" s="390" t="e">
        <f t="array" ref="AK246">IF(AJ246&lt;&gt;"",INDEX(TM_Score1,MATCH(1,(TM_Events=D246)*(TM_Participant1=G246)*(TM_Participant2=AJ246),0)),"")</f>
        <v>#N/A</v>
      </c>
      <c r="AL246" s="390">
        <f t="array" ref="AL246">IF(AJ246&lt;&gt;"",INDEX(TM_Score1,MATCH(1,(TM_Events=D246)*(TM_Participant1=AJ246)*(TM_Participant2=G246),0)),"")</f>
        <v>0</v>
      </c>
      <c r="AM246" s="389" t="str">
        <f t="array" ref="AM246">IF(ISNUMBER(AK246),INDEX(TM_Score2,MATCH(1,(TM_Events=D246)*(TM_Participant1=G246)*(TM_Participant2=AJ246),0)),"")</f>
        <v/>
      </c>
      <c r="AN246" s="389">
        <f t="array" ref="AN246">IF(ISNUMBER(AL246),INDEX(TM_Score2,MATCH(1,(TM_Events=D246)*(TM_Participant1=AJ246)*(TM_Participant2=G246),0)),"")</f>
        <v>0</v>
      </c>
      <c r="AO246" s="389" t="str">
        <f t="shared" si="107"/>
        <v>Tie</v>
      </c>
      <c r="AP246" s="389">
        <f t="shared" si="108"/>
        <v>4</v>
      </c>
      <c r="AQ246" s="389">
        <f t="shared" si="109"/>
        <v>0</v>
      </c>
      <c r="AR246" s="389">
        <f t="shared" si="110"/>
        <v>0</v>
      </c>
      <c r="AS246" s="453">
        <f t="shared" si="111"/>
        <v>52</v>
      </c>
      <c r="AT246" s="452">
        <f t="shared" si="112"/>
        <v>165</v>
      </c>
    </row>
    <row r="247" spans="1:46" ht="16" x14ac:dyDescent="0.2">
      <c r="A247" s="298"/>
      <c r="B247"/>
      <c r="D247" s="303" t="s">
        <v>63</v>
      </c>
      <c r="E247" s="396"/>
      <c r="F247" s="387">
        <v>1</v>
      </c>
      <c r="G247" s="397" t="s">
        <v>621</v>
      </c>
      <c r="H247" s="387" t="str">
        <f t="shared" si="87"/>
        <v>1-2-0</v>
      </c>
      <c r="I247" s="389">
        <f t="shared" si="88"/>
        <v>2</v>
      </c>
      <c r="J247" s="455">
        <f t="shared" si="113"/>
        <v>1</v>
      </c>
      <c r="K247" s="455">
        <f t="shared" si="89"/>
        <v>-22</v>
      </c>
      <c r="L247" s="455" t="str">
        <f t="shared" si="114"/>
        <v/>
      </c>
      <c r="M247" s="389" t="str">
        <f>IFERROR(IF(AD247&lt;=VLOOKUP(D247,Tournaments!$A$1:$B$1772,2,FALSE),"TRUE","FALSE"),"")</f>
        <v>FALSE</v>
      </c>
      <c r="N247" s="389">
        <v>1</v>
      </c>
      <c r="O247" s="389">
        <f t="shared" si="90"/>
        <v>7</v>
      </c>
      <c r="Q247" s="389">
        <f t="shared" si="91"/>
        <v>1</v>
      </c>
      <c r="R247" s="389">
        <f t="shared" si="92"/>
        <v>2</v>
      </c>
      <c r="S247" s="389">
        <f t="shared" si="93"/>
        <v>0</v>
      </c>
      <c r="U247" s="389">
        <f t="shared" si="94"/>
        <v>7</v>
      </c>
      <c r="V247" s="389">
        <f t="shared" si="95"/>
        <v>2.5000000000000001E-3</v>
      </c>
      <c r="W247" s="389">
        <f t="shared" si="96"/>
        <v>-6.9974999999999996</v>
      </c>
      <c r="X247" s="389">
        <f t="shared" si="97"/>
        <v>7</v>
      </c>
      <c r="Y247" s="389">
        <f t="shared" si="115"/>
        <v>2.3E-3</v>
      </c>
      <c r="Z247" s="389">
        <f t="shared" si="98"/>
        <v>-6.9977</v>
      </c>
      <c r="AA247" s="389">
        <f t="shared" si="99"/>
        <v>7</v>
      </c>
      <c r="AB247" s="389" t="b">
        <f t="shared" si="100"/>
        <v>0</v>
      </c>
      <c r="AC247" s="389">
        <f t="shared" si="101"/>
        <v>-7</v>
      </c>
      <c r="AD247" s="389">
        <f t="shared" si="102"/>
        <v>7</v>
      </c>
      <c r="AE247" s="389">
        <f t="shared" si="103"/>
        <v>2</v>
      </c>
      <c r="AG247" s="311" t="str">
        <f t="shared" si="104"/>
        <v>Ch E Male Basketball-</v>
      </c>
      <c r="AH247" s="453">
        <f t="shared" si="105"/>
        <v>6</v>
      </c>
      <c r="AI247" s="453">
        <f t="shared" si="106"/>
        <v>2</v>
      </c>
      <c r="AJ247" t="str">
        <f t="array" ref="AJ247">IF(AND(AI247&gt;1,G247&lt;&gt;""),INDEX(FS_teams,MATCH(1,(FS_Keys=AG247)*(FS_Points=I247)*(FS_teams&lt;&gt;G247),0)),"")</f>
        <v>CHILD EM - USA 2</v>
      </c>
      <c r="AK247" s="390" t="e">
        <f t="array" ref="AK247">IF(AJ247&lt;&gt;"",INDEX(TM_Score1,MATCH(1,(TM_Events=D247)*(TM_Participant1=G247)*(TM_Participant2=AJ247),0)),"")</f>
        <v>#N/A</v>
      </c>
      <c r="AL247" s="390" t="e">
        <f t="array" ref="AL247">IF(AJ247&lt;&gt;"",INDEX(TM_Score1,MATCH(1,(TM_Events=D247)*(TM_Participant1=AJ247)*(TM_Participant2=G247),0)),"")</f>
        <v>#N/A</v>
      </c>
      <c r="AM247" s="389" t="str">
        <f t="array" ref="AM247">IF(ISNUMBER(AK247),INDEX(TM_Score2,MATCH(1,(TM_Events=D247)*(TM_Participant1=G247)*(TM_Participant2=AJ247),0)),"")</f>
        <v/>
      </c>
      <c r="AN247" s="389" t="str">
        <f t="array" ref="AN247">IF(ISNUMBER(AL247),INDEX(TM_Score2,MATCH(1,(TM_Events=D247)*(TM_Participant1=AJ247)*(TM_Participant2=G247),0)),"")</f>
        <v/>
      </c>
      <c r="AO247" s="389" t="str">
        <f t="shared" si="107"/>
        <v>did not play</v>
      </c>
      <c r="AP247" s="389">
        <f t="shared" si="108"/>
        <v>1</v>
      </c>
      <c r="AQ247" s="389">
        <f t="shared" si="109"/>
        <v>0</v>
      </c>
      <c r="AR247" s="389">
        <f t="shared" si="110"/>
        <v>2</v>
      </c>
      <c r="AS247" s="453">
        <f t="shared" si="111"/>
        <v>-22</v>
      </c>
      <c r="AT247" s="452">
        <f t="shared" si="112"/>
        <v>54</v>
      </c>
    </row>
    <row r="248" spans="1:46" ht="16" x14ac:dyDescent="0.2">
      <c r="A248" s="298"/>
      <c r="B248"/>
      <c r="D248" s="303" t="s">
        <v>65</v>
      </c>
      <c r="E248" s="387"/>
      <c r="F248" s="387">
        <v>1</v>
      </c>
      <c r="G248" s="397" t="s">
        <v>716</v>
      </c>
      <c r="H248" s="387" t="str">
        <f t="shared" si="87"/>
        <v>0-3-0</v>
      </c>
      <c r="I248" s="389">
        <f t="shared" si="88"/>
        <v>0</v>
      </c>
      <c r="J248" s="455" t="str">
        <f t="shared" si="113"/>
        <v/>
      </c>
      <c r="K248" s="455" t="str">
        <f t="shared" si="89"/>
        <v/>
      </c>
      <c r="L248" s="455" t="str">
        <f t="shared" si="114"/>
        <v/>
      </c>
      <c r="M248" s="389" t="str">
        <f>IFERROR(IF(AD248&lt;=VLOOKUP(D248,Tournaments!$A$1:$B$1772,2,FALSE),"TRUE","FALSE"),"")</f>
        <v>FALSE</v>
      </c>
      <c r="N248" s="389">
        <v>1</v>
      </c>
      <c r="O248" s="389">
        <f t="shared" si="90"/>
        <v>10</v>
      </c>
      <c r="Q248" s="389">
        <f t="shared" si="91"/>
        <v>0</v>
      </c>
      <c r="R248" s="389">
        <f t="shared" si="92"/>
        <v>3</v>
      </c>
      <c r="S248" s="389">
        <f t="shared" si="93"/>
        <v>0</v>
      </c>
      <c r="U248" s="389">
        <f t="shared" si="94"/>
        <v>10</v>
      </c>
      <c r="V248" s="389" t="b">
        <f t="shared" si="95"/>
        <v>0</v>
      </c>
      <c r="W248" s="389">
        <f t="shared" si="96"/>
        <v>-10</v>
      </c>
      <c r="X248" s="389">
        <f t="shared" si="97"/>
        <v>10</v>
      </c>
      <c r="Y248" s="389" t="b">
        <f t="shared" si="115"/>
        <v>0</v>
      </c>
      <c r="Z248" s="389">
        <f t="shared" si="98"/>
        <v>-10</v>
      </c>
      <c r="AA248" s="389">
        <f t="shared" si="99"/>
        <v>10</v>
      </c>
      <c r="AB248" s="389" t="b">
        <f t="shared" si="100"/>
        <v>0</v>
      </c>
      <c r="AC248" s="389">
        <f t="shared" si="101"/>
        <v>-10</v>
      </c>
      <c r="AD248" s="389">
        <f t="shared" si="102"/>
        <v>10</v>
      </c>
      <c r="AE248" s="389">
        <f t="shared" si="103"/>
        <v>1</v>
      </c>
      <c r="AG248" s="311" t="str">
        <f t="shared" si="104"/>
        <v>Ch E Male Flag Football-</v>
      </c>
      <c r="AH248" s="453">
        <f t="shared" si="105"/>
        <v>10</v>
      </c>
      <c r="AI248" s="453">
        <f t="shared" si="106"/>
        <v>1</v>
      </c>
      <c r="AJ248" t="str">
        <f t="array" ref="AJ248">IF(AND(AI248&gt;1,G248&lt;&gt;""),INDEX(FS_teams,MATCH(1,(FS_Keys=AG248)*(FS_Points=I248)*(FS_teams&lt;&gt;G248),0)),"")</f>
        <v/>
      </c>
      <c r="AK248" s="390" t="str">
        <f t="array" ref="AK248">IF(AJ248&lt;&gt;"",INDEX(TM_Score1,MATCH(1,(TM_Events=D248)*(TM_Participant1=G248)*(TM_Participant2=AJ248),0)),"")</f>
        <v/>
      </c>
      <c r="AL248" s="390" t="str">
        <f t="array" ref="AL248">IF(AJ248&lt;&gt;"",INDEX(TM_Score1,MATCH(1,(TM_Events=D248)*(TM_Participant1=AJ248)*(TM_Participant2=G248),0)),"")</f>
        <v/>
      </c>
      <c r="AM248" s="389" t="str">
        <f t="array" ref="AM248">IF(ISNUMBER(AK248),INDEX(TM_Score2,MATCH(1,(TM_Events=D248)*(TM_Participant1=G248)*(TM_Participant2=AJ248),0)),"")</f>
        <v/>
      </c>
      <c r="AN248" s="389" t="str">
        <f t="array" ref="AN248">IF(ISNUMBER(AL248),INDEX(TM_Score2,MATCH(1,(TM_Events=D248)*(TM_Participant1=AJ248)*(TM_Participant2=G248),0)),"")</f>
        <v/>
      </c>
      <c r="AO248" s="389" t="str">
        <f t="shared" si="107"/>
        <v/>
      </c>
      <c r="AP248" s="389">
        <f t="shared" si="108"/>
        <v>0</v>
      </c>
      <c r="AQ248" s="389">
        <f t="shared" si="109"/>
        <v>0</v>
      </c>
      <c r="AR248" s="389">
        <f t="shared" si="110"/>
        <v>3</v>
      </c>
      <c r="AS248" s="453">
        <f t="shared" si="111"/>
        <v>-63</v>
      </c>
      <c r="AT248" s="452">
        <f t="shared" si="112"/>
        <v>13</v>
      </c>
    </row>
    <row r="249" spans="1:46" ht="16" x14ac:dyDescent="0.2">
      <c r="A249" s="298"/>
      <c r="B249"/>
      <c r="D249" s="303" t="s">
        <v>65</v>
      </c>
      <c r="E249" s="396"/>
      <c r="F249" s="387">
        <v>1</v>
      </c>
      <c r="G249" s="397" t="s">
        <v>618</v>
      </c>
      <c r="H249" s="387" t="str">
        <f t="shared" si="87"/>
        <v>2-2-0</v>
      </c>
      <c r="I249" s="389">
        <f t="shared" si="88"/>
        <v>4</v>
      </c>
      <c r="J249" s="455" t="str">
        <f t="shared" si="113"/>
        <v/>
      </c>
      <c r="K249" s="455" t="str">
        <f t="shared" si="89"/>
        <v/>
      </c>
      <c r="L249" s="455" t="str">
        <f t="shared" si="114"/>
        <v/>
      </c>
      <c r="M249" s="389" t="str">
        <f>IFERROR(IF(AD249&lt;=VLOOKUP(D249,Tournaments!$A$1:$B$1772,2,FALSE),"TRUE","FALSE"),"")</f>
        <v>TRUE</v>
      </c>
      <c r="N249" s="389">
        <v>1</v>
      </c>
      <c r="O249" s="389">
        <f t="shared" si="90"/>
        <v>4</v>
      </c>
      <c r="Q249" s="389">
        <f t="shared" si="91"/>
        <v>2</v>
      </c>
      <c r="R249" s="389">
        <f t="shared" si="92"/>
        <v>2</v>
      </c>
      <c r="S249" s="389">
        <f t="shared" si="93"/>
        <v>0</v>
      </c>
      <c r="U249" s="389">
        <f t="shared" si="94"/>
        <v>4</v>
      </c>
      <c r="V249" s="389" t="b">
        <f t="shared" si="95"/>
        <v>0</v>
      </c>
      <c r="W249" s="389">
        <f t="shared" si="96"/>
        <v>-4</v>
      </c>
      <c r="X249" s="389">
        <f t="shared" si="97"/>
        <v>4</v>
      </c>
      <c r="Y249" s="389" t="b">
        <f t="shared" si="115"/>
        <v>0</v>
      </c>
      <c r="Z249" s="389">
        <f t="shared" si="98"/>
        <v>-4</v>
      </c>
      <c r="AA249" s="389">
        <f t="shared" si="99"/>
        <v>4</v>
      </c>
      <c r="AB249" s="389" t="b">
        <f t="shared" si="100"/>
        <v>0</v>
      </c>
      <c r="AC249" s="389">
        <f t="shared" si="101"/>
        <v>-4</v>
      </c>
      <c r="AD249" s="389">
        <f t="shared" si="102"/>
        <v>4</v>
      </c>
      <c r="AE249" s="389">
        <f t="shared" si="103"/>
        <v>1</v>
      </c>
      <c r="AG249" s="311" t="str">
        <f t="shared" si="104"/>
        <v>Ch E Male Flag Football-</v>
      </c>
      <c r="AH249" s="453">
        <f t="shared" si="105"/>
        <v>4</v>
      </c>
      <c r="AI249" s="453">
        <f t="shared" si="106"/>
        <v>1</v>
      </c>
      <c r="AJ249" t="str">
        <f t="array" ref="AJ249">IF(AND(AI249&gt;1,G249&lt;&gt;""),INDEX(FS_teams,MATCH(1,(FS_Keys=AG249)*(FS_Points=I249)*(FS_teams&lt;&gt;G249),0)),"")</f>
        <v/>
      </c>
      <c r="AK249" s="390" t="str">
        <f t="array" ref="AK249">IF(AJ249&lt;&gt;"",INDEX(TM_Score1,MATCH(1,(TM_Events=D249)*(TM_Participant1=G249)*(TM_Participant2=AJ249),0)),"")</f>
        <v/>
      </c>
      <c r="AL249" s="390" t="str">
        <f t="array" ref="AL249">IF(AJ249&lt;&gt;"",INDEX(TM_Score1,MATCH(1,(TM_Events=D249)*(TM_Participant1=AJ249)*(TM_Participant2=G249),0)),"")</f>
        <v/>
      </c>
      <c r="AM249" s="389" t="str">
        <f t="array" ref="AM249">IF(ISNUMBER(AK249),INDEX(TM_Score2,MATCH(1,(TM_Events=D249)*(TM_Participant1=G249)*(TM_Participant2=AJ249),0)),"")</f>
        <v/>
      </c>
      <c r="AN249" s="389" t="str">
        <f t="array" ref="AN249">IF(ISNUMBER(AL249),INDEX(TM_Score2,MATCH(1,(TM_Events=D249)*(TM_Participant1=AJ249)*(TM_Participant2=G249),0)),"")</f>
        <v/>
      </c>
      <c r="AO249" s="389" t="str">
        <f t="shared" si="107"/>
        <v/>
      </c>
      <c r="AP249" s="389">
        <f t="shared" si="108"/>
        <v>2</v>
      </c>
      <c r="AQ249" s="389">
        <f t="shared" si="109"/>
        <v>0</v>
      </c>
      <c r="AR249" s="389">
        <f t="shared" si="110"/>
        <v>2</v>
      </c>
      <c r="AS249" s="453">
        <f t="shared" si="111"/>
        <v>17</v>
      </c>
      <c r="AT249" s="452">
        <f t="shared" si="112"/>
        <v>97</v>
      </c>
    </row>
    <row r="250" spans="1:46" ht="16" x14ac:dyDescent="0.2">
      <c r="A250" s="298"/>
      <c r="B250"/>
      <c r="D250" s="303" t="s">
        <v>65</v>
      </c>
      <c r="E250" s="396"/>
      <c r="F250" s="398">
        <v>1</v>
      </c>
      <c r="G250" s="397" t="s">
        <v>616</v>
      </c>
      <c r="H250" s="387" t="str">
        <f t="shared" si="87"/>
        <v>1-2-0</v>
      </c>
      <c r="I250" s="389">
        <f t="shared" si="88"/>
        <v>2</v>
      </c>
      <c r="J250" s="455">
        <f t="shared" si="113"/>
        <v>1</v>
      </c>
      <c r="K250" s="455">
        <f t="shared" si="89"/>
        <v>-3</v>
      </c>
      <c r="L250" s="455" t="str">
        <f t="shared" si="114"/>
        <v/>
      </c>
      <c r="M250" s="389" t="str">
        <f>IFERROR(IF(AD250&lt;=VLOOKUP(D250,Tournaments!$A$1:$B$1772,2,FALSE),"TRUE","FALSE"),"")</f>
        <v>FALSE</v>
      </c>
      <c r="N250" s="389">
        <v>1</v>
      </c>
      <c r="O250" s="389">
        <f t="shared" si="90"/>
        <v>6</v>
      </c>
      <c r="Q250" s="389">
        <f t="shared" si="91"/>
        <v>1</v>
      </c>
      <c r="R250" s="389">
        <f t="shared" si="92"/>
        <v>2</v>
      </c>
      <c r="S250" s="389">
        <f t="shared" si="93"/>
        <v>0</v>
      </c>
      <c r="U250" s="389">
        <f t="shared" si="94"/>
        <v>9</v>
      </c>
      <c r="V250" s="389">
        <f t="shared" si="95"/>
        <v>2.5000000000000001E-3</v>
      </c>
      <c r="W250" s="389">
        <f t="shared" si="96"/>
        <v>-8.9975000000000005</v>
      </c>
      <c r="X250" s="389">
        <f t="shared" si="97"/>
        <v>9</v>
      </c>
      <c r="Y250" s="389">
        <f t="shared" si="115"/>
        <v>8.0000000000000002E-3</v>
      </c>
      <c r="Z250" s="389">
        <f t="shared" si="98"/>
        <v>-8.9920000000000009</v>
      </c>
      <c r="AA250" s="389">
        <f t="shared" si="99"/>
        <v>6</v>
      </c>
      <c r="AB250" s="389" t="b">
        <f t="shared" si="100"/>
        <v>0</v>
      </c>
      <c r="AC250" s="389">
        <f t="shared" si="101"/>
        <v>-6</v>
      </c>
      <c r="AD250" s="389">
        <f t="shared" si="102"/>
        <v>6</v>
      </c>
      <c r="AE250" s="389">
        <f t="shared" si="103"/>
        <v>5</v>
      </c>
      <c r="AG250" s="311" t="str">
        <f t="shared" si="104"/>
        <v>Ch E Male Flag Football-</v>
      </c>
      <c r="AH250" s="453">
        <f t="shared" si="105"/>
        <v>5</v>
      </c>
      <c r="AI250" s="453">
        <f t="shared" si="106"/>
        <v>5</v>
      </c>
      <c r="AJ250" t="str">
        <f t="array" ref="AJ250">IF(AND(AI250&gt;1,G250&lt;&gt;""),INDEX(FS_teams,MATCH(1,(FS_Keys=AG250)*(FS_Points=I250)*(FS_teams&lt;&gt;G250),0)),"")</f>
        <v>CHILD EM - USA 2</v>
      </c>
      <c r="AK250" s="390" t="e">
        <f t="array" ref="AK250">IF(AJ250&lt;&gt;"",INDEX(TM_Score1,MATCH(1,(TM_Events=D250)*(TM_Participant1=G250)*(TM_Participant2=AJ250),0)),"")</f>
        <v>#N/A</v>
      </c>
      <c r="AL250" s="390" t="e">
        <f t="array" ref="AL250">IF(AJ250&lt;&gt;"",INDEX(TM_Score1,MATCH(1,(TM_Events=D250)*(TM_Participant1=AJ250)*(TM_Participant2=G250),0)),"")</f>
        <v>#N/A</v>
      </c>
      <c r="AM250" s="389" t="str">
        <f t="array" ref="AM250">IF(ISNUMBER(AK250),INDEX(TM_Score2,MATCH(1,(TM_Events=D250)*(TM_Participant1=G250)*(TM_Participant2=AJ250),0)),"")</f>
        <v/>
      </c>
      <c r="AN250" s="389" t="str">
        <f t="array" ref="AN250">IF(ISNUMBER(AL250),INDEX(TM_Score2,MATCH(1,(TM_Events=D250)*(TM_Participant1=AJ250)*(TM_Participant2=G250),0)),"")</f>
        <v/>
      </c>
      <c r="AO250" s="389" t="str">
        <f t="shared" si="107"/>
        <v>did not play</v>
      </c>
      <c r="AP250" s="389">
        <f t="shared" si="108"/>
        <v>1</v>
      </c>
      <c r="AQ250" s="389">
        <f t="shared" si="109"/>
        <v>0</v>
      </c>
      <c r="AR250" s="389">
        <f t="shared" si="110"/>
        <v>2</v>
      </c>
      <c r="AS250" s="453">
        <f t="shared" si="111"/>
        <v>-3</v>
      </c>
      <c r="AT250" s="452">
        <f t="shared" si="112"/>
        <v>61</v>
      </c>
    </row>
    <row r="251" spans="1:46" ht="16" x14ac:dyDescent="0.2">
      <c r="A251" s="298"/>
      <c r="B251"/>
      <c r="D251" s="303" t="s">
        <v>65</v>
      </c>
      <c r="E251" s="396"/>
      <c r="F251" s="398">
        <v>1</v>
      </c>
      <c r="G251" s="397" t="s">
        <v>622</v>
      </c>
      <c r="H251" s="387" t="str">
        <f t="shared" si="87"/>
        <v>1-2-0</v>
      </c>
      <c r="I251" s="389">
        <f t="shared" si="88"/>
        <v>2</v>
      </c>
      <c r="J251" s="455">
        <f t="shared" si="113"/>
        <v>1</v>
      </c>
      <c r="K251" s="455">
        <f t="shared" si="89"/>
        <v>-14</v>
      </c>
      <c r="L251" s="455" t="str">
        <f t="shared" si="114"/>
        <v/>
      </c>
      <c r="M251" s="389" t="str">
        <f>IFERROR(IF(AD251&lt;=VLOOKUP(D251,Tournaments!$A$1:$B$1772,2,FALSE),"TRUE","FALSE"),"")</f>
        <v>FALSE</v>
      </c>
      <c r="N251" s="389">
        <v>1</v>
      </c>
      <c r="O251" s="389">
        <f t="shared" si="90"/>
        <v>8</v>
      </c>
      <c r="Q251" s="389">
        <f t="shared" si="91"/>
        <v>1</v>
      </c>
      <c r="R251" s="389">
        <f t="shared" si="92"/>
        <v>2</v>
      </c>
      <c r="S251" s="389">
        <f t="shared" si="93"/>
        <v>0</v>
      </c>
      <c r="U251" s="389">
        <f t="shared" si="94"/>
        <v>9</v>
      </c>
      <c r="V251" s="389">
        <f t="shared" si="95"/>
        <v>2.5000000000000001E-3</v>
      </c>
      <c r="W251" s="389">
        <f t="shared" si="96"/>
        <v>-8.9975000000000005</v>
      </c>
      <c r="X251" s="389">
        <f t="shared" si="97"/>
        <v>9</v>
      </c>
      <c r="Y251" s="389">
        <f t="shared" si="115"/>
        <v>3.0999999999999999E-3</v>
      </c>
      <c r="Z251" s="389">
        <f t="shared" si="98"/>
        <v>-8.9969000000000001</v>
      </c>
      <c r="AA251" s="389">
        <f t="shared" si="99"/>
        <v>8</v>
      </c>
      <c r="AB251" s="389" t="b">
        <f t="shared" si="100"/>
        <v>0</v>
      </c>
      <c r="AC251" s="389">
        <f t="shared" si="101"/>
        <v>-8</v>
      </c>
      <c r="AD251" s="389">
        <f t="shared" si="102"/>
        <v>8</v>
      </c>
      <c r="AE251" s="389">
        <f t="shared" si="103"/>
        <v>5</v>
      </c>
      <c r="AG251" s="311" t="str">
        <f t="shared" si="104"/>
        <v>Ch E Male Flag Football-</v>
      </c>
      <c r="AH251" s="453">
        <f t="shared" si="105"/>
        <v>5</v>
      </c>
      <c r="AI251" s="453">
        <f t="shared" si="106"/>
        <v>5</v>
      </c>
      <c r="AJ251" t="str">
        <f t="array" ref="AJ251">IF(AND(AI251&gt;1,G251&lt;&gt;""),INDEX(FS_teams,MATCH(1,(FS_Keys=AG251)*(FS_Points=I251)*(FS_teams&lt;&gt;G251),0)),"")</f>
        <v>CHILD EM - ARG 1</v>
      </c>
      <c r="AK251" s="390" t="e">
        <f t="array" ref="AK251">IF(AJ251&lt;&gt;"",INDEX(TM_Score1,MATCH(1,(TM_Events=D251)*(TM_Participant1=G251)*(TM_Participant2=AJ251),0)),"")</f>
        <v>#N/A</v>
      </c>
      <c r="AL251" s="390" t="e">
        <f t="array" ref="AL251">IF(AJ251&lt;&gt;"",INDEX(TM_Score1,MATCH(1,(TM_Events=D251)*(TM_Participant1=AJ251)*(TM_Participant2=G251),0)),"")</f>
        <v>#N/A</v>
      </c>
      <c r="AM251" s="389" t="str">
        <f t="array" ref="AM251">IF(ISNUMBER(AK251),INDEX(TM_Score2,MATCH(1,(TM_Events=D251)*(TM_Participant1=G251)*(TM_Participant2=AJ251),0)),"")</f>
        <v/>
      </c>
      <c r="AN251" s="389" t="str">
        <f t="array" ref="AN251">IF(ISNUMBER(AL251),INDEX(TM_Score2,MATCH(1,(TM_Events=D251)*(TM_Participant1=AJ251)*(TM_Participant2=G251),0)),"")</f>
        <v/>
      </c>
      <c r="AO251" s="389" t="str">
        <f t="shared" si="107"/>
        <v>did not play</v>
      </c>
      <c r="AP251" s="389">
        <f t="shared" si="108"/>
        <v>1</v>
      </c>
      <c r="AQ251" s="389">
        <f t="shared" si="109"/>
        <v>0</v>
      </c>
      <c r="AR251" s="389">
        <f t="shared" si="110"/>
        <v>2</v>
      </c>
      <c r="AS251" s="453">
        <f t="shared" si="111"/>
        <v>-14</v>
      </c>
      <c r="AT251" s="452">
        <f t="shared" si="112"/>
        <v>48</v>
      </c>
    </row>
    <row r="252" spans="1:46" ht="16" x14ac:dyDescent="0.2">
      <c r="A252" s="298"/>
      <c r="B252"/>
      <c r="D252" s="303" t="s">
        <v>65</v>
      </c>
      <c r="E252" s="396"/>
      <c r="F252" s="387">
        <v>1</v>
      </c>
      <c r="G252" s="397" t="s">
        <v>621</v>
      </c>
      <c r="H252" s="387" t="str">
        <f t="shared" si="87"/>
        <v>1-2-0</v>
      </c>
      <c r="I252" s="389">
        <f t="shared" si="88"/>
        <v>2</v>
      </c>
      <c r="J252" s="455">
        <f t="shared" si="113"/>
        <v>1</v>
      </c>
      <c r="K252" s="455">
        <f t="shared" si="89"/>
        <v>7</v>
      </c>
      <c r="L252" s="455" t="str">
        <f t="shared" si="114"/>
        <v/>
      </c>
      <c r="M252" s="389" t="str">
        <f>IFERROR(IF(AD252&lt;=VLOOKUP(D252,Tournaments!$A$1:$B$1772,2,FALSE),"TRUE","FALSE"),"")</f>
        <v>FALSE</v>
      </c>
      <c r="N252" s="389">
        <v>1</v>
      </c>
      <c r="O252" s="389">
        <f t="shared" si="90"/>
        <v>5</v>
      </c>
      <c r="Q252" s="389">
        <f t="shared" si="91"/>
        <v>1</v>
      </c>
      <c r="R252" s="389">
        <f t="shared" si="92"/>
        <v>2</v>
      </c>
      <c r="S252" s="389">
        <f t="shared" si="93"/>
        <v>0</v>
      </c>
      <c r="U252" s="389">
        <f t="shared" si="94"/>
        <v>9</v>
      </c>
      <c r="V252" s="389">
        <f t="shared" si="95"/>
        <v>2.5000000000000001E-3</v>
      </c>
      <c r="W252" s="389">
        <f t="shared" si="96"/>
        <v>-8.9975000000000005</v>
      </c>
      <c r="X252" s="389">
        <f t="shared" si="97"/>
        <v>9</v>
      </c>
      <c r="Y252" s="389">
        <f t="shared" si="115"/>
        <v>7.3999999999999996E-2</v>
      </c>
      <c r="Z252" s="389">
        <f t="shared" si="98"/>
        <v>-8.9260000000000002</v>
      </c>
      <c r="AA252" s="389">
        <f t="shared" si="99"/>
        <v>5</v>
      </c>
      <c r="AB252" s="389" t="b">
        <f t="shared" si="100"/>
        <v>0</v>
      </c>
      <c r="AC252" s="389">
        <f t="shared" si="101"/>
        <v>-5</v>
      </c>
      <c r="AD252" s="389">
        <f t="shared" si="102"/>
        <v>5</v>
      </c>
      <c r="AE252" s="389">
        <f t="shared" si="103"/>
        <v>5</v>
      </c>
      <c r="AG252" s="311" t="str">
        <f t="shared" si="104"/>
        <v>Ch E Male Flag Football-</v>
      </c>
      <c r="AH252" s="453">
        <f t="shared" si="105"/>
        <v>5</v>
      </c>
      <c r="AI252" s="453">
        <f t="shared" si="106"/>
        <v>5</v>
      </c>
      <c r="AJ252" t="str">
        <f t="array" ref="AJ252">IF(AND(AI252&gt;1,G252&lt;&gt;""),INDEX(FS_teams,MATCH(1,(FS_Keys=AG252)*(FS_Points=I252)*(FS_teams&lt;&gt;G252),0)),"")</f>
        <v>CHILD EM - ARG 1</v>
      </c>
      <c r="AK252" s="390" t="e">
        <f t="array" ref="AK252">IF(AJ252&lt;&gt;"",INDEX(TM_Score1,MATCH(1,(TM_Events=D252)*(TM_Participant1=G252)*(TM_Participant2=AJ252),0)),"")</f>
        <v>#N/A</v>
      </c>
      <c r="AL252" s="390" t="e">
        <f t="array" ref="AL252">IF(AJ252&lt;&gt;"",INDEX(TM_Score1,MATCH(1,(TM_Events=D252)*(TM_Participant1=AJ252)*(TM_Participant2=G252),0)),"")</f>
        <v>#N/A</v>
      </c>
      <c r="AM252" s="389" t="str">
        <f t="array" ref="AM252">IF(ISNUMBER(AK252),INDEX(TM_Score2,MATCH(1,(TM_Events=D252)*(TM_Participant1=G252)*(TM_Participant2=AJ252),0)),"")</f>
        <v/>
      </c>
      <c r="AN252" s="389" t="str">
        <f t="array" ref="AN252">IF(ISNUMBER(AL252),INDEX(TM_Score2,MATCH(1,(TM_Events=D252)*(TM_Participant1=AJ252)*(TM_Participant2=G252),0)),"")</f>
        <v/>
      </c>
      <c r="AO252" s="389" t="str">
        <f t="shared" si="107"/>
        <v>did not play</v>
      </c>
      <c r="AP252" s="389">
        <f t="shared" si="108"/>
        <v>1</v>
      </c>
      <c r="AQ252" s="389">
        <f t="shared" si="109"/>
        <v>0</v>
      </c>
      <c r="AR252" s="389">
        <f t="shared" si="110"/>
        <v>2</v>
      </c>
      <c r="AS252" s="453">
        <f t="shared" si="111"/>
        <v>7</v>
      </c>
      <c r="AT252" s="452">
        <f t="shared" si="112"/>
        <v>54</v>
      </c>
    </row>
    <row r="253" spans="1:46" ht="16" x14ac:dyDescent="0.2">
      <c r="A253" s="298"/>
      <c r="B253"/>
      <c r="D253" s="303" t="s">
        <v>65</v>
      </c>
      <c r="E253" s="387"/>
      <c r="F253" s="387">
        <v>1</v>
      </c>
      <c r="G253" s="397" t="s">
        <v>625</v>
      </c>
      <c r="H253" s="387" t="str">
        <f t="shared" si="87"/>
        <v>1-2-0</v>
      </c>
      <c r="I253" s="389">
        <f t="shared" si="88"/>
        <v>2</v>
      </c>
      <c r="J253" s="455">
        <f t="shared" si="113"/>
        <v>1</v>
      </c>
      <c r="K253" s="455">
        <f t="shared" si="89"/>
        <v>-37</v>
      </c>
      <c r="L253" s="455" t="str">
        <f t="shared" si="114"/>
        <v/>
      </c>
      <c r="M253" s="389" t="str">
        <f>IFERROR(IF(AD253&lt;=VLOOKUP(D253,Tournaments!$A$1:$B$1772,2,FALSE),"TRUE","FALSE"),"")</f>
        <v>FALSE</v>
      </c>
      <c r="N253" s="389">
        <v>1</v>
      </c>
      <c r="O253" s="389">
        <f t="shared" si="90"/>
        <v>9</v>
      </c>
      <c r="Q253" s="389">
        <f t="shared" si="91"/>
        <v>1</v>
      </c>
      <c r="R253" s="389">
        <f t="shared" si="92"/>
        <v>2</v>
      </c>
      <c r="S253" s="389">
        <f t="shared" si="93"/>
        <v>0</v>
      </c>
      <c r="U253" s="389">
        <f t="shared" si="94"/>
        <v>9</v>
      </c>
      <c r="V253" s="389">
        <f t="shared" si="95"/>
        <v>2.5000000000000001E-3</v>
      </c>
      <c r="W253" s="389">
        <f t="shared" si="96"/>
        <v>-8.9975000000000005</v>
      </c>
      <c r="X253" s="389">
        <f t="shared" si="97"/>
        <v>9</v>
      </c>
      <c r="Y253" s="389">
        <f t="shared" si="115"/>
        <v>1E-3</v>
      </c>
      <c r="Z253" s="389">
        <f t="shared" si="98"/>
        <v>-8.9990000000000006</v>
      </c>
      <c r="AA253" s="389">
        <f t="shared" si="99"/>
        <v>9</v>
      </c>
      <c r="AB253" s="389" t="b">
        <f t="shared" si="100"/>
        <v>0</v>
      </c>
      <c r="AC253" s="389">
        <f t="shared" si="101"/>
        <v>-9</v>
      </c>
      <c r="AD253" s="389">
        <f t="shared" si="102"/>
        <v>9</v>
      </c>
      <c r="AE253" s="389">
        <f t="shared" si="103"/>
        <v>5</v>
      </c>
      <c r="AG253" s="311" t="str">
        <f t="shared" si="104"/>
        <v>Ch E Male Flag Football-</v>
      </c>
      <c r="AH253" s="453">
        <f t="shared" si="105"/>
        <v>5</v>
      </c>
      <c r="AI253" s="453">
        <f t="shared" si="106"/>
        <v>5</v>
      </c>
      <c r="AJ253" t="str">
        <f t="array" ref="AJ253">IF(AND(AI253&gt;1,G253&lt;&gt;""),INDEX(FS_teams,MATCH(1,(FS_Keys=AG253)*(FS_Points=I253)*(FS_teams&lt;&gt;G253),0)),"")</f>
        <v>CHILD EM - ARG 1</v>
      </c>
      <c r="AK253" s="390" t="e">
        <f t="array" ref="AK253">IF(AJ253&lt;&gt;"",INDEX(TM_Score1,MATCH(1,(TM_Events=D253)*(TM_Participant1=G253)*(TM_Participant2=AJ253),0)),"")</f>
        <v>#N/A</v>
      </c>
      <c r="AL253" s="390" t="e">
        <f t="array" ref="AL253">IF(AJ253&lt;&gt;"",INDEX(TM_Score1,MATCH(1,(TM_Events=D253)*(TM_Participant1=AJ253)*(TM_Participant2=G253),0)),"")</f>
        <v>#N/A</v>
      </c>
      <c r="AM253" s="389" t="str">
        <f t="array" ref="AM253">IF(ISNUMBER(AK253),INDEX(TM_Score2,MATCH(1,(TM_Events=D253)*(TM_Participant1=G253)*(TM_Participant2=AJ253),0)),"")</f>
        <v/>
      </c>
      <c r="AN253" s="389" t="str">
        <f t="array" ref="AN253">IF(ISNUMBER(AL253),INDEX(TM_Score2,MATCH(1,(TM_Events=D253)*(TM_Participant1=AJ253)*(TM_Participant2=G253),0)),"")</f>
        <v/>
      </c>
      <c r="AO253" s="389" t="str">
        <f t="shared" si="107"/>
        <v>did not play</v>
      </c>
      <c r="AP253" s="389">
        <f t="shared" si="108"/>
        <v>1</v>
      </c>
      <c r="AQ253" s="389">
        <f t="shared" si="109"/>
        <v>0</v>
      </c>
      <c r="AR253" s="389">
        <f t="shared" si="110"/>
        <v>2</v>
      </c>
      <c r="AS253" s="453">
        <f t="shared" si="111"/>
        <v>-37</v>
      </c>
      <c r="AT253" s="452">
        <f t="shared" si="112"/>
        <v>30</v>
      </c>
    </row>
    <row r="254" spans="1:46" ht="16" x14ac:dyDescent="0.2">
      <c r="A254" s="298"/>
      <c r="B254"/>
      <c r="D254" s="303" t="s">
        <v>65</v>
      </c>
      <c r="E254" s="396"/>
      <c r="F254" s="387">
        <v>1</v>
      </c>
      <c r="G254" s="397" t="s">
        <v>717</v>
      </c>
      <c r="H254" s="387" t="str">
        <f t="shared" si="87"/>
        <v>4-0-0</v>
      </c>
      <c r="I254" s="389">
        <f t="shared" si="88"/>
        <v>8</v>
      </c>
      <c r="J254" s="455" t="str">
        <f t="shared" si="113"/>
        <v/>
      </c>
      <c r="K254" s="455" t="str">
        <f t="shared" si="89"/>
        <v/>
      </c>
      <c r="L254" s="455" t="str">
        <f t="shared" si="114"/>
        <v/>
      </c>
      <c r="M254" s="389" t="str">
        <f>IFERROR(IF(AD254&lt;=VLOOKUP(D254,Tournaments!$A$1:$B$1772,2,FALSE),"TRUE","FALSE"),"")</f>
        <v>TRUE</v>
      </c>
      <c r="N254" s="389">
        <v>1</v>
      </c>
      <c r="O254" s="389">
        <f t="shared" si="90"/>
        <v>1</v>
      </c>
      <c r="Q254" s="389">
        <f t="shared" si="91"/>
        <v>4</v>
      </c>
      <c r="R254" s="389">
        <f t="shared" si="92"/>
        <v>0</v>
      </c>
      <c r="S254" s="389">
        <f t="shared" si="93"/>
        <v>0</v>
      </c>
      <c r="U254" s="389">
        <f t="shared" si="94"/>
        <v>1</v>
      </c>
      <c r="V254" s="389" t="b">
        <f t="shared" si="95"/>
        <v>0</v>
      </c>
      <c r="W254" s="389">
        <f t="shared" si="96"/>
        <v>-1</v>
      </c>
      <c r="X254" s="389">
        <f t="shared" si="97"/>
        <v>1</v>
      </c>
      <c r="Y254" s="389" t="b">
        <f t="shared" si="115"/>
        <v>0</v>
      </c>
      <c r="Z254" s="389">
        <f t="shared" si="98"/>
        <v>-1</v>
      </c>
      <c r="AA254" s="389">
        <f t="shared" si="99"/>
        <v>1</v>
      </c>
      <c r="AB254" s="389" t="b">
        <f t="shared" si="100"/>
        <v>0</v>
      </c>
      <c r="AC254" s="389">
        <f t="shared" si="101"/>
        <v>-1</v>
      </c>
      <c r="AD254" s="389">
        <f t="shared" si="102"/>
        <v>1</v>
      </c>
      <c r="AE254" s="389">
        <f t="shared" si="103"/>
        <v>1</v>
      </c>
      <c r="AG254" s="311" t="str">
        <f t="shared" si="104"/>
        <v>Ch E Male Flag Football-</v>
      </c>
      <c r="AH254" s="453">
        <f t="shared" si="105"/>
        <v>1</v>
      </c>
      <c r="AI254" s="453">
        <f t="shared" si="106"/>
        <v>1</v>
      </c>
      <c r="AJ254" t="str">
        <f t="array" ref="AJ254">IF(AND(AI254&gt;1,G254&lt;&gt;""),INDEX(FS_teams,MATCH(1,(FS_Keys=AG254)*(FS_Points=I254)*(FS_teams&lt;&gt;G254),0)),"")</f>
        <v/>
      </c>
      <c r="AK254" s="390" t="str">
        <f t="array" ref="AK254">IF(AJ254&lt;&gt;"",INDEX(TM_Score1,MATCH(1,(TM_Events=D254)*(TM_Participant1=G254)*(TM_Participant2=AJ254),0)),"")</f>
        <v/>
      </c>
      <c r="AL254" s="390" t="str">
        <f t="array" ref="AL254">IF(AJ254&lt;&gt;"",INDEX(TM_Score1,MATCH(1,(TM_Events=D254)*(TM_Participant1=AJ254)*(TM_Participant2=G254),0)),"")</f>
        <v/>
      </c>
      <c r="AM254" s="389" t="str">
        <f t="array" ref="AM254">IF(ISNUMBER(AK254),INDEX(TM_Score2,MATCH(1,(TM_Events=D254)*(TM_Participant1=G254)*(TM_Participant2=AJ254),0)),"")</f>
        <v/>
      </c>
      <c r="AN254" s="389" t="str">
        <f t="array" ref="AN254">IF(ISNUMBER(AL254),INDEX(TM_Score2,MATCH(1,(TM_Events=D254)*(TM_Participant1=AJ254)*(TM_Participant2=G254),0)),"")</f>
        <v/>
      </c>
      <c r="AO254" s="389" t="str">
        <f t="shared" si="107"/>
        <v/>
      </c>
      <c r="AP254" s="389">
        <f t="shared" si="108"/>
        <v>4</v>
      </c>
      <c r="AQ254" s="389">
        <f t="shared" si="109"/>
        <v>0</v>
      </c>
      <c r="AR254" s="389">
        <f t="shared" si="110"/>
        <v>0</v>
      </c>
      <c r="AS254" s="453">
        <f t="shared" si="111"/>
        <v>34</v>
      </c>
      <c r="AT254" s="452">
        <f t="shared" si="112"/>
        <v>106</v>
      </c>
    </row>
    <row r="255" spans="1:46" ht="16" x14ac:dyDescent="0.2">
      <c r="A255" s="298"/>
      <c r="B255"/>
      <c r="D255" s="303" t="s">
        <v>65</v>
      </c>
      <c r="E255" s="396"/>
      <c r="F255" s="387">
        <v>1</v>
      </c>
      <c r="G255" s="397" t="s">
        <v>620</v>
      </c>
      <c r="H255" s="387" t="str">
        <f t="shared" si="87"/>
        <v>3-1-0</v>
      </c>
      <c r="I255" s="389">
        <f t="shared" si="88"/>
        <v>6</v>
      </c>
      <c r="J255" s="455">
        <f t="shared" si="113"/>
        <v>2</v>
      </c>
      <c r="K255" s="455" t="str">
        <f t="shared" si="89"/>
        <v/>
      </c>
      <c r="L255" s="455" t="str">
        <f t="shared" si="114"/>
        <v/>
      </c>
      <c r="M255" s="389" t="str">
        <f>IFERROR(IF(AD255&lt;=VLOOKUP(D255,Tournaments!$A$1:$B$1772,2,FALSE),"TRUE","FALSE"),"")</f>
        <v>TRUE</v>
      </c>
      <c r="N255" s="389">
        <v>1</v>
      </c>
      <c r="O255" s="389">
        <f t="shared" si="90"/>
        <v>2</v>
      </c>
      <c r="Q255" s="389">
        <f t="shared" si="91"/>
        <v>3</v>
      </c>
      <c r="R255" s="389">
        <f t="shared" si="92"/>
        <v>1</v>
      </c>
      <c r="S255" s="389">
        <f t="shared" si="93"/>
        <v>0</v>
      </c>
      <c r="U255" s="389">
        <f t="shared" si="94"/>
        <v>3</v>
      </c>
      <c r="V255" s="389">
        <f t="shared" si="95"/>
        <v>2.1999999999999999E-2</v>
      </c>
      <c r="W255" s="389">
        <f t="shared" si="96"/>
        <v>-2.9780000000000002</v>
      </c>
      <c r="X255" s="389">
        <f t="shared" si="97"/>
        <v>2</v>
      </c>
      <c r="Y255" s="389" t="b">
        <f t="shared" si="115"/>
        <v>0</v>
      </c>
      <c r="Z255" s="389">
        <f t="shared" si="98"/>
        <v>-2</v>
      </c>
      <c r="AA255" s="389">
        <f t="shared" si="99"/>
        <v>2</v>
      </c>
      <c r="AB255" s="389" t="b">
        <f t="shared" si="100"/>
        <v>0</v>
      </c>
      <c r="AC255" s="389">
        <f t="shared" si="101"/>
        <v>-2</v>
      </c>
      <c r="AD255" s="389">
        <f t="shared" si="102"/>
        <v>2</v>
      </c>
      <c r="AE255" s="389">
        <f t="shared" si="103"/>
        <v>1</v>
      </c>
      <c r="AG255" s="311" t="str">
        <f t="shared" si="104"/>
        <v>Ch E Male Flag Football-</v>
      </c>
      <c r="AH255" s="453">
        <f t="shared" si="105"/>
        <v>2</v>
      </c>
      <c r="AI255" s="453">
        <f t="shared" si="106"/>
        <v>2</v>
      </c>
      <c r="AJ255" t="str">
        <f t="array" ref="AJ255">IF(AND(AI255&gt;1,G255&lt;&gt;""),INDEX(FS_teams,MATCH(1,(FS_Keys=AG255)*(FS_Points=I255)*(FS_teams&lt;&gt;G255),0)),"")</f>
        <v>CHILD EM - MEX 2</v>
      </c>
      <c r="AK255" s="390" t="e">
        <f t="array" ref="AK255">IF(AJ255&lt;&gt;"",INDEX(TM_Score1,MATCH(1,(TM_Events=D255)*(TM_Participant1=G255)*(TM_Participant2=AJ255),0)),"")</f>
        <v>#N/A</v>
      </c>
      <c r="AL255" s="390">
        <f t="array" ref="AL255">IF(AJ255&lt;&gt;"",INDEX(TM_Score1,MATCH(1,(TM_Events=D255)*(TM_Participant1=AJ255)*(TM_Participant2=G255),0)),"")</f>
        <v>21</v>
      </c>
      <c r="AM255" s="389" t="str">
        <f t="array" ref="AM255">IF(ISNUMBER(AK255),INDEX(TM_Score2,MATCH(1,(TM_Events=D255)*(TM_Participant1=G255)*(TM_Participant2=AJ255),0)),"")</f>
        <v/>
      </c>
      <c r="AN255" s="389">
        <f t="array" ref="AN255">IF(ISNUMBER(AL255),INDEX(TM_Score2,MATCH(1,(TM_Events=D255)*(TM_Participant1=AJ255)*(TM_Participant2=G255),0)),"")</f>
        <v>46</v>
      </c>
      <c r="AO255" s="389" t="str">
        <f t="shared" si="107"/>
        <v>Win</v>
      </c>
      <c r="AP255" s="389">
        <f t="shared" si="108"/>
        <v>3</v>
      </c>
      <c r="AQ255" s="389">
        <f t="shared" si="109"/>
        <v>0</v>
      </c>
      <c r="AR255" s="389">
        <f t="shared" si="110"/>
        <v>1</v>
      </c>
      <c r="AS255" s="453">
        <f t="shared" si="111"/>
        <v>56</v>
      </c>
      <c r="AT255" s="452">
        <f t="shared" si="112"/>
        <v>147</v>
      </c>
    </row>
    <row r="256" spans="1:46" ht="16" x14ac:dyDescent="0.2">
      <c r="A256" s="298"/>
      <c r="B256"/>
      <c r="D256" s="303" t="s">
        <v>65</v>
      </c>
      <c r="E256" s="396"/>
      <c r="F256" s="387">
        <v>1</v>
      </c>
      <c r="G256" s="397" t="s">
        <v>718</v>
      </c>
      <c r="H256" s="387" t="str">
        <f t="shared" si="87"/>
        <v>3-1-0</v>
      </c>
      <c r="I256" s="389">
        <f t="shared" si="88"/>
        <v>6</v>
      </c>
      <c r="J256" s="455">
        <f t="shared" si="113"/>
        <v>0</v>
      </c>
      <c r="K256" s="455" t="str">
        <f t="shared" si="89"/>
        <v/>
      </c>
      <c r="L256" s="455" t="str">
        <f t="shared" si="114"/>
        <v/>
      </c>
      <c r="M256" s="389" t="str">
        <f>IFERROR(IF(AD256&lt;=VLOOKUP(D256,Tournaments!$A$1:$B$1772,2,FALSE),"TRUE","FALSE"),"")</f>
        <v>TRUE</v>
      </c>
      <c r="N256" s="389">
        <v>1</v>
      </c>
      <c r="O256" s="389">
        <f t="shared" si="90"/>
        <v>3</v>
      </c>
      <c r="Q256" s="389">
        <f t="shared" si="91"/>
        <v>3</v>
      </c>
      <c r="R256" s="389">
        <f t="shared" si="92"/>
        <v>1</v>
      </c>
      <c r="S256" s="389">
        <f t="shared" si="93"/>
        <v>0</v>
      </c>
      <c r="U256" s="389">
        <f t="shared" si="94"/>
        <v>3</v>
      </c>
      <c r="V256" s="389">
        <f t="shared" si="95"/>
        <v>1E-4</v>
      </c>
      <c r="W256" s="389">
        <f t="shared" si="96"/>
        <v>-2.9998999999999998</v>
      </c>
      <c r="X256" s="389">
        <f t="shared" si="97"/>
        <v>3</v>
      </c>
      <c r="Y256" s="389" t="b">
        <f t="shared" si="115"/>
        <v>0</v>
      </c>
      <c r="Z256" s="389">
        <f t="shared" si="98"/>
        <v>-3</v>
      </c>
      <c r="AA256" s="389">
        <f t="shared" si="99"/>
        <v>3</v>
      </c>
      <c r="AB256" s="389" t="b">
        <f t="shared" si="100"/>
        <v>0</v>
      </c>
      <c r="AC256" s="389">
        <f t="shared" si="101"/>
        <v>-3</v>
      </c>
      <c r="AD256" s="389">
        <f t="shared" si="102"/>
        <v>3</v>
      </c>
      <c r="AE256" s="389">
        <f t="shared" si="103"/>
        <v>1</v>
      </c>
      <c r="AG256" s="311" t="str">
        <f t="shared" si="104"/>
        <v>Ch E Male Flag Football-</v>
      </c>
      <c r="AH256" s="453">
        <f t="shared" si="105"/>
        <v>2</v>
      </c>
      <c r="AI256" s="453">
        <f t="shared" si="106"/>
        <v>2</v>
      </c>
      <c r="AJ256" t="str">
        <f t="array" ref="AJ256">IF(AND(AI256&gt;1,G256&lt;&gt;""),INDEX(FS_teams,MATCH(1,(FS_Keys=AG256)*(FS_Points=I256)*(FS_teams&lt;&gt;G256),0)),"")</f>
        <v>CHILD EM - PER</v>
      </c>
      <c r="AK256" s="390">
        <f t="array" ref="AK256">IF(AJ256&lt;&gt;"",INDEX(TM_Score1,MATCH(1,(TM_Events=D256)*(TM_Participant1=G256)*(TM_Participant2=AJ256),0)),"")</f>
        <v>21</v>
      </c>
      <c r="AL256" s="390" t="e">
        <f t="array" ref="AL256">IF(AJ256&lt;&gt;"",INDEX(TM_Score1,MATCH(1,(TM_Events=D256)*(TM_Participant1=AJ256)*(TM_Participant2=G256),0)),"")</f>
        <v>#N/A</v>
      </c>
      <c r="AM256" s="389">
        <f t="array" ref="AM256">IF(ISNUMBER(AK256),INDEX(TM_Score2,MATCH(1,(TM_Events=D256)*(TM_Participant1=G256)*(TM_Participant2=AJ256),0)),"")</f>
        <v>46</v>
      </c>
      <c r="AN256" s="389" t="str">
        <f t="array" ref="AN256">IF(ISNUMBER(AL256),INDEX(TM_Score2,MATCH(1,(TM_Events=D256)*(TM_Participant1=AJ256)*(TM_Participant2=G256),0)),"")</f>
        <v/>
      </c>
      <c r="AO256" s="389" t="str">
        <f t="shared" si="107"/>
        <v>Loss</v>
      </c>
      <c r="AP256" s="389">
        <f t="shared" si="108"/>
        <v>3</v>
      </c>
      <c r="AQ256" s="389">
        <f t="shared" si="109"/>
        <v>0</v>
      </c>
      <c r="AR256" s="389">
        <f t="shared" si="110"/>
        <v>1</v>
      </c>
      <c r="AS256" s="453">
        <f t="shared" si="111"/>
        <v>7</v>
      </c>
      <c r="AT256" s="452">
        <f t="shared" si="112"/>
        <v>81</v>
      </c>
    </row>
    <row r="257" spans="1:46" ht="16" x14ac:dyDescent="0.2">
      <c r="A257" s="298"/>
      <c r="B257"/>
      <c r="D257" s="303" t="s">
        <v>65</v>
      </c>
      <c r="E257" s="396"/>
      <c r="F257" s="387">
        <v>1</v>
      </c>
      <c r="G257" s="397" t="s">
        <v>624</v>
      </c>
      <c r="H257" s="387" t="str">
        <f t="shared" si="87"/>
        <v>1-2-0</v>
      </c>
      <c r="I257" s="389">
        <f t="shared" si="88"/>
        <v>2</v>
      </c>
      <c r="J257" s="455">
        <f t="shared" si="113"/>
        <v>1</v>
      </c>
      <c r="K257" s="455">
        <f t="shared" si="89"/>
        <v>-4</v>
      </c>
      <c r="L257" s="455" t="str">
        <f t="shared" si="114"/>
        <v/>
      </c>
      <c r="M257" s="389" t="str">
        <f>IFERROR(IF(AD257&lt;=VLOOKUP(D257,Tournaments!$A$1:$B$1772,2,FALSE),"TRUE","FALSE"),"")</f>
        <v>FALSE</v>
      </c>
      <c r="N257" s="389">
        <v>1</v>
      </c>
      <c r="O257" s="389">
        <f t="shared" si="90"/>
        <v>7</v>
      </c>
      <c r="Q257" s="389">
        <f t="shared" si="91"/>
        <v>1</v>
      </c>
      <c r="R257" s="389">
        <f t="shared" si="92"/>
        <v>2</v>
      </c>
      <c r="S257" s="389">
        <f t="shared" si="93"/>
        <v>0</v>
      </c>
      <c r="U257" s="389">
        <f t="shared" si="94"/>
        <v>9</v>
      </c>
      <c r="V257" s="389">
        <f t="shared" si="95"/>
        <v>2.5000000000000001E-3</v>
      </c>
      <c r="W257" s="389">
        <f t="shared" si="96"/>
        <v>-8.9975000000000005</v>
      </c>
      <c r="X257" s="389">
        <f t="shared" si="97"/>
        <v>9</v>
      </c>
      <c r="Y257" s="389">
        <f t="shared" si="115"/>
        <v>7.3000000000000001E-3</v>
      </c>
      <c r="Z257" s="389">
        <f t="shared" si="98"/>
        <v>-8.9926999999999992</v>
      </c>
      <c r="AA257" s="389">
        <f t="shared" si="99"/>
        <v>7</v>
      </c>
      <c r="AB257" s="389" t="b">
        <f t="shared" si="100"/>
        <v>0</v>
      </c>
      <c r="AC257" s="389">
        <f t="shared" si="101"/>
        <v>-7</v>
      </c>
      <c r="AD257" s="389">
        <f t="shared" si="102"/>
        <v>7</v>
      </c>
      <c r="AE257" s="389">
        <f t="shared" si="103"/>
        <v>5</v>
      </c>
      <c r="AG257" s="311" t="str">
        <f t="shared" si="104"/>
        <v>Ch E Male Flag Football-</v>
      </c>
      <c r="AH257" s="453">
        <f t="shared" si="105"/>
        <v>5</v>
      </c>
      <c r="AI257" s="453">
        <f t="shared" si="106"/>
        <v>5</v>
      </c>
      <c r="AJ257" t="str">
        <f t="array" ref="AJ257">IF(AND(AI257&gt;1,G257&lt;&gt;""),INDEX(FS_teams,MATCH(1,(FS_Keys=AG257)*(FS_Points=I257)*(FS_teams&lt;&gt;G257),0)),"")</f>
        <v>CHILD EM - ARG 1</v>
      </c>
      <c r="AK257" s="390" t="e">
        <f t="array" ref="AK257">IF(AJ257&lt;&gt;"",INDEX(TM_Score1,MATCH(1,(TM_Events=D257)*(TM_Participant1=G257)*(TM_Participant2=AJ257),0)),"")</f>
        <v>#N/A</v>
      </c>
      <c r="AL257" s="390" t="e">
        <f t="array" ref="AL257">IF(AJ257&lt;&gt;"",INDEX(TM_Score1,MATCH(1,(TM_Events=D257)*(TM_Participant1=AJ257)*(TM_Participant2=G257),0)),"")</f>
        <v>#N/A</v>
      </c>
      <c r="AM257" s="389" t="str">
        <f t="array" ref="AM257">IF(ISNUMBER(AK257),INDEX(TM_Score2,MATCH(1,(TM_Events=D257)*(TM_Participant1=G257)*(TM_Participant2=AJ257),0)),"")</f>
        <v/>
      </c>
      <c r="AN257" s="389" t="str">
        <f t="array" ref="AN257">IF(ISNUMBER(AL257),INDEX(TM_Score2,MATCH(1,(TM_Events=D257)*(TM_Participant1=AJ257)*(TM_Participant2=G257),0)),"")</f>
        <v/>
      </c>
      <c r="AO257" s="389" t="str">
        <f t="shared" si="107"/>
        <v>did not play</v>
      </c>
      <c r="AP257" s="389">
        <f t="shared" si="108"/>
        <v>1</v>
      </c>
      <c r="AQ257" s="389">
        <f t="shared" si="109"/>
        <v>0</v>
      </c>
      <c r="AR257" s="389">
        <f t="shared" si="110"/>
        <v>2</v>
      </c>
      <c r="AS257" s="453">
        <f t="shared" si="111"/>
        <v>-4</v>
      </c>
      <c r="AT257" s="452">
        <f t="shared" si="112"/>
        <v>51</v>
      </c>
    </row>
    <row r="258" spans="1:46" ht="16" x14ac:dyDescent="0.2">
      <c r="A258" s="298"/>
      <c r="B258"/>
      <c r="D258" s="303" t="s">
        <v>732</v>
      </c>
      <c r="E258" s="396"/>
      <c r="F258" s="398">
        <v>1</v>
      </c>
      <c r="G258" s="397" t="s">
        <v>621</v>
      </c>
      <c r="H258" s="387" t="str">
        <f t="shared" si="87"/>
        <v>0-3-0</v>
      </c>
      <c r="I258" s="389">
        <f t="shared" si="88"/>
        <v>0</v>
      </c>
      <c r="J258" s="455">
        <f t="shared" si="113"/>
        <v>1</v>
      </c>
      <c r="K258" s="455">
        <f t="shared" si="89"/>
        <v>-13</v>
      </c>
      <c r="L258" s="455" t="str">
        <f t="shared" si="114"/>
        <v/>
      </c>
      <c r="M258" s="389" t="str">
        <f>IFERROR(IF(AD258&lt;=VLOOKUP(D258,Tournaments!$A$1:$B$1772,2,FALSE),"TRUE","FALSE"),"")</f>
        <v>FALSE</v>
      </c>
      <c r="N258" s="389">
        <v>1</v>
      </c>
      <c r="O258" s="389">
        <f t="shared" si="90"/>
        <v>10</v>
      </c>
      <c r="Q258" s="389">
        <f t="shared" si="91"/>
        <v>0</v>
      </c>
      <c r="R258" s="389">
        <f t="shared" si="92"/>
        <v>3</v>
      </c>
      <c r="S258" s="389">
        <f t="shared" si="93"/>
        <v>0</v>
      </c>
      <c r="U258" s="389">
        <f t="shared" si="94"/>
        <v>10</v>
      </c>
      <c r="V258" s="389">
        <f t="shared" si="95"/>
        <v>2.5000000000000001E-3</v>
      </c>
      <c r="W258" s="389">
        <f t="shared" si="96"/>
        <v>-9.9975000000000005</v>
      </c>
      <c r="X258" s="389">
        <f t="shared" si="97"/>
        <v>10</v>
      </c>
      <c r="Y258" s="389">
        <f t="shared" si="115"/>
        <v>3.3999999999999998E-3</v>
      </c>
      <c r="Z258" s="389">
        <f t="shared" si="98"/>
        <v>-9.9966000000000008</v>
      </c>
      <c r="AA258" s="389">
        <f t="shared" si="99"/>
        <v>10</v>
      </c>
      <c r="AB258" s="389" t="b">
        <f t="shared" si="100"/>
        <v>0</v>
      </c>
      <c r="AC258" s="389">
        <f t="shared" si="101"/>
        <v>-10</v>
      </c>
      <c r="AD258" s="389">
        <f t="shared" si="102"/>
        <v>10</v>
      </c>
      <c r="AE258" s="389">
        <f t="shared" si="103"/>
        <v>3</v>
      </c>
      <c r="AG258" s="311" t="str">
        <f t="shared" si="104"/>
        <v>Ch E Male Kickball-</v>
      </c>
      <c r="AH258" s="453">
        <f t="shared" si="105"/>
        <v>8</v>
      </c>
      <c r="AI258" s="453">
        <f t="shared" si="106"/>
        <v>3</v>
      </c>
      <c r="AJ258" t="str">
        <f t="array" ref="AJ258">IF(AND(AI258&gt;1,G258&lt;&gt;""),INDEX(FS_teams,MATCH(1,(FS_Keys=AG258)*(FS_Points=I258)*(FS_teams&lt;&gt;G258),0)),"")</f>
        <v>CHILD EM - USA 2</v>
      </c>
      <c r="AK258" s="390" t="e">
        <f t="array" ref="AK258">IF(AJ258&lt;&gt;"",INDEX(TM_Score1,MATCH(1,(TM_Events=D258)*(TM_Participant1=G258)*(TM_Participant2=AJ258),0)),"")</f>
        <v>#N/A</v>
      </c>
      <c r="AL258" s="390" t="e">
        <f t="array" ref="AL258">IF(AJ258&lt;&gt;"",INDEX(TM_Score1,MATCH(1,(TM_Events=D258)*(TM_Participant1=AJ258)*(TM_Participant2=G258),0)),"")</f>
        <v>#N/A</v>
      </c>
      <c r="AM258" s="389" t="str">
        <f t="array" ref="AM258">IF(ISNUMBER(AK258),INDEX(TM_Score2,MATCH(1,(TM_Events=D258)*(TM_Participant1=G258)*(TM_Participant2=AJ258),0)),"")</f>
        <v/>
      </c>
      <c r="AN258" s="389" t="str">
        <f t="array" ref="AN258">IF(ISNUMBER(AL258),INDEX(TM_Score2,MATCH(1,(TM_Events=D258)*(TM_Participant1=AJ258)*(TM_Participant2=G258),0)),"")</f>
        <v/>
      </c>
      <c r="AO258" s="389" t="str">
        <f t="shared" si="107"/>
        <v>did not play</v>
      </c>
      <c r="AP258" s="389">
        <f t="shared" si="108"/>
        <v>0</v>
      </c>
      <c r="AQ258" s="389">
        <f t="shared" si="109"/>
        <v>0</v>
      </c>
      <c r="AR258" s="389">
        <f t="shared" si="110"/>
        <v>3</v>
      </c>
      <c r="AS258" s="453">
        <f t="shared" si="111"/>
        <v>-13</v>
      </c>
      <c r="AT258" s="452">
        <f t="shared" si="112"/>
        <v>6</v>
      </c>
    </row>
    <row r="259" spans="1:46" ht="16" x14ac:dyDescent="0.2">
      <c r="A259" s="298"/>
      <c r="B259"/>
      <c r="D259" s="303" t="s">
        <v>732</v>
      </c>
      <c r="E259" s="396"/>
      <c r="F259" s="398">
        <v>1</v>
      </c>
      <c r="G259" s="397" t="s">
        <v>616</v>
      </c>
      <c r="H259" s="387" t="str">
        <f t="shared" ref="H259:H322" si="116">Q259&amp;"-"&amp;R259&amp;"-"&amp;S259</f>
        <v>4-1-0</v>
      </c>
      <c r="I259" s="389">
        <f t="shared" ref="I259:I322" si="117">IF(H259&lt;&gt;"0-0-0",Q259*2+S259,0)</f>
        <v>8</v>
      </c>
      <c r="J259" s="455">
        <f t="shared" si="113"/>
        <v>2</v>
      </c>
      <c r="K259" s="455">
        <f t="shared" ref="K259:K322" si="118">IF(COUNTIFS(AG:AG,AG259,I:I,I259,J:J,J259)&gt;1,AS259,"")</f>
        <v>6</v>
      </c>
      <c r="L259" s="455" t="str">
        <f t="shared" si="114"/>
        <v/>
      </c>
      <c r="M259" s="389" t="str">
        <f>IFERROR(IF(AD259&lt;=VLOOKUP(D259,Tournaments!$A$1:$B$1772,2,FALSE),"TRUE","FALSE"),"")</f>
        <v>TRUE</v>
      </c>
      <c r="N259" s="389">
        <v>1</v>
      </c>
      <c r="O259" s="389">
        <f t="shared" ref="O259:O322" si="119">AD259</f>
        <v>2</v>
      </c>
      <c r="Q259" s="389">
        <f t="shared" ref="Q259:Q322" si="120">AP259</f>
        <v>4</v>
      </c>
      <c r="R259" s="389">
        <f t="shared" ref="R259:R322" si="121">AR259</f>
        <v>1</v>
      </c>
      <c r="S259" s="389">
        <f t="shared" ref="S259:S322" si="122">AQ259</f>
        <v>0</v>
      </c>
      <c r="U259" s="389">
        <f t="shared" ref="U259:U322" si="123">IF(E259&lt;&gt;"",COUNTIFS($D$3:$D$1001,D259,$E$3:$E$1001,E259,$I$3:$I$1001,"&gt;"&amp;I259)+COUNTIFS($D$3:$D$1001,D259,$E$3:$E$1001,E259,$I$3:$I$1001,I259),COUNTIFS($D$3:$D$1001,D259,$I$3:$I$1001,"&gt;"&amp;I259)+COUNTIFS($D$3:$D$1001,D259,$I$3:$I$1001,I259))</f>
        <v>2</v>
      </c>
      <c r="V259" s="389">
        <f t="shared" ref="V259:V322" si="124">IFERROR(RANK(J259,$J:$J,1)/10000,FALSE)</f>
        <v>2.1999999999999999E-2</v>
      </c>
      <c r="W259" s="389">
        <f t="shared" ref="W259:W322" si="125">V259-U259</f>
        <v>-1.978</v>
      </c>
      <c r="X259" s="389">
        <f t="shared" ref="X259:X322" si="126">IF(E259&lt;&gt;"",COUNTIFS($D:$D,$D259,$E:$E,$E259,$W:$W,"&gt;"&amp;W259)+COUNTIFS($D:$D,$D259,$E:$E,$E259,$W:$W,W259),COUNTIFS($D:$D,$D259,$W:$W,"&gt;"&amp;W259)+COUNTIFS($D:$D,$D259,$W:$W,W259))</f>
        <v>2</v>
      </c>
      <c r="Y259" s="389">
        <f t="shared" si="115"/>
        <v>7.3800000000000004E-2</v>
      </c>
      <c r="Z259" s="389">
        <f t="shared" ref="Z259:Z322" si="127">Y259-X259</f>
        <v>-1.9261999999999999</v>
      </c>
      <c r="AA259" s="389">
        <f t="shared" ref="AA259:AA322" si="128">IF(E259&lt;&gt;"",(COUNTIFS($D:$D,D259,$E:$E,E259,$Z:$Z,"&gt;"&amp;Z259)+COUNTIFS($D:$D,D259,$E:$E,E259,$Z:$Z,Z259)),(COUNTIFS($D:$D,D259,$Z:$Z,"&gt;"&amp;Z259)+COUNTIFS($D:$D,D259,$Z:$Z,Z259)))</f>
        <v>2</v>
      </c>
      <c r="AB259" s="389" t="b">
        <f t="shared" ref="AB259:AB322" si="129">IFERROR(RANK(L259,$L:$L,1)/10000,FALSE)</f>
        <v>0</v>
      </c>
      <c r="AC259" s="389">
        <f t="shared" ref="AC259:AC322" si="130">AB259-AA259</f>
        <v>-2</v>
      </c>
      <c r="AD259" s="389">
        <f t="shared" ref="AD259:AD322" si="131">IF(E259&lt;&gt;"",COUNTIFS($D:$D,$D259,$E:$E,$E259,$AC:$AC,"&gt;"&amp;AC259)+COUNTIFS($D:$D,$D259,$E:$E,$E259,$AC:$AC,AC259),COUNTIFS($D:$D,$D259,$AC:$AC,"&gt;"&amp;AC259)+COUNTIFS($D:$D,$D259,$AC:$AC,AC259))</f>
        <v>2</v>
      </c>
      <c r="AE259" s="389">
        <f t="shared" ref="AE259:AE322" si="132">IF(E259&lt;&gt;"",COUNTIFS($D:$D,D259,$E:$E,E259,$I:$I,I259,$J:$J,J259),COUNTIFS($D:$D,D259,$I:$I,I259,$J:$J,J259))</f>
        <v>2</v>
      </c>
      <c r="AG259" s="311" t="str">
        <f t="shared" ref="AG259:AG322" si="133">D259&amp;"-"&amp;E259</f>
        <v>Ch E Male Kickball-</v>
      </c>
      <c r="AH259" s="453">
        <f t="shared" ref="AH259:AH322" si="134">IF(G259="","",COUNTIFS(FS_teams,"&lt;&gt;-1",FS_Keys,AG259,FS_Points,"&gt;"&amp;I259)+1)</f>
        <v>1</v>
      </c>
      <c r="AI259" s="453">
        <f t="shared" ref="AI259:AI322" si="135">IF(G259="","",COUNTIFS(FS_Keys,AG259,FS_Rank_on_Points,AH259))</f>
        <v>2</v>
      </c>
      <c r="AJ259" t="str">
        <f t="array" ref="AJ259">IF(AND(AI259&gt;1,G259&lt;&gt;""),INDEX(FS_teams,MATCH(1,(FS_Keys=AG259)*(FS_Points=I259)*(FS_teams&lt;&gt;G259),0)),"")</f>
        <v>CHILD EM - VEN 2</v>
      </c>
      <c r="AK259" s="390">
        <f t="array" ref="AK259">IF(AJ259&lt;&gt;"",INDEX(TM_Score1,MATCH(1,(TM_Events=D259)*(TM_Participant1=G259)*(TM_Participant2=AJ259),0)),"")</f>
        <v>7</v>
      </c>
      <c r="AL259" s="390">
        <f t="array" ref="AL259">IF(AJ259&lt;&gt;"",INDEX(TM_Score1,MATCH(1,(TM_Events=D259)*(TM_Participant1=AJ259)*(TM_Participant2=G259),0)),"")</f>
        <v>10</v>
      </c>
      <c r="AM259" s="389">
        <f t="array" ref="AM259">IF(ISNUMBER(AK259),INDEX(TM_Score2,MATCH(1,(TM_Events=D259)*(TM_Participant1=G259)*(TM_Participant2=AJ259),0)),"")</f>
        <v>3</v>
      </c>
      <c r="AN259" s="389">
        <f t="array" ref="AN259">IF(ISNUMBER(AL259),INDEX(TM_Score2,MATCH(1,(TM_Events=D259)*(TM_Participant1=AJ259)*(TM_Participant2=G259),0)),"")</f>
        <v>4</v>
      </c>
      <c r="AO259" s="389" t="str">
        <f t="shared" ref="AO259:AO322" si="136">IF(AJ259="","",IF(ISNUMBER(AK259),IF(AK259&gt;AM259,"Win",IF(AK259=AM259,"Tie",IF(AK259&lt;AM259,"Loss","check"))),IF(ISNUMBER(AL259),IF(AN259&gt;AL259,"Win",IF(AN259=AL259,"Tie",IF(AN259&lt;AL259,"Loss","check"))),IF(AND(ISNA(AK259),ISNA(AL259)),"did not play","check"))))</f>
        <v>Win</v>
      </c>
      <c r="AP259" s="389">
        <f t="shared" ref="AP259:AP322" si="137">SUMIFS(TM_W1,TM_Events,D259,TM_Participant1,G259)+SUMIFS(TM_w2,TM_Events,D259,TM_Participant2,G259)</f>
        <v>4</v>
      </c>
      <c r="AQ259" s="389">
        <f t="shared" ref="AQ259:AQ322" si="138">SUMIFS(TM_T1,TM_Events,D259,TM_Participant1,G259)+SUMIFS(TM_T2,TM_Events,D259,TM_Participant2,G259)</f>
        <v>0</v>
      </c>
      <c r="AR259" s="389">
        <f t="shared" ref="AR259:AR322" si="139">SUMIFS(TM_L1,TM_Events,D259,TM_Participant1,G259)+SUMIFS(TM_L2,TM_Events,D259,TM_Participant2,G259)</f>
        <v>1</v>
      </c>
      <c r="AS259" s="453">
        <f t="shared" ref="AS259:AS322" si="140">SUMIFS(Net_1,TM_Events,D259,TM_Participant1,G259)+SUMIFS(Net_2,TM_Events,D259,TM_Participant2,G259)</f>
        <v>6</v>
      </c>
      <c r="AT259" s="452">
        <f t="shared" ref="AT259:AT322" si="141">SUMIFS(Score_1,TM_Events,D259,TM_Participant1,G259)+SUMIFS(Score_2,TM_Events,D259,TM_Participant2,G259)</f>
        <v>30</v>
      </c>
    </row>
    <row r="260" spans="1:46" ht="16" x14ac:dyDescent="0.2">
      <c r="A260" s="298"/>
      <c r="B260"/>
      <c r="D260" s="303" t="s">
        <v>732</v>
      </c>
      <c r="E260" s="396"/>
      <c r="F260" s="398">
        <v>1</v>
      </c>
      <c r="G260" s="397" t="s">
        <v>622</v>
      </c>
      <c r="H260" s="387" t="str">
        <f t="shared" si="116"/>
        <v>0-3-0</v>
      </c>
      <c r="I260" s="389">
        <f t="shared" si="117"/>
        <v>0</v>
      </c>
      <c r="J260" s="455">
        <f t="shared" ref="J260:J323" si="142">IF(E260&lt;&gt;"",IF(COUNTIFS($D:$D,D260,$E:$E,E260,$I:$I,I260)&lt;3,IFERROR(IF(H260&lt;&gt;"0-0-0",IF(AO260&lt;&gt;"",IF(AO260="Win",2,IF(AO260="Loss",0,1)),""),""),""),1),IF(COUNTIFS(D:D,D260,I:I,I260)&lt;3,IFERROR(IF(H260&lt;&gt;"0-0-0",IF(AO260&lt;&gt;"",IF(AO260="Win",2,IF(AO260="Loss",0,1)),""),""),""),1))</f>
        <v>1</v>
      </c>
      <c r="K260" s="455">
        <f t="shared" si="118"/>
        <v>-11</v>
      </c>
      <c r="L260" s="455">
        <f t="shared" ref="L260:L323" si="143">IF(COUNTIFS(AG:AG,AG260,I:I,I260,J:J,J260,K:K,K260)&gt;1,AT260,"")</f>
        <v>13</v>
      </c>
      <c r="M260" s="389" t="str">
        <f>IFERROR(IF(AD260&lt;=VLOOKUP(D260,Tournaments!$A$1:$B$1772,2,FALSE),"TRUE","FALSE"),"")</f>
        <v>FALSE</v>
      </c>
      <c r="N260" s="389">
        <v>1</v>
      </c>
      <c r="O260" s="389">
        <f t="shared" si="119"/>
        <v>8</v>
      </c>
      <c r="Q260" s="389">
        <f t="shared" si="120"/>
        <v>0</v>
      </c>
      <c r="R260" s="389">
        <f t="shared" si="121"/>
        <v>3</v>
      </c>
      <c r="S260" s="389">
        <f t="shared" si="122"/>
        <v>0</v>
      </c>
      <c r="U260" s="389">
        <f t="shared" si="123"/>
        <v>10</v>
      </c>
      <c r="V260" s="389">
        <f t="shared" si="124"/>
        <v>2.5000000000000001E-3</v>
      </c>
      <c r="W260" s="389">
        <f t="shared" si="125"/>
        <v>-9.9975000000000005</v>
      </c>
      <c r="X260" s="389">
        <f t="shared" si="126"/>
        <v>10</v>
      </c>
      <c r="Y260" s="389">
        <f t="shared" ref="Y260:Y323" si="144">IFERROR(IF(K260&gt;=0,RANK(K260,$K:$K,1)/10000,RANK(K260,$K:$K,1)/10000),FALSE)</f>
        <v>3.7000000000000002E-3</v>
      </c>
      <c r="Z260" s="389">
        <f t="shared" si="127"/>
        <v>-9.9962999999999997</v>
      </c>
      <c r="AA260" s="389">
        <f t="shared" si="128"/>
        <v>9</v>
      </c>
      <c r="AB260" s="389">
        <f t="shared" si="129"/>
        <v>5.9299999999999999E-2</v>
      </c>
      <c r="AC260" s="389">
        <f t="shared" si="130"/>
        <v>-8.9406999999999996</v>
      </c>
      <c r="AD260" s="389">
        <f t="shared" si="131"/>
        <v>8</v>
      </c>
      <c r="AE260" s="389">
        <f t="shared" si="132"/>
        <v>3</v>
      </c>
      <c r="AG260" s="311" t="str">
        <f t="shared" si="133"/>
        <v>Ch E Male Kickball-</v>
      </c>
      <c r="AH260" s="453">
        <f t="shared" si="134"/>
        <v>8</v>
      </c>
      <c r="AI260" s="453">
        <f t="shared" si="135"/>
        <v>3</v>
      </c>
      <c r="AJ260" t="str">
        <f t="array" ref="AJ260">IF(AND(AI260&gt;1,G260&lt;&gt;""),INDEX(FS_teams,MATCH(1,(FS_Keys=AG260)*(FS_Points=I260)*(FS_teams&lt;&gt;G260),0)),"")</f>
        <v>CHILD EM - USA 1</v>
      </c>
      <c r="AK260" s="390" t="e">
        <f t="array" ref="AK260">IF(AJ260&lt;&gt;"",INDEX(TM_Score1,MATCH(1,(TM_Events=D260)*(TM_Participant1=G260)*(TM_Participant2=AJ260),0)),"")</f>
        <v>#N/A</v>
      </c>
      <c r="AL260" s="390" t="e">
        <f t="array" ref="AL260">IF(AJ260&lt;&gt;"",INDEX(TM_Score1,MATCH(1,(TM_Events=D260)*(TM_Participant1=AJ260)*(TM_Participant2=G260),0)),"")</f>
        <v>#N/A</v>
      </c>
      <c r="AM260" s="389" t="str">
        <f t="array" ref="AM260">IF(ISNUMBER(AK260),INDEX(TM_Score2,MATCH(1,(TM_Events=D260)*(TM_Participant1=G260)*(TM_Participant2=AJ260),0)),"")</f>
        <v/>
      </c>
      <c r="AN260" s="389" t="str">
        <f t="array" ref="AN260">IF(ISNUMBER(AL260),INDEX(TM_Score2,MATCH(1,(TM_Events=D260)*(TM_Participant1=AJ260)*(TM_Participant2=G260),0)),"")</f>
        <v/>
      </c>
      <c r="AO260" s="389" t="str">
        <f t="shared" si="136"/>
        <v>did not play</v>
      </c>
      <c r="AP260" s="389">
        <f t="shared" si="137"/>
        <v>0</v>
      </c>
      <c r="AQ260" s="389">
        <f t="shared" si="138"/>
        <v>0</v>
      </c>
      <c r="AR260" s="389">
        <f t="shared" si="139"/>
        <v>3</v>
      </c>
      <c r="AS260" s="453">
        <f t="shared" si="140"/>
        <v>-11</v>
      </c>
      <c r="AT260" s="452">
        <f t="shared" si="141"/>
        <v>13</v>
      </c>
    </row>
    <row r="261" spans="1:46" ht="16" x14ac:dyDescent="0.2">
      <c r="A261" s="298"/>
      <c r="B261"/>
      <c r="D261" s="303" t="s">
        <v>732</v>
      </c>
      <c r="E261" s="396"/>
      <c r="F261" s="387">
        <v>1</v>
      </c>
      <c r="G261" s="397" t="s">
        <v>717</v>
      </c>
      <c r="H261" s="387" t="str">
        <f t="shared" si="116"/>
        <v>1-2-0</v>
      </c>
      <c r="I261" s="389">
        <f t="shared" si="117"/>
        <v>2</v>
      </c>
      <c r="J261" s="455">
        <f t="shared" si="142"/>
        <v>1</v>
      </c>
      <c r="K261" s="455">
        <f t="shared" si="118"/>
        <v>-4</v>
      </c>
      <c r="L261" s="455" t="str">
        <f t="shared" si="143"/>
        <v/>
      </c>
      <c r="M261" s="389" t="str">
        <f>IFERROR(IF(AD261&lt;=VLOOKUP(D261,Tournaments!$A$1:$B$1772,2,FALSE),"TRUE","FALSE"),"")</f>
        <v>FALSE</v>
      </c>
      <c r="N261" s="389">
        <v>1</v>
      </c>
      <c r="O261" s="389">
        <f t="shared" si="119"/>
        <v>7</v>
      </c>
      <c r="Q261" s="389">
        <f t="shared" si="120"/>
        <v>1</v>
      </c>
      <c r="R261" s="389">
        <f t="shared" si="121"/>
        <v>2</v>
      </c>
      <c r="S261" s="389">
        <f t="shared" si="122"/>
        <v>0</v>
      </c>
      <c r="U261" s="389">
        <f t="shared" si="123"/>
        <v>7</v>
      </c>
      <c r="V261" s="389">
        <f t="shared" si="124"/>
        <v>2.5000000000000001E-3</v>
      </c>
      <c r="W261" s="389">
        <f t="shared" si="125"/>
        <v>-6.9974999999999996</v>
      </c>
      <c r="X261" s="389">
        <f t="shared" si="126"/>
        <v>7</v>
      </c>
      <c r="Y261" s="389">
        <f t="shared" si="144"/>
        <v>7.3000000000000001E-3</v>
      </c>
      <c r="Z261" s="389">
        <f t="shared" si="127"/>
        <v>-6.9927000000000001</v>
      </c>
      <c r="AA261" s="389">
        <f t="shared" si="128"/>
        <v>7</v>
      </c>
      <c r="AB261" s="389" t="b">
        <f t="shared" si="129"/>
        <v>0</v>
      </c>
      <c r="AC261" s="389">
        <f t="shared" si="130"/>
        <v>-7</v>
      </c>
      <c r="AD261" s="389">
        <f t="shared" si="131"/>
        <v>7</v>
      </c>
      <c r="AE261" s="389">
        <f t="shared" si="132"/>
        <v>2</v>
      </c>
      <c r="AG261" s="311" t="str">
        <f t="shared" si="133"/>
        <v>Ch E Male Kickball-</v>
      </c>
      <c r="AH261" s="453">
        <f t="shared" si="134"/>
        <v>6</v>
      </c>
      <c r="AI261" s="453">
        <f t="shared" si="135"/>
        <v>2</v>
      </c>
      <c r="AJ261" t="str">
        <f t="array" ref="AJ261">IF(AND(AI261&gt;1,G261&lt;&gt;""),INDEX(FS_teams,MATCH(1,(FS_Keys=AG261)*(FS_Points=I261)*(FS_teams&lt;&gt;G261),0)),"")</f>
        <v>CHILD EM - PER</v>
      </c>
      <c r="AK261" s="390" t="e">
        <f t="array" ref="AK261">IF(AJ261&lt;&gt;"",INDEX(TM_Score1,MATCH(1,(TM_Events=D261)*(TM_Participant1=G261)*(TM_Participant2=AJ261),0)),"")</f>
        <v>#N/A</v>
      </c>
      <c r="AL261" s="390" t="e">
        <f t="array" ref="AL261">IF(AJ261&lt;&gt;"",INDEX(TM_Score1,MATCH(1,(TM_Events=D261)*(TM_Participant1=AJ261)*(TM_Participant2=G261),0)),"")</f>
        <v>#N/A</v>
      </c>
      <c r="AM261" s="389" t="str">
        <f t="array" ref="AM261">IF(ISNUMBER(AK261),INDEX(TM_Score2,MATCH(1,(TM_Events=D261)*(TM_Participant1=G261)*(TM_Participant2=AJ261),0)),"")</f>
        <v/>
      </c>
      <c r="AN261" s="389" t="str">
        <f t="array" ref="AN261">IF(ISNUMBER(AL261),INDEX(TM_Score2,MATCH(1,(TM_Events=D261)*(TM_Participant1=AJ261)*(TM_Participant2=G261),0)),"")</f>
        <v/>
      </c>
      <c r="AO261" s="389" t="str">
        <f t="shared" si="136"/>
        <v>did not play</v>
      </c>
      <c r="AP261" s="389">
        <f t="shared" si="137"/>
        <v>1</v>
      </c>
      <c r="AQ261" s="389">
        <f t="shared" si="138"/>
        <v>0</v>
      </c>
      <c r="AR261" s="389">
        <f t="shared" si="139"/>
        <v>2</v>
      </c>
      <c r="AS261" s="453">
        <f t="shared" si="140"/>
        <v>-4</v>
      </c>
      <c r="AT261" s="452">
        <f t="shared" si="141"/>
        <v>10</v>
      </c>
    </row>
    <row r="262" spans="1:46" ht="16" x14ac:dyDescent="0.2">
      <c r="A262" s="298"/>
      <c r="B262"/>
      <c r="D262" s="303" t="s">
        <v>732</v>
      </c>
      <c r="E262" s="396"/>
      <c r="F262" s="387">
        <v>1</v>
      </c>
      <c r="G262" s="397" t="s">
        <v>716</v>
      </c>
      <c r="H262" s="387" t="str">
        <f t="shared" si="116"/>
        <v>2-1-0</v>
      </c>
      <c r="I262" s="389">
        <f t="shared" si="117"/>
        <v>4</v>
      </c>
      <c r="J262" s="455" t="str">
        <f t="shared" si="142"/>
        <v/>
      </c>
      <c r="K262" s="455" t="str">
        <f t="shared" si="118"/>
        <v/>
      </c>
      <c r="L262" s="455" t="str">
        <f t="shared" si="143"/>
        <v/>
      </c>
      <c r="M262" s="389" t="str">
        <f>IFERROR(IF(AD262&lt;=VLOOKUP(D262,Tournaments!$A$1:$B$1772,2,FALSE),"TRUE","FALSE"),"")</f>
        <v>FALSE</v>
      </c>
      <c r="N262" s="389">
        <v>1</v>
      </c>
      <c r="O262" s="389">
        <f t="shared" si="119"/>
        <v>5</v>
      </c>
      <c r="Q262" s="389">
        <f t="shared" si="120"/>
        <v>2</v>
      </c>
      <c r="R262" s="389">
        <f t="shared" si="121"/>
        <v>1</v>
      </c>
      <c r="S262" s="389">
        <f t="shared" si="122"/>
        <v>0</v>
      </c>
      <c r="U262" s="389">
        <f t="shared" si="123"/>
        <v>5</v>
      </c>
      <c r="V262" s="389" t="b">
        <f t="shared" si="124"/>
        <v>0</v>
      </c>
      <c r="W262" s="389">
        <f t="shared" si="125"/>
        <v>-5</v>
      </c>
      <c r="X262" s="389">
        <f t="shared" si="126"/>
        <v>5</v>
      </c>
      <c r="Y262" s="389" t="b">
        <f t="shared" si="144"/>
        <v>0</v>
      </c>
      <c r="Z262" s="389">
        <f t="shared" si="127"/>
        <v>-5</v>
      </c>
      <c r="AA262" s="389">
        <f t="shared" si="128"/>
        <v>5</v>
      </c>
      <c r="AB262" s="389" t="b">
        <f t="shared" si="129"/>
        <v>0</v>
      </c>
      <c r="AC262" s="389">
        <f t="shared" si="130"/>
        <v>-5</v>
      </c>
      <c r="AD262" s="389">
        <f t="shared" si="131"/>
        <v>5</v>
      </c>
      <c r="AE262" s="389">
        <f t="shared" si="132"/>
        <v>1</v>
      </c>
      <c r="AG262" s="311" t="str">
        <f t="shared" si="133"/>
        <v>Ch E Male Kickball-</v>
      </c>
      <c r="AH262" s="453">
        <f t="shared" si="134"/>
        <v>5</v>
      </c>
      <c r="AI262" s="453">
        <f t="shared" si="135"/>
        <v>1</v>
      </c>
      <c r="AJ262" t="str">
        <f t="array" ref="AJ262">IF(AND(AI262&gt;1,G262&lt;&gt;""),INDEX(FS_teams,MATCH(1,(FS_Keys=AG262)*(FS_Points=I262)*(FS_teams&lt;&gt;G262),0)),"")</f>
        <v/>
      </c>
      <c r="AK262" s="390" t="str">
        <f t="array" ref="AK262">IF(AJ262&lt;&gt;"",INDEX(TM_Score1,MATCH(1,(TM_Events=D262)*(TM_Participant1=G262)*(TM_Participant2=AJ262),0)),"")</f>
        <v/>
      </c>
      <c r="AL262" s="390" t="str">
        <f t="array" ref="AL262">IF(AJ262&lt;&gt;"",INDEX(TM_Score1,MATCH(1,(TM_Events=D262)*(TM_Participant1=AJ262)*(TM_Participant2=G262),0)),"")</f>
        <v/>
      </c>
      <c r="AM262" s="389" t="str">
        <f t="array" ref="AM262">IF(ISNUMBER(AK262),INDEX(TM_Score2,MATCH(1,(TM_Events=D262)*(TM_Participant1=G262)*(TM_Participant2=AJ262),0)),"")</f>
        <v/>
      </c>
      <c r="AN262" s="389" t="str">
        <f t="array" ref="AN262">IF(ISNUMBER(AL262),INDEX(TM_Score2,MATCH(1,(TM_Events=D262)*(TM_Participant1=AJ262)*(TM_Participant2=G262),0)),"")</f>
        <v/>
      </c>
      <c r="AO262" s="389" t="str">
        <f t="shared" si="136"/>
        <v/>
      </c>
      <c r="AP262" s="389">
        <f t="shared" si="137"/>
        <v>2</v>
      </c>
      <c r="AQ262" s="389">
        <f t="shared" si="138"/>
        <v>0</v>
      </c>
      <c r="AR262" s="389">
        <f t="shared" si="139"/>
        <v>1</v>
      </c>
      <c r="AS262" s="453">
        <f t="shared" si="140"/>
        <v>4</v>
      </c>
      <c r="AT262" s="452">
        <f t="shared" si="141"/>
        <v>23</v>
      </c>
    </row>
    <row r="263" spans="1:46" ht="16" x14ac:dyDescent="0.2">
      <c r="A263" s="298"/>
      <c r="B263"/>
      <c r="D263" s="303" t="s">
        <v>732</v>
      </c>
      <c r="E263" s="387"/>
      <c r="F263" s="387">
        <v>1</v>
      </c>
      <c r="G263" s="397" t="s">
        <v>624</v>
      </c>
      <c r="H263" s="387" t="str">
        <f t="shared" si="116"/>
        <v>3-1-0</v>
      </c>
      <c r="I263" s="389">
        <f t="shared" si="117"/>
        <v>6</v>
      </c>
      <c r="J263" s="455">
        <f t="shared" si="142"/>
        <v>1</v>
      </c>
      <c r="K263" s="455">
        <f t="shared" si="118"/>
        <v>8</v>
      </c>
      <c r="L263" s="455" t="str">
        <f t="shared" si="143"/>
        <v/>
      </c>
      <c r="M263" s="389" t="str">
        <f>IFERROR(IF(AD263&lt;=VLOOKUP(D263,Tournaments!$A$1:$B$1772,2,FALSE),"TRUE","FALSE"),"")</f>
        <v>TRUE</v>
      </c>
      <c r="N263" s="389">
        <v>1</v>
      </c>
      <c r="O263" s="389">
        <f t="shared" si="119"/>
        <v>4</v>
      </c>
      <c r="Q263" s="389">
        <f t="shared" si="120"/>
        <v>3</v>
      </c>
      <c r="R263" s="389">
        <f t="shared" si="121"/>
        <v>1</v>
      </c>
      <c r="S263" s="389">
        <f t="shared" si="122"/>
        <v>0</v>
      </c>
      <c r="U263" s="389">
        <f t="shared" si="123"/>
        <v>4</v>
      </c>
      <c r="V263" s="389">
        <f t="shared" si="124"/>
        <v>2.5000000000000001E-3</v>
      </c>
      <c r="W263" s="389">
        <f t="shared" si="125"/>
        <v>-3.9975000000000001</v>
      </c>
      <c r="X263" s="389">
        <f t="shared" si="126"/>
        <v>4</v>
      </c>
      <c r="Y263" s="389">
        <f t="shared" si="144"/>
        <v>7.4399999999999994E-2</v>
      </c>
      <c r="Z263" s="389">
        <f t="shared" si="127"/>
        <v>-3.9256000000000002</v>
      </c>
      <c r="AA263" s="389">
        <f t="shared" si="128"/>
        <v>4</v>
      </c>
      <c r="AB263" s="389" t="b">
        <f t="shared" si="129"/>
        <v>0</v>
      </c>
      <c r="AC263" s="389">
        <f t="shared" si="130"/>
        <v>-4</v>
      </c>
      <c r="AD263" s="389">
        <f t="shared" si="131"/>
        <v>4</v>
      </c>
      <c r="AE263" s="389">
        <f t="shared" si="132"/>
        <v>2</v>
      </c>
      <c r="AG263" s="311" t="str">
        <f t="shared" si="133"/>
        <v>Ch E Male Kickball-</v>
      </c>
      <c r="AH263" s="453">
        <f t="shared" si="134"/>
        <v>3</v>
      </c>
      <c r="AI263" s="453">
        <f t="shared" si="135"/>
        <v>2</v>
      </c>
      <c r="AJ263" t="str">
        <f t="array" ref="AJ263">IF(AND(AI263&gt;1,G263&lt;&gt;""),INDEX(FS_teams,MATCH(1,(FS_Keys=AG263)*(FS_Points=I263)*(FS_teams&lt;&gt;G263),0)),"")</f>
        <v>CHILD EM - MEX 2</v>
      </c>
      <c r="AK263" s="390" t="e">
        <f t="array" ref="AK263">IF(AJ263&lt;&gt;"",INDEX(TM_Score1,MATCH(1,(TM_Events=D263)*(TM_Participant1=G263)*(TM_Participant2=AJ263),0)),"")</f>
        <v>#N/A</v>
      </c>
      <c r="AL263" s="390" t="e">
        <f t="array" ref="AL263">IF(AJ263&lt;&gt;"",INDEX(TM_Score1,MATCH(1,(TM_Events=D263)*(TM_Participant1=AJ263)*(TM_Participant2=G263),0)),"")</f>
        <v>#N/A</v>
      </c>
      <c r="AM263" s="389" t="str">
        <f t="array" ref="AM263">IF(ISNUMBER(AK263),INDEX(TM_Score2,MATCH(1,(TM_Events=D263)*(TM_Participant1=G263)*(TM_Participant2=AJ263),0)),"")</f>
        <v/>
      </c>
      <c r="AN263" s="389" t="str">
        <f t="array" ref="AN263">IF(ISNUMBER(AL263),INDEX(TM_Score2,MATCH(1,(TM_Events=D263)*(TM_Participant1=AJ263)*(TM_Participant2=G263),0)),"")</f>
        <v/>
      </c>
      <c r="AO263" s="389" t="str">
        <f t="shared" si="136"/>
        <v>did not play</v>
      </c>
      <c r="AP263" s="389">
        <f t="shared" si="137"/>
        <v>3</v>
      </c>
      <c r="AQ263" s="389">
        <f t="shared" si="138"/>
        <v>0</v>
      </c>
      <c r="AR263" s="389">
        <f t="shared" si="139"/>
        <v>1</v>
      </c>
      <c r="AS263" s="453">
        <f t="shared" si="140"/>
        <v>8</v>
      </c>
      <c r="AT263" s="452">
        <f t="shared" si="141"/>
        <v>25</v>
      </c>
    </row>
    <row r="264" spans="1:46" ht="16" x14ac:dyDescent="0.2">
      <c r="A264" s="298"/>
      <c r="B264"/>
      <c r="D264" s="303" t="s">
        <v>732</v>
      </c>
      <c r="E264" s="396"/>
      <c r="F264" s="398">
        <v>1</v>
      </c>
      <c r="G264" s="397" t="s">
        <v>625</v>
      </c>
      <c r="H264" s="387" t="str">
        <f t="shared" si="116"/>
        <v>4-1-0</v>
      </c>
      <c r="I264" s="389">
        <f t="shared" si="117"/>
        <v>8</v>
      </c>
      <c r="J264" s="455">
        <f t="shared" si="142"/>
        <v>2</v>
      </c>
      <c r="K264" s="455">
        <f t="shared" si="118"/>
        <v>12</v>
      </c>
      <c r="L264" s="455" t="str">
        <f t="shared" si="143"/>
        <v/>
      </c>
      <c r="M264" s="389" t="str">
        <f>IFERROR(IF(AD264&lt;=VLOOKUP(D264,Tournaments!$A$1:$B$1772,2,FALSE),"TRUE","FALSE"),"")</f>
        <v>TRUE</v>
      </c>
      <c r="N264" s="389">
        <v>1</v>
      </c>
      <c r="O264" s="389">
        <f t="shared" si="119"/>
        <v>1</v>
      </c>
      <c r="Q264" s="389">
        <f t="shared" si="120"/>
        <v>4</v>
      </c>
      <c r="R264" s="389">
        <f t="shared" si="121"/>
        <v>1</v>
      </c>
      <c r="S264" s="389">
        <f t="shared" si="122"/>
        <v>0</v>
      </c>
      <c r="U264" s="389">
        <f t="shared" si="123"/>
        <v>2</v>
      </c>
      <c r="V264" s="389">
        <f t="shared" si="124"/>
        <v>2.1999999999999999E-2</v>
      </c>
      <c r="W264" s="389">
        <f t="shared" si="125"/>
        <v>-1.978</v>
      </c>
      <c r="X264" s="389">
        <f t="shared" si="126"/>
        <v>2</v>
      </c>
      <c r="Y264" s="389">
        <f t="shared" si="144"/>
        <v>7.5399999999999995E-2</v>
      </c>
      <c r="Z264" s="389">
        <f t="shared" si="127"/>
        <v>-1.9246000000000001</v>
      </c>
      <c r="AA264" s="389">
        <f t="shared" si="128"/>
        <v>1</v>
      </c>
      <c r="AB264" s="389" t="b">
        <f t="shared" si="129"/>
        <v>0</v>
      </c>
      <c r="AC264" s="389">
        <f t="shared" si="130"/>
        <v>-1</v>
      </c>
      <c r="AD264" s="389">
        <f t="shared" si="131"/>
        <v>1</v>
      </c>
      <c r="AE264" s="389">
        <f t="shared" si="132"/>
        <v>2</v>
      </c>
      <c r="AG264" s="311" t="str">
        <f t="shared" si="133"/>
        <v>Ch E Male Kickball-</v>
      </c>
      <c r="AH264" s="453">
        <f t="shared" si="134"/>
        <v>1</v>
      </c>
      <c r="AI264" s="453">
        <f t="shared" si="135"/>
        <v>2</v>
      </c>
      <c r="AJ264" t="str">
        <f t="array" ref="AJ264">IF(AND(AI264&gt;1,G264&lt;&gt;""),INDEX(FS_teams,MATCH(1,(FS_Keys=AG264)*(FS_Points=I264)*(FS_teams&lt;&gt;G264),0)),"")</f>
        <v>CHILD EM - ARG 1</v>
      </c>
      <c r="AK264" s="390">
        <f t="array" ref="AK264">IF(AJ264&lt;&gt;"",INDEX(TM_Score1,MATCH(1,(TM_Events=D264)*(TM_Participant1=G264)*(TM_Participant2=AJ264),0)),"")</f>
        <v>10</v>
      </c>
      <c r="AL264" s="390">
        <f t="array" ref="AL264">IF(AJ264&lt;&gt;"",INDEX(TM_Score1,MATCH(1,(TM_Events=D264)*(TM_Participant1=AJ264)*(TM_Participant2=G264),0)),"")</f>
        <v>7</v>
      </c>
      <c r="AM264" s="389">
        <f t="array" ref="AM264">IF(ISNUMBER(AK264),INDEX(TM_Score2,MATCH(1,(TM_Events=D264)*(TM_Participant1=G264)*(TM_Participant2=AJ264),0)),"")</f>
        <v>4</v>
      </c>
      <c r="AN264" s="389">
        <f t="array" ref="AN264">IF(ISNUMBER(AL264),INDEX(TM_Score2,MATCH(1,(TM_Events=D264)*(TM_Participant1=AJ264)*(TM_Participant2=G264),0)),"")</f>
        <v>3</v>
      </c>
      <c r="AO264" s="389" t="str">
        <f t="shared" si="136"/>
        <v>Win</v>
      </c>
      <c r="AP264" s="389">
        <f t="shared" si="137"/>
        <v>4</v>
      </c>
      <c r="AQ264" s="389">
        <f t="shared" si="138"/>
        <v>0</v>
      </c>
      <c r="AR264" s="389">
        <f t="shared" si="139"/>
        <v>1</v>
      </c>
      <c r="AS264" s="453">
        <f t="shared" si="140"/>
        <v>12</v>
      </c>
      <c r="AT264" s="452">
        <f t="shared" si="141"/>
        <v>37</v>
      </c>
    </row>
    <row r="265" spans="1:46" ht="16" x14ac:dyDescent="0.2">
      <c r="A265" s="298"/>
      <c r="B265"/>
      <c r="D265" s="303" t="s">
        <v>732</v>
      </c>
      <c r="E265" s="396"/>
      <c r="F265" s="398">
        <v>1</v>
      </c>
      <c r="G265" s="397" t="s">
        <v>718</v>
      </c>
      <c r="H265" s="387" t="str">
        <f t="shared" si="116"/>
        <v>3-1-0</v>
      </c>
      <c r="I265" s="389">
        <f t="shared" si="117"/>
        <v>6</v>
      </c>
      <c r="J265" s="455">
        <f t="shared" si="142"/>
        <v>1</v>
      </c>
      <c r="K265" s="455">
        <f t="shared" si="118"/>
        <v>9</v>
      </c>
      <c r="L265" s="455" t="str">
        <f t="shared" si="143"/>
        <v/>
      </c>
      <c r="M265" s="389" t="str">
        <f>IFERROR(IF(AD265&lt;=VLOOKUP(D265,Tournaments!$A$1:$B$1772,2,FALSE),"TRUE","FALSE"),"")</f>
        <v>TRUE</v>
      </c>
      <c r="N265" s="389">
        <v>1</v>
      </c>
      <c r="O265" s="389">
        <f t="shared" si="119"/>
        <v>3</v>
      </c>
      <c r="Q265" s="389">
        <f t="shared" si="120"/>
        <v>3</v>
      </c>
      <c r="R265" s="389">
        <f t="shared" si="121"/>
        <v>1</v>
      </c>
      <c r="S265" s="389">
        <f t="shared" si="122"/>
        <v>0</v>
      </c>
      <c r="U265" s="389">
        <f t="shared" si="123"/>
        <v>4</v>
      </c>
      <c r="V265" s="389">
        <f t="shared" si="124"/>
        <v>2.5000000000000001E-3</v>
      </c>
      <c r="W265" s="389">
        <f t="shared" si="125"/>
        <v>-3.9975000000000001</v>
      </c>
      <c r="X265" s="389">
        <f t="shared" si="126"/>
        <v>4</v>
      </c>
      <c r="Y265" s="389">
        <f t="shared" si="144"/>
        <v>7.4700000000000003E-2</v>
      </c>
      <c r="Z265" s="389">
        <f t="shared" si="127"/>
        <v>-3.9253</v>
      </c>
      <c r="AA265" s="389">
        <f t="shared" si="128"/>
        <v>3</v>
      </c>
      <c r="AB265" s="389" t="b">
        <f t="shared" si="129"/>
        <v>0</v>
      </c>
      <c r="AC265" s="389">
        <f t="shared" si="130"/>
        <v>-3</v>
      </c>
      <c r="AD265" s="389">
        <f t="shared" si="131"/>
        <v>3</v>
      </c>
      <c r="AE265" s="389">
        <f t="shared" si="132"/>
        <v>2</v>
      </c>
      <c r="AG265" s="311" t="str">
        <f t="shared" si="133"/>
        <v>Ch E Male Kickball-</v>
      </c>
      <c r="AH265" s="453">
        <f t="shared" si="134"/>
        <v>3</v>
      </c>
      <c r="AI265" s="453">
        <f t="shared" si="135"/>
        <v>2</v>
      </c>
      <c r="AJ265" t="str">
        <f t="array" ref="AJ265">IF(AND(AI265&gt;1,G265&lt;&gt;""),INDEX(FS_teams,MATCH(1,(FS_Keys=AG265)*(FS_Points=I265)*(FS_teams&lt;&gt;G265),0)),"")</f>
        <v>CHILD EM - VEN 1</v>
      </c>
      <c r="AK265" s="390" t="e">
        <f t="array" ref="AK265">IF(AJ265&lt;&gt;"",INDEX(TM_Score1,MATCH(1,(TM_Events=D265)*(TM_Participant1=G265)*(TM_Participant2=AJ265),0)),"")</f>
        <v>#N/A</v>
      </c>
      <c r="AL265" s="390" t="e">
        <f t="array" ref="AL265">IF(AJ265&lt;&gt;"",INDEX(TM_Score1,MATCH(1,(TM_Events=D265)*(TM_Participant1=AJ265)*(TM_Participant2=G265),0)),"")</f>
        <v>#N/A</v>
      </c>
      <c r="AM265" s="389" t="str">
        <f t="array" ref="AM265">IF(ISNUMBER(AK265),INDEX(TM_Score2,MATCH(1,(TM_Events=D265)*(TM_Participant1=G265)*(TM_Participant2=AJ265),0)),"")</f>
        <v/>
      </c>
      <c r="AN265" s="389" t="str">
        <f t="array" ref="AN265">IF(ISNUMBER(AL265),INDEX(TM_Score2,MATCH(1,(TM_Events=D265)*(TM_Participant1=AJ265)*(TM_Participant2=G265),0)),"")</f>
        <v/>
      </c>
      <c r="AO265" s="389" t="str">
        <f t="shared" si="136"/>
        <v>did not play</v>
      </c>
      <c r="AP265" s="389">
        <f t="shared" si="137"/>
        <v>3</v>
      </c>
      <c r="AQ265" s="389">
        <f t="shared" si="138"/>
        <v>0</v>
      </c>
      <c r="AR265" s="389">
        <f t="shared" si="139"/>
        <v>1</v>
      </c>
      <c r="AS265" s="453">
        <f t="shared" si="140"/>
        <v>9</v>
      </c>
      <c r="AT265" s="452">
        <f t="shared" si="141"/>
        <v>47</v>
      </c>
    </row>
    <row r="266" spans="1:46" ht="16" x14ac:dyDescent="0.2">
      <c r="A266" s="298"/>
      <c r="B266"/>
      <c r="D266" s="303" t="s">
        <v>732</v>
      </c>
      <c r="E266" s="396"/>
      <c r="F266" s="387">
        <v>1</v>
      </c>
      <c r="G266" s="397" t="s">
        <v>618</v>
      </c>
      <c r="H266" s="387" t="str">
        <f t="shared" si="116"/>
        <v>0-3-0</v>
      </c>
      <c r="I266" s="389">
        <f t="shared" si="117"/>
        <v>0</v>
      </c>
      <c r="J266" s="455">
        <f t="shared" si="142"/>
        <v>1</v>
      </c>
      <c r="K266" s="455">
        <f t="shared" si="118"/>
        <v>-11</v>
      </c>
      <c r="L266" s="455">
        <f t="shared" si="143"/>
        <v>9</v>
      </c>
      <c r="M266" s="389" t="str">
        <f>IFERROR(IF(AD266&lt;=VLOOKUP(D266,Tournaments!$A$1:$B$1772,2,FALSE),"TRUE","FALSE"),"")</f>
        <v>FALSE</v>
      </c>
      <c r="N266" s="389">
        <v>1</v>
      </c>
      <c r="O266" s="389">
        <f t="shared" si="119"/>
        <v>9</v>
      </c>
      <c r="Q266" s="389">
        <f t="shared" si="120"/>
        <v>0</v>
      </c>
      <c r="R266" s="389">
        <f t="shared" si="121"/>
        <v>3</v>
      </c>
      <c r="S266" s="389">
        <f t="shared" si="122"/>
        <v>0</v>
      </c>
      <c r="U266" s="389">
        <f t="shared" si="123"/>
        <v>10</v>
      </c>
      <c r="V266" s="389">
        <f t="shared" si="124"/>
        <v>2.5000000000000001E-3</v>
      </c>
      <c r="W266" s="389">
        <f t="shared" si="125"/>
        <v>-9.9975000000000005</v>
      </c>
      <c r="X266" s="389">
        <f t="shared" si="126"/>
        <v>10</v>
      </c>
      <c r="Y266" s="389">
        <f t="shared" si="144"/>
        <v>3.7000000000000002E-3</v>
      </c>
      <c r="Z266" s="389">
        <f t="shared" si="127"/>
        <v>-9.9962999999999997</v>
      </c>
      <c r="AA266" s="389">
        <f t="shared" si="128"/>
        <v>9</v>
      </c>
      <c r="AB266" s="389">
        <f t="shared" si="129"/>
        <v>5.9200000000000003E-2</v>
      </c>
      <c r="AC266" s="389">
        <f t="shared" si="130"/>
        <v>-8.9407999999999994</v>
      </c>
      <c r="AD266" s="389">
        <f t="shared" si="131"/>
        <v>9</v>
      </c>
      <c r="AE266" s="389">
        <f t="shared" si="132"/>
        <v>3</v>
      </c>
      <c r="AG266" s="311" t="str">
        <f t="shared" si="133"/>
        <v>Ch E Male Kickball-</v>
      </c>
      <c r="AH266" s="453">
        <f t="shared" si="134"/>
        <v>8</v>
      </c>
      <c r="AI266" s="453">
        <f t="shared" si="135"/>
        <v>3</v>
      </c>
      <c r="AJ266" t="str">
        <f t="array" ref="AJ266">IF(AND(AI266&gt;1,G266&lt;&gt;""),INDEX(FS_teams,MATCH(1,(FS_Keys=AG266)*(FS_Points=I266)*(FS_teams&lt;&gt;G266),0)),"")</f>
        <v>CHILD EM - USA 1</v>
      </c>
      <c r="AK266" s="390" t="e">
        <f t="array" ref="AK266">IF(AJ266&lt;&gt;"",INDEX(TM_Score1,MATCH(1,(TM_Events=D266)*(TM_Participant1=G266)*(TM_Participant2=AJ266),0)),"")</f>
        <v>#N/A</v>
      </c>
      <c r="AL266" s="390" t="e">
        <f t="array" ref="AL266">IF(AJ266&lt;&gt;"",INDEX(TM_Score1,MATCH(1,(TM_Events=D266)*(TM_Participant1=AJ266)*(TM_Participant2=G266),0)),"")</f>
        <v>#N/A</v>
      </c>
      <c r="AM266" s="389" t="str">
        <f t="array" ref="AM266">IF(ISNUMBER(AK266),INDEX(TM_Score2,MATCH(1,(TM_Events=D266)*(TM_Participant1=G266)*(TM_Participant2=AJ266),0)),"")</f>
        <v/>
      </c>
      <c r="AN266" s="389" t="str">
        <f t="array" ref="AN266">IF(ISNUMBER(AL266),INDEX(TM_Score2,MATCH(1,(TM_Events=D266)*(TM_Participant1=AJ266)*(TM_Participant2=G266),0)),"")</f>
        <v/>
      </c>
      <c r="AO266" s="389" t="str">
        <f t="shared" si="136"/>
        <v>did not play</v>
      </c>
      <c r="AP266" s="389">
        <f t="shared" si="137"/>
        <v>0</v>
      </c>
      <c r="AQ266" s="389">
        <f t="shared" si="138"/>
        <v>0</v>
      </c>
      <c r="AR266" s="389">
        <f t="shared" si="139"/>
        <v>3</v>
      </c>
      <c r="AS266" s="453">
        <f t="shared" si="140"/>
        <v>-11</v>
      </c>
      <c r="AT266" s="452">
        <f t="shared" si="141"/>
        <v>9</v>
      </c>
    </row>
    <row r="267" spans="1:46" ht="16" x14ac:dyDescent="0.2">
      <c r="A267" s="298"/>
      <c r="B267"/>
      <c r="D267" s="303" t="s">
        <v>732</v>
      </c>
      <c r="E267" s="396"/>
      <c r="F267" s="387">
        <v>1</v>
      </c>
      <c r="G267" s="397" t="s">
        <v>620</v>
      </c>
      <c r="H267" s="387" t="str">
        <f t="shared" si="116"/>
        <v>1-2-0</v>
      </c>
      <c r="I267" s="389">
        <f t="shared" si="117"/>
        <v>2</v>
      </c>
      <c r="J267" s="455">
        <f t="shared" si="142"/>
        <v>1</v>
      </c>
      <c r="K267" s="455">
        <f t="shared" si="118"/>
        <v>0</v>
      </c>
      <c r="L267" s="455" t="str">
        <f t="shared" si="143"/>
        <v/>
      </c>
      <c r="M267" s="389" t="str">
        <f>IFERROR(IF(AD267&lt;=VLOOKUP(D267,Tournaments!$A$1:$B$1772,2,FALSE),"TRUE","FALSE"),"")</f>
        <v>FALSE</v>
      </c>
      <c r="N267" s="389">
        <v>1</v>
      </c>
      <c r="O267" s="389">
        <f t="shared" si="119"/>
        <v>6</v>
      </c>
      <c r="Q267" s="389">
        <f t="shared" si="120"/>
        <v>1</v>
      </c>
      <c r="R267" s="389">
        <f t="shared" si="121"/>
        <v>2</v>
      </c>
      <c r="S267" s="389">
        <f t="shared" si="122"/>
        <v>0</v>
      </c>
      <c r="U267" s="389">
        <f t="shared" si="123"/>
        <v>7</v>
      </c>
      <c r="V267" s="389">
        <f t="shared" si="124"/>
        <v>2.5000000000000001E-3</v>
      </c>
      <c r="W267" s="389">
        <f t="shared" si="125"/>
        <v>-6.9974999999999996</v>
      </c>
      <c r="X267" s="389">
        <f t="shared" si="126"/>
        <v>7</v>
      </c>
      <c r="Y267" s="389">
        <f t="shared" si="144"/>
        <v>1.0999999999999999E-2</v>
      </c>
      <c r="Z267" s="389">
        <f t="shared" si="127"/>
        <v>-6.9889999999999999</v>
      </c>
      <c r="AA267" s="389">
        <f t="shared" si="128"/>
        <v>6</v>
      </c>
      <c r="AB267" s="389" t="b">
        <f t="shared" si="129"/>
        <v>0</v>
      </c>
      <c r="AC267" s="389">
        <f t="shared" si="130"/>
        <v>-6</v>
      </c>
      <c r="AD267" s="389">
        <f t="shared" si="131"/>
        <v>6</v>
      </c>
      <c r="AE267" s="389">
        <f t="shared" si="132"/>
        <v>2</v>
      </c>
      <c r="AG267" s="311" t="str">
        <f t="shared" si="133"/>
        <v>Ch E Male Kickball-</v>
      </c>
      <c r="AH267" s="453">
        <f t="shared" si="134"/>
        <v>6</v>
      </c>
      <c r="AI267" s="453">
        <f t="shared" si="135"/>
        <v>2</v>
      </c>
      <c r="AJ267" t="str">
        <f t="array" ref="AJ267">IF(AND(AI267&gt;1,G267&lt;&gt;""),INDEX(FS_teams,MATCH(1,(FS_Keys=AG267)*(FS_Points=I267)*(FS_teams&lt;&gt;G267),0)),"")</f>
        <v>CHILD EM - MEX 1</v>
      </c>
      <c r="AK267" s="390" t="e">
        <f t="array" ref="AK267">IF(AJ267&lt;&gt;"",INDEX(TM_Score1,MATCH(1,(TM_Events=D267)*(TM_Participant1=G267)*(TM_Participant2=AJ267),0)),"")</f>
        <v>#N/A</v>
      </c>
      <c r="AL267" s="390" t="e">
        <f t="array" ref="AL267">IF(AJ267&lt;&gt;"",INDEX(TM_Score1,MATCH(1,(TM_Events=D267)*(TM_Participant1=AJ267)*(TM_Participant2=G267),0)),"")</f>
        <v>#N/A</v>
      </c>
      <c r="AM267" s="389" t="str">
        <f t="array" ref="AM267">IF(ISNUMBER(AK267),INDEX(TM_Score2,MATCH(1,(TM_Events=D267)*(TM_Participant1=G267)*(TM_Participant2=AJ267),0)),"")</f>
        <v/>
      </c>
      <c r="AN267" s="389" t="str">
        <f t="array" ref="AN267">IF(ISNUMBER(AL267),INDEX(TM_Score2,MATCH(1,(TM_Events=D267)*(TM_Participant1=AJ267)*(TM_Participant2=G267),0)),"")</f>
        <v/>
      </c>
      <c r="AO267" s="389" t="str">
        <f t="shared" si="136"/>
        <v>did not play</v>
      </c>
      <c r="AP267" s="389">
        <f t="shared" si="137"/>
        <v>1</v>
      </c>
      <c r="AQ267" s="389">
        <f t="shared" si="138"/>
        <v>0</v>
      </c>
      <c r="AR267" s="389">
        <f t="shared" si="139"/>
        <v>2</v>
      </c>
      <c r="AS267" s="453">
        <f t="shared" si="140"/>
        <v>0</v>
      </c>
      <c r="AT267" s="452">
        <f t="shared" si="141"/>
        <v>18</v>
      </c>
    </row>
    <row r="268" spans="1:46" ht="16" x14ac:dyDescent="0.2">
      <c r="A268" s="298"/>
      <c r="B268"/>
      <c r="D268" s="303" t="s">
        <v>62</v>
      </c>
      <c r="E268" s="396"/>
      <c r="F268" s="398">
        <v>1</v>
      </c>
      <c r="G268" s="397" t="s">
        <v>622</v>
      </c>
      <c r="H268" s="387" t="str">
        <f t="shared" si="116"/>
        <v>0-3-0</v>
      </c>
      <c r="I268" s="389">
        <f t="shared" si="117"/>
        <v>0</v>
      </c>
      <c r="J268" s="455">
        <f t="shared" si="142"/>
        <v>1</v>
      </c>
      <c r="K268" s="455">
        <f t="shared" si="118"/>
        <v>-7</v>
      </c>
      <c r="L268" s="455" t="str">
        <f t="shared" si="143"/>
        <v/>
      </c>
      <c r="M268" s="389" t="str">
        <f>IFERROR(IF(AD268&lt;=VLOOKUP(D268,Tournaments!$A$1:$B$1772,2,FALSE),"TRUE","FALSE"),"")</f>
        <v>FALSE</v>
      </c>
      <c r="N268" s="389">
        <v>1</v>
      </c>
      <c r="O268" s="389">
        <f t="shared" si="119"/>
        <v>9</v>
      </c>
      <c r="Q268" s="389">
        <f t="shared" si="120"/>
        <v>0</v>
      </c>
      <c r="R268" s="389">
        <f t="shared" si="121"/>
        <v>3</v>
      </c>
      <c r="S268" s="389">
        <f t="shared" si="122"/>
        <v>0</v>
      </c>
      <c r="U268" s="389">
        <f t="shared" si="123"/>
        <v>10</v>
      </c>
      <c r="V268" s="389">
        <f t="shared" si="124"/>
        <v>2.5000000000000001E-3</v>
      </c>
      <c r="W268" s="389">
        <f t="shared" si="125"/>
        <v>-9.9975000000000005</v>
      </c>
      <c r="X268" s="389">
        <f t="shared" si="126"/>
        <v>10</v>
      </c>
      <c r="Y268" s="389">
        <f t="shared" si="144"/>
        <v>5.1000000000000004E-3</v>
      </c>
      <c r="Z268" s="389">
        <f t="shared" si="127"/>
        <v>-9.9948999999999995</v>
      </c>
      <c r="AA268" s="389">
        <f t="shared" si="128"/>
        <v>9</v>
      </c>
      <c r="AB268" s="389" t="b">
        <f t="shared" si="129"/>
        <v>0</v>
      </c>
      <c r="AC268" s="389">
        <f t="shared" si="130"/>
        <v>-9</v>
      </c>
      <c r="AD268" s="389">
        <f t="shared" si="131"/>
        <v>9</v>
      </c>
      <c r="AE268" s="389">
        <f t="shared" si="132"/>
        <v>2</v>
      </c>
      <c r="AG268" s="311" t="str">
        <f t="shared" si="133"/>
        <v>Ch E Male Mini Soccer-</v>
      </c>
      <c r="AH268" s="453">
        <f t="shared" si="134"/>
        <v>9</v>
      </c>
      <c r="AI268" s="453">
        <f t="shared" si="135"/>
        <v>2</v>
      </c>
      <c r="AJ268" t="str">
        <f t="array" ref="AJ268">IF(AND(AI268&gt;1,G268&lt;&gt;""),INDEX(FS_teams,MATCH(1,(FS_Keys=AG268)*(FS_Points=I268)*(FS_teams&lt;&gt;G268),0)),"")</f>
        <v>CHILD EM - USA 1</v>
      </c>
      <c r="AK268" s="390" t="e">
        <f t="array" ref="AK268">IF(AJ268&lt;&gt;"",INDEX(TM_Score1,MATCH(1,(TM_Events=D268)*(TM_Participant1=G268)*(TM_Participant2=AJ268),0)),"")</f>
        <v>#N/A</v>
      </c>
      <c r="AL268" s="390" t="e">
        <f t="array" ref="AL268">IF(AJ268&lt;&gt;"",INDEX(TM_Score1,MATCH(1,(TM_Events=D268)*(TM_Participant1=AJ268)*(TM_Participant2=G268),0)),"")</f>
        <v>#N/A</v>
      </c>
      <c r="AM268" s="389" t="str">
        <f t="array" ref="AM268">IF(ISNUMBER(AK268),INDEX(TM_Score2,MATCH(1,(TM_Events=D268)*(TM_Participant1=G268)*(TM_Participant2=AJ268),0)),"")</f>
        <v/>
      </c>
      <c r="AN268" s="389" t="str">
        <f t="array" ref="AN268">IF(ISNUMBER(AL268),INDEX(TM_Score2,MATCH(1,(TM_Events=D268)*(TM_Participant1=AJ268)*(TM_Participant2=G268),0)),"")</f>
        <v/>
      </c>
      <c r="AO268" s="389" t="str">
        <f t="shared" si="136"/>
        <v>did not play</v>
      </c>
      <c r="AP268" s="389">
        <f t="shared" si="137"/>
        <v>0</v>
      </c>
      <c r="AQ268" s="389">
        <f t="shared" si="138"/>
        <v>0</v>
      </c>
      <c r="AR268" s="389">
        <f t="shared" si="139"/>
        <v>3</v>
      </c>
      <c r="AS268" s="453">
        <f t="shared" si="140"/>
        <v>-7</v>
      </c>
      <c r="AT268" s="452">
        <f t="shared" si="141"/>
        <v>4</v>
      </c>
    </row>
    <row r="269" spans="1:46" ht="16" x14ac:dyDescent="0.2">
      <c r="A269" s="298"/>
      <c r="B269"/>
      <c r="D269" s="303" t="s">
        <v>62</v>
      </c>
      <c r="E269" s="396"/>
      <c r="F269" s="398">
        <v>1</v>
      </c>
      <c r="G269" s="397" t="s">
        <v>625</v>
      </c>
      <c r="H269" s="387" t="str">
        <f t="shared" si="116"/>
        <v>1-2-0</v>
      </c>
      <c r="I269" s="389">
        <f t="shared" si="117"/>
        <v>2</v>
      </c>
      <c r="J269" s="455">
        <f t="shared" si="142"/>
        <v>1</v>
      </c>
      <c r="K269" s="455">
        <f t="shared" si="118"/>
        <v>-2</v>
      </c>
      <c r="L269" s="455" t="str">
        <f t="shared" si="143"/>
        <v/>
      </c>
      <c r="M269" s="389" t="str">
        <f>IFERROR(IF(AD269&lt;=VLOOKUP(D269,Tournaments!$A$1:$B$1772,2,FALSE),"TRUE","FALSE"),"")</f>
        <v>FALSE</v>
      </c>
      <c r="N269" s="389">
        <v>1</v>
      </c>
      <c r="O269" s="389">
        <f t="shared" si="119"/>
        <v>7</v>
      </c>
      <c r="Q269" s="389">
        <f t="shared" si="120"/>
        <v>1</v>
      </c>
      <c r="R269" s="389">
        <f t="shared" si="121"/>
        <v>2</v>
      </c>
      <c r="S269" s="389">
        <f t="shared" si="122"/>
        <v>0</v>
      </c>
      <c r="U269" s="389">
        <f t="shared" si="123"/>
        <v>8</v>
      </c>
      <c r="V269" s="389">
        <f t="shared" si="124"/>
        <v>2.5000000000000001E-3</v>
      </c>
      <c r="W269" s="389">
        <f t="shared" si="125"/>
        <v>-7.9974999999999996</v>
      </c>
      <c r="X269" s="389">
        <f t="shared" si="126"/>
        <v>8</v>
      </c>
      <c r="Y269" s="389">
        <f t="shared" si="144"/>
        <v>8.9999999999999993E-3</v>
      </c>
      <c r="Z269" s="389">
        <f t="shared" si="127"/>
        <v>-7.9909999999999997</v>
      </c>
      <c r="AA269" s="389">
        <f t="shared" si="128"/>
        <v>7</v>
      </c>
      <c r="AB269" s="389" t="b">
        <f t="shared" si="129"/>
        <v>0</v>
      </c>
      <c r="AC269" s="389">
        <f t="shared" si="130"/>
        <v>-7</v>
      </c>
      <c r="AD269" s="389">
        <f t="shared" si="131"/>
        <v>7</v>
      </c>
      <c r="AE269" s="389">
        <f t="shared" si="132"/>
        <v>2</v>
      </c>
      <c r="AG269" s="311" t="str">
        <f t="shared" si="133"/>
        <v>Ch E Male Mini Soccer-</v>
      </c>
      <c r="AH269" s="453">
        <f t="shared" si="134"/>
        <v>7</v>
      </c>
      <c r="AI269" s="453">
        <f t="shared" si="135"/>
        <v>2</v>
      </c>
      <c r="AJ269" t="str">
        <f t="array" ref="AJ269">IF(AND(AI269&gt;1,G269&lt;&gt;""),INDEX(FS_teams,MATCH(1,(FS_Keys=AG269)*(FS_Points=I269)*(FS_teams&lt;&gt;G269),0)),"")</f>
        <v>CHILD EM - MEX 1</v>
      </c>
      <c r="AK269" s="390" t="e">
        <f t="array" ref="AK269">IF(AJ269&lt;&gt;"",INDEX(TM_Score1,MATCH(1,(TM_Events=D269)*(TM_Participant1=G269)*(TM_Participant2=AJ269),0)),"")</f>
        <v>#N/A</v>
      </c>
      <c r="AL269" s="390" t="e">
        <f t="array" ref="AL269">IF(AJ269&lt;&gt;"",INDEX(TM_Score1,MATCH(1,(TM_Events=D269)*(TM_Participant1=AJ269)*(TM_Participant2=G269),0)),"")</f>
        <v>#N/A</v>
      </c>
      <c r="AM269" s="389" t="str">
        <f t="array" ref="AM269">IF(ISNUMBER(AK269),INDEX(TM_Score2,MATCH(1,(TM_Events=D269)*(TM_Participant1=G269)*(TM_Participant2=AJ269),0)),"")</f>
        <v/>
      </c>
      <c r="AN269" s="389" t="str">
        <f t="array" ref="AN269">IF(ISNUMBER(AL269),INDEX(TM_Score2,MATCH(1,(TM_Events=D269)*(TM_Participant1=AJ269)*(TM_Participant2=G269),0)),"")</f>
        <v/>
      </c>
      <c r="AO269" s="389" t="str">
        <f t="shared" si="136"/>
        <v>did not play</v>
      </c>
      <c r="AP269" s="389">
        <f t="shared" si="137"/>
        <v>1</v>
      </c>
      <c r="AQ269" s="389">
        <f t="shared" si="138"/>
        <v>0</v>
      </c>
      <c r="AR269" s="389">
        <f t="shared" si="139"/>
        <v>2</v>
      </c>
      <c r="AS269" s="453">
        <f t="shared" si="140"/>
        <v>-2</v>
      </c>
      <c r="AT269" s="452">
        <f t="shared" si="141"/>
        <v>5</v>
      </c>
    </row>
    <row r="270" spans="1:46" ht="16" x14ac:dyDescent="0.2">
      <c r="A270" s="298"/>
      <c r="B270"/>
      <c r="D270" s="303" t="s">
        <v>62</v>
      </c>
      <c r="E270" s="387"/>
      <c r="F270" s="398">
        <v>1</v>
      </c>
      <c r="G270" s="397" t="s">
        <v>718</v>
      </c>
      <c r="H270" s="387" t="str">
        <f t="shared" si="116"/>
        <v>2-2-0</v>
      </c>
      <c r="I270" s="389">
        <f t="shared" si="117"/>
        <v>4</v>
      </c>
      <c r="J270" s="455">
        <f t="shared" si="142"/>
        <v>1</v>
      </c>
      <c r="K270" s="455">
        <f t="shared" si="118"/>
        <v>0</v>
      </c>
      <c r="L270" s="455" t="str">
        <f t="shared" si="143"/>
        <v/>
      </c>
      <c r="M270" s="389" t="str">
        <f>IFERROR(IF(AD270&lt;=VLOOKUP(D270,Tournaments!$A$1:$B$1772,2,FALSE),"TRUE","FALSE"),"")</f>
        <v>FALSE</v>
      </c>
      <c r="N270" s="389">
        <v>1</v>
      </c>
      <c r="O270" s="389">
        <f t="shared" si="119"/>
        <v>6</v>
      </c>
      <c r="Q270" s="389">
        <f t="shared" si="120"/>
        <v>2</v>
      </c>
      <c r="R270" s="389">
        <f t="shared" si="121"/>
        <v>2</v>
      </c>
      <c r="S270" s="389">
        <f t="shared" si="122"/>
        <v>0</v>
      </c>
      <c r="U270" s="389">
        <f t="shared" si="123"/>
        <v>6</v>
      </c>
      <c r="V270" s="389">
        <f t="shared" si="124"/>
        <v>2.5000000000000001E-3</v>
      </c>
      <c r="W270" s="389">
        <f t="shared" si="125"/>
        <v>-5.9974999999999996</v>
      </c>
      <c r="X270" s="389">
        <f t="shared" si="126"/>
        <v>6</v>
      </c>
      <c r="Y270" s="389">
        <f t="shared" si="144"/>
        <v>1.0999999999999999E-2</v>
      </c>
      <c r="Z270" s="389">
        <f t="shared" si="127"/>
        <v>-5.9889999999999999</v>
      </c>
      <c r="AA270" s="389">
        <f t="shared" si="128"/>
        <v>6</v>
      </c>
      <c r="AB270" s="389" t="b">
        <f t="shared" si="129"/>
        <v>0</v>
      </c>
      <c r="AC270" s="389">
        <f t="shared" si="130"/>
        <v>-6</v>
      </c>
      <c r="AD270" s="389">
        <f t="shared" si="131"/>
        <v>6</v>
      </c>
      <c r="AE270" s="389">
        <f t="shared" si="132"/>
        <v>3</v>
      </c>
      <c r="AG270" s="311" t="str">
        <f t="shared" si="133"/>
        <v>Ch E Male Mini Soccer-</v>
      </c>
      <c r="AH270" s="453">
        <f t="shared" si="134"/>
        <v>4</v>
      </c>
      <c r="AI270" s="453">
        <f t="shared" si="135"/>
        <v>3</v>
      </c>
      <c r="AJ270" t="str">
        <f t="array" ref="AJ270">IF(AND(AI270&gt;1,G270&lt;&gt;""),INDEX(FS_teams,MATCH(1,(FS_Keys=AG270)*(FS_Points=I270)*(FS_teams&lt;&gt;G270),0)),"")</f>
        <v>CHILD EM - VEN 3</v>
      </c>
      <c r="AK270" s="390" t="e">
        <f t="array" ref="AK270">IF(AJ270&lt;&gt;"",INDEX(TM_Score1,MATCH(1,(TM_Events=D270)*(TM_Participant1=G270)*(TM_Participant2=AJ270),0)),"")</f>
        <v>#N/A</v>
      </c>
      <c r="AL270" s="390" t="e">
        <f t="array" ref="AL270">IF(AJ270&lt;&gt;"",INDEX(TM_Score1,MATCH(1,(TM_Events=D270)*(TM_Participant1=AJ270)*(TM_Participant2=G270),0)),"")</f>
        <v>#N/A</v>
      </c>
      <c r="AM270" s="389" t="str">
        <f t="array" ref="AM270">IF(ISNUMBER(AK270),INDEX(TM_Score2,MATCH(1,(TM_Events=D270)*(TM_Participant1=G270)*(TM_Participant2=AJ270),0)),"")</f>
        <v/>
      </c>
      <c r="AN270" s="389" t="str">
        <f t="array" ref="AN270">IF(ISNUMBER(AL270),INDEX(TM_Score2,MATCH(1,(TM_Events=D270)*(TM_Participant1=AJ270)*(TM_Participant2=G270),0)),"")</f>
        <v/>
      </c>
      <c r="AO270" s="389" t="str">
        <f t="shared" si="136"/>
        <v>did not play</v>
      </c>
      <c r="AP270" s="389">
        <f t="shared" si="137"/>
        <v>2</v>
      </c>
      <c r="AQ270" s="389">
        <f t="shared" si="138"/>
        <v>0</v>
      </c>
      <c r="AR270" s="389">
        <f t="shared" si="139"/>
        <v>2</v>
      </c>
      <c r="AS270" s="453">
        <f t="shared" si="140"/>
        <v>0</v>
      </c>
      <c r="AT270" s="452">
        <f t="shared" si="141"/>
        <v>27</v>
      </c>
    </row>
    <row r="271" spans="1:46" ht="16" x14ac:dyDescent="0.2">
      <c r="A271" s="298"/>
      <c r="B271"/>
      <c r="D271" s="303" t="s">
        <v>62</v>
      </c>
      <c r="E271" s="396"/>
      <c r="F271" s="398">
        <v>1</v>
      </c>
      <c r="G271" s="397" t="s">
        <v>716</v>
      </c>
      <c r="H271" s="387" t="str">
        <f t="shared" si="116"/>
        <v>2-1-0</v>
      </c>
      <c r="I271" s="389">
        <f t="shared" si="117"/>
        <v>4</v>
      </c>
      <c r="J271" s="455">
        <f t="shared" si="142"/>
        <v>1</v>
      </c>
      <c r="K271" s="455">
        <f t="shared" si="118"/>
        <v>1</v>
      </c>
      <c r="L271" s="455">
        <f t="shared" si="143"/>
        <v>13</v>
      </c>
      <c r="M271" s="389" t="str">
        <f>IFERROR(IF(AD271&lt;=VLOOKUP(D271,Tournaments!$A$1:$B$1772,2,FALSE),"TRUE","FALSE"),"")</f>
        <v>FALSE</v>
      </c>
      <c r="N271" s="389">
        <v>1</v>
      </c>
      <c r="O271" s="389">
        <f t="shared" si="119"/>
        <v>5</v>
      </c>
      <c r="Q271" s="389">
        <f t="shared" si="120"/>
        <v>2</v>
      </c>
      <c r="R271" s="389">
        <f t="shared" si="121"/>
        <v>1</v>
      </c>
      <c r="S271" s="389">
        <f t="shared" si="122"/>
        <v>0</v>
      </c>
      <c r="U271" s="389">
        <f t="shared" si="123"/>
        <v>6</v>
      </c>
      <c r="V271" s="389">
        <f t="shared" si="124"/>
        <v>2.5000000000000001E-3</v>
      </c>
      <c r="W271" s="389">
        <f t="shared" si="125"/>
        <v>-5.9974999999999996</v>
      </c>
      <c r="X271" s="389">
        <f t="shared" si="126"/>
        <v>6</v>
      </c>
      <c r="Y271" s="389">
        <f t="shared" si="144"/>
        <v>7.0000000000000007E-2</v>
      </c>
      <c r="Z271" s="389">
        <f t="shared" si="127"/>
        <v>-5.93</v>
      </c>
      <c r="AA271" s="389">
        <f t="shared" si="128"/>
        <v>5</v>
      </c>
      <c r="AB271" s="389">
        <f t="shared" si="129"/>
        <v>5.9299999999999999E-2</v>
      </c>
      <c r="AC271" s="389">
        <f t="shared" si="130"/>
        <v>-4.9406999999999996</v>
      </c>
      <c r="AD271" s="389">
        <f t="shared" si="131"/>
        <v>5</v>
      </c>
      <c r="AE271" s="389">
        <f t="shared" si="132"/>
        <v>3</v>
      </c>
      <c r="AG271" s="311" t="str">
        <f t="shared" si="133"/>
        <v>Ch E Male Mini Soccer-</v>
      </c>
      <c r="AH271" s="453">
        <f t="shared" si="134"/>
        <v>4</v>
      </c>
      <c r="AI271" s="453">
        <f t="shared" si="135"/>
        <v>3</v>
      </c>
      <c r="AJ271" t="str">
        <f t="array" ref="AJ271">IF(AND(AI271&gt;1,G271&lt;&gt;""),INDEX(FS_teams,MATCH(1,(FS_Keys=AG271)*(FS_Points=I271)*(FS_teams&lt;&gt;G271),0)),"")</f>
        <v>CHILD EM - MEX 2</v>
      </c>
      <c r="AK271" s="390" t="e">
        <f t="array" ref="AK271">IF(AJ271&lt;&gt;"",INDEX(TM_Score1,MATCH(1,(TM_Events=D271)*(TM_Participant1=G271)*(TM_Participant2=AJ271),0)),"")</f>
        <v>#N/A</v>
      </c>
      <c r="AL271" s="390" t="e">
        <f t="array" ref="AL271">IF(AJ271&lt;&gt;"",INDEX(TM_Score1,MATCH(1,(TM_Events=D271)*(TM_Participant1=AJ271)*(TM_Participant2=G271),0)),"")</f>
        <v>#N/A</v>
      </c>
      <c r="AM271" s="389" t="str">
        <f t="array" ref="AM271">IF(ISNUMBER(AK271),INDEX(TM_Score2,MATCH(1,(TM_Events=D271)*(TM_Participant1=G271)*(TM_Participant2=AJ271),0)),"")</f>
        <v/>
      </c>
      <c r="AN271" s="389" t="str">
        <f t="array" ref="AN271">IF(ISNUMBER(AL271),INDEX(TM_Score2,MATCH(1,(TM_Events=D271)*(TM_Participant1=AJ271)*(TM_Participant2=G271),0)),"")</f>
        <v/>
      </c>
      <c r="AO271" s="389" t="str">
        <f t="shared" si="136"/>
        <v>did not play</v>
      </c>
      <c r="AP271" s="389">
        <f t="shared" si="137"/>
        <v>2</v>
      </c>
      <c r="AQ271" s="389">
        <f t="shared" si="138"/>
        <v>0</v>
      </c>
      <c r="AR271" s="389">
        <f t="shared" si="139"/>
        <v>1</v>
      </c>
      <c r="AS271" s="453">
        <f t="shared" si="140"/>
        <v>1</v>
      </c>
      <c r="AT271" s="452">
        <f t="shared" si="141"/>
        <v>13</v>
      </c>
    </row>
    <row r="272" spans="1:46" ht="16" x14ac:dyDescent="0.2">
      <c r="A272" s="298"/>
      <c r="B272"/>
      <c r="D272" s="303" t="s">
        <v>62</v>
      </c>
      <c r="E272" s="387"/>
      <c r="F272" s="387">
        <v>1</v>
      </c>
      <c r="G272" s="397" t="s">
        <v>621</v>
      </c>
      <c r="H272" s="387" t="str">
        <f t="shared" si="116"/>
        <v>0-3-0</v>
      </c>
      <c r="I272" s="389">
        <f t="shared" si="117"/>
        <v>0</v>
      </c>
      <c r="J272" s="455">
        <f t="shared" si="142"/>
        <v>1</v>
      </c>
      <c r="K272" s="455">
        <f t="shared" si="118"/>
        <v>-9</v>
      </c>
      <c r="L272" s="455" t="str">
        <f t="shared" si="143"/>
        <v/>
      </c>
      <c r="M272" s="389" t="str">
        <f>IFERROR(IF(AD272&lt;=VLOOKUP(D272,Tournaments!$A$1:$B$1772,2,FALSE),"TRUE","FALSE"),"")</f>
        <v>FALSE</v>
      </c>
      <c r="N272" s="389">
        <v>1</v>
      </c>
      <c r="O272" s="389">
        <f t="shared" si="119"/>
        <v>10</v>
      </c>
      <c r="Q272" s="389">
        <f t="shared" si="120"/>
        <v>0</v>
      </c>
      <c r="R272" s="389">
        <f t="shared" si="121"/>
        <v>3</v>
      </c>
      <c r="S272" s="389">
        <f t="shared" si="122"/>
        <v>0</v>
      </c>
      <c r="U272" s="389">
        <f t="shared" si="123"/>
        <v>10</v>
      </c>
      <c r="V272" s="389">
        <f t="shared" si="124"/>
        <v>2.5000000000000001E-3</v>
      </c>
      <c r="W272" s="389">
        <f t="shared" si="125"/>
        <v>-9.9975000000000005</v>
      </c>
      <c r="X272" s="389">
        <f t="shared" si="126"/>
        <v>10</v>
      </c>
      <c r="Y272" s="389">
        <f t="shared" si="144"/>
        <v>4.1000000000000003E-3</v>
      </c>
      <c r="Z272" s="389">
        <f t="shared" si="127"/>
        <v>-9.9959000000000007</v>
      </c>
      <c r="AA272" s="389">
        <f t="shared" si="128"/>
        <v>10</v>
      </c>
      <c r="AB272" s="389" t="b">
        <f t="shared" si="129"/>
        <v>0</v>
      </c>
      <c r="AC272" s="389">
        <f t="shared" si="130"/>
        <v>-10</v>
      </c>
      <c r="AD272" s="389">
        <f t="shared" si="131"/>
        <v>10</v>
      </c>
      <c r="AE272" s="389">
        <f t="shared" si="132"/>
        <v>2</v>
      </c>
      <c r="AG272" s="311" t="str">
        <f t="shared" si="133"/>
        <v>Ch E Male Mini Soccer-</v>
      </c>
      <c r="AH272" s="453">
        <f t="shared" si="134"/>
        <v>9</v>
      </c>
      <c r="AI272" s="453">
        <f t="shared" si="135"/>
        <v>2</v>
      </c>
      <c r="AJ272" t="str">
        <f t="array" ref="AJ272">IF(AND(AI272&gt;1,G272&lt;&gt;""),INDEX(FS_teams,MATCH(1,(FS_Keys=AG272)*(FS_Points=I272)*(FS_teams&lt;&gt;G272),0)),"")</f>
        <v>CHILD EM - USA 2</v>
      </c>
      <c r="AK272" s="390" t="e">
        <f t="array" ref="AK272">IF(AJ272&lt;&gt;"",INDEX(TM_Score1,MATCH(1,(TM_Events=D272)*(TM_Participant1=G272)*(TM_Participant2=AJ272),0)),"")</f>
        <v>#N/A</v>
      </c>
      <c r="AL272" s="390" t="e">
        <f t="array" ref="AL272">IF(AJ272&lt;&gt;"",INDEX(TM_Score1,MATCH(1,(TM_Events=D272)*(TM_Participant1=AJ272)*(TM_Participant2=G272),0)),"")</f>
        <v>#N/A</v>
      </c>
      <c r="AM272" s="389" t="str">
        <f t="array" ref="AM272">IF(ISNUMBER(AK272),INDEX(TM_Score2,MATCH(1,(TM_Events=D272)*(TM_Participant1=G272)*(TM_Participant2=AJ272),0)),"")</f>
        <v/>
      </c>
      <c r="AN272" s="389" t="str">
        <f t="array" ref="AN272">IF(ISNUMBER(AL272),INDEX(TM_Score2,MATCH(1,(TM_Events=D272)*(TM_Participant1=AJ272)*(TM_Participant2=G272),0)),"")</f>
        <v/>
      </c>
      <c r="AO272" s="389" t="str">
        <f t="shared" si="136"/>
        <v>did not play</v>
      </c>
      <c r="AP272" s="389">
        <f t="shared" si="137"/>
        <v>0</v>
      </c>
      <c r="AQ272" s="389">
        <f t="shared" si="138"/>
        <v>0</v>
      </c>
      <c r="AR272" s="389">
        <f t="shared" si="139"/>
        <v>3</v>
      </c>
      <c r="AS272" s="453">
        <f t="shared" si="140"/>
        <v>-9</v>
      </c>
      <c r="AT272" s="452">
        <f t="shared" si="141"/>
        <v>3</v>
      </c>
    </row>
    <row r="273" spans="1:46" ht="16" x14ac:dyDescent="0.2">
      <c r="A273" s="298"/>
      <c r="B273"/>
      <c r="D273" s="303" t="s">
        <v>62</v>
      </c>
      <c r="E273" s="387"/>
      <c r="F273" s="387">
        <v>1</v>
      </c>
      <c r="G273" s="397" t="s">
        <v>618</v>
      </c>
      <c r="H273" s="387" t="str">
        <f t="shared" si="116"/>
        <v>2-1-0</v>
      </c>
      <c r="I273" s="389">
        <f t="shared" si="117"/>
        <v>4</v>
      </c>
      <c r="J273" s="455">
        <f t="shared" si="142"/>
        <v>1</v>
      </c>
      <c r="K273" s="455">
        <f t="shared" si="118"/>
        <v>1</v>
      </c>
      <c r="L273" s="455">
        <f t="shared" si="143"/>
        <v>13</v>
      </c>
      <c r="M273" s="389" t="str">
        <f>IFERROR(IF(AD273&lt;=VLOOKUP(D273,Tournaments!$A$1:$B$1772,2,FALSE),"TRUE","FALSE"),"")</f>
        <v>FALSE</v>
      </c>
      <c r="N273" s="389">
        <v>1</v>
      </c>
      <c r="O273" s="389">
        <f t="shared" si="119"/>
        <v>5</v>
      </c>
      <c r="Q273" s="389">
        <f t="shared" si="120"/>
        <v>2</v>
      </c>
      <c r="R273" s="389">
        <f t="shared" si="121"/>
        <v>1</v>
      </c>
      <c r="S273" s="389">
        <f t="shared" si="122"/>
        <v>0</v>
      </c>
      <c r="U273" s="389">
        <f t="shared" si="123"/>
        <v>6</v>
      </c>
      <c r="V273" s="389">
        <f t="shared" si="124"/>
        <v>2.5000000000000001E-3</v>
      </c>
      <c r="W273" s="389">
        <f t="shared" si="125"/>
        <v>-5.9974999999999996</v>
      </c>
      <c r="X273" s="389">
        <f t="shared" si="126"/>
        <v>6</v>
      </c>
      <c r="Y273" s="389">
        <f t="shared" si="144"/>
        <v>7.0000000000000007E-2</v>
      </c>
      <c r="Z273" s="389">
        <f t="shared" si="127"/>
        <v>-5.93</v>
      </c>
      <c r="AA273" s="389">
        <f t="shared" si="128"/>
        <v>5</v>
      </c>
      <c r="AB273" s="389">
        <f t="shared" si="129"/>
        <v>5.9299999999999999E-2</v>
      </c>
      <c r="AC273" s="389">
        <f t="shared" si="130"/>
        <v>-4.9406999999999996</v>
      </c>
      <c r="AD273" s="389">
        <f t="shared" si="131"/>
        <v>5</v>
      </c>
      <c r="AE273" s="389">
        <f t="shared" si="132"/>
        <v>3</v>
      </c>
      <c r="AG273" s="311" t="str">
        <f t="shared" si="133"/>
        <v>Ch E Male Mini Soccer-</v>
      </c>
      <c r="AH273" s="453">
        <f t="shared" si="134"/>
        <v>4</v>
      </c>
      <c r="AI273" s="453">
        <f t="shared" si="135"/>
        <v>3</v>
      </c>
      <c r="AJ273" t="str">
        <f t="array" ref="AJ273">IF(AND(AI273&gt;1,G273&lt;&gt;""),INDEX(FS_teams,MATCH(1,(FS_Keys=AG273)*(FS_Points=I273)*(FS_teams&lt;&gt;G273),0)),"")</f>
        <v>CHILD EM - MEX 2</v>
      </c>
      <c r="AK273" s="390" t="e">
        <f t="array" ref="AK273">IF(AJ273&lt;&gt;"",INDEX(TM_Score1,MATCH(1,(TM_Events=D273)*(TM_Participant1=G273)*(TM_Participant2=AJ273),0)),"")</f>
        <v>#N/A</v>
      </c>
      <c r="AL273" s="390" t="e">
        <f t="array" ref="AL273">IF(AJ273&lt;&gt;"",INDEX(TM_Score1,MATCH(1,(TM_Events=D273)*(TM_Participant1=AJ273)*(TM_Participant2=G273),0)),"")</f>
        <v>#N/A</v>
      </c>
      <c r="AM273" s="389" t="str">
        <f t="array" ref="AM273">IF(ISNUMBER(AK273),INDEX(TM_Score2,MATCH(1,(TM_Events=D273)*(TM_Participant1=G273)*(TM_Participant2=AJ273),0)),"")</f>
        <v/>
      </c>
      <c r="AN273" s="389" t="str">
        <f t="array" ref="AN273">IF(ISNUMBER(AL273),INDEX(TM_Score2,MATCH(1,(TM_Events=D273)*(TM_Participant1=AJ273)*(TM_Participant2=G273),0)),"")</f>
        <v/>
      </c>
      <c r="AO273" s="389" t="str">
        <f t="shared" si="136"/>
        <v>did not play</v>
      </c>
      <c r="AP273" s="389">
        <f t="shared" si="137"/>
        <v>2</v>
      </c>
      <c r="AQ273" s="389">
        <f t="shared" si="138"/>
        <v>0</v>
      </c>
      <c r="AR273" s="389">
        <f t="shared" si="139"/>
        <v>1</v>
      </c>
      <c r="AS273" s="453">
        <f t="shared" si="140"/>
        <v>1</v>
      </c>
      <c r="AT273" s="452">
        <f t="shared" si="141"/>
        <v>13</v>
      </c>
    </row>
    <row r="274" spans="1:46" ht="16" x14ac:dyDescent="0.2">
      <c r="A274" s="298"/>
      <c r="B274"/>
      <c r="D274" s="303" t="s">
        <v>62</v>
      </c>
      <c r="E274" s="396"/>
      <c r="F274" s="387">
        <v>1</v>
      </c>
      <c r="G274" s="397" t="s">
        <v>616</v>
      </c>
      <c r="H274" s="387" t="str">
        <f t="shared" si="116"/>
        <v>4-1-0</v>
      </c>
      <c r="I274" s="389">
        <f t="shared" si="117"/>
        <v>8</v>
      </c>
      <c r="J274" s="455" t="str">
        <f t="shared" si="142"/>
        <v/>
      </c>
      <c r="K274" s="455" t="str">
        <f t="shared" si="118"/>
        <v/>
      </c>
      <c r="L274" s="455" t="str">
        <f t="shared" si="143"/>
        <v/>
      </c>
      <c r="M274" s="389" t="str">
        <f>IFERROR(IF(AD274&lt;=VLOOKUP(D274,Tournaments!$A$1:$B$1772,2,FALSE),"TRUE","FALSE"),"")</f>
        <v>TRUE</v>
      </c>
      <c r="N274" s="389">
        <v>1</v>
      </c>
      <c r="O274" s="389">
        <f t="shared" si="119"/>
        <v>1</v>
      </c>
      <c r="Q274" s="389">
        <f t="shared" si="120"/>
        <v>4</v>
      </c>
      <c r="R274" s="389">
        <f t="shared" si="121"/>
        <v>1</v>
      </c>
      <c r="S274" s="389">
        <f t="shared" si="122"/>
        <v>0</v>
      </c>
      <c r="U274" s="389">
        <f t="shared" si="123"/>
        <v>1</v>
      </c>
      <c r="V274" s="389" t="b">
        <f t="shared" si="124"/>
        <v>0</v>
      </c>
      <c r="W274" s="389">
        <f t="shared" si="125"/>
        <v>-1</v>
      </c>
      <c r="X274" s="389">
        <f t="shared" si="126"/>
        <v>1</v>
      </c>
      <c r="Y274" s="389" t="b">
        <f t="shared" si="144"/>
        <v>0</v>
      </c>
      <c r="Z274" s="389">
        <f t="shared" si="127"/>
        <v>-1</v>
      </c>
      <c r="AA274" s="389">
        <f t="shared" si="128"/>
        <v>1</v>
      </c>
      <c r="AB274" s="389" t="b">
        <f t="shared" si="129"/>
        <v>0</v>
      </c>
      <c r="AC274" s="389">
        <f t="shared" si="130"/>
        <v>-1</v>
      </c>
      <c r="AD274" s="389">
        <f t="shared" si="131"/>
        <v>1</v>
      </c>
      <c r="AE274" s="389">
        <f t="shared" si="132"/>
        <v>1</v>
      </c>
      <c r="AG274" s="311" t="str">
        <f t="shared" si="133"/>
        <v>Ch E Male Mini Soccer-</v>
      </c>
      <c r="AH274" s="453">
        <f t="shared" si="134"/>
        <v>1</v>
      </c>
      <c r="AI274" s="453">
        <f t="shared" si="135"/>
        <v>1</v>
      </c>
      <c r="AJ274" t="str">
        <f t="array" ref="AJ274">IF(AND(AI274&gt;1,G274&lt;&gt;""),INDEX(FS_teams,MATCH(1,(FS_Keys=AG274)*(FS_Points=I274)*(FS_teams&lt;&gt;G274),0)),"")</f>
        <v/>
      </c>
      <c r="AK274" s="390" t="str">
        <f t="array" ref="AK274">IF(AJ274&lt;&gt;"",INDEX(TM_Score1,MATCH(1,(TM_Events=D274)*(TM_Participant1=G274)*(TM_Participant2=AJ274),0)),"")</f>
        <v/>
      </c>
      <c r="AL274" s="390" t="str">
        <f t="array" ref="AL274">IF(AJ274&lt;&gt;"",INDEX(TM_Score1,MATCH(1,(TM_Events=D274)*(TM_Participant1=AJ274)*(TM_Participant2=G274),0)),"")</f>
        <v/>
      </c>
      <c r="AM274" s="389" t="str">
        <f t="array" ref="AM274">IF(ISNUMBER(AK274),INDEX(TM_Score2,MATCH(1,(TM_Events=D274)*(TM_Participant1=G274)*(TM_Participant2=AJ274),0)),"")</f>
        <v/>
      </c>
      <c r="AN274" s="389" t="str">
        <f t="array" ref="AN274">IF(ISNUMBER(AL274),INDEX(TM_Score2,MATCH(1,(TM_Events=D274)*(TM_Participant1=AJ274)*(TM_Participant2=G274),0)),"")</f>
        <v/>
      </c>
      <c r="AO274" s="389" t="str">
        <f t="shared" si="136"/>
        <v/>
      </c>
      <c r="AP274" s="389">
        <f t="shared" si="137"/>
        <v>4</v>
      </c>
      <c r="AQ274" s="389">
        <f t="shared" si="138"/>
        <v>0</v>
      </c>
      <c r="AR274" s="389">
        <f t="shared" si="139"/>
        <v>1</v>
      </c>
      <c r="AS274" s="453">
        <f t="shared" si="140"/>
        <v>5</v>
      </c>
      <c r="AT274" s="452">
        <f t="shared" si="141"/>
        <v>13</v>
      </c>
    </row>
    <row r="275" spans="1:46" ht="16" x14ac:dyDescent="0.2">
      <c r="A275" s="298"/>
      <c r="B275"/>
      <c r="D275" s="303" t="s">
        <v>62</v>
      </c>
      <c r="E275" s="396"/>
      <c r="F275" s="387">
        <v>1</v>
      </c>
      <c r="G275" s="397" t="s">
        <v>624</v>
      </c>
      <c r="H275" s="387" t="str">
        <f t="shared" si="116"/>
        <v>3-1-0</v>
      </c>
      <c r="I275" s="389">
        <f t="shared" si="117"/>
        <v>6</v>
      </c>
      <c r="J275" s="455">
        <f t="shared" si="142"/>
        <v>1</v>
      </c>
      <c r="K275" s="455">
        <f t="shared" si="118"/>
        <v>8</v>
      </c>
      <c r="L275" s="455" t="str">
        <f t="shared" si="143"/>
        <v/>
      </c>
      <c r="M275" s="389" t="str">
        <f>IFERROR(IF(AD275&lt;=VLOOKUP(D275,Tournaments!$A$1:$B$1772,2,FALSE),"TRUE","FALSE"),"")</f>
        <v>TRUE</v>
      </c>
      <c r="N275" s="389">
        <v>1</v>
      </c>
      <c r="O275" s="389">
        <f t="shared" si="119"/>
        <v>2</v>
      </c>
      <c r="Q275" s="389">
        <f t="shared" si="120"/>
        <v>3</v>
      </c>
      <c r="R275" s="389">
        <f t="shared" si="121"/>
        <v>1</v>
      </c>
      <c r="S275" s="389">
        <f t="shared" si="122"/>
        <v>0</v>
      </c>
      <c r="U275" s="389">
        <f t="shared" si="123"/>
        <v>3</v>
      </c>
      <c r="V275" s="389">
        <f t="shared" si="124"/>
        <v>2.5000000000000001E-3</v>
      </c>
      <c r="W275" s="389">
        <f t="shared" si="125"/>
        <v>-2.9975000000000001</v>
      </c>
      <c r="X275" s="389">
        <f t="shared" si="126"/>
        <v>3</v>
      </c>
      <c r="Y275" s="389">
        <f t="shared" si="144"/>
        <v>7.4399999999999994E-2</v>
      </c>
      <c r="Z275" s="389">
        <f t="shared" si="127"/>
        <v>-2.9256000000000002</v>
      </c>
      <c r="AA275" s="389">
        <f t="shared" si="128"/>
        <v>2</v>
      </c>
      <c r="AB275" s="389" t="b">
        <f t="shared" si="129"/>
        <v>0</v>
      </c>
      <c r="AC275" s="389">
        <f t="shared" si="130"/>
        <v>-2</v>
      </c>
      <c r="AD275" s="389">
        <f t="shared" si="131"/>
        <v>2</v>
      </c>
      <c r="AE275" s="389">
        <f t="shared" si="132"/>
        <v>2</v>
      </c>
      <c r="AG275" s="311" t="str">
        <f t="shared" si="133"/>
        <v>Ch E Male Mini Soccer-</v>
      </c>
      <c r="AH275" s="453">
        <f t="shared" si="134"/>
        <v>2</v>
      </c>
      <c r="AI275" s="453">
        <f t="shared" si="135"/>
        <v>2</v>
      </c>
      <c r="AJ275" t="str">
        <f t="array" ref="AJ275">IF(AND(AI275&gt;1,G275&lt;&gt;""),INDEX(FS_teams,MATCH(1,(FS_Keys=AG275)*(FS_Points=I275)*(FS_teams&lt;&gt;G275),0)),"")</f>
        <v>CHILD EM - PER</v>
      </c>
      <c r="AK275" s="390" t="e">
        <f t="array" ref="AK275">IF(AJ275&lt;&gt;"",INDEX(TM_Score1,MATCH(1,(TM_Events=D275)*(TM_Participant1=G275)*(TM_Participant2=AJ275),0)),"")</f>
        <v>#N/A</v>
      </c>
      <c r="AL275" s="390" t="e">
        <f t="array" ref="AL275">IF(AJ275&lt;&gt;"",INDEX(TM_Score1,MATCH(1,(TM_Events=D275)*(TM_Participant1=AJ275)*(TM_Participant2=G275),0)),"")</f>
        <v>#N/A</v>
      </c>
      <c r="AM275" s="389" t="str">
        <f t="array" ref="AM275">IF(ISNUMBER(AK275),INDEX(TM_Score2,MATCH(1,(TM_Events=D275)*(TM_Participant1=G275)*(TM_Participant2=AJ275),0)),"")</f>
        <v/>
      </c>
      <c r="AN275" s="389" t="str">
        <f t="array" ref="AN275">IF(ISNUMBER(AL275),INDEX(TM_Score2,MATCH(1,(TM_Events=D275)*(TM_Participant1=AJ275)*(TM_Participant2=G275),0)),"")</f>
        <v/>
      </c>
      <c r="AO275" s="389" t="str">
        <f t="shared" si="136"/>
        <v>did not play</v>
      </c>
      <c r="AP275" s="389">
        <f t="shared" si="137"/>
        <v>3</v>
      </c>
      <c r="AQ275" s="389">
        <f t="shared" si="138"/>
        <v>0</v>
      </c>
      <c r="AR275" s="389">
        <f t="shared" si="139"/>
        <v>1</v>
      </c>
      <c r="AS275" s="453">
        <f t="shared" si="140"/>
        <v>8</v>
      </c>
      <c r="AT275" s="452">
        <f t="shared" si="141"/>
        <v>22</v>
      </c>
    </row>
    <row r="276" spans="1:46" ht="16" x14ac:dyDescent="0.2">
      <c r="A276" s="298"/>
      <c r="B276"/>
      <c r="D276" s="303" t="s">
        <v>62</v>
      </c>
      <c r="E276" s="387"/>
      <c r="F276" s="387">
        <v>1</v>
      </c>
      <c r="G276" s="397" t="s">
        <v>717</v>
      </c>
      <c r="H276" s="387" t="str">
        <f t="shared" si="116"/>
        <v>1-2-0</v>
      </c>
      <c r="I276" s="389">
        <f t="shared" si="117"/>
        <v>2</v>
      </c>
      <c r="J276" s="455">
        <f t="shared" si="142"/>
        <v>1</v>
      </c>
      <c r="K276" s="455">
        <f t="shared" si="118"/>
        <v>-4</v>
      </c>
      <c r="L276" s="455" t="str">
        <f t="shared" si="143"/>
        <v/>
      </c>
      <c r="M276" s="389" t="str">
        <f>IFERROR(IF(AD276&lt;=VLOOKUP(D276,Tournaments!$A$1:$B$1772,2,FALSE),"TRUE","FALSE"),"")</f>
        <v>FALSE</v>
      </c>
      <c r="N276" s="389">
        <v>1</v>
      </c>
      <c r="O276" s="389">
        <f t="shared" si="119"/>
        <v>8</v>
      </c>
      <c r="Q276" s="389">
        <f t="shared" si="120"/>
        <v>1</v>
      </c>
      <c r="R276" s="389">
        <f t="shared" si="121"/>
        <v>2</v>
      </c>
      <c r="S276" s="389">
        <f t="shared" si="122"/>
        <v>0</v>
      </c>
      <c r="U276" s="389">
        <f t="shared" si="123"/>
        <v>8</v>
      </c>
      <c r="V276" s="389">
        <f t="shared" si="124"/>
        <v>2.5000000000000001E-3</v>
      </c>
      <c r="W276" s="389">
        <f t="shared" si="125"/>
        <v>-7.9974999999999996</v>
      </c>
      <c r="X276" s="389">
        <f t="shared" si="126"/>
        <v>8</v>
      </c>
      <c r="Y276" s="389">
        <f t="shared" si="144"/>
        <v>7.3000000000000001E-3</v>
      </c>
      <c r="Z276" s="389">
        <f t="shared" si="127"/>
        <v>-7.9927000000000001</v>
      </c>
      <c r="AA276" s="389">
        <f t="shared" si="128"/>
        <v>8</v>
      </c>
      <c r="AB276" s="389" t="b">
        <f t="shared" si="129"/>
        <v>0</v>
      </c>
      <c r="AC276" s="389">
        <f t="shared" si="130"/>
        <v>-8</v>
      </c>
      <c r="AD276" s="389">
        <f t="shared" si="131"/>
        <v>8</v>
      </c>
      <c r="AE276" s="389">
        <f t="shared" si="132"/>
        <v>2</v>
      </c>
      <c r="AG276" s="311" t="str">
        <f t="shared" si="133"/>
        <v>Ch E Male Mini Soccer-</v>
      </c>
      <c r="AH276" s="453">
        <f t="shared" si="134"/>
        <v>7</v>
      </c>
      <c r="AI276" s="453">
        <f t="shared" si="135"/>
        <v>2</v>
      </c>
      <c r="AJ276" t="str">
        <f t="array" ref="AJ276">IF(AND(AI276&gt;1,G276&lt;&gt;""),INDEX(FS_teams,MATCH(1,(FS_Keys=AG276)*(FS_Points=I276)*(FS_teams&lt;&gt;G276),0)),"")</f>
        <v>CHILD EM - VEN 2</v>
      </c>
      <c r="AK276" s="390" t="e">
        <f t="array" ref="AK276">IF(AJ276&lt;&gt;"",INDEX(TM_Score1,MATCH(1,(TM_Events=D276)*(TM_Participant1=G276)*(TM_Participant2=AJ276),0)),"")</f>
        <v>#N/A</v>
      </c>
      <c r="AL276" s="390" t="e">
        <f t="array" ref="AL276">IF(AJ276&lt;&gt;"",INDEX(TM_Score1,MATCH(1,(TM_Events=D276)*(TM_Participant1=AJ276)*(TM_Participant2=G276),0)),"")</f>
        <v>#N/A</v>
      </c>
      <c r="AM276" s="389" t="str">
        <f t="array" ref="AM276">IF(ISNUMBER(AK276),INDEX(TM_Score2,MATCH(1,(TM_Events=D276)*(TM_Participant1=G276)*(TM_Participant2=AJ276),0)),"")</f>
        <v/>
      </c>
      <c r="AN276" s="389" t="str">
        <f t="array" ref="AN276">IF(ISNUMBER(AL276),INDEX(TM_Score2,MATCH(1,(TM_Events=D276)*(TM_Participant1=AJ276)*(TM_Participant2=G276),0)),"")</f>
        <v/>
      </c>
      <c r="AO276" s="389" t="str">
        <f t="shared" si="136"/>
        <v>did not play</v>
      </c>
      <c r="AP276" s="389">
        <f t="shared" si="137"/>
        <v>1</v>
      </c>
      <c r="AQ276" s="389">
        <f t="shared" si="138"/>
        <v>0</v>
      </c>
      <c r="AR276" s="389">
        <f t="shared" si="139"/>
        <v>2</v>
      </c>
      <c r="AS276" s="453">
        <f t="shared" si="140"/>
        <v>-4</v>
      </c>
      <c r="AT276" s="452">
        <f t="shared" si="141"/>
        <v>2</v>
      </c>
    </row>
    <row r="277" spans="1:46" ht="16" x14ac:dyDescent="0.2">
      <c r="A277" s="298"/>
      <c r="B277"/>
      <c r="D277" s="303" t="s">
        <v>62</v>
      </c>
      <c r="E277" s="396"/>
      <c r="F277" s="387">
        <v>1</v>
      </c>
      <c r="G277" s="397" t="s">
        <v>620</v>
      </c>
      <c r="H277" s="387" t="str">
        <f t="shared" si="116"/>
        <v>3-2-0</v>
      </c>
      <c r="I277" s="389">
        <f t="shared" si="117"/>
        <v>6</v>
      </c>
      <c r="J277" s="455">
        <f t="shared" si="142"/>
        <v>1</v>
      </c>
      <c r="K277" s="455">
        <f t="shared" si="118"/>
        <v>7</v>
      </c>
      <c r="L277" s="455" t="str">
        <f t="shared" si="143"/>
        <v/>
      </c>
      <c r="M277" s="389" t="str">
        <f>IFERROR(IF(AD277&lt;=VLOOKUP(D277,Tournaments!$A$1:$B$1772,2,FALSE),"TRUE","FALSE"),"")</f>
        <v>TRUE</v>
      </c>
      <c r="N277" s="389">
        <v>1</v>
      </c>
      <c r="O277" s="389">
        <f t="shared" si="119"/>
        <v>3</v>
      </c>
      <c r="Q277" s="389">
        <f t="shared" si="120"/>
        <v>3</v>
      </c>
      <c r="R277" s="389">
        <f t="shared" si="121"/>
        <v>2</v>
      </c>
      <c r="S277" s="389">
        <f t="shared" si="122"/>
        <v>0</v>
      </c>
      <c r="U277" s="389">
        <f t="shared" si="123"/>
        <v>3</v>
      </c>
      <c r="V277" s="389">
        <f t="shared" si="124"/>
        <v>2.5000000000000001E-3</v>
      </c>
      <c r="W277" s="389">
        <f t="shared" si="125"/>
        <v>-2.9975000000000001</v>
      </c>
      <c r="X277" s="389">
        <f t="shared" si="126"/>
        <v>3</v>
      </c>
      <c r="Y277" s="389">
        <f t="shared" si="144"/>
        <v>7.3999999999999996E-2</v>
      </c>
      <c r="Z277" s="389">
        <f t="shared" si="127"/>
        <v>-2.9260000000000002</v>
      </c>
      <c r="AA277" s="389">
        <f t="shared" si="128"/>
        <v>3</v>
      </c>
      <c r="AB277" s="389" t="b">
        <f t="shared" si="129"/>
        <v>0</v>
      </c>
      <c r="AC277" s="389">
        <f t="shared" si="130"/>
        <v>-3</v>
      </c>
      <c r="AD277" s="389">
        <f t="shared" si="131"/>
        <v>3</v>
      </c>
      <c r="AE277" s="389">
        <f t="shared" si="132"/>
        <v>2</v>
      </c>
      <c r="AG277" s="311" t="str">
        <f t="shared" si="133"/>
        <v>Ch E Male Mini Soccer-</v>
      </c>
      <c r="AH277" s="453">
        <f t="shared" si="134"/>
        <v>2</v>
      </c>
      <c r="AI277" s="453">
        <f t="shared" si="135"/>
        <v>2</v>
      </c>
      <c r="AJ277" t="str">
        <f t="array" ref="AJ277">IF(AND(AI277&gt;1,G277&lt;&gt;""),INDEX(FS_teams,MATCH(1,(FS_Keys=AG277)*(FS_Points=I277)*(FS_teams&lt;&gt;G277),0)),"")</f>
        <v>CHILD EM - VEN 1</v>
      </c>
      <c r="AK277" s="390" t="e">
        <f t="array" ref="AK277">IF(AJ277&lt;&gt;"",INDEX(TM_Score1,MATCH(1,(TM_Events=D277)*(TM_Participant1=G277)*(TM_Participant2=AJ277),0)),"")</f>
        <v>#N/A</v>
      </c>
      <c r="AL277" s="390" t="e">
        <f t="array" ref="AL277">IF(AJ277&lt;&gt;"",INDEX(TM_Score1,MATCH(1,(TM_Events=D277)*(TM_Participant1=AJ277)*(TM_Participant2=G277),0)),"")</f>
        <v>#N/A</v>
      </c>
      <c r="AM277" s="389" t="str">
        <f t="array" ref="AM277">IF(ISNUMBER(AK277),INDEX(TM_Score2,MATCH(1,(TM_Events=D277)*(TM_Participant1=G277)*(TM_Participant2=AJ277),0)),"")</f>
        <v/>
      </c>
      <c r="AN277" s="389" t="str">
        <f t="array" ref="AN277">IF(ISNUMBER(AL277),INDEX(TM_Score2,MATCH(1,(TM_Events=D277)*(TM_Participant1=AJ277)*(TM_Participant2=G277),0)),"")</f>
        <v/>
      </c>
      <c r="AO277" s="389" t="str">
        <f t="shared" si="136"/>
        <v>did not play</v>
      </c>
      <c r="AP277" s="389">
        <f t="shared" si="137"/>
        <v>3</v>
      </c>
      <c r="AQ277" s="389">
        <f t="shared" si="138"/>
        <v>0</v>
      </c>
      <c r="AR277" s="389">
        <f t="shared" si="139"/>
        <v>2</v>
      </c>
      <c r="AS277" s="453">
        <f t="shared" si="140"/>
        <v>7</v>
      </c>
      <c r="AT277" s="452">
        <f t="shared" si="141"/>
        <v>24</v>
      </c>
    </row>
    <row r="278" spans="1:46" ht="16" x14ac:dyDescent="0.2">
      <c r="A278" s="298"/>
      <c r="B278"/>
      <c r="D278" s="303" t="s">
        <v>66</v>
      </c>
      <c r="E278" s="396"/>
      <c r="F278" s="398">
        <v>1</v>
      </c>
      <c r="G278" s="397" t="s">
        <v>624</v>
      </c>
      <c r="H278" s="387" t="str">
        <f t="shared" si="116"/>
        <v>2-1-0</v>
      </c>
      <c r="I278" s="389">
        <f t="shared" si="117"/>
        <v>4</v>
      </c>
      <c r="J278" s="455">
        <f t="shared" si="142"/>
        <v>1</v>
      </c>
      <c r="K278" s="455">
        <f t="shared" si="118"/>
        <v>2</v>
      </c>
      <c r="L278" s="455" t="str">
        <f t="shared" si="143"/>
        <v/>
      </c>
      <c r="M278" s="389" t="str">
        <f>IFERROR(IF(AD278&lt;=VLOOKUP(D278,Tournaments!$A$1:$B$1772,2,FALSE),"TRUE","FALSE"),"")</f>
        <v>FALSE</v>
      </c>
      <c r="N278" s="389">
        <v>1</v>
      </c>
      <c r="O278" s="389">
        <f t="shared" si="119"/>
        <v>4</v>
      </c>
      <c r="Q278" s="389">
        <f t="shared" si="120"/>
        <v>2</v>
      </c>
      <c r="R278" s="389">
        <f t="shared" si="121"/>
        <v>1</v>
      </c>
      <c r="S278" s="389">
        <f t="shared" si="122"/>
        <v>0</v>
      </c>
      <c r="U278" s="389">
        <f t="shared" si="123"/>
        <v>5</v>
      </c>
      <c r="V278" s="389">
        <f t="shared" si="124"/>
        <v>2.5000000000000001E-3</v>
      </c>
      <c r="W278" s="389">
        <f t="shared" si="125"/>
        <v>-4.9974999999999996</v>
      </c>
      <c r="X278" s="389">
        <f t="shared" si="126"/>
        <v>5</v>
      </c>
      <c r="Y278" s="389">
        <f t="shared" si="144"/>
        <v>7.1499999999999994E-2</v>
      </c>
      <c r="Z278" s="389">
        <f t="shared" si="127"/>
        <v>-4.9284999999999997</v>
      </c>
      <c r="AA278" s="389">
        <f t="shared" si="128"/>
        <v>4</v>
      </c>
      <c r="AB278" s="389" t="b">
        <f t="shared" si="129"/>
        <v>0</v>
      </c>
      <c r="AC278" s="389">
        <f t="shared" si="130"/>
        <v>-4</v>
      </c>
      <c r="AD278" s="389">
        <f t="shared" si="131"/>
        <v>4</v>
      </c>
      <c r="AE278" s="389">
        <f t="shared" si="132"/>
        <v>3</v>
      </c>
      <c r="AG278" s="311" t="str">
        <f t="shared" si="133"/>
        <v>Ch E Male Volleyball-</v>
      </c>
      <c r="AH278" s="453">
        <f t="shared" si="134"/>
        <v>3</v>
      </c>
      <c r="AI278" s="453">
        <f t="shared" si="135"/>
        <v>3</v>
      </c>
      <c r="AJ278" t="str">
        <f t="array" ref="AJ278">IF(AND(AI278&gt;1,G278&lt;&gt;""),INDEX(FS_teams,MATCH(1,(FS_Keys=AG278)*(FS_Points=I278)*(FS_teams&lt;&gt;G278),0)),"")</f>
        <v>CHILD EM - COL 1</v>
      </c>
      <c r="AK278" s="390" t="e">
        <f t="array" ref="AK278">IF(AJ278&lt;&gt;"",INDEX(TM_Score1,MATCH(1,(TM_Events=D278)*(TM_Participant1=G278)*(TM_Participant2=AJ278),0)),"")</f>
        <v>#N/A</v>
      </c>
      <c r="AL278" s="390">
        <f t="array" ref="AL278">IF(AJ278&lt;&gt;"",INDEX(TM_Score1,MATCH(1,(TM_Events=D278)*(TM_Participant1=AJ278)*(TM_Participant2=G278),0)),"")</f>
        <v>2</v>
      </c>
      <c r="AM278" s="389" t="str">
        <f t="array" ref="AM278">IF(ISNUMBER(AK278),INDEX(TM_Score2,MATCH(1,(TM_Events=D278)*(TM_Participant1=G278)*(TM_Participant2=AJ278),0)),"")</f>
        <v/>
      </c>
      <c r="AN278" s="389">
        <f t="array" ref="AN278">IF(ISNUMBER(AL278),INDEX(TM_Score2,MATCH(1,(TM_Events=D278)*(TM_Participant1=AJ278)*(TM_Participant2=G278),0)),"")</f>
        <v>0</v>
      </c>
      <c r="AO278" s="389" t="str">
        <f t="shared" si="136"/>
        <v>Loss</v>
      </c>
      <c r="AP278" s="389">
        <f t="shared" si="137"/>
        <v>2</v>
      </c>
      <c r="AQ278" s="389">
        <f t="shared" si="138"/>
        <v>0</v>
      </c>
      <c r="AR278" s="389">
        <f t="shared" si="139"/>
        <v>1</v>
      </c>
      <c r="AS278" s="453">
        <f t="shared" si="140"/>
        <v>2</v>
      </c>
      <c r="AT278" s="452">
        <f t="shared" si="141"/>
        <v>4</v>
      </c>
    </row>
    <row r="279" spans="1:46" ht="16" x14ac:dyDescent="0.2">
      <c r="A279" s="298"/>
      <c r="B279"/>
      <c r="D279" s="309" t="s">
        <v>66</v>
      </c>
      <c r="E279" s="396"/>
      <c r="F279" s="398">
        <v>1</v>
      </c>
      <c r="G279" s="397" t="s">
        <v>716</v>
      </c>
      <c r="H279" s="387" t="str">
        <f t="shared" si="116"/>
        <v>3-1-0</v>
      </c>
      <c r="I279" s="389">
        <f t="shared" si="117"/>
        <v>6</v>
      </c>
      <c r="J279" s="455" t="str">
        <f t="shared" si="142"/>
        <v/>
      </c>
      <c r="K279" s="455" t="str">
        <f t="shared" si="118"/>
        <v/>
      </c>
      <c r="L279" s="455" t="str">
        <f t="shared" si="143"/>
        <v/>
      </c>
      <c r="M279" s="389" t="str">
        <f>IFERROR(IF(AD279&lt;=VLOOKUP(D279,Tournaments!$A$1:$B$1772,2,FALSE),"TRUE","FALSE"),"")</f>
        <v>TRUE</v>
      </c>
      <c r="N279" s="389">
        <v>1</v>
      </c>
      <c r="O279" s="389">
        <f t="shared" si="119"/>
        <v>2</v>
      </c>
      <c r="Q279" s="389">
        <f t="shared" si="120"/>
        <v>3</v>
      </c>
      <c r="R279" s="389">
        <f t="shared" si="121"/>
        <v>1</v>
      </c>
      <c r="S279" s="389">
        <f t="shared" si="122"/>
        <v>0</v>
      </c>
      <c r="U279" s="389">
        <f t="shared" si="123"/>
        <v>2</v>
      </c>
      <c r="V279" s="389" t="b">
        <f t="shared" si="124"/>
        <v>0</v>
      </c>
      <c r="W279" s="389">
        <f t="shared" si="125"/>
        <v>-2</v>
      </c>
      <c r="X279" s="389">
        <f t="shared" si="126"/>
        <v>2</v>
      </c>
      <c r="Y279" s="389" t="b">
        <f t="shared" si="144"/>
        <v>0</v>
      </c>
      <c r="Z279" s="389">
        <f t="shared" si="127"/>
        <v>-2</v>
      </c>
      <c r="AA279" s="389">
        <f t="shared" si="128"/>
        <v>2</v>
      </c>
      <c r="AB279" s="389" t="b">
        <f t="shared" si="129"/>
        <v>0</v>
      </c>
      <c r="AC279" s="389">
        <f t="shared" si="130"/>
        <v>-2</v>
      </c>
      <c r="AD279" s="389">
        <f t="shared" si="131"/>
        <v>2</v>
      </c>
      <c r="AE279" s="389">
        <f t="shared" si="132"/>
        <v>1</v>
      </c>
      <c r="AG279" s="311" t="str">
        <f t="shared" si="133"/>
        <v>Ch E Male Volleyball-</v>
      </c>
      <c r="AH279" s="453">
        <f t="shared" si="134"/>
        <v>2</v>
      </c>
      <c r="AI279" s="453">
        <f t="shared" si="135"/>
        <v>1</v>
      </c>
      <c r="AJ279" t="str">
        <f t="array" ref="AJ279">IF(AND(AI279&gt;1,G279&lt;&gt;""),INDEX(FS_teams,MATCH(1,(FS_Keys=AG279)*(FS_Points=I279)*(FS_teams&lt;&gt;G279),0)),"")</f>
        <v/>
      </c>
      <c r="AK279" s="390" t="str">
        <f t="array" ref="AK279">IF(AJ279&lt;&gt;"",INDEX(TM_Score1,MATCH(1,(TM_Events=D279)*(TM_Participant1=G279)*(TM_Participant2=AJ279),0)),"")</f>
        <v/>
      </c>
      <c r="AL279" s="390" t="str">
        <f t="array" ref="AL279">IF(AJ279&lt;&gt;"",INDEX(TM_Score1,MATCH(1,(TM_Events=D279)*(TM_Participant1=AJ279)*(TM_Participant2=G279),0)),"")</f>
        <v/>
      </c>
      <c r="AM279" s="389" t="str">
        <f t="array" ref="AM279">IF(ISNUMBER(AK279),INDEX(TM_Score2,MATCH(1,(TM_Events=D279)*(TM_Participant1=G279)*(TM_Participant2=AJ279),0)),"")</f>
        <v/>
      </c>
      <c r="AN279" s="389" t="str">
        <f t="array" ref="AN279">IF(ISNUMBER(AL279),INDEX(TM_Score2,MATCH(1,(TM_Events=D279)*(TM_Participant1=AJ279)*(TM_Participant2=G279),0)),"")</f>
        <v/>
      </c>
      <c r="AO279" s="389" t="str">
        <f t="shared" si="136"/>
        <v/>
      </c>
      <c r="AP279" s="389">
        <f t="shared" si="137"/>
        <v>3</v>
      </c>
      <c r="AQ279" s="389">
        <f t="shared" si="138"/>
        <v>0</v>
      </c>
      <c r="AR279" s="389">
        <f t="shared" si="139"/>
        <v>1</v>
      </c>
      <c r="AS279" s="453">
        <f t="shared" si="140"/>
        <v>4</v>
      </c>
      <c r="AT279" s="452">
        <f t="shared" si="141"/>
        <v>6</v>
      </c>
    </row>
    <row r="280" spans="1:46" ht="16" x14ac:dyDescent="0.2">
      <c r="A280" s="298"/>
      <c r="B280"/>
      <c r="D280" s="303" t="s">
        <v>66</v>
      </c>
      <c r="E280" s="396"/>
      <c r="F280" s="398">
        <v>1</v>
      </c>
      <c r="G280" s="397" t="s">
        <v>620</v>
      </c>
      <c r="H280" s="387" t="str">
        <f t="shared" si="116"/>
        <v>4-0-0</v>
      </c>
      <c r="I280" s="389">
        <f t="shared" si="117"/>
        <v>8</v>
      </c>
      <c r="J280" s="455" t="str">
        <f t="shared" si="142"/>
        <v/>
      </c>
      <c r="K280" s="455" t="str">
        <f t="shared" si="118"/>
        <v/>
      </c>
      <c r="L280" s="455" t="str">
        <f t="shared" si="143"/>
        <v/>
      </c>
      <c r="M280" s="389" t="str">
        <f>IFERROR(IF(AD280&lt;=VLOOKUP(D280,Tournaments!$A$1:$B$1772,2,FALSE),"TRUE","FALSE"),"")</f>
        <v>TRUE</v>
      </c>
      <c r="N280" s="389">
        <v>1</v>
      </c>
      <c r="O280" s="389">
        <f t="shared" si="119"/>
        <v>1</v>
      </c>
      <c r="Q280" s="389">
        <f t="shared" si="120"/>
        <v>4</v>
      </c>
      <c r="R280" s="389">
        <f t="shared" si="121"/>
        <v>0</v>
      </c>
      <c r="S280" s="389">
        <f t="shared" si="122"/>
        <v>0</v>
      </c>
      <c r="U280" s="389">
        <f t="shared" si="123"/>
        <v>1</v>
      </c>
      <c r="V280" s="389" t="b">
        <f t="shared" si="124"/>
        <v>0</v>
      </c>
      <c r="W280" s="389">
        <f t="shared" si="125"/>
        <v>-1</v>
      </c>
      <c r="X280" s="389">
        <f t="shared" si="126"/>
        <v>1</v>
      </c>
      <c r="Y280" s="389" t="b">
        <f t="shared" si="144"/>
        <v>0</v>
      </c>
      <c r="Z280" s="389">
        <f t="shared" si="127"/>
        <v>-1</v>
      </c>
      <c r="AA280" s="389">
        <f t="shared" si="128"/>
        <v>1</v>
      </c>
      <c r="AB280" s="389" t="b">
        <f t="shared" si="129"/>
        <v>0</v>
      </c>
      <c r="AC280" s="389">
        <f t="shared" si="130"/>
        <v>-1</v>
      </c>
      <c r="AD280" s="389">
        <f t="shared" si="131"/>
        <v>1</v>
      </c>
      <c r="AE280" s="389">
        <f t="shared" si="132"/>
        <v>1</v>
      </c>
      <c r="AG280" s="311" t="str">
        <f t="shared" si="133"/>
        <v>Ch E Male Volleyball-</v>
      </c>
      <c r="AH280" s="453">
        <f t="shared" si="134"/>
        <v>1</v>
      </c>
      <c r="AI280" s="453">
        <f t="shared" si="135"/>
        <v>1</v>
      </c>
      <c r="AJ280" t="str">
        <f t="array" ref="AJ280">IF(AND(AI280&gt;1,G280&lt;&gt;""),INDEX(FS_teams,MATCH(1,(FS_Keys=AG280)*(FS_Points=I280)*(FS_teams&lt;&gt;G280),0)),"")</f>
        <v/>
      </c>
      <c r="AK280" s="390" t="str">
        <f t="array" ref="AK280">IF(AJ280&lt;&gt;"",INDEX(TM_Score1,MATCH(1,(TM_Events=D280)*(TM_Participant1=G280)*(TM_Participant2=AJ280),0)),"")</f>
        <v/>
      </c>
      <c r="AL280" s="390" t="str">
        <f t="array" ref="AL280">IF(AJ280&lt;&gt;"",INDEX(TM_Score1,MATCH(1,(TM_Events=D280)*(TM_Participant1=AJ280)*(TM_Participant2=G280),0)),"")</f>
        <v/>
      </c>
      <c r="AM280" s="389" t="str">
        <f t="array" ref="AM280">IF(ISNUMBER(AK280),INDEX(TM_Score2,MATCH(1,(TM_Events=D280)*(TM_Participant1=G280)*(TM_Participant2=AJ280),0)),"")</f>
        <v/>
      </c>
      <c r="AN280" s="389" t="str">
        <f t="array" ref="AN280">IF(ISNUMBER(AL280),INDEX(TM_Score2,MATCH(1,(TM_Events=D280)*(TM_Participant1=AJ280)*(TM_Participant2=G280),0)),"")</f>
        <v/>
      </c>
      <c r="AO280" s="389" t="str">
        <f t="shared" si="136"/>
        <v/>
      </c>
      <c r="AP280" s="389">
        <f t="shared" si="137"/>
        <v>4</v>
      </c>
      <c r="AQ280" s="389">
        <f t="shared" si="138"/>
        <v>0</v>
      </c>
      <c r="AR280" s="389">
        <f t="shared" si="139"/>
        <v>0</v>
      </c>
      <c r="AS280" s="453">
        <f t="shared" si="140"/>
        <v>7</v>
      </c>
      <c r="AT280" s="452">
        <f t="shared" si="141"/>
        <v>8</v>
      </c>
    </row>
    <row r="281" spans="1:46" ht="16" x14ac:dyDescent="0.2">
      <c r="A281" s="298"/>
      <c r="B281"/>
      <c r="D281" s="303" t="s">
        <v>66</v>
      </c>
      <c r="E281" s="396"/>
      <c r="F281" s="398">
        <v>1</v>
      </c>
      <c r="G281" s="397" t="s">
        <v>616</v>
      </c>
      <c r="H281" s="387" t="str">
        <f t="shared" si="116"/>
        <v>1-2-0</v>
      </c>
      <c r="I281" s="389">
        <f t="shared" si="117"/>
        <v>2</v>
      </c>
      <c r="J281" s="455">
        <f t="shared" si="142"/>
        <v>1</v>
      </c>
      <c r="K281" s="455">
        <f t="shared" si="118"/>
        <v>-1</v>
      </c>
      <c r="L281" s="455" t="str">
        <f t="shared" si="143"/>
        <v/>
      </c>
      <c r="M281" s="389" t="str">
        <f>IFERROR(IF(AD281&lt;=VLOOKUP(D281,Tournaments!$A$1:$B$1772,2,FALSE),"TRUE","FALSE"),"")</f>
        <v>FALSE</v>
      </c>
      <c r="N281" s="389">
        <v>1</v>
      </c>
      <c r="O281" s="389">
        <f t="shared" si="119"/>
        <v>6</v>
      </c>
      <c r="Q281" s="389">
        <f t="shared" si="120"/>
        <v>1</v>
      </c>
      <c r="R281" s="389">
        <f t="shared" si="121"/>
        <v>2</v>
      </c>
      <c r="S281" s="389">
        <f t="shared" si="122"/>
        <v>0</v>
      </c>
      <c r="U281" s="389">
        <f t="shared" si="123"/>
        <v>8</v>
      </c>
      <c r="V281" s="389">
        <f t="shared" si="124"/>
        <v>2.5000000000000001E-3</v>
      </c>
      <c r="W281" s="389">
        <f t="shared" si="125"/>
        <v>-7.9974999999999996</v>
      </c>
      <c r="X281" s="389">
        <f t="shared" si="126"/>
        <v>8</v>
      </c>
      <c r="Y281" s="389">
        <f t="shared" si="144"/>
        <v>9.7999999999999997E-3</v>
      </c>
      <c r="Z281" s="389">
        <f t="shared" si="127"/>
        <v>-7.9901999999999997</v>
      </c>
      <c r="AA281" s="389">
        <f t="shared" si="128"/>
        <v>6</v>
      </c>
      <c r="AB281" s="389" t="b">
        <f t="shared" si="129"/>
        <v>0</v>
      </c>
      <c r="AC281" s="389">
        <f t="shared" si="130"/>
        <v>-6</v>
      </c>
      <c r="AD281" s="389">
        <f t="shared" si="131"/>
        <v>6</v>
      </c>
      <c r="AE281" s="389">
        <f t="shared" si="132"/>
        <v>3</v>
      </c>
      <c r="AG281" s="311" t="str">
        <f t="shared" si="133"/>
        <v>Ch E Male Volleyball-</v>
      </c>
      <c r="AH281" s="453">
        <f t="shared" si="134"/>
        <v>6</v>
      </c>
      <c r="AI281" s="453">
        <f t="shared" si="135"/>
        <v>3</v>
      </c>
      <c r="AJ281" t="str">
        <f t="array" ref="AJ281">IF(AND(AI281&gt;1,G281&lt;&gt;""),INDEX(FS_teams,MATCH(1,(FS_Keys=AG281)*(FS_Points=I281)*(FS_teams&lt;&gt;G281),0)),"")</f>
        <v>CHILD EM - VEN 2</v>
      </c>
      <c r="AK281" s="390">
        <f t="array" ref="AK281">IF(AJ281&lt;&gt;"",INDEX(TM_Score1,MATCH(1,(TM_Events=D281)*(TM_Participant1=G281)*(TM_Participant2=AJ281),0)),"")</f>
        <v>2</v>
      </c>
      <c r="AL281" s="390" t="e">
        <f t="array" ref="AL281">IF(AJ281&lt;&gt;"",INDEX(TM_Score1,MATCH(1,(TM_Events=D281)*(TM_Participant1=AJ281)*(TM_Participant2=G281),0)),"")</f>
        <v>#N/A</v>
      </c>
      <c r="AM281" s="389">
        <f t="array" ref="AM281">IF(ISNUMBER(AK281),INDEX(TM_Score2,MATCH(1,(TM_Events=D281)*(TM_Participant1=G281)*(TM_Participant2=AJ281),0)),"")</f>
        <v>0</v>
      </c>
      <c r="AN281" s="389" t="str">
        <f t="array" ref="AN281">IF(ISNUMBER(AL281),INDEX(TM_Score2,MATCH(1,(TM_Events=D281)*(TM_Participant1=AJ281)*(TM_Participant2=G281),0)),"")</f>
        <v/>
      </c>
      <c r="AO281" s="389" t="str">
        <f t="shared" si="136"/>
        <v>Win</v>
      </c>
      <c r="AP281" s="389">
        <f t="shared" si="137"/>
        <v>1</v>
      </c>
      <c r="AQ281" s="389">
        <f t="shared" si="138"/>
        <v>0</v>
      </c>
      <c r="AR281" s="389">
        <f t="shared" si="139"/>
        <v>2</v>
      </c>
      <c r="AS281" s="453">
        <f t="shared" si="140"/>
        <v>-1</v>
      </c>
      <c r="AT281" s="452">
        <f t="shared" si="141"/>
        <v>3</v>
      </c>
    </row>
    <row r="282" spans="1:46" ht="16" x14ac:dyDescent="0.2">
      <c r="A282" s="298"/>
      <c r="B282"/>
      <c r="D282" s="303" t="s">
        <v>66</v>
      </c>
      <c r="E282" s="396"/>
      <c r="F282" s="387">
        <v>1</v>
      </c>
      <c r="G282" s="397" t="s">
        <v>625</v>
      </c>
      <c r="H282" s="387" t="str">
        <f t="shared" si="116"/>
        <v>1-2-0</v>
      </c>
      <c r="I282" s="389">
        <f t="shared" si="117"/>
        <v>2</v>
      </c>
      <c r="J282" s="455">
        <f t="shared" si="142"/>
        <v>1</v>
      </c>
      <c r="K282" s="455">
        <f t="shared" si="118"/>
        <v>-3</v>
      </c>
      <c r="L282" s="455" t="str">
        <f t="shared" si="143"/>
        <v/>
      </c>
      <c r="M282" s="389" t="str">
        <f>IFERROR(IF(AD282&lt;=VLOOKUP(D282,Tournaments!$A$1:$B$1772,2,FALSE),"TRUE","FALSE"),"")</f>
        <v>FALSE</v>
      </c>
      <c r="N282" s="389">
        <v>1</v>
      </c>
      <c r="O282" s="389">
        <f t="shared" si="119"/>
        <v>8</v>
      </c>
      <c r="Q282" s="389">
        <f t="shared" si="120"/>
        <v>1</v>
      </c>
      <c r="R282" s="389">
        <f t="shared" si="121"/>
        <v>2</v>
      </c>
      <c r="S282" s="389">
        <f t="shared" si="122"/>
        <v>0</v>
      </c>
      <c r="U282" s="389">
        <f t="shared" si="123"/>
        <v>8</v>
      </c>
      <c r="V282" s="389">
        <f t="shared" si="124"/>
        <v>2.5000000000000001E-3</v>
      </c>
      <c r="W282" s="389">
        <f t="shared" si="125"/>
        <v>-7.9974999999999996</v>
      </c>
      <c r="X282" s="389">
        <f t="shared" si="126"/>
        <v>8</v>
      </c>
      <c r="Y282" s="389">
        <f t="shared" si="144"/>
        <v>8.0000000000000002E-3</v>
      </c>
      <c r="Z282" s="389">
        <f t="shared" si="127"/>
        <v>-7.992</v>
      </c>
      <c r="AA282" s="389">
        <f t="shared" si="128"/>
        <v>8</v>
      </c>
      <c r="AB282" s="389" t="b">
        <f t="shared" si="129"/>
        <v>0</v>
      </c>
      <c r="AC282" s="389">
        <f t="shared" si="130"/>
        <v>-8</v>
      </c>
      <c r="AD282" s="389">
        <f t="shared" si="131"/>
        <v>8</v>
      </c>
      <c r="AE282" s="389">
        <f t="shared" si="132"/>
        <v>3</v>
      </c>
      <c r="AG282" s="311" t="str">
        <f t="shared" si="133"/>
        <v>Ch E Male Volleyball-</v>
      </c>
      <c r="AH282" s="453">
        <f t="shared" si="134"/>
        <v>6</v>
      </c>
      <c r="AI282" s="453">
        <f t="shared" si="135"/>
        <v>3</v>
      </c>
      <c r="AJ282" t="str">
        <f t="array" ref="AJ282">IF(AND(AI282&gt;1,G282&lt;&gt;""),INDEX(FS_teams,MATCH(1,(FS_Keys=AG282)*(FS_Points=I282)*(FS_teams&lt;&gt;G282),0)),"")</f>
        <v>CHILD EM - ARG 1</v>
      </c>
      <c r="AK282" s="390" t="e">
        <f t="array" ref="AK282">IF(AJ282&lt;&gt;"",INDEX(TM_Score1,MATCH(1,(TM_Events=D282)*(TM_Participant1=G282)*(TM_Participant2=AJ282),0)),"")</f>
        <v>#N/A</v>
      </c>
      <c r="AL282" s="390">
        <f t="array" ref="AL282">IF(AJ282&lt;&gt;"",INDEX(TM_Score1,MATCH(1,(TM_Events=D282)*(TM_Participant1=AJ282)*(TM_Participant2=G282),0)),"")</f>
        <v>2</v>
      </c>
      <c r="AM282" s="389" t="str">
        <f t="array" ref="AM282">IF(ISNUMBER(AK282),INDEX(TM_Score2,MATCH(1,(TM_Events=D282)*(TM_Participant1=G282)*(TM_Participant2=AJ282),0)),"")</f>
        <v/>
      </c>
      <c r="AN282" s="389">
        <f t="array" ref="AN282">IF(ISNUMBER(AL282),INDEX(TM_Score2,MATCH(1,(TM_Events=D282)*(TM_Participant1=AJ282)*(TM_Participant2=G282),0)),"")</f>
        <v>0</v>
      </c>
      <c r="AO282" s="389" t="str">
        <f t="shared" si="136"/>
        <v>Loss</v>
      </c>
      <c r="AP282" s="389">
        <f t="shared" si="137"/>
        <v>1</v>
      </c>
      <c r="AQ282" s="389">
        <f t="shared" si="138"/>
        <v>0</v>
      </c>
      <c r="AR282" s="389">
        <f t="shared" si="139"/>
        <v>2</v>
      </c>
      <c r="AS282" s="453">
        <f t="shared" si="140"/>
        <v>-3</v>
      </c>
      <c r="AT282" s="452">
        <f t="shared" si="141"/>
        <v>1</v>
      </c>
    </row>
    <row r="283" spans="1:46" ht="16" x14ac:dyDescent="0.2">
      <c r="A283" s="298"/>
      <c r="B283"/>
      <c r="D283" s="303" t="s">
        <v>66</v>
      </c>
      <c r="E283" s="396"/>
      <c r="F283" s="398">
        <v>1</v>
      </c>
      <c r="G283" s="397" t="s">
        <v>621</v>
      </c>
      <c r="H283" s="387" t="str">
        <f t="shared" si="116"/>
        <v>0-3-0</v>
      </c>
      <c r="I283" s="389">
        <f t="shared" si="117"/>
        <v>0</v>
      </c>
      <c r="J283" s="455">
        <f t="shared" si="142"/>
        <v>1</v>
      </c>
      <c r="K283" s="455">
        <f t="shared" si="118"/>
        <v>-6</v>
      </c>
      <c r="L283" s="455" t="str">
        <f t="shared" si="143"/>
        <v/>
      </c>
      <c r="M283" s="389" t="str">
        <f>IFERROR(IF(AD283&lt;=VLOOKUP(D283,Tournaments!$A$1:$B$1772,2,FALSE),"TRUE","FALSE"),"")</f>
        <v>FALSE</v>
      </c>
      <c r="N283" s="389">
        <v>1</v>
      </c>
      <c r="O283" s="389">
        <f t="shared" si="119"/>
        <v>10</v>
      </c>
      <c r="Q283" s="389">
        <f t="shared" si="120"/>
        <v>0</v>
      </c>
      <c r="R283" s="389">
        <f t="shared" si="121"/>
        <v>3</v>
      </c>
      <c r="S283" s="389">
        <f t="shared" si="122"/>
        <v>0</v>
      </c>
      <c r="U283" s="389">
        <f t="shared" si="123"/>
        <v>10</v>
      </c>
      <c r="V283" s="389">
        <f t="shared" si="124"/>
        <v>2.5000000000000001E-3</v>
      </c>
      <c r="W283" s="389">
        <f t="shared" si="125"/>
        <v>-9.9975000000000005</v>
      </c>
      <c r="X283" s="389">
        <f t="shared" si="126"/>
        <v>10</v>
      </c>
      <c r="Y283" s="389">
        <f t="shared" si="144"/>
        <v>5.5999999999999999E-3</v>
      </c>
      <c r="Z283" s="389">
        <f t="shared" si="127"/>
        <v>-9.9944000000000006</v>
      </c>
      <c r="AA283" s="389">
        <f t="shared" si="128"/>
        <v>10</v>
      </c>
      <c r="AB283" s="389" t="b">
        <f t="shared" si="129"/>
        <v>0</v>
      </c>
      <c r="AC283" s="389">
        <f t="shared" si="130"/>
        <v>-10</v>
      </c>
      <c r="AD283" s="389">
        <f t="shared" si="131"/>
        <v>10</v>
      </c>
      <c r="AE283" s="389">
        <f t="shared" si="132"/>
        <v>2</v>
      </c>
      <c r="AG283" s="311" t="str">
        <f t="shared" si="133"/>
        <v>Ch E Male Volleyball-</v>
      </c>
      <c r="AH283" s="453">
        <f t="shared" si="134"/>
        <v>9</v>
      </c>
      <c r="AI283" s="453">
        <f t="shared" si="135"/>
        <v>2</v>
      </c>
      <c r="AJ283" t="str">
        <f t="array" ref="AJ283">IF(AND(AI283&gt;1,G283&lt;&gt;""),INDEX(FS_teams,MATCH(1,(FS_Keys=AG283)*(FS_Points=I283)*(FS_teams&lt;&gt;G283),0)),"")</f>
        <v>CHILD EM - MEX 1</v>
      </c>
      <c r="AK283" s="390" t="e">
        <f t="array" ref="AK283">IF(AJ283&lt;&gt;"",INDEX(TM_Score1,MATCH(1,(TM_Events=D283)*(TM_Participant1=G283)*(TM_Participant2=AJ283),0)),"")</f>
        <v>#N/A</v>
      </c>
      <c r="AL283" s="390" t="e">
        <f t="array" ref="AL283">IF(AJ283&lt;&gt;"",INDEX(TM_Score1,MATCH(1,(TM_Events=D283)*(TM_Participant1=AJ283)*(TM_Participant2=G283),0)),"")</f>
        <v>#N/A</v>
      </c>
      <c r="AM283" s="389" t="str">
        <f t="array" ref="AM283">IF(ISNUMBER(AK283),INDEX(TM_Score2,MATCH(1,(TM_Events=D283)*(TM_Participant1=G283)*(TM_Participant2=AJ283),0)),"")</f>
        <v/>
      </c>
      <c r="AN283" s="389" t="str">
        <f t="array" ref="AN283">IF(ISNUMBER(AL283),INDEX(TM_Score2,MATCH(1,(TM_Events=D283)*(TM_Participant1=AJ283)*(TM_Participant2=G283),0)),"")</f>
        <v/>
      </c>
      <c r="AO283" s="389" t="str">
        <f t="shared" si="136"/>
        <v>did not play</v>
      </c>
      <c r="AP283" s="389">
        <f t="shared" si="137"/>
        <v>0</v>
      </c>
      <c r="AQ283" s="389">
        <f t="shared" si="138"/>
        <v>0</v>
      </c>
      <c r="AR283" s="389">
        <f t="shared" si="139"/>
        <v>3</v>
      </c>
      <c r="AS283" s="453">
        <f t="shared" si="140"/>
        <v>-6</v>
      </c>
      <c r="AT283" s="452">
        <f t="shared" si="141"/>
        <v>0</v>
      </c>
    </row>
    <row r="284" spans="1:46" ht="16" x14ac:dyDescent="0.2">
      <c r="A284" s="298"/>
      <c r="B284"/>
      <c r="D284" s="303" t="s">
        <v>66</v>
      </c>
      <c r="E284" s="396"/>
      <c r="F284" s="398">
        <v>1</v>
      </c>
      <c r="G284" s="397" t="s">
        <v>618</v>
      </c>
      <c r="H284" s="387" t="str">
        <f t="shared" si="116"/>
        <v>2-1-0</v>
      </c>
      <c r="I284" s="389">
        <f t="shared" si="117"/>
        <v>4</v>
      </c>
      <c r="J284" s="455">
        <f t="shared" si="142"/>
        <v>1</v>
      </c>
      <c r="K284" s="455">
        <f t="shared" si="118"/>
        <v>3</v>
      </c>
      <c r="L284" s="455" t="str">
        <f t="shared" si="143"/>
        <v/>
      </c>
      <c r="M284" s="389" t="str">
        <f>IFERROR(IF(AD284&lt;=VLOOKUP(D284,Tournaments!$A$1:$B$1772,2,FALSE),"TRUE","FALSE"),"")</f>
        <v>FALSE</v>
      </c>
      <c r="N284" s="389">
        <v>1</v>
      </c>
      <c r="O284" s="389">
        <f t="shared" si="119"/>
        <v>3</v>
      </c>
      <c r="Q284" s="389">
        <f t="shared" si="120"/>
        <v>2</v>
      </c>
      <c r="R284" s="389">
        <f t="shared" si="121"/>
        <v>1</v>
      </c>
      <c r="S284" s="389">
        <f t="shared" si="122"/>
        <v>0</v>
      </c>
      <c r="U284" s="389">
        <f t="shared" si="123"/>
        <v>5</v>
      </c>
      <c r="V284" s="389">
        <f t="shared" si="124"/>
        <v>2.5000000000000001E-3</v>
      </c>
      <c r="W284" s="389">
        <f t="shared" si="125"/>
        <v>-4.9974999999999996</v>
      </c>
      <c r="X284" s="389">
        <f t="shared" si="126"/>
        <v>5</v>
      </c>
      <c r="Y284" s="389">
        <f t="shared" si="144"/>
        <v>7.2099999999999997E-2</v>
      </c>
      <c r="Z284" s="389">
        <f t="shared" si="127"/>
        <v>-4.9279000000000002</v>
      </c>
      <c r="AA284" s="389">
        <f t="shared" si="128"/>
        <v>3</v>
      </c>
      <c r="AB284" s="389" t="b">
        <f t="shared" si="129"/>
        <v>0</v>
      </c>
      <c r="AC284" s="389">
        <f t="shared" si="130"/>
        <v>-3</v>
      </c>
      <c r="AD284" s="389">
        <f t="shared" si="131"/>
        <v>3</v>
      </c>
      <c r="AE284" s="389">
        <f t="shared" si="132"/>
        <v>3</v>
      </c>
      <c r="AG284" s="311" t="str">
        <f t="shared" si="133"/>
        <v>Ch E Male Volleyball-</v>
      </c>
      <c r="AH284" s="453">
        <f t="shared" si="134"/>
        <v>3</v>
      </c>
      <c r="AI284" s="453">
        <f t="shared" si="135"/>
        <v>3</v>
      </c>
      <c r="AJ284" t="str">
        <f t="array" ref="AJ284">IF(AND(AI284&gt;1,G284&lt;&gt;""),INDEX(FS_teams,MATCH(1,(FS_Keys=AG284)*(FS_Points=I284)*(FS_teams&lt;&gt;G284),0)),"")</f>
        <v>CHILD EM - VEN 1</v>
      </c>
      <c r="AK284" s="390">
        <f t="array" ref="AK284">IF(AJ284&lt;&gt;"",INDEX(TM_Score1,MATCH(1,(TM_Events=D284)*(TM_Participant1=G284)*(TM_Participant2=AJ284),0)),"")</f>
        <v>2</v>
      </c>
      <c r="AL284" s="390" t="e">
        <f t="array" ref="AL284">IF(AJ284&lt;&gt;"",INDEX(TM_Score1,MATCH(1,(TM_Events=D284)*(TM_Participant1=AJ284)*(TM_Participant2=G284),0)),"")</f>
        <v>#N/A</v>
      </c>
      <c r="AM284" s="389">
        <f t="array" ref="AM284">IF(ISNUMBER(AK284),INDEX(TM_Score2,MATCH(1,(TM_Events=D284)*(TM_Participant1=G284)*(TM_Participant2=AJ284),0)),"")</f>
        <v>0</v>
      </c>
      <c r="AN284" s="389" t="str">
        <f t="array" ref="AN284">IF(ISNUMBER(AL284),INDEX(TM_Score2,MATCH(1,(TM_Events=D284)*(TM_Participant1=AJ284)*(TM_Participant2=G284),0)),"")</f>
        <v/>
      </c>
      <c r="AO284" s="389" t="str">
        <f t="shared" si="136"/>
        <v>Win</v>
      </c>
      <c r="AP284" s="389">
        <f t="shared" si="137"/>
        <v>2</v>
      </c>
      <c r="AQ284" s="389">
        <f t="shared" si="138"/>
        <v>0</v>
      </c>
      <c r="AR284" s="389">
        <f t="shared" si="139"/>
        <v>1</v>
      </c>
      <c r="AS284" s="453">
        <f t="shared" si="140"/>
        <v>3</v>
      </c>
      <c r="AT284" s="452">
        <f t="shared" si="141"/>
        <v>5</v>
      </c>
    </row>
    <row r="285" spans="1:46" ht="16" x14ac:dyDescent="0.2">
      <c r="A285" s="298"/>
      <c r="B285"/>
      <c r="D285" s="303" t="s">
        <v>66</v>
      </c>
      <c r="E285" s="396"/>
      <c r="F285" s="398">
        <v>1</v>
      </c>
      <c r="G285" s="397" t="s">
        <v>717</v>
      </c>
      <c r="H285" s="387" t="str">
        <f t="shared" si="116"/>
        <v>0-3-0</v>
      </c>
      <c r="I285" s="389">
        <f t="shared" si="117"/>
        <v>0</v>
      </c>
      <c r="J285" s="455">
        <f t="shared" si="142"/>
        <v>1</v>
      </c>
      <c r="K285" s="455">
        <f t="shared" si="118"/>
        <v>-5</v>
      </c>
      <c r="L285" s="455" t="str">
        <f t="shared" si="143"/>
        <v/>
      </c>
      <c r="M285" s="389" t="str">
        <f>IFERROR(IF(AD285&lt;=VLOOKUP(D285,Tournaments!$A$1:$B$1772,2,FALSE),"TRUE","FALSE"),"")</f>
        <v>FALSE</v>
      </c>
      <c r="N285" s="389">
        <v>1</v>
      </c>
      <c r="O285" s="389">
        <f t="shared" si="119"/>
        <v>9</v>
      </c>
      <c r="Q285" s="389">
        <f t="shared" si="120"/>
        <v>0</v>
      </c>
      <c r="R285" s="389">
        <f t="shared" si="121"/>
        <v>3</v>
      </c>
      <c r="S285" s="389">
        <f t="shared" si="122"/>
        <v>0</v>
      </c>
      <c r="U285" s="389">
        <f t="shared" si="123"/>
        <v>10</v>
      </c>
      <c r="V285" s="389">
        <f t="shared" si="124"/>
        <v>2.5000000000000001E-3</v>
      </c>
      <c r="W285" s="389">
        <f t="shared" si="125"/>
        <v>-9.9975000000000005</v>
      </c>
      <c r="X285" s="389">
        <f t="shared" si="126"/>
        <v>10</v>
      </c>
      <c r="Y285" s="389">
        <f t="shared" si="144"/>
        <v>6.4000000000000003E-3</v>
      </c>
      <c r="Z285" s="389">
        <f t="shared" si="127"/>
        <v>-9.9936000000000007</v>
      </c>
      <c r="AA285" s="389">
        <f t="shared" si="128"/>
        <v>9</v>
      </c>
      <c r="AB285" s="389" t="b">
        <f t="shared" si="129"/>
        <v>0</v>
      </c>
      <c r="AC285" s="389">
        <f t="shared" si="130"/>
        <v>-9</v>
      </c>
      <c r="AD285" s="389">
        <f t="shared" si="131"/>
        <v>9</v>
      </c>
      <c r="AE285" s="389">
        <f t="shared" si="132"/>
        <v>2</v>
      </c>
      <c r="AG285" s="311" t="str">
        <f t="shared" si="133"/>
        <v>Ch E Male Volleyball-</v>
      </c>
      <c r="AH285" s="453">
        <f t="shared" si="134"/>
        <v>9</v>
      </c>
      <c r="AI285" s="453">
        <f t="shared" si="135"/>
        <v>2</v>
      </c>
      <c r="AJ285" t="str">
        <f t="array" ref="AJ285">IF(AND(AI285&gt;1,G285&lt;&gt;""),INDEX(FS_teams,MATCH(1,(FS_Keys=AG285)*(FS_Points=I285)*(FS_teams&lt;&gt;G285),0)),"")</f>
        <v>CHILD EM - USA 1</v>
      </c>
      <c r="AK285" s="390" t="e">
        <f t="array" ref="AK285">IF(AJ285&lt;&gt;"",INDEX(TM_Score1,MATCH(1,(TM_Events=D285)*(TM_Participant1=G285)*(TM_Participant2=AJ285),0)),"")</f>
        <v>#N/A</v>
      </c>
      <c r="AL285" s="390" t="e">
        <f t="array" ref="AL285">IF(AJ285&lt;&gt;"",INDEX(TM_Score1,MATCH(1,(TM_Events=D285)*(TM_Participant1=AJ285)*(TM_Participant2=G285),0)),"")</f>
        <v>#N/A</v>
      </c>
      <c r="AM285" s="389" t="str">
        <f t="array" ref="AM285">IF(ISNUMBER(AK285),INDEX(TM_Score2,MATCH(1,(TM_Events=D285)*(TM_Participant1=G285)*(TM_Participant2=AJ285),0)),"")</f>
        <v/>
      </c>
      <c r="AN285" s="389" t="str">
        <f t="array" ref="AN285">IF(ISNUMBER(AL285),INDEX(TM_Score2,MATCH(1,(TM_Events=D285)*(TM_Participant1=AJ285)*(TM_Participant2=G285),0)),"")</f>
        <v/>
      </c>
      <c r="AO285" s="389" t="str">
        <f t="shared" si="136"/>
        <v>did not play</v>
      </c>
      <c r="AP285" s="389">
        <f t="shared" si="137"/>
        <v>0</v>
      </c>
      <c r="AQ285" s="389">
        <f t="shared" si="138"/>
        <v>0</v>
      </c>
      <c r="AR285" s="389">
        <f t="shared" si="139"/>
        <v>3</v>
      </c>
      <c r="AS285" s="453">
        <f t="shared" si="140"/>
        <v>-5</v>
      </c>
      <c r="AT285" s="452">
        <f t="shared" si="141"/>
        <v>0</v>
      </c>
    </row>
    <row r="286" spans="1:46" ht="16" x14ac:dyDescent="0.2">
      <c r="A286" s="298"/>
      <c r="B286"/>
      <c r="D286" s="303" t="s">
        <v>66</v>
      </c>
      <c r="E286" s="396"/>
      <c r="F286" s="398">
        <v>1</v>
      </c>
      <c r="G286" s="397" t="s">
        <v>622</v>
      </c>
      <c r="H286" s="387" t="str">
        <f t="shared" si="116"/>
        <v>1-2-0</v>
      </c>
      <c r="I286" s="389">
        <f t="shared" si="117"/>
        <v>2</v>
      </c>
      <c r="J286" s="455">
        <f t="shared" si="142"/>
        <v>1</v>
      </c>
      <c r="K286" s="455">
        <f t="shared" si="118"/>
        <v>-2</v>
      </c>
      <c r="L286" s="455" t="str">
        <f t="shared" si="143"/>
        <v/>
      </c>
      <c r="M286" s="389" t="str">
        <f>IFERROR(IF(AD286&lt;=VLOOKUP(D286,Tournaments!$A$1:$B$1772,2,FALSE),"TRUE","FALSE"),"")</f>
        <v>FALSE</v>
      </c>
      <c r="N286" s="389">
        <v>1</v>
      </c>
      <c r="O286" s="389">
        <f t="shared" si="119"/>
        <v>7</v>
      </c>
      <c r="Q286" s="389">
        <f t="shared" si="120"/>
        <v>1</v>
      </c>
      <c r="R286" s="389">
        <f t="shared" si="121"/>
        <v>2</v>
      </c>
      <c r="S286" s="389">
        <f t="shared" si="122"/>
        <v>0</v>
      </c>
      <c r="U286" s="389">
        <f t="shared" si="123"/>
        <v>8</v>
      </c>
      <c r="V286" s="389">
        <f t="shared" si="124"/>
        <v>2.5000000000000001E-3</v>
      </c>
      <c r="W286" s="389">
        <f t="shared" si="125"/>
        <v>-7.9974999999999996</v>
      </c>
      <c r="X286" s="389">
        <f t="shared" si="126"/>
        <v>8</v>
      </c>
      <c r="Y286" s="389">
        <f t="shared" si="144"/>
        <v>8.9999999999999993E-3</v>
      </c>
      <c r="Z286" s="389">
        <f t="shared" si="127"/>
        <v>-7.9909999999999997</v>
      </c>
      <c r="AA286" s="389">
        <f t="shared" si="128"/>
        <v>7</v>
      </c>
      <c r="AB286" s="389" t="b">
        <f t="shared" si="129"/>
        <v>0</v>
      </c>
      <c r="AC286" s="389">
        <f t="shared" si="130"/>
        <v>-7</v>
      </c>
      <c r="AD286" s="389">
        <f t="shared" si="131"/>
        <v>7</v>
      </c>
      <c r="AE286" s="389">
        <f t="shared" si="132"/>
        <v>3</v>
      </c>
      <c r="AG286" s="311" t="str">
        <f t="shared" si="133"/>
        <v>Ch E Male Volleyball-</v>
      </c>
      <c r="AH286" s="453">
        <f t="shared" si="134"/>
        <v>6</v>
      </c>
      <c r="AI286" s="453">
        <f t="shared" si="135"/>
        <v>3</v>
      </c>
      <c r="AJ286" t="str">
        <f t="array" ref="AJ286">IF(AND(AI286&gt;1,G286&lt;&gt;""),INDEX(FS_teams,MATCH(1,(FS_Keys=AG286)*(FS_Points=I286)*(FS_teams&lt;&gt;G286),0)),"")</f>
        <v>CHILD EM - ARG 1</v>
      </c>
      <c r="AK286" s="390" t="e">
        <f t="array" ref="AK286">IF(AJ286&lt;&gt;"",INDEX(TM_Score1,MATCH(1,(TM_Events=D286)*(TM_Participant1=G286)*(TM_Participant2=AJ286),0)),"")</f>
        <v>#N/A</v>
      </c>
      <c r="AL286" s="390">
        <f t="array" ref="AL286">IF(AJ286&lt;&gt;"",INDEX(TM_Score1,MATCH(1,(TM_Events=D286)*(TM_Participant1=AJ286)*(TM_Participant2=G286),0)),"")</f>
        <v>1</v>
      </c>
      <c r="AM286" s="389" t="str">
        <f t="array" ref="AM286">IF(ISNUMBER(AK286),INDEX(TM_Score2,MATCH(1,(TM_Events=D286)*(TM_Participant1=G286)*(TM_Participant2=AJ286),0)),"")</f>
        <v/>
      </c>
      <c r="AN286" s="389">
        <f t="array" ref="AN286">IF(ISNUMBER(AL286),INDEX(TM_Score2,MATCH(1,(TM_Events=D286)*(TM_Participant1=AJ286)*(TM_Participant2=G286),0)),"")</f>
        <v>2</v>
      </c>
      <c r="AO286" s="389" t="str">
        <f t="shared" si="136"/>
        <v>Win</v>
      </c>
      <c r="AP286" s="389">
        <f t="shared" si="137"/>
        <v>1</v>
      </c>
      <c r="AQ286" s="389">
        <f t="shared" si="138"/>
        <v>0</v>
      </c>
      <c r="AR286" s="389">
        <f t="shared" si="139"/>
        <v>2</v>
      </c>
      <c r="AS286" s="453">
        <f t="shared" si="140"/>
        <v>-2</v>
      </c>
      <c r="AT286" s="452">
        <f t="shared" si="141"/>
        <v>3</v>
      </c>
    </row>
    <row r="287" spans="1:46" ht="16" x14ac:dyDescent="0.2">
      <c r="A287" s="298"/>
      <c r="B287"/>
      <c r="D287" s="303" t="s">
        <v>66</v>
      </c>
      <c r="E287" s="387"/>
      <c r="F287" s="387">
        <v>1</v>
      </c>
      <c r="G287" s="397" t="s">
        <v>718</v>
      </c>
      <c r="H287" s="387" t="str">
        <f t="shared" si="116"/>
        <v>2-1-0</v>
      </c>
      <c r="I287" s="389">
        <f t="shared" si="117"/>
        <v>4</v>
      </c>
      <c r="J287" s="455">
        <f t="shared" si="142"/>
        <v>1</v>
      </c>
      <c r="K287" s="455">
        <f t="shared" si="118"/>
        <v>1</v>
      </c>
      <c r="L287" s="455" t="str">
        <f t="shared" si="143"/>
        <v/>
      </c>
      <c r="M287" s="389" t="str">
        <f>IFERROR(IF(AD287&lt;=VLOOKUP(D287,Tournaments!$A$1:$B$1772,2,FALSE),"TRUE","FALSE"),"")</f>
        <v>FALSE</v>
      </c>
      <c r="N287" s="389">
        <v>1</v>
      </c>
      <c r="O287" s="389">
        <f t="shared" si="119"/>
        <v>5</v>
      </c>
      <c r="Q287" s="389">
        <f t="shared" si="120"/>
        <v>2</v>
      </c>
      <c r="R287" s="389">
        <f t="shared" si="121"/>
        <v>1</v>
      </c>
      <c r="S287" s="389">
        <f t="shared" si="122"/>
        <v>0</v>
      </c>
      <c r="U287" s="389">
        <f t="shared" si="123"/>
        <v>5</v>
      </c>
      <c r="V287" s="389">
        <f t="shared" si="124"/>
        <v>2.5000000000000001E-3</v>
      </c>
      <c r="W287" s="389">
        <f t="shared" si="125"/>
        <v>-4.9974999999999996</v>
      </c>
      <c r="X287" s="389">
        <f t="shared" si="126"/>
        <v>5</v>
      </c>
      <c r="Y287" s="389">
        <f t="shared" si="144"/>
        <v>7.0000000000000007E-2</v>
      </c>
      <c r="Z287" s="389">
        <f t="shared" si="127"/>
        <v>-4.93</v>
      </c>
      <c r="AA287" s="389">
        <f t="shared" si="128"/>
        <v>5</v>
      </c>
      <c r="AB287" s="389" t="b">
        <f t="shared" si="129"/>
        <v>0</v>
      </c>
      <c r="AC287" s="389">
        <f t="shared" si="130"/>
        <v>-5</v>
      </c>
      <c r="AD287" s="389">
        <f t="shared" si="131"/>
        <v>5</v>
      </c>
      <c r="AE287" s="389">
        <f t="shared" si="132"/>
        <v>3</v>
      </c>
      <c r="AG287" s="311" t="str">
        <f t="shared" si="133"/>
        <v>Ch E Male Volleyball-</v>
      </c>
      <c r="AH287" s="453">
        <f t="shared" si="134"/>
        <v>3</v>
      </c>
      <c r="AI287" s="453">
        <f t="shared" si="135"/>
        <v>3</v>
      </c>
      <c r="AJ287" t="str">
        <f t="array" ref="AJ287">IF(AND(AI287&gt;1,G287&lt;&gt;""),INDEX(FS_teams,MATCH(1,(FS_Keys=AG287)*(FS_Points=I287)*(FS_teams&lt;&gt;G287),0)),"")</f>
        <v>CHILD EM - VEN 1</v>
      </c>
      <c r="AK287" s="390" t="e">
        <f t="array" ref="AK287">IF(AJ287&lt;&gt;"",INDEX(TM_Score1,MATCH(1,(TM_Events=D287)*(TM_Participant1=G287)*(TM_Participant2=AJ287),0)),"")</f>
        <v>#N/A</v>
      </c>
      <c r="AL287" s="390" t="e">
        <f t="array" ref="AL287">IF(AJ287&lt;&gt;"",INDEX(TM_Score1,MATCH(1,(TM_Events=D287)*(TM_Participant1=AJ287)*(TM_Participant2=G287),0)),"")</f>
        <v>#N/A</v>
      </c>
      <c r="AM287" s="389" t="str">
        <f t="array" ref="AM287">IF(ISNUMBER(AK287),INDEX(TM_Score2,MATCH(1,(TM_Events=D287)*(TM_Participant1=G287)*(TM_Participant2=AJ287),0)),"")</f>
        <v/>
      </c>
      <c r="AN287" s="389" t="str">
        <f t="array" ref="AN287">IF(ISNUMBER(AL287),INDEX(TM_Score2,MATCH(1,(TM_Events=D287)*(TM_Participant1=AJ287)*(TM_Participant2=G287),0)),"")</f>
        <v/>
      </c>
      <c r="AO287" s="389" t="str">
        <f t="shared" si="136"/>
        <v>did not play</v>
      </c>
      <c r="AP287" s="389">
        <f t="shared" si="137"/>
        <v>2</v>
      </c>
      <c r="AQ287" s="389">
        <f t="shared" si="138"/>
        <v>0</v>
      </c>
      <c r="AR287" s="389">
        <f t="shared" si="139"/>
        <v>1</v>
      </c>
      <c r="AS287" s="453">
        <f t="shared" si="140"/>
        <v>1</v>
      </c>
      <c r="AT287" s="452">
        <f t="shared" si="141"/>
        <v>4</v>
      </c>
    </row>
    <row r="288" spans="1:46" ht="16" x14ac:dyDescent="0.2">
      <c r="A288" s="298"/>
      <c r="B288"/>
      <c r="D288" s="303" t="s">
        <v>513</v>
      </c>
      <c r="E288" s="396"/>
      <c r="F288" s="387">
        <v>1</v>
      </c>
      <c r="G288" s="397" t="s">
        <v>627</v>
      </c>
      <c r="H288" s="387" t="str">
        <f t="shared" si="116"/>
        <v>0-3-0</v>
      </c>
      <c r="I288" s="389">
        <f t="shared" si="117"/>
        <v>0</v>
      </c>
      <c r="J288" s="455" t="str">
        <f t="shared" si="142"/>
        <v/>
      </c>
      <c r="K288" s="455" t="str">
        <f t="shared" si="118"/>
        <v/>
      </c>
      <c r="L288" s="455" t="str">
        <f t="shared" si="143"/>
        <v/>
      </c>
      <c r="M288" s="389" t="str">
        <f>IFERROR(IF(AD288&lt;=VLOOKUP(D288,Tournaments!$A$1:$B$1772,2,FALSE),"TRUE","FALSE"),"")</f>
        <v>FALSE</v>
      </c>
      <c r="N288" s="389">
        <v>1</v>
      </c>
      <c r="O288" s="389">
        <f t="shared" si="119"/>
        <v>4</v>
      </c>
      <c r="Q288" s="389">
        <f t="shared" si="120"/>
        <v>0</v>
      </c>
      <c r="R288" s="389">
        <f t="shared" si="121"/>
        <v>3</v>
      </c>
      <c r="S288" s="389">
        <f t="shared" si="122"/>
        <v>0</v>
      </c>
      <c r="U288" s="389">
        <f t="shared" si="123"/>
        <v>4</v>
      </c>
      <c r="V288" s="389" t="b">
        <f t="shared" si="124"/>
        <v>0</v>
      </c>
      <c r="W288" s="389">
        <f t="shared" si="125"/>
        <v>-4</v>
      </c>
      <c r="X288" s="389">
        <f t="shared" si="126"/>
        <v>4</v>
      </c>
      <c r="Y288" s="389" t="b">
        <f t="shared" si="144"/>
        <v>0</v>
      </c>
      <c r="Z288" s="389">
        <f t="shared" si="127"/>
        <v>-4</v>
      </c>
      <c r="AA288" s="389">
        <f t="shared" si="128"/>
        <v>4</v>
      </c>
      <c r="AB288" s="389" t="b">
        <f t="shared" si="129"/>
        <v>0</v>
      </c>
      <c r="AC288" s="389">
        <f t="shared" si="130"/>
        <v>-4</v>
      </c>
      <c r="AD288" s="389">
        <f t="shared" si="131"/>
        <v>4</v>
      </c>
      <c r="AE288" s="389">
        <f t="shared" si="132"/>
        <v>1</v>
      </c>
      <c r="AG288" s="311" t="str">
        <f t="shared" si="133"/>
        <v>College Male Basketball-</v>
      </c>
      <c r="AH288" s="453">
        <f t="shared" si="134"/>
        <v>4</v>
      </c>
      <c r="AI288" s="453">
        <f t="shared" si="135"/>
        <v>1</v>
      </c>
      <c r="AJ288" t="str">
        <f t="array" ref="AJ288">IF(AND(AI288&gt;1,G288&lt;&gt;""),INDEX(FS_teams,MATCH(1,(FS_Keys=AG288)*(FS_Points=I288)*(FS_teams&lt;&gt;G288),0)),"")</f>
        <v/>
      </c>
      <c r="AK288" s="390" t="str">
        <f t="array" ref="AK288">IF(AJ288&lt;&gt;"",INDEX(TM_Score1,MATCH(1,(TM_Events=D288)*(TM_Participant1=G288)*(TM_Participant2=AJ288),0)),"")</f>
        <v/>
      </c>
      <c r="AL288" s="390" t="str">
        <f t="array" ref="AL288">IF(AJ288&lt;&gt;"",INDEX(TM_Score1,MATCH(1,(TM_Events=D288)*(TM_Participant1=AJ288)*(TM_Participant2=G288),0)),"")</f>
        <v/>
      </c>
      <c r="AM288" s="389" t="str">
        <f t="array" ref="AM288">IF(ISNUMBER(AK288),INDEX(TM_Score2,MATCH(1,(TM_Events=D288)*(TM_Participant1=G288)*(TM_Participant2=AJ288),0)),"")</f>
        <v/>
      </c>
      <c r="AN288" s="389" t="str">
        <f t="array" ref="AN288">IF(ISNUMBER(AL288),INDEX(TM_Score2,MATCH(1,(TM_Events=D288)*(TM_Participant1=AJ288)*(TM_Participant2=G288),0)),"")</f>
        <v/>
      </c>
      <c r="AO288" s="389" t="str">
        <f t="shared" si="136"/>
        <v/>
      </c>
      <c r="AP288" s="389">
        <f t="shared" si="137"/>
        <v>0</v>
      </c>
      <c r="AQ288" s="389">
        <f t="shared" si="138"/>
        <v>0</v>
      </c>
      <c r="AR288" s="389">
        <f t="shared" si="139"/>
        <v>3</v>
      </c>
      <c r="AS288" s="453">
        <f t="shared" si="140"/>
        <v>-21</v>
      </c>
      <c r="AT288" s="452">
        <f t="shared" si="141"/>
        <v>58</v>
      </c>
    </row>
    <row r="289" spans="1:46" ht="16" x14ac:dyDescent="0.2">
      <c r="A289" s="298"/>
      <c r="B289"/>
      <c r="D289" s="303" t="s">
        <v>513</v>
      </c>
      <c r="E289" s="387"/>
      <c r="F289" s="387">
        <v>1</v>
      </c>
      <c r="G289" s="397" t="s">
        <v>632</v>
      </c>
      <c r="H289" s="387" t="str">
        <f t="shared" si="116"/>
        <v>2-1-0</v>
      </c>
      <c r="I289" s="389">
        <f t="shared" si="117"/>
        <v>4</v>
      </c>
      <c r="J289" s="455" t="str">
        <f t="shared" si="142"/>
        <v/>
      </c>
      <c r="K289" s="455" t="str">
        <f t="shared" si="118"/>
        <v/>
      </c>
      <c r="L289" s="455" t="str">
        <f t="shared" si="143"/>
        <v/>
      </c>
      <c r="M289" s="389" t="str">
        <f>IFERROR(IF(AD289&lt;=VLOOKUP(D289,Tournaments!$A$1:$B$1772,2,FALSE),"TRUE","FALSE"),"")</f>
        <v>TRUE</v>
      </c>
      <c r="N289" s="389">
        <v>1</v>
      </c>
      <c r="O289" s="389">
        <f t="shared" si="119"/>
        <v>2</v>
      </c>
      <c r="Q289" s="389">
        <f t="shared" si="120"/>
        <v>2</v>
      </c>
      <c r="R289" s="389">
        <f t="shared" si="121"/>
        <v>1</v>
      </c>
      <c r="S289" s="389">
        <f t="shared" si="122"/>
        <v>0</v>
      </c>
      <c r="U289" s="389">
        <f t="shared" si="123"/>
        <v>2</v>
      </c>
      <c r="V289" s="389" t="b">
        <f t="shared" si="124"/>
        <v>0</v>
      </c>
      <c r="W289" s="389">
        <f t="shared" si="125"/>
        <v>-2</v>
      </c>
      <c r="X289" s="389">
        <f t="shared" si="126"/>
        <v>2</v>
      </c>
      <c r="Y289" s="389" t="b">
        <f t="shared" si="144"/>
        <v>0</v>
      </c>
      <c r="Z289" s="389">
        <f t="shared" si="127"/>
        <v>-2</v>
      </c>
      <c r="AA289" s="389">
        <f t="shared" si="128"/>
        <v>2</v>
      </c>
      <c r="AB289" s="389" t="b">
        <f t="shared" si="129"/>
        <v>0</v>
      </c>
      <c r="AC289" s="389">
        <f t="shared" si="130"/>
        <v>-2</v>
      </c>
      <c r="AD289" s="389">
        <f t="shared" si="131"/>
        <v>2</v>
      </c>
      <c r="AE289" s="389">
        <f t="shared" si="132"/>
        <v>1</v>
      </c>
      <c r="AG289" s="311" t="str">
        <f t="shared" si="133"/>
        <v>College Male Basketball-</v>
      </c>
      <c r="AH289" s="453">
        <f t="shared" si="134"/>
        <v>2</v>
      </c>
      <c r="AI289" s="453">
        <f t="shared" si="135"/>
        <v>1</v>
      </c>
      <c r="AJ289" t="str">
        <f t="array" ref="AJ289">IF(AND(AI289&gt;1,G289&lt;&gt;""),INDEX(FS_teams,MATCH(1,(FS_Keys=AG289)*(FS_Points=I289)*(FS_teams&lt;&gt;G289),0)),"")</f>
        <v/>
      </c>
      <c r="AK289" s="390" t="str">
        <f t="array" ref="AK289">IF(AJ289&lt;&gt;"",INDEX(TM_Score1,MATCH(1,(TM_Events=D289)*(TM_Participant1=G289)*(TM_Participant2=AJ289),0)),"")</f>
        <v/>
      </c>
      <c r="AL289" s="390" t="str">
        <f t="array" ref="AL289">IF(AJ289&lt;&gt;"",INDEX(TM_Score1,MATCH(1,(TM_Events=D289)*(TM_Participant1=AJ289)*(TM_Participant2=G289),0)),"")</f>
        <v/>
      </c>
      <c r="AM289" s="389" t="str">
        <f t="array" ref="AM289">IF(ISNUMBER(AK289),INDEX(TM_Score2,MATCH(1,(TM_Events=D289)*(TM_Participant1=G289)*(TM_Participant2=AJ289),0)),"")</f>
        <v/>
      </c>
      <c r="AN289" s="389" t="str">
        <f t="array" ref="AN289">IF(ISNUMBER(AL289),INDEX(TM_Score2,MATCH(1,(TM_Events=D289)*(TM_Participant1=AJ289)*(TM_Participant2=G289),0)),"")</f>
        <v/>
      </c>
      <c r="AO289" s="389" t="str">
        <f t="shared" si="136"/>
        <v/>
      </c>
      <c r="AP289" s="389">
        <f t="shared" si="137"/>
        <v>2</v>
      </c>
      <c r="AQ289" s="389">
        <f t="shared" si="138"/>
        <v>0</v>
      </c>
      <c r="AR289" s="389">
        <f t="shared" si="139"/>
        <v>1</v>
      </c>
      <c r="AS289" s="453">
        <f t="shared" si="140"/>
        <v>3</v>
      </c>
      <c r="AT289" s="452">
        <f t="shared" si="141"/>
        <v>84</v>
      </c>
    </row>
    <row r="290" spans="1:46" ht="16" x14ac:dyDescent="0.2">
      <c r="A290" s="298"/>
      <c r="B290"/>
      <c r="D290" s="303" t="s">
        <v>513</v>
      </c>
      <c r="E290" s="396"/>
      <c r="F290" s="387">
        <v>1</v>
      </c>
      <c r="G290" s="397" t="s">
        <v>629</v>
      </c>
      <c r="H290" s="387" t="str">
        <f t="shared" si="116"/>
        <v>1-2-0</v>
      </c>
      <c r="I290" s="389">
        <f t="shared" si="117"/>
        <v>2</v>
      </c>
      <c r="J290" s="455" t="str">
        <f t="shared" si="142"/>
        <v/>
      </c>
      <c r="K290" s="455" t="str">
        <f t="shared" si="118"/>
        <v/>
      </c>
      <c r="L290" s="455" t="str">
        <f t="shared" si="143"/>
        <v/>
      </c>
      <c r="M290" s="389" t="str">
        <f>IFERROR(IF(AD290&lt;=VLOOKUP(D290,Tournaments!$A$1:$B$1772,2,FALSE),"TRUE","FALSE"),"")</f>
        <v>FALSE</v>
      </c>
      <c r="N290" s="389">
        <v>1</v>
      </c>
      <c r="O290" s="389">
        <f t="shared" si="119"/>
        <v>3</v>
      </c>
      <c r="Q290" s="389">
        <f t="shared" si="120"/>
        <v>1</v>
      </c>
      <c r="R290" s="389">
        <f t="shared" si="121"/>
        <v>2</v>
      </c>
      <c r="S290" s="389">
        <f t="shared" si="122"/>
        <v>0</v>
      </c>
      <c r="U290" s="389">
        <f t="shared" si="123"/>
        <v>3</v>
      </c>
      <c r="V290" s="389" t="b">
        <f t="shared" si="124"/>
        <v>0</v>
      </c>
      <c r="W290" s="389">
        <f t="shared" si="125"/>
        <v>-3</v>
      </c>
      <c r="X290" s="389">
        <f t="shared" si="126"/>
        <v>3</v>
      </c>
      <c r="Y290" s="389" t="b">
        <f t="shared" si="144"/>
        <v>0</v>
      </c>
      <c r="Z290" s="389">
        <f t="shared" si="127"/>
        <v>-3</v>
      </c>
      <c r="AA290" s="389">
        <f t="shared" si="128"/>
        <v>3</v>
      </c>
      <c r="AB290" s="389" t="b">
        <f t="shared" si="129"/>
        <v>0</v>
      </c>
      <c r="AC290" s="389">
        <f t="shared" si="130"/>
        <v>-3</v>
      </c>
      <c r="AD290" s="389">
        <f t="shared" si="131"/>
        <v>3</v>
      </c>
      <c r="AE290" s="389">
        <f t="shared" si="132"/>
        <v>1</v>
      </c>
      <c r="AG290" s="311" t="str">
        <f t="shared" si="133"/>
        <v>College Male Basketball-</v>
      </c>
      <c r="AH290" s="453">
        <f t="shared" si="134"/>
        <v>3</v>
      </c>
      <c r="AI290" s="453">
        <f t="shared" si="135"/>
        <v>1</v>
      </c>
      <c r="AJ290" t="str">
        <f t="array" ref="AJ290">IF(AND(AI290&gt;1,G290&lt;&gt;""),INDEX(FS_teams,MATCH(1,(FS_Keys=AG290)*(FS_Points=I290)*(FS_teams&lt;&gt;G290),0)),"")</f>
        <v/>
      </c>
      <c r="AK290" s="390" t="str">
        <f t="array" ref="AK290">IF(AJ290&lt;&gt;"",INDEX(TM_Score1,MATCH(1,(TM_Events=D290)*(TM_Participant1=G290)*(TM_Participant2=AJ290),0)),"")</f>
        <v/>
      </c>
      <c r="AL290" s="390" t="str">
        <f t="array" ref="AL290">IF(AJ290&lt;&gt;"",INDEX(TM_Score1,MATCH(1,(TM_Events=D290)*(TM_Participant1=AJ290)*(TM_Participant2=G290),0)),"")</f>
        <v/>
      </c>
      <c r="AM290" s="389" t="str">
        <f t="array" ref="AM290">IF(ISNUMBER(AK290),INDEX(TM_Score2,MATCH(1,(TM_Events=D290)*(TM_Participant1=G290)*(TM_Participant2=AJ290),0)),"")</f>
        <v/>
      </c>
      <c r="AN290" s="389" t="str">
        <f t="array" ref="AN290">IF(ISNUMBER(AL290),INDEX(TM_Score2,MATCH(1,(TM_Events=D290)*(TM_Participant1=AJ290)*(TM_Participant2=G290),0)),"")</f>
        <v/>
      </c>
      <c r="AO290" s="389" t="str">
        <f t="shared" si="136"/>
        <v/>
      </c>
      <c r="AP290" s="389">
        <f t="shared" si="137"/>
        <v>1</v>
      </c>
      <c r="AQ290" s="389">
        <f t="shared" si="138"/>
        <v>0</v>
      </c>
      <c r="AR290" s="389">
        <f t="shared" si="139"/>
        <v>2</v>
      </c>
      <c r="AS290" s="453">
        <f t="shared" si="140"/>
        <v>-16</v>
      </c>
      <c r="AT290" s="452">
        <f t="shared" si="141"/>
        <v>100</v>
      </c>
    </row>
    <row r="291" spans="1:46" ht="16" x14ac:dyDescent="0.2">
      <c r="A291" s="298"/>
      <c r="B291"/>
      <c r="D291" s="303" t="s">
        <v>513</v>
      </c>
      <c r="E291" s="396"/>
      <c r="F291" s="387">
        <v>1</v>
      </c>
      <c r="G291" s="404" t="s">
        <v>630</v>
      </c>
      <c r="H291" s="387" t="str">
        <f t="shared" si="116"/>
        <v>3-0-0</v>
      </c>
      <c r="I291" s="389">
        <f t="shared" si="117"/>
        <v>6</v>
      </c>
      <c r="J291" s="455" t="str">
        <f t="shared" si="142"/>
        <v/>
      </c>
      <c r="K291" s="455" t="str">
        <f t="shared" si="118"/>
        <v/>
      </c>
      <c r="L291" s="455" t="str">
        <f t="shared" si="143"/>
        <v/>
      </c>
      <c r="M291" s="389" t="str">
        <f>IFERROR(IF(AD291&lt;=VLOOKUP(D291,Tournaments!$A$1:$B$1772,2,FALSE),"TRUE","FALSE"),"")</f>
        <v>TRUE</v>
      </c>
      <c r="N291" s="389">
        <v>1</v>
      </c>
      <c r="O291" s="389">
        <f t="shared" si="119"/>
        <v>1</v>
      </c>
      <c r="Q291" s="389">
        <f t="shared" si="120"/>
        <v>3</v>
      </c>
      <c r="R291" s="389">
        <f t="shared" si="121"/>
        <v>0</v>
      </c>
      <c r="S291" s="389">
        <f t="shared" si="122"/>
        <v>0</v>
      </c>
      <c r="U291" s="389">
        <f t="shared" si="123"/>
        <v>1</v>
      </c>
      <c r="V291" s="389" t="b">
        <f t="shared" si="124"/>
        <v>0</v>
      </c>
      <c r="W291" s="389">
        <f t="shared" si="125"/>
        <v>-1</v>
      </c>
      <c r="X291" s="389">
        <f t="shared" si="126"/>
        <v>1</v>
      </c>
      <c r="Y291" s="389" t="b">
        <f t="shared" si="144"/>
        <v>0</v>
      </c>
      <c r="Z291" s="389">
        <f t="shared" si="127"/>
        <v>-1</v>
      </c>
      <c r="AA291" s="389">
        <f t="shared" si="128"/>
        <v>1</v>
      </c>
      <c r="AB291" s="389" t="b">
        <f t="shared" si="129"/>
        <v>0</v>
      </c>
      <c r="AC291" s="389">
        <f t="shared" si="130"/>
        <v>-1</v>
      </c>
      <c r="AD291" s="389">
        <f t="shared" si="131"/>
        <v>1</v>
      </c>
      <c r="AE291" s="389">
        <f t="shared" si="132"/>
        <v>1</v>
      </c>
      <c r="AG291" s="311" t="str">
        <f t="shared" si="133"/>
        <v>College Male Basketball-</v>
      </c>
      <c r="AH291" s="453">
        <f t="shared" si="134"/>
        <v>1</v>
      </c>
      <c r="AI291" s="453">
        <f t="shared" si="135"/>
        <v>1</v>
      </c>
      <c r="AJ291" t="str">
        <f t="array" ref="AJ291">IF(AND(AI291&gt;1,G291&lt;&gt;""),INDEX(FS_teams,MATCH(1,(FS_Keys=AG291)*(FS_Points=I291)*(FS_teams&lt;&gt;G291),0)),"")</f>
        <v/>
      </c>
      <c r="AK291" s="390" t="str">
        <f t="array" ref="AK291">IF(AJ291&lt;&gt;"",INDEX(TM_Score1,MATCH(1,(TM_Events=D291)*(TM_Participant1=G291)*(TM_Participant2=AJ291),0)),"")</f>
        <v/>
      </c>
      <c r="AL291" s="390" t="str">
        <f t="array" ref="AL291">IF(AJ291&lt;&gt;"",INDEX(TM_Score1,MATCH(1,(TM_Events=D291)*(TM_Participant1=AJ291)*(TM_Participant2=G291),0)),"")</f>
        <v/>
      </c>
      <c r="AM291" s="389" t="str">
        <f t="array" ref="AM291">IF(ISNUMBER(AK291),INDEX(TM_Score2,MATCH(1,(TM_Events=D291)*(TM_Participant1=G291)*(TM_Participant2=AJ291),0)),"")</f>
        <v/>
      </c>
      <c r="AN291" s="389" t="str">
        <f t="array" ref="AN291">IF(ISNUMBER(AL291),INDEX(TM_Score2,MATCH(1,(TM_Events=D291)*(TM_Participant1=AJ291)*(TM_Participant2=G291),0)),"")</f>
        <v/>
      </c>
      <c r="AO291" s="389" t="str">
        <f t="shared" si="136"/>
        <v/>
      </c>
      <c r="AP291" s="389">
        <f t="shared" si="137"/>
        <v>3</v>
      </c>
      <c r="AQ291" s="389">
        <f t="shared" si="138"/>
        <v>0</v>
      </c>
      <c r="AR291" s="389">
        <f t="shared" si="139"/>
        <v>0</v>
      </c>
      <c r="AS291" s="453">
        <f t="shared" si="140"/>
        <v>34</v>
      </c>
      <c r="AT291" s="452">
        <f t="shared" si="141"/>
        <v>121</v>
      </c>
    </row>
    <row r="292" spans="1:46" ht="16" x14ac:dyDescent="0.2">
      <c r="A292" s="298"/>
      <c r="B292"/>
      <c r="D292" s="303" t="s">
        <v>514</v>
      </c>
      <c r="E292" s="387"/>
      <c r="F292" s="387">
        <v>1</v>
      </c>
      <c r="G292" s="397" t="s">
        <v>629</v>
      </c>
      <c r="H292" s="387" t="str">
        <f t="shared" si="116"/>
        <v>3-0-0</v>
      </c>
      <c r="I292" s="389">
        <f t="shared" si="117"/>
        <v>6</v>
      </c>
      <c r="J292" s="455" t="str">
        <f t="shared" si="142"/>
        <v/>
      </c>
      <c r="K292" s="455" t="str">
        <f t="shared" si="118"/>
        <v/>
      </c>
      <c r="L292" s="455" t="str">
        <f t="shared" si="143"/>
        <v/>
      </c>
      <c r="M292" s="389" t="str">
        <f>IFERROR(IF(AD292&lt;=VLOOKUP(D292,Tournaments!$A$1:$B$1772,2,FALSE),"TRUE","FALSE"),"")</f>
        <v>TRUE</v>
      </c>
      <c r="N292" s="389">
        <v>1</v>
      </c>
      <c r="O292" s="389">
        <f t="shared" si="119"/>
        <v>1</v>
      </c>
      <c r="Q292" s="389">
        <f t="shared" si="120"/>
        <v>3</v>
      </c>
      <c r="R292" s="389">
        <f t="shared" si="121"/>
        <v>0</v>
      </c>
      <c r="S292" s="389">
        <f t="shared" si="122"/>
        <v>0</v>
      </c>
      <c r="U292" s="389">
        <f t="shared" si="123"/>
        <v>1</v>
      </c>
      <c r="V292" s="389" t="b">
        <f t="shared" si="124"/>
        <v>0</v>
      </c>
      <c r="W292" s="389">
        <f t="shared" si="125"/>
        <v>-1</v>
      </c>
      <c r="X292" s="389">
        <f t="shared" si="126"/>
        <v>1</v>
      </c>
      <c r="Y292" s="389" t="b">
        <f t="shared" si="144"/>
        <v>0</v>
      </c>
      <c r="Z292" s="389">
        <f t="shared" si="127"/>
        <v>-1</v>
      </c>
      <c r="AA292" s="389">
        <f t="shared" si="128"/>
        <v>1</v>
      </c>
      <c r="AB292" s="389" t="b">
        <f t="shared" si="129"/>
        <v>0</v>
      </c>
      <c r="AC292" s="389">
        <f t="shared" si="130"/>
        <v>-1</v>
      </c>
      <c r="AD292" s="389">
        <f t="shared" si="131"/>
        <v>1</v>
      </c>
      <c r="AE292" s="389">
        <f t="shared" si="132"/>
        <v>1</v>
      </c>
      <c r="AG292" s="311" t="str">
        <f t="shared" si="133"/>
        <v>College Male Flag Football-</v>
      </c>
      <c r="AH292" s="453">
        <f t="shared" si="134"/>
        <v>1</v>
      </c>
      <c r="AI292" s="453">
        <f t="shared" si="135"/>
        <v>1</v>
      </c>
      <c r="AJ292" t="str">
        <f t="array" ref="AJ292">IF(AND(AI292&gt;1,G292&lt;&gt;""),INDEX(FS_teams,MATCH(1,(FS_Keys=AG292)*(FS_Points=I292)*(FS_teams&lt;&gt;G292),0)),"")</f>
        <v/>
      </c>
      <c r="AK292" s="390" t="str">
        <f t="array" ref="AK292">IF(AJ292&lt;&gt;"",INDEX(TM_Score1,MATCH(1,(TM_Events=D292)*(TM_Participant1=G292)*(TM_Participant2=AJ292),0)),"")</f>
        <v/>
      </c>
      <c r="AL292" s="390" t="str">
        <f t="array" ref="AL292">IF(AJ292&lt;&gt;"",INDEX(TM_Score1,MATCH(1,(TM_Events=D292)*(TM_Participant1=AJ292)*(TM_Participant2=G292),0)),"")</f>
        <v/>
      </c>
      <c r="AM292" s="389" t="str">
        <f t="array" ref="AM292">IF(ISNUMBER(AK292),INDEX(TM_Score2,MATCH(1,(TM_Events=D292)*(TM_Participant1=G292)*(TM_Participant2=AJ292),0)),"")</f>
        <v/>
      </c>
      <c r="AN292" s="389" t="str">
        <f t="array" ref="AN292">IF(ISNUMBER(AL292),INDEX(TM_Score2,MATCH(1,(TM_Events=D292)*(TM_Participant1=AJ292)*(TM_Participant2=G292),0)),"")</f>
        <v/>
      </c>
      <c r="AO292" s="389" t="str">
        <f t="shared" si="136"/>
        <v/>
      </c>
      <c r="AP292" s="389">
        <f t="shared" si="137"/>
        <v>3</v>
      </c>
      <c r="AQ292" s="389">
        <f t="shared" si="138"/>
        <v>0</v>
      </c>
      <c r="AR292" s="389">
        <f t="shared" si="139"/>
        <v>0</v>
      </c>
      <c r="AS292" s="453">
        <f t="shared" si="140"/>
        <v>46</v>
      </c>
      <c r="AT292" s="452">
        <f t="shared" si="141"/>
        <v>96</v>
      </c>
    </row>
    <row r="293" spans="1:46" ht="16" x14ac:dyDescent="0.2">
      <c r="A293" s="298"/>
      <c r="B293"/>
      <c r="D293" s="303" t="s">
        <v>514</v>
      </c>
      <c r="E293" s="396"/>
      <c r="F293" s="387">
        <v>1</v>
      </c>
      <c r="G293" s="397" t="s">
        <v>627</v>
      </c>
      <c r="H293" s="387" t="str">
        <f t="shared" si="116"/>
        <v>1-2-0</v>
      </c>
      <c r="I293" s="389">
        <f t="shared" si="117"/>
        <v>2</v>
      </c>
      <c r="J293" s="455" t="str">
        <f t="shared" si="142"/>
        <v/>
      </c>
      <c r="K293" s="455" t="str">
        <f t="shared" si="118"/>
        <v/>
      </c>
      <c r="L293" s="455" t="str">
        <f t="shared" si="143"/>
        <v/>
      </c>
      <c r="M293" s="389" t="str">
        <f>IFERROR(IF(AD293&lt;=VLOOKUP(D293,Tournaments!$A$1:$B$1772,2,FALSE),"TRUE","FALSE"),"")</f>
        <v>FALSE</v>
      </c>
      <c r="N293" s="389">
        <v>1</v>
      </c>
      <c r="O293" s="389">
        <f t="shared" si="119"/>
        <v>3</v>
      </c>
      <c r="Q293" s="389">
        <f t="shared" si="120"/>
        <v>1</v>
      </c>
      <c r="R293" s="389">
        <f t="shared" si="121"/>
        <v>2</v>
      </c>
      <c r="S293" s="389">
        <f t="shared" si="122"/>
        <v>0</v>
      </c>
      <c r="U293" s="389">
        <f t="shared" si="123"/>
        <v>3</v>
      </c>
      <c r="V293" s="389" t="b">
        <f t="shared" si="124"/>
        <v>0</v>
      </c>
      <c r="W293" s="389">
        <f t="shared" si="125"/>
        <v>-3</v>
      </c>
      <c r="X293" s="389">
        <f t="shared" si="126"/>
        <v>3</v>
      </c>
      <c r="Y293" s="389" t="b">
        <f t="shared" si="144"/>
        <v>0</v>
      </c>
      <c r="Z293" s="389">
        <f t="shared" si="127"/>
        <v>-3</v>
      </c>
      <c r="AA293" s="389">
        <f t="shared" si="128"/>
        <v>3</v>
      </c>
      <c r="AB293" s="389" t="b">
        <f t="shared" si="129"/>
        <v>0</v>
      </c>
      <c r="AC293" s="389">
        <f t="shared" si="130"/>
        <v>-3</v>
      </c>
      <c r="AD293" s="389">
        <f t="shared" si="131"/>
        <v>3</v>
      </c>
      <c r="AE293" s="389">
        <f t="shared" si="132"/>
        <v>1</v>
      </c>
      <c r="AG293" s="311" t="str">
        <f t="shared" si="133"/>
        <v>College Male Flag Football-</v>
      </c>
      <c r="AH293" s="453">
        <f t="shared" si="134"/>
        <v>3</v>
      </c>
      <c r="AI293" s="453">
        <f t="shared" si="135"/>
        <v>1</v>
      </c>
      <c r="AJ293" t="str">
        <f t="array" ref="AJ293">IF(AND(AI293&gt;1,G293&lt;&gt;""),INDEX(FS_teams,MATCH(1,(FS_Keys=AG293)*(FS_Points=I293)*(FS_teams&lt;&gt;G293),0)),"")</f>
        <v/>
      </c>
      <c r="AK293" s="390" t="str">
        <f t="array" ref="AK293">IF(AJ293&lt;&gt;"",INDEX(TM_Score1,MATCH(1,(TM_Events=D293)*(TM_Participant1=G293)*(TM_Participant2=AJ293),0)),"")</f>
        <v/>
      </c>
      <c r="AL293" s="390" t="str">
        <f t="array" ref="AL293">IF(AJ293&lt;&gt;"",INDEX(TM_Score1,MATCH(1,(TM_Events=D293)*(TM_Participant1=AJ293)*(TM_Participant2=G293),0)),"")</f>
        <v/>
      </c>
      <c r="AM293" s="389" t="str">
        <f t="array" ref="AM293">IF(ISNUMBER(AK293),INDEX(TM_Score2,MATCH(1,(TM_Events=D293)*(TM_Participant1=G293)*(TM_Participant2=AJ293),0)),"")</f>
        <v/>
      </c>
      <c r="AN293" s="389" t="str">
        <f t="array" ref="AN293">IF(ISNUMBER(AL293),INDEX(TM_Score2,MATCH(1,(TM_Events=D293)*(TM_Participant1=AJ293)*(TM_Participant2=G293),0)),"")</f>
        <v/>
      </c>
      <c r="AO293" s="389" t="str">
        <f t="shared" si="136"/>
        <v/>
      </c>
      <c r="AP293" s="389">
        <f t="shared" si="137"/>
        <v>1</v>
      </c>
      <c r="AQ293" s="389">
        <f t="shared" si="138"/>
        <v>0</v>
      </c>
      <c r="AR293" s="389">
        <f t="shared" si="139"/>
        <v>2</v>
      </c>
      <c r="AS293" s="453">
        <f t="shared" si="140"/>
        <v>-6</v>
      </c>
      <c r="AT293" s="452">
        <f t="shared" si="141"/>
        <v>40</v>
      </c>
    </row>
    <row r="294" spans="1:46" ht="16" x14ac:dyDescent="0.2">
      <c r="A294" s="298"/>
      <c r="B294"/>
      <c r="D294" s="303" t="s">
        <v>514</v>
      </c>
      <c r="E294" s="387"/>
      <c r="F294" s="387">
        <v>1</v>
      </c>
      <c r="G294" s="309" t="s">
        <v>630</v>
      </c>
      <c r="H294" s="387" t="str">
        <f t="shared" si="116"/>
        <v>2-1-0</v>
      </c>
      <c r="I294" s="389">
        <f t="shared" si="117"/>
        <v>4</v>
      </c>
      <c r="J294" s="455" t="str">
        <f t="shared" si="142"/>
        <v/>
      </c>
      <c r="K294" s="455" t="str">
        <f t="shared" si="118"/>
        <v/>
      </c>
      <c r="L294" s="455" t="str">
        <f t="shared" si="143"/>
        <v/>
      </c>
      <c r="M294" s="389" t="str">
        <f>IFERROR(IF(AD294&lt;=VLOOKUP(D294,Tournaments!$A$1:$B$1772,2,FALSE),"TRUE","FALSE"),"")</f>
        <v>TRUE</v>
      </c>
      <c r="N294" s="389">
        <v>1</v>
      </c>
      <c r="O294" s="389">
        <f t="shared" si="119"/>
        <v>2</v>
      </c>
      <c r="Q294" s="389">
        <f t="shared" si="120"/>
        <v>2</v>
      </c>
      <c r="R294" s="389">
        <f t="shared" si="121"/>
        <v>1</v>
      </c>
      <c r="S294" s="389">
        <f t="shared" si="122"/>
        <v>0</v>
      </c>
      <c r="U294" s="389">
        <f t="shared" si="123"/>
        <v>2</v>
      </c>
      <c r="V294" s="389" t="b">
        <f t="shared" si="124"/>
        <v>0</v>
      </c>
      <c r="W294" s="389">
        <f t="shared" si="125"/>
        <v>-2</v>
      </c>
      <c r="X294" s="389">
        <f t="shared" si="126"/>
        <v>2</v>
      </c>
      <c r="Y294" s="389" t="b">
        <f t="shared" si="144"/>
        <v>0</v>
      </c>
      <c r="Z294" s="389">
        <f t="shared" si="127"/>
        <v>-2</v>
      </c>
      <c r="AA294" s="389">
        <f t="shared" si="128"/>
        <v>2</v>
      </c>
      <c r="AB294" s="389" t="b">
        <f t="shared" si="129"/>
        <v>0</v>
      </c>
      <c r="AC294" s="389">
        <f t="shared" si="130"/>
        <v>-2</v>
      </c>
      <c r="AD294" s="389">
        <f t="shared" si="131"/>
        <v>2</v>
      </c>
      <c r="AE294" s="389">
        <f t="shared" si="132"/>
        <v>1</v>
      </c>
      <c r="AG294" s="311" t="str">
        <f t="shared" si="133"/>
        <v>College Male Flag Football-</v>
      </c>
      <c r="AH294" s="453">
        <f t="shared" si="134"/>
        <v>2</v>
      </c>
      <c r="AI294" s="453">
        <f t="shared" si="135"/>
        <v>1</v>
      </c>
      <c r="AJ294" t="str">
        <f t="array" ref="AJ294">IF(AND(AI294&gt;1,G294&lt;&gt;""),INDEX(FS_teams,MATCH(1,(FS_Keys=AG294)*(FS_Points=I294)*(FS_teams&lt;&gt;G294),0)),"")</f>
        <v/>
      </c>
      <c r="AK294" s="390" t="str">
        <f t="array" ref="AK294">IF(AJ294&lt;&gt;"",INDEX(TM_Score1,MATCH(1,(TM_Events=D294)*(TM_Participant1=G294)*(TM_Participant2=AJ294),0)),"")</f>
        <v/>
      </c>
      <c r="AL294" s="390" t="str">
        <f t="array" ref="AL294">IF(AJ294&lt;&gt;"",INDEX(TM_Score1,MATCH(1,(TM_Events=D294)*(TM_Participant1=AJ294)*(TM_Participant2=G294),0)),"")</f>
        <v/>
      </c>
      <c r="AM294" s="389" t="str">
        <f t="array" ref="AM294">IF(ISNUMBER(AK294),INDEX(TM_Score2,MATCH(1,(TM_Events=D294)*(TM_Participant1=G294)*(TM_Participant2=AJ294),0)),"")</f>
        <v/>
      </c>
      <c r="AN294" s="389" t="str">
        <f t="array" ref="AN294">IF(ISNUMBER(AL294),INDEX(TM_Score2,MATCH(1,(TM_Events=D294)*(TM_Participant1=AJ294)*(TM_Participant2=G294),0)),"")</f>
        <v/>
      </c>
      <c r="AO294" s="389" t="str">
        <f t="shared" si="136"/>
        <v/>
      </c>
      <c r="AP294" s="389">
        <f t="shared" si="137"/>
        <v>2</v>
      </c>
      <c r="AQ294" s="389">
        <f t="shared" si="138"/>
        <v>0</v>
      </c>
      <c r="AR294" s="389">
        <f t="shared" si="139"/>
        <v>1</v>
      </c>
      <c r="AS294" s="453">
        <f t="shared" si="140"/>
        <v>-1</v>
      </c>
      <c r="AT294" s="452">
        <f t="shared" si="141"/>
        <v>77</v>
      </c>
    </row>
    <row r="295" spans="1:46" ht="16" x14ac:dyDescent="0.2">
      <c r="A295" s="298"/>
      <c r="B295"/>
      <c r="D295" s="303" t="s">
        <v>514</v>
      </c>
      <c r="E295" s="396"/>
      <c r="F295" s="387">
        <v>1</v>
      </c>
      <c r="G295" s="397" t="s">
        <v>632</v>
      </c>
      <c r="H295" s="387" t="str">
        <f t="shared" si="116"/>
        <v>0-3-0</v>
      </c>
      <c r="I295" s="389">
        <f t="shared" si="117"/>
        <v>0</v>
      </c>
      <c r="J295" s="455" t="str">
        <f t="shared" si="142"/>
        <v/>
      </c>
      <c r="K295" s="455" t="str">
        <f t="shared" si="118"/>
        <v/>
      </c>
      <c r="L295" s="455" t="str">
        <f t="shared" si="143"/>
        <v/>
      </c>
      <c r="M295" s="389" t="str">
        <f>IFERROR(IF(AD295&lt;=VLOOKUP(D295,Tournaments!$A$1:$B$1772,2,FALSE),"TRUE","FALSE"),"")</f>
        <v>FALSE</v>
      </c>
      <c r="N295" s="389">
        <v>1</v>
      </c>
      <c r="O295" s="389">
        <f t="shared" si="119"/>
        <v>4</v>
      </c>
      <c r="Q295" s="389">
        <f t="shared" si="120"/>
        <v>0</v>
      </c>
      <c r="R295" s="389">
        <f t="shared" si="121"/>
        <v>3</v>
      </c>
      <c r="S295" s="389">
        <f t="shared" si="122"/>
        <v>0</v>
      </c>
      <c r="U295" s="389">
        <f t="shared" si="123"/>
        <v>4</v>
      </c>
      <c r="V295" s="389" t="b">
        <f t="shared" si="124"/>
        <v>0</v>
      </c>
      <c r="W295" s="389">
        <f t="shared" si="125"/>
        <v>-4</v>
      </c>
      <c r="X295" s="389">
        <f t="shared" si="126"/>
        <v>4</v>
      </c>
      <c r="Y295" s="389" t="b">
        <f t="shared" si="144"/>
        <v>0</v>
      </c>
      <c r="Z295" s="389">
        <f t="shared" si="127"/>
        <v>-4</v>
      </c>
      <c r="AA295" s="389">
        <f t="shared" si="128"/>
        <v>4</v>
      </c>
      <c r="AB295" s="389" t="b">
        <f t="shared" si="129"/>
        <v>0</v>
      </c>
      <c r="AC295" s="389">
        <f t="shared" si="130"/>
        <v>-4</v>
      </c>
      <c r="AD295" s="389">
        <f t="shared" si="131"/>
        <v>4</v>
      </c>
      <c r="AE295" s="389">
        <f t="shared" si="132"/>
        <v>1</v>
      </c>
      <c r="AG295" s="311" t="str">
        <f t="shared" si="133"/>
        <v>College Male Flag Football-</v>
      </c>
      <c r="AH295" s="453">
        <f t="shared" si="134"/>
        <v>4</v>
      </c>
      <c r="AI295" s="453">
        <f t="shared" si="135"/>
        <v>1</v>
      </c>
      <c r="AJ295" t="str">
        <f t="array" ref="AJ295">IF(AND(AI295&gt;1,G295&lt;&gt;""),INDEX(FS_teams,MATCH(1,(FS_Keys=AG295)*(FS_Points=I295)*(FS_teams&lt;&gt;G295),0)),"")</f>
        <v/>
      </c>
      <c r="AK295" s="390" t="str">
        <f t="array" ref="AK295">IF(AJ295&lt;&gt;"",INDEX(TM_Score1,MATCH(1,(TM_Events=D295)*(TM_Participant1=G295)*(TM_Participant2=AJ295),0)),"")</f>
        <v/>
      </c>
      <c r="AL295" s="390" t="str">
        <f t="array" ref="AL295">IF(AJ295&lt;&gt;"",INDEX(TM_Score1,MATCH(1,(TM_Events=D295)*(TM_Participant1=AJ295)*(TM_Participant2=G295),0)),"")</f>
        <v/>
      </c>
      <c r="AM295" s="389" t="str">
        <f t="array" ref="AM295">IF(ISNUMBER(AK295),INDEX(TM_Score2,MATCH(1,(TM_Events=D295)*(TM_Participant1=G295)*(TM_Participant2=AJ295),0)),"")</f>
        <v/>
      </c>
      <c r="AN295" s="389" t="str">
        <f t="array" ref="AN295">IF(ISNUMBER(AL295),INDEX(TM_Score2,MATCH(1,(TM_Events=D295)*(TM_Participant1=AJ295)*(TM_Participant2=G295),0)),"")</f>
        <v/>
      </c>
      <c r="AO295" s="389" t="str">
        <f t="shared" si="136"/>
        <v/>
      </c>
      <c r="AP295" s="389">
        <f t="shared" si="137"/>
        <v>0</v>
      </c>
      <c r="AQ295" s="389">
        <f t="shared" si="138"/>
        <v>0</v>
      </c>
      <c r="AR295" s="389">
        <f t="shared" si="139"/>
        <v>3</v>
      </c>
      <c r="AS295" s="453">
        <f t="shared" si="140"/>
        <v>-39</v>
      </c>
      <c r="AT295" s="452">
        <f t="shared" si="141"/>
        <v>45</v>
      </c>
    </row>
    <row r="296" spans="1:46" ht="16" x14ac:dyDescent="0.2">
      <c r="A296" s="298"/>
      <c r="B296"/>
      <c r="D296" s="303" t="s">
        <v>512</v>
      </c>
      <c r="E296" s="396"/>
      <c r="F296" s="387">
        <v>1</v>
      </c>
      <c r="G296" s="309" t="s">
        <v>630</v>
      </c>
      <c r="H296" s="387" t="str">
        <f t="shared" si="116"/>
        <v>0-0-0</v>
      </c>
      <c r="I296" s="389">
        <f t="shared" si="117"/>
        <v>0</v>
      </c>
      <c r="J296" s="455">
        <f t="shared" si="142"/>
        <v>1</v>
      </c>
      <c r="K296" s="455">
        <f t="shared" si="118"/>
        <v>0</v>
      </c>
      <c r="L296" s="455">
        <f t="shared" si="143"/>
        <v>0</v>
      </c>
      <c r="M296" s="389" t="str">
        <f>IFERROR(IF(AD296&lt;=VLOOKUP(D296,Tournaments!$A$1:$B$1772,2,FALSE),"TRUE","FALSE"),"")</f>
        <v>FALSE</v>
      </c>
      <c r="N296" s="389">
        <v>1</v>
      </c>
      <c r="O296" s="389">
        <f t="shared" si="119"/>
        <v>4</v>
      </c>
      <c r="Q296" s="389">
        <f t="shared" si="120"/>
        <v>0</v>
      </c>
      <c r="R296" s="389">
        <f t="shared" si="121"/>
        <v>0</v>
      </c>
      <c r="S296" s="389">
        <f t="shared" si="122"/>
        <v>0</v>
      </c>
      <c r="U296" s="389">
        <f t="shared" si="123"/>
        <v>4</v>
      </c>
      <c r="V296" s="389">
        <f t="shared" si="124"/>
        <v>2.5000000000000001E-3</v>
      </c>
      <c r="W296" s="389">
        <f t="shared" si="125"/>
        <v>-3.9975000000000001</v>
      </c>
      <c r="X296" s="389">
        <f t="shared" si="126"/>
        <v>4</v>
      </c>
      <c r="Y296" s="389">
        <f t="shared" si="144"/>
        <v>1.0999999999999999E-2</v>
      </c>
      <c r="Z296" s="389">
        <f t="shared" si="127"/>
        <v>-3.9889999999999999</v>
      </c>
      <c r="AA296" s="389">
        <f t="shared" si="128"/>
        <v>4</v>
      </c>
      <c r="AB296" s="389">
        <f t="shared" si="129"/>
        <v>1E-4</v>
      </c>
      <c r="AC296" s="389">
        <f t="shared" si="130"/>
        <v>-3.9998999999999998</v>
      </c>
      <c r="AD296" s="389">
        <f t="shared" si="131"/>
        <v>4</v>
      </c>
      <c r="AE296" s="389">
        <f t="shared" si="132"/>
        <v>4</v>
      </c>
      <c r="AG296" s="311" t="str">
        <f t="shared" si="133"/>
        <v>College Male Mini Soccer-</v>
      </c>
      <c r="AH296" s="453">
        <f t="shared" si="134"/>
        <v>1</v>
      </c>
      <c r="AI296" s="453">
        <f t="shared" si="135"/>
        <v>4</v>
      </c>
      <c r="AJ296" t="str">
        <f t="array" ref="AJ296">IF(AND(AI296&gt;1,G296&lt;&gt;""),INDEX(FS_teams,MATCH(1,(FS_Keys=AG296)*(FS_Points=I296)*(FS_teams&lt;&gt;G296),0)),"")</f>
        <v>COL M - ACC</v>
      </c>
      <c r="AK296" s="390" t="e">
        <f t="array" ref="AK296">IF(AJ296&lt;&gt;"",INDEX(TM_Score1,MATCH(1,(TM_Events=D296)*(TM_Participant1=G296)*(TM_Participant2=AJ296),0)),"")</f>
        <v>#N/A</v>
      </c>
      <c r="AL296" s="390">
        <f t="array" ref="AL296">IF(AJ296&lt;&gt;"",INDEX(TM_Score1,MATCH(1,(TM_Events=D296)*(TM_Participant1=AJ296)*(TM_Participant2=G296),0)),"")</f>
        <v>0</v>
      </c>
      <c r="AM296" s="389" t="str">
        <f t="array" ref="AM296">IF(ISNUMBER(AK296),INDEX(TM_Score2,MATCH(1,(TM_Events=D296)*(TM_Participant1=G296)*(TM_Participant2=AJ296),0)),"")</f>
        <v/>
      </c>
      <c r="AN296" s="389">
        <f t="array" ref="AN296">IF(ISNUMBER(AL296),INDEX(TM_Score2,MATCH(1,(TM_Events=D296)*(TM_Participant1=AJ296)*(TM_Participant2=G296),0)),"")</f>
        <v>0</v>
      </c>
      <c r="AO296" s="389" t="str">
        <f t="shared" si="136"/>
        <v>Tie</v>
      </c>
      <c r="AP296" s="389">
        <f t="shared" si="137"/>
        <v>0</v>
      </c>
      <c r="AQ296" s="389">
        <f t="shared" si="138"/>
        <v>0</v>
      </c>
      <c r="AR296" s="389">
        <f t="shared" si="139"/>
        <v>0</v>
      </c>
      <c r="AS296" s="453">
        <f t="shared" si="140"/>
        <v>0</v>
      </c>
      <c r="AT296" s="452">
        <f t="shared" si="141"/>
        <v>0</v>
      </c>
    </row>
    <row r="297" spans="1:46" ht="16" x14ac:dyDescent="0.2">
      <c r="A297" s="298"/>
      <c r="B297"/>
      <c r="D297" s="303" t="s">
        <v>512</v>
      </c>
      <c r="E297" s="396"/>
      <c r="F297" s="387">
        <v>1</v>
      </c>
      <c r="G297" s="397" t="s">
        <v>627</v>
      </c>
      <c r="H297" s="387" t="str">
        <f t="shared" si="116"/>
        <v>0-0-0</v>
      </c>
      <c r="I297" s="389">
        <f t="shared" si="117"/>
        <v>0</v>
      </c>
      <c r="J297" s="455">
        <f t="shared" si="142"/>
        <v>1</v>
      </c>
      <c r="K297" s="455">
        <f t="shared" si="118"/>
        <v>0</v>
      </c>
      <c r="L297" s="455">
        <f t="shared" si="143"/>
        <v>0</v>
      </c>
      <c r="M297" s="389" t="str">
        <f>IFERROR(IF(AD297&lt;=VLOOKUP(D297,Tournaments!$A$1:$B$1772,2,FALSE),"TRUE","FALSE"),"")</f>
        <v>FALSE</v>
      </c>
      <c r="N297" s="389">
        <v>1</v>
      </c>
      <c r="O297" s="389">
        <f t="shared" si="119"/>
        <v>4</v>
      </c>
      <c r="Q297" s="389">
        <f t="shared" si="120"/>
        <v>0</v>
      </c>
      <c r="R297" s="389">
        <f t="shared" si="121"/>
        <v>0</v>
      </c>
      <c r="S297" s="389">
        <f t="shared" si="122"/>
        <v>0</v>
      </c>
      <c r="U297" s="389">
        <f t="shared" si="123"/>
        <v>4</v>
      </c>
      <c r="V297" s="389">
        <f t="shared" si="124"/>
        <v>2.5000000000000001E-3</v>
      </c>
      <c r="W297" s="389">
        <f t="shared" si="125"/>
        <v>-3.9975000000000001</v>
      </c>
      <c r="X297" s="389">
        <f t="shared" si="126"/>
        <v>4</v>
      </c>
      <c r="Y297" s="389">
        <f t="shared" si="144"/>
        <v>1.0999999999999999E-2</v>
      </c>
      <c r="Z297" s="389">
        <f t="shared" si="127"/>
        <v>-3.9889999999999999</v>
      </c>
      <c r="AA297" s="389">
        <f t="shared" si="128"/>
        <v>4</v>
      </c>
      <c r="AB297" s="389">
        <f t="shared" si="129"/>
        <v>1E-4</v>
      </c>
      <c r="AC297" s="389">
        <f t="shared" si="130"/>
        <v>-3.9998999999999998</v>
      </c>
      <c r="AD297" s="389">
        <f t="shared" si="131"/>
        <v>4</v>
      </c>
      <c r="AE297" s="389">
        <f t="shared" si="132"/>
        <v>4</v>
      </c>
      <c r="AG297" s="311" t="str">
        <f t="shared" si="133"/>
        <v>College Male Mini Soccer-</v>
      </c>
      <c r="AH297" s="453">
        <f t="shared" si="134"/>
        <v>1</v>
      </c>
      <c r="AI297" s="453">
        <f t="shared" si="135"/>
        <v>4</v>
      </c>
      <c r="AJ297" t="str">
        <f t="array" ref="AJ297">IF(AND(AI297&gt;1,G297&lt;&gt;""),INDEX(FS_teams,MATCH(1,(FS_Keys=AG297)*(FS_Points=I297)*(FS_teams&lt;&gt;G297),0)),"")</f>
        <v>COL M - BIG EAST</v>
      </c>
      <c r="AK297" s="390">
        <f t="array" ref="AK297">IF(AJ297&lt;&gt;"",INDEX(TM_Score1,MATCH(1,(TM_Events=D297)*(TM_Participant1=G297)*(TM_Participant2=AJ297),0)),"")</f>
        <v>0</v>
      </c>
      <c r="AL297" s="390" t="e">
        <f t="array" ref="AL297">IF(AJ297&lt;&gt;"",INDEX(TM_Score1,MATCH(1,(TM_Events=D297)*(TM_Participant1=AJ297)*(TM_Participant2=G297),0)),"")</f>
        <v>#N/A</v>
      </c>
      <c r="AM297" s="389">
        <f t="array" ref="AM297">IF(ISNUMBER(AK297),INDEX(TM_Score2,MATCH(1,(TM_Events=D297)*(TM_Participant1=G297)*(TM_Participant2=AJ297),0)),"")</f>
        <v>0</v>
      </c>
      <c r="AN297" s="389" t="str">
        <f t="array" ref="AN297">IF(ISNUMBER(AL297),INDEX(TM_Score2,MATCH(1,(TM_Events=D297)*(TM_Participant1=AJ297)*(TM_Participant2=G297),0)),"")</f>
        <v/>
      </c>
      <c r="AO297" s="389" t="str">
        <f t="shared" si="136"/>
        <v>Tie</v>
      </c>
      <c r="AP297" s="389">
        <f t="shared" si="137"/>
        <v>0</v>
      </c>
      <c r="AQ297" s="389">
        <f t="shared" si="138"/>
        <v>0</v>
      </c>
      <c r="AR297" s="389">
        <f t="shared" si="139"/>
        <v>0</v>
      </c>
      <c r="AS297" s="453">
        <f t="shared" si="140"/>
        <v>0</v>
      </c>
      <c r="AT297" s="452">
        <f t="shared" si="141"/>
        <v>0</v>
      </c>
    </row>
    <row r="298" spans="1:46" ht="16" x14ac:dyDescent="0.2">
      <c r="A298" s="298"/>
      <c r="B298"/>
      <c r="D298" s="303" t="s">
        <v>512</v>
      </c>
      <c r="E298" s="387"/>
      <c r="F298" s="387">
        <v>1</v>
      </c>
      <c r="G298" s="397" t="s">
        <v>632</v>
      </c>
      <c r="H298" s="387" t="str">
        <f t="shared" si="116"/>
        <v>0-0-0</v>
      </c>
      <c r="I298" s="389">
        <f t="shared" si="117"/>
        <v>0</v>
      </c>
      <c r="J298" s="455">
        <f t="shared" si="142"/>
        <v>1</v>
      </c>
      <c r="K298" s="455">
        <f t="shared" si="118"/>
        <v>0</v>
      </c>
      <c r="L298" s="455">
        <f t="shared" si="143"/>
        <v>0</v>
      </c>
      <c r="M298" s="389" t="str">
        <f>IFERROR(IF(AD298&lt;=VLOOKUP(D298,Tournaments!$A$1:$B$1772,2,FALSE),"TRUE","FALSE"),"")</f>
        <v>FALSE</v>
      </c>
      <c r="N298" s="389">
        <v>1</v>
      </c>
      <c r="O298" s="389">
        <f t="shared" si="119"/>
        <v>4</v>
      </c>
      <c r="Q298" s="389">
        <f t="shared" si="120"/>
        <v>0</v>
      </c>
      <c r="R298" s="389">
        <f t="shared" si="121"/>
        <v>0</v>
      </c>
      <c r="S298" s="389">
        <f t="shared" si="122"/>
        <v>0</v>
      </c>
      <c r="U298" s="389">
        <f t="shared" si="123"/>
        <v>4</v>
      </c>
      <c r="V298" s="389">
        <f t="shared" si="124"/>
        <v>2.5000000000000001E-3</v>
      </c>
      <c r="W298" s="389">
        <f t="shared" si="125"/>
        <v>-3.9975000000000001</v>
      </c>
      <c r="X298" s="389">
        <f t="shared" si="126"/>
        <v>4</v>
      </c>
      <c r="Y298" s="389">
        <f t="shared" si="144"/>
        <v>1.0999999999999999E-2</v>
      </c>
      <c r="Z298" s="389">
        <f t="shared" si="127"/>
        <v>-3.9889999999999999</v>
      </c>
      <c r="AA298" s="389">
        <f t="shared" si="128"/>
        <v>4</v>
      </c>
      <c r="AB298" s="389">
        <f t="shared" si="129"/>
        <v>1E-4</v>
      </c>
      <c r="AC298" s="389">
        <f t="shared" si="130"/>
        <v>-3.9998999999999998</v>
      </c>
      <c r="AD298" s="389">
        <f t="shared" si="131"/>
        <v>4</v>
      </c>
      <c r="AE298" s="389">
        <f t="shared" si="132"/>
        <v>4</v>
      </c>
      <c r="AG298" s="311" t="str">
        <f t="shared" si="133"/>
        <v>College Male Mini Soccer-</v>
      </c>
      <c r="AH298" s="453">
        <f t="shared" si="134"/>
        <v>1</v>
      </c>
      <c r="AI298" s="453">
        <f t="shared" si="135"/>
        <v>4</v>
      </c>
      <c r="AJ298" t="str">
        <f t="array" ref="AJ298">IF(AND(AI298&gt;1,G298&lt;&gt;""),INDEX(FS_teams,MATCH(1,(FS_Keys=AG298)*(FS_Points=I298)*(FS_teams&lt;&gt;G298),0)),"")</f>
        <v>COL M - BIG EAST</v>
      </c>
      <c r="AK298" s="390" t="e">
        <f t="array" ref="AK298">IF(AJ298&lt;&gt;"",INDEX(TM_Score1,MATCH(1,(TM_Events=D298)*(TM_Participant1=G298)*(TM_Participant2=AJ298),0)),"")</f>
        <v>#N/A</v>
      </c>
      <c r="AL298" s="390">
        <f t="array" ref="AL298">IF(AJ298&lt;&gt;"",INDEX(TM_Score1,MATCH(1,(TM_Events=D298)*(TM_Participant1=AJ298)*(TM_Participant2=G298),0)),"")</f>
        <v>0</v>
      </c>
      <c r="AM298" s="389" t="str">
        <f t="array" ref="AM298">IF(ISNUMBER(AK298),INDEX(TM_Score2,MATCH(1,(TM_Events=D298)*(TM_Participant1=G298)*(TM_Participant2=AJ298),0)),"")</f>
        <v/>
      </c>
      <c r="AN298" s="389">
        <f t="array" ref="AN298">IF(ISNUMBER(AL298),INDEX(TM_Score2,MATCH(1,(TM_Events=D298)*(TM_Participant1=AJ298)*(TM_Participant2=G298),0)),"")</f>
        <v>0</v>
      </c>
      <c r="AO298" s="389" t="str">
        <f t="shared" si="136"/>
        <v>Tie</v>
      </c>
      <c r="AP298" s="389">
        <f t="shared" si="137"/>
        <v>0</v>
      </c>
      <c r="AQ298" s="389">
        <f t="shared" si="138"/>
        <v>0</v>
      </c>
      <c r="AR298" s="389">
        <f t="shared" si="139"/>
        <v>0</v>
      </c>
      <c r="AS298" s="453">
        <f t="shared" si="140"/>
        <v>0</v>
      </c>
      <c r="AT298" s="452">
        <f t="shared" si="141"/>
        <v>0</v>
      </c>
    </row>
    <row r="299" spans="1:46" ht="16" x14ac:dyDescent="0.2">
      <c r="A299" s="298"/>
      <c r="B299"/>
      <c r="D299" s="303" t="s">
        <v>512</v>
      </c>
      <c r="E299" s="387"/>
      <c r="F299" s="387">
        <v>1</v>
      </c>
      <c r="G299" s="397" t="s">
        <v>629</v>
      </c>
      <c r="H299" s="387" t="str">
        <f t="shared" si="116"/>
        <v>0-0-0</v>
      </c>
      <c r="I299" s="389">
        <f t="shared" si="117"/>
        <v>0</v>
      </c>
      <c r="J299" s="455">
        <f t="shared" si="142"/>
        <v>1</v>
      </c>
      <c r="K299" s="455">
        <f t="shared" si="118"/>
        <v>0</v>
      </c>
      <c r="L299" s="455">
        <f t="shared" si="143"/>
        <v>0</v>
      </c>
      <c r="M299" s="389" t="str">
        <f>IFERROR(IF(AD299&lt;=VLOOKUP(D299,Tournaments!$A$1:$B$1772,2,FALSE),"TRUE","FALSE"),"")</f>
        <v>FALSE</v>
      </c>
      <c r="N299" s="389">
        <v>1</v>
      </c>
      <c r="O299" s="389">
        <f t="shared" si="119"/>
        <v>4</v>
      </c>
      <c r="Q299" s="389">
        <f t="shared" si="120"/>
        <v>0</v>
      </c>
      <c r="R299" s="389">
        <f t="shared" si="121"/>
        <v>0</v>
      </c>
      <c r="S299" s="389">
        <f t="shared" si="122"/>
        <v>0</v>
      </c>
      <c r="U299" s="389">
        <f t="shared" si="123"/>
        <v>4</v>
      </c>
      <c r="V299" s="389">
        <f t="shared" si="124"/>
        <v>2.5000000000000001E-3</v>
      </c>
      <c r="W299" s="389">
        <f t="shared" si="125"/>
        <v>-3.9975000000000001</v>
      </c>
      <c r="X299" s="389">
        <f t="shared" si="126"/>
        <v>4</v>
      </c>
      <c r="Y299" s="389">
        <f t="shared" si="144"/>
        <v>1.0999999999999999E-2</v>
      </c>
      <c r="Z299" s="389">
        <f t="shared" si="127"/>
        <v>-3.9889999999999999</v>
      </c>
      <c r="AA299" s="389">
        <f t="shared" si="128"/>
        <v>4</v>
      </c>
      <c r="AB299" s="389">
        <f t="shared" si="129"/>
        <v>1E-4</v>
      </c>
      <c r="AC299" s="389">
        <f t="shared" si="130"/>
        <v>-3.9998999999999998</v>
      </c>
      <c r="AD299" s="389">
        <f t="shared" si="131"/>
        <v>4</v>
      </c>
      <c r="AE299" s="389">
        <f t="shared" si="132"/>
        <v>4</v>
      </c>
      <c r="AG299" s="311" t="str">
        <f t="shared" si="133"/>
        <v>College Male Mini Soccer-</v>
      </c>
      <c r="AH299" s="453">
        <f t="shared" si="134"/>
        <v>1</v>
      </c>
      <c r="AI299" s="453">
        <f t="shared" si="135"/>
        <v>4</v>
      </c>
      <c r="AJ299" t="str">
        <f t="array" ref="AJ299">IF(AND(AI299&gt;1,G299&lt;&gt;""),INDEX(FS_teams,MATCH(1,(FS_Keys=AG299)*(FS_Points=I299)*(FS_teams&lt;&gt;G299),0)),"")</f>
        <v>COL M - BIG EAST</v>
      </c>
      <c r="AK299" s="390">
        <f t="array" ref="AK299">IF(AJ299&lt;&gt;"",INDEX(TM_Score1,MATCH(1,(TM_Events=D299)*(TM_Participant1=G299)*(TM_Participant2=AJ299),0)),"")</f>
        <v>0</v>
      </c>
      <c r="AL299" s="390" t="e">
        <f t="array" ref="AL299">IF(AJ299&lt;&gt;"",INDEX(TM_Score1,MATCH(1,(TM_Events=D299)*(TM_Participant1=AJ299)*(TM_Participant2=G299),0)),"")</f>
        <v>#N/A</v>
      </c>
      <c r="AM299" s="389">
        <f t="array" ref="AM299">IF(ISNUMBER(AK299),INDEX(TM_Score2,MATCH(1,(TM_Events=D299)*(TM_Participant1=G299)*(TM_Participant2=AJ299),0)),"")</f>
        <v>0</v>
      </c>
      <c r="AN299" s="389" t="str">
        <f t="array" ref="AN299">IF(ISNUMBER(AL299),INDEX(TM_Score2,MATCH(1,(TM_Events=D299)*(TM_Participant1=AJ299)*(TM_Participant2=G299),0)),"")</f>
        <v/>
      </c>
      <c r="AO299" s="389" t="str">
        <f t="shared" si="136"/>
        <v>Tie</v>
      </c>
      <c r="AP299" s="389">
        <f t="shared" si="137"/>
        <v>0</v>
      </c>
      <c r="AQ299" s="389">
        <f t="shared" si="138"/>
        <v>0</v>
      </c>
      <c r="AR299" s="389">
        <f t="shared" si="139"/>
        <v>0</v>
      </c>
      <c r="AS299" s="453">
        <f t="shared" si="140"/>
        <v>0</v>
      </c>
      <c r="AT299" s="452">
        <f t="shared" si="141"/>
        <v>0</v>
      </c>
    </row>
    <row r="300" spans="1:46" ht="16" x14ac:dyDescent="0.2">
      <c r="A300" s="298"/>
      <c r="B300"/>
      <c r="D300" s="298" t="s">
        <v>515</v>
      </c>
      <c r="F300" s="389">
        <v>1</v>
      </c>
      <c r="G300" s="390" t="s">
        <v>629</v>
      </c>
      <c r="H300" s="387" t="str">
        <f t="shared" si="116"/>
        <v>1-1-1</v>
      </c>
      <c r="I300" s="389">
        <f t="shared" si="117"/>
        <v>3</v>
      </c>
      <c r="J300" s="455">
        <f t="shared" si="142"/>
        <v>1</v>
      </c>
      <c r="K300" s="455">
        <f t="shared" si="118"/>
        <v>-1</v>
      </c>
      <c r="L300" s="455" t="str">
        <f t="shared" si="143"/>
        <v/>
      </c>
      <c r="M300" s="389" t="str">
        <f>IFERROR(IF(AD300&lt;=VLOOKUP(D300,Tournaments!$A$1:$B$1772,2,FALSE),"TRUE","FALSE"),"")</f>
        <v>FALSE</v>
      </c>
      <c r="N300" s="389">
        <v>1</v>
      </c>
      <c r="O300" s="389">
        <f t="shared" si="119"/>
        <v>3</v>
      </c>
      <c r="Q300" s="389">
        <f t="shared" si="120"/>
        <v>1</v>
      </c>
      <c r="R300" s="389">
        <f t="shared" si="121"/>
        <v>1</v>
      </c>
      <c r="S300" s="389">
        <f t="shared" si="122"/>
        <v>1</v>
      </c>
      <c r="U300" s="389">
        <f t="shared" si="123"/>
        <v>3</v>
      </c>
      <c r="V300" s="389">
        <f t="shared" si="124"/>
        <v>2.5000000000000001E-3</v>
      </c>
      <c r="W300" s="389">
        <f t="shared" si="125"/>
        <v>-2.9975000000000001</v>
      </c>
      <c r="X300" s="389">
        <f t="shared" si="126"/>
        <v>3</v>
      </c>
      <c r="Y300" s="389">
        <f t="shared" si="144"/>
        <v>9.7999999999999997E-3</v>
      </c>
      <c r="Z300" s="389">
        <f t="shared" si="127"/>
        <v>-2.9902000000000002</v>
      </c>
      <c r="AA300" s="389">
        <f t="shared" si="128"/>
        <v>3</v>
      </c>
      <c r="AB300" s="389" t="b">
        <f t="shared" si="129"/>
        <v>0</v>
      </c>
      <c r="AC300" s="389">
        <f t="shared" si="130"/>
        <v>-3</v>
      </c>
      <c r="AD300" s="389">
        <f t="shared" si="131"/>
        <v>3</v>
      </c>
      <c r="AE300" s="389">
        <f t="shared" si="132"/>
        <v>2</v>
      </c>
      <c r="AG300" s="311" t="str">
        <f t="shared" si="133"/>
        <v>College Male Volleyball-</v>
      </c>
      <c r="AH300" s="453">
        <f t="shared" si="134"/>
        <v>2</v>
      </c>
      <c r="AI300" s="453">
        <f t="shared" si="135"/>
        <v>2</v>
      </c>
      <c r="AJ300" t="str">
        <f t="array" ref="AJ300">IF(AND(AI300&gt;1,G300&lt;&gt;""),INDEX(FS_teams,MATCH(1,(FS_Keys=AG300)*(FS_Points=I300)*(FS_teams&lt;&gt;G300),0)),"")</f>
        <v>COL M - SEC</v>
      </c>
      <c r="AK300" s="390" t="e">
        <f t="array" ref="AK300">IF(AJ300&lt;&gt;"",INDEX(TM_Score1,MATCH(1,(TM_Events=D300)*(TM_Participant1=G300)*(TM_Participant2=AJ300),0)),"")</f>
        <v>#N/A</v>
      </c>
      <c r="AL300" s="390">
        <f t="array" ref="AL300">IF(AJ300&lt;&gt;"",INDEX(TM_Score1,MATCH(1,(TM_Events=D300)*(TM_Participant1=AJ300)*(TM_Participant2=G300),0)),"")</f>
        <v>0</v>
      </c>
      <c r="AM300" s="389" t="str">
        <f t="array" ref="AM300">IF(ISNUMBER(AK300),INDEX(TM_Score2,MATCH(1,(TM_Events=D300)*(TM_Participant1=G300)*(TM_Participant2=AJ300),0)),"")</f>
        <v/>
      </c>
      <c r="AN300" s="389">
        <f t="array" ref="AN300">IF(ISNUMBER(AL300),INDEX(TM_Score2,MATCH(1,(TM_Events=D300)*(TM_Participant1=AJ300)*(TM_Participant2=G300),0)),"")</f>
        <v>0</v>
      </c>
      <c r="AO300" s="389" t="str">
        <f t="shared" si="136"/>
        <v>Tie</v>
      </c>
      <c r="AP300" s="389">
        <f t="shared" si="137"/>
        <v>1</v>
      </c>
      <c r="AQ300" s="389">
        <f t="shared" si="138"/>
        <v>1</v>
      </c>
      <c r="AR300" s="389">
        <f t="shared" si="139"/>
        <v>1</v>
      </c>
      <c r="AS300" s="453">
        <f t="shared" si="140"/>
        <v>-1</v>
      </c>
      <c r="AT300" s="452">
        <f t="shared" si="141"/>
        <v>2</v>
      </c>
    </row>
    <row r="301" spans="1:46" ht="16" x14ac:dyDescent="0.2">
      <c r="A301" s="298"/>
      <c r="B301"/>
      <c r="D301" s="303" t="s">
        <v>515</v>
      </c>
      <c r="E301" s="396"/>
      <c r="F301" s="387">
        <v>1</v>
      </c>
      <c r="G301" s="397" t="s">
        <v>632</v>
      </c>
      <c r="H301" s="387" t="str">
        <f t="shared" si="116"/>
        <v>1-1-1</v>
      </c>
      <c r="I301" s="389">
        <f t="shared" si="117"/>
        <v>3</v>
      </c>
      <c r="J301" s="455">
        <f t="shared" si="142"/>
        <v>1</v>
      </c>
      <c r="K301" s="455">
        <f t="shared" si="118"/>
        <v>1</v>
      </c>
      <c r="L301" s="455" t="str">
        <f t="shared" si="143"/>
        <v/>
      </c>
      <c r="M301" s="389" t="str">
        <f>IFERROR(IF(AD301&lt;=VLOOKUP(D301,Tournaments!$A$1:$B$1772,2,FALSE),"TRUE","FALSE"),"")</f>
        <v>TRUE</v>
      </c>
      <c r="N301" s="389">
        <v>1</v>
      </c>
      <c r="O301" s="389">
        <f t="shared" si="119"/>
        <v>2</v>
      </c>
      <c r="Q301" s="389">
        <f t="shared" si="120"/>
        <v>1</v>
      </c>
      <c r="R301" s="389">
        <f t="shared" si="121"/>
        <v>1</v>
      </c>
      <c r="S301" s="389">
        <f t="shared" si="122"/>
        <v>1</v>
      </c>
      <c r="U301" s="389">
        <f t="shared" si="123"/>
        <v>3</v>
      </c>
      <c r="V301" s="389">
        <f t="shared" si="124"/>
        <v>2.5000000000000001E-3</v>
      </c>
      <c r="W301" s="389">
        <f t="shared" si="125"/>
        <v>-2.9975000000000001</v>
      </c>
      <c r="X301" s="389">
        <f t="shared" si="126"/>
        <v>3</v>
      </c>
      <c r="Y301" s="389">
        <f t="shared" si="144"/>
        <v>7.0000000000000007E-2</v>
      </c>
      <c r="Z301" s="389">
        <f t="shared" si="127"/>
        <v>-2.93</v>
      </c>
      <c r="AA301" s="389">
        <f t="shared" si="128"/>
        <v>2</v>
      </c>
      <c r="AB301" s="389" t="b">
        <f t="shared" si="129"/>
        <v>0</v>
      </c>
      <c r="AC301" s="389">
        <f t="shared" si="130"/>
        <v>-2</v>
      </c>
      <c r="AD301" s="389">
        <f t="shared" si="131"/>
        <v>2</v>
      </c>
      <c r="AE301" s="389">
        <f t="shared" si="132"/>
        <v>2</v>
      </c>
      <c r="AG301" s="311" t="str">
        <f t="shared" si="133"/>
        <v>College Male Volleyball-</v>
      </c>
      <c r="AH301" s="453">
        <f t="shared" si="134"/>
        <v>2</v>
      </c>
      <c r="AI301" s="453">
        <f t="shared" si="135"/>
        <v>2</v>
      </c>
      <c r="AJ301" t="str">
        <f t="array" ref="AJ301">IF(AND(AI301&gt;1,G301&lt;&gt;""),INDEX(FS_teams,MATCH(1,(FS_Keys=AG301)*(FS_Points=I301)*(FS_teams&lt;&gt;G301),0)),"")</f>
        <v>COL M - BIG 12</v>
      </c>
      <c r="AK301" s="390">
        <f t="array" ref="AK301">IF(AJ301&lt;&gt;"",INDEX(TM_Score1,MATCH(1,(TM_Events=D301)*(TM_Participant1=G301)*(TM_Participant2=AJ301),0)),"")</f>
        <v>0</v>
      </c>
      <c r="AL301" s="390" t="e">
        <f t="array" ref="AL301">IF(AJ301&lt;&gt;"",INDEX(TM_Score1,MATCH(1,(TM_Events=D301)*(TM_Participant1=AJ301)*(TM_Participant2=G301),0)),"")</f>
        <v>#N/A</v>
      </c>
      <c r="AM301" s="389">
        <f t="array" ref="AM301">IF(ISNUMBER(AK301),INDEX(TM_Score2,MATCH(1,(TM_Events=D301)*(TM_Participant1=G301)*(TM_Participant2=AJ301),0)),"")</f>
        <v>0</v>
      </c>
      <c r="AN301" s="389" t="str">
        <f t="array" ref="AN301">IF(ISNUMBER(AL301),INDEX(TM_Score2,MATCH(1,(TM_Events=D301)*(TM_Participant1=AJ301)*(TM_Participant2=G301),0)),"")</f>
        <v/>
      </c>
      <c r="AO301" s="389" t="str">
        <f t="shared" si="136"/>
        <v>Tie</v>
      </c>
      <c r="AP301" s="389">
        <f t="shared" si="137"/>
        <v>1</v>
      </c>
      <c r="AQ301" s="389">
        <f t="shared" si="138"/>
        <v>1</v>
      </c>
      <c r="AR301" s="389">
        <f t="shared" si="139"/>
        <v>1</v>
      </c>
      <c r="AS301" s="453">
        <f t="shared" si="140"/>
        <v>1</v>
      </c>
      <c r="AT301" s="452">
        <f t="shared" si="141"/>
        <v>3</v>
      </c>
    </row>
    <row r="302" spans="1:46" ht="16" x14ac:dyDescent="0.2">
      <c r="A302" s="298"/>
      <c r="B302"/>
      <c r="D302" s="303" t="s">
        <v>515</v>
      </c>
      <c r="E302" s="387"/>
      <c r="F302" s="387">
        <v>1</v>
      </c>
      <c r="G302" s="309" t="s">
        <v>630</v>
      </c>
      <c r="H302" s="387" t="str">
        <f t="shared" si="116"/>
        <v>2-0-1</v>
      </c>
      <c r="I302" s="389">
        <f t="shared" si="117"/>
        <v>5</v>
      </c>
      <c r="J302" s="455" t="str">
        <f t="shared" si="142"/>
        <v/>
      </c>
      <c r="K302" s="455" t="str">
        <f t="shared" si="118"/>
        <v/>
      </c>
      <c r="L302" s="455" t="str">
        <f t="shared" si="143"/>
        <v/>
      </c>
      <c r="M302" s="389" t="str">
        <f>IFERROR(IF(AD302&lt;=VLOOKUP(D302,Tournaments!$A$1:$B$1772,2,FALSE),"TRUE","FALSE"),"")</f>
        <v>TRUE</v>
      </c>
      <c r="N302" s="389">
        <v>1</v>
      </c>
      <c r="O302" s="389">
        <f t="shared" si="119"/>
        <v>1</v>
      </c>
      <c r="Q302" s="389">
        <f t="shared" si="120"/>
        <v>2</v>
      </c>
      <c r="R302" s="389">
        <f t="shared" si="121"/>
        <v>0</v>
      </c>
      <c r="S302" s="389">
        <f t="shared" si="122"/>
        <v>1</v>
      </c>
      <c r="U302" s="389">
        <f t="shared" si="123"/>
        <v>1</v>
      </c>
      <c r="V302" s="389" t="b">
        <f t="shared" si="124"/>
        <v>0</v>
      </c>
      <c r="W302" s="389">
        <f t="shared" si="125"/>
        <v>-1</v>
      </c>
      <c r="X302" s="389">
        <f t="shared" si="126"/>
        <v>1</v>
      </c>
      <c r="Y302" s="389" t="b">
        <f t="shared" si="144"/>
        <v>0</v>
      </c>
      <c r="Z302" s="389">
        <f t="shared" si="127"/>
        <v>-1</v>
      </c>
      <c r="AA302" s="389">
        <f t="shared" si="128"/>
        <v>1</v>
      </c>
      <c r="AB302" s="389" t="b">
        <f t="shared" si="129"/>
        <v>0</v>
      </c>
      <c r="AC302" s="389">
        <f t="shared" si="130"/>
        <v>-1</v>
      </c>
      <c r="AD302" s="389">
        <f t="shared" si="131"/>
        <v>1</v>
      </c>
      <c r="AE302" s="389">
        <f t="shared" si="132"/>
        <v>1</v>
      </c>
      <c r="AG302" s="311" t="str">
        <f t="shared" si="133"/>
        <v>College Male Volleyball-</v>
      </c>
      <c r="AH302" s="453">
        <f t="shared" si="134"/>
        <v>1</v>
      </c>
      <c r="AI302" s="453">
        <f t="shared" si="135"/>
        <v>1</v>
      </c>
      <c r="AJ302" t="str">
        <f t="array" ref="AJ302">IF(AND(AI302&gt;1,G302&lt;&gt;""),INDEX(FS_teams,MATCH(1,(FS_Keys=AG302)*(FS_Points=I302)*(FS_teams&lt;&gt;G302),0)),"")</f>
        <v/>
      </c>
      <c r="AK302" s="390" t="str">
        <f t="array" ref="AK302">IF(AJ302&lt;&gt;"",INDEX(TM_Score1,MATCH(1,(TM_Events=D302)*(TM_Participant1=G302)*(TM_Participant2=AJ302),0)),"")</f>
        <v/>
      </c>
      <c r="AL302" s="390" t="str">
        <f t="array" ref="AL302">IF(AJ302&lt;&gt;"",INDEX(TM_Score1,MATCH(1,(TM_Events=D302)*(TM_Participant1=AJ302)*(TM_Participant2=G302),0)),"")</f>
        <v/>
      </c>
      <c r="AM302" s="389" t="str">
        <f t="array" ref="AM302">IF(ISNUMBER(AK302),INDEX(TM_Score2,MATCH(1,(TM_Events=D302)*(TM_Participant1=G302)*(TM_Participant2=AJ302),0)),"")</f>
        <v/>
      </c>
      <c r="AN302" s="389" t="str">
        <f t="array" ref="AN302">IF(ISNUMBER(AL302),INDEX(TM_Score2,MATCH(1,(TM_Events=D302)*(TM_Participant1=AJ302)*(TM_Participant2=G302),0)),"")</f>
        <v/>
      </c>
      <c r="AO302" s="389" t="str">
        <f t="shared" si="136"/>
        <v/>
      </c>
      <c r="AP302" s="389">
        <f t="shared" si="137"/>
        <v>2</v>
      </c>
      <c r="AQ302" s="389">
        <f t="shared" si="138"/>
        <v>1</v>
      </c>
      <c r="AR302" s="389">
        <f t="shared" si="139"/>
        <v>0</v>
      </c>
      <c r="AS302" s="453">
        <f t="shared" si="140"/>
        <v>3</v>
      </c>
      <c r="AT302" s="452">
        <f t="shared" si="141"/>
        <v>4</v>
      </c>
    </row>
    <row r="303" spans="1:46" ht="16" x14ac:dyDescent="0.2">
      <c r="A303" s="298"/>
      <c r="B303"/>
      <c r="D303" s="303" t="s">
        <v>515</v>
      </c>
      <c r="E303" s="396"/>
      <c r="F303" s="387">
        <v>1</v>
      </c>
      <c r="G303" s="397" t="s">
        <v>627</v>
      </c>
      <c r="H303" s="387" t="str">
        <f t="shared" si="116"/>
        <v>0-2-1</v>
      </c>
      <c r="I303" s="389">
        <f t="shared" si="117"/>
        <v>1</v>
      </c>
      <c r="J303" s="455" t="str">
        <f t="shared" si="142"/>
        <v/>
      </c>
      <c r="K303" s="455" t="str">
        <f t="shared" si="118"/>
        <v/>
      </c>
      <c r="L303" s="455" t="str">
        <f t="shared" si="143"/>
        <v/>
      </c>
      <c r="M303" s="389" t="str">
        <f>IFERROR(IF(AD303&lt;=VLOOKUP(D303,Tournaments!$A$1:$B$1772,2,FALSE),"TRUE","FALSE"),"")</f>
        <v>FALSE</v>
      </c>
      <c r="N303" s="389">
        <v>1</v>
      </c>
      <c r="O303" s="389">
        <f t="shared" si="119"/>
        <v>4</v>
      </c>
      <c r="Q303" s="389">
        <f t="shared" si="120"/>
        <v>0</v>
      </c>
      <c r="R303" s="389">
        <f t="shared" si="121"/>
        <v>2</v>
      </c>
      <c r="S303" s="389">
        <f t="shared" si="122"/>
        <v>1</v>
      </c>
      <c r="U303" s="389">
        <f t="shared" si="123"/>
        <v>4</v>
      </c>
      <c r="V303" s="389" t="b">
        <f t="shared" si="124"/>
        <v>0</v>
      </c>
      <c r="W303" s="389">
        <f t="shared" si="125"/>
        <v>-4</v>
      </c>
      <c r="X303" s="389">
        <f t="shared" si="126"/>
        <v>4</v>
      </c>
      <c r="Y303" s="389" t="b">
        <f t="shared" si="144"/>
        <v>0</v>
      </c>
      <c r="Z303" s="389">
        <f t="shared" si="127"/>
        <v>-4</v>
      </c>
      <c r="AA303" s="389">
        <f t="shared" si="128"/>
        <v>4</v>
      </c>
      <c r="AB303" s="389" t="b">
        <f t="shared" si="129"/>
        <v>0</v>
      </c>
      <c r="AC303" s="389">
        <f t="shared" si="130"/>
        <v>-4</v>
      </c>
      <c r="AD303" s="389">
        <f t="shared" si="131"/>
        <v>4</v>
      </c>
      <c r="AE303" s="389">
        <f t="shared" si="132"/>
        <v>1</v>
      </c>
      <c r="AG303" s="311" t="str">
        <f t="shared" si="133"/>
        <v>College Male Volleyball-</v>
      </c>
      <c r="AH303" s="453">
        <f t="shared" si="134"/>
        <v>4</v>
      </c>
      <c r="AI303" s="453">
        <f t="shared" si="135"/>
        <v>1</v>
      </c>
      <c r="AJ303" t="str">
        <f t="array" ref="AJ303">IF(AND(AI303&gt;1,G303&lt;&gt;""),INDEX(FS_teams,MATCH(1,(FS_Keys=AG303)*(FS_Points=I303)*(FS_teams&lt;&gt;G303),0)),"")</f>
        <v/>
      </c>
      <c r="AK303" s="390" t="str">
        <f t="array" ref="AK303">IF(AJ303&lt;&gt;"",INDEX(TM_Score1,MATCH(1,(TM_Events=D303)*(TM_Participant1=G303)*(TM_Participant2=AJ303),0)),"")</f>
        <v/>
      </c>
      <c r="AL303" s="390" t="str">
        <f t="array" ref="AL303">IF(AJ303&lt;&gt;"",INDEX(TM_Score1,MATCH(1,(TM_Events=D303)*(TM_Participant1=AJ303)*(TM_Participant2=G303),0)),"")</f>
        <v/>
      </c>
      <c r="AM303" s="389" t="str">
        <f t="array" ref="AM303">IF(ISNUMBER(AK303),INDEX(TM_Score2,MATCH(1,(TM_Events=D303)*(TM_Participant1=G303)*(TM_Participant2=AJ303),0)),"")</f>
        <v/>
      </c>
      <c r="AN303" s="389" t="str">
        <f t="array" ref="AN303">IF(ISNUMBER(AL303),INDEX(TM_Score2,MATCH(1,(TM_Events=D303)*(TM_Participant1=AJ303)*(TM_Participant2=G303),0)),"")</f>
        <v/>
      </c>
      <c r="AO303" s="389" t="str">
        <f t="shared" si="136"/>
        <v/>
      </c>
      <c r="AP303" s="389">
        <f t="shared" si="137"/>
        <v>0</v>
      </c>
      <c r="AQ303" s="389">
        <f t="shared" si="138"/>
        <v>1</v>
      </c>
      <c r="AR303" s="389">
        <f t="shared" si="139"/>
        <v>2</v>
      </c>
      <c r="AS303" s="453">
        <f t="shared" si="140"/>
        <v>-3</v>
      </c>
      <c r="AT303" s="452">
        <f t="shared" si="141"/>
        <v>1</v>
      </c>
    </row>
    <row r="304" spans="1:46" ht="16" x14ac:dyDescent="0.2">
      <c r="A304" s="298"/>
      <c r="B304"/>
      <c r="D304" s="303" t="s">
        <v>72</v>
      </c>
      <c r="E304" s="387"/>
      <c r="F304" s="387">
        <v>1</v>
      </c>
      <c r="G304" s="397" t="s">
        <v>644</v>
      </c>
      <c r="H304" s="387" t="str">
        <f t="shared" si="116"/>
        <v>1-3-0</v>
      </c>
      <c r="I304" s="389">
        <f t="shared" si="117"/>
        <v>2</v>
      </c>
      <c r="J304" s="455">
        <f t="shared" si="142"/>
        <v>1</v>
      </c>
      <c r="K304" s="455">
        <f t="shared" si="118"/>
        <v>-13</v>
      </c>
      <c r="L304" s="455">
        <f t="shared" si="143"/>
        <v>118</v>
      </c>
      <c r="M304" s="389" t="str">
        <f>IFERROR(IF(AD304&lt;=VLOOKUP(D304,Tournaments!$A$1:$B$1772,2,FALSE),"TRUE","FALSE"),"")</f>
        <v>FALSE</v>
      </c>
      <c r="N304" s="389">
        <v>1</v>
      </c>
      <c r="O304" s="389">
        <f t="shared" si="119"/>
        <v>7</v>
      </c>
      <c r="Q304" s="389">
        <f t="shared" si="120"/>
        <v>1</v>
      </c>
      <c r="R304" s="389">
        <f t="shared" si="121"/>
        <v>3</v>
      </c>
      <c r="S304" s="389">
        <f t="shared" si="122"/>
        <v>0</v>
      </c>
      <c r="U304" s="389">
        <f t="shared" si="123"/>
        <v>8</v>
      </c>
      <c r="V304" s="389">
        <f t="shared" si="124"/>
        <v>2.5000000000000001E-3</v>
      </c>
      <c r="W304" s="389">
        <f t="shared" si="125"/>
        <v>-7.9974999999999996</v>
      </c>
      <c r="X304" s="389">
        <f t="shared" si="126"/>
        <v>8</v>
      </c>
      <c r="Y304" s="389">
        <f t="shared" si="144"/>
        <v>3.3999999999999998E-3</v>
      </c>
      <c r="Z304" s="389">
        <f t="shared" si="127"/>
        <v>-7.9965999999999999</v>
      </c>
      <c r="AA304" s="389">
        <f t="shared" si="128"/>
        <v>7</v>
      </c>
      <c r="AB304" s="389">
        <f t="shared" si="129"/>
        <v>6.0199999999999997E-2</v>
      </c>
      <c r="AC304" s="389">
        <f t="shared" si="130"/>
        <v>-6.9398</v>
      </c>
      <c r="AD304" s="389">
        <f t="shared" si="131"/>
        <v>7</v>
      </c>
      <c r="AE304" s="389">
        <f t="shared" si="132"/>
        <v>3</v>
      </c>
      <c r="AG304" s="311" t="str">
        <f t="shared" si="133"/>
        <v>Junior A Male Basketball-</v>
      </c>
      <c r="AH304" s="453">
        <f t="shared" si="134"/>
        <v>6</v>
      </c>
      <c r="AI304" s="453">
        <f t="shared" si="135"/>
        <v>3</v>
      </c>
      <c r="AJ304" t="str">
        <f t="array" ref="AJ304">IF(AND(AI304&gt;1,G304&lt;&gt;""),INDEX(FS_teams,MATCH(1,(FS_Keys=AG304)*(FS_Points=I304)*(FS_teams&lt;&gt;G304),0)),"")</f>
        <v>JR A M - USA 2</v>
      </c>
      <c r="AK304" s="390" t="e">
        <f t="array" ref="AK304">IF(AJ304&lt;&gt;"",INDEX(TM_Score1,MATCH(1,(TM_Events=D304)*(TM_Participant1=G304)*(TM_Participant2=AJ304),0)),"")</f>
        <v>#N/A</v>
      </c>
      <c r="AL304" s="390" t="e">
        <f t="array" ref="AL304">IF(AJ304&lt;&gt;"",INDEX(TM_Score1,MATCH(1,(TM_Events=D304)*(TM_Participant1=AJ304)*(TM_Participant2=G304),0)),"")</f>
        <v>#N/A</v>
      </c>
      <c r="AM304" s="389" t="str">
        <f t="array" ref="AM304">IF(ISNUMBER(AK304),INDEX(TM_Score2,MATCH(1,(TM_Events=D304)*(TM_Participant1=G304)*(TM_Participant2=AJ304),0)),"")</f>
        <v/>
      </c>
      <c r="AN304" s="389" t="str">
        <f t="array" ref="AN304">IF(ISNUMBER(AL304),INDEX(TM_Score2,MATCH(1,(TM_Events=D304)*(TM_Participant1=AJ304)*(TM_Participant2=G304),0)),"")</f>
        <v/>
      </c>
      <c r="AO304" s="389" t="str">
        <f t="shared" si="136"/>
        <v>did not play</v>
      </c>
      <c r="AP304" s="389">
        <f t="shared" si="137"/>
        <v>1</v>
      </c>
      <c r="AQ304" s="389">
        <f t="shared" si="138"/>
        <v>0</v>
      </c>
      <c r="AR304" s="389">
        <f t="shared" si="139"/>
        <v>3</v>
      </c>
      <c r="AS304" s="453">
        <f t="shared" si="140"/>
        <v>-13</v>
      </c>
      <c r="AT304" s="452">
        <f t="shared" si="141"/>
        <v>118</v>
      </c>
    </row>
    <row r="305" spans="1:46" ht="16" x14ac:dyDescent="0.2">
      <c r="A305" s="298"/>
      <c r="B305"/>
      <c r="D305" s="303" t="s">
        <v>72</v>
      </c>
      <c r="E305" s="396"/>
      <c r="F305" s="387">
        <v>1</v>
      </c>
      <c r="G305" s="397" t="s">
        <v>720</v>
      </c>
      <c r="H305" s="387" t="str">
        <f t="shared" si="116"/>
        <v>5-0-0</v>
      </c>
      <c r="I305" s="389">
        <f t="shared" si="117"/>
        <v>10</v>
      </c>
      <c r="J305" s="455" t="str">
        <f t="shared" si="142"/>
        <v/>
      </c>
      <c r="K305" s="455" t="str">
        <f t="shared" si="118"/>
        <v/>
      </c>
      <c r="L305" s="455" t="str">
        <f t="shared" si="143"/>
        <v/>
      </c>
      <c r="M305" s="389" t="str">
        <f>IFERROR(IF(AD305&lt;=VLOOKUP(D305,Tournaments!$A$1:$B$1772,2,FALSE),"TRUE","FALSE"),"")</f>
        <v>TRUE</v>
      </c>
      <c r="N305" s="389">
        <v>1</v>
      </c>
      <c r="O305" s="389">
        <f t="shared" si="119"/>
        <v>1</v>
      </c>
      <c r="Q305" s="389">
        <f t="shared" si="120"/>
        <v>5</v>
      </c>
      <c r="R305" s="389">
        <f t="shared" si="121"/>
        <v>0</v>
      </c>
      <c r="S305" s="389">
        <f t="shared" si="122"/>
        <v>0</v>
      </c>
      <c r="U305" s="389">
        <f t="shared" si="123"/>
        <v>1</v>
      </c>
      <c r="V305" s="389" t="b">
        <f t="shared" si="124"/>
        <v>0</v>
      </c>
      <c r="W305" s="389">
        <f t="shared" si="125"/>
        <v>-1</v>
      </c>
      <c r="X305" s="389">
        <f t="shared" si="126"/>
        <v>1</v>
      </c>
      <c r="Y305" s="389" t="b">
        <f t="shared" si="144"/>
        <v>0</v>
      </c>
      <c r="Z305" s="389">
        <f t="shared" si="127"/>
        <v>-1</v>
      </c>
      <c r="AA305" s="389">
        <f t="shared" si="128"/>
        <v>1</v>
      </c>
      <c r="AB305" s="389" t="b">
        <f t="shared" si="129"/>
        <v>0</v>
      </c>
      <c r="AC305" s="389">
        <f t="shared" si="130"/>
        <v>-1</v>
      </c>
      <c r="AD305" s="389">
        <f t="shared" si="131"/>
        <v>1</v>
      </c>
      <c r="AE305" s="389">
        <f t="shared" si="132"/>
        <v>1</v>
      </c>
      <c r="AG305" s="311" t="str">
        <f t="shared" si="133"/>
        <v>Junior A Male Basketball-</v>
      </c>
      <c r="AH305" s="453">
        <f t="shared" si="134"/>
        <v>1</v>
      </c>
      <c r="AI305" s="453">
        <f t="shared" si="135"/>
        <v>1</v>
      </c>
      <c r="AJ305" t="str">
        <f t="array" ref="AJ305">IF(AND(AI305&gt;1,G305&lt;&gt;""),INDEX(FS_teams,MATCH(1,(FS_Keys=AG305)*(FS_Points=I305)*(FS_teams&lt;&gt;G305),0)),"")</f>
        <v/>
      </c>
      <c r="AK305" s="390" t="str">
        <f t="array" ref="AK305">IF(AJ305&lt;&gt;"",INDEX(TM_Score1,MATCH(1,(TM_Events=D305)*(TM_Participant1=G305)*(TM_Participant2=AJ305),0)),"")</f>
        <v/>
      </c>
      <c r="AL305" s="390" t="str">
        <f t="array" ref="AL305">IF(AJ305&lt;&gt;"",INDEX(TM_Score1,MATCH(1,(TM_Events=D305)*(TM_Participant1=AJ305)*(TM_Participant2=G305),0)),"")</f>
        <v/>
      </c>
      <c r="AM305" s="389" t="str">
        <f t="array" ref="AM305">IF(ISNUMBER(AK305),INDEX(TM_Score2,MATCH(1,(TM_Events=D305)*(TM_Participant1=G305)*(TM_Participant2=AJ305),0)),"")</f>
        <v/>
      </c>
      <c r="AN305" s="389" t="str">
        <f t="array" ref="AN305">IF(ISNUMBER(AL305),INDEX(TM_Score2,MATCH(1,(TM_Events=D305)*(TM_Participant1=AJ305)*(TM_Participant2=G305),0)),"")</f>
        <v/>
      </c>
      <c r="AO305" s="389" t="str">
        <f t="shared" si="136"/>
        <v/>
      </c>
      <c r="AP305" s="389">
        <f t="shared" si="137"/>
        <v>5</v>
      </c>
      <c r="AQ305" s="389">
        <f t="shared" si="138"/>
        <v>0</v>
      </c>
      <c r="AR305" s="389">
        <f t="shared" si="139"/>
        <v>0</v>
      </c>
      <c r="AS305" s="453">
        <f t="shared" si="140"/>
        <v>27</v>
      </c>
      <c r="AT305" s="452">
        <f t="shared" si="141"/>
        <v>184</v>
      </c>
    </row>
    <row r="306" spans="1:46" ht="16" x14ac:dyDescent="0.2">
      <c r="A306" s="298"/>
      <c r="B306"/>
      <c r="D306" s="303" t="s">
        <v>72</v>
      </c>
      <c r="E306" s="396"/>
      <c r="F306" s="387">
        <v>1</v>
      </c>
      <c r="G306" s="397" t="s">
        <v>642</v>
      </c>
      <c r="H306" s="387" t="str">
        <f t="shared" si="116"/>
        <v>4-1-0</v>
      </c>
      <c r="I306" s="389">
        <f t="shared" si="117"/>
        <v>8</v>
      </c>
      <c r="J306" s="455">
        <f t="shared" si="142"/>
        <v>2</v>
      </c>
      <c r="K306" s="455" t="str">
        <f t="shared" si="118"/>
        <v/>
      </c>
      <c r="L306" s="455" t="str">
        <f t="shared" si="143"/>
        <v/>
      </c>
      <c r="M306" s="389" t="str">
        <f>IFERROR(IF(AD306&lt;=VLOOKUP(D306,Tournaments!$A$1:$B$1772,2,FALSE),"TRUE","FALSE"),"")</f>
        <v>TRUE</v>
      </c>
      <c r="N306" s="389">
        <v>1</v>
      </c>
      <c r="O306" s="389">
        <f t="shared" si="119"/>
        <v>2</v>
      </c>
      <c r="Q306" s="389">
        <f t="shared" si="120"/>
        <v>4</v>
      </c>
      <c r="R306" s="389">
        <f t="shared" si="121"/>
        <v>1</v>
      </c>
      <c r="S306" s="389">
        <f t="shared" si="122"/>
        <v>0</v>
      </c>
      <c r="U306" s="389">
        <f t="shared" si="123"/>
        <v>3</v>
      </c>
      <c r="V306" s="389">
        <f t="shared" si="124"/>
        <v>2.1999999999999999E-2</v>
      </c>
      <c r="W306" s="389">
        <f t="shared" si="125"/>
        <v>-2.9780000000000002</v>
      </c>
      <c r="X306" s="389">
        <f t="shared" si="126"/>
        <v>2</v>
      </c>
      <c r="Y306" s="389" t="b">
        <f t="shared" si="144"/>
        <v>0</v>
      </c>
      <c r="Z306" s="389">
        <f t="shared" si="127"/>
        <v>-2</v>
      </c>
      <c r="AA306" s="389">
        <f t="shared" si="128"/>
        <v>2</v>
      </c>
      <c r="AB306" s="389" t="b">
        <f t="shared" si="129"/>
        <v>0</v>
      </c>
      <c r="AC306" s="389">
        <f t="shared" si="130"/>
        <v>-2</v>
      </c>
      <c r="AD306" s="389">
        <f t="shared" si="131"/>
        <v>2</v>
      </c>
      <c r="AE306" s="389">
        <f t="shared" si="132"/>
        <v>1</v>
      </c>
      <c r="AG306" s="311" t="str">
        <f t="shared" si="133"/>
        <v>Junior A Male Basketball-</v>
      </c>
      <c r="AH306" s="453">
        <f t="shared" si="134"/>
        <v>2</v>
      </c>
      <c r="AI306" s="453">
        <f t="shared" si="135"/>
        <v>2</v>
      </c>
      <c r="AJ306" t="str">
        <f t="array" ref="AJ306">IF(AND(AI306&gt;1,G306&lt;&gt;""),INDEX(FS_teams,MATCH(1,(FS_Keys=AG306)*(FS_Points=I306)*(FS_teams&lt;&gt;G306),0)),"")</f>
        <v>JR A M - VEN 1</v>
      </c>
      <c r="AK306" s="390" t="e">
        <f t="array" ref="AK306">IF(AJ306&lt;&gt;"",INDEX(TM_Score1,MATCH(1,(TM_Events=D306)*(TM_Participant1=G306)*(TM_Participant2=AJ306),0)),"")</f>
        <v>#N/A</v>
      </c>
      <c r="AL306" s="390">
        <f t="array" ref="AL306">IF(AJ306&lt;&gt;"",INDEX(TM_Score1,MATCH(1,(TM_Events=D306)*(TM_Participant1=AJ306)*(TM_Participant2=G306),0)),"")</f>
        <v>40</v>
      </c>
      <c r="AM306" s="389" t="str">
        <f t="array" ref="AM306">IF(ISNUMBER(AK306),INDEX(TM_Score2,MATCH(1,(TM_Events=D306)*(TM_Participant1=G306)*(TM_Participant2=AJ306),0)),"")</f>
        <v/>
      </c>
      <c r="AN306" s="389">
        <f t="array" ref="AN306">IF(ISNUMBER(AL306),INDEX(TM_Score2,MATCH(1,(TM_Events=D306)*(TM_Participant1=AJ306)*(TM_Participant2=G306),0)),"")</f>
        <v>50</v>
      </c>
      <c r="AO306" s="389" t="str">
        <f t="shared" si="136"/>
        <v>Win</v>
      </c>
      <c r="AP306" s="389">
        <f t="shared" si="137"/>
        <v>4</v>
      </c>
      <c r="AQ306" s="389">
        <f t="shared" si="138"/>
        <v>0</v>
      </c>
      <c r="AR306" s="389">
        <f t="shared" si="139"/>
        <v>1</v>
      </c>
      <c r="AS306" s="453">
        <f t="shared" si="140"/>
        <v>51</v>
      </c>
      <c r="AT306" s="452">
        <f t="shared" si="141"/>
        <v>217</v>
      </c>
    </row>
    <row r="307" spans="1:46" ht="16" x14ac:dyDescent="0.2">
      <c r="A307" s="298"/>
      <c r="B307"/>
      <c r="D307" s="303" t="s">
        <v>72</v>
      </c>
      <c r="E307" s="396"/>
      <c r="F307" s="387">
        <v>1</v>
      </c>
      <c r="G307" s="397" t="s">
        <v>719</v>
      </c>
      <c r="H307" s="387" t="str">
        <f t="shared" si="116"/>
        <v>3-1-0</v>
      </c>
      <c r="I307" s="389">
        <f t="shared" si="117"/>
        <v>6</v>
      </c>
      <c r="J307" s="455">
        <f t="shared" si="142"/>
        <v>1</v>
      </c>
      <c r="K307" s="455">
        <f t="shared" si="118"/>
        <v>23</v>
      </c>
      <c r="L307" s="455" t="str">
        <f t="shared" si="143"/>
        <v/>
      </c>
      <c r="M307" s="389" t="str">
        <f>IFERROR(IF(AD307&lt;=VLOOKUP(D307,Tournaments!$A$1:$B$1772,2,FALSE),"TRUE","FALSE"),"")</f>
        <v>FALSE</v>
      </c>
      <c r="N307" s="389">
        <v>1</v>
      </c>
      <c r="O307" s="389">
        <f t="shared" si="119"/>
        <v>5</v>
      </c>
      <c r="Q307" s="389">
        <f t="shared" si="120"/>
        <v>3</v>
      </c>
      <c r="R307" s="389">
        <f t="shared" si="121"/>
        <v>1</v>
      </c>
      <c r="S307" s="389">
        <f t="shared" si="122"/>
        <v>0</v>
      </c>
      <c r="U307" s="389">
        <f t="shared" si="123"/>
        <v>5</v>
      </c>
      <c r="V307" s="389">
        <f t="shared" si="124"/>
        <v>2.5000000000000001E-3</v>
      </c>
      <c r="W307" s="389">
        <f t="shared" si="125"/>
        <v>-4.9974999999999996</v>
      </c>
      <c r="X307" s="389">
        <f t="shared" si="126"/>
        <v>5</v>
      </c>
      <c r="Y307" s="389">
        <f t="shared" si="144"/>
        <v>7.5999999999999998E-2</v>
      </c>
      <c r="Z307" s="389">
        <f t="shared" si="127"/>
        <v>-4.9240000000000004</v>
      </c>
      <c r="AA307" s="389">
        <f t="shared" si="128"/>
        <v>5</v>
      </c>
      <c r="AB307" s="389" t="b">
        <f t="shared" si="129"/>
        <v>0</v>
      </c>
      <c r="AC307" s="389">
        <f t="shared" si="130"/>
        <v>-5</v>
      </c>
      <c r="AD307" s="389">
        <f t="shared" si="131"/>
        <v>5</v>
      </c>
      <c r="AE307" s="389">
        <f t="shared" si="132"/>
        <v>2</v>
      </c>
      <c r="AG307" s="311" t="str">
        <f t="shared" si="133"/>
        <v>Junior A Male Basketball-</v>
      </c>
      <c r="AH307" s="453">
        <f t="shared" si="134"/>
        <v>4</v>
      </c>
      <c r="AI307" s="453">
        <f t="shared" si="135"/>
        <v>2</v>
      </c>
      <c r="AJ307" t="str">
        <f t="array" ref="AJ307">IF(AND(AI307&gt;1,G307&lt;&gt;""),INDEX(FS_teams,MATCH(1,(FS_Keys=AG307)*(FS_Points=I307)*(FS_teams&lt;&gt;G307),0)),"")</f>
        <v>JR A M - COL 1</v>
      </c>
      <c r="AK307" s="390" t="e">
        <f t="array" ref="AK307">IF(AJ307&lt;&gt;"",INDEX(TM_Score1,MATCH(1,(TM_Events=D307)*(TM_Participant1=G307)*(TM_Participant2=AJ307),0)),"")</f>
        <v>#N/A</v>
      </c>
      <c r="AL307" s="390" t="e">
        <f t="array" ref="AL307">IF(AJ307&lt;&gt;"",INDEX(TM_Score1,MATCH(1,(TM_Events=D307)*(TM_Participant1=AJ307)*(TM_Participant2=G307),0)),"")</f>
        <v>#N/A</v>
      </c>
      <c r="AM307" s="389" t="str">
        <f t="array" ref="AM307">IF(ISNUMBER(AK307),INDEX(TM_Score2,MATCH(1,(TM_Events=D307)*(TM_Participant1=G307)*(TM_Participant2=AJ307),0)),"")</f>
        <v/>
      </c>
      <c r="AN307" s="389" t="str">
        <f t="array" ref="AN307">IF(ISNUMBER(AL307),INDEX(TM_Score2,MATCH(1,(TM_Events=D307)*(TM_Participant1=AJ307)*(TM_Participant2=G307),0)),"")</f>
        <v/>
      </c>
      <c r="AO307" s="389" t="str">
        <f t="shared" si="136"/>
        <v>did not play</v>
      </c>
      <c r="AP307" s="389">
        <f t="shared" si="137"/>
        <v>3</v>
      </c>
      <c r="AQ307" s="389">
        <f t="shared" si="138"/>
        <v>0</v>
      </c>
      <c r="AR307" s="389">
        <f t="shared" si="139"/>
        <v>1</v>
      </c>
      <c r="AS307" s="453">
        <f t="shared" si="140"/>
        <v>23</v>
      </c>
      <c r="AT307" s="452">
        <f t="shared" si="141"/>
        <v>131</v>
      </c>
    </row>
    <row r="308" spans="1:46" ht="16" x14ac:dyDescent="0.2">
      <c r="A308" s="298"/>
      <c r="B308"/>
      <c r="D308" s="303" t="s">
        <v>72</v>
      </c>
      <c r="E308" s="396"/>
      <c r="F308" s="387">
        <v>1</v>
      </c>
      <c r="G308" s="397" t="s">
        <v>639</v>
      </c>
      <c r="H308" s="387" t="str">
        <f t="shared" si="116"/>
        <v>3-2-0</v>
      </c>
      <c r="I308" s="389">
        <f t="shared" si="117"/>
        <v>6</v>
      </c>
      <c r="J308" s="455">
        <f t="shared" si="142"/>
        <v>1</v>
      </c>
      <c r="K308" s="455">
        <f t="shared" si="118"/>
        <v>24</v>
      </c>
      <c r="L308" s="455" t="str">
        <f t="shared" si="143"/>
        <v/>
      </c>
      <c r="M308" s="389" t="str">
        <f>IFERROR(IF(AD308&lt;=VLOOKUP(D308,Tournaments!$A$1:$B$1772,2,FALSE),"TRUE","FALSE"),"")</f>
        <v>TRUE</v>
      </c>
      <c r="N308" s="389">
        <v>1</v>
      </c>
      <c r="O308" s="389">
        <f t="shared" si="119"/>
        <v>4</v>
      </c>
      <c r="Q308" s="389">
        <f t="shared" si="120"/>
        <v>3</v>
      </c>
      <c r="R308" s="389">
        <f t="shared" si="121"/>
        <v>2</v>
      </c>
      <c r="S308" s="389">
        <f t="shared" si="122"/>
        <v>0</v>
      </c>
      <c r="U308" s="389">
        <f t="shared" si="123"/>
        <v>5</v>
      </c>
      <c r="V308" s="389">
        <f t="shared" si="124"/>
        <v>2.5000000000000001E-3</v>
      </c>
      <c r="W308" s="389">
        <f t="shared" si="125"/>
        <v>-4.9974999999999996</v>
      </c>
      <c r="X308" s="389">
        <f t="shared" si="126"/>
        <v>5</v>
      </c>
      <c r="Y308" s="389">
        <f t="shared" si="144"/>
        <v>7.6100000000000001E-2</v>
      </c>
      <c r="Z308" s="389">
        <f t="shared" si="127"/>
        <v>-4.9238999999999997</v>
      </c>
      <c r="AA308" s="389">
        <f t="shared" si="128"/>
        <v>4</v>
      </c>
      <c r="AB308" s="389" t="b">
        <f t="shared" si="129"/>
        <v>0</v>
      </c>
      <c r="AC308" s="389">
        <f t="shared" si="130"/>
        <v>-4</v>
      </c>
      <c r="AD308" s="389">
        <f t="shared" si="131"/>
        <v>4</v>
      </c>
      <c r="AE308" s="389">
        <f t="shared" si="132"/>
        <v>2</v>
      </c>
      <c r="AG308" s="311" t="str">
        <f t="shared" si="133"/>
        <v>Junior A Male Basketball-</v>
      </c>
      <c r="AH308" s="453">
        <f t="shared" si="134"/>
        <v>4</v>
      </c>
      <c r="AI308" s="453">
        <f t="shared" si="135"/>
        <v>2</v>
      </c>
      <c r="AJ308" t="str">
        <f t="array" ref="AJ308">IF(AND(AI308&gt;1,G308&lt;&gt;""),INDEX(FS_teams,MATCH(1,(FS_Keys=AG308)*(FS_Points=I308)*(FS_teams&lt;&gt;G308),0)),"")</f>
        <v>JR A M - MEX 1</v>
      </c>
      <c r="AK308" s="390" t="e">
        <f t="array" ref="AK308">IF(AJ308&lt;&gt;"",INDEX(TM_Score1,MATCH(1,(TM_Events=D308)*(TM_Participant1=G308)*(TM_Participant2=AJ308),0)),"")</f>
        <v>#N/A</v>
      </c>
      <c r="AL308" s="390" t="e">
        <f t="array" ref="AL308">IF(AJ308&lt;&gt;"",INDEX(TM_Score1,MATCH(1,(TM_Events=D308)*(TM_Participant1=AJ308)*(TM_Participant2=G308),0)),"")</f>
        <v>#N/A</v>
      </c>
      <c r="AM308" s="389" t="str">
        <f t="array" ref="AM308">IF(ISNUMBER(AK308),INDEX(TM_Score2,MATCH(1,(TM_Events=D308)*(TM_Participant1=G308)*(TM_Participant2=AJ308),0)),"")</f>
        <v/>
      </c>
      <c r="AN308" s="389" t="str">
        <f t="array" ref="AN308">IF(ISNUMBER(AL308),INDEX(TM_Score2,MATCH(1,(TM_Events=D308)*(TM_Participant1=AJ308)*(TM_Participant2=G308),0)),"")</f>
        <v/>
      </c>
      <c r="AO308" s="389" t="str">
        <f t="shared" si="136"/>
        <v>did not play</v>
      </c>
      <c r="AP308" s="389">
        <f t="shared" si="137"/>
        <v>3</v>
      </c>
      <c r="AQ308" s="389">
        <f t="shared" si="138"/>
        <v>0</v>
      </c>
      <c r="AR308" s="389">
        <f t="shared" si="139"/>
        <v>2</v>
      </c>
      <c r="AS308" s="453">
        <f t="shared" si="140"/>
        <v>24</v>
      </c>
      <c r="AT308" s="452">
        <f t="shared" si="141"/>
        <v>190</v>
      </c>
    </row>
    <row r="309" spans="1:46" ht="16" x14ac:dyDescent="0.2">
      <c r="A309" s="298"/>
      <c r="B309"/>
      <c r="D309" s="303" t="s">
        <v>72</v>
      </c>
      <c r="E309" s="396"/>
      <c r="F309" s="387">
        <v>1</v>
      </c>
      <c r="G309" s="397" t="s">
        <v>645</v>
      </c>
      <c r="H309" s="387" t="str">
        <f t="shared" si="116"/>
        <v>4-1-0</v>
      </c>
      <c r="I309" s="389">
        <f t="shared" si="117"/>
        <v>8</v>
      </c>
      <c r="J309" s="455">
        <f t="shared" si="142"/>
        <v>0</v>
      </c>
      <c r="K309" s="455" t="str">
        <f t="shared" si="118"/>
        <v/>
      </c>
      <c r="L309" s="455" t="str">
        <f t="shared" si="143"/>
        <v/>
      </c>
      <c r="M309" s="389" t="str">
        <f>IFERROR(IF(AD309&lt;=VLOOKUP(D309,Tournaments!$A$1:$B$1772,2,FALSE),"TRUE","FALSE"),"")</f>
        <v>TRUE</v>
      </c>
      <c r="N309" s="389">
        <v>1</v>
      </c>
      <c r="O309" s="389">
        <f t="shared" si="119"/>
        <v>3</v>
      </c>
      <c r="Q309" s="389">
        <f t="shared" si="120"/>
        <v>4</v>
      </c>
      <c r="R309" s="389">
        <f t="shared" si="121"/>
        <v>1</v>
      </c>
      <c r="S309" s="389">
        <f t="shared" si="122"/>
        <v>0</v>
      </c>
      <c r="U309" s="389">
        <f t="shared" si="123"/>
        <v>3</v>
      </c>
      <c r="V309" s="389">
        <f t="shared" si="124"/>
        <v>1E-4</v>
      </c>
      <c r="W309" s="389">
        <f t="shared" si="125"/>
        <v>-2.9998999999999998</v>
      </c>
      <c r="X309" s="389">
        <f t="shared" si="126"/>
        <v>3</v>
      </c>
      <c r="Y309" s="389" t="b">
        <f t="shared" si="144"/>
        <v>0</v>
      </c>
      <c r="Z309" s="389">
        <f t="shared" si="127"/>
        <v>-3</v>
      </c>
      <c r="AA309" s="389">
        <f t="shared" si="128"/>
        <v>3</v>
      </c>
      <c r="AB309" s="389" t="b">
        <f t="shared" si="129"/>
        <v>0</v>
      </c>
      <c r="AC309" s="389">
        <f t="shared" si="130"/>
        <v>-3</v>
      </c>
      <c r="AD309" s="389">
        <f t="shared" si="131"/>
        <v>3</v>
      </c>
      <c r="AE309" s="389">
        <f t="shared" si="132"/>
        <v>1</v>
      </c>
      <c r="AG309" s="311" t="str">
        <f t="shared" si="133"/>
        <v>Junior A Male Basketball-</v>
      </c>
      <c r="AH309" s="453">
        <f t="shared" si="134"/>
        <v>2</v>
      </c>
      <c r="AI309" s="453">
        <f t="shared" si="135"/>
        <v>2</v>
      </c>
      <c r="AJ309" t="str">
        <f t="array" ref="AJ309">IF(AND(AI309&gt;1,G309&lt;&gt;""),INDEX(FS_teams,MATCH(1,(FS_Keys=AG309)*(FS_Points=I309)*(FS_teams&lt;&gt;G309),0)),"")</f>
        <v>JR A M - USA 1</v>
      </c>
      <c r="AK309" s="390">
        <f t="array" ref="AK309">IF(AJ309&lt;&gt;"",INDEX(TM_Score1,MATCH(1,(TM_Events=D309)*(TM_Participant1=G309)*(TM_Participant2=AJ309),0)),"")</f>
        <v>40</v>
      </c>
      <c r="AL309" s="390" t="e">
        <f t="array" ref="AL309">IF(AJ309&lt;&gt;"",INDEX(TM_Score1,MATCH(1,(TM_Events=D309)*(TM_Participant1=AJ309)*(TM_Participant2=G309),0)),"")</f>
        <v>#N/A</v>
      </c>
      <c r="AM309" s="389">
        <f t="array" ref="AM309">IF(ISNUMBER(AK309),INDEX(TM_Score2,MATCH(1,(TM_Events=D309)*(TM_Participant1=G309)*(TM_Participant2=AJ309),0)),"")</f>
        <v>50</v>
      </c>
      <c r="AN309" s="389" t="str">
        <f t="array" ref="AN309">IF(ISNUMBER(AL309),INDEX(TM_Score2,MATCH(1,(TM_Events=D309)*(TM_Participant1=AJ309)*(TM_Participant2=G309),0)),"")</f>
        <v/>
      </c>
      <c r="AO309" s="389" t="str">
        <f t="shared" si="136"/>
        <v>Loss</v>
      </c>
      <c r="AP309" s="389">
        <f t="shared" si="137"/>
        <v>4</v>
      </c>
      <c r="AQ309" s="389">
        <f t="shared" si="138"/>
        <v>0</v>
      </c>
      <c r="AR309" s="389">
        <f t="shared" si="139"/>
        <v>1</v>
      </c>
      <c r="AS309" s="453">
        <f t="shared" si="140"/>
        <v>9</v>
      </c>
      <c r="AT309" s="452">
        <f t="shared" si="141"/>
        <v>163</v>
      </c>
    </row>
    <row r="310" spans="1:46" ht="16" x14ac:dyDescent="0.2">
      <c r="A310" s="298"/>
      <c r="B310"/>
      <c r="D310" s="303" t="s">
        <v>72</v>
      </c>
      <c r="E310" s="396"/>
      <c r="F310" s="398">
        <v>1</v>
      </c>
      <c r="G310" s="397" t="s">
        <v>643</v>
      </c>
      <c r="H310" s="387" t="str">
        <f t="shared" si="116"/>
        <v>1-3-0</v>
      </c>
      <c r="I310" s="389">
        <f t="shared" si="117"/>
        <v>2</v>
      </c>
      <c r="J310" s="455">
        <f t="shared" si="142"/>
        <v>1</v>
      </c>
      <c r="K310" s="455">
        <f t="shared" si="118"/>
        <v>-13</v>
      </c>
      <c r="L310" s="455">
        <f t="shared" si="143"/>
        <v>136</v>
      </c>
      <c r="M310" s="389" t="str">
        <f>IFERROR(IF(AD310&lt;=VLOOKUP(D310,Tournaments!$A$1:$B$1772,2,FALSE),"TRUE","FALSE"),"")</f>
        <v>FALSE</v>
      </c>
      <c r="N310" s="389">
        <v>1</v>
      </c>
      <c r="O310" s="389">
        <f t="shared" si="119"/>
        <v>6</v>
      </c>
      <c r="Q310" s="389">
        <f t="shared" si="120"/>
        <v>1</v>
      </c>
      <c r="R310" s="389">
        <f t="shared" si="121"/>
        <v>3</v>
      </c>
      <c r="S310" s="389">
        <f t="shared" si="122"/>
        <v>0</v>
      </c>
      <c r="U310" s="389">
        <f t="shared" si="123"/>
        <v>8</v>
      </c>
      <c r="V310" s="389">
        <f t="shared" si="124"/>
        <v>2.5000000000000001E-3</v>
      </c>
      <c r="W310" s="389">
        <f t="shared" si="125"/>
        <v>-7.9974999999999996</v>
      </c>
      <c r="X310" s="389">
        <f t="shared" si="126"/>
        <v>8</v>
      </c>
      <c r="Y310" s="389">
        <f t="shared" si="144"/>
        <v>3.3999999999999998E-3</v>
      </c>
      <c r="Z310" s="389">
        <f t="shared" si="127"/>
        <v>-7.9965999999999999</v>
      </c>
      <c r="AA310" s="389">
        <f t="shared" si="128"/>
        <v>7</v>
      </c>
      <c r="AB310" s="389">
        <f t="shared" si="129"/>
        <v>6.0299999999999999E-2</v>
      </c>
      <c r="AC310" s="389">
        <f t="shared" si="130"/>
        <v>-6.9397000000000002</v>
      </c>
      <c r="AD310" s="389">
        <f t="shared" si="131"/>
        <v>6</v>
      </c>
      <c r="AE310" s="389">
        <f t="shared" si="132"/>
        <v>3</v>
      </c>
      <c r="AG310" s="311" t="str">
        <f t="shared" si="133"/>
        <v>Junior A Male Basketball-</v>
      </c>
      <c r="AH310" s="453">
        <f t="shared" si="134"/>
        <v>6</v>
      </c>
      <c r="AI310" s="453">
        <f t="shared" si="135"/>
        <v>3</v>
      </c>
      <c r="AJ310" t="str">
        <f t="array" ref="AJ310">IF(AND(AI310&gt;1,G310&lt;&gt;""),INDEX(FS_teams,MATCH(1,(FS_Keys=AG310)*(FS_Points=I310)*(FS_teams&lt;&gt;G310),0)),"")</f>
        <v>JR A M - ISR 1</v>
      </c>
      <c r="AK310" s="390" t="e">
        <f t="array" ref="AK310">IF(AJ310&lt;&gt;"",INDEX(TM_Score1,MATCH(1,(TM_Events=D310)*(TM_Participant1=G310)*(TM_Participant2=AJ310),0)),"")</f>
        <v>#N/A</v>
      </c>
      <c r="AL310" s="390" t="e">
        <f t="array" ref="AL310">IF(AJ310&lt;&gt;"",INDEX(TM_Score1,MATCH(1,(TM_Events=D310)*(TM_Participant1=AJ310)*(TM_Participant2=G310),0)),"")</f>
        <v>#N/A</v>
      </c>
      <c r="AM310" s="389" t="str">
        <f t="array" ref="AM310">IF(ISNUMBER(AK310),INDEX(TM_Score2,MATCH(1,(TM_Events=D310)*(TM_Participant1=G310)*(TM_Participant2=AJ310),0)),"")</f>
        <v/>
      </c>
      <c r="AN310" s="389" t="str">
        <f t="array" ref="AN310">IF(ISNUMBER(AL310),INDEX(TM_Score2,MATCH(1,(TM_Events=D310)*(TM_Participant1=AJ310)*(TM_Participant2=G310),0)),"")</f>
        <v/>
      </c>
      <c r="AO310" s="389" t="str">
        <f t="shared" si="136"/>
        <v>did not play</v>
      </c>
      <c r="AP310" s="389">
        <f t="shared" si="137"/>
        <v>1</v>
      </c>
      <c r="AQ310" s="389">
        <f t="shared" si="138"/>
        <v>0</v>
      </c>
      <c r="AR310" s="389">
        <f t="shared" si="139"/>
        <v>3</v>
      </c>
      <c r="AS310" s="453">
        <f t="shared" si="140"/>
        <v>-13</v>
      </c>
      <c r="AT310" s="452">
        <f t="shared" si="141"/>
        <v>136</v>
      </c>
    </row>
    <row r="311" spans="1:46" ht="16" x14ac:dyDescent="0.2">
      <c r="A311" s="298"/>
      <c r="B311"/>
      <c r="D311" s="303" t="s">
        <v>72</v>
      </c>
      <c r="E311" s="396"/>
      <c r="F311" s="398">
        <v>1</v>
      </c>
      <c r="G311" s="397" t="s">
        <v>637</v>
      </c>
      <c r="H311" s="387" t="str">
        <f t="shared" si="116"/>
        <v>0-4-0</v>
      </c>
      <c r="I311" s="389">
        <f t="shared" si="117"/>
        <v>0</v>
      </c>
      <c r="J311" s="455">
        <f t="shared" si="142"/>
        <v>1</v>
      </c>
      <c r="K311" s="455">
        <f t="shared" si="118"/>
        <v>-33</v>
      </c>
      <c r="L311" s="455" t="str">
        <f t="shared" si="143"/>
        <v/>
      </c>
      <c r="M311" s="389" t="str">
        <f>IFERROR(IF(AD311&lt;=VLOOKUP(D311,Tournaments!$A$1:$B$1772,2,FALSE),"TRUE","FALSE"),"")</f>
        <v>FALSE</v>
      </c>
      <c r="N311" s="389">
        <v>1</v>
      </c>
      <c r="O311" s="389">
        <f t="shared" si="119"/>
        <v>9</v>
      </c>
      <c r="Q311" s="389">
        <f t="shared" si="120"/>
        <v>0</v>
      </c>
      <c r="R311" s="389">
        <f t="shared" si="121"/>
        <v>4</v>
      </c>
      <c r="S311" s="389">
        <f t="shared" si="122"/>
        <v>0</v>
      </c>
      <c r="U311" s="389">
        <f t="shared" si="123"/>
        <v>10</v>
      </c>
      <c r="V311" s="389">
        <f t="shared" si="124"/>
        <v>2.5000000000000001E-3</v>
      </c>
      <c r="W311" s="389">
        <f t="shared" si="125"/>
        <v>-9.9975000000000005</v>
      </c>
      <c r="X311" s="389">
        <f t="shared" si="126"/>
        <v>10</v>
      </c>
      <c r="Y311" s="389">
        <f t="shared" si="144"/>
        <v>1.6000000000000001E-3</v>
      </c>
      <c r="Z311" s="389">
        <f t="shared" si="127"/>
        <v>-9.9984000000000002</v>
      </c>
      <c r="AA311" s="389">
        <f t="shared" si="128"/>
        <v>9</v>
      </c>
      <c r="AB311" s="389" t="b">
        <f t="shared" si="129"/>
        <v>0</v>
      </c>
      <c r="AC311" s="389">
        <f t="shared" si="130"/>
        <v>-9</v>
      </c>
      <c r="AD311" s="389">
        <f t="shared" si="131"/>
        <v>9</v>
      </c>
      <c r="AE311" s="389">
        <f t="shared" si="132"/>
        <v>2</v>
      </c>
      <c r="AG311" s="311" t="str">
        <f t="shared" si="133"/>
        <v>Junior A Male Basketball-</v>
      </c>
      <c r="AH311" s="453">
        <f t="shared" si="134"/>
        <v>9</v>
      </c>
      <c r="AI311" s="453">
        <f t="shared" si="135"/>
        <v>2</v>
      </c>
      <c r="AJ311" t="str">
        <f t="array" ref="AJ311">IF(AND(AI311&gt;1,G311&lt;&gt;""),INDEX(FS_teams,MATCH(1,(FS_Keys=AG311)*(FS_Points=I311)*(FS_teams&lt;&gt;G311),0)),"")</f>
        <v>JR A M - VEN 2</v>
      </c>
      <c r="AK311" s="390" t="e">
        <f t="array" ref="AK311">IF(AJ311&lt;&gt;"",INDEX(TM_Score1,MATCH(1,(TM_Events=D311)*(TM_Participant1=G311)*(TM_Participant2=AJ311),0)),"")</f>
        <v>#N/A</v>
      </c>
      <c r="AL311" s="390" t="e">
        <f t="array" ref="AL311">IF(AJ311&lt;&gt;"",INDEX(TM_Score1,MATCH(1,(TM_Events=D311)*(TM_Participant1=AJ311)*(TM_Participant2=G311),0)),"")</f>
        <v>#N/A</v>
      </c>
      <c r="AM311" s="389" t="str">
        <f t="array" ref="AM311">IF(ISNUMBER(AK311),INDEX(TM_Score2,MATCH(1,(TM_Events=D311)*(TM_Participant1=G311)*(TM_Participant2=AJ311),0)),"")</f>
        <v/>
      </c>
      <c r="AN311" s="389" t="str">
        <f t="array" ref="AN311">IF(ISNUMBER(AL311),INDEX(TM_Score2,MATCH(1,(TM_Events=D311)*(TM_Participant1=AJ311)*(TM_Participant2=G311),0)),"")</f>
        <v/>
      </c>
      <c r="AO311" s="389" t="str">
        <f t="shared" si="136"/>
        <v>did not play</v>
      </c>
      <c r="AP311" s="389">
        <f t="shared" si="137"/>
        <v>0</v>
      </c>
      <c r="AQ311" s="389">
        <f t="shared" si="138"/>
        <v>0</v>
      </c>
      <c r="AR311" s="389">
        <f t="shared" si="139"/>
        <v>4</v>
      </c>
      <c r="AS311" s="453">
        <f t="shared" si="140"/>
        <v>-33</v>
      </c>
      <c r="AT311" s="452">
        <f t="shared" si="141"/>
        <v>89</v>
      </c>
    </row>
    <row r="312" spans="1:46" ht="16" x14ac:dyDescent="0.2">
      <c r="A312" s="298"/>
      <c r="B312"/>
      <c r="D312" s="303" t="s">
        <v>72</v>
      </c>
      <c r="E312" s="396"/>
      <c r="F312" s="387">
        <v>1</v>
      </c>
      <c r="G312" s="397" t="s">
        <v>646</v>
      </c>
      <c r="H312" s="387" t="str">
        <f t="shared" si="116"/>
        <v>0-4-0</v>
      </c>
      <c r="I312" s="389">
        <f t="shared" si="117"/>
        <v>0</v>
      </c>
      <c r="J312" s="455">
        <f t="shared" si="142"/>
        <v>1</v>
      </c>
      <c r="K312" s="455">
        <f t="shared" si="118"/>
        <v>-60</v>
      </c>
      <c r="L312" s="455" t="str">
        <f t="shared" si="143"/>
        <v/>
      </c>
      <c r="M312" s="389" t="str">
        <f>IFERROR(IF(AD312&lt;=VLOOKUP(D312,Tournaments!$A$1:$B$1772,2,FALSE),"TRUE","FALSE"),"")</f>
        <v>FALSE</v>
      </c>
      <c r="N312" s="389">
        <v>1</v>
      </c>
      <c r="O312" s="389">
        <f t="shared" si="119"/>
        <v>10</v>
      </c>
      <c r="Q312" s="389">
        <f t="shared" si="120"/>
        <v>0</v>
      </c>
      <c r="R312" s="389">
        <f t="shared" si="121"/>
        <v>4</v>
      </c>
      <c r="S312" s="389">
        <f t="shared" si="122"/>
        <v>0</v>
      </c>
      <c r="U312" s="389">
        <f t="shared" si="123"/>
        <v>10</v>
      </c>
      <c r="V312" s="389">
        <f t="shared" si="124"/>
        <v>2.5000000000000001E-3</v>
      </c>
      <c r="W312" s="389">
        <f t="shared" si="125"/>
        <v>-9.9975000000000005</v>
      </c>
      <c r="X312" s="389">
        <f t="shared" si="126"/>
        <v>10</v>
      </c>
      <c r="Y312" s="389">
        <f t="shared" si="144"/>
        <v>2.9999999999999997E-4</v>
      </c>
      <c r="Z312" s="389">
        <f t="shared" si="127"/>
        <v>-9.9997000000000007</v>
      </c>
      <c r="AA312" s="389">
        <f t="shared" si="128"/>
        <v>10</v>
      </c>
      <c r="AB312" s="389" t="b">
        <f t="shared" si="129"/>
        <v>0</v>
      </c>
      <c r="AC312" s="389">
        <f t="shared" si="130"/>
        <v>-10</v>
      </c>
      <c r="AD312" s="389">
        <f t="shared" si="131"/>
        <v>10</v>
      </c>
      <c r="AE312" s="389">
        <f t="shared" si="132"/>
        <v>2</v>
      </c>
      <c r="AG312" s="311" t="str">
        <f t="shared" si="133"/>
        <v>Junior A Male Basketball-</v>
      </c>
      <c r="AH312" s="453">
        <f t="shared" si="134"/>
        <v>9</v>
      </c>
      <c r="AI312" s="453">
        <f t="shared" si="135"/>
        <v>2</v>
      </c>
      <c r="AJ312" t="str">
        <f t="array" ref="AJ312">IF(AND(AI312&gt;1,G312&lt;&gt;""),INDEX(FS_teams,MATCH(1,(FS_Keys=AG312)*(FS_Points=I312)*(FS_teams&lt;&gt;G312),0)),"")</f>
        <v>JR A M - ARG 1</v>
      </c>
      <c r="AK312" s="390" t="e">
        <f t="array" ref="AK312">IF(AJ312&lt;&gt;"",INDEX(TM_Score1,MATCH(1,(TM_Events=D312)*(TM_Participant1=G312)*(TM_Participant2=AJ312),0)),"")</f>
        <v>#N/A</v>
      </c>
      <c r="AL312" s="390" t="e">
        <f t="array" ref="AL312">IF(AJ312&lt;&gt;"",INDEX(TM_Score1,MATCH(1,(TM_Events=D312)*(TM_Participant1=AJ312)*(TM_Participant2=G312),0)),"")</f>
        <v>#N/A</v>
      </c>
      <c r="AM312" s="389" t="str">
        <f t="array" ref="AM312">IF(ISNUMBER(AK312),INDEX(TM_Score2,MATCH(1,(TM_Events=D312)*(TM_Participant1=G312)*(TM_Participant2=AJ312),0)),"")</f>
        <v/>
      </c>
      <c r="AN312" s="389" t="str">
        <f t="array" ref="AN312">IF(ISNUMBER(AL312),INDEX(TM_Score2,MATCH(1,(TM_Events=D312)*(TM_Participant1=AJ312)*(TM_Participant2=G312),0)),"")</f>
        <v/>
      </c>
      <c r="AO312" s="389" t="str">
        <f t="shared" si="136"/>
        <v>did not play</v>
      </c>
      <c r="AP312" s="389">
        <f t="shared" si="137"/>
        <v>0</v>
      </c>
      <c r="AQ312" s="389">
        <f t="shared" si="138"/>
        <v>0</v>
      </c>
      <c r="AR312" s="389">
        <f t="shared" si="139"/>
        <v>4</v>
      </c>
      <c r="AS312" s="453">
        <f t="shared" si="140"/>
        <v>-60</v>
      </c>
      <c r="AT312" s="452">
        <f t="shared" si="141"/>
        <v>53</v>
      </c>
    </row>
    <row r="313" spans="1:46" ht="16" x14ac:dyDescent="0.2">
      <c r="A313" s="298"/>
      <c r="B313"/>
      <c r="D313" s="298" t="s">
        <v>72</v>
      </c>
      <c r="F313" s="389">
        <v>1</v>
      </c>
      <c r="G313" s="390" t="s">
        <v>638</v>
      </c>
      <c r="H313" s="387" t="str">
        <f t="shared" si="116"/>
        <v>1-3-0</v>
      </c>
      <c r="I313" s="389">
        <f t="shared" si="117"/>
        <v>2</v>
      </c>
      <c r="J313" s="455">
        <f t="shared" si="142"/>
        <v>1</v>
      </c>
      <c r="K313" s="455">
        <f t="shared" si="118"/>
        <v>-15</v>
      </c>
      <c r="L313" s="455" t="str">
        <f t="shared" si="143"/>
        <v/>
      </c>
      <c r="M313" s="389" t="str">
        <f>IFERROR(IF(AD313&lt;=VLOOKUP(D313,Tournaments!$A$1:$B$1772,2,FALSE),"TRUE","FALSE"),"")</f>
        <v>FALSE</v>
      </c>
      <c r="N313" s="389">
        <v>1</v>
      </c>
      <c r="O313" s="389">
        <f t="shared" si="119"/>
        <v>8</v>
      </c>
      <c r="Q313" s="389">
        <f t="shared" si="120"/>
        <v>1</v>
      </c>
      <c r="R313" s="389">
        <f t="shared" si="121"/>
        <v>3</v>
      </c>
      <c r="S313" s="389">
        <f t="shared" si="122"/>
        <v>0</v>
      </c>
      <c r="U313" s="389">
        <f t="shared" si="123"/>
        <v>8</v>
      </c>
      <c r="V313" s="389">
        <f t="shared" si="124"/>
        <v>2.5000000000000001E-3</v>
      </c>
      <c r="W313" s="389">
        <f t="shared" si="125"/>
        <v>-7.9974999999999996</v>
      </c>
      <c r="X313" s="389">
        <f t="shared" si="126"/>
        <v>8</v>
      </c>
      <c r="Y313" s="389">
        <f t="shared" si="144"/>
        <v>3.0000000000000001E-3</v>
      </c>
      <c r="Z313" s="389">
        <f t="shared" si="127"/>
        <v>-7.9969999999999999</v>
      </c>
      <c r="AA313" s="389">
        <f t="shared" si="128"/>
        <v>8</v>
      </c>
      <c r="AB313" s="389" t="b">
        <f t="shared" si="129"/>
        <v>0</v>
      </c>
      <c r="AC313" s="389">
        <f t="shared" si="130"/>
        <v>-8</v>
      </c>
      <c r="AD313" s="389">
        <f t="shared" si="131"/>
        <v>8</v>
      </c>
      <c r="AE313" s="389">
        <f t="shared" si="132"/>
        <v>3</v>
      </c>
      <c r="AG313" s="311" t="str">
        <f t="shared" si="133"/>
        <v>Junior A Male Basketball-</v>
      </c>
      <c r="AH313" s="453">
        <f t="shared" si="134"/>
        <v>6</v>
      </c>
      <c r="AI313" s="453">
        <f t="shared" si="135"/>
        <v>3</v>
      </c>
      <c r="AJ313" t="str">
        <f t="array" ref="AJ313">IF(AND(AI313&gt;1,G313&lt;&gt;""),INDEX(FS_teams,MATCH(1,(FS_Keys=AG313)*(FS_Points=I313)*(FS_teams&lt;&gt;G313),0)),"")</f>
        <v>JR A M - ISR 1</v>
      </c>
      <c r="AK313" s="390" t="e">
        <f t="array" ref="AK313">IF(AJ313&lt;&gt;"",INDEX(TM_Score1,MATCH(1,(TM_Events=D313)*(TM_Participant1=G313)*(TM_Participant2=AJ313),0)),"")</f>
        <v>#N/A</v>
      </c>
      <c r="AL313" s="390" t="e">
        <f t="array" ref="AL313">IF(AJ313&lt;&gt;"",INDEX(TM_Score1,MATCH(1,(TM_Events=D313)*(TM_Participant1=AJ313)*(TM_Participant2=G313),0)),"")</f>
        <v>#N/A</v>
      </c>
      <c r="AM313" s="389" t="str">
        <f t="array" ref="AM313">IF(ISNUMBER(AK313),INDEX(TM_Score2,MATCH(1,(TM_Events=D313)*(TM_Participant1=G313)*(TM_Participant2=AJ313),0)),"")</f>
        <v/>
      </c>
      <c r="AN313" s="389" t="str">
        <f t="array" ref="AN313">IF(ISNUMBER(AL313),INDEX(TM_Score2,MATCH(1,(TM_Events=D313)*(TM_Participant1=AJ313)*(TM_Participant2=G313),0)),"")</f>
        <v/>
      </c>
      <c r="AO313" s="389" t="str">
        <f t="shared" si="136"/>
        <v>did not play</v>
      </c>
      <c r="AP313" s="389">
        <f t="shared" si="137"/>
        <v>1</v>
      </c>
      <c r="AQ313" s="389">
        <f t="shared" si="138"/>
        <v>0</v>
      </c>
      <c r="AR313" s="389">
        <f t="shared" si="139"/>
        <v>3</v>
      </c>
      <c r="AS313" s="453">
        <f t="shared" si="140"/>
        <v>-15</v>
      </c>
      <c r="AT313" s="452">
        <f t="shared" si="141"/>
        <v>127</v>
      </c>
    </row>
    <row r="314" spans="1:46" ht="16" x14ac:dyDescent="0.2">
      <c r="A314" s="298"/>
      <c r="B314"/>
      <c r="D314" s="303" t="s">
        <v>73</v>
      </c>
      <c r="E314" s="396"/>
      <c r="F314" s="387">
        <v>1</v>
      </c>
      <c r="G314" s="397" t="s">
        <v>646</v>
      </c>
      <c r="H314" s="387" t="str">
        <f t="shared" si="116"/>
        <v>3-2-0</v>
      </c>
      <c r="I314" s="389">
        <f t="shared" si="117"/>
        <v>6</v>
      </c>
      <c r="J314" s="455" t="str">
        <f t="shared" si="142"/>
        <v/>
      </c>
      <c r="K314" s="455" t="str">
        <f t="shared" si="118"/>
        <v/>
      </c>
      <c r="L314" s="455" t="str">
        <f t="shared" si="143"/>
        <v/>
      </c>
      <c r="M314" s="389" t="str">
        <f>IFERROR(IF(AD314&lt;=VLOOKUP(D314,Tournaments!$A$1:$B$1772,2,FALSE),"TRUE","FALSE"),"")</f>
        <v>TRUE</v>
      </c>
      <c r="N314" s="389">
        <v>1</v>
      </c>
      <c r="O314" s="389">
        <f t="shared" si="119"/>
        <v>4</v>
      </c>
      <c r="Q314" s="389">
        <f t="shared" si="120"/>
        <v>3</v>
      </c>
      <c r="R314" s="389">
        <f t="shared" si="121"/>
        <v>2</v>
      </c>
      <c r="S314" s="389">
        <f t="shared" si="122"/>
        <v>0</v>
      </c>
      <c r="U314" s="389">
        <f t="shared" si="123"/>
        <v>4</v>
      </c>
      <c r="V314" s="389" t="b">
        <f t="shared" si="124"/>
        <v>0</v>
      </c>
      <c r="W314" s="389">
        <f t="shared" si="125"/>
        <v>-4</v>
      </c>
      <c r="X314" s="389">
        <f t="shared" si="126"/>
        <v>4</v>
      </c>
      <c r="Y314" s="389" t="b">
        <f t="shared" si="144"/>
        <v>0</v>
      </c>
      <c r="Z314" s="389">
        <f t="shared" si="127"/>
        <v>-4</v>
      </c>
      <c r="AA314" s="389">
        <f t="shared" si="128"/>
        <v>4</v>
      </c>
      <c r="AB314" s="389" t="b">
        <f t="shared" si="129"/>
        <v>0</v>
      </c>
      <c r="AC314" s="389">
        <f t="shared" si="130"/>
        <v>-4</v>
      </c>
      <c r="AD314" s="389">
        <f t="shared" si="131"/>
        <v>4</v>
      </c>
      <c r="AE314" s="389">
        <f t="shared" si="132"/>
        <v>1</v>
      </c>
      <c r="AG314" s="311" t="str">
        <f t="shared" si="133"/>
        <v>Junior A Male Flag Football-</v>
      </c>
      <c r="AH314" s="453">
        <f t="shared" si="134"/>
        <v>4</v>
      </c>
      <c r="AI314" s="453">
        <f t="shared" si="135"/>
        <v>1</v>
      </c>
      <c r="AJ314" t="str">
        <f t="array" ref="AJ314">IF(AND(AI314&gt;1,G314&lt;&gt;""),INDEX(FS_teams,MATCH(1,(FS_Keys=AG314)*(FS_Points=I314)*(FS_teams&lt;&gt;G314),0)),"")</f>
        <v/>
      </c>
      <c r="AK314" s="390" t="str">
        <f t="array" ref="AK314">IF(AJ314&lt;&gt;"",INDEX(TM_Score1,MATCH(1,(TM_Events=D314)*(TM_Participant1=G314)*(TM_Participant2=AJ314),0)),"")</f>
        <v/>
      </c>
      <c r="AL314" s="390" t="str">
        <f t="array" ref="AL314">IF(AJ314&lt;&gt;"",INDEX(TM_Score1,MATCH(1,(TM_Events=D314)*(TM_Participant1=AJ314)*(TM_Participant2=G314),0)),"")</f>
        <v/>
      </c>
      <c r="AM314" s="389" t="str">
        <f t="array" ref="AM314">IF(ISNUMBER(AK314),INDEX(TM_Score2,MATCH(1,(TM_Events=D314)*(TM_Participant1=G314)*(TM_Participant2=AJ314),0)),"")</f>
        <v/>
      </c>
      <c r="AN314" s="389" t="str">
        <f t="array" ref="AN314">IF(ISNUMBER(AL314),INDEX(TM_Score2,MATCH(1,(TM_Events=D314)*(TM_Participant1=AJ314)*(TM_Participant2=G314),0)),"")</f>
        <v/>
      </c>
      <c r="AO314" s="389" t="str">
        <f t="shared" si="136"/>
        <v/>
      </c>
      <c r="AP314" s="389">
        <f t="shared" si="137"/>
        <v>3</v>
      </c>
      <c r="AQ314" s="389">
        <f t="shared" si="138"/>
        <v>0</v>
      </c>
      <c r="AR314" s="389">
        <f t="shared" si="139"/>
        <v>2</v>
      </c>
      <c r="AS314" s="453">
        <f t="shared" si="140"/>
        <v>31</v>
      </c>
      <c r="AT314" s="452">
        <f t="shared" si="141"/>
        <v>166</v>
      </c>
    </row>
    <row r="315" spans="1:46" ht="16" x14ac:dyDescent="0.2">
      <c r="A315" s="298"/>
      <c r="B315"/>
      <c r="D315" s="303" t="s">
        <v>73</v>
      </c>
      <c r="E315" s="396"/>
      <c r="F315" s="387">
        <v>1</v>
      </c>
      <c r="G315" s="397" t="s">
        <v>644</v>
      </c>
      <c r="H315" s="387" t="str">
        <f t="shared" si="116"/>
        <v>2-2-0</v>
      </c>
      <c r="I315" s="389">
        <f t="shared" si="117"/>
        <v>4</v>
      </c>
      <c r="J315" s="455">
        <f t="shared" si="142"/>
        <v>1</v>
      </c>
      <c r="K315" s="455">
        <f t="shared" si="118"/>
        <v>-19</v>
      </c>
      <c r="L315" s="455" t="str">
        <f t="shared" si="143"/>
        <v/>
      </c>
      <c r="M315" s="389" t="str">
        <f>IFERROR(IF(AD315&lt;=VLOOKUP(D315,Tournaments!$A$1:$B$1772,2,FALSE),"TRUE","FALSE"),"")</f>
        <v>FALSE</v>
      </c>
      <c r="N315" s="389">
        <v>1</v>
      </c>
      <c r="O315" s="389">
        <f t="shared" si="119"/>
        <v>6</v>
      </c>
      <c r="Q315" s="389">
        <f t="shared" si="120"/>
        <v>2</v>
      </c>
      <c r="R315" s="389">
        <f t="shared" si="121"/>
        <v>2</v>
      </c>
      <c r="S315" s="389">
        <f t="shared" si="122"/>
        <v>0</v>
      </c>
      <c r="U315" s="389">
        <f t="shared" si="123"/>
        <v>6</v>
      </c>
      <c r="V315" s="389">
        <f t="shared" si="124"/>
        <v>2.5000000000000001E-3</v>
      </c>
      <c r="W315" s="389">
        <f t="shared" si="125"/>
        <v>-5.9974999999999996</v>
      </c>
      <c r="X315" s="389">
        <f t="shared" si="126"/>
        <v>6</v>
      </c>
      <c r="Y315" s="389">
        <f t="shared" si="144"/>
        <v>2.5000000000000001E-3</v>
      </c>
      <c r="Z315" s="389">
        <f t="shared" si="127"/>
        <v>-5.9974999999999996</v>
      </c>
      <c r="AA315" s="389">
        <f t="shared" si="128"/>
        <v>6</v>
      </c>
      <c r="AB315" s="389" t="b">
        <f t="shared" si="129"/>
        <v>0</v>
      </c>
      <c r="AC315" s="389">
        <f t="shared" si="130"/>
        <v>-6</v>
      </c>
      <c r="AD315" s="389">
        <f t="shared" si="131"/>
        <v>6</v>
      </c>
      <c r="AE315" s="389">
        <f t="shared" si="132"/>
        <v>2</v>
      </c>
      <c r="AG315" s="311" t="str">
        <f t="shared" si="133"/>
        <v>Junior A Male Flag Football-</v>
      </c>
      <c r="AH315" s="453">
        <f t="shared" si="134"/>
        <v>5</v>
      </c>
      <c r="AI315" s="453">
        <f t="shared" si="135"/>
        <v>2</v>
      </c>
      <c r="AJ315" t="str">
        <f t="array" ref="AJ315">IF(AND(AI315&gt;1,G315&lt;&gt;""),INDEX(FS_teams,MATCH(1,(FS_Keys=AG315)*(FS_Points=I315)*(FS_teams&lt;&gt;G315),0)),"")</f>
        <v>JR A M - USA 2</v>
      </c>
      <c r="AK315" s="390" t="e">
        <f t="array" ref="AK315">IF(AJ315&lt;&gt;"",INDEX(TM_Score1,MATCH(1,(TM_Events=D315)*(TM_Participant1=G315)*(TM_Participant2=AJ315),0)),"")</f>
        <v>#N/A</v>
      </c>
      <c r="AL315" s="390" t="e">
        <f t="array" ref="AL315">IF(AJ315&lt;&gt;"",INDEX(TM_Score1,MATCH(1,(TM_Events=D315)*(TM_Participant1=AJ315)*(TM_Participant2=G315),0)),"")</f>
        <v>#N/A</v>
      </c>
      <c r="AM315" s="389" t="str">
        <f t="array" ref="AM315">IF(ISNUMBER(AK315),INDEX(TM_Score2,MATCH(1,(TM_Events=D315)*(TM_Participant1=G315)*(TM_Participant2=AJ315),0)),"")</f>
        <v/>
      </c>
      <c r="AN315" s="389" t="str">
        <f t="array" ref="AN315">IF(ISNUMBER(AL315),INDEX(TM_Score2,MATCH(1,(TM_Events=D315)*(TM_Participant1=AJ315)*(TM_Participant2=G315),0)),"")</f>
        <v/>
      </c>
      <c r="AO315" s="389" t="str">
        <f t="shared" si="136"/>
        <v>did not play</v>
      </c>
      <c r="AP315" s="389">
        <f t="shared" si="137"/>
        <v>2</v>
      </c>
      <c r="AQ315" s="389">
        <f t="shared" si="138"/>
        <v>0</v>
      </c>
      <c r="AR315" s="389">
        <f t="shared" si="139"/>
        <v>2</v>
      </c>
      <c r="AS315" s="453">
        <f t="shared" si="140"/>
        <v>-19</v>
      </c>
      <c r="AT315" s="452">
        <f t="shared" si="141"/>
        <v>62</v>
      </c>
    </row>
    <row r="316" spans="1:46" ht="16" x14ac:dyDescent="0.2">
      <c r="A316" s="298"/>
      <c r="B316"/>
      <c r="D316" s="303" t="s">
        <v>73</v>
      </c>
      <c r="E316" s="396"/>
      <c r="F316" s="387">
        <v>1</v>
      </c>
      <c r="G316" s="397" t="s">
        <v>645</v>
      </c>
      <c r="H316" s="387" t="str">
        <f t="shared" si="116"/>
        <v>0-4-0</v>
      </c>
      <c r="I316" s="389">
        <f t="shared" si="117"/>
        <v>0</v>
      </c>
      <c r="J316" s="455">
        <f t="shared" si="142"/>
        <v>1</v>
      </c>
      <c r="K316" s="455">
        <f t="shared" si="118"/>
        <v>-37</v>
      </c>
      <c r="L316" s="455" t="str">
        <f t="shared" si="143"/>
        <v/>
      </c>
      <c r="M316" s="389" t="str">
        <f>IFERROR(IF(AD316&lt;=VLOOKUP(D316,Tournaments!$A$1:$B$1772,2,FALSE),"TRUE","FALSE"),"")</f>
        <v>FALSE</v>
      </c>
      <c r="N316" s="389">
        <v>1</v>
      </c>
      <c r="O316" s="389">
        <f t="shared" si="119"/>
        <v>9</v>
      </c>
      <c r="Q316" s="389">
        <f t="shared" si="120"/>
        <v>0</v>
      </c>
      <c r="R316" s="389">
        <f t="shared" si="121"/>
        <v>4</v>
      </c>
      <c r="S316" s="389">
        <f t="shared" si="122"/>
        <v>0</v>
      </c>
      <c r="U316" s="389">
        <f t="shared" si="123"/>
        <v>10</v>
      </c>
      <c r="V316" s="389">
        <f t="shared" si="124"/>
        <v>2.5000000000000001E-3</v>
      </c>
      <c r="W316" s="389">
        <f t="shared" si="125"/>
        <v>-9.9975000000000005</v>
      </c>
      <c r="X316" s="389">
        <f t="shared" si="126"/>
        <v>10</v>
      </c>
      <c r="Y316" s="389">
        <f t="shared" si="144"/>
        <v>1E-3</v>
      </c>
      <c r="Z316" s="389">
        <f t="shared" si="127"/>
        <v>-9.9990000000000006</v>
      </c>
      <c r="AA316" s="389">
        <f t="shared" si="128"/>
        <v>9</v>
      </c>
      <c r="AB316" s="389" t="b">
        <f t="shared" si="129"/>
        <v>0</v>
      </c>
      <c r="AC316" s="389">
        <f t="shared" si="130"/>
        <v>-9</v>
      </c>
      <c r="AD316" s="389">
        <f t="shared" si="131"/>
        <v>9</v>
      </c>
      <c r="AE316" s="389">
        <f t="shared" si="132"/>
        <v>2</v>
      </c>
      <c r="AG316" s="311" t="str">
        <f t="shared" si="133"/>
        <v>Junior A Male Flag Football-</v>
      </c>
      <c r="AH316" s="453">
        <f t="shared" si="134"/>
        <v>9</v>
      </c>
      <c r="AI316" s="453">
        <f t="shared" si="135"/>
        <v>2</v>
      </c>
      <c r="AJ316" t="str">
        <f t="array" ref="AJ316">IF(AND(AI316&gt;1,G316&lt;&gt;""),INDEX(FS_teams,MATCH(1,(FS_Keys=AG316)*(FS_Points=I316)*(FS_teams&lt;&gt;G316),0)),"")</f>
        <v>JR A M - ARG 1</v>
      </c>
      <c r="AK316" s="390" t="e">
        <f t="array" ref="AK316">IF(AJ316&lt;&gt;"",INDEX(TM_Score1,MATCH(1,(TM_Events=D316)*(TM_Participant1=G316)*(TM_Participant2=AJ316),0)),"")</f>
        <v>#N/A</v>
      </c>
      <c r="AL316" s="390" t="e">
        <f t="array" ref="AL316">IF(AJ316&lt;&gt;"",INDEX(TM_Score1,MATCH(1,(TM_Events=D316)*(TM_Participant1=AJ316)*(TM_Participant2=G316),0)),"")</f>
        <v>#N/A</v>
      </c>
      <c r="AM316" s="389" t="str">
        <f t="array" ref="AM316">IF(ISNUMBER(AK316),INDEX(TM_Score2,MATCH(1,(TM_Events=D316)*(TM_Participant1=G316)*(TM_Participant2=AJ316),0)),"")</f>
        <v/>
      </c>
      <c r="AN316" s="389" t="str">
        <f t="array" ref="AN316">IF(ISNUMBER(AL316),INDEX(TM_Score2,MATCH(1,(TM_Events=D316)*(TM_Participant1=AJ316)*(TM_Participant2=G316),0)),"")</f>
        <v/>
      </c>
      <c r="AO316" s="389" t="str">
        <f t="shared" si="136"/>
        <v>did not play</v>
      </c>
      <c r="AP316" s="389">
        <f t="shared" si="137"/>
        <v>0</v>
      </c>
      <c r="AQ316" s="389">
        <f t="shared" si="138"/>
        <v>0</v>
      </c>
      <c r="AR316" s="389">
        <f t="shared" si="139"/>
        <v>4</v>
      </c>
      <c r="AS316" s="453">
        <f t="shared" si="140"/>
        <v>-37</v>
      </c>
      <c r="AT316" s="452">
        <f t="shared" si="141"/>
        <v>101</v>
      </c>
    </row>
    <row r="317" spans="1:46" ht="16" x14ac:dyDescent="0.2">
      <c r="A317" s="298"/>
      <c r="B317"/>
      <c r="D317" s="303" t="s">
        <v>73</v>
      </c>
      <c r="E317" s="396"/>
      <c r="F317" s="387">
        <v>1</v>
      </c>
      <c r="G317" s="397" t="s">
        <v>643</v>
      </c>
      <c r="H317" s="387" t="str">
        <f t="shared" si="116"/>
        <v>2-2-0</v>
      </c>
      <c r="I317" s="389">
        <f t="shared" si="117"/>
        <v>4</v>
      </c>
      <c r="J317" s="455">
        <f t="shared" si="142"/>
        <v>1</v>
      </c>
      <c r="K317" s="455">
        <f t="shared" si="118"/>
        <v>13</v>
      </c>
      <c r="L317" s="455" t="str">
        <f t="shared" si="143"/>
        <v/>
      </c>
      <c r="M317" s="389" t="str">
        <f>IFERROR(IF(AD317&lt;=VLOOKUP(D317,Tournaments!$A$1:$B$1772,2,FALSE),"TRUE","FALSE"),"")</f>
        <v>FALSE</v>
      </c>
      <c r="N317" s="389">
        <v>1</v>
      </c>
      <c r="O317" s="389">
        <f t="shared" si="119"/>
        <v>5</v>
      </c>
      <c r="Q317" s="389">
        <f t="shared" si="120"/>
        <v>2</v>
      </c>
      <c r="R317" s="389">
        <f t="shared" si="121"/>
        <v>2</v>
      </c>
      <c r="S317" s="389">
        <f t="shared" si="122"/>
        <v>0</v>
      </c>
      <c r="U317" s="389">
        <f t="shared" si="123"/>
        <v>6</v>
      </c>
      <c r="V317" s="389">
        <f t="shared" si="124"/>
        <v>2.5000000000000001E-3</v>
      </c>
      <c r="W317" s="389">
        <f t="shared" si="125"/>
        <v>-5.9974999999999996</v>
      </c>
      <c r="X317" s="389">
        <f t="shared" si="126"/>
        <v>6</v>
      </c>
      <c r="Y317" s="389">
        <f t="shared" si="144"/>
        <v>7.5600000000000001E-2</v>
      </c>
      <c r="Z317" s="389">
        <f t="shared" si="127"/>
        <v>-5.9244000000000003</v>
      </c>
      <c r="AA317" s="389">
        <f t="shared" si="128"/>
        <v>5</v>
      </c>
      <c r="AB317" s="389" t="b">
        <f t="shared" si="129"/>
        <v>0</v>
      </c>
      <c r="AC317" s="389">
        <f t="shared" si="130"/>
        <v>-5</v>
      </c>
      <c r="AD317" s="389">
        <f t="shared" si="131"/>
        <v>5</v>
      </c>
      <c r="AE317" s="389">
        <f t="shared" si="132"/>
        <v>2</v>
      </c>
      <c r="AG317" s="311" t="str">
        <f t="shared" si="133"/>
        <v>Junior A Male Flag Football-</v>
      </c>
      <c r="AH317" s="453">
        <f t="shared" si="134"/>
        <v>5</v>
      </c>
      <c r="AI317" s="453">
        <f t="shared" si="135"/>
        <v>2</v>
      </c>
      <c r="AJ317" t="str">
        <f t="array" ref="AJ317">IF(AND(AI317&gt;1,G317&lt;&gt;""),INDEX(FS_teams,MATCH(1,(FS_Keys=AG317)*(FS_Points=I317)*(FS_teams&lt;&gt;G317),0)),"")</f>
        <v>JR A M - ISR 1</v>
      </c>
      <c r="AK317" s="390" t="e">
        <f t="array" ref="AK317">IF(AJ317&lt;&gt;"",INDEX(TM_Score1,MATCH(1,(TM_Events=D317)*(TM_Participant1=G317)*(TM_Participant2=AJ317),0)),"")</f>
        <v>#N/A</v>
      </c>
      <c r="AL317" s="390" t="e">
        <f t="array" ref="AL317">IF(AJ317&lt;&gt;"",INDEX(TM_Score1,MATCH(1,(TM_Events=D317)*(TM_Participant1=AJ317)*(TM_Participant2=G317),0)),"")</f>
        <v>#N/A</v>
      </c>
      <c r="AM317" s="389" t="str">
        <f t="array" ref="AM317">IF(ISNUMBER(AK317),INDEX(TM_Score2,MATCH(1,(TM_Events=D317)*(TM_Participant1=G317)*(TM_Participant2=AJ317),0)),"")</f>
        <v/>
      </c>
      <c r="AN317" s="389" t="str">
        <f t="array" ref="AN317">IF(ISNUMBER(AL317),INDEX(TM_Score2,MATCH(1,(TM_Events=D317)*(TM_Participant1=AJ317)*(TM_Participant2=G317),0)),"")</f>
        <v/>
      </c>
      <c r="AO317" s="389" t="str">
        <f t="shared" si="136"/>
        <v>did not play</v>
      </c>
      <c r="AP317" s="389">
        <f t="shared" si="137"/>
        <v>2</v>
      </c>
      <c r="AQ317" s="389">
        <f t="shared" si="138"/>
        <v>0</v>
      </c>
      <c r="AR317" s="389">
        <f t="shared" si="139"/>
        <v>2</v>
      </c>
      <c r="AS317" s="453">
        <f t="shared" si="140"/>
        <v>13</v>
      </c>
      <c r="AT317" s="452">
        <f t="shared" si="141"/>
        <v>110</v>
      </c>
    </row>
    <row r="318" spans="1:46" ht="16" x14ac:dyDescent="0.2">
      <c r="A318" s="298"/>
      <c r="B318"/>
      <c r="D318" s="303" t="s">
        <v>73</v>
      </c>
      <c r="E318" s="396"/>
      <c r="F318" s="387">
        <v>1</v>
      </c>
      <c r="G318" s="397" t="s">
        <v>719</v>
      </c>
      <c r="H318" s="387" t="str">
        <f t="shared" si="116"/>
        <v>5-1-0</v>
      </c>
      <c r="I318" s="389">
        <f t="shared" si="117"/>
        <v>10</v>
      </c>
      <c r="J318" s="455">
        <f t="shared" si="142"/>
        <v>0</v>
      </c>
      <c r="K318" s="455" t="str">
        <f t="shared" si="118"/>
        <v/>
      </c>
      <c r="L318" s="455" t="str">
        <f t="shared" si="143"/>
        <v/>
      </c>
      <c r="M318" s="389" t="str">
        <f>IFERROR(IF(AD318&lt;=VLOOKUP(D318,Tournaments!$A$1:$B$1772,2,FALSE),"TRUE","FALSE"),"")</f>
        <v>TRUE</v>
      </c>
      <c r="N318" s="389">
        <v>1</v>
      </c>
      <c r="O318" s="389">
        <f t="shared" si="119"/>
        <v>2</v>
      </c>
      <c r="Q318" s="389">
        <f t="shared" si="120"/>
        <v>5</v>
      </c>
      <c r="R318" s="389">
        <f t="shared" si="121"/>
        <v>1</v>
      </c>
      <c r="S318" s="389">
        <f t="shared" si="122"/>
        <v>0</v>
      </c>
      <c r="U318" s="389">
        <f t="shared" si="123"/>
        <v>2</v>
      </c>
      <c r="V318" s="389">
        <f t="shared" si="124"/>
        <v>1E-4</v>
      </c>
      <c r="W318" s="389">
        <f t="shared" si="125"/>
        <v>-1.9999</v>
      </c>
      <c r="X318" s="389">
        <f t="shared" si="126"/>
        <v>2</v>
      </c>
      <c r="Y318" s="389" t="b">
        <f t="shared" si="144"/>
        <v>0</v>
      </c>
      <c r="Z318" s="389">
        <f t="shared" si="127"/>
        <v>-2</v>
      </c>
      <c r="AA318" s="389">
        <f t="shared" si="128"/>
        <v>2</v>
      </c>
      <c r="AB318" s="389" t="b">
        <f t="shared" si="129"/>
        <v>0</v>
      </c>
      <c r="AC318" s="389">
        <f t="shared" si="130"/>
        <v>-2</v>
      </c>
      <c r="AD318" s="389">
        <f t="shared" si="131"/>
        <v>2</v>
      </c>
      <c r="AE318" s="389">
        <f t="shared" si="132"/>
        <v>1</v>
      </c>
      <c r="AG318" s="311" t="str">
        <f t="shared" si="133"/>
        <v>Junior A Male Flag Football-</v>
      </c>
      <c r="AH318" s="453">
        <f t="shared" si="134"/>
        <v>1</v>
      </c>
      <c r="AI318" s="453">
        <f t="shared" si="135"/>
        <v>2</v>
      </c>
      <c r="AJ318" t="str">
        <f t="array" ref="AJ318">IF(AND(AI318&gt;1,G318&lt;&gt;""),INDEX(FS_teams,MATCH(1,(FS_Keys=AG318)*(FS_Points=I318)*(FS_teams&lt;&gt;G318),0)),"")</f>
        <v>JR A M - USA 1</v>
      </c>
      <c r="AK318" s="390">
        <f t="array" ref="AK318">IF(AJ318&lt;&gt;"",INDEX(TM_Score1,MATCH(1,(TM_Events=D318)*(TM_Participant1=G318)*(TM_Participant2=AJ318),0)),"")</f>
        <v>19</v>
      </c>
      <c r="AL318" s="390" t="e">
        <f t="array" ref="AL318">IF(AJ318&lt;&gt;"",INDEX(TM_Score1,MATCH(1,(TM_Events=D318)*(TM_Participant1=AJ318)*(TM_Participant2=G318),0)),"")</f>
        <v>#N/A</v>
      </c>
      <c r="AM318" s="389">
        <f t="array" ref="AM318">IF(ISNUMBER(AK318),INDEX(TM_Score2,MATCH(1,(TM_Events=D318)*(TM_Participant1=G318)*(TM_Participant2=AJ318),0)),"")</f>
        <v>22</v>
      </c>
      <c r="AN318" s="389" t="str">
        <f t="array" ref="AN318">IF(ISNUMBER(AL318),INDEX(TM_Score2,MATCH(1,(TM_Events=D318)*(TM_Participant1=AJ318)*(TM_Participant2=G318),0)),"")</f>
        <v/>
      </c>
      <c r="AO318" s="389" t="str">
        <f t="shared" si="136"/>
        <v>Loss</v>
      </c>
      <c r="AP318" s="389">
        <f t="shared" si="137"/>
        <v>5</v>
      </c>
      <c r="AQ318" s="389">
        <f t="shared" si="138"/>
        <v>0</v>
      </c>
      <c r="AR318" s="389">
        <f t="shared" si="139"/>
        <v>1</v>
      </c>
      <c r="AS318" s="453">
        <f t="shared" si="140"/>
        <v>36</v>
      </c>
      <c r="AT318" s="452">
        <f t="shared" si="141"/>
        <v>179</v>
      </c>
    </row>
    <row r="319" spans="1:46" ht="16" x14ac:dyDescent="0.2">
      <c r="A319" s="298"/>
      <c r="B319"/>
      <c r="D319" s="298" t="s">
        <v>73</v>
      </c>
      <c r="F319" s="389">
        <v>1</v>
      </c>
      <c r="G319" s="390" t="s">
        <v>638</v>
      </c>
      <c r="H319" s="387" t="str">
        <f t="shared" si="116"/>
        <v>1-3-0</v>
      </c>
      <c r="I319" s="389">
        <f t="shared" si="117"/>
        <v>2</v>
      </c>
      <c r="J319" s="455">
        <f t="shared" si="142"/>
        <v>0</v>
      </c>
      <c r="K319" s="455" t="str">
        <f t="shared" si="118"/>
        <v/>
      </c>
      <c r="L319" s="455" t="str">
        <f t="shared" si="143"/>
        <v/>
      </c>
      <c r="M319" s="389" t="str">
        <f>IFERROR(IF(AD319&lt;=VLOOKUP(D319,Tournaments!$A$1:$B$1772,2,FALSE),"TRUE","FALSE"),"")</f>
        <v>FALSE</v>
      </c>
      <c r="N319" s="389">
        <v>1</v>
      </c>
      <c r="O319" s="389">
        <f t="shared" si="119"/>
        <v>8</v>
      </c>
      <c r="Q319" s="389">
        <f t="shared" si="120"/>
        <v>1</v>
      </c>
      <c r="R319" s="389">
        <f t="shared" si="121"/>
        <v>3</v>
      </c>
      <c r="S319" s="389">
        <f t="shared" si="122"/>
        <v>0</v>
      </c>
      <c r="U319" s="389">
        <f t="shared" si="123"/>
        <v>8</v>
      </c>
      <c r="V319" s="389">
        <f t="shared" si="124"/>
        <v>1E-4</v>
      </c>
      <c r="W319" s="389">
        <f t="shared" si="125"/>
        <v>-7.9999000000000002</v>
      </c>
      <c r="X319" s="389">
        <f t="shared" si="126"/>
        <v>8</v>
      </c>
      <c r="Y319" s="389" t="b">
        <f t="shared" si="144"/>
        <v>0</v>
      </c>
      <c r="Z319" s="389">
        <f t="shared" si="127"/>
        <v>-8</v>
      </c>
      <c r="AA319" s="389">
        <f t="shared" si="128"/>
        <v>8</v>
      </c>
      <c r="AB319" s="389" t="b">
        <f t="shared" si="129"/>
        <v>0</v>
      </c>
      <c r="AC319" s="389">
        <f t="shared" si="130"/>
        <v>-8</v>
      </c>
      <c r="AD319" s="389">
        <f t="shared" si="131"/>
        <v>8</v>
      </c>
      <c r="AE319" s="389">
        <f t="shared" si="132"/>
        <v>1</v>
      </c>
      <c r="AG319" s="311" t="str">
        <f t="shared" si="133"/>
        <v>Junior A Male Flag Football-</v>
      </c>
      <c r="AH319" s="453">
        <f t="shared" si="134"/>
        <v>7</v>
      </c>
      <c r="AI319" s="453">
        <f t="shared" si="135"/>
        <v>2</v>
      </c>
      <c r="AJ319" t="str">
        <f t="array" ref="AJ319">IF(AND(AI319&gt;1,G319&lt;&gt;""),INDEX(FS_teams,MATCH(1,(FS_Keys=AG319)*(FS_Points=I319)*(FS_teams&lt;&gt;G319),0)),"")</f>
        <v>JR A M - COL 1</v>
      </c>
      <c r="AK319" s="390" t="e">
        <f t="array" ref="AK319">IF(AJ319&lt;&gt;"",INDEX(TM_Score1,MATCH(1,(TM_Events=D319)*(TM_Participant1=G319)*(TM_Participant2=AJ319),0)),"")</f>
        <v>#N/A</v>
      </c>
      <c r="AL319" s="390">
        <f t="array" ref="AL319">IF(AJ319&lt;&gt;"",INDEX(TM_Score1,MATCH(1,(TM_Events=D319)*(TM_Participant1=AJ319)*(TM_Participant2=G319),0)),"")</f>
        <v>28</v>
      </c>
      <c r="AM319" s="389" t="str">
        <f t="array" ref="AM319">IF(ISNUMBER(AK319),INDEX(TM_Score2,MATCH(1,(TM_Events=D319)*(TM_Participant1=G319)*(TM_Participant2=AJ319),0)),"")</f>
        <v/>
      </c>
      <c r="AN319" s="389">
        <f t="array" ref="AN319">IF(ISNUMBER(AL319),INDEX(TM_Score2,MATCH(1,(TM_Events=D319)*(TM_Participant1=AJ319)*(TM_Participant2=G319),0)),"")</f>
        <v>25</v>
      </c>
      <c r="AO319" s="389" t="str">
        <f t="shared" si="136"/>
        <v>Loss</v>
      </c>
      <c r="AP319" s="389">
        <f t="shared" si="137"/>
        <v>1</v>
      </c>
      <c r="AQ319" s="389">
        <f t="shared" si="138"/>
        <v>0</v>
      </c>
      <c r="AR319" s="389">
        <f t="shared" si="139"/>
        <v>3</v>
      </c>
      <c r="AS319" s="453">
        <f t="shared" si="140"/>
        <v>-42</v>
      </c>
      <c r="AT319" s="452">
        <f t="shared" si="141"/>
        <v>71</v>
      </c>
    </row>
    <row r="320" spans="1:46" ht="16" x14ac:dyDescent="0.2">
      <c r="A320" s="298"/>
      <c r="B320"/>
      <c r="D320" s="303" t="s">
        <v>73</v>
      </c>
      <c r="E320" s="396"/>
      <c r="F320" s="387">
        <v>1</v>
      </c>
      <c r="G320" s="397" t="s">
        <v>639</v>
      </c>
      <c r="H320" s="387" t="str">
        <f t="shared" si="116"/>
        <v>1-3-0</v>
      </c>
      <c r="I320" s="389">
        <f t="shared" si="117"/>
        <v>2</v>
      </c>
      <c r="J320" s="455">
        <f t="shared" si="142"/>
        <v>2</v>
      </c>
      <c r="K320" s="455" t="str">
        <f t="shared" si="118"/>
        <v/>
      </c>
      <c r="L320" s="455" t="str">
        <f t="shared" si="143"/>
        <v/>
      </c>
      <c r="M320" s="389" t="str">
        <f>IFERROR(IF(AD320&lt;=VLOOKUP(D320,Tournaments!$A$1:$B$1772,2,FALSE),"TRUE","FALSE"),"")</f>
        <v>FALSE</v>
      </c>
      <c r="N320" s="389">
        <v>1</v>
      </c>
      <c r="O320" s="389">
        <f t="shared" si="119"/>
        <v>7</v>
      </c>
      <c r="Q320" s="389">
        <f t="shared" si="120"/>
        <v>1</v>
      </c>
      <c r="R320" s="389">
        <f t="shared" si="121"/>
        <v>3</v>
      </c>
      <c r="S320" s="389">
        <f t="shared" si="122"/>
        <v>0</v>
      </c>
      <c r="U320" s="389">
        <f t="shared" si="123"/>
        <v>8</v>
      </c>
      <c r="V320" s="389">
        <f t="shared" si="124"/>
        <v>2.1999999999999999E-2</v>
      </c>
      <c r="W320" s="389">
        <f t="shared" si="125"/>
        <v>-7.9779999999999998</v>
      </c>
      <c r="X320" s="389">
        <f t="shared" si="126"/>
        <v>7</v>
      </c>
      <c r="Y320" s="389" t="b">
        <f t="shared" si="144"/>
        <v>0</v>
      </c>
      <c r="Z320" s="389">
        <f t="shared" si="127"/>
        <v>-7</v>
      </c>
      <c r="AA320" s="389">
        <f t="shared" si="128"/>
        <v>7</v>
      </c>
      <c r="AB320" s="389" t="b">
        <f t="shared" si="129"/>
        <v>0</v>
      </c>
      <c r="AC320" s="389">
        <f t="shared" si="130"/>
        <v>-7</v>
      </c>
      <c r="AD320" s="389">
        <f t="shared" si="131"/>
        <v>7</v>
      </c>
      <c r="AE320" s="389">
        <f t="shared" si="132"/>
        <v>1</v>
      </c>
      <c r="AG320" s="311" t="str">
        <f t="shared" si="133"/>
        <v>Junior A Male Flag Football-</v>
      </c>
      <c r="AH320" s="453">
        <f t="shared" si="134"/>
        <v>7</v>
      </c>
      <c r="AI320" s="453">
        <f t="shared" si="135"/>
        <v>2</v>
      </c>
      <c r="AJ320" t="str">
        <f t="array" ref="AJ320">IF(AND(AI320&gt;1,G320&lt;&gt;""),INDEX(FS_teams,MATCH(1,(FS_Keys=AG320)*(FS_Points=I320)*(FS_teams&lt;&gt;G320),0)),"")</f>
        <v>JR A M - ARG 2</v>
      </c>
      <c r="AK320" s="390">
        <f t="array" ref="AK320">IF(AJ320&lt;&gt;"",INDEX(TM_Score1,MATCH(1,(TM_Events=D320)*(TM_Participant1=G320)*(TM_Participant2=AJ320),0)),"")</f>
        <v>28</v>
      </c>
      <c r="AL320" s="390" t="e">
        <f t="array" ref="AL320">IF(AJ320&lt;&gt;"",INDEX(TM_Score1,MATCH(1,(TM_Events=D320)*(TM_Participant1=AJ320)*(TM_Participant2=G320),0)),"")</f>
        <v>#N/A</v>
      </c>
      <c r="AM320" s="389">
        <f t="array" ref="AM320">IF(ISNUMBER(AK320),INDEX(TM_Score2,MATCH(1,(TM_Events=D320)*(TM_Participant1=G320)*(TM_Participant2=AJ320),0)),"")</f>
        <v>25</v>
      </c>
      <c r="AN320" s="389" t="str">
        <f t="array" ref="AN320">IF(ISNUMBER(AL320),INDEX(TM_Score2,MATCH(1,(TM_Events=D320)*(TM_Participant1=AJ320)*(TM_Participant2=G320),0)),"")</f>
        <v/>
      </c>
      <c r="AO320" s="389" t="str">
        <f t="shared" si="136"/>
        <v>Win</v>
      </c>
      <c r="AP320" s="389">
        <f t="shared" si="137"/>
        <v>1</v>
      </c>
      <c r="AQ320" s="389">
        <f t="shared" si="138"/>
        <v>0</v>
      </c>
      <c r="AR320" s="389">
        <f t="shared" si="139"/>
        <v>3</v>
      </c>
      <c r="AS320" s="453">
        <f t="shared" si="140"/>
        <v>-43</v>
      </c>
      <c r="AT320" s="452">
        <f t="shared" si="141"/>
        <v>69</v>
      </c>
    </row>
    <row r="321" spans="1:46" ht="16" x14ac:dyDescent="0.2">
      <c r="A321" s="298"/>
      <c r="B321"/>
      <c r="D321" s="298" t="s">
        <v>73</v>
      </c>
      <c r="F321" s="389">
        <v>1</v>
      </c>
      <c r="G321" s="390" t="s">
        <v>637</v>
      </c>
      <c r="H321" s="387" t="str">
        <f t="shared" si="116"/>
        <v>0-4-0</v>
      </c>
      <c r="I321" s="389">
        <f t="shared" si="117"/>
        <v>0</v>
      </c>
      <c r="J321" s="455">
        <f t="shared" si="142"/>
        <v>1</v>
      </c>
      <c r="K321" s="455">
        <f t="shared" si="118"/>
        <v>-41</v>
      </c>
      <c r="L321" s="455" t="str">
        <f t="shared" si="143"/>
        <v/>
      </c>
      <c r="M321" s="389" t="str">
        <f>IFERROR(IF(AD321&lt;=VLOOKUP(D321,Tournaments!$A$1:$B$1772,2,FALSE),"TRUE","FALSE"),"")</f>
        <v>FALSE</v>
      </c>
      <c r="N321" s="389">
        <v>1</v>
      </c>
      <c r="O321" s="389">
        <f t="shared" si="119"/>
        <v>10</v>
      </c>
      <c r="Q321" s="389">
        <f t="shared" si="120"/>
        <v>0</v>
      </c>
      <c r="R321" s="389">
        <f t="shared" si="121"/>
        <v>4</v>
      </c>
      <c r="S321" s="389">
        <f t="shared" si="122"/>
        <v>0</v>
      </c>
      <c r="U321" s="389">
        <f t="shared" si="123"/>
        <v>10</v>
      </c>
      <c r="V321" s="389">
        <f t="shared" si="124"/>
        <v>2.5000000000000001E-3</v>
      </c>
      <c r="W321" s="389">
        <f t="shared" si="125"/>
        <v>-9.9975000000000005</v>
      </c>
      <c r="X321" s="389">
        <f t="shared" si="126"/>
        <v>10</v>
      </c>
      <c r="Y321" s="389">
        <f t="shared" si="144"/>
        <v>6.9999999999999999E-4</v>
      </c>
      <c r="Z321" s="389">
        <f t="shared" si="127"/>
        <v>-9.9992999999999999</v>
      </c>
      <c r="AA321" s="389">
        <f t="shared" si="128"/>
        <v>10</v>
      </c>
      <c r="AB321" s="389" t="b">
        <f t="shared" si="129"/>
        <v>0</v>
      </c>
      <c r="AC321" s="389">
        <f t="shared" si="130"/>
        <v>-10</v>
      </c>
      <c r="AD321" s="389">
        <f t="shared" si="131"/>
        <v>10</v>
      </c>
      <c r="AE321" s="389">
        <f t="shared" si="132"/>
        <v>2</v>
      </c>
      <c r="AG321" s="311" t="str">
        <f t="shared" si="133"/>
        <v>Junior A Male Flag Football-</v>
      </c>
      <c r="AH321" s="453">
        <f t="shared" si="134"/>
        <v>9</v>
      </c>
      <c r="AI321" s="453">
        <f t="shared" si="135"/>
        <v>2</v>
      </c>
      <c r="AJ321" t="str">
        <f t="array" ref="AJ321">IF(AND(AI321&gt;1,G321&lt;&gt;""),INDEX(FS_teams,MATCH(1,(FS_Keys=AG321)*(FS_Points=I321)*(FS_teams&lt;&gt;G321),0)),"")</f>
        <v>JR A M - VEN 1</v>
      </c>
      <c r="AK321" s="390" t="e">
        <f t="array" ref="AK321">IF(AJ321&lt;&gt;"",INDEX(TM_Score1,MATCH(1,(TM_Events=D321)*(TM_Participant1=G321)*(TM_Participant2=AJ321),0)),"")</f>
        <v>#N/A</v>
      </c>
      <c r="AL321" s="390" t="e">
        <f t="array" ref="AL321">IF(AJ321&lt;&gt;"",INDEX(TM_Score1,MATCH(1,(TM_Events=D321)*(TM_Participant1=AJ321)*(TM_Participant2=G321),0)),"")</f>
        <v>#N/A</v>
      </c>
      <c r="AM321" s="389" t="str">
        <f t="array" ref="AM321">IF(ISNUMBER(AK321),INDEX(TM_Score2,MATCH(1,(TM_Events=D321)*(TM_Participant1=G321)*(TM_Participant2=AJ321),0)),"")</f>
        <v/>
      </c>
      <c r="AN321" s="389" t="str">
        <f t="array" ref="AN321">IF(ISNUMBER(AL321),INDEX(TM_Score2,MATCH(1,(TM_Events=D321)*(TM_Participant1=AJ321)*(TM_Participant2=G321),0)),"")</f>
        <v/>
      </c>
      <c r="AO321" s="389" t="str">
        <f t="shared" si="136"/>
        <v>did not play</v>
      </c>
      <c r="AP321" s="389">
        <f t="shared" si="137"/>
        <v>0</v>
      </c>
      <c r="AQ321" s="389">
        <f t="shared" si="138"/>
        <v>0</v>
      </c>
      <c r="AR321" s="389">
        <f t="shared" si="139"/>
        <v>4</v>
      </c>
      <c r="AS321" s="453">
        <f t="shared" si="140"/>
        <v>-41</v>
      </c>
      <c r="AT321" s="452">
        <f t="shared" si="141"/>
        <v>71</v>
      </c>
    </row>
    <row r="322" spans="1:46" ht="16" x14ac:dyDescent="0.2">
      <c r="A322" s="298"/>
      <c r="B322"/>
      <c r="D322" s="303" t="s">
        <v>73</v>
      </c>
      <c r="E322" s="396"/>
      <c r="F322" s="387">
        <v>1</v>
      </c>
      <c r="G322" s="397" t="s">
        <v>642</v>
      </c>
      <c r="H322" s="387" t="str">
        <f t="shared" si="116"/>
        <v>5-1-0</v>
      </c>
      <c r="I322" s="389">
        <f t="shared" si="117"/>
        <v>10</v>
      </c>
      <c r="J322" s="455">
        <f t="shared" si="142"/>
        <v>2</v>
      </c>
      <c r="K322" s="455" t="str">
        <f t="shared" si="118"/>
        <v/>
      </c>
      <c r="L322" s="455" t="str">
        <f t="shared" si="143"/>
        <v/>
      </c>
      <c r="M322" s="389" t="str">
        <f>IFERROR(IF(AD322&lt;=VLOOKUP(D322,Tournaments!$A$1:$B$1772,2,FALSE),"TRUE","FALSE"),"")</f>
        <v>TRUE</v>
      </c>
      <c r="N322" s="389">
        <v>1</v>
      </c>
      <c r="O322" s="389">
        <f t="shared" si="119"/>
        <v>1</v>
      </c>
      <c r="Q322" s="389">
        <f t="shared" si="120"/>
        <v>5</v>
      </c>
      <c r="R322" s="389">
        <f t="shared" si="121"/>
        <v>1</v>
      </c>
      <c r="S322" s="389">
        <f t="shared" si="122"/>
        <v>0</v>
      </c>
      <c r="U322" s="389">
        <f t="shared" si="123"/>
        <v>2</v>
      </c>
      <c r="V322" s="389">
        <f t="shared" si="124"/>
        <v>2.1999999999999999E-2</v>
      </c>
      <c r="W322" s="389">
        <f t="shared" si="125"/>
        <v>-1.978</v>
      </c>
      <c r="X322" s="389">
        <f t="shared" si="126"/>
        <v>1</v>
      </c>
      <c r="Y322" s="389" t="b">
        <f t="shared" si="144"/>
        <v>0</v>
      </c>
      <c r="Z322" s="389">
        <f t="shared" si="127"/>
        <v>-1</v>
      </c>
      <c r="AA322" s="389">
        <f t="shared" si="128"/>
        <v>1</v>
      </c>
      <c r="AB322" s="389" t="b">
        <f t="shared" si="129"/>
        <v>0</v>
      </c>
      <c r="AC322" s="389">
        <f t="shared" si="130"/>
        <v>-1</v>
      </c>
      <c r="AD322" s="389">
        <f t="shared" si="131"/>
        <v>1</v>
      </c>
      <c r="AE322" s="389">
        <f t="shared" si="132"/>
        <v>1</v>
      </c>
      <c r="AG322" s="311" t="str">
        <f t="shared" si="133"/>
        <v>Junior A Male Flag Football-</v>
      </c>
      <c r="AH322" s="453">
        <f t="shared" si="134"/>
        <v>1</v>
      </c>
      <c r="AI322" s="453">
        <f t="shared" si="135"/>
        <v>2</v>
      </c>
      <c r="AJ322" t="str">
        <f t="array" ref="AJ322">IF(AND(AI322&gt;1,G322&lt;&gt;""),INDEX(FS_teams,MATCH(1,(FS_Keys=AG322)*(FS_Points=I322)*(FS_teams&lt;&gt;G322),0)),"")</f>
        <v>JR A M - MEX 1</v>
      </c>
      <c r="AK322" s="390" t="e">
        <f t="array" ref="AK322">IF(AJ322&lt;&gt;"",INDEX(TM_Score1,MATCH(1,(TM_Events=D322)*(TM_Participant1=G322)*(TM_Participant2=AJ322),0)),"")</f>
        <v>#N/A</v>
      </c>
      <c r="AL322" s="390">
        <f t="array" ref="AL322">IF(AJ322&lt;&gt;"",INDEX(TM_Score1,MATCH(1,(TM_Events=D322)*(TM_Participant1=AJ322)*(TM_Participant2=G322),0)),"")</f>
        <v>19</v>
      </c>
      <c r="AM322" s="389" t="str">
        <f t="array" ref="AM322">IF(ISNUMBER(AK322),INDEX(TM_Score2,MATCH(1,(TM_Events=D322)*(TM_Participant1=G322)*(TM_Participant2=AJ322),0)),"")</f>
        <v/>
      </c>
      <c r="AN322" s="389">
        <f t="array" ref="AN322">IF(ISNUMBER(AL322),INDEX(TM_Score2,MATCH(1,(TM_Events=D322)*(TM_Participant1=AJ322)*(TM_Participant2=G322),0)),"")</f>
        <v>22</v>
      </c>
      <c r="AO322" s="389" t="str">
        <f t="shared" si="136"/>
        <v>Win</v>
      </c>
      <c r="AP322" s="389">
        <f t="shared" si="137"/>
        <v>5</v>
      </c>
      <c r="AQ322" s="389">
        <f t="shared" si="138"/>
        <v>0</v>
      </c>
      <c r="AR322" s="389">
        <f t="shared" si="139"/>
        <v>1</v>
      </c>
      <c r="AS322" s="453">
        <f t="shared" si="140"/>
        <v>52</v>
      </c>
      <c r="AT322" s="452">
        <f t="shared" si="141"/>
        <v>179</v>
      </c>
    </row>
    <row r="323" spans="1:46" ht="16" x14ac:dyDescent="0.2">
      <c r="A323" s="298"/>
      <c r="B323"/>
      <c r="D323" s="303" t="s">
        <v>73</v>
      </c>
      <c r="E323" s="396"/>
      <c r="F323" s="387">
        <v>1</v>
      </c>
      <c r="G323" s="397" t="s">
        <v>720</v>
      </c>
      <c r="H323" s="387" t="str">
        <f t="shared" ref="H323:H386" si="145">Q323&amp;"-"&amp;R323&amp;"-"&amp;S323</f>
        <v>4-1-0</v>
      </c>
      <c r="I323" s="389">
        <f t="shared" ref="I323:I386" si="146">IF(H323&lt;&gt;"0-0-0",Q323*2+S323,0)</f>
        <v>8</v>
      </c>
      <c r="J323" s="455" t="str">
        <f t="shared" si="142"/>
        <v/>
      </c>
      <c r="K323" s="455" t="str">
        <f t="shared" ref="K323:K386" si="147">IF(COUNTIFS(AG:AG,AG323,I:I,I323,J:J,J323)&gt;1,AS323,"")</f>
        <v/>
      </c>
      <c r="L323" s="455" t="str">
        <f t="shared" si="143"/>
        <v/>
      </c>
      <c r="M323" s="389" t="str">
        <f>IFERROR(IF(AD323&lt;=VLOOKUP(D323,Tournaments!$A$1:$B$1772,2,FALSE),"TRUE","FALSE"),"")</f>
        <v>TRUE</v>
      </c>
      <c r="N323" s="389">
        <v>1</v>
      </c>
      <c r="O323" s="389">
        <f t="shared" ref="O323:O386" si="148">AD323</f>
        <v>3</v>
      </c>
      <c r="Q323" s="389">
        <f t="shared" ref="Q323:Q386" si="149">AP323</f>
        <v>4</v>
      </c>
      <c r="R323" s="389">
        <f t="shared" ref="R323:R386" si="150">AR323</f>
        <v>1</v>
      </c>
      <c r="S323" s="389">
        <f t="shared" ref="S323:S386" si="151">AQ323</f>
        <v>0</v>
      </c>
      <c r="U323" s="389">
        <f t="shared" ref="U323:U386" si="152">IF(E323&lt;&gt;"",COUNTIFS($D$3:$D$1001,D323,$E$3:$E$1001,E323,$I$3:$I$1001,"&gt;"&amp;I323)+COUNTIFS($D$3:$D$1001,D323,$E$3:$E$1001,E323,$I$3:$I$1001,I323),COUNTIFS($D$3:$D$1001,D323,$I$3:$I$1001,"&gt;"&amp;I323)+COUNTIFS($D$3:$D$1001,D323,$I$3:$I$1001,I323))</f>
        <v>3</v>
      </c>
      <c r="V323" s="389" t="b">
        <f t="shared" ref="V323:V386" si="153">IFERROR(RANK(J323,$J:$J,1)/10000,FALSE)</f>
        <v>0</v>
      </c>
      <c r="W323" s="389">
        <f t="shared" ref="W323:W386" si="154">V323-U323</f>
        <v>-3</v>
      </c>
      <c r="X323" s="389">
        <f t="shared" ref="X323:X386" si="155">IF(E323&lt;&gt;"",COUNTIFS($D:$D,$D323,$E:$E,$E323,$W:$W,"&gt;"&amp;W323)+COUNTIFS($D:$D,$D323,$E:$E,$E323,$W:$W,W323),COUNTIFS($D:$D,$D323,$W:$W,"&gt;"&amp;W323)+COUNTIFS($D:$D,$D323,$W:$W,W323))</f>
        <v>3</v>
      </c>
      <c r="Y323" s="389" t="b">
        <f t="shared" si="144"/>
        <v>0</v>
      </c>
      <c r="Z323" s="389">
        <f t="shared" ref="Z323:Z386" si="156">Y323-X323</f>
        <v>-3</v>
      </c>
      <c r="AA323" s="389">
        <f t="shared" ref="AA323:AA386" si="157">IF(E323&lt;&gt;"",(COUNTIFS($D:$D,D323,$E:$E,E323,$Z:$Z,"&gt;"&amp;Z323)+COUNTIFS($D:$D,D323,$E:$E,E323,$Z:$Z,Z323)),(COUNTIFS($D:$D,D323,$Z:$Z,"&gt;"&amp;Z323)+COUNTIFS($D:$D,D323,$Z:$Z,Z323)))</f>
        <v>3</v>
      </c>
      <c r="AB323" s="389" t="b">
        <f t="shared" ref="AB323:AB386" si="158">IFERROR(RANK(L323,$L:$L,1)/10000,FALSE)</f>
        <v>0</v>
      </c>
      <c r="AC323" s="389">
        <f t="shared" ref="AC323:AC386" si="159">AB323-AA323</f>
        <v>-3</v>
      </c>
      <c r="AD323" s="389">
        <f t="shared" ref="AD323:AD386" si="160">IF(E323&lt;&gt;"",COUNTIFS($D:$D,$D323,$E:$E,$E323,$AC:$AC,"&gt;"&amp;AC323)+COUNTIFS($D:$D,$D323,$E:$E,$E323,$AC:$AC,AC323),COUNTIFS($D:$D,$D323,$AC:$AC,"&gt;"&amp;AC323)+COUNTIFS($D:$D,$D323,$AC:$AC,AC323))</f>
        <v>3</v>
      </c>
      <c r="AE323" s="389">
        <f t="shared" ref="AE323:AE386" si="161">IF(E323&lt;&gt;"",COUNTIFS($D:$D,D323,$E:$E,E323,$I:$I,I323,$J:$J,J323),COUNTIFS($D:$D,D323,$I:$I,I323,$J:$J,J323))</f>
        <v>1</v>
      </c>
      <c r="AG323" s="311" t="str">
        <f t="shared" ref="AG323:AG386" si="162">D323&amp;"-"&amp;E323</f>
        <v>Junior A Male Flag Football-</v>
      </c>
      <c r="AH323" s="453">
        <f t="shared" ref="AH323:AH386" si="163">IF(G323="","",COUNTIFS(FS_teams,"&lt;&gt;-1",FS_Keys,AG323,FS_Points,"&gt;"&amp;I323)+1)</f>
        <v>3</v>
      </c>
      <c r="AI323" s="453">
        <f t="shared" ref="AI323:AI386" si="164">IF(G323="","",COUNTIFS(FS_Keys,AG323,FS_Rank_on_Points,AH323))</f>
        <v>1</v>
      </c>
      <c r="AJ323" t="str">
        <f t="array" ref="AJ323">IF(AND(AI323&gt;1,G323&lt;&gt;""),INDEX(FS_teams,MATCH(1,(FS_Keys=AG323)*(FS_Points=I323)*(FS_teams&lt;&gt;G323),0)),"")</f>
        <v/>
      </c>
      <c r="AK323" s="390" t="str">
        <f t="array" ref="AK323">IF(AJ323&lt;&gt;"",INDEX(TM_Score1,MATCH(1,(TM_Events=D323)*(TM_Participant1=G323)*(TM_Participant2=AJ323),0)),"")</f>
        <v/>
      </c>
      <c r="AL323" s="390" t="str">
        <f t="array" ref="AL323">IF(AJ323&lt;&gt;"",INDEX(TM_Score1,MATCH(1,(TM_Events=D323)*(TM_Participant1=AJ323)*(TM_Participant2=G323),0)),"")</f>
        <v/>
      </c>
      <c r="AM323" s="389" t="str">
        <f t="array" ref="AM323">IF(ISNUMBER(AK323),INDEX(TM_Score2,MATCH(1,(TM_Events=D323)*(TM_Participant1=G323)*(TM_Participant2=AJ323),0)),"")</f>
        <v/>
      </c>
      <c r="AN323" s="389" t="str">
        <f t="array" ref="AN323">IF(ISNUMBER(AL323),INDEX(TM_Score2,MATCH(1,(TM_Events=D323)*(TM_Participant1=AJ323)*(TM_Participant2=G323),0)),"")</f>
        <v/>
      </c>
      <c r="AO323" s="389" t="str">
        <f t="shared" ref="AO323:AO386" si="165">IF(AJ323="","",IF(ISNUMBER(AK323),IF(AK323&gt;AM323,"Win",IF(AK323=AM323,"Tie",IF(AK323&lt;AM323,"Loss","check"))),IF(ISNUMBER(AL323),IF(AN323&gt;AL323,"Win",IF(AN323=AL323,"Tie",IF(AN323&lt;AL323,"Loss","check"))),IF(AND(ISNA(AK323),ISNA(AL323)),"did not play","check"))))</f>
        <v/>
      </c>
      <c r="AP323" s="389">
        <f t="shared" ref="AP323:AP386" si="166">SUMIFS(TM_W1,TM_Events,D323,TM_Participant1,G323)+SUMIFS(TM_w2,TM_Events,D323,TM_Participant2,G323)</f>
        <v>4</v>
      </c>
      <c r="AQ323" s="389">
        <f t="shared" ref="AQ323:AQ386" si="167">SUMIFS(TM_T1,TM_Events,D323,TM_Participant1,G323)+SUMIFS(TM_T2,TM_Events,D323,TM_Participant2,G323)</f>
        <v>0</v>
      </c>
      <c r="AR323" s="389">
        <f t="shared" ref="AR323:AR386" si="168">SUMIFS(TM_L1,TM_Events,D323,TM_Participant1,G323)+SUMIFS(TM_L2,TM_Events,D323,TM_Participant2,G323)</f>
        <v>1</v>
      </c>
      <c r="AS323" s="453">
        <f t="shared" ref="AS323:AS386" si="169">SUMIFS(Net_1,TM_Events,D323,TM_Participant1,G323)+SUMIFS(Net_2,TM_Events,D323,TM_Participant2,G323)</f>
        <v>50</v>
      </c>
      <c r="AT323" s="452">
        <f t="shared" ref="AT323:AT386" si="170">SUMIFS(Score_1,TM_Events,D323,TM_Participant1,G323)+SUMIFS(Score_2,TM_Events,D323,TM_Participant2,G323)</f>
        <v>178</v>
      </c>
    </row>
    <row r="324" spans="1:46" ht="16" x14ac:dyDescent="0.2">
      <c r="A324" s="298"/>
      <c r="B324"/>
      <c r="D324" s="303" t="s">
        <v>71</v>
      </c>
      <c r="E324" s="396"/>
      <c r="F324" s="387">
        <v>1</v>
      </c>
      <c r="G324" s="397" t="s">
        <v>719</v>
      </c>
      <c r="H324" s="387" t="str">
        <f t="shared" si="145"/>
        <v>0-4-0</v>
      </c>
      <c r="I324" s="389">
        <f t="shared" si="146"/>
        <v>0</v>
      </c>
      <c r="J324" s="455">
        <f t="shared" ref="J324:J387" si="171">IF(E324&lt;&gt;"",IF(COUNTIFS($D:$D,D324,$E:$E,E324,$I:$I,I324)&lt;3,IFERROR(IF(H324&lt;&gt;"0-0-0",IF(AO324&lt;&gt;"",IF(AO324="Win",2,IF(AO324="Loss",0,1)),""),""),""),1),IF(COUNTIFS(D:D,D324,I:I,I324)&lt;3,IFERROR(IF(H324&lt;&gt;"0-0-0",IF(AO324&lt;&gt;"",IF(AO324="Win",2,IF(AO324="Loss",0,1)),""),""),""),1))</f>
        <v>1</v>
      </c>
      <c r="K324" s="455">
        <f t="shared" si="147"/>
        <v>-6</v>
      </c>
      <c r="L324" s="455" t="str">
        <f t="shared" ref="L324:L387" si="172">IF(COUNTIFS(AG:AG,AG324,I:I,I324,J:J,J324,K:K,K324)&gt;1,AT324,"")</f>
        <v/>
      </c>
      <c r="M324" s="389" t="str">
        <f>IFERROR(IF(AD324&lt;=VLOOKUP(D324,Tournaments!$A$1:$B$1772,2,FALSE),"TRUE","FALSE"),"")</f>
        <v>FALSE</v>
      </c>
      <c r="N324" s="389">
        <v>1</v>
      </c>
      <c r="O324" s="389">
        <f t="shared" si="148"/>
        <v>9</v>
      </c>
      <c r="Q324" s="389">
        <f t="shared" si="149"/>
        <v>0</v>
      </c>
      <c r="R324" s="389">
        <f t="shared" si="150"/>
        <v>4</v>
      </c>
      <c r="S324" s="389">
        <f t="shared" si="151"/>
        <v>0</v>
      </c>
      <c r="U324" s="389">
        <f t="shared" si="152"/>
        <v>10</v>
      </c>
      <c r="V324" s="389">
        <f t="shared" si="153"/>
        <v>2.5000000000000001E-3</v>
      </c>
      <c r="W324" s="389">
        <f t="shared" si="154"/>
        <v>-9.9975000000000005</v>
      </c>
      <c r="X324" s="389">
        <f t="shared" si="155"/>
        <v>10</v>
      </c>
      <c r="Y324" s="389">
        <f t="shared" ref="Y324:Y387" si="173">IFERROR(IF(K324&gt;=0,RANK(K324,$K:$K,1)/10000,RANK(K324,$K:$K,1)/10000),FALSE)</f>
        <v>5.5999999999999999E-3</v>
      </c>
      <c r="Z324" s="389">
        <f t="shared" si="156"/>
        <v>-9.9944000000000006</v>
      </c>
      <c r="AA324" s="389">
        <f t="shared" si="157"/>
        <v>9</v>
      </c>
      <c r="AB324" s="389" t="b">
        <f t="shared" si="158"/>
        <v>0</v>
      </c>
      <c r="AC324" s="389">
        <f t="shared" si="159"/>
        <v>-9</v>
      </c>
      <c r="AD324" s="389">
        <f t="shared" si="160"/>
        <v>9</v>
      </c>
      <c r="AE324" s="389">
        <f t="shared" si="161"/>
        <v>3</v>
      </c>
      <c r="AG324" s="311" t="str">
        <f t="shared" si="162"/>
        <v>Junior A Male Mini Soccer-</v>
      </c>
      <c r="AH324" s="453">
        <f t="shared" si="163"/>
        <v>8</v>
      </c>
      <c r="AI324" s="453">
        <f t="shared" si="164"/>
        <v>3</v>
      </c>
      <c r="AJ324" t="str">
        <f t="array" ref="AJ324">IF(AND(AI324&gt;1,G324&lt;&gt;""),INDEX(FS_teams,MATCH(1,(FS_Keys=AG324)*(FS_Points=I324)*(FS_teams&lt;&gt;G324),0)),"")</f>
        <v>JR A M - USA 1</v>
      </c>
      <c r="AK324" s="390" t="e">
        <f t="array" ref="AK324">IF(AJ324&lt;&gt;"",INDEX(TM_Score1,MATCH(1,(TM_Events=D324)*(TM_Participant1=G324)*(TM_Participant2=AJ324),0)),"")</f>
        <v>#N/A</v>
      </c>
      <c r="AL324" s="390" t="e">
        <f t="array" ref="AL324">IF(AJ324&lt;&gt;"",INDEX(TM_Score1,MATCH(1,(TM_Events=D324)*(TM_Participant1=AJ324)*(TM_Participant2=G324),0)),"")</f>
        <v>#N/A</v>
      </c>
      <c r="AM324" s="389" t="str">
        <f t="array" ref="AM324">IF(ISNUMBER(AK324),INDEX(TM_Score2,MATCH(1,(TM_Events=D324)*(TM_Participant1=G324)*(TM_Participant2=AJ324),0)),"")</f>
        <v/>
      </c>
      <c r="AN324" s="389" t="str">
        <f t="array" ref="AN324">IF(ISNUMBER(AL324),INDEX(TM_Score2,MATCH(1,(TM_Events=D324)*(TM_Participant1=AJ324)*(TM_Participant2=G324),0)),"")</f>
        <v/>
      </c>
      <c r="AO324" s="389" t="str">
        <f t="shared" si="165"/>
        <v>did not play</v>
      </c>
      <c r="AP324" s="389">
        <f t="shared" si="166"/>
        <v>0</v>
      </c>
      <c r="AQ324" s="389">
        <f t="shared" si="167"/>
        <v>0</v>
      </c>
      <c r="AR324" s="389">
        <f t="shared" si="168"/>
        <v>4</v>
      </c>
      <c r="AS324" s="453">
        <f t="shared" si="169"/>
        <v>-6</v>
      </c>
      <c r="AT324" s="452">
        <f t="shared" si="170"/>
        <v>6</v>
      </c>
    </row>
    <row r="325" spans="1:46" ht="16" x14ac:dyDescent="0.2">
      <c r="A325" s="298"/>
      <c r="B325"/>
      <c r="D325" s="303" t="s">
        <v>71</v>
      </c>
      <c r="E325" s="396"/>
      <c r="F325" s="387">
        <v>1</v>
      </c>
      <c r="G325" s="397" t="s">
        <v>637</v>
      </c>
      <c r="H325" s="387" t="str">
        <f t="shared" si="145"/>
        <v>5-1-0</v>
      </c>
      <c r="I325" s="389">
        <f t="shared" si="146"/>
        <v>10</v>
      </c>
      <c r="J325" s="455" t="str">
        <f t="shared" si="171"/>
        <v/>
      </c>
      <c r="K325" s="455" t="str">
        <f t="shared" si="147"/>
        <v/>
      </c>
      <c r="L325" s="455" t="str">
        <f t="shared" si="172"/>
        <v/>
      </c>
      <c r="M325" s="389" t="str">
        <f>IFERROR(IF(AD325&lt;=VLOOKUP(D325,Tournaments!$A$1:$B$1772,2,FALSE),"TRUE","FALSE"),"")</f>
        <v>TRUE</v>
      </c>
      <c r="N325" s="389">
        <v>1</v>
      </c>
      <c r="O325" s="389">
        <f t="shared" si="148"/>
        <v>2</v>
      </c>
      <c r="Q325" s="389">
        <f t="shared" si="149"/>
        <v>5</v>
      </c>
      <c r="R325" s="389">
        <f t="shared" si="150"/>
        <v>1</v>
      </c>
      <c r="S325" s="389">
        <f t="shared" si="151"/>
        <v>0</v>
      </c>
      <c r="U325" s="389">
        <f t="shared" si="152"/>
        <v>2</v>
      </c>
      <c r="V325" s="389" t="b">
        <f t="shared" si="153"/>
        <v>0</v>
      </c>
      <c r="W325" s="389">
        <f t="shared" si="154"/>
        <v>-2</v>
      </c>
      <c r="X325" s="389">
        <f t="shared" si="155"/>
        <v>2</v>
      </c>
      <c r="Y325" s="389" t="b">
        <f t="shared" si="173"/>
        <v>0</v>
      </c>
      <c r="Z325" s="389">
        <f t="shared" si="156"/>
        <v>-2</v>
      </c>
      <c r="AA325" s="389">
        <f t="shared" si="157"/>
        <v>2</v>
      </c>
      <c r="AB325" s="389" t="b">
        <f t="shared" si="158"/>
        <v>0</v>
      </c>
      <c r="AC325" s="389">
        <f t="shared" si="159"/>
        <v>-2</v>
      </c>
      <c r="AD325" s="389">
        <f t="shared" si="160"/>
        <v>2</v>
      </c>
      <c r="AE325" s="389">
        <f t="shared" si="161"/>
        <v>1</v>
      </c>
      <c r="AG325" s="311" t="str">
        <f t="shared" si="162"/>
        <v>Junior A Male Mini Soccer-</v>
      </c>
      <c r="AH325" s="453">
        <f t="shared" si="163"/>
        <v>2</v>
      </c>
      <c r="AI325" s="453">
        <f t="shared" si="164"/>
        <v>1</v>
      </c>
      <c r="AJ325" t="str">
        <f t="array" ref="AJ325">IF(AND(AI325&gt;1,G325&lt;&gt;""),INDEX(FS_teams,MATCH(1,(FS_Keys=AG325)*(FS_Points=I325)*(FS_teams&lt;&gt;G325),0)),"")</f>
        <v/>
      </c>
      <c r="AK325" s="390" t="str">
        <f t="array" ref="AK325">IF(AJ325&lt;&gt;"",INDEX(TM_Score1,MATCH(1,(TM_Events=D325)*(TM_Participant1=G325)*(TM_Participant2=AJ325),0)),"")</f>
        <v/>
      </c>
      <c r="AL325" s="390" t="str">
        <f t="array" ref="AL325">IF(AJ325&lt;&gt;"",INDEX(TM_Score1,MATCH(1,(TM_Events=D325)*(TM_Participant1=AJ325)*(TM_Participant2=G325),0)),"")</f>
        <v/>
      </c>
      <c r="AM325" s="389" t="str">
        <f t="array" ref="AM325">IF(ISNUMBER(AK325),INDEX(TM_Score2,MATCH(1,(TM_Events=D325)*(TM_Participant1=G325)*(TM_Participant2=AJ325),0)),"")</f>
        <v/>
      </c>
      <c r="AN325" s="389" t="str">
        <f t="array" ref="AN325">IF(ISNUMBER(AL325),INDEX(TM_Score2,MATCH(1,(TM_Events=D325)*(TM_Participant1=AJ325)*(TM_Participant2=G325),0)),"")</f>
        <v/>
      </c>
      <c r="AO325" s="389" t="str">
        <f t="shared" si="165"/>
        <v/>
      </c>
      <c r="AP325" s="389">
        <f t="shared" si="166"/>
        <v>5</v>
      </c>
      <c r="AQ325" s="389">
        <f t="shared" si="167"/>
        <v>0</v>
      </c>
      <c r="AR325" s="389">
        <f t="shared" si="168"/>
        <v>1</v>
      </c>
      <c r="AS325" s="453">
        <f t="shared" si="169"/>
        <v>11</v>
      </c>
      <c r="AT325" s="452">
        <f t="shared" si="170"/>
        <v>30</v>
      </c>
    </row>
    <row r="326" spans="1:46" ht="16" x14ac:dyDescent="0.2">
      <c r="A326" s="298"/>
      <c r="B326"/>
      <c r="D326" s="298" t="s">
        <v>71</v>
      </c>
      <c r="F326" s="389">
        <v>1</v>
      </c>
      <c r="G326" s="390" t="s">
        <v>638</v>
      </c>
      <c r="H326" s="387" t="str">
        <f t="shared" si="145"/>
        <v>2-2-0</v>
      </c>
      <c r="I326" s="389">
        <f t="shared" si="146"/>
        <v>4</v>
      </c>
      <c r="J326" s="455">
        <f t="shared" si="171"/>
        <v>0</v>
      </c>
      <c r="K326" s="455" t="str">
        <f t="shared" si="147"/>
        <v/>
      </c>
      <c r="L326" s="455" t="str">
        <f t="shared" si="172"/>
        <v/>
      </c>
      <c r="M326" s="389" t="str">
        <f>IFERROR(IF(AD326&lt;=VLOOKUP(D326,Tournaments!$A$1:$B$1772,2,FALSE),"TRUE","FALSE"),"")</f>
        <v>FALSE</v>
      </c>
      <c r="N326" s="389">
        <v>1</v>
      </c>
      <c r="O326" s="389">
        <f t="shared" si="148"/>
        <v>6</v>
      </c>
      <c r="Q326" s="389">
        <f t="shared" si="149"/>
        <v>2</v>
      </c>
      <c r="R326" s="389">
        <f t="shared" si="150"/>
        <v>2</v>
      </c>
      <c r="S326" s="389">
        <f t="shared" si="151"/>
        <v>0</v>
      </c>
      <c r="U326" s="389">
        <f t="shared" si="152"/>
        <v>6</v>
      </c>
      <c r="V326" s="389">
        <f t="shared" si="153"/>
        <v>1E-4</v>
      </c>
      <c r="W326" s="389">
        <f t="shared" si="154"/>
        <v>-5.9999000000000002</v>
      </c>
      <c r="X326" s="389">
        <f t="shared" si="155"/>
        <v>6</v>
      </c>
      <c r="Y326" s="389" t="b">
        <f t="shared" si="173"/>
        <v>0</v>
      </c>
      <c r="Z326" s="389">
        <f t="shared" si="156"/>
        <v>-6</v>
      </c>
      <c r="AA326" s="389">
        <f t="shared" si="157"/>
        <v>6</v>
      </c>
      <c r="AB326" s="389" t="b">
        <f t="shared" si="158"/>
        <v>0</v>
      </c>
      <c r="AC326" s="389">
        <f t="shared" si="159"/>
        <v>-6</v>
      </c>
      <c r="AD326" s="389">
        <f t="shared" si="160"/>
        <v>6</v>
      </c>
      <c r="AE326" s="389">
        <f t="shared" si="161"/>
        <v>1</v>
      </c>
      <c r="AG326" s="311" t="str">
        <f t="shared" si="162"/>
        <v>Junior A Male Mini Soccer-</v>
      </c>
      <c r="AH326" s="453">
        <f t="shared" si="163"/>
        <v>5</v>
      </c>
      <c r="AI326" s="453">
        <f t="shared" si="164"/>
        <v>2</v>
      </c>
      <c r="AJ326" t="str">
        <f t="array" ref="AJ326">IF(AND(AI326&gt;1,G326&lt;&gt;""),INDEX(FS_teams,MATCH(1,(FS_Keys=AG326)*(FS_Points=I326)*(FS_teams&lt;&gt;G326),0)),"")</f>
        <v>JR A M - MEX 2</v>
      </c>
      <c r="AK326" s="390" t="e">
        <f t="array" ref="AK326">IF(AJ326&lt;&gt;"",INDEX(TM_Score1,MATCH(1,(TM_Events=D326)*(TM_Participant1=G326)*(TM_Participant2=AJ326),0)),"")</f>
        <v>#N/A</v>
      </c>
      <c r="AL326" s="390">
        <f t="array" ref="AL326">IF(AJ326&lt;&gt;"",INDEX(TM_Score1,MATCH(1,(TM_Events=D326)*(TM_Participant1=AJ326)*(TM_Participant2=G326),0)),"")</f>
        <v>3</v>
      </c>
      <c r="AM326" s="389" t="str">
        <f t="array" ref="AM326">IF(ISNUMBER(AK326),INDEX(TM_Score2,MATCH(1,(TM_Events=D326)*(TM_Participant1=G326)*(TM_Participant2=AJ326),0)),"")</f>
        <v/>
      </c>
      <c r="AN326" s="389">
        <f t="array" ref="AN326">IF(ISNUMBER(AL326),INDEX(TM_Score2,MATCH(1,(TM_Events=D326)*(TM_Participant1=AJ326)*(TM_Participant2=G326),0)),"")</f>
        <v>2</v>
      </c>
      <c r="AO326" s="389" t="str">
        <f t="shared" si="165"/>
        <v>Loss</v>
      </c>
      <c r="AP326" s="389">
        <f t="shared" si="166"/>
        <v>2</v>
      </c>
      <c r="AQ326" s="389">
        <f t="shared" si="167"/>
        <v>0</v>
      </c>
      <c r="AR326" s="389">
        <f t="shared" si="168"/>
        <v>2</v>
      </c>
      <c r="AS326" s="453">
        <f t="shared" si="169"/>
        <v>2</v>
      </c>
      <c r="AT326" s="452">
        <f t="shared" si="170"/>
        <v>11</v>
      </c>
    </row>
    <row r="327" spans="1:46" ht="16" x14ac:dyDescent="0.2">
      <c r="A327" s="298"/>
      <c r="B327"/>
      <c r="D327" s="303" t="s">
        <v>71</v>
      </c>
      <c r="E327" s="396"/>
      <c r="F327" s="387">
        <v>1</v>
      </c>
      <c r="G327" s="397" t="s">
        <v>645</v>
      </c>
      <c r="H327" s="387" t="str">
        <f t="shared" si="145"/>
        <v>4-1-0</v>
      </c>
      <c r="I327" s="389">
        <f t="shared" si="146"/>
        <v>8</v>
      </c>
      <c r="J327" s="455" t="str">
        <f t="shared" si="171"/>
        <v/>
      </c>
      <c r="K327" s="455" t="str">
        <f t="shared" si="147"/>
        <v/>
      </c>
      <c r="L327" s="455" t="str">
        <f t="shared" si="172"/>
        <v/>
      </c>
      <c r="M327" s="389" t="str">
        <f>IFERROR(IF(AD327&lt;=VLOOKUP(D327,Tournaments!$A$1:$B$1772,2,FALSE),"TRUE","FALSE"),"")</f>
        <v>TRUE</v>
      </c>
      <c r="N327" s="389">
        <v>1</v>
      </c>
      <c r="O327" s="389">
        <f t="shared" si="148"/>
        <v>3</v>
      </c>
      <c r="Q327" s="389">
        <f t="shared" si="149"/>
        <v>4</v>
      </c>
      <c r="R327" s="389">
        <f t="shared" si="150"/>
        <v>1</v>
      </c>
      <c r="S327" s="389">
        <f t="shared" si="151"/>
        <v>0</v>
      </c>
      <c r="U327" s="389">
        <f t="shared" si="152"/>
        <v>3</v>
      </c>
      <c r="V327" s="389" t="b">
        <f t="shared" si="153"/>
        <v>0</v>
      </c>
      <c r="W327" s="389">
        <f t="shared" si="154"/>
        <v>-3</v>
      </c>
      <c r="X327" s="389">
        <f t="shared" si="155"/>
        <v>3</v>
      </c>
      <c r="Y327" s="389" t="b">
        <f t="shared" si="173"/>
        <v>0</v>
      </c>
      <c r="Z327" s="389">
        <f t="shared" si="156"/>
        <v>-3</v>
      </c>
      <c r="AA327" s="389">
        <f t="shared" si="157"/>
        <v>3</v>
      </c>
      <c r="AB327" s="389" t="b">
        <f t="shared" si="158"/>
        <v>0</v>
      </c>
      <c r="AC327" s="389">
        <f t="shared" si="159"/>
        <v>-3</v>
      </c>
      <c r="AD327" s="389">
        <f t="shared" si="160"/>
        <v>3</v>
      </c>
      <c r="AE327" s="389">
        <f t="shared" si="161"/>
        <v>1</v>
      </c>
      <c r="AG327" s="311" t="str">
        <f t="shared" si="162"/>
        <v>Junior A Male Mini Soccer-</v>
      </c>
      <c r="AH327" s="453">
        <f t="shared" si="163"/>
        <v>3</v>
      </c>
      <c r="AI327" s="453">
        <f t="shared" si="164"/>
        <v>1</v>
      </c>
      <c r="AJ327" t="str">
        <f t="array" ref="AJ327">IF(AND(AI327&gt;1,G327&lt;&gt;""),INDEX(FS_teams,MATCH(1,(FS_Keys=AG327)*(FS_Points=I327)*(FS_teams&lt;&gt;G327),0)),"")</f>
        <v/>
      </c>
      <c r="AK327" s="390" t="str">
        <f t="array" ref="AK327">IF(AJ327&lt;&gt;"",INDEX(TM_Score1,MATCH(1,(TM_Events=D327)*(TM_Participant1=G327)*(TM_Participant2=AJ327),0)),"")</f>
        <v/>
      </c>
      <c r="AL327" s="390" t="str">
        <f t="array" ref="AL327">IF(AJ327&lt;&gt;"",INDEX(TM_Score1,MATCH(1,(TM_Events=D327)*(TM_Participant1=AJ327)*(TM_Participant2=G327),0)),"")</f>
        <v/>
      </c>
      <c r="AM327" s="389" t="str">
        <f t="array" ref="AM327">IF(ISNUMBER(AK327),INDEX(TM_Score2,MATCH(1,(TM_Events=D327)*(TM_Participant1=G327)*(TM_Participant2=AJ327),0)),"")</f>
        <v/>
      </c>
      <c r="AN327" s="389" t="str">
        <f t="array" ref="AN327">IF(ISNUMBER(AL327),INDEX(TM_Score2,MATCH(1,(TM_Events=D327)*(TM_Participant1=AJ327)*(TM_Participant2=G327),0)),"")</f>
        <v/>
      </c>
      <c r="AO327" s="389" t="str">
        <f t="shared" si="165"/>
        <v/>
      </c>
      <c r="AP327" s="389">
        <f t="shared" si="166"/>
        <v>4</v>
      </c>
      <c r="AQ327" s="389">
        <f t="shared" si="167"/>
        <v>0</v>
      </c>
      <c r="AR327" s="389">
        <f t="shared" si="168"/>
        <v>1</v>
      </c>
      <c r="AS327" s="453">
        <f t="shared" si="169"/>
        <v>5</v>
      </c>
      <c r="AT327" s="452">
        <f t="shared" si="170"/>
        <v>18</v>
      </c>
    </row>
    <row r="328" spans="1:46" ht="16" x14ac:dyDescent="0.2">
      <c r="A328" s="298"/>
      <c r="B328"/>
      <c r="D328" s="303" t="s">
        <v>71</v>
      </c>
      <c r="E328" s="396"/>
      <c r="F328" s="398">
        <v>1</v>
      </c>
      <c r="G328" s="397" t="s">
        <v>720</v>
      </c>
      <c r="H328" s="387" t="str">
        <f t="shared" si="145"/>
        <v>2-2-0</v>
      </c>
      <c r="I328" s="389">
        <f t="shared" si="146"/>
        <v>4</v>
      </c>
      <c r="J328" s="455">
        <f t="shared" si="171"/>
        <v>2</v>
      </c>
      <c r="K328" s="455" t="str">
        <f t="shared" si="147"/>
        <v/>
      </c>
      <c r="L328" s="455" t="str">
        <f t="shared" si="172"/>
        <v/>
      </c>
      <c r="M328" s="389" t="str">
        <f>IFERROR(IF(AD328&lt;=VLOOKUP(D328,Tournaments!$A$1:$B$1772,2,FALSE),"TRUE","FALSE"),"")</f>
        <v>FALSE</v>
      </c>
      <c r="N328" s="389">
        <v>1</v>
      </c>
      <c r="O328" s="389">
        <f t="shared" si="148"/>
        <v>5</v>
      </c>
      <c r="Q328" s="389">
        <f t="shared" si="149"/>
        <v>2</v>
      </c>
      <c r="R328" s="389">
        <f t="shared" si="150"/>
        <v>2</v>
      </c>
      <c r="S328" s="389">
        <f t="shared" si="151"/>
        <v>0</v>
      </c>
      <c r="U328" s="389">
        <f t="shared" si="152"/>
        <v>6</v>
      </c>
      <c r="V328" s="389">
        <f t="shared" si="153"/>
        <v>2.1999999999999999E-2</v>
      </c>
      <c r="W328" s="389">
        <f t="shared" si="154"/>
        <v>-5.9779999999999998</v>
      </c>
      <c r="X328" s="389">
        <f t="shared" si="155"/>
        <v>5</v>
      </c>
      <c r="Y328" s="389" t="b">
        <f t="shared" si="173"/>
        <v>0</v>
      </c>
      <c r="Z328" s="389">
        <f t="shared" si="156"/>
        <v>-5</v>
      </c>
      <c r="AA328" s="389">
        <f t="shared" si="157"/>
        <v>5</v>
      </c>
      <c r="AB328" s="389" t="b">
        <f t="shared" si="158"/>
        <v>0</v>
      </c>
      <c r="AC328" s="389">
        <f t="shared" si="159"/>
        <v>-5</v>
      </c>
      <c r="AD328" s="389">
        <f t="shared" si="160"/>
        <v>5</v>
      </c>
      <c r="AE328" s="389">
        <f t="shared" si="161"/>
        <v>1</v>
      </c>
      <c r="AG328" s="311" t="str">
        <f t="shared" si="162"/>
        <v>Junior A Male Mini Soccer-</v>
      </c>
      <c r="AH328" s="453">
        <f t="shared" si="163"/>
        <v>5</v>
      </c>
      <c r="AI328" s="453">
        <f t="shared" si="164"/>
        <v>2</v>
      </c>
      <c r="AJ328" t="str">
        <f t="array" ref="AJ328">IF(AND(AI328&gt;1,G328&lt;&gt;""),INDEX(FS_teams,MATCH(1,(FS_Keys=AG328)*(FS_Points=I328)*(FS_teams&lt;&gt;G328),0)),"")</f>
        <v>JR A M - ARG 2</v>
      </c>
      <c r="AK328" s="390">
        <f t="array" ref="AK328">IF(AJ328&lt;&gt;"",INDEX(TM_Score1,MATCH(1,(TM_Events=D328)*(TM_Participant1=G328)*(TM_Participant2=AJ328),0)),"")</f>
        <v>3</v>
      </c>
      <c r="AL328" s="390" t="e">
        <f t="array" ref="AL328">IF(AJ328&lt;&gt;"",INDEX(TM_Score1,MATCH(1,(TM_Events=D328)*(TM_Participant1=AJ328)*(TM_Participant2=G328),0)),"")</f>
        <v>#N/A</v>
      </c>
      <c r="AM328" s="389">
        <f t="array" ref="AM328">IF(ISNUMBER(AK328),INDEX(TM_Score2,MATCH(1,(TM_Events=D328)*(TM_Participant1=G328)*(TM_Participant2=AJ328),0)),"")</f>
        <v>2</v>
      </c>
      <c r="AN328" s="389" t="str">
        <f t="array" ref="AN328">IF(ISNUMBER(AL328),INDEX(TM_Score2,MATCH(1,(TM_Events=D328)*(TM_Participant1=AJ328)*(TM_Participant2=G328),0)),"")</f>
        <v/>
      </c>
      <c r="AO328" s="389" t="str">
        <f t="shared" si="165"/>
        <v>Win</v>
      </c>
      <c r="AP328" s="389">
        <f t="shared" si="166"/>
        <v>2</v>
      </c>
      <c r="AQ328" s="389">
        <f t="shared" si="167"/>
        <v>0</v>
      </c>
      <c r="AR328" s="389">
        <f t="shared" si="168"/>
        <v>2</v>
      </c>
      <c r="AS328" s="453">
        <f t="shared" si="169"/>
        <v>0</v>
      </c>
      <c r="AT328" s="452">
        <f t="shared" si="170"/>
        <v>10</v>
      </c>
    </row>
    <row r="329" spans="1:46" ht="16" x14ac:dyDescent="0.2">
      <c r="A329" s="298"/>
      <c r="B329"/>
      <c r="D329" s="303" t="s">
        <v>71</v>
      </c>
      <c r="E329" s="396"/>
      <c r="F329" s="398">
        <v>1</v>
      </c>
      <c r="G329" s="397" t="s">
        <v>639</v>
      </c>
      <c r="H329" s="387" t="str">
        <f t="shared" si="145"/>
        <v>3-2-0</v>
      </c>
      <c r="I329" s="389">
        <f t="shared" si="146"/>
        <v>6</v>
      </c>
      <c r="J329" s="455" t="str">
        <f t="shared" si="171"/>
        <v/>
      </c>
      <c r="K329" s="455" t="str">
        <f t="shared" si="147"/>
        <v/>
      </c>
      <c r="L329" s="455" t="str">
        <f t="shared" si="172"/>
        <v/>
      </c>
      <c r="M329" s="389" t="str">
        <f>IFERROR(IF(AD329&lt;=VLOOKUP(D329,Tournaments!$A$1:$B$1772,2,FALSE),"TRUE","FALSE"),"")</f>
        <v>TRUE</v>
      </c>
      <c r="N329" s="389">
        <v>1</v>
      </c>
      <c r="O329" s="389">
        <f t="shared" si="148"/>
        <v>4</v>
      </c>
      <c r="Q329" s="389">
        <f t="shared" si="149"/>
        <v>3</v>
      </c>
      <c r="R329" s="389">
        <f t="shared" si="150"/>
        <v>2</v>
      </c>
      <c r="S329" s="389">
        <f t="shared" si="151"/>
        <v>0</v>
      </c>
      <c r="U329" s="389">
        <f t="shared" si="152"/>
        <v>4</v>
      </c>
      <c r="V329" s="389" t="b">
        <f t="shared" si="153"/>
        <v>0</v>
      </c>
      <c r="W329" s="389">
        <f t="shared" si="154"/>
        <v>-4</v>
      </c>
      <c r="X329" s="389">
        <f t="shared" si="155"/>
        <v>4</v>
      </c>
      <c r="Y329" s="389" t="b">
        <f t="shared" si="173"/>
        <v>0</v>
      </c>
      <c r="Z329" s="389">
        <f t="shared" si="156"/>
        <v>-4</v>
      </c>
      <c r="AA329" s="389">
        <f t="shared" si="157"/>
        <v>4</v>
      </c>
      <c r="AB329" s="389" t="b">
        <f t="shared" si="158"/>
        <v>0</v>
      </c>
      <c r="AC329" s="389">
        <f t="shared" si="159"/>
        <v>-4</v>
      </c>
      <c r="AD329" s="389">
        <f t="shared" si="160"/>
        <v>4</v>
      </c>
      <c r="AE329" s="389">
        <f t="shared" si="161"/>
        <v>1</v>
      </c>
      <c r="AG329" s="311" t="str">
        <f t="shared" si="162"/>
        <v>Junior A Male Mini Soccer-</v>
      </c>
      <c r="AH329" s="453">
        <f t="shared" si="163"/>
        <v>4</v>
      </c>
      <c r="AI329" s="453">
        <f t="shared" si="164"/>
        <v>1</v>
      </c>
      <c r="AJ329" t="str">
        <f t="array" ref="AJ329">IF(AND(AI329&gt;1,G329&lt;&gt;""),INDEX(FS_teams,MATCH(1,(FS_Keys=AG329)*(FS_Points=I329)*(FS_teams&lt;&gt;G329),0)),"")</f>
        <v/>
      </c>
      <c r="AK329" s="390" t="str">
        <f t="array" ref="AK329">IF(AJ329&lt;&gt;"",INDEX(TM_Score1,MATCH(1,(TM_Events=D329)*(TM_Participant1=G329)*(TM_Participant2=AJ329),0)),"")</f>
        <v/>
      </c>
      <c r="AL329" s="390" t="str">
        <f t="array" ref="AL329">IF(AJ329&lt;&gt;"",INDEX(TM_Score1,MATCH(1,(TM_Events=D329)*(TM_Participant1=AJ329)*(TM_Participant2=G329),0)),"")</f>
        <v/>
      </c>
      <c r="AM329" s="389" t="str">
        <f t="array" ref="AM329">IF(ISNUMBER(AK329),INDEX(TM_Score2,MATCH(1,(TM_Events=D329)*(TM_Participant1=G329)*(TM_Participant2=AJ329),0)),"")</f>
        <v/>
      </c>
      <c r="AN329" s="389" t="str">
        <f t="array" ref="AN329">IF(ISNUMBER(AL329),INDEX(TM_Score2,MATCH(1,(TM_Events=D329)*(TM_Participant1=AJ329)*(TM_Participant2=G329),0)),"")</f>
        <v/>
      </c>
      <c r="AO329" s="389" t="str">
        <f t="shared" si="165"/>
        <v/>
      </c>
      <c r="AP329" s="389">
        <f t="shared" si="166"/>
        <v>3</v>
      </c>
      <c r="AQ329" s="389">
        <f t="shared" si="167"/>
        <v>0</v>
      </c>
      <c r="AR329" s="389">
        <f t="shared" si="168"/>
        <v>2</v>
      </c>
      <c r="AS329" s="453">
        <f t="shared" si="169"/>
        <v>0</v>
      </c>
      <c r="AT329" s="452">
        <f t="shared" si="170"/>
        <v>12</v>
      </c>
    </row>
    <row r="330" spans="1:46" ht="16" x14ac:dyDescent="0.2">
      <c r="A330" s="298"/>
      <c r="B330"/>
      <c r="D330" s="303" t="s">
        <v>71</v>
      </c>
      <c r="E330" s="396"/>
      <c r="F330" s="398">
        <v>1</v>
      </c>
      <c r="G330" s="397" t="s">
        <v>644</v>
      </c>
      <c r="H330" s="387" t="str">
        <f t="shared" si="145"/>
        <v>1-3-0</v>
      </c>
      <c r="I330" s="389">
        <f t="shared" si="146"/>
        <v>2</v>
      </c>
      <c r="J330" s="455" t="str">
        <f t="shared" si="171"/>
        <v/>
      </c>
      <c r="K330" s="455" t="str">
        <f t="shared" si="147"/>
        <v/>
      </c>
      <c r="L330" s="455" t="str">
        <f t="shared" si="172"/>
        <v/>
      </c>
      <c r="M330" s="389" t="str">
        <f>IFERROR(IF(AD330&lt;=VLOOKUP(D330,Tournaments!$A$1:$B$1772,2,FALSE),"TRUE","FALSE"),"")</f>
        <v>FALSE</v>
      </c>
      <c r="N330" s="389">
        <v>1</v>
      </c>
      <c r="O330" s="389">
        <f t="shared" si="148"/>
        <v>7</v>
      </c>
      <c r="Q330" s="389">
        <f t="shared" si="149"/>
        <v>1</v>
      </c>
      <c r="R330" s="389">
        <f t="shared" si="150"/>
        <v>3</v>
      </c>
      <c r="S330" s="389">
        <f t="shared" si="151"/>
        <v>0</v>
      </c>
      <c r="U330" s="389">
        <f t="shared" si="152"/>
        <v>7</v>
      </c>
      <c r="V330" s="389" t="b">
        <f t="shared" si="153"/>
        <v>0</v>
      </c>
      <c r="W330" s="389">
        <f t="shared" si="154"/>
        <v>-7</v>
      </c>
      <c r="X330" s="389">
        <f t="shared" si="155"/>
        <v>7</v>
      </c>
      <c r="Y330" s="389" t="b">
        <f t="shared" si="173"/>
        <v>0</v>
      </c>
      <c r="Z330" s="389">
        <f t="shared" si="156"/>
        <v>-7</v>
      </c>
      <c r="AA330" s="389">
        <f t="shared" si="157"/>
        <v>7</v>
      </c>
      <c r="AB330" s="389" t="b">
        <f t="shared" si="158"/>
        <v>0</v>
      </c>
      <c r="AC330" s="389">
        <f t="shared" si="159"/>
        <v>-7</v>
      </c>
      <c r="AD330" s="389">
        <f t="shared" si="160"/>
        <v>7</v>
      </c>
      <c r="AE330" s="389">
        <f t="shared" si="161"/>
        <v>1</v>
      </c>
      <c r="AG330" s="311" t="str">
        <f t="shared" si="162"/>
        <v>Junior A Male Mini Soccer-</v>
      </c>
      <c r="AH330" s="453">
        <f t="shared" si="163"/>
        <v>7</v>
      </c>
      <c r="AI330" s="453">
        <f t="shared" si="164"/>
        <v>1</v>
      </c>
      <c r="AJ330" t="str">
        <f t="array" ref="AJ330">IF(AND(AI330&gt;1,G330&lt;&gt;""),INDEX(FS_teams,MATCH(1,(FS_Keys=AG330)*(FS_Points=I330)*(FS_teams&lt;&gt;G330),0)),"")</f>
        <v/>
      </c>
      <c r="AK330" s="390" t="str">
        <f t="array" ref="AK330">IF(AJ330&lt;&gt;"",INDEX(TM_Score1,MATCH(1,(TM_Events=D330)*(TM_Participant1=G330)*(TM_Participant2=AJ330),0)),"")</f>
        <v/>
      </c>
      <c r="AL330" s="390" t="str">
        <f t="array" ref="AL330">IF(AJ330&lt;&gt;"",INDEX(TM_Score1,MATCH(1,(TM_Events=D330)*(TM_Participant1=AJ330)*(TM_Participant2=G330),0)),"")</f>
        <v/>
      </c>
      <c r="AM330" s="389" t="str">
        <f t="array" ref="AM330">IF(ISNUMBER(AK330),INDEX(TM_Score2,MATCH(1,(TM_Events=D330)*(TM_Participant1=G330)*(TM_Participant2=AJ330),0)),"")</f>
        <v/>
      </c>
      <c r="AN330" s="389" t="str">
        <f t="array" ref="AN330">IF(ISNUMBER(AL330),INDEX(TM_Score2,MATCH(1,(TM_Events=D330)*(TM_Participant1=AJ330)*(TM_Participant2=G330),0)),"")</f>
        <v/>
      </c>
      <c r="AO330" s="389" t="str">
        <f t="shared" si="165"/>
        <v/>
      </c>
      <c r="AP330" s="389">
        <f t="shared" si="166"/>
        <v>1</v>
      </c>
      <c r="AQ330" s="389">
        <f t="shared" si="167"/>
        <v>0</v>
      </c>
      <c r="AR330" s="389">
        <f t="shared" si="168"/>
        <v>3</v>
      </c>
      <c r="AS330" s="453">
        <f t="shared" si="169"/>
        <v>-7</v>
      </c>
      <c r="AT330" s="452">
        <f t="shared" si="170"/>
        <v>7</v>
      </c>
    </row>
    <row r="331" spans="1:46" ht="16" x14ac:dyDescent="0.2">
      <c r="A331" s="298"/>
      <c r="B331"/>
      <c r="D331" s="303" t="s">
        <v>71</v>
      </c>
      <c r="E331" s="396"/>
      <c r="F331" s="398">
        <v>1</v>
      </c>
      <c r="G331" s="397" t="s">
        <v>646</v>
      </c>
      <c r="H331" s="387" t="str">
        <f t="shared" si="145"/>
        <v>6-0-0</v>
      </c>
      <c r="I331" s="389">
        <f t="shared" si="146"/>
        <v>12</v>
      </c>
      <c r="J331" s="455" t="str">
        <f t="shared" si="171"/>
        <v/>
      </c>
      <c r="K331" s="455" t="str">
        <f t="shared" si="147"/>
        <v/>
      </c>
      <c r="L331" s="455" t="str">
        <f t="shared" si="172"/>
        <v/>
      </c>
      <c r="M331" s="389" t="str">
        <f>IFERROR(IF(AD331&lt;=VLOOKUP(D331,Tournaments!$A$1:$B$1772,2,FALSE),"TRUE","FALSE"),"")</f>
        <v>TRUE</v>
      </c>
      <c r="N331" s="389">
        <v>1</v>
      </c>
      <c r="O331" s="389">
        <f t="shared" si="148"/>
        <v>1</v>
      </c>
      <c r="Q331" s="389">
        <f t="shared" si="149"/>
        <v>6</v>
      </c>
      <c r="R331" s="389">
        <f t="shared" si="150"/>
        <v>0</v>
      </c>
      <c r="S331" s="389">
        <f t="shared" si="151"/>
        <v>0</v>
      </c>
      <c r="U331" s="389">
        <f t="shared" si="152"/>
        <v>1</v>
      </c>
      <c r="V331" s="389" t="b">
        <f t="shared" si="153"/>
        <v>0</v>
      </c>
      <c r="W331" s="389">
        <f t="shared" si="154"/>
        <v>-1</v>
      </c>
      <c r="X331" s="389">
        <f t="shared" si="155"/>
        <v>1</v>
      </c>
      <c r="Y331" s="389" t="b">
        <f t="shared" si="173"/>
        <v>0</v>
      </c>
      <c r="Z331" s="389">
        <f t="shared" si="156"/>
        <v>-1</v>
      </c>
      <c r="AA331" s="389">
        <f t="shared" si="157"/>
        <v>1</v>
      </c>
      <c r="AB331" s="389" t="b">
        <f t="shared" si="158"/>
        <v>0</v>
      </c>
      <c r="AC331" s="389">
        <f t="shared" si="159"/>
        <v>-1</v>
      </c>
      <c r="AD331" s="389">
        <f t="shared" si="160"/>
        <v>1</v>
      </c>
      <c r="AE331" s="389">
        <f t="shared" si="161"/>
        <v>1</v>
      </c>
      <c r="AG331" s="311" t="str">
        <f t="shared" si="162"/>
        <v>Junior A Male Mini Soccer-</v>
      </c>
      <c r="AH331" s="453">
        <f t="shared" si="163"/>
        <v>1</v>
      </c>
      <c r="AI331" s="453">
        <f t="shared" si="164"/>
        <v>1</v>
      </c>
      <c r="AJ331" t="str">
        <f t="array" ref="AJ331">IF(AND(AI331&gt;1,G331&lt;&gt;""),INDEX(FS_teams,MATCH(1,(FS_Keys=AG331)*(FS_Points=I331)*(FS_teams&lt;&gt;G331),0)),"")</f>
        <v/>
      </c>
      <c r="AK331" s="390" t="str">
        <f t="array" ref="AK331">IF(AJ331&lt;&gt;"",INDEX(TM_Score1,MATCH(1,(TM_Events=D331)*(TM_Participant1=G331)*(TM_Participant2=AJ331),0)),"")</f>
        <v/>
      </c>
      <c r="AL331" s="390" t="str">
        <f t="array" ref="AL331">IF(AJ331&lt;&gt;"",INDEX(TM_Score1,MATCH(1,(TM_Events=D331)*(TM_Participant1=AJ331)*(TM_Participant2=G331),0)),"")</f>
        <v/>
      </c>
      <c r="AM331" s="389" t="str">
        <f t="array" ref="AM331">IF(ISNUMBER(AK331),INDEX(TM_Score2,MATCH(1,(TM_Events=D331)*(TM_Participant1=G331)*(TM_Participant2=AJ331),0)),"")</f>
        <v/>
      </c>
      <c r="AN331" s="389" t="str">
        <f t="array" ref="AN331">IF(ISNUMBER(AL331),INDEX(TM_Score2,MATCH(1,(TM_Events=D331)*(TM_Participant1=AJ331)*(TM_Participant2=G331),0)),"")</f>
        <v/>
      </c>
      <c r="AO331" s="389" t="str">
        <f t="shared" si="165"/>
        <v/>
      </c>
      <c r="AP331" s="389">
        <f t="shared" si="166"/>
        <v>6</v>
      </c>
      <c r="AQ331" s="389">
        <f t="shared" si="167"/>
        <v>0</v>
      </c>
      <c r="AR331" s="389">
        <f t="shared" si="168"/>
        <v>0</v>
      </c>
      <c r="AS331" s="453">
        <f t="shared" si="169"/>
        <v>11</v>
      </c>
      <c r="AT331" s="452">
        <f t="shared" si="170"/>
        <v>23</v>
      </c>
    </row>
    <row r="332" spans="1:46" ht="16" x14ac:dyDescent="0.2">
      <c r="A332" s="298"/>
      <c r="B332"/>
      <c r="D332" s="303" t="s">
        <v>71</v>
      </c>
      <c r="E332" s="396"/>
      <c r="F332" s="387">
        <v>1</v>
      </c>
      <c r="G332" s="397" t="s">
        <v>642</v>
      </c>
      <c r="H332" s="387" t="str">
        <f t="shared" si="145"/>
        <v>0-4-0</v>
      </c>
      <c r="I332" s="389">
        <f t="shared" si="146"/>
        <v>0</v>
      </c>
      <c r="J332" s="455">
        <f t="shared" si="171"/>
        <v>1</v>
      </c>
      <c r="K332" s="455">
        <f t="shared" si="147"/>
        <v>-11</v>
      </c>
      <c r="L332" s="455" t="str">
        <f t="shared" si="172"/>
        <v/>
      </c>
      <c r="M332" s="389" t="str">
        <f>IFERROR(IF(AD332&lt;=VLOOKUP(D332,Tournaments!$A$1:$B$1772,2,FALSE),"TRUE","FALSE"),"")</f>
        <v>FALSE</v>
      </c>
      <c r="N332" s="389">
        <v>1</v>
      </c>
      <c r="O332" s="389">
        <f t="shared" si="148"/>
        <v>10</v>
      </c>
      <c r="Q332" s="389">
        <f t="shared" si="149"/>
        <v>0</v>
      </c>
      <c r="R332" s="389">
        <f t="shared" si="150"/>
        <v>4</v>
      </c>
      <c r="S332" s="389">
        <f t="shared" si="151"/>
        <v>0</v>
      </c>
      <c r="U332" s="389">
        <f t="shared" si="152"/>
        <v>10</v>
      </c>
      <c r="V332" s="389">
        <f t="shared" si="153"/>
        <v>2.5000000000000001E-3</v>
      </c>
      <c r="W332" s="389">
        <f t="shared" si="154"/>
        <v>-9.9975000000000005</v>
      </c>
      <c r="X332" s="389">
        <f t="shared" si="155"/>
        <v>10</v>
      </c>
      <c r="Y332" s="389">
        <f t="shared" si="173"/>
        <v>3.7000000000000002E-3</v>
      </c>
      <c r="Z332" s="389">
        <f t="shared" si="156"/>
        <v>-9.9962999999999997</v>
      </c>
      <c r="AA332" s="389">
        <f t="shared" si="157"/>
        <v>10</v>
      </c>
      <c r="AB332" s="389" t="b">
        <f t="shared" si="158"/>
        <v>0</v>
      </c>
      <c r="AC332" s="389">
        <f t="shared" si="159"/>
        <v>-10</v>
      </c>
      <c r="AD332" s="389">
        <f t="shared" si="160"/>
        <v>10</v>
      </c>
      <c r="AE332" s="389">
        <f t="shared" si="161"/>
        <v>3</v>
      </c>
      <c r="AG332" s="311" t="str">
        <f t="shared" si="162"/>
        <v>Junior A Male Mini Soccer-</v>
      </c>
      <c r="AH332" s="453">
        <f t="shared" si="163"/>
        <v>8</v>
      </c>
      <c r="AI332" s="453">
        <f t="shared" si="164"/>
        <v>3</v>
      </c>
      <c r="AJ332" t="str">
        <f t="array" ref="AJ332">IF(AND(AI332&gt;1,G332&lt;&gt;""),INDEX(FS_teams,MATCH(1,(FS_Keys=AG332)*(FS_Points=I332)*(FS_teams&lt;&gt;G332),0)),"")</f>
        <v>JR A M - MEX 1</v>
      </c>
      <c r="AK332" s="390" t="e">
        <f t="array" ref="AK332">IF(AJ332&lt;&gt;"",INDEX(TM_Score1,MATCH(1,(TM_Events=D332)*(TM_Participant1=G332)*(TM_Participant2=AJ332),0)),"")</f>
        <v>#N/A</v>
      </c>
      <c r="AL332" s="390" t="e">
        <f t="array" ref="AL332">IF(AJ332&lt;&gt;"",INDEX(TM_Score1,MATCH(1,(TM_Events=D332)*(TM_Participant1=AJ332)*(TM_Participant2=G332),0)),"")</f>
        <v>#N/A</v>
      </c>
      <c r="AM332" s="389" t="str">
        <f t="array" ref="AM332">IF(ISNUMBER(AK332),INDEX(TM_Score2,MATCH(1,(TM_Events=D332)*(TM_Participant1=G332)*(TM_Participant2=AJ332),0)),"")</f>
        <v/>
      </c>
      <c r="AN332" s="389" t="str">
        <f t="array" ref="AN332">IF(ISNUMBER(AL332),INDEX(TM_Score2,MATCH(1,(TM_Events=D332)*(TM_Participant1=AJ332)*(TM_Participant2=G332),0)),"")</f>
        <v/>
      </c>
      <c r="AO332" s="389" t="str">
        <f t="shared" si="165"/>
        <v>did not play</v>
      </c>
      <c r="AP332" s="389">
        <f t="shared" si="166"/>
        <v>0</v>
      </c>
      <c r="AQ332" s="389">
        <f t="shared" si="167"/>
        <v>0</v>
      </c>
      <c r="AR332" s="389">
        <f t="shared" si="168"/>
        <v>4</v>
      </c>
      <c r="AS332" s="453">
        <f t="shared" si="169"/>
        <v>-11</v>
      </c>
      <c r="AT332" s="452">
        <f t="shared" si="170"/>
        <v>5</v>
      </c>
    </row>
    <row r="333" spans="1:46" ht="16" x14ac:dyDescent="0.2">
      <c r="A333" s="298"/>
      <c r="B333"/>
      <c r="D333" s="303" t="s">
        <v>71</v>
      </c>
      <c r="E333" s="396"/>
      <c r="F333" s="387">
        <v>1</v>
      </c>
      <c r="G333" s="397" t="s">
        <v>643</v>
      </c>
      <c r="H333" s="387" t="str">
        <f t="shared" si="145"/>
        <v>0-4-0</v>
      </c>
      <c r="I333" s="389">
        <f t="shared" si="146"/>
        <v>0</v>
      </c>
      <c r="J333" s="455">
        <f t="shared" si="171"/>
        <v>1</v>
      </c>
      <c r="K333" s="455">
        <f t="shared" si="147"/>
        <v>-5</v>
      </c>
      <c r="L333" s="455" t="str">
        <f t="shared" si="172"/>
        <v/>
      </c>
      <c r="M333" s="389" t="str">
        <f>IFERROR(IF(AD333&lt;=VLOOKUP(D333,Tournaments!$A$1:$B$1772,2,FALSE),"TRUE","FALSE"),"")</f>
        <v>FALSE</v>
      </c>
      <c r="N333" s="389">
        <v>1</v>
      </c>
      <c r="O333" s="389">
        <f t="shared" si="148"/>
        <v>8</v>
      </c>
      <c r="Q333" s="389">
        <f t="shared" si="149"/>
        <v>0</v>
      </c>
      <c r="R333" s="389">
        <f t="shared" si="150"/>
        <v>4</v>
      </c>
      <c r="S333" s="389">
        <f t="shared" si="151"/>
        <v>0</v>
      </c>
      <c r="U333" s="389">
        <f t="shared" si="152"/>
        <v>10</v>
      </c>
      <c r="V333" s="389">
        <f t="shared" si="153"/>
        <v>2.5000000000000001E-3</v>
      </c>
      <c r="W333" s="389">
        <f t="shared" si="154"/>
        <v>-9.9975000000000005</v>
      </c>
      <c r="X333" s="389">
        <f t="shared" si="155"/>
        <v>10</v>
      </c>
      <c r="Y333" s="389">
        <f t="shared" si="173"/>
        <v>6.4000000000000003E-3</v>
      </c>
      <c r="Z333" s="389">
        <f t="shared" si="156"/>
        <v>-9.9936000000000007</v>
      </c>
      <c r="AA333" s="389">
        <f t="shared" si="157"/>
        <v>8</v>
      </c>
      <c r="AB333" s="389" t="b">
        <f t="shared" si="158"/>
        <v>0</v>
      </c>
      <c r="AC333" s="389">
        <f t="shared" si="159"/>
        <v>-8</v>
      </c>
      <c r="AD333" s="389">
        <f t="shared" si="160"/>
        <v>8</v>
      </c>
      <c r="AE333" s="389">
        <f t="shared" si="161"/>
        <v>3</v>
      </c>
      <c r="AG333" s="311" t="str">
        <f t="shared" si="162"/>
        <v>Junior A Male Mini Soccer-</v>
      </c>
      <c r="AH333" s="453">
        <f t="shared" si="163"/>
        <v>8</v>
      </c>
      <c r="AI333" s="453">
        <f t="shared" si="164"/>
        <v>3</v>
      </c>
      <c r="AJ333" t="str">
        <f t="array" ref="AJ333">IF(AND(AI333&gt;1,G333&lt;&gt;""),INDEX(FS_teams,MATCH(1,(FS_Keys=AG333)*(FS_Points=I333)*(FS_teams&lt;&gt;G333),0)),"")</f>
        <v>JR A M - MEX 1</v>
      </c>
      <c r="AK333" s="390" t="e">
        <f t="array" ref="AK333">IF(AJ333&lt;&gt;"",INDEX(TM_Score1,MATCH(1,(TM_Events=D333)*(TM_Participant1=G333)*(TM_Participant2=AJ333),0)),"")</f>
        <v>#N/A</v>
      </c>
      <c r="AL333" s="390" t="e">
        <f t="array" ref="AL333">IF(AJ333&lt;&gt;"",INDEX(TM_Score1,MATCH(1,(TM_Events=D333)*(TM_Participant1=AJ333)*(TM_Participant2=G333),0)),"")</f>
        <v>#N/A</v>
      </c>
      <c r="AM333" s="389" t="str">
        <f t="array" ref="AM333">IF(ISNUMBER(AK333),INDEX(TM_Score2,MATCH(1,(TM_Events=D333)*(TM_Participant1=G333)*(TM_Participant2=AJ333),0)),"")</f>
        <v/>
      </c>
      <c r="AN333" s="389" t="str">
        <f t="array" ref="AN333">IF(ISNUMBER(AL333),INDEX(TM_Score2,MATCH(1,(TM_Events=D333)*(TM_Participant1=AJ333)*(TM_Participant2=G333),0)),"")</f>
        <v/>
      </c>
      <c r="AO333" s="389" t="str">
        <f t="shared" si="165"/>
        <v>did not play</v>
      </c>
      <c r="AP333" s="389">
        <f t="shared" si="166"/>
        <v>0</v>
      </c>
      <c r="AQ333" s="389">
        <f t="shared" si="167"/>
        <v>0</v>
      </c>
      <c r="AR333" s="389">
        <f t="shared" si="168"/>
        <v>4</v>
      </c>
      <c r="AS333" s="453">
        <f t="shared" si="169"/>
        <v>-5</v>
      </c>
      <c r="AT333" s="452">
        <f t="shared" si="170"/>
        <v>7</v>
      </c>
    </row>
    <row r="334" spans="1:46" ht="16" x14ac:dyDescent="0.2">
      <c r="A334" s="298"/>
      <c r="B334"/>
      <c r="D334" s="303" t="s">
        <v>74</v>
      </c>
      <c r="E334" s="396"/>
      <c r="F334" s="387">
        <v>1</v>
      </c>
      <c r="G334" s="397" t="s">
        <v>637</v>
      </c>
      <c r="H334" s="387" t="str">
        <f t="shared" si="145"/>
        <v>3-2-0</v>
      </c>
      <c r="I334" s="389">
        <f t="shared" si="146"/>
        <v>6</v>
      </c>
      <c r="J334" s="455">
        <f t="shared" si="171"/>
        <v>2</v>
      </c>
      <c r="K334" s="455" t="str">
        <f t="shared" si="147"/>
        <v/>
      </c>
      <c r="L334" s="455" t="str">
        <f t="shared" si="172"/>
        <v/>
      </c>
      <c r="M334" s="389" t="str">
        <f>IFERROR(IF(AD334&lt;=VLOOKUP(D334,Tournaments!$A$1:$B$1772,2,FALSE),"TRUE","FALSE"),"")</f>
        <v>TRUE</v>
      </c>
      <c r="N334" s="389">
        <v>1</v>
      </c>
      <c r="O334" s="389">
        <f t="shared" si="148"/>
        <v>2</v>
      </c>
      <c r="Q334" s="389">
        <f t="shared" si="149"/>
        <v>3</v>
      </c>
      <c r="R334" s="389">
        <f t="shared" si="150"/>
        <v>2</v>
      </c>
      <c r="S334" s="389">
        <f t="shared" si="151"/>
        <v>0</v>
      </c>
      <c r="U334" s="389">
        <f t="shared" si="152"/>
        <v>3</v>
      </c>
      <c r="V334" s="389">
        <f t="shared" si="153"/>
        <v>2.1999999999999999E-2</v>
      </c>
      <c r="W334" s="389">
        <f t="shared" si="154"/>
        <v>-2.9780000000000002</v>
      </c>
      <c r="X334" s="389">
        <f t="shared" si="155"/>
        <v>2</v>
      </c>
      <c r="Y334" s="389" t="b">
        <f t="shared" si="173"/>
        <v>0</v>
      </c>
      <c r="Z334" s="389">
        <f t="shared" si="156"/>
        <v>-2</v>
      </c>
      <c r="AA334" s="389">
        <f t="shared" si="157"/>
        <v>2</v>
      </c>
      <c r="AB334" s="389" t="b">
        <f t="shared" si="158"/>
        <v>0</v>
      </c>
      <c r="AC334" s="389">
        <f t="shared" si="159"/>
        <v>-2</v>
      </c>
      <c r="AD334" s="389">
        <f t="shared" si="160"/>
        <v>2</v>
      </c>
      <c r="AE334" s="389">
        <f t="shared" si="161"/>
        <v>1</v>
      </c>
      <c r="AG334" s="311" t="str">
        <f t="shared" si="162"/>
        <v>Junior A Male Volleyball-</v>
      </c>
      <c r="AH334" s="453">
        <f t="shared" si="163"/>
        <v>2</v>
      </c>
      <c r="AI334" s="453">
        <f t="shared" si="164"/>
        <v>2</v>
      </c>
      <c r="AJ334" t="str">
        <f t="array" ref="AJ334">IF(AND(AI334&gt;1,G334&lt;&gt;""),INDEX(FS_teams,MATCH(1,(FS_Keys=AG334)*(FS_Points=I334)*(FS_teams&lt;&gt;G334),0)),"")</f>
        <v>JR A M - USA 1</v>
      </c>
      <c r="AK334" s="390">
        <f t="array" ref="AK334">IF(AJ334&lt;&gt;"",INDEX(TM_Score1,MATCH(1,(TM_Events=D334)*(TM_Participant1=G334)*(TM_Participant2=AJ334),0)),"")</f>
        <v>2</v>
      </c>
      <c r="AL334" s="390" t="e">
        <f t="array" ref="AL334">IF(AJ334&lt;&gt;"",INDEX(TM_Score1,MATCH(1,(TM_Events=D334)*(TM_Participant1=AJ334)*(TM_Participant2=G334),0)),"")</f>
        <v>#N/A</v>
      </c>
      <c r="AM334" s="389">
        <f t="array" ref="AM334">IF(ISNUMBER(AK334),INDEX(TM_Score2,MATCH(1,(TM_Events=D334)*(TM_Participant1=G334)*(TM_Participant2=AJ334),0)),"")</f>
        <v>1</v>
      </c>
      <c r="AN334" s="389" t="str">
        <f t="array" ref="AN334">IF(ISNUMBER(AL334),INDEX(TM_Score2,MATCH(1,(TM_Events=D334)*(TM_Participant1=AJ334)*(TM_Participant2=G334),0)),"")</f>
        <v/>
      </c>
      <c r="AO334" s="389" t="str">
        <f t="shared" si="165"/>
        <v>Win</v>
      </c>
      <c r="AP334" s="389">
        <f t="shared" si="166"/>
        <v>3</v>
      </c>
      <c r="AQ334" s="389">
        <f t="shared" si="167"/>
        <v>0</v>
      </c>
      <c r="AR334" s="389">
        <f t="shared" si="168"/>
        <v>2</v>
      </c>
      <c r="AS334" s="453">
        <f t="shared" si="169"/>
        <v>-1</v>
      </c>
      <c r="AT334" s="452">
        <f t="shared" si="170"/>
        <v>6</v>
      </c>
    </row>
    <row r="335" spans="1:46" ht="16" x14ac:dyDescent="0.2">
      <c r="A335" s="298"/>
      <c r="B335"/>
      <c r="D335" s="303" t="s">
        <v>74</v>
      </c>
      <c r="E335" s="396"/>
      <c r="F335" s="387">
        <v>1</v>
      </c>
      <c r="G335" s="397" t="s">
        <v>644</v>
      </c>
      <c r="H335" s="387" t="str">
        <f t="shared" si="145"/>
        <v>5-0-0</v>
      </c>
      <c r="I335" s="389">
        <f t="shared" si="146"/>
        <v>10</v>
      </c>
      <c r="J335" s="455" t="str">
        <f t="shared" si="171"/>
        <v/>
      </c>
      <c r="K335" s="455" t="str">
        <f t="shared" si="147"/>
        <v/>
      </c>
      <c r="L335" s="455" t="str">
        <f t="shared" si="172"/>
        <v/>
      </c>
      <c r="M335" s="389" t="str">
        <f>IFERROR(IF(AD335&lt;=VLOOKUP(D335,Tournaments!$A$1:$B$1772,2,FALSE),"TRUE","FALSE"),"")</f>
        <v>TRUE</v>
      </c>
      <c r="N335" s="389">
        <v>1</v>
      </c>
      <c r="O335" s="389">
        <f t="shared" si="148"/>
        <v>1</v>
      </c>
      <c r="Q335" s="389">
        <f t="shared" si="149"/>
        <v>5</v>
      </c>
      <c r="R335" s="389">
        <f t="shared" si="150"/>
        <v>0</v>
      </c>
      <c r="S335" s="389">
        <f t="shared" si="151"/>
        <v>0</v>
      </c>
      <c r="U335" s="389">
        <f t="shared" si="152"/>
        <v>1</v>
      </c>
      <c r="V335" s="389" t="b">
        <f t="shared" si="153"/>
        <v>0</v>
      </c>
      <c r="W335" s="389">
        <f t="shared" si="154"/>
        <v>-1</v>
      </c>
      <c r="X335" s="389">
        <f t="shared" si="155"/>
        <v>1</v>
      </c>
      <c r="Y335" s="389" t="b">
        <f t="shared" si="173"/>
        <v>0</v>
      </c>
      <c r="Z335" s="389">
        <f t="shared" si="156"/>
        <v>-1</v>
      </c>
      <c r="AA335" s="389">
        <f t="shared" si="157"/>
        <v>1</v>
      </c>
      <c r="AB335" s="389" t="b">
        <f t="shared" si="158"/>
        <v>0</v>
      </c>
      <c r="AC335" s="389">
        <f t="shared" si="159"/>
        <v>-1</v>
      </c>
      <c r="AD335" s="389">
        <f t="shared" si="160"/>
        <v>1</v>
      </c>
      <c r="AE335" s="389">
        <f t="shared" si="161"/>
        <v>1</v>
      </c>
      <c r="AG335" s="311" t="str">
        <f t="shared" si="162"/>
        <v>Junior A Male Volleyball-</v>
      </c>
      <c r="AH335" s="453">
        <f t="shared" si="163"/>
        <v>1</v>
      </c>
      <c r="AI335" s="453">
        <f t="shared" si="164"/>
        <v>1</v>
      </c>
      <c r="AJ335" t="str">
        <f t="array" ref="AJ335">IF(AND(AI335&gt;1,G335&lt;&gt;""),INDEX(FS_teams,MATCH(1,(FS_Keys=AG335)*(FS_Points=I335)*(FS_teams&lt;&gt;G335),0)),"")</f>
        <v/>
      </c>
      <c r="AK335" s="390" t="str">
        <f t="array" ref="AK335">IF(AJ335&lt;&gt;"",INDEX(TM_Score1,MATCH(1,(TM_Events=D335)*(TM_Participant1=G335)*(TM_Participant2=AJ335),0)),"")</f>
        <v/>
      </c>
      <c r="AL335" s="390" t="str">
        <f t="array" ref="AL335">IF(AJ335&lt;&gt;"",INDEX(TM_Score1,MATCH(1,(TM_Events=D335)*(TM_Participant1=AJ335)*(TM_Participant2=G335),0)),"")</f>
        <v/>
      </c>
      <c r="AM335" s="389" t="str">
        <f t="array" ref="AM335">IF(ISNUMBER(AK335),INDEX(TM_Score2,MATCH(1,(TM_Events=D335)*(TM_Participant1=G335)*(TM_Participant2=AJ335),0)),"")</f>
        <v/>
      </c>
      <c r="AN335" s="389" t="str">
        <f t="array" ref="AN335">IF(ISNUMBER(AL335),INDEX(TM_Score2,MATCH(1,(TM_Events=D335)*(TM_Participant1=AJ335)*(TM_Participant2=G335),0)),"")</f>
        <v/>
      </c>
      <c r="AO335" s="389" t="str">
        <f t="shared" si="165"/>
        <v/>
      </c>
      <c r="AP335" s="389">
        <f t="shared" si="166"/>
        <v>5</v>
      </c>
      <c r="AQ335" s="389">
        <f t="shared" si="167"/>
        <v>0</v>
      </c>
      <c r="AR335" s="389">
        <f t="shared" si="168"/>
        <v>0</v>
      </c>
      <c r="AS335" s="453">
        <f t="shared" si="169"/>
        <v>9</v>
      </c>
      <c r="AT335" s="452">
        <f t="shared" si="170"/>
        <v>10</v>
      </c>
    </row>
    <row r="336" spans="1:46" ht="16" x14ac:dyDescent="0.2">
      <c r="A336" s="298"/>
      <c r="B336"/>
      <c r="D336" s="303" t="s">
        <v>74</v>
      </c>
      <c r="E336" s="396"/>
      <c r="F336" s="398">
        <v>1</v>
      </c>
      <c r="G336" s="397" t="s">
        <v>646</v>
      </c>
      <c r="H336" s="387" t="str">
        <f t="shared" si="145"/>
        <v>1-3-0</v>
      </c>
      <c r="I336" s="389">
        <f t="shared" si="146"/>
        <v>2</v>
      </c>
      <c r="J336" s="455">
        <f t="shared" si="171"/>
        <v>1</v>
      </c>
      <c r="K336" s="455">
        <f t="shared" si="147"/>
        <v>-3</v>
      </c>
      <c r="L336" s="455">
        <f t="shared" si="172"/>
        <v>3</v>
      </c>
      <c r="M336" s="389" t="str">
        <f>IFERROR(IF(AD336&lt;=VLOOKUP(D336,Tournaments!$A$1:$B$1772,2,FALSE),"TRUE","FALSE"),"")</f>
        <v>FALSE</v>
      </c>
      <c r="N336" s="389">
        <v>1</v>
      </c>
      <c r="O336" s="389">
        <f t="shared" si="148"/>
        <v>8</v>
      </c>
      <c r="Q336" s="389">
        <f t="shared" si="149"/>
        <v>1</v>
      </c>
      <c r="R336" s="389">
        <f t="shared" si="150"/>
        <v>3</v>
      </c>
      <c r="S336" s="389">
        <f t="shared" si="151"/>
        <v>0</v>
      </c>
      <c r="U336" s="389">
        <f t="shared" si="152"/>
        <v>10</v>
      </c>
      <c r="V336" s="389">
        <f t="shared" si="153"/>
        <v>2.5000000000000001E-3</v>
      </c>
      <c r="W336" s="389">
        <f t="shared" si="154"/>
        <v>-9.9975000000000005</v>
      </c>
      <c r="X336" s="389">
        <f t="shared" si="155"/>
        <v>10</v>
      </c>
      <c r="Y336" s="389">
        <f t="shared" si="173"/>
        <v>8.0000000000000002E-3</v>
      </c>
      <c r="Z336" s="389">
        <f t="shared" si="156"/>
        <v>-9.9920000000000009</v>
      </c>
      <c r="AA336" s="389">
        <f t="shared" si="157"/>
        <v>8</v>
      </c>
      <c r="AB336" s="389">
        <f t="shared" si="158"/>
        <v>5.8200000000000002E-2</v>
      </c>
      <c r="AC336" s="389">
        <f t="shared" si="159"/>
        <v>-7.9417999999999997</v>
      </c>
      <c r="AD336" s="389">
        <f t="shared" si="160"/>
        <v>8</v>
      </c>
      <c r="AE336" s="389">
        <f t="shared" si="161"/>
        <v>4</v>
      </c>
      <c r="AG336" s="311" t="str">
        <f t="shared" si="162"/>
        <v>Junior A Male Volleyball-</v>
      </c>
      <c r="AH336" s="453">
        <f t="shared" si="163"/>
        <v>7</v>
      </c>
      <c r="AI336" s="453">
        <f t="shared" si="164"/>
        <v>4</v>
      </c>
      <c r="AJ336" t="str">
        <f t="array" ref="AJ336">IF(AND(AI336&gt;1,G336&lt;&gt;""),INDEX(FS_teams,MATCH(1,(FS_Keys=AG336)*(FS_Points=I336)*(FS_teams&lt;&gt;G336),0)),"")</f>
        <v>JR A M - ARG 2</v>
      </c>
      <c r="AK336" s="390" t="e">
        <f t="array" ref="AK336">IF(AJ336&lt;&gt;"",INDEX(TM_Score1,MATCH(1,(TM_Events=D336)*(TM_Participant1=G336)*(TM_Participant2=AJ336),0)),"")</f>
        <v>#N/A</v>
      </c>
      <c r="AL336" s="390" t="e">
        <f t="array" ref="AL336">IF(AJ336&lt;&gt;"",INDEX(TM_Score1,MATCH(1,(TM_Events=D336)*(TM_Participant1=AJ336)*(TM_Participant2=G336),0)),"")</f>
        <v>#N/A</v>
      </c>
      <c r="AM336" s="389" t="str">
        <f t="array" ref="AM336">IF(ISNUMBER(AK336),INDEX(TM_Score2,MATCH(1,(TM_Events=D336)*(TM_Participant1=G336)*(TM_Participant2=AJ336),0)),"")</f>
        <v/>
      </c>
      <c r="AN336" s="389" t="str">
        <f t="array" ref="AN336">IF(ISNUMBER(AL336),INDEX(TM_Score2,MATCH(1,(TM_Events=D336)*(TM_Participant1=AJ336)*(TM_Participant2=G336),0)),"")</f>
        <v/>
      </c>
      <c r="AO336" s="389" t="str">
        <f t="shared" si="165"/>
        <v>did not play</v>
      </c>
      <c r="AP336" s="389">
        <f t="shared" si="166"/>
        <v>1</v>
      </c>
      <c r="AQ336" s="389">
        <f t="shared" si="167"/>
        <v>0</v>
      </c>
      <c r="AR336" s="389">
        <f t="shared" si="168"/>
        <v>3</v>
      </c>
      <c r="AS336" s="453">
        <f t="shared" si="169"/>
        <v>-3</v>
      </c>
      <c r="AT336" s="452">
        <f t="shared" si="170"/>
        <v>3</v>
      </c>
    </row>
    <row r="337" spans="1:46" ht="16" x14ac:dyDescent="0.2">
      <c r="A337" s="298"/>
      <c r="B337"/>
      <c r="D337" s="303" t="s">
        <v>74</v>
      </c>
      <c r="E337" s="396"/>
      <c r="F337" s="398">
        <v>1</v>
      </c>
      <c r="G337" s="397" t="s">
        <v>639</v>
      </c>
      <c r="H337" s="387" t="str">
        <f t="shared" si="145"/>
        <v>2-2-0</v>
      </c>
      <c r="I337" s="389">
        <f t="shared" si="146"/>
        <v>4</v>
      </c>
      <c r="J337" s="455">
        <f t="shared" si="171"/>
        <v>1</v>
      </c>
      <c r="K337" s="455">
        <f t="shared" si="147"/>
        <v>1</v>
      </c>
      <c r="L337" s="455">
        <f t="shared" si="172"/>
        <v>5</v>
      </c>
      <c r="M337" s="389" t="str">
        <f>IFERROR(IF(AD337&lt;=VLOOKUP(D337,Tournaments!$A$1:$B$1772,2,FALSE),"TRUE","FALSE"),"")</f>
        <v>FALSE</v>
      </c>
      <c r="N337" s="389">
        <v>1</v>
      </c>
      <c r="O337" s="389">
        <f t="shared" si="148"/>
        <v>5</v>
      </c>
      <c r="Q337" s="389">
        <f t="shared" si="149"/>
        <v>2</v>
      </c>
      <c r="R337" s="389">
        <f t="shared" si="150"/>
        <v>2</v>
      </c>
      <c r="S337" s="389">
        <f t="shared" si="151"/>
        <v>0</v>
      </c>
      <c r="U337" s="389">
        <f t="shared" si="152"/>
        <v>6</v>
      </c>
      <c r="V337" s="389">
        <f t="shared" si="153"/>
        <v>2.5000000000000001E-3</v>
      </c>
      <c r="W337" s="389">
        <f t="shared" si="154"/>
        <v>-5.9974999999999996</v>
      </c>
      <c r="X337" s="389">
        <f t="shared" si="155"/>
        <v>6</v>
      </c>
      <c r="Y337" s="389">
        <f t="shared" si="173"/>
        <v>7.0000000000000007E-2</v>
      </c>
      <c r="Z337" s="389">
        <f t="shared" si="156"/>
        <v>-5.93</v>
      </c>
      <c r="AA337" s="389">
        <f t="shared" si="157"/>
        <v>5</v>
      </c>
      <c r="AB337" s="389">
        <f t="shared" si="158"/>
        <v>5.8599999999999999E-2</v>
      </c>
      <c r="AC337" s="389">
        <f t="shared" si="159"/>
        <v>-4.9413999999999998</v>
      </c>
      <c r="AD337" s="389">
        <f t="shared" si="160"/>
        <v>5</v>
      </c>
      <c r="AE337" s="389">
        <f t="shared" si="161"/>
        <v>3</v>
      </c>
      <c r="AG337" s="311" t="str">
        <f t="shared" si="162"/>
        <v>Junior A Male Volleyball-</v>
      </c>
      <c r="AH337" s="453">
        <f t="shared" si="163"/>
        <v>4</v>
      </c>
      <c r="AI337" s="453">
        <f t="shared" si="164"/>
        <v>3</v>
      </c>
      <c r="AJ337" t="str">
        <f t="array" ref="AJ337">IF(AND(AI337&gt;1,G337&lt;&gt;""),INDEX(FS_teams,MATCH(1,(FS_Keys=AG337)*(FS_Points=I337)*(FS_teams&lt;&gt;G337),0)),"")</f>
        <v>JR A M - MEX 1</v>
      </c>
      <c r="AK337" s="390" t="e">
        <f t="array" ref="AK337">IF(AJ337&lt;&gt;"",INDEX(TM_Score1,MATCH(1,(TM_Events=D337)*(TM_Participant1=G337)*(TM_Participant2=AJ337),0)),"")</f>
        <v>#N/A</v>
      </c>
      <c r="AL337" s="390" t="e">
        <f t="array" ref="AL337">IF(AJ337&lt;&gt;"",INDEX(TM_Score1,MATCH(1,(TM_Events=D337)*(TM_Participant1=AJ337)*(TM_Participant2=G337),0)),"")</f>
        <v>#N/A</v>
      </c>
      <c r="AM337" s="389" t="str">
        <f t="array" ref="AM337">IF(ISNUMBER(AK337),INDEX(TM_Score2,MATCH(1,(TM_Events=D337)*(TM_Participant1=G337)*(TM_Participant2=AJ337),0)),"")</f>
        <v/>
      </c>
      <c r="AN337" s="389" t="str">
        <f t="array" ref="AN337">IF(ISNUMBER(AL337),INDEX(TM_Score2,MATCH(1,(TM_Events=D337)*(TM_Participant1=AJ337)*(TM_Participant2=G337),0)),"")</f>
        <v/>
      </c>
      <c r="AO337" s="389" t="str">
        <f t="shared" si="165"/>
        <v>did not play</v>
      </c>
      <c r="AP337" s="389">
        <f t="shared" si="166"/>
        <v>2</v>
      </c>
      <c r="AQ337" s="389">
        <f t="shared" si="167"/>
        <v>0</v>
      </c>
      <c r="AR337" s="389">
        <f t="shared" si="168"/>
        <v>2</v>
      </c>
      <c r="AS337" s="453">
        <f t="shared" si="169"/>
        <v>1</v>
      </c>
      <c r="AT337" s="452">
        <f t="shared" si="170"/>
        <v>5</v>
      </c>
    </row>
    <row r="338" spans="1:46" ht="16" x14ac:dyDescent="0.2">
      <c r="A338" s="298"/>
      <c r="B338"/>
      <c r="D338" s="303" t="s">
        <v>74</v>
      </c>
      <c r="E338" s="396"/>
      <c r="F338" s="387">
        <v>1</v>
      </c>
      <c r="G338" s="397" t="s">
        <v>642</v>
      </c>
      <c r="H338" s="387" t="str">
        <f t="shared" si="145"/>
        <v>3-1-0</v>
      </c>
      <c r="I338" s="389">
        <f t="shared" si="146"/>
        <v>6</v>
      </c>
      <c r="J338" s="455">
        <f t="shared" si="171"/>
        <v>0</v>
      </c>
      <c r="K338" s="455" t="str">
        <f t="shared" si="147"/>
        <v/>
      </c>
      <c r="L338" s="455" t="str">
        <f t="shared" si="172"/>
        <v/>
      </c>
      <c r="M338" s="389" t="str">
        <f>IFERROR(IF(AD338&lt;=VLOOKUP(D338,Tournaments!$A$1:$B$1772,2,FALSE),"TRUE","FALSE"),"")</f>
        <v>FALSE</v>
      </c>
      <c r="N338" s="389">
        <v>1</v>
      </c>
      <c r="O338" s="389">
        <f t="shared" si="148"/>
        <v>3</v>
      </c>
      <c r="Q338" s="389">
        <f t="shared" si="149"/>
        <v>3</v>
      </c>
      <c r="R338" s="389">
        <f t="shared" si="150"/>
        <v>1</v>
      </c>
      <c r="S338" s="389">
        <f t="shared" si="151"/>
        <v>0</v>
      </c>
      <c r="U338" s="389">
        <f t="shared" si="152"/>
        <v>3</v>
      </c>
      <c r="V338" s="389">
        <f t="shared" si="153"/>
        <v>1E-4</v>
      </c>
      <c r="W338" s="389">
        <f t="shared" si="154"/>
        <v>-2.9998999999999998</v>
      </c>
      <c r="X338" s="389">
        <f t="shared" si="155"/>
        <v>3</v>
      </c>
      <c r="Y338" s="389" t="b">
        <f t="shared" si="173"/>
        <v>0</v>
      </c>
      <c r="Z338" s="389">
        <f t="shared" si="156"/>
        <v>-3</v>
      </c>
      <c r="AA338" s="389">
        <f t="shared" si="157"/>
        <v>3</v>
      </c>
      <c r="AB338" s="389" t="b">
        <f t="shared" si="158"/>
        <v>0</v>
      </c>
      <c r="AC338" s="389">
        <f t="shared" si="159"/>
        <v>-3</v>
      </c>
      <c r="AD338" s="389">
        <f t="shared" si="160"/>
        <v>3</v>
      </c>
      <c r="AE338" s="389">
        <f t="shared" si="161"/>
        <v>1</v>
      </c>
      <c r="AG338" s="311" t="str">
        <f t="shared" si="162"/>
        <v>Junior A Male Volleyball-</v>
      </c>
      <c r="AH338" s="453">
        <f t="shared" si="163"/>
        <v>2</v>
      </c>
      <c r="AI338" s="453">
        <f t="shared" si="164"/>
        <v>2</v>
      </c>
      <c r="AJ338" t="str">
        <f t="array" ref="AJ338">IF(AND(AI338&gt;1,G338&lt;&gt;""),INDEX(FS_teams,MATCH(1,(FS_Keys=AG338)*(FS_Points=I338)*(FS_teams&lt;&gt;G338),0)),"")</f>
        <v>JR A M - ARG 1</v>
      </c>
      <c r="AK338" s="390" t="e">
        <f t="array" ref="AK338">IF(AJ338&lt;&gt;"",INDEX(TM_Score1,MATCH(1,(TM_Events=D338)*(TM_Participant1=G338)*(TM_Participant2=AJ338),0)),"")</f>
        <v>#N/A</v>
      </c>
      <c r="AL338" s="390">
        <f t="array" ref="AL338">IF(AJ338&lt;&gt;"",INDEX(TM_Score1,MATCH(1,(TM_Events=D338)*(TM_Participant1=AJ338)*(TM_Participant2=G338),0)),"")</f>
        <v>2</v>
      </c>
      <c r="AM338" s="389" t="str">
        <f t="array" ref="AM338">IF(ISNUMBER(AK338),INDEX(TM_Score2,MATCH(1,(TM_Events=D338)*(TM_Participant1=G338)*(TM_Participant2=AJ338),0)),"")</f>
        <v/>
      </c>
      <c r="AN338" s="389">
        <f t="array" ref="AN338">IF(ISNUMBER(AL338),INDEX(TM_Score2,MATCH(1,(TM_Events=D338)*(TM_Participant1=AJ338)*(TM_Participant2=G338),0)),"")</f>
        <v>1</v>
      </c>
      <c r="AO338" s="389" t="str">
        <f t="shared" si="165"/>
        <v>Loss</v>
      </c>
      <c r="AP338" s="389">
        <f t="shared" si="166"/>
        <v>3</v>
      </c>
      <c r="AQ338" s="389">
        <f t="shared" si="167"/>
        <v>0</v>
      </c>
      <c r="AR338" s="389">
        <f t="shared" si="168"/>
        <v>1</v>
      </c>
      <c r="AS338" s="453">
        <f t="shared" si="169"/>
        <v>5</v>
      </c>
      <c r="AT338" s="452">
        <f t="shared" si="170"/>
        <v>7</v>
      </c>
    </row>
    <row r="339" spans="1:46" ht="16" x14ac:dyDescent="0.2">
      <c r="A339" s="298"/>
      <c r="B339"/>
      <c r="D339" s="298" t="s">
        <v>74</v>
      </c>
      <c r="F339" s="389">
        <v>1</v>
      </c>
      <c r="G339" s="390" t="s">
        <v>719</v>
      </c>
      <c r="H339" s="387" t="str">
        <f t="shared" si="145"/>
        <v>2-2-0</v>
      </c>
      <c r="I339" s="389">
        <f t="shared" si="146"/>
        <v>4</v>
      </c>
      <c r="J339" s="455">
        <f t="shared" si="171"/>
        <v>1</v>
      </c>
      <c r="K339" s="455">
        <f t="shared" si="147"/>
        <v>1</v>
      </c>
      <c r="L339" s="455">
        <f t="shared" si="172"/>
        <v>5</v>
      </c>
      <c r="M339" s="389" t="str">
        <f>IFERROR(IF(AD339&lt;=VLOOKUP(D339,Tournaments!$A$1:$B$1772,2,FALSE),"TRUE","FALSE"),"")</f>
        <v>FALSE</v>
      </c>
      <c r="N339" s="389">
        <v>1</v>
      </c>
      <c r="O339" s="389">
        <f t="shared" si="148"/>
        <v>5</v>
      </c>
      <c r="Q339" s="389">
        <f t="shared" si="149"/>
        <v>2</v>
      </c>
      <c r="R339" s="389">
        <f t="shared" si="150"/>
        <v>2</v>
      </c>
      <c r="S339" s="389">
        <f t="shared" si="151"/>
        <v>0</v>
      </c>
      <c r="U339" s="389">
        <f t="shared" si="152"/>
        <v>6</v>
      </c>
      <c r="V339" s="389">
        <f t="shared" si="153"/>
        <v>2.5000000000000001E-3</v>
      </c>
      <c r="W339" s="389">
        <f t="shared" si="154"/>
        <v>-5.9974999999999996</v>
      </c>
      <c r="X339" s="389">
        <f t="shared" si="155"/>
        <v>6</v>
      </c>
      <c r="Y339" s="389">
        <f t="shared" si="173"/>
        <v>7.0000000000000007E-2</v>
      </c>
      <c r="Z339" s="389">
        <f t="shared" si="156"/>
        <v>-5.93</v>
      </c>
      <c r="AA339" s="389">
        <f t="shared" si="157"/>
        <v>5</v>
      </c>
      <c r="AB339" s="389">
        <f t="shared" si="158"/>
        <v>5.8599999999999999E-2</v>
      </c>
      <c r="AC339" s="389">
        <f t="shared" si="159"/>
        <v>-4.9413999999999998</v>
      </c>
      <c r="AD339" s="389">
        <f t="shared" si="160"/>
        <v>5</v>
      </c>
      <c r="AE339" s="389">
        <f t="shared" si="161"/>
        <v>3</v>
      </c>
      <c r="AG339" s="311" t="str">
        <f t="shared" si="162"/>
        <v>Junior A Male Volleyball-</v>
      </c>
      <c r="AH339" s="453">
        <f t="shared" si="163"/>
        <v>4</v>
      </c>
      <c r="AI339" s="453">
        <f t="shared" si="164"/>
        <v>3</v>
      </c>
      <c r="AJ339" t="str">
        <f t="array" ref="AJ339">IF(AND(AI339&gt;1,G339&lt;&gt;""),INDEX(FS_teams,MATCH(1,(FS_Keys=AG339)*(FS_Points=I339)*(FS_teams&lt;&gt;G339),0)),"")</f>
        <v>JR A M - COL 1</v>
      </c>
      <c r="AK339" s="390" t="e">
        <f t="array" ref="AK339">IF(AJ339&lt;&gt;"",INDEX(TM_Score1,MATCH(1,(TM_Events=D339)*(TM_Participant1=G339)*(TM_Participant2=AJ339),0)),"")</f>
        <v>#N/A</v>
      </c>
      <c r="AL339" s="390" t="e">
        <f t="array" ref="AL339">IF(AJ339&lt;&gt;"",INDEX(TM_Score1,MATCH(1,(TM_Events=D339)*(TM_Participant1=AJ339)*(TM_Participant2=G339),0)),"")</f>
        <v>#N/A</v>
      </c>
      <c r="AM339" s="389" t="str">
        <f t="array" ref="AM339">IF(ISNUMBER(AK339),INDEX(TM_Score2,MATCH(1,(TM_Events=D339)*(TM_Participant1=G339)*(TM_Participant2=AJ339),0)),"")</f>
        <v/>
      </c>
      <c r="AN339" s="389" t="str">
        <f t="array" ref="AN339">IF(ISNUMBER(AL339),INDEX(TM_Score2,MATCH(1,(TM_Events=D339)*(TM_Participant1=AJ339)*(TM_Participant2=G339),0)),"")</f>
        <v/>
      </c>
      <c r="AO339" s="389" t="str">
        <f t="shared" si="165"/>
        <v>did not play</v>
      </c>
      <c r="AP339" s="389">
        <f t="shared" si="166"/>
        <v>2</v>
      </c>
      <c r="AQ339" s="389">
        <f t="shared" si="167"/>
        <v>0</v>
      </c>
      <c r="AR339" s="389">
        <f t="shared" si="168"/>
        <v>2</v>
      </c>
      <c r="AS339" s="453">
        <f t="shared" si="169"/>
        <v>1</v>
      </c>
      <c r="AT339" s="452">
        <f t="shared" si="170"/>
        <v>5</v>
      </c>
    </row>
    <row r="340" spans="1:46" ht="16" x14ac:dyDescent="0.2">
      <c r="A340" s="298"/>
      <c r="B340"/>
      <c r="D340" s="303" t="s">
        <v>74</v>
      </c>
      <c r="E340" s="396"/>
      <c r="F340" s="387">
        <v>1</v>
      </c>
      <c r="G340" s="397" t="s">
        <v>638</v>
      </c>
      <c r="H340" s="387" t="str">
        <f t="shared" si="145"/>
        <v>1-3-0</v>
      </c>
      <c r="I340" s="389">
        <f t="shared" si="146"/>
        <v>2</v>
      </c>
      <c r="J340" s="455">
        <f t="shared" si="171"/>
        <v>1</v>
      </c>
      <c r="K340" s="455">
        <f t="shared" si="147"/>
        <v>-5</v>
      </c>
      <c r="L340" s="455" t="str">
        <f t="shared" si="172"/>
        <v/>
      </c>
      <c r="M340" s="389" t="str">
        <f>IFERROR(IF(AD340&lt;=VLOOKUP(D340,Tournaments!$A$1:$B$1772,2,FALSE),"TRUE","FALSE"),"")</f>
        <v>FALSE</v>
      </c>
      <c r="N340" s="389">
        <v>1</v>
      </c>
      <c r="O340" s="389">
        <f t="shared" si="148"/>
        <v>10</v>
      </c>
      <c r="Q340" s="389">
        <f t="shared" si="149"/>
        <v>1</v>
      </c>
      <c r="R340" s="389">
        <f t="shared" si="150"/>
        <v>3</v>
      </c>
      <c r="S340" s="389">
        <f t="shared" si="151"/>
        <v>0</v>
      </c>
      <c r="U340" s="389">
        <f t="shared" si="152"/>
        <v>10</v>
      </c>
      <c r="V340" s="389">
        <f t="shared" si="153"/>
        <v>2.5000000000000001E-3</v>
      </c>
      <c r="W340" s="389">
        <f t="shared" si="154"/>
        <v>-9.9975000000000005</v>
      </c>
      <c r="X340" s="389">
        <f t="shared" si="155"/>
        <v>10</v>
      </c>
      <c r="Y340" s="389">
        <f t="shared" si="173"/>
        <v>6.4000000000000003E-3</v>
      </c>
      <c r="Z340" s="389">
        <f t="shared" si="156"/>
        <v>-9.9936000000000007</v>
      </c>
      <c r="AA340" s="389">
        <f t="shared" si="157"/>
        <v>10</v>
      </c>
      <c r="AB340" s="389" t="b">
        <f t="shared" si="158"/>
        <v>0</v>
      </c>
      <c r="AC340" s="389">
        <f t="shared" si="159"/>
        <v>-10</v>
      </c>
      <c r="AD340" s="389">
        <f t="shared" si="160"/>
        <v>10</v>
      </c>
      <c r="AE340" s="389">
        <f t="shared" si="161"/>
        <v>4</v>
      </c>
      <c r="AG340" s="311" t="str">
        <f t="shared" si="162"/>
        <v>Junior A Male Volleyball-</v>
      </c>
      <c r="AH340" s="453">
        <f t="shared" si="163"/>
        <v>7</v>
      </c>
      <c r="AI340" s="453">
        <f t="shared" si="164"/>
        <v>4</v>
      </c>
      <c r="AJ340" t="str">
        <f t="array" ref="AJ340">IF(AND(AI340&gt;1,G340&lt;&gt;""),INDEX(FS_teams,MATCH(1,(FS_Keys=AG340)*(FS_Points=I340)*(FS_teams&lt;&gt;G340),0)),"")</f>
        <v>JR A M - VEN 2</v>
      </c>
      <c r="AK340" s="390" t="e">
        <f t="array" ref="AK340">IF(AJ340&lt;&gt;"",INDEX(TM_Score1,MATCH(1,(TM_Events=D340)*(TM_Participant1=G340)*(TM_Participant2=AJ340),0)),"")</f>
        <v>#N/A</v>
      </c>
      <c r="AL340" s="390" t="e">
        <f t="array" ref="AL340">IF(AJ340&lt;&gt;"",INDEX(TM_Score1,MATCH(1,(TM_Events=D340)*(TM_Participant1=AJ340)*(TM_Participant2=G340),0)),"")</f>
        <v>#N/A</v>
      </c>
      <c r="AM340" s="389" t="str">
        <f t="array" ref="AM340">IF(ISNUMBER(AK340),INDEX(TM_Score2,MATCH(1,(TM_Events=D340)*(TM_Participant1=G340)*(TM_Participant2=AJ340),0)),"")</f>
        <v/>
      </c>
      <c r="AN340" s="389" t="str">
        <f t="array" ref="AN340">IF(ISNUMBER(AL340),INDEX(TM_Score2,MATCH(1,(TM_Events=D340)*(TM_Participant1=AJ340)*(TM_Participant2=G340),0)),"")</f>
        <v/>
      </c>
      <c r="AO340" s="389" t="str">
        <f t="shared" si="165"/>
        <v>did not play</v>
      </c>
      <c r="AP340" s="389">
        <f t="shared" si="166"/>
        <v>1</v>
      </c>
      <c r="AQ340" s="389">
        <f t="shared" si="167"/>
        <v>0</v>
      </c>
      <c r="AR340" s="389">
        <f t="shared" si="168"/>
        <v>3</v>
      </c>
      <c r="AS340" s="453">
        <f t="shared" si="169"/>
        <v>-5</v>
      </c>
      <c r="AT340" s="452">
        <f t="shared" si="170"/>
        <v>2</v>
      </c>
    </row>
    <row r="341" spans="1:46" ht="16" x14ac:dyDescent="0.2">
      <c r="A341" s="298"/>
      <c r="B341"/>
      <c r="D341" s="303" t="s">
        <v>74</v>
      </c>
      <c r="E341" s="396"/>
      <c r="F341" s="387">
        <v>1</v>
      </c>
      <c r="G341" s="397" t="s">
        <v>643</v>
      </c>
      <c r="H341" s="387" t="str">
        <f t="shared" si="145"/>
        <v>1-3-0</v>
      </c>
      <c r="I341" s="389">
        <f t="shared" si="146"/>
        <v>2</v>
      </c>
      <c r="J341" s="455">
        <f t="shared" si="171"/>
        <v>1</v>
      </c>
      <c r="K341" s="455">
        <f t="shared" si="147"/>
        <v>-4</v>
      </c>
      <c r="L341" s="455" t="str">
        <f t="shared" si="172"/>
        <v/>
      </c>
      <c r="M341" s="389" t="str">
        <f>IFERROR(IF(AD341&lt;=VLOOKUP(D341,Tournaments!$A$1:$B$1772,2,FALSE),"TRUE","FALSE"),"")</f>
        <v>FALSE</v>
      </c>
      <c r="N341" s="389">
        <v>1</v>
      </c>
      <c r="O341" s="389">
        <f t="shared" si="148"/>
        <v>9</v>
      </c>
      <c r="Q341" s="389">
        <f t="shared" si="149"/>
        <v>1</v>
      </c>
      <c r="R341" s="389">
        <f t="shared" si="150"/>
        <v>3</v>
      </c>
      <c r="S341" s="389">
        <f t="shared" si="151"/>
        <v>0</v>
      </c>
      <c r="U341" s="389">
        <f t="shared" si="152"/>
        <v>10</v>
      </c>
      <c r="V341" s="389">
        <f t="shared" si="153"/>
        <v>2.5000000000000001E-3</v>
      </c>
      <c r="W341" s="389">
        <f t="shared" si="154"/>
        <v>-9.9975000000000005</v>
      </c>
      <c r="X341" s="389">
        <f t="shared" si="155"/>
        <v>10</v>
      </c>
      <c r="Y341" s="389">
        <f t="shared" si="173"/>
        <v>7.3000000000000001E-3</v>
      </c>
      <c r="Z341" s="389">
        <f t="shared" si="156"/>
        <v>-9.9926999999999992</v>
      </c>
      <c r="AA341" s="389">
        <f t="shared" si="157"/>
        <v>9</v>
      </c>
      <c r="AB341" s="389" t="b">
        <f t="shared" si="158"/>
        <v>0</v>
      </c>
      <c r="AC341" s="389">
        <f t="shared" si="159"/>
        <v>-9</v>
      </c>
      <c r="AD341" s="389">
        <f t="shared" si="160"/>
        <v>9</v>
      </c>
      <c r="AE341" s="389">
        <f t="shared" si="161"/>
        <v>4</v>
      </c>
      <c r="AG341" s="311" t="str">
        <f t="shared" si="162"/>
        <v>Junior A Male Volleyball-</v>
      </c>
      <c r="AH341" s="453">
        <f t="shared" si="163"/>
        <v>7</v>
      </c>
      <c r="AI341" s="453">
        <f t="shared" si="164"/>
        <v>4</v>
      </c>
      <c r="AJ341" t="str">
        <f t="array" ref="AJ341">IF(AND(AI341&gt;1,G341&lt;&gt;""),INDEX(FS_teams,MATCH(1,(FS_Keys=AG341)*(FS_Points=I341)*(FS_teams&lt;&gt;G341),0)),"")</f>
        <v>JR A M - VEN 2</v>
      </c>
      <c r="AK341" s="390">
        <f t="array" ref="AK341">IF(AJ341&lt;&gt;"",INDEX(TM_Score1,MATCH(1,(TM_Events=D341)*(TM_Participant1=G341)*(TM_Participant2=AJ341),0)),"")</f>
        <v>2</v>
      </c>
      <c r="AL341" s="390" t="e">
        <f t="array" ref="AL341">IF(AJ341&lt;&gt;"",INDEX(TM_Score1,MATCH(1,(TM_Events=D341)*(TM_Participant1=AJ341)*(TM_Participant2=G341),0)),"")</f>
        <v>#N/A</v>
      </c>
      <c r="AM341" s="389">
        <f t="array" ref="AM341">IF(ISNUMBER(AK341),INDEX(TM_Score2,MATCH(1,(TM_Events=D341)*(TM_Participant1=G341)*(TM_Participant2=AJ341),0)),"")</f>
        <v>0</v>
      </c>
      <c r="AN341" s="389" t="str">
        <f t="array" ref="AN341">IF(ISNUMBER(AL341),INDEX(TM_Score2,MATCH(1,(TM_Events=D341)*(TM_Participant1=AJ341)*(TM_Participant2=G341),0)),"")</f>
        <v/>
      </c>
      <c r="AO341" s="389" t="str">
        <f t="shared" si="165"/>
        <v>Win</v>
      </c>
      <c r="AP341" s="389">
        <f t="shared" si="166"/>
        <v>1</v>
      </c>
      <c r="AQ341" s="389">
        <f t="shared" si="167"/>
        <v>0</v>
      </c>
      <c r="AR341" s="389">
        <f t="shared" si="168"/>
        <v>3</v>
      </c>
      <c r="AS341" s="453">
        <f t="shared" si="169"/>
        <v>-4</v>
      </c>
      <c r="AT341" s="452">
        <f t="shared" si="170"/>
        <v>2</v>
      </c>
    </row>
    <row r="342" spans="1:46" ht="16" x14ac:dyDescent="0.2">
      <c r="A342" s="298"/>
      <c r="B342"/>
      <c r="D342" s="303" t="s">
        <v>74</v>
      </c>
      <c r="E342" s="396"/>
      <c r="F342" s="387">
        <v>1</v>
      </c>
      <c r="G342" s="397" t="s">
        <v>720</v>
      </c>
      <c r="H342" s="387" t="str">
        <f t="shared" si="145"/>
        <v>2-2-0</v>
      </c>
      <c r="I342" s="389">
        <f t="shared" si="146"/>
        <v>4</v>
      </c>
      <c r="J342" s="455">
        <f t="shared" si="171"/>
        <v>1</v>
      </c>
      <c r="K342" s="455">
        <f t="shared" si="147"/>
        <v>0</v>
      </c>
      <c r="L342" s="455" t="str">
        <f t="shared" si="172"/>
        <v/>
      </c>
      <c r="M342" s="389" t="str">
        <f>IFERROR(IF(AD342&lt;=VLOOKUP(D342,Tournaments!$A$1:$B$1772,2,FALSE),"TRUE","FALSE"),"")</f>
        <v>FALSE</v>
      </c>
      <c r="N342" s="389">
        <v>1</v>
      </c>
      <c r="O342" s="389">
        <f t="shared" si="148"/>
        <v>6</v>
      </c>
      <c r="Q342" s="389">
        <f t="shared" si="149"/>
        <v>2</v>
      </c>
      <c r="R342" s="389">
        <f t="shared" si="150"/>
        <v>2</v>
      </c>
      <c r="S342" s="389">
        <f t="shared" si="151"/>
        <v>0</v>
      </c>
      <c r="U342" s="389">
        <f t="shared" si="152"/>
        <v>6</v>
      </c>
      <c r="V342" s="389">
        <f t="shared" si="153"/>
        <v>2.5000000000000001E-3</v>
      </c>
      <c r="W342" s="389">
        <f t="shared" si="154"/>
        <v>-5.9974999999999996</v>
      </c>
      <c r="X342" s="389">
        <f t="shared" si="155"/>
        <v>6</v>
      </c>
      <c r="Y342" s="389">
        <f t="shared" si="173"/>
        <v>1.0999999999999999E-2</v>
      </c>
      <c r="Z342" s="389">
        <f t="shared" si="156"/>
        <v>-5.9889999999999999</v>
      </c>
      <c r="AA342" s="389">
        <f t="shared" si="157"/>
        <v>6</v>
      </c>
      <c r="AB342" s="389" t="b">
        <f t="shared" si="158"/>
        <v>0</v>
      </c>
      <c r="AC342" s="389">
        <f t="shared" si="159"/>
        <v>-6</v>
      </c>
      <c r="AD342" s="389">
        <f t="shared" si="160"/>
        <v>6</v>
      </c>
      <c r="AE342" s="389">
        <f t="shared" si="161"/>
        <v>3</v>
      </c>
      <c r="AG342" s="311" t="str">
        <f t="shared" si="162"/>
        <v>Junior A Male Volleyball-</v>
      </c>
      <c r="AH342" s="453">
        <f t="shared" si="163"/>
        <v>4</v>
      </c>
      <c r="AI342" s="453">
        <f t="shared" si="164"/>
        <v>3</v>
      </c>
      <c r="AJ342" t="str">
        <f t="array" ref="AJ342">IF(AND(AI342&gt;1,G342&lt;&gt;""),INDEX(FS_teams,MATCH(1,(FS_Keys=AG342)*(FS_Points=I342)*(FS_teams&lt;&gt;G342),0)),"")</f>
        <v>JR A M - COL 1</v>
      </c>
      <c r="AK342" s="390" t="e">
        <f t="array" ref="AK342">IF(AJ342&lt;&gt;"",INDEX(TM_Score1,MATCH(1,(TM_Events=D342)*(TM_Participant1=G342)*(TM_Participant2=AJ342),0)),"")</f>
        <v>#N/A</v>
      </c>
      <c r="AL342" s="390" t="e">
        <f t="array" ref="AL342">IF(AJ342&lt;&gt;"",INDEX(TM_Score1,MATCH(1,(TM_Events=D342)*(TM_Participant1=AJ342)*(TM_Participant2=G342),0)),"")</f>
        <v>#N/A</v>
      </c>
      <c r="AM342" s="389" t="str">
        <f t="array" ref="AM342">IF(ISNUMBER(AK342),INDEX(TM_Score2,MATCH(1,(TM_Events=D342)*(TM_Participant1=G342)*(TM_Participant2=AJ342),0)),"")</f>
        <v/>
      </c>
      <c r="AN342" s="389" t="str">
        <f t="array" ref="AN342">IF(ISNUMBER(AL342),INDEX(TM_Score2,MATCH(1,(TM_Events=D342)*(TM_Participant1=AJ342)*(TM_Participant2=G342),0)),"")</f>
        <v/>
      </c>
      <c r="AO342" s="389" t="str">
        <f t="shared" si="165"/>
        <v>did not play</v>
      </c>
      <c r="AP342" s="389">
        <f t="shared" si="166"/>
        <v>2</v>
      </c>
      <c r="AQ342" s="389">
        <f t="shared" si="167"/>
        <v>0</v>
      </c>
      <c r="AR342" s="389">
        <f t="shared" si="168"/>
        <v>2</v>
      </c>
      <c r="AS342" s="453">
        <f t="shared" si="169"/>
        <v>0</v>
      </c>
      <c r="AT342" s="452">
        <f t="shared" si="170"/>
        <v>4</v>
      </c>
    </row>
    <row r="343" spans="1:46" ht="16" x14ac:dyDescent="0.2">
      <c r="A343" s="298"/>
      <c r="B343"/>
      <c r="D343" s="303" t="s">
        <v>74</v>
      </c>
      <c r="E343" s="396"/>
      <c r="F343" s="387">
        <v>1</v>
      </c>
      <c r="G343" s="397" t="s">
        <v>645</v>
      </c>
      <c r="H343" s="387" t="str">
        <f t="shared" si="145"/>
        <v>1-3-0</v>
      </c>
      <c r="I343" s="389">
        <f t="shared" si="146"/>
        <v>2</v>
      </c>
      <c r="J343" s="455">
        <f t="shared" si="171"/>
        <v>1</v>
      </c>
      <c r="K343" s="455">
        <f t="shared" si="147"/>
        <v>-3</v>
      </c>
      <c r="L343" s="455">
        <f t="shared" si="172"/>
        <v>3</v>
      </c>
      <c r="M343" s="389" t="str">
        <f>IFERROR(IF(AD343&lt;=VLOOKUP(D343,Tournaments!$A$1:$B$1772,2,FALSE),"TRUE","FALSE"),"")</f>
        <v>FALSE</v>
      </c>
      <c r="N343" s="389">
        <v>1</v>
      </c>
      <c r="O343" s="389">
        <f t="shared" si="148"/>
        <v>8</v>
      </c>
      <c r="Q343" s="389">
        <f t="shared" si="149"/>
        <v>1</v>
      </c>
      <c r="R343" s="389">
        <f t="shared" si="150"/>
        <v>3</v>
      </c>
      <c r="S343" s="389">
        <f t="shared" si="151"/>
        <v>0</v>
      </c>
      <c r="U343" s="389">
        <f t="shared" si="152"/>
        <v>10</v>
      </c>
      <c r="V343" s="389">
        <f t="shared" si="153"/>
        <v>2.5000000000000001E-3</v>
      </c>
      <c r="W343" s="389">
        <f t="shared" si="154"/>
        <v>-9.9975000000000005</v>
      </c>
      <c r="X343" s="389">
        <f t="shared" si="155"/>
        <v>10</v>
      </c>
      <c r="Y343" s="389">
        <f t="shared" si="173"/>
        <v>8.0000000000000002E-3</v>
      </c>
      <c r="Z343" s="389">
        <f t="shared" si="156"/>
        <v>-9.9920000000000009</v>
      </c>
      <c r="AA343" s="389">
        <f t="shared" si="157"/>
        <v>8</v>
      </c>
      <c r="AB343" s="389">
        <f t="shared" si="158"/>
        <v>5.8200000000000002E-2</v>
      </c>
      <c r="AC343" s="389">
        <f t="shared" si="159"/>
        <v>-7.9417999999999997</v>
      </c>
      <c r="AD343" s="389">
        <f t="shared" si="160"/>
        <v>8</v>
      </c>
      <c r="AE343" s="389">
        <f t="shared" si="161"/>
        <v>4</v>
      </c>
      <c r="AG343" s="311" t="str">
        <f t="shared" si="162"/>
        <v>Junior A Male Volleyball-</v>
      </c>
      <c r="AH343" s="453">
        <f t="shared" si="163"/>
        <v>7</v>
      </c>
      <c r="AI343" s="453">
        <f t="shared" si="164"/>
        <v>4</v>
      </c>
      <c r="AJ343" t="str">
        <f t="array" ref="AJ343">IF(AND(AI343&gt;1,G343&lt;&gt;""),INDEX(FS_teams,MATCH(1,(FS_Keys=AG343)*(FS_Points=I343)*(FS_teams&lt;&gt;G343),0)),"")</f>
        <v>JR A M - VEN 2</v>
      </c>
      <c r="AK343" s="390">
        <f t="array" ref="AK343">IF(AJ343&lt;&gt;"",INDEX(TM_Score1,MATCH(1,(TM_Events=D343)*(TM_Participant1=G343)*(TM_Participant2=AJ343),0)),"")</f>
        <v>0</v>
      </c>
      <c r="AL343" s="390" t="e">
        <f t="array" ref="AL343">IF(AJ343&lt;&gt;"",INDEX(TM_Score1,MATCH(1,(TM_Events=D343)*(TM_Participant1=AJ343)*(TM_Participant2=G343),0)),"")</f>
        <v>#N/A</v>
      </c>
      <c r="AM343" s="389">
        <f t="array" ref="AM343">IF(ISNUMBER(AK343),INDEX(TM_Score2,MATCH(1,(TM_Events=D343)*(TM_Participant1=G343)*(TM_Participant2=AJ343),0)),"")</f>
        <v>2</v>
      </c>
      <c r="AN343" s="389" t="str">
        <f t="array" ref="AN343">IF(ISNUMBER(AL343),INDEX(TM_Score2,MATCH(1,(TM_Events=D343)*(TM_Participant1=AJ343)*(TM_Participant2=G343),0)),"")</f>
        <v/>
      </c>
      <c r="AO343" s="389" t="str">
        <f t="shared" si="165"/>
        <v>Loss</v>
      </c>
      <c r="AP343" s="389">
        <f t="shared" si="166"/>
        <v>1</v>
      </c>
      <c r="AQ343" s="389">
        <f t="shared" si="167"/>
        <v>0</v>
      </c>
      <c r="AR343" s="389">
        <f t="shared" si="168"/>
        <v>3</v>
      </c>
      <c r="AS343" s="453">
        <f t="shared" si="169"/>
        <v>-3</v>
      </c>
      <c r="AT343" s="452">
        <f t="shared" si="170"/>
        <v>3</v>
      </c>
    </row>
    <row r="344" spans="1:46" ht="16" x14ac:dyDescent="0.2">
      <c r="A344" s="298"/>
      <c r="B344"/>
      <c r="D344" s="303" t="s">
        <v>76</v>
      </c>
      <c r="E344" s="396" t="s">
        <v>722</v>
      </c>
      <c r="F344" s="387">
        <v>1</v>
      </c>
      <c r="G344" s="397" t="s">
        <v>655</v>
      </c>
      <c r="H344" s="387" t="str">
        <f t="shared" si="145"/>
        <v>0-3-0</v>
      </c>
      <c r="I344" s="389">
        <f t="shared" si="146"/>
        <v>0</v>
      </c>
      <c r="J344" s="455" t="str">
        <f t="shared" si="171"/>
        <v/>
      </c>
      <c r="K344" s="455" t="str">
        <f t="shared" si="147"/>
        <v/>
      </c>
      <c r="L344" s="455" t="str">
        <f t="shared" si="172"/>
        <v/>
      </c>
      <c r="M344" s="389" t="str">
        <f>IFERROR(IF(AD344&lt;=VLOOKUP(D344,Tournaments!$A$1:$B$1772,2,FALSE),"TRUE","FALSE"),"")</f>
        <v>FALSE</v>
      </c>
      <c r="N344" s="389">
        <v>1</v>
      </c>
      <c r="O344" s="389">
        <f t="shared" si="148"/>
        <v>4</v>
      </c>
      <c r="Q344" s="389">
        <f t="shared" si="149"/>
        <v>0</v>
      </c>
      <c r="R344" s="389">
        <f t="shared" si="150"/>
        <v>3</v>
      </c>
      <c r="S344" s="389">
        <f t="shared" si="151"/>
        <v>0</v>
      </c>
      <c r="U344" s="389">
        <f t="shared" si="152"/>
        <v>4</v>
      </c>
      <c r="V344" s="389" t="b">
        <f t="shared" si="153"/>
        <v>0</v>
      </c>
      <c r="W344" s="389">
        <f t="shared" si="154"/>
        <v>-4</v>
      </c>
      <c r="X344" s="389">
        <f t="shared" si="155"/>
        <v>4</v>
      </c>
      <c r="Y344" s="389" t="b">
        <f t="shared" si="173"/>
        <v>0</v>
      </c>
      <c r="Z344" s="389">
        <f t="shared" si="156"/>
        <v>-4</v>
      </c>
      <c r="AA344" s="389">
        <f t="shared" si="157"/>
        <v>4</v>
      </c>
      <c r="AB344" s="389" t="b">
        <f t="shared" si="158"/>
        <v>0</v>
      </c>
      <c r="AC344" s="389">
        <f t="shared" si="159"/>
        <v>-4</v>
      </c>
      <c r="AD344" s="389">
        <f t="shared" si="160"/>
        <v>4</v>
      </c>
      <c r="AE344" s="389">
        <f t="shared" si="161"/>
        <v>1</v>
      </c>
      <c r="AG344" s="311" t="str">
        <f t="shared" si="162"/>
        <v>Junior B Male Basketball-Pool A</v>
      </c>
      <c r="AH344" s="453">
        <f t="shared" si="163"/>
        <v>4</v>
      </c>
      <c r="AI344" s="453">
        <f t="shared" si="164"/>
        <v>1</v>
      </c>
      <c r="AJ344" t="str">
        <f t="array" ref="AJ344">IF(AND(AI344&gt;1,G344&lt;&gt;""),INDEX(FS_teams,MATCH(1,(FS_Keys=AG344)*(FS_Points=I344)*(FS_teams&lt;&gt;G344),0)),"")</f>
        <v/>
      </c>
      <c r="AK344" s="390" t="str">
        <f t="array" ref="AK344">IF(AJ344&lt;&gt;"",INDEX(TM_Score1,MATCH(1,(TM_Events=D344)*(TM_Participant1=G344)*(TM_Participant2=AJ344),0)),"")</f>
        <v/>
      </c>
      <c r="AL344" s="390" t="str">
        <f t="array" ref="AL344">IF(AJ344&lt;&gt;"",INDEX(TM_Score1,MATCH(1,(TM_Events=D344)*(TM_Participant1=AJ344)*(TM_Participant2=G344),0)),"")</f>
        <v/>
      </c>
      <c r="AM344" s="389" t="str">
        <f t="array" ref="AM344">IF(ISNUMBER(AK344),INDEX(TM_Score2,MATCH(1,(TM_Events=D344)*(TM_Participant1=G344)*(TM_Participant2=AJ344),0)),"")</f>
        <v/>
      </c>
      <c r="AN344" s="389" t="str">
        <f t="array" ref="AN344">IF(ISNUMBER(AL344),INDEX(TM_Score2,MATCH(1,(TM_Events=D344)*(TM_Participant1=AJ344)*(TM_Participant2=G344),0)),"")</f>
        <v/>
      </c>
      <c r="AO344" s="389" t="str">
        <f t="shared" si="165"/>
        <v/>
      </c>
      <c r="AP344" s="389">
        <f t="shared" si="166"/>
        <v>0</v>
      </c>
      <c r="AQ344" s="389">
        <f t="shared" si="167"/>
        <v>0</v>
      </c>
      <c r="AR344" s="389">
        <f t="shared" si="168"/>
        <v>3</v>
      </c>
      <c r="AS344" s="453">
        <f t="shared" si="169"/>
        <v>-34</v>
      </c>
      <c r="AT344" s="452">
        <f t="shared" si="170"/>
        <v>78</v>
      </c>
    </row>
    <row r="345" spans="1:46" ht="16" x14ac:dyDescent="0.2">
      <c r="A345" s="298"/>
      <c r="B345"/>
      <c r="D345" s="303" t="s">
        <v>76</v>
      </c>
      <c r="E345" s="396" t="s">
        <v>722</v>
      </c>
      <c r="F345" s="387">
        <v>1</v>
      </c>
      <c r="G345" s="397" t="s">
        <v>654</v>
      </c>
      <c r="H345" s="387" t="str">
        <f t="shared" si="145"/>
        <v>1-2-0</v>
      </c>
      <c r="I345" s="389">
        <f t="shared" si="146"/>
        <v>2</v>
      </c>
      <c r="J345" s="455" t="str">
        <f t="shared" si="171"/>
        <v/>
      </c>
      <c r="K345" s="455" t="str">
        <f t="shared" si="147"/>
        <v/>
      </c>
      <c r="L345" s="455" t="str">
        <f t="shared" si="172"/>
        <v/>
      </c>
      <c r="M345" s="389" t="str">
        <f>IFERROR(IF(AD345&lt;=VLOOKUP(D345,Tournaments!$A$1:$B$1772,2,FALSE),"TRUE","FALSE"),"")</f>
        <v>FALSE</v>
      </c>
      <c r="N345" s="389">
        <v>1</v>
      </c>
      <c r="O345" s="389">
        <f t="shared" si="148"/>
        <v>3</v>
      </c>
      <c r="Q345" s="389">
        <f t="shared" si="149"/>
        <v>1</v>
      </c>
      <c r="R345" s="389">
        <f t="shared" si="150"/>
        <v>2</v>
      </c>
      <c r="S345" s="389">
        <f t="shared" si="151"/>
        <v>0</v>
      </c>
      <c r="U345" s="389">
        <f t="shared" si="152"/>
        <v>3</v>
      </c>
      <c r="V345" s="389" t="b">
        <f t="shared" si="153"/>
        <v>0</v>
      </c>
      <c r="W345" s="389">
        <f t="shared" si="154"/>
        <v>-3</v>
      </c>
      <c r="X345" s="389">
        <f t="shared" si="155"/>
        <v>3</v>
      </c>
      <c r="Y345" s="389" t="b">
        <f t="shared" si="173"/>
        <v>0</v>
      </c>
      <c r="Z345" s="389">
        <f t="shared" si="156"/>
        <v>-3</v>
      </c>
      <c r="AA345" s="389">
        <f t="shared" si="157"/>
        <v>3</v>
      </c>
      <c r="AB345" s="389" t="b">
        <f t="shared" si="158"/>
        <v>0</v>
      </c>
      <c r="AC345" s="389">
        <f t="shared" si="159"/>
        <v>-3</v>
      </c>
      <c r="AD345" s="389">
        <f t="shared" si="160"/>
        <v>3</v>
      </c>
      <c r="AE345" s="389">
        <f t="shared" si="161"/>
        <v>1</v>
      </c>
      <c r="AG345" s="311" t="str">
        <f t="shared" si="162"/>
        <v>Junior B Male Basketball-Pool A</v>
      </c>
      <c r="AH345" s="453">
        <f t="shared" si="163"/>
        <v>3</v>
      </c>
      <c r="AI345" s="453">
        <f t="shared" si="164"/>
        <v>1</v>
      </c>
      <c r="AJ345" t="str">
        <f t="array" ref="AJ345">IF(AND(AI345&gt;1,G345&lt;&gt;""),INDEX(FS_teams,MATCH(1,(FS_Keys=AG345)*(FS_Points=I345)*(FS_teams&lt;&gt;G345),0)),"")</f>
        <v/>
      </c>
      <c r="AK345" s="390" t="str">
        <f t="array" ref="AK345">IF(AJ345&lt;&gt;"",INDEX(TM_Score1,MATCH(1,(TM_Events=D345)*(TM_Participant1=G345)*(TM_Participant2=AJ345),0)),"")</f>
        <v/>
      </c>
      <c r="AL345" s="390" t="str">
        <f t="array" ref="AL345">IF(AJ345&lt;&gt;"",INDEX(TM_Score1,MATCH(1,(TM_Events=D345)*(TM_Participant1=AJ345)*(TM_Participant2=G345),0)),"")</f>
        <v/>
      </c>
      <c r="AM345" s="389" t="str">
        <f t="array" ref="AM345">IF(ISNUMBER(AK345),INDEX(TM_Score2,MATCH(1,(TM_Events=D345)*(TM_Participant1=G345)*(TM_Participant2=AJ345),0)),"")</f>
        <v/>
      </c>
      <c r="AN345" s="389" t="str">
        <f t="array" ref="AN345">IF(ISNUMBER(AL345),INDEX(TM_Score2,MATCH(1,(TM_Events=D345)*(TM_Participant1=AJ345)*(TM_Participant2=G345),0)),"")</f>
        <v/>
      </c>
      <c r="AO345" s="389" t="str">
        <f t="shared" si="165"/>
        <v/>
      </c>
      <c r="AP345" s="389">
        <f t="shared" si="166"/>
        <v>1</v>
      </c>
      <c r="AQ345" s="389">
        <f t="shared" si="167"/>
        <v>0</v>
      </c>
      <c r="AR345" s="389">
        <f t="shared" si="168"/>
        <v>2</v>
      </c>
      <c r="AS345" s="453">
        <f t="shared" si="169"/>
        <v>10</v>
      </c>
      <c r="AT345" s="452">
        <f t="shared" si="170"/>
        <v>112</v>
      </c>
    </row>
    <row r="346" spans="1:46" ht="16" x14ac:dyDescent="0.2">
      <c r="A346" s="298"/>
      <c r="B346"/>
      <c r="D346" s="303" t="s">
        <v>76</v>
      </c>
      <c r="E346" s="396" t="s">
        <v>722</v>
      </c>
      <c r="F346" s="387">
        <v>1</v>
      </c>
      <c r="G346" s="397" t="s">
        <v>656</v>
      </c>
      <c r="H346" s="387" t="str">
        <f t="shared" si="145"/>
        <v>2-2-0</v>
      </c>
      <c r="I346" s="389">
        <f t="shared" si="146"/>
        <v>4</v>
      </c>
      <c r="J346" s="455" t="str">
        <f t="shared" si="171"/>
        <v/>
      </c>
      <c r="K346" s="455" t="str">
        <f t="shared" si="147"/>
        <v/>
      </c>
      <c r="L346" s="455" t="str">
        <f t="shared" si="172"/>
        <v/>
      </c>
      <c r="M346" s="389" t="str">
        <f>IFERROR(IF(AD346&lt;=VLOOKUP(D346,Tournaments!$A$1:$B$1772,2,FALSE),"TRUE","FALSE"),"")</f>
        <v>TRUE</v>
      </c>
      <c r="N346" s="389">
        <v>1</v>
      </c>
      <c r="O346" s="389">
        <f t="shared" si="148"/>
        <v>2</v>
      </c>
      <c r="Q346" s="389">
        <f t="shared" si="149"/>
        <v>2</v>
      </c>
      <c r="R346" s="389">
        <f t="shared" si="150"/>
        <v>2</v>
      </c>
      <c r="S346" s="389">
        <f t="shared" si="151"/>
        <v>0</v>
      </c>
      <c r="U346" s="389">
        <f t="shared" si="152"/>
        <v>2</v>
      </c>
      <c r="V346" s="389" t="b">
        <f t="shared" si="153"/>
        <v>0</v>
      </c>
      <c r="W346" s="389">
        <f t="shared" si="154"/>
        <v>-2</v>
      </c>
      <c r="X346" s="389">
        <f t="shared" si="155"/>
        <v>2</v>
      </c>
      <c r="Y346" s="389" t="b">
        <f t="shared" si="173"/>
        <v>0</v>
      </c>
      <c r="Z346" s="389">
        <f t="shared" si="156"/>
        <v>-2</v>
      </c>
      <c r="AA346" s="389">
        <f t="shared" si="157"/>
        <v>2</v>
      </c>
      <c r="AB346" s="389" t="b">
        <f t="shared" si="158"/>
        <v>0</v>
      </c>
      <c r="AC346" s="389">
        <f t="shared" si="159"/>
        <v>-2</v>
      </c>
      <c r="AD346" s="389">
        <f t="shared" si="160"/>
        <v>2</v>
      </c>
      <c r="AE346" s="389">
        <f t="shared" si="161"/>
        <v>1</v>
      </c>
      <c r="AG346" s="311" t="str">
        <f t="shared" si="162"/>
        <v>Junior B Male Basketball-Pool A</v>
      </c>
      <c r="AH346" s="453">
        <f t="shared" si="163"/>
        <v>2</v>
      </c>
      <c r="AI346" s="453">
        <f t="shared" si="164"/>
        <v>1</v>
      </c>
      <c r="AJ346" t="str">
        <f t="array" ref="AJ346">IF(AND(AI346&gt;1,G346&lt;&gt;""),INDEX(FS_teams,MATCH(1,(FS_Keys=AG346)*(FS_Points=I346)*(FS_teams&lt;&gt;G346),0)),"")</f>
        <v/>
      </c>
      <c r="AK346" s="390" t="str">
        <f t="array" ref="AK346">IF(AJ346&lt;&gt;"",INDEX(TM_Score1,MATCH(1,(TM_Events=D346)*(TM_Participant1=G346)*(TM_Participant2=AJ346),0)),"")</f>
        <v/>
      </c>
      <c r="AL346" s="390" t="str">
        <f t="array" ref="AL346">IF(AJ346&lt;&gt;"",INDEX(TM_Score1,MATCH(1,(TM_Events=D346)*(TM_Participant1=AJ346)*(TM_Participant2=G346),0)),"")</f>
        <v/>
      </c>
      <c r="AM346" s="389" t="str">
        <f t="array" ref="AM346">IF(ISNUMBER(AK346),INDEX(TM_Score2,MATCH(1,(TM_Events=D346)*(TM_Participant1=G346)*(TM_Participant2=AJ346),0)),"")</f>
        <v/>
      </c>
      <c r="AN346" s="389" t="str">
        <f t="array" ref="AN346">IF(ISNUMBER(AL346),INDEX(TM_Score2,MATCH(1,(TM_Events=D346)*(TM_Participant1=AJ346)*(TM_Participant2=G346),0)),"")</f>
        <v/>
      </c>
      <c r="AO346" s="389" t="str">
        <f t="shared" si="165"/>
        <v/>
      </c>
      <c r="AP346" s="389">
        <f t="shared" si="166"/>
        <v>2</v>
      </c>
      <c r="AQ346" s="389">
        <f t="shared" si="167"/>
        <v>0</v>
      </c>
      <c r="AR346" s="389">
        <f t="shared" si="168"/>
        <v>2</v>
      </c>
      <c r="AS346" s="453">
        <f t="shared" si="169"/>
        <v>-2</v>
      </c>
      <c r="AT346" s="452">
        <f t="shared" si="170"/>
        <v>128</v>
      </c>
    </row>
    <row r="347" spans="1:46" ht="16" x14ac:dyDescent="0.2">
      <c r="A347" s="298"/>
      <c r="B347"/>
      <c r="D347" s="298" t="s">
        <v>76</v>
      </c>
      <c r="E347" s="389" t="s">
        <v>722</v>
      </c>
      <c r="F347" s="389">
        <v>1</v>
      </c>
      <c r="G347" s="390" t="s">
        <v>653</v>
      </c>
      <c r="H347" s="387" t="str">
        <f t="shared" si="145"/>
        <v>4-0-0</v>
      </c>
      <c r="I347" s="389">
        <f t="shared" si="146"/>
        <v>8</v>
      </c>
      <c r="J347" s="455" t="str">
        <f t="shared" si="171"/>
        <v/>
      </c>
      <c r="K347" s="455" t="str">
        <f t="shared" si="147"/>
        <v/>
      </c>
      <c r="L347" s="455" t="str">
        <f t="shared" si="172"/>
        <v/>
      </c>
      <c r="M347" s="389" t="str">
        <f>IFERROR(IF(AD347&lt;=VLOOKUP(D347,Tournaments!$A$1:$B$1772,2,FALSE),"TRUE","FALSE"),"")</f>
        <v>TRUE</v>
      </c>
      <c r="N347" s="389">
        <v>1</v>
      </c>
      <c r="O347" s="389">
        <f t="shared" si="148"/>
        <v>1</v>
      </c>
      <c r="Q347" s="389">
        <f t="shared" si="149"/>
        <v>4</v>
      </c>
      <c r="R347" s="389">
        <f t="shared" si="150"/>
        <v>0</v>
      </c>
      <c r="S347" s="389">
        <f t="shared" si="151"/>
        <v>0</v>
      </c>
      <c r="U347" s="389">
        <f t="shared" si="152"/>
        <v>1</v>
      </c>
      <c r="V347" s="389" t="b">
        <f t="shared" si="153"/>
        <v>0</v>
      </c>
      <c r="W347" s="389">
        <f t="shared" si="154"/>
        <v>-1</v>
      </c>
      <c r="X347" s="389">
        <f t="shared" si="155"/>
        <v>1</v>
      </c>
      <c r="Y347" s="389" t="b">
        <f t="shared" si="173"/>
        <v>0</v>
      </c>
      <c r="Z347" s="389">
        <f t="shared" si="156"/>
        <v>-1</v>
      </c>
      <c r="AA347" s="389">
        <f t="shared" si="157"/>
        <v>1</v>
      </c>
      <c r="AB347" s="389" t="b">
        <f t="shared" si="158"/>
        <v>0</v>
      </c>
      <c r="AC347" s="389">
        <f t="shared" si="159"/>
        <v>-1</v>
      </c>
      <c r="AD347" s="389">
        <f t="shared" si="160"/>
        <v>1</v>
      </c>
      <c r="AE347" s="389">
        <f t="shared" si="161"/>
        <v>1</v>
      </c>
      <c r="AG347" s="311" t="str">
        <f t="shared" si="162"/>
        <v>Junior B Male Basketball-Pool A</v>
      </c>
      <c r="AH347" s="453">
        <f t="shared" si="163"/>
        <v>1</v>
      </c>
      <c r="AI347" s="453">
        <f t="shared" si="164"/>
        <v>1</v>
      </c>
      <c r="AJ347" t="str">
        <f t="array" ref="AJ347">IF(AND(AI347&gt;1,G347&lt;&gt;""),INDEX(FS_teams,MATCH(1,(FS_Keys=AG347)*(FS_Points=I347)*(FS_teams&lt;&gt;G347),0)),"")</f>
        <v/>
      </c>
      <c r="AK347" s="390" t="str">
        <f t="array" ref="AK347">IF(AJ347&lt;&gt;"",INDEX(TM_Score1,MATCH(1,(TM_Events=D347)*(TM_Participant1=G347)*(TM_Participant2=AJ347),0)),"")</f>
        <v/>
      </c>
      <c r="AL347" s="390" t="str">
        <f t="array" ref="AL347">IF(AJ347&lt;&gt;"",INDEX(TM_Score1,MATCH(1,(TM_Events=D347)*(TM_Participant1=AJ347)*(TM_Participant2=G347),0)),"")</f>
        <v/>
      </c>
      <c r="AM347" s="389" t="str">
        <f t="array" ref="AM347">IF(ISNUMBER(AK347),INDEX(TM_Score2,MATCH(1,(TM_Events=D347)*(TM_Participant1=G347)*(TM_Participant2=AJ347),0)),"")</f>
        <v/>
      </c>
      <c r="AN347" s="389" t="str">
        <f t="array" ref="AN347">IF(ISNUMBER(AL347),INDEX(TM_Score2,MATCH(1,(TM_Events=D347)*(TM_Participant1=AJ347)*(TM_Participant2=G347),0)),"")</f>
        <v/>
      </c>
      <c r="AO347" s="389" t="str">
        <f t="shared" si="165"/>
        <v/>
      </c>
      <c r="AP347" s="389">
        <f t="shared" si="166"/>
        <v>4</v>
      </c>
      <c r="AQ347" s="389">
        <f t="shared" si="167"/>
        <v>0</v>
      </c>
      <c r="AR347" s="389">
        <f t="shared" si="168"/>
        <v>0</v>
      </c>
      <c r="AS347" s="453">
        <f t="shared" si="169"/>
        <v>38</v>
      </c>
      <c r="AT347" s="452">
        <f t="shared" si="170"/>
        <v>175</v>
      </c>
    </row>
    <row r="348" spans="1:46" ht="16" x14ac:dyDescent="0.2">
      <c r="A348" s="298"/>
      <c r="B348"/>
      <c r="D348" s="303" t="s">
        <v>76</v>
      </c>
      <c r="E348" s="396" t="s">
        <v>723</v>
      </c>
      <c r="F348" s="398">
        <v>1</v>
      </c>
      <c r="G348" s="397" t="s">
        <v>648</v>
      </c>
      <c r="H348" s="387" t="str">
        <f t="shared" si="145"/>
        <v>0-3-0</v>
      </c>
      <c r="I348" s="389">
        <f t="shared" si="146"/>
        <v>0</v>
      </c>
      <c r="J348" s="455" t="str">
        <f t="shared" si="171"/>
        <v/>
      </c>
      <c r="K348" s="455" t="str">
        <f t="shared" si="147"/>
        <v/>
      </c>
      <c r="L348" s="455" t="str">
        <f t="shared" si="172"/>
        <v/>
      </c>
      <c r="M348" s="389" t="str">
        <f>IFERROR(IF(AD348&lt;=VLOOKUP(D348,Tournaments!$A$1:$B$1772,2,FALSE),"TRUE","FALSE"),"")</f>
        <v>FALSE</v>
      </c>
      <c r="N348" s="389">
        <v>1</v>
      </c>
      <c r="O348" s="389">
        <f t="shared" si="148"/>
        <v>4</v>
      </c>
      <c r="Q348" s="389">
        <f t="shared" si="149"/>
        <v>0</v>
      </c>
      <c r="R348" s="389">
        <f t="shared" si="150"/>
        <v>3</v>
      </c>
      <c r="S348" s="389">
        <f t="shared" si="151"/>
        <v>0</v>
      </c>
      <c r="U348" s="389">
        <f t="shared" si="152"/>
        <v>4</v>
      </c>
      <c r="V348" s="389" t="b">
        <f t="shared" si="153"/>
        <v>0</v>
      </c>
      <c r="W348" s="389">
        <f t="shared" si="154"/>
        <v>-4</v>
      </c>
      <c r="X348" s="389">
        <f t="shared" si="155"/>
        <v>4</v>
      </c>
      <c r="Y348" s="389" t="b">
        <f t="shared" si="173"/>
        <v>0</v>
      </c>
      <c r="Z348" s="389">
        <f t="shared" si="156"/>
        <v>-4</v>
      </c>
      <c r="AA348" s="389">
        <f t="shared" si="157"/>
        <v>4</v>
      </c>
      <c r="AB348" s="389" t="b">
        <f t="shared" si="158"/>
        <v>0</v>
      </c>
      <c r="AC348" s="389">
        <f t="shared" si="159"/>
        <v>-4</v>
      </c>
      <c r="AD348" s="389">
        <f t="shared" si="160"/>
        <v>4</v>
      </c>
      <c r="AE348" s="389">
        <f t="shared" si="161"/>
        <v>1</v>
      </c>
      <c r="AG348" s="311" t="str">
        <f t="shared" si="162"/>
        <v>Junior B Male Basketball-Pool B</v>
      </c>
      <c r="AH348" s="453">
        <f t="shared" si="163"/>
        <v>4</v>
      </c>
      <c r="AI348" s="453">
        <f t="shared" si="164"/>
        <v>1</v>
      </c>
      <c r="AJ348" t="str">
        <f t="array" ref="AJ348">IF(AND(AI348&gt;1,G348&lt;&gt;""),INDEX(FS_teams,MATCH(1,(FS_Keys=AG348)*(FS_Points=I348)*(FS_teams&lt;&gt;G348),0)),"")</f>
        <v/>
      </c>
      <c r="AK348" s="390" t="str">
        <f t="array" ref="AK348">IF(AJ348&lt;&gt;"",INDEX(TM_Score1,MATCH(1,(TM_Events=D348)*(TM_Participant1=G348)*(TM_Participant2=AJ348),0)),"")</f>
        <v/>
      </c>
      <c r="AL348" s="390" t="str">
        <f t="array" ref="AL348">IF(AJ348&lt;&gt;"",INDEX(TM_Score1,MATCH(1,(TM_Events=D348)*(TM_Participant1=AJ348)*(TM_Participant2=G348),0)),"")</f>
        <v/>
      </c>
      <c r="AM348" s="389" t="str">
        <f t="array" ref="AM348">IF(ISNUMBER(AK348),INDEX(TM_Score2,MATCH(1,(TM_Events=D348)*(TM_Participant1=G348)*(TM_Participant2=AJ348),0)),"")</f>
        <v/>
      </c>
      <c r="AN348" s="389" t="str">
        <f t="array" ref="AN348">IF(ISNUMBER(AL348),INDEX(TM_Score2,MATCH(1,(TM_Events=D348)*(TM_Participant1=AJ348)*(TM_Participant2=G348),0)),"")</f>
        <v/>
      </c>
      <c r="AO348" s="389" t="str">
        <f t="shared" si="165"/>
        <v/>
      </c>
      <c r="AP348" s="389">
        <f t="shared" si="166"/>
        <v>0</v>
      </c>
      <c r="AQ348" s="389">
        <f t="shared" si="167"/>
        <v>0</v>
      </c>
      <c r="AR348" s="389">
        <f t="shared" si="168"/>
        <v>3</v>
      </c>
      <c r="AS348" s="453">
        <f t="shared" si="169"/>
        <v>-32</v>
      </c>
      <c r="AT348" s="452">
        <f t="shared" si="170"/>
        <v>77</v>
      </c>
    </row>
    <row r="349" spans="1:46" ht="16" x14ac:dyDescent="0.2">
      <c r="A349" s="298"/>
      <c r="B349"/>
      <c r="D349" s="303" t="s">
        <v>76</v>
      </c>
      <c r="E349" s="396" t="s">
        <v>723</v>
      </c>
      <c r="F349" s="387">
        <v>1</v>
      </c>
      <c r="G349" s="397" t="s">
        <v>650</v>
      </c>
      <c r="H349" s="387" t="str">
        <f t="shared" si="145"/>
        <v>1-2-0</v>
      </c>
      <c r="I349" s="389">
        <f t="shared" si="146"/>
        <v>2</v>
      </c>
      <c r="J349" s="455" t="str">
        <f t="shared" si="171"/>
        <v/>
      </c>
      <c r="K349" s="455" t="str">
        <f t="shared" si="147"/>
        <v/>
      </c>
      <c r="L349" s="455" t="str">
        <f t="shared" si="172"/>
        <v/>
      </c>
      <c r="M349" s="389" t="str">
        <f>IFERROR(IF(AD349&lt;=VLOOKUP(D349,Tournaments!$A$1:$B$1772,2,FALSE),"TRUE","FALSE"),"")</f>
        <v>FALSE</v>
      </c>
      <c r="N349" s="389">
        <v>1</v>
      </c>
      <c r="O349" s="389">
        <f t="shared" si="148"/>
        <v>3</v>
      </c>
      <c r="Q349" s="389">
        <f t="shared" si="149"/>
        <v>1</v>
      </c>
      <c r="R349" s="389">
        <f t="shared" si="150"/>
        <v>2</v>
      </c>
      <c r="S349" s="389">
        <f t="shared" si="151"/>
        <v>0</v>
      </c>
      <c r="U349" s="389">
        <f t="shared" si="152"/>
        <v>3</v>
      </c>
      <c r="V349" s="389" t="b">
        <f t="shared" si="153"/>
        <v>0</v>
      </c>
      <c r="W349" s="389">
        <f t="shared" si="154"/>
        <v>-3</v>
      </c>
      <c r="X349" s="389">
        <f t="shared" si="155"/>
        <v>3</v>
      </c>
      <c r="Y349" s="389" t="b">
        <f t="shared" si="173"/>
        <v>0</v>
      </c>
      <c r="Z349" s="389">
        <f t="shared" si="156"/>
        <v>-3</v>
      </c>
      <c r="AA349" s="389">
        <f t="shared" si="157"/>
        <v>3</v>
      </c>
      <c r="AB349" s="389" t="b">
        <f t="shared" si="158"/>
        <v>0</v>
      </c>
      <c r="AC349" s="389">
        <f t="shared" si="159"/>
        <v>-3</v>
      </c>
      <c r="AD349" s="389">
        <f t="shared" si="160"/>
        <v>3</v>
      </c>
      <c r="AE349" s="389">
        <f t="shared" si="161"/>
        <v>1</v>
      </c>
      <c r="AG349" s="311" t="str">
        <f t="shared" si="162"/>
        <v>Junior B Male Basketball-Pool B</v>
      </c>
      <c r="AH349" s="453">
        <f t="shared" si="163"/>
        <v>3</v>
      </c>
      <c r="AI349" s="453">
        <f t="shared" si="164"/>
        <v>1</v>
      </c>
      <c r="AJ349" t="str">
        <f t="array" ref="AJ349">IF(AND(AI349&gt;1,G349&lt;&gt;""),INDEX(FS_teams,MATCH(1,(FS_Keys=AG349)*(FS_Points=I349)*(FS_teams&lt;&gt;G349),0)),"")</f>
        <v/>
      </c>
      <c r="AK349" s="390" t="str">
        <f t="array" ref="AK349">IF(AJ349&lt;&gt;"",INDEX(TM_Score1,MATCH(1,(TM_Events=D349)*(TM_Participant1=G349)*(TM_Participant2=AJ349),0)),"")</f>
        <v/>
      </c>
      <c r="AL349" s="390" t="str">
        <f t="array" ref="AL349">IF(AJ349&lt;&gt;"",INDEX(TM_Score1,MATCH(1,(TM_Events=D349)*(TM_Participant1=AJ349)*(TM_Participant2=G349),0)),"")</f>
        <v/>
      </c>
      <c r="AM349" s="389" t="str">
        <f t="array" ref="AM349">IF(ISNUMBER(AK349),INDEX(TM_Score2,MATCH(1,(TM_Events=D349)*(TM_Participant1=G349)*(TM_Participant2=AJ349),0)),"")</f>
        <v/>
      </c>
      <c r="AN349" s="389" t="str">
        <f t="array" ref="AN349">IF(ISNUMBER(AL349),INDEX(TM_Score2,MATCH(1,(TM_Events=D349)*(TM_Participant1=AJ349)*(TM_Participant2=G349),0)),"")</f>
        <v/>
      </c>
      <c r="AO349" s="389" t="str">
        <f t="shared" si="165"/>
        <v/>
      </c>
      <c r="AP349" s="389">
        <f t="shared" si="166"/>
        <v>1</v>
      </c>
      <c r="AQ349" s="389">
        <f t="shared" si="167"/>
        <v>0</v>
      </c>
      <c r="AR349" s="389">
        <f t="shared" si="168"/>
        <v>2</v>
      </c>
      <c r="AS349" s="453">
        <f t="shared" si="169"/>
        <v>-2</v>
      </c>
      <c r="AT349" s="452">
        <f t="shared" si="170"/>
        <v>89</v>
      </c>
    </row>
    <row r="350" spans="1:46" ht="16" x14ac:dyDescent="0.2">
      <c r="A350" s="298"/>
      <c r="B350"/>
      <c r="D350" s="303" t="s">
        <v>76</v>
      </c>
      <c r="E350" s="396" t="s">
        <v>723</v>
      </c>
      <c r="F350" s="398">
        <v>1</v>
      </c>
      <c r="G350" s="397" t="s">
        <v>652</v>
      </c>
      <c r="H350" s="387" t="str">
        <f t="shared" si="145"/>
        <v>2-2-0</v>
      </c>
      <c r="I350" s="389">
        <f t="shared" si="146"/>
        <v>4</v>
      </c>
      <c r="J350" s="455" t="str">
        <f t="shared" si="171"/>
        <v/>
      </c>
      <c r="K350" s="455" t="str">
        <f t="shared" si="147"/>
        <v/>
      </c>
      <c r="L350" s="455" t="str">
        <f t="shared" si="172"/>
        <v/>
      </c>
      <c r="M350" s="389" t="str">
        <f>IFERROR(IF(AD350&lt;=VLOOKUP(D350,Tournaments!$A$1:$B$1772,2,FALSE),"TRUE","FALSE"),"")</f>
        <v>TRUE</v>
      </c>
      <c r="N350" s="389">
        <v>1</v>
      </c>
      <c r="O350" s="389">
        <f t="shared" si="148"/>
        <v>2</v>
      </c>
      <c r="Q350" s="389">
        <f t="shared" si="149"/>
        <v>2</v>
      </c>
      <c r="R350" s="389">
        <f t="shared" si="150"/>
        <v>2</v>
      </c>
      <c r="S350" s="389">
        <f t="shared" si="151"/>
        <v>0</v>
      </c>
      <c r="U350" s="389">
        <f t="shared" si="152"/>
        <v>2</v>
      </c>
      <c r="V350" s="389" t="b">
        <f t="shared" si="153"/>
        <v>0</v>
      </c>
      <c r="W350" s="389">
        <f t="shared" si="154"/>
        <v>-2</v>
      </c>
      <c r="X350" s="389">
        <f t="shared" si="155"/>
        <v>2</v>
      </c>
      <c r="Y350" s="389" t="b">
        <f t="shared" si="173"/>
        <v>0</v>
      </c>
      <c r="Z350" s="389">
        <f t="shared" si="156"/>
        <v>-2</v>
      </c>
      <c r="AA350" s="389">
        <f t="shared" si="157"/>
        <v>2</v>
      </c>
      <c r="AB350" s="389" t="b">
        <f t="shared" si="158"/>
        <v>0</v>
      </c>
      <c r="AC350" s="389">
        <f t="shared" si="159"/>
        <v>-2</v>
      </c>
      <c r="AD350" s="389">
        <f t="shared" si="160"/>
        <v>2</v>
      </c>
      <c r="AE350" s="389">
        <f t="shared" si="161"/>
        <v>1</v>
      </c>
      <c r="AG350" s="311" t="str">
        <f t="shared" si="162"/>
        <v>Junior B Male Basketball-Pool B</v>
      </c>
      <c r="AH350" s="453">
        <f t="shared" si="163"/>
        <v>2</v>
      </c>
      <c r="AI350" s="453">
        <f t="shared" si="164"/>
        <v>1</v>
      </c>
      <c r="AJ350" t="str">
        <f t="array" ref="AJ350">IF(AND(AI350&gt;1,G350&lt;&gt;""),INDEX(FS_teams,MATCH(1,(FS_Keys=AG350)*(FS_Points=I350)*(FS_teams&lt;&gt;G350),0)),"")</f>
        <v/>
      </c>
      <c r="AK350" s="390" t="str">
        <f t="array" ref="AK350">IF(AJ350&lt;&gt;"",INDEX(TM_Score1,MATCH(1,(TM_Events=D350)*(TM_Participant1=G350)*(TM_Participant2=AJ350),0)),"")</f>
        <v/>
      </c>
      <c r="AL350" s="390" t="str">
        <f t="array" ref="AL350">IF(AJ350&lt;&gt;"",INDEX(TM_Score1,MATCH(1,(TM_Events=D350)*(TM_Participant1=AJ350)*(TM_Participant2=G350),0)),"")</f>
        <v/>
      </c>
      <c r="AM350" s="389" t="str">
        <f t="array" ref="AM350">IF(ISNUMBER(AK350),INDEX(TM_Score2,MATCH(1,(TM_Events=D350)*(TM_Participant1=G350)*(TM_Participant2=AJ350),0)),"")</f>
        <v/>
      </c>
      <c r="AN350" s="389" t="str">
        <f t="array" ref="AN350">IF(ISNUMBER(AL350),INDEX(TM_Score2,MATCH(1,(TM_Events=D350)*(TM_Participant1=AJ350)*(TM_Participant2=G350),0)),"")</f>
        <v/>
      </c>
      <c r="AO350" s="389" t="str">
        <f t="shared" si="165"/>
        <v/>
      </c>
      <c r="AP350" s="389">
        <f t="shared" si="166"/>
        <v>2</v>
      </c>
      <c r="AQ350" s="389">
        <f t="shared" si="167"/>
        <v>0</v>
      </c>
      <c r="AR350" s="389">
        <f t="shared" si="168"/>
        <v>2</v>
      </c>
      <c r="AS350" s="453">
        <f t="shared" si="169"/>
        <v>-20</v>
      </c>
      <c r="AT350" s="452">
        <f t="shared" si="170"/>
        <v>130</v>
      </c>
    </row>
    <row r="351" spans="1:46" ht="16" x14ac:dyDescent="0.2">
      <c r="A351" s="298"/>
      <c r="B351"/>
      <c r="D351" s="303" t="s">
        <v>76</v>
      </c>
      <c r="E351" s="396" t="s">
        <v>723</v>
      </c>
      <c r="F351" s="387">
        <v>1</v>
      </c>
      <c r="G351" s="397" t="s">
        <v>651</v>
      </c>
      <c r="H351" s="387" t="str">
        <f t="shared" si="145"/>
        <v>4-0-0</v>
      </c>
      <c r="I351" s="389">
        <f t="shared" si="146"/>
        <v>8</v>
      </c>
      <c r="J351" s="455" t="str">
        <f t="shared" si="171"/>
        <v/>
      </c>
      <c r="K351" s="455" t="str">
        <f t="shared" si="147"/>
        <v/>
      </c>
      <c r="L351" s="455" t="str">
        <f t="shared" si="172"/>
        <v/>
      </c>
      <c r="M351" s="389" t="str">
        <f>IFERROR(IF(AD351&lt;=VLOOKUP(D351,Tournaments!$A$1:$B$1772,2,FALSE),"TRUE","FALSE"),"")</f>
        <v>TRUE</v>
      </c>
      <c r="N351" s="389">
        <v>1</v>
      </c>
      <c r="O351" s="389">
        <f t="shared" si="148"/>
        <v>1</v>
      </c>
      <c r="Q351" s="389">
        <f t="shared" si="149"/>
        <v>4</v>
      </c>
      <c r="R351" s="389">
        <f t="shared" si="150"/>
        <v>0</v>
      </c>
      <c r="S351" s="389">
        <f t="shared" si="151"/>
        <v>0</v>
      </c>
      <c r="U351" s="389">
        <f t="shared" si="152"/>
        <v>1</v>
      </c>
      <c r="V351" s="389" t="b">
        <f t="shared" si="153"/>
        <v>0</v>
      </c>
      <c r="W351" s="389">
        <f t="shared" si="154"/>
        <v>-1</v>
      </c>
      <c r="X351" s="389">
        <f t="shared" si="155"/>
        <v>1</v>
      </c>
      <c r="Y351" s="389" t="b">
        <f t="shared" si="173"/>
        <v>0</v>
      </c>
      <c r="Z351" s="389">
        <f t="shared" si="156"/>
        <v>-1</v>
      </c>
      <c r="AA351" s="389">
        <f t="shared" si="157"/>
        <v>1</v>
      </c>
      <c r="AB351" s="389" t="b">
        <f t="shared" si="158"/>
        <v>0</v>
      </c>
      <c r="AC351" s="389">
        <f t="shared" si="159"/>
        <v>-1</v>
      </c>
      <c r="AD351" s="389">
        <f t="shared" si="160"/>
        <v>1</v>
      </c>
      <c r="AE351" s="389">
        <f t="shared" si="161"/>
        <v>1</v>
      </c>
      <c r="AG351" s="311" t="str">
        <f t="shared" si="162"/>
        <v>Junior B Male Basketball-Pool B</v>
      </c>
      <c r="AH351" s="453">
        <f t="shared" si="163"/>
        <v>1</v>
      </c>
      <c r="AI351" s="453">
        <f t="shared" si="164"/>
        <v>1</v>
      </c>
      <c r="AJ351" t="str">
        <f t="array" ref="AJ351">IF(AND(AI351&gt;1,G351&lt;&gt;""),INDEX(FS_teams,MATCH(1,(FS_Keys=AG351)*(FS_Points=I351)*(FS_teams&lt;&gt;G351),0)),"")</f>
        <v/>
      </c>
      <c r="AK351" s="390" t="str">
        <f t="array" ref="AK351">IF(AJ351&lt;&gt;"",INDEX(TM_Score1,MATCH(1,(TM_Events=D351)*(TM_Participant1=G351)*(TM_Participant2=AJ351),0)),"")</f>
        <v/>
      </c>
      <c r="AL351" s="390" t="str">
        <f t="array" ref="AL351">IF(AJ351&lt;&gt;"",INDEX(TM_Score1,MATCH(1,(TM_Events=D351)*(TM_Participant1=AJ351)*(TM_Participant2=G351),0)),"")</f>
        <v/>
      </c>
      <c r="AM351" s="389" t="str">
        <f t="array" ref="AM351">IF(ISNUMBER(AK351),INDEX(TM_Score2,MATCH(1,(TM_Events=D351)*(TM_Participant1=G351)*(TM_Participant2=AJ351),0)),"")</f>
        <v/>
      </c>
      <c r="AN351" s="389" t="str">
        <f t="array" ref="AN351">IF(ISNUMBER(AL351),INDEX(TM_Score2,MATCH(1,(TM_Events=D351)*(TM_Participant1=AJ351)*(TM_Participant2=G351),0)),"")</f>
        <v/>
      </c>
      <c r="AO351" s="389" t="str">
        <f t="shared" si="165"/>
        <v/>
      </c>
      <c r="AP351" s="389">
        <f t="shared" si="166"/>
        <v>4</v>
      </c>
      <c r="AQ351" s="389">
        <f t="shared" si="167"/>
        <v>0</v>
      </c>
      <c r="AR351" s="389">
        <f t="shared" si="168"/>
        <v>0</v>
      </c>
      <c r="AS351" s="453">
        <f t="shared" si="169"/>
        <v>42</v>
      </c>
      <c r="AT351" s="452">
        <f t="shared" si="170"/>
        <v>151</v>
      </c>
    </row>
    <row r="352" spans="1:46" ht="16" x14ac:dyDescent="0.2">
      <c r="A352" s="298"/>
      <c r="B352"/>
      <c r="D352" s="298" t="s">
        <v>77</v>
      </c>
      <c r="E352" s="389" t="s">
        <v>722</v>
      </c>
      <c r="F352" s="389">
        <v>1</v>
      </c>
      <c r="G352" s="390" t="s">
        <v>648</v>
      </c>
      <c r="H352" s="387" t="str">
        <f t="shared" si="145"/>
        <v>1-2-0</v>
      </c>
      <c r="I352" s="389">
        <f t="shared" si="146"/>
        <v>2</v>
      </c>
      <c r="J352" s="455">
        <f t="shared" si="171"/>
        <v>0</v>
      </c>
      <c r="K352" s="455" t="str">
        <f t="shared" si="147"/>
        <v/>
      </c>
      <c r="L352" s="455" t="str">
        <f t="shared" si="172"/>
        <v/>
      </c>
      <c r="M352" s="389" t="str">
        <f>IFERROR(IF(AD352&lt;=VLOOKUP(D352,Tournaments!$A$1:$B$1772,2,FALSE),"TRUE","FALSE"),"")</f>
        <v>FALSE</v>
      </c>
      <c r="N352" s="389">
        <v>1</v>
      </c>
      <c r="O352" s="389">
        <f t="shared" si="148"/>
        <v>4</v>
      </c>
      <c r="Q352" s="389">
        <f t="shared" si="149"/>
        <v>1</v>
      </c>
      <c r="R352" s="389">
        <f t="shared" si="150"/>
        <v>2</v>
      </c>
      <c r="S352" s="389">
        <f t="shared" si="151"/>
        <v>0</v>
      </c>
      <c r="U352" s="389">
        <f t="shared" si="152"/>
        <v>4</v>
      </c>
      <c r="V352" s="389">
        <f t="shared" si="153"/>
        <v>1E-4</v>
      </c>
      <c r="W352" s="389">
        <f t="shared" si="154"/>
        <v>-3.9998999999999998</v>
      </c>
      <c r="X352" s="389">
        <f t="shared" si="155"/>
        <v>4</v>
      </c>
      <c r="Y352" s="389" t="b">
        <f t="shared" si="173"/>
        <v>0</v>
      </c>
      <c r="Z352" s="389">
        <f t="shared" si="156"/>
        <v>-4</v>
      </c>
      <c r="AA352" s="389">
        <f t="shared" si="157"/>
        <v>4</v>
      </c>
      <c r="AB352" s="389" t="b">
        <f t="shared" si="158"/>
        <v>0</v>
      </c>
      <c r="AC352" s="389">
        <f t="shared" si="159"/>
        <v>-4</v>
      </c>
      <c r="AD352" s="389">
        <f t="shared" si="160"/>
        <v>4</v>
      </c>
      <c r="AE352" s="389">
        <f t="shared" si="161"/>
        <v>1</v>
      </c>
      <c r="AG352" s="311" t="str">
        <f t="shared" si="162"/>
        <v>Junior B Male Flag Football-Pool A</v>
      </c>
      <c r="AH352" s="453">
        <f t="shared" si="163"/>
        <v>3</v>
      </c>
      <c r="AI352" s="453">
        <f t="shared" si="164"/>
        <v>2</v>
      </c>
      <c r="AJ352" t="str">
        <f t="array" ref="AJ352">IF(AND(AI352&gt;1,G352&lt;&gt;""),INDEX(FS_teams,MATCH(1,(FS_Keys=AG352)*(FS_Points=I352)*(FS_teams&lt;&gt;G352),0)),"")</f>
        <v>JR B M - ISR 1</v>
      </c>
      <c r="AK352" s="390">
        <f t="array" ref="AK352">IF(AJ352&lt;&gt;"",INDEX(TM_Score1,MATCH(1,(TM_Events=D352)*(TM_Participant1=G352)*(TM_Participant2=AJ352),0)),"")</f>
        <v>0</v>
      </c>
      <c r="AL352" s="390" t="e">
        <f t="array" ref="AL352">IF(AJ352&lt;&gt;"",INDEX(TM_Score1,MATCH(1,(TM_Events=D352)*(TM_Participant1=AJ352)*(TM_Participant2=G352),0)),"")</f>
        <v>#N/A</v>
      </c>
      <c r="AM352" s="389">
        <f t="array" ref="AM352">IF(ISNUMBER(AK352),INDEX(TM_Score2,MATCH(1,(TM_Events=D352)*(TM_Participant1=G352)*(TM_Participant2=AJ352),0)),"")</f>
        <v>22</v>
      </c>
      <c r="AN352" s="389" t="str">
        <f t="array" ref="AN352">IF(ISNUMBER(AL352),INDEX(TM_Score2,MATCH(1,(TM_Events=D352)*(TM_Participant1=AJ352)*(TM_Participant2=G352),0)),"")</f>
        <v/>
      </c>
      <c r="AO352" s="389" t="str">
        <f t="shared" si="165"/>
        <v>Loss</v>
      </c>
      <c r="AP352" s="389">
        <f t="shared" si="166"/>
        <v>1</v>
      </c>
      <c r="AQ352" s="389">
        <f t="shared" si="167"/>
        <v>0</v>
      </c>
      <c r="AR352" s="389">
        <f t="shared" si="168"/>
        <v>2</v>
      </c>
      <c r="AS352" s="453">
        <f t="shared" si="169"/>
        <v>-21</v>
      </c>
      <c r="AT352" s="452">
        <f t="shared" si="170"/>
        <v>33</v>
      </c>
    </row>
    <row r="353" spans="1:46" ht="16" x14ac:dyDescent="0.2">
      <c r="A353" s="298"/>
      <c r="B353"/>
      <c r="D353" s="303" t="s">
        <v>77</v>
      </c>
      <c r="E353" s="387" t="s">
        <v>722</v>
      </c>
      <c r="F353" s="387">
        <v>1</v>
      </c>
      <c r="G353" s="397" t="s">
        <v>655</v>
      </c>
      <c r="H353" s="387" t="str">
        <f t="shared" si="145"/>
        <v>2-2-0</v>
      </c>
      <c r="I353" s="389">
        <f t="shared" si="146"/>
        <v>4</v>
      </c>
      <c r="J353" s="455" t="str">
        <f t="shared" si="171"/>
        <v/>
      </c>
      <c r="K353" s="455" t="str">
        <f t="shared" si="147"/>
        <v/>
      </c>
      <c r="L353" s="455" t="str">
        <f t="shared" si="172"/>
        <v/>
      </c>
      <c r="M353" s="389" t="str">
        <f>IFERROR(IF(AD353&lt;=VLOOKUP(D353,Tournaments!$A$1:$B$1772,2,FALSE),"TRUE","FALSE"),"")</f>
        <v>TRUE</v>
      </c>
      <c r="N353" s="389">
        <v>1</v>
      </c>
      <c r="O353" s="389">
        <f t="shared" si="148"/>
        <v>2</v>
      </c>
      <c r="Q353" s="389">
        <f t="shared" si="149"/>
        <v>2</v>
      </c>
      <c r="R353" s="389">
        <f t="shared" si="150"/>
        <v>2</v>
      </c>
      <c r="S353" s="389">
        <f t="shared" si="151"/>
        <v>0</v>
      </c>
      <c r="U353" s="389">
        <f t="shared" si="152"/>
        <v>2</v>
      </c>
      <c r="V353" s="389" t="b">
        <f t="shared" si="153"/>
        <v>0</v>
      </c>
      <c r="W353" s="389">
        <f t="shared" si="154"/>
        <v>-2</v>
      </c>
      <c r="X353" s="389">
        <f t="shared" si="155"/>
        <v>2</v>
      </c>
      <c r="Y353" s="389" t="b">
        <f t="shared" si="173"/>
        <v>0</v>
      </c>
      <c r="Z353" s="389">
        <f t="shared" si="156"/>
        <v>-2</v>
      </c>
      <c r="AA353" s="389">
        <f t="shared" si="157"/>
        <v>2</v>
      </c>
      <c r="AB353" s="389" t="b">
        <f t="shared" si="158"/>
        <v>0</v>
      </c>
      <c r="AC353" s="389">
        <f t="shared" si="159"/>
        <v>-2</v>
      </c>
      <c r="AD353" s="389">
        <f t="shared" si="160"/>
        <v>2</v>
      </c>
      <c r="AE353" s="389">
        <f t="shared" si="161"/>
        <v>1</v>
      </c>
      <c r="AG353" s="311" t="str">
        <f t="shared" si="162"/>
        <v>Junior B Male Flag Football-Pool A</v>
      </c>
      <c r="AH353" s="453">
        <f t="shared" si="163"/>
        <v>2</v>
      </c>
      <c r="AI353" s="453">
        <f t="shared" si="164"/>
        <v>1</v>
      </c>
      <c r="AJ353" t="str">
        <f t="array" ref="AJ353">IF(AND(AI353&gt;1,G353&lt;&gt;""),INDEX(FS_teams,MATCH(1,(FS_Keys=AG353)*(FS_Points=I353)*(FS_teams&lt;&gt;G353),0)),"")</f>
        <v/>
      </c>
      <c r="AK353" s="390" t="str">
        <f t="array" ref="AK353">IF(AJ353&lt;&gt;"",INDEX(TM_Score1,MATCH(1,(TM_Events=D353)*(TM_Participant1=G353)*(TM_Participant2=AJ353),0)),"")</f>
        <v/>
      </c>
      <c r="AL353" s="390" t="str">
        <f t="array" ref="AL353">IF(AJ353&lt;&gt;"",INDEX(TM_Score1,MATCH(1,(TM_Events=D353)*(TM_Participant1=AJ353)*(TM_Participant2=G353),0)),"")</f>
        <v/>
      </c>
      <c r="AM353" s="389" t="str">
        <f t="array" ref="AM353">IF(ISNUMBER(AK353),INDEX(TM_Score2,MATCH(1,(TM_Events=D353)*(TM_Participant1=G353)*(TM_Participant2=AJ353),0)),"")</f>
        <v/>
      </c>
      <c r="AN353" s="389" t="str">
        <f t="array" ref="AN353">IF(ISNUMBER(AL353),INDEX(TM_Score2,MATCH(1,(TM_Events=D353)*(TM_Participant1=AJ353)*(TM_Participant2=G353),0)),"")</f>
        <v/>
      </c>
      <c r="AO353" s="389" t="str">
        <f t="shared" si="165"/>
        <v/>
      </c>
      <c r="AP353" s="389">
        <f t="shared" si="166"/>
        <v>2</v>
      </c>
      <c r="AQ353" s="389">
        <f t="shared" si="167"/>
        <v>0</v>
      </c>
      <c r="AR353" s="389">
        <f t="shared" si="168"/>
        <v>2</v>
      </c>
      <c r="AS353" s="453">
        <f t="shared" si="169"/>
        <v>1</v>
      </c>
      <c r="AT353" s="452">
        <f t="shared" si="170"/>
        <v>97</v>
      </c>
    </row>
    <row r="354" spans="1:46" ht="16" x14ac:dyDescent="0.2">
      <c r="A354" s="298"/>
      <c r="B354"/>
      <c r="D354" s="303" t="s">
        <v>77</v>
      </c>
      <c r="E354" s="396" t="s">
        <v>722</v>
      </c>
      <c r="F354" s="398">
        <v>1</v>
      </c>
      <c r="G354" s="397" t="s">
        <v>651</v>
      </c>
      <c r="H354" s="387" t="str">
        <f t="shared" si="145"/>
        <v>1-2-0</v>
      </c>
      <c r="I354" s="389">
        <f t="shared" si="146"/>
        <v>2</v>
      </c>
      <c r="J354" s="455">
        <f t="shared" si="171"/>
        <v>2</v>
      </c>
      <c r="K354" s="455" t="str">
        <f t="shared" si="147"/>
        <v/>
      </c>
      <c r="L354" s="455" t="str">
        <f t="shared" si="172"/>
        <v/>
      </c>
      <c r="M354" s="389" t="str">
        <f>IFERROR(IF(AD354&lt;=VLOOKUP(D354,Tournaments!$A$1:$B$1772,2,FALSE),"TRUE","FALSE"),"")</f>
        <v>FALSE</v>
      </c>
      <c r="N354" s="389">
        <v>1</v>
      </c>
      <c r="O354" s="389">
        <f t="shared" si="148"/>
        <v>3</v>
      </c>
      <c r="Q354" s="389">
        <f t="shared" si="149"/>
        <v>1</v>
      </c>
      <c r="R354" s="389">
        <f t="shared" si="150"/>
        <v>2</v>
      </c>
      <c r="S354" s="389">
        <f t="shared" si="151"/>
        <v>0</v>
      </c>
      <c r="U354" s="389">
        <f t="shared" si="152"/>
        <v>4</v>
      </c>
      <c r="V354" s="389">
        <f t="shared" si="153"/>
        <v>2.1999999999999999E-2</v>
      </c>
      <c r="W354" s="389">
        <f t="shared" si="154"/>
        <v>-3.9780000000000002</v>
      </c>
      <c r="X354" s="389">
        <f t="shared" si="155"/>
        <v>3</v>
      </c>
      <c r="Y354" s="389" t="b">
        <f t="shared" si="173"/>
        <v>0</v>
      </c>
      <c r="Z354" s="389">
        <f t="shared" si="156"/>
        <v>-3</v>
      </c>
      <c r="AA354" s="389">
        <f t="shared" si="157"/>
        <v>3</v>
      </c>
      <c r="AB354" s="389" t="b">
        <f t="shared" si="158"/>
        <v>0</v>
      </c>
      <c r="AC354" s="389">
        <f t="shared" si="159"/>
        <v>-3</v>
      </c>
      <c r="AD354" s="389">
        <f t="shared" si="160"/>
        <v>3</v>
      </c>
      <c r="AE354" s="389">
        <f t="shared" si="161"/>
        <v>1</v>
      </c>
      <c r="AG354" s="311" t="str">
        <f t="shared" si="162"/>
        <v>Junior B Male Flag Football-Pool A</v>
      </c>
      <c r="AH354" s="453">
        <f t="shared" si="163"/>
        <v>3</v>
      </c>
      <c r="AI354" s="453">
        <f t="shared" si="164"/>
        <v>2</v>
      </c>
      <c r="AJ354" t="str">
        <f t="array" ref="AJ354">IF(AND(AI354&gt;1,G354&lt;&gt;""),INDEX(FS_teams,MATCH(1,(FS_Keys=AG354)*(FS_Points=I354)*(FS_teams&lt;&gt;G354),0)),"")</f>
        <v>JR B M - ARG 1</v>
      </c>
      <c r="AK354" s="390" t="e">
        <f t="array" ref="AK354">IF(AJ354&lt;&gt;"",INDEX(TM_Score1,MATCH(1,(TM_Events=D354)*(TM_Participant1=G354)*(TM_Participant2=AJ354),0)),"")</f>
        <v>#N/A</v>
      </c>
      <c r="AL354" s="390">
        <f t="array" ref="AL354">IF(AJ354&lt;&gt;"",INDEX(TM_Score1,MATCH(1,(TM_Events=D354)*(TM_Participant1=AJ354)*(TM_Participant2=G354),0)),"")</f>
        <v>0</v>
      </c>
      <c r="AM354" s="389" t="str">
        <f t="array" ref="AM354">IF(ISNUMBER(AK354),INDEX(TM_Score2,MATCH(1,(TM_Events=D354)*(TM_Participant1=G354)*(TM_Participant2=AJ354),0)),"")</f>
        <v/>
      </c>
      <c r="AN354" s="389">
        <f t="array" ref="AN354">IF(ISNUMBER(AL354),INDEX(TM_Score2,MATCH(1,(TM_Events=D354)*(TM_Participant1=AJ354)*(TM_Participant2=G354),0)),"")</f>
        <v>22</v>
      </c>
      <c r="AO354" s="389" t="str">
        <f t="shared" si="165"/>
        <v>Win</v>
      </c>
      <c r="AP354" s="389">
        <f t="shared" si="166"/>
        <v>1</v>
      </c>
      <c r="AQ354" s="389">
        <f t="shared" si="167"/>
        <v>0</v>
      </c>
      <c r="AR354" s="389">
        <f t="shared" si="168"/>
        <v>2</v>
      </c>
      <c r="AS354" s="453">
        <f t="shared" si="169"/>
        <v>-9</v>
      </c>
      <c r="AT354" s="452">
        <f t="shared" si="170"/>
        <v>42</v>
      </c>
    </row>
    <row r="355" spans="1:46" ht="16" x14ac:dyDescent="0.2">
      <c r="A355" s="298"/>
      <c r="B355"/>
      <c r="D355" s="298" t="s">
        <v>77</v>
      </c>
      <c r="E355" s="389" t="s">
        <v>722</v>
      </c>
      <c r="F355" s="389">
        <v>1</v>
      </c>
      <c r="G355" s="390" t="s">
        <v>653</v>
      </c>
      <c r="H355" s="387" t="str">
        <f t="shared" si="145"/>
        <v>3-1-0</v>
      </c>
      <c r="I355" s="389">
        <f t="shared" si="146"/>
        <v>6</v>
      </c>
      <c r="J355" s="455" t="str">
        <f t="shared" si="171"/>
        <v/>
      </c>
      <c r="K355" s="455" t="str">
        <f t="shared" si="147"/>
        <v/>
      </c>
      <c r="L355" s="455" t="str">
        <f t="shared" si="172"/>
        <v/>
      </c>
      <c r="M355" s="389" t="str">
        <f>IFERROR(IF(AD355&lt;=VLOOKUP(D355,Tournaments!$A$1:$B$1772,2,FALSE),"TRUE","FALSE"),"")</f>
        <v>TRUE</v>
      </c>
      <c r="N355" s="389">
        <v>1</v>
      </c>
      <c r="O355" s="389">
        <f t="shared" si="148"/>
        <v>1</v>
      </c>
      <c r="Q355" s="389">
        <f t="shared" si="149"/>
        <v>3</v>
      </c>
      <c r="R355" s="389">
        <f t="shared" si="150"/>
        <v>1</v>
      </c>
      <c r="S355" s="389">
        <f t="shared" si="151"/>
        <v>0</v>
      </c>
      <c r="U355" s="389">
        <f t="shared" si="152"/>
        <v>1</v>
      </c>
      <c r="V355" s="389" t="b">
        <f t="shared" si="153"/>
        <v>0</v>
      </c>
      <c r="W355" s="389">
        <f t="shared" si="154"/>
        <v>-1</v>
      </c>
      <c r="X355" s="389">
        <f t="shared" si="155"/>
        <v>1</v>
      </c>
      <c r="Y355" s="389" t="b">
        <f t="shared" si="173"/>
        <v>0</v>
      </c>
      <c r="Z355" s="389">
        <f t="shared" si="156"/>
        <v>-1</v>
      </c>
      <c r="AA355" s="389">
        <f t="shared" si="157"/>
        <v>1</v>
      </c>
      <c r="AB355" s="389" t="b">
        <f t="shared" si="158"/>
        <v>0</v>
      </c>
      <c r="AC355" s="389">
        <f t="shared" si="159"/>
        <v>-1</v>
      </c>
      <c r="AD355" s="389">
        <f t="shared" si="160"/>
        <v>1</v>
      </c>
      <c r="AE355" s="389">
        <f t="shared" si="161"/>
        <v>1</v>
      </c>
      <c r="AG355" s="311" t="str">
        <f t="shared" si="162"/>
        <v>Junior B Male Flag Football-Pool A</v>
      </c>
      <c r="AH355" s="453">
        <f t="shared" si="163"/>
        <v>1</v>
      </c>
      <c r="AI355" s="453">
        <f t="shared" si="164"/>
        <v>1</v>
      </c>
      <c r="AJ355" t="str">
        <f t="array" ref="AJ355">IF(AND(AI355&gt;1,G355&lt;&gt;""),INDEX(FS_teams,MATCH(1,(FS_Keys=AG355)*(FS_Points=I355)*(FS_teams&lt;&gt;G355),0)),"")</f>
        <v/>
      </c>
      <c r="AK355" s="390" t="str">
        <f t="array" ref="AK355">IF(AJ355&lt;&gt;"",INDEX(TM_Score1,MATCH(1,(TM_Events=D355)*(TM_Participant1=G355)*(TM_Participant2=AJ355),0)),"")</f>
        <v/>
      </c>
      <c r="AL355" s="390" t="str">
        <f t="array" ref="AL355">IF(AJ355&lt;&gt;"",INDEX(TM_Score1,MATCH(1,(TM_Events=D355)*(TM_Participant1=AJ355)*(TM_Participant2=G355),0)),"")</f>
        <v/>
      </c>
      <c r="AM355" s="389" t="str">
        <f t="array" ref="AM355">IF(ISNUMBER(AK355),INDEX(TM_Score2,MATCH(1,(TM_Events=D355)*(TM_Participant1=G355)*(TM_Participant2=AJ355),0)),"")</f>
        <v/>
      </c>
      <c r="AN355" s="389" t="str">
        <f t="array" ref="AN355">IF(ISNUMBER(AL355),INDEX(TM_Score2,MATCH(1,(TM_Events=D355)*(TM_Participant1=AJ355)*(TM_Participant2=G355),0)),"")</f>
        <v/>
      </c>
      <c r="AO355" s="389" t="str">
        <f t="shared" si="165"/>
        <v/>
      </c>
      <c r="AP355" s="389">
        <f t="shared" si="166"/>
        <v>3</v>
      </c>
      <c r="AQ355" s="389">
        <f t="shared" si="167"/>
        <v>0</v>
      </c>
      <c r="AR355" s="389">
        <f t="shared" si="168"/>
        <v>1</v>
      </c>
      <c r="AS355" s="453">
        <f t="shared" si="169"/>
        <v>10</v>
      </c>
      <c r="AT355" s="452">
        <f t="shared" si="170"/>
        <v>100</v>
      </c>
    </row>
    <row r="356" spans="1:46" ht="16" x14ac:dyDescent="0.2">
      <c r="A356" s="298"/>
      <c r="B356"/>
      <c r="D356" s="303" t="s">
        <v>77</v>
      </c>
      <c r="E356" s="396" t="s">
        <v>723</v>
      </c>
      <c r="F356" s="387">
        <v>1</v>
      </c>
      <c r="G356" s="397" t="s">
        <v>652</v>
      </c>
      <c r="H356" s="387" t="str">
        <f t="shared" si="145"/>
        <v>2-2-0</v>
      </c>
      <c r="I356" s="389">
        <f t="shared" si="146"/>
        <v>4</v>
      </c>
      <c r="J356" s="455" t="str">
        <f t="shared" si="171"/>
        <v/>
      </c>
      <c r="K356" s="455" t="str">
        <f t="shared" si="147"/>
        <v/>
      </c>
      <c r="L356" s="455" t="str">
        <f t="shared" si="172"/>
        <v/>
      </c>
      <c r="M356" s="389" t="str">
        <f>IFERROR(IF(AD356&lt;=VLOOKUP(D356,Tournaments!$A$1:$B$1772,2,FALSE),"TRUE","FALSE"),"")</f>
        <v>TRUE</v>
      </c>
      <c r="N356" s="389">
        <v>1</v>
      </c>
      <c r="O356" s="389">
        <f t="shared" si="148"/>
        <v>2</v>
      </c>
      <c r="Q356" s="389">
        <f t="shared" si="149"/>
        <v>2</v>
      </c>
      <c r="R356" s="389">
        <f t="shared" si="150"/>
        <v>2</v>
      </c>
      <c r="S356" s="389">
        <f t="shared" si="151"/>
        <v>0</v>
      </c>
      <c r="U356" s="389">
        <f t="shared" si="152"/>
        <v>2</v>
      </c>
      <c r="V356" s="389" t="b">
        <f t="shared" si="153"/>
        <v>0</v>
      </c>
      <c r="W356" s="389">
        <f t="shared" si="154"/>
        <v>-2</v>
      </c>
      <c r="X356" s="389">
        <f t="shared" si="155"/>
        <v>2</v>
      </c>
      <c r="Y356" s="389" t="b">
        <f t="shared" si="173"/>
        <v>0</v>
      </c>
      <c r="Z356" s="389">
        <f t="shared" si="156"/>
        <v>-2</v>
      </c>
      <c r="AA356" s="389">
        <f t="shared" si="157"/>
        <v>2</v>
      </c>
      <c r="AB356" s="389" t="b">
        <f t="shared" si="158"/>
        <v>0</v>
      </c>
      <c r="AC356" s="389">
        <f t="shared" si="159"/>
        <v>-2</v>
      </c>
      <c r="AD356" s="389">
        <f t="shared" si="160"/>
        <v>2</v>
      </c>
      <c r="AE356" s="389">
        <f t="shared" si="161"/>
        <v>1</v>
      </c>
      <c r="AG356" s="311" t="str">
        <f t="shared" si="162"/>
        <v>Junior B Male Flag Football-Pool B</v>
      </c>
      <c r="AH356" s="453">
        <f t="shared" si="163"/>
        <v>2</v>
      </c>
      <c r="AI356" s="453">
        <f t="shared" si="164"/>
        <v>1</v>
      </c>
      <c r="AJ356" t="str">
        <f t="array" ref="AJ356">IF(AND(AI356&gt;1,G356&lt;&gt;""),INDEX(FS_teams,MATCH(1,(FS_Keys=AG356)*(FS_Points=I356)*(FS_teams&lt;&gt;G356),0)),"")</f>
        <v/>
      </c>
      <c r="AK356" s="390" t="str">
        <f t="array" ref="AK356">IF(AJ356&lt;&gt;"",INDEX(TM_Score1,MATCH(1,(TM_Events=D356)*(TM_Participant1=G356)*(TM_Participant2=AJ356),0)),"")</f>
        <v/>
      </c>
      <c r="AL356" s="390" t="str">
        <f t="array" ref="AL356">IF(AJ356&lt;&gt;"",INDEX(TM_Score1,MATCH(1,(TM_Events=D356)*(TM_Participant1=AJ356)*(TM_Participant2=G356),0)),"")</f>
        <v/>
      </c>
      <c r="AM356" s="389" t="str">
        <f t="array" ref="AM356">IF(ISNUMBER(AK356),INDEX(TM_Score2,MATCH(1,(TM_Events=D356)*(TM_Participant1=G356)*(TM_Participant2=AJ356),0)),"")</f>
        <v/>
      </c>
      <c r="AN356" s="389" t="str">
        <f t="array" ref="AN356">IF(ISNUMBER(AL356),INDEX(TM_Score2,MATCH(1,(TM_Events=D356)*(TM_Participant1=AJ356)*(TM_Participant2=G356),0)),"")</f>
        <v/>
      </c>
      <c r="AO356" s="389" t="str">
        <f t="shared" si="165"/>
        <v/>
      </c>
      <c r="AP356" s="389">
        <f t="shared" si="166"/>
        <v>2</v>
      </c>
      <c r="AQ356" s="389">
        <f t="shared" si="167"/>
        <v>0</v>
      </c>
      <c r="AR356" s="389">
        <f t="shared" si="168"/>
        <v>2</v>
      </c>
      <c r="AS356" s="453">
        <f t="shared" si="169"/>
        <v>4</v>
      </c>
      <c r="AT356" s="452">
        <f t="shared" si="170"/>
        <v>95</v>
      </c>
    </row>
    <row r="357" spans="1:46" ht="16" x14ac:dyDescent="0.2">
      <c r="A357" s="298"/>
      <c r="B357"/>
      <c r="D357" s="303" t="s">
        <v>77</v>
      </c>
      <c r="E357" s="396" t="s">
        <v>723</v>
      </c>
      <c r="F357" s="387">
        <v>1</v>
      </c>
      <c r="G357" s="397" t="s">
        <v>654</v>
      </c>
      <c r="H357" s="387" t="str">
        <f t="shared" si="145"/>
        <v>4-0-0</v>
      </c>
      <c r="I357" s="389">
        <f t="shared" si="146"/>
        <v>8</v>
      </c>
      <c r="J357" s="455" t="str">
        <f t="shared" si="171"/>
        <v/>
      </c>
      <c r="K357" s="455" t="str">
        <f t="shared" si="147"/>
        <v/>
      </c>
      <c r="L357" s="455" t="str">
        <f t="shared" si="172"/>
        <v/>
      </c>
      <c r="M357" s="389" t="str">
        <f>IFERROR(IF(AD357&lt;=VLOOKUP(D357,Tournaments!$A$1:$B$1772,2,FALSE),"TRUE","FALSE"),"")</f>
        <v>TRUE</v>
      </c>
      <c r="N357" s="389">
        <v>1</v>
      </c>
      <c r="O357" s="389">
        <f t="shared" si="148"/>
        <v>1</v>
      </c>
      <c r="Q357" s="389">
        <f t="shared" si="149"/>
        <v>4</v>
      </c>
      <c r="R357" s="389">
        <f t="shared" si="150"/>
        <v>0</v>
      </c>
      <c r="S357" s="389">
        <f t="shared" si="151"/>
        <v>0</v>
      </c>
      <c r="U357" s="389">
        <f t="shared" si="152"/>
        <v>1</v>
      </c>
      <c r="V357" s="389" t="b">
        <f t="shared" si="153"/>
        <v>0</v>
      </c>
      <c r="W357" s="389">
        <f t="shared" si="154"/>
        <v>-1</v>
      </c>
      <c r="X357" s="389">
        <f t="shared" si="155"/>
        <v>1</v>
      </c>
      <c r="Y357" s="389" t="b">
        <f t="shared" si="173"/>
        <v>0</v>
      </c>
      <c r="Z357" s="389">
        <f t="shared" si="156"/>
        <v>-1</v>
      </c>
      <c r="AA357" s="389">
        <f t="shared" si="157"/>
        <v>1</v>
      </c>
      <c r="AB357" s="389" t="b">
        <f t="shared" si="158"/>
        <v>0</v>
      </c>
      <c r="AC357" s="389">
        <f t="shared" si="159"/>
        <v>-1</v>
      </c>
      <c r="AD357" s="389">
        <f t="shared" si="160"/>
        <v>1</v>
      </c>
      <c r="AE357" s="389">
        <f t="shared" si="161"/>
        <v>1</v>
      </c>
      <c r="AG357" s="311" t="str">
        <f t="shared" si="162"/>
        <v>Junior B Male Flag Football-Pool B</v>
      </c>
      <c r="AH357" s="453">
        <f t="shared" si="163"/>
        <v>1</v>
      </c>
      <c r="AI357" s="453">
        <f t="shared" si="164"/>
        <v>1</v>
      </c>
      <c r="AJ357" t="str">
        <f t="array" ref="AJ357">IF(AND(AI357&gt;1,G357&lt;&gt;""),INDEX(FS_teams,MATCH(1,(FS_Keys=AG357)*(FS_Points=I357)*(FS_teams&lt;&gt;G357),0)),"")</f>
        <v/>
      </c>
      <c r="AK357" s="390" t="str">
        <f t="array" ref="AK357">IF(AJ357&lt;&gt;"",INDEX(TM_Score1,MATCH(1,(TM_Events=D357)*(TM_Participant1=G357)*(TM_Participant2=AJ357),0)),"")</f>
        <v/>
      </c>
      <c r="AL357" s="390" t="str">
        <f t="array" ref="AL357">IF(AJ357&lt;&gt;"",INDEX(TM_Score1,MATCH(1,(TM_Events=D357)*(TM_Participant1=AJ357)*(TM_Participant2=G357),0)),"")</f>
        <v/>
      </c>
      <c r="AM357" s="389" t="str">
        <f t="array" ref="AM357">IF(ISNUMBER(AK357),INDEX(TM_Score2,MATCH(1,(TM_Events=D357)*(TM_Participant1=G357)*(TM_Participant2=AJ357),0)),"")</f>
        <v/>
      </c>
      <c r="AN357" s="389" t="str">
        <f t="array" ref="AN357">IF(ISNUMBER(AL357),INDEX(TM_Score2,MATCH(1,(TM_Events=D357)*(TM_Participant1=AJ357)*(TM_Participant2=G357),0)),"")</f>
        <v/>
      </c>
      <c r="AO357" s="389" t="str">
        <f t="shared" si="165"/>
        <v/>
      </c>
      <c r="AP357" s="389">
        <f t="shared" si="166"/>
        <v>4</v>
      </c>
      <c r="AQ357" s="389">
        <f t="shared" si="167"/>
        <v>0</v>
      </c>
      <c r="AR357" s="389">
        <f t="shared" si="168"/>
        <v>0</v>
      </c>
      <c r="AS357" s="453">
        <f t="shared" si="169"/>
        <v>67</v>
      </c>
      <c r="AT357" s="452">
        <f t="shared" si="170"/>
        <v>99</v>
      </c>
    </row>
    <row r="358" spans="1:46" ht="16" x14ac:dyDescent="0.2">
      <c r="A358" s="298"/>
      <c r="B358"/>
      <c r="D358" s="303" t="s">
        <v>77</v>
      </c>
      <c r="E358" s="396" t="s">
        <v>723</v>
      </c>
      <c r="F358" s="387">
        <v>1</v>
      </c>
      <c r="G358" s="397" t="s">
        <v>650</v>
      </c>
      <c r="H358" s="387" t="str">
        <f t="shared" si="145"/>
        <v>1-2-0</v>
      </c>
      <c r="I358" s="389">
        <f t="shared" si="146"/>
        <v>2</v>
      </c>
      <c r="J358" s="455" t="str">
        <f t="shared" si="171"/>
        <v/>
      </c>
      <c r="K358" s="455" t="str">
        <f t="shared" si="147"/>
        <v/>
      </c>
      <c r="L358" s="455" t="str">
        <f t="shared" si="172"/>
        <v/>
      </c>
      <c r="M358" s="389" t="str">
        <f>IFERROR(IF(AD358&lt;=VLOOKUP(D358,Tournaments!$A$1:$B$1772,2,FALSE),"TRUE","FALSE"),"")</f>
        <v>FALSE</v>
      </c>
      <c r="N358" s="389">
        <v>1</v>
      </c>
      <c r="O358" s="389">
        <f t="shared" si="148"/>
        <v>3</v>
      </c>
      <c r="Q358" s="389">
        <f t="shared" si="149"/>
        <v>1</v>
      </c>
      <c r="R358" s="389">
        <f t="shared" si="150"/>
        <v>2</v>
      </c>
      <c r="S358" s="389">
        <f t="shared" si="151"/>
        <v>0</v>
      </c>
      <c r="U358" s="389">
        <f t="shared" si="152"/>
        <v>3</v>
      </c>
      <c r="V358" s="389" t="b">
        <f t="shared" si="153"/>
        <v>0</v>
      </c>
      <c r="W358" s="389">
        <f t="shared" si="154"/>
        <v>-3</v>
      </c>
      <c r="X358" s="389">
        <f t="shared" si="155"/>
        <v>3</v>
      </c>
      <c r="Y358" s="389" t="b">
        <f t="shared" si="173"/>
        <v>0</v>
      </c>
      <c r="Z358" s="389">
        <f t="shared" si="156"/>
        <v>-3</v>
      </c>
      <c r="AA358" s="389">
        <f t="shared" si="157"/>
        <v>3</v>
      </c>
      <c r="AB358" s="389" t="b">
        <f t="shared" si="158"/>
        <v>0</v>
      </c>
      <c r="AC358" s="389">
        <f t="shared" si="159"/>
        <v>-3</v>
      </c>
      <c r="AD358" s="389">
        <f t="shared" si="160"/>
        <v>3</v>
      </c>
      <c r="AE358" s="389">
        <f t="shared" si="161"/>
        <v>1</v>
      </c>
      <c r="AG358" s="311" t="str">
        <f t="shared" si="162"/>
        <v>Junior B Male Flag Football-Pool B</v>
      </c>
      <c r="AH358" s="453">
        <f t="shared" si="163"/>
        <v>3</v>
      </c>
      <c r="AI358" s="453">
        <f t="shared" si="164"/>
        <v>1</v>
      </c>
      <c r="AJ358" t="str">
        <f t="array" ref="AJ358">IF(AND(AI358&gt;1,G358&lt;&gt;""),INDEX(FS_teams,MATCH(1,(FS_Keys=AG358)*(FS_Points=I358)*(FS_teams&lt;&gt;G358),0)),"")</f>
        <v/>
      </c>
      <c r="AK358" s="390" t="str">
        <f t="array" ref="AK358">IF(AJ358&lt;&gt;"",INDEX(TM_Score1,MATCH(1,(TM_Events=D358)*(TM_Participant1=G358)*(TM_Participant2=AJ358),0)),"")</f>
        <v/>
      </c>
      <c r="AL358" s="390" t="str">
        <f t="array" ref="AL358">IF(AJ358&lt;&gt;"",INDEX(TM_Score1,MATCH(1,(TM_Events=D358)*(TM_Participant1=AJ358)*(TM_Participant2=G358),0)),"")</f>
        <v/>
      </c>
      <c r="AM358" s="389" t="str">
        <f t="array" ref="AM358">IF(ISNUMBER(AK358),INDEX(TM_Score2,MATCH(1,(TM_Events=D358)*(TM_Participant1=G358)*(TM_Participant2=AJ358),0)),"")</f>
        <v/>
      </c>
      <c r="AN358" s="389" t="str">
        <f t="array" ref="AN358">IF(ISNUMBER(AL358),INDEX(TM_Score2,MATCH(1,(TM_Events=D358)*(TM_Participant1=AJ358)*(TM_Participant2=G358),0)),"")</f>
        <v/>
      </c>
      <c r="AO358" s="389" t="str">
        <f t="shared" si="165"/>
        <v/>
      </c>
      <c r="AP358" s="389">
        <f t="shared" si="166"/>
        <v>1</v>
      </c>
      <c r="AQ358" s="389">
        <f t="shared" si="167"/>
        <v>0</v>
      </c>
      <c r="AR358" s="389">
        <f t="shared" si="168"/>
        <v>2</v>
      </c>
      <c r="AS358" s="453">
        <f t="shared" si="169"/>
        <v>-2</v>
      </c>
      <c r="AT358" s="452">
        <f t="shared" si="170"/>
        <v>43</v>
      </c>
    </row>
    <row r="359" spans="1:46" ht="16" x14ac:dyDescent="0.2">
      <c r="A359" s="298"/>
      <c r="B359"/>
      <c r="D359" s="303" t="s">
        <v>77</v>
      </c>
      <c r="E359" s="396" t="s">
        <v>723</v>
      </c>
      <c r="F359" s="387">
        <v>1</v>
      </c>
      <c r="G359" s="397" t="s">
        <v>656</v>
      </c>
      <c r="H359" s="387" t="str">
        <f t="shared" si="145"/>
        <v>0-3-0</v>
      </c>
      <c r="I359" s="389">
        <f t="shared" si="146"/>
        <v>0</v>
      </c>
      <c r="J359" s="455" t="str">
        <f t="shared" si="171"/>
        <v/>
      </c>
      <c r="K359" s="455" t="str">
        <f t="shared" si="147"/>
        <v/>
      </c>
      <c r="L359" s="455" t="str">
        <f t="shared" si="172"/>
        <v/>
      </c>
      <c r="M359" s="389" t="str">
        <f>IFERROR(IF(AD359&lt;=VLOOKUP(D359,Tournaments!$A$1:$B$1772,2,FALSE),"TRUE","FALSE"),"")</f>
        <v>FALSE</v>
      </c>
      <c r="N359" s="389">
        <v>1</v>
      </c>
      <c r="O359" s="389">
        <f t="shared" si="148"/>
        <v>4</v>
      </c>
      <c r="Q359" s="389">
        <f t="shared" si="149"/>
        <v>0</v>
      </c>
      <c r="R359" s="389">
        <f t="shared" si="150"/>
        <v>3</v>
      </c>
      <c r="S359" s="389">
        <f t="shared" si="151"/>
        <v>0</v>
      </c>
      <c r="U359" s="389">
        <f t="shared" si="152"/>
        <v>4</v>
      </c>
      <c r="V359" s="389" t="b">
        <f t="shared" si="153"/>
        <v>0</v>
      </c>
      <c r="W359" s="389">
        <f t="shared" si="154"/>
        <v>-4</v>
      </c>
      <c r="X359" s="389">
        <f t="shared" si="155"/>
        <v>4</v>
      </c>
      <c r="Y359" s="389" t="b">
        <f t="shared" si="173"/>
        <v>0</v>
      </c>
      <c r="Z359" s="389">
        <f t="shared" si="156"/>
        <v>-4</v>
      </c>
      <c r="AA359" s="389">
        <f t="shared" si="157"/>
        <v>4</v>
      </c>
      <c r="AB359" s="389" t="b">
        <f t="shared" si="158"/>
        <v>0</v>
      </c>
      <c r="AC359" s="389">
        <f t="shared" si="159"/>
        <v>-4</v>
      </c>
      <c r="AD359" s="389">
        <f t="shared" si="160"/>
        <v>4</v>
      </c>
      <c r="AE359" s="389">
        <f t="shared" si="161"/>
        <v>1</v>
      </c>
      <c r="AG359" s="311" t="str">
        <f t="shared" si="162"/>
        <v>Junior B Male Flag Football-Pool B</v>
      </c>
      <c r="AH359" s="453">
        <f t="shared" si="163"/>
        <v>4</v>
      </c>
      <c r="AI359" s="453">
        <f t="shared" si="164"/>
        <v>1</v>
      </c>
      <c r="AJ359" t="str">
        <f t="array" ref="AJ359">IF(AND(AI359&gt;1,G359&lt;&gt;""),INDEX(FS_teams,MATCH(1,(FS_Keys=AG359)*(FS_Points=I359)*(FS_teams&lt;&gt;G359),0)),"")</f>
        <v/>
      </c>
      <c r="AK359" s="390" t="str">
        <f t="array" ref="AK359">IF(AJ359&lt;&gt;"",INDEX(TM_Score1,MATCH(1,(TM_Events=D359)*(TM_Participant1=G359)*(TM_Participant2=AJ359),0)),"")</f>
        <v/>
      </c>
      <c r="AL359" s="390" t="str">
        <f t="array" ref="AL359">IF(AJ359&lt;&gt;"",INDEX(TM_Score1,MATCH(1,(TM_Events=D359)*(TM_Participant1=AJ359)*(TM_Participant2=G359),0)),"")</f>
        <v/>
      </c>
      <c r="AM359" s="389" t="str">
        <f t="array" ref="AM359">IF(ISNUMBER(AK359),INDEX(TM_Score2,MATCH(1,(TM_Events=D359)*(TM_Participant1=G359)*(TM_Participant2=AJ359),0)),"")</f>
        <v/>
      </c>
      <c r="AN359" s="389" t="str">
        <f t="array" ref="AN359">IF(ISNUMBER(AL359),INDEX(TM_Score2,MATCH(1,(TM_Events=D359)*(TM_Participant1=AJ359)*(TM_Participant2=G359),0)),"")</f>
        <v/>
      </c>
      <c r="AO359" s="389" t="str">
        <f t="shared" si="165"/>
        <v/>
      </c>
      <c r="AP359" s="389">
        <f t="shared" si="166"/>
        <v>0</v>
      </c>
      <c r="AQ359" s="389">
        <f t="shared" si="167"/>
        <v>0</v>
      </c>
      <c r="AR359" s="389">
        <f t="shared" si="168"/>
        <v>3</v>
      </c>
      <c r="AS359" s="453">
        <f t="shared" si="169"/>
        <v>-50</v>
      </c>
      <c r="AT359" s="452">
        <f t="shared" si="170"/>
        <v>18</v>
      </c>
    </row>
    <row r="360" spans="1:46" ht="16" x14ac:dyDescent="0.2">
      <c r="A360" s="298"/>
      <c r="B360"/>
      <c r="D360" s="298" t="s">
        <v>75</v>
      </c>
      <c r="E360" s="389" t="s">
        <v>722</v>
      </c>
      <c r="F360" s="389">
        <v>1</v>
      </c>
      <c r="G360" s="390" t="s">
        <v>654</v>
      </c>
      <c r="H360" s="387" t="str">
        <f t="shared" si="145"/>
        <v>0-3-0</v>
      </c>
      <c r="I360" s="389">
        <f t="shared" si="146"/>
        <v>0</v>
      </c>
      <c r="J360" s="455" t="str">
        <f t="shared" si="171"/>
        <v/>
      </c>
      <c r="K360" s="455" t="str">
        <f t="shared" si="147"/>
        <v/>
      </c>
      <c r="L360" s="455" t="str">
        <f t="shared" si="172"/>
        <v/>
      </c>
      <c r="M360" s="389" t="str">
        <f>IFERROR(IF(AD360&lt;=VLOOKUP(D360,Tournaments!$A$1:$B$1772,2,FALSE),"TRUE","FALSE"),"")</f>
        <v>FALSE</v>
      </c>
      <c r="N360" s="389">
        <v>1</v>
      </c>
      <c r="O360" s="389">
        <f t="shared" si="148"/>
        <v>4</v>
      </c>
      <c r="Q360" s="389">
        <f t="shared" si="149"/>
        <v>0</v>
      </c>
      <c r="R360" s="389">
        <f t="shared" si="150"/>
        <v>3</v>
      </c>
      <c r="S360" s="389">
        <f t="shared" si="151"/>
        <v>0</v>
      </c>
      <c r="U360" s="389">
        <f t="shared" si="152"/>
        <v>4</v>
      </c>
      <c r="V360" s="389" t="b">
        <f t="shared" si="153"/>
        <v>0</v>
      </c>
      <c r="W360" s="389">
        <f t="shared" si="154"/>
        <v>-4</v>
      </c>
      <c r="X360" s="389">
        <f t="shared" si="155"/>
        <v>4</v>
      </c>
      <c r="Y360" s="389" t="b">
        <f t="shared" si="173"/>
        <v>0</v>
      </c>
      <c r="Z360" s="389">
        <f t="shared" si="156"/>
        <v>-4</v>
      </c>
      <c r="AA360" s="389">
        <f t="shared" si="157"/>
        <v>4</v>
      </c>
      <c r="AB360" s="389" t="b">
        <f t="shared" si="158"/>
        <v>0</v>
      </c>
      <c r="AC360" s="389">
        <f t="shared" si="159"/>
        <v>-4</v>
      </c>
      <c r="AD360" s="389">
        <f t="shared" si="160"/>
        <v>4</v>
      </c>
      <c r="AE360" s="389">
        <f t="shared" si="161"/>
        <v>1</v>
      </c>
      <c r="AG360" s="311" t="str">
        <f t="shared" si="162"/>
        <v>Junior B Male Mini Soccer-Pool A</v>
      </c>
      <c r="AH360" s="453">
        <f t="shared" si="163"/>
        <v>4</v>
      </c>
      <c r="AI360" s="453">
        <f t="shared" si="164"/>
        <v>1</v>
      </c>
      <c r="AJ360" t="str">
        <f t="array" ref="AJ360">IF(AND(AI360&gt;1,G360&lt;&gt;""),INDEX(FS_teams,MATCH(1,(FS_Keys=AG360)*(FS_Points=I360)*(FS_teams&lt;&gt;G360),0)),"")</f>
        <v/>
      </c>
      <c r="AK360" s="390" t="str">
        <f t="array" ref="AK360">IF(AJ360&lt;&gt;"",INDEX(TM_Score1,MATCH(1,(TM_Events=D360)*(TM_Participant1=G360)*(TM_Participant2=AJ360),0)),"")</f>
        <v/>
      </c>
      <c r="AL360" s="390" t="str">
        <f t="array" ref="AL360">IF(AJ360&lt;&gt;"",INDEX(TM_Score1,MATCH(1,(TM_Events=D360)*(TM_Participant1=AJ360)*(TM_Participant2=G360),0)),"")</f>
        <v/>
      </c>
      <c r="AM360" s="389" t="str">
        <f t="array" ref="AM360">IF(ISNUMBER(AK360),INDEX(TM_Score2,MATCH(1,(TM_Events=D360)*(TM_Participant1=G360)*(TM_Participant2=AJ360),0)),"")</f>
        <v/>
      </c>
      <c r="AN360" s="389" t="str">
        <f t="array" ref="AN360">IF(ISNUMBER(AL360),INDEX(TM_Score2,MATCH(1,(TM_Events=D360)*(TM_Participant1=AJ360)*(TM_Participant2=G360),0)),"")</f>
        <v/>
      </c>
      <c r="AO360" s="389" t="str">
        <f t="shared" si="165"/>
        <v/>
      </c>
      <c r="AP360" s="389">
        <f t="shared" si="166"/>
        <v>0</v>
      </c>
      <c r="AQ360" s="389">
        <f t="shared" si="167"/>
        <v>0</v>
      </c>
      <c r="AR360" s="389">
        <f t="shared" si="168"/>
        <v>3</v>
      </c>
      <c r="AS360" s="453">
        <f t="shared" si="169"/>
        <v>-9</v>
      </c>
      <c r="AT360" s="452">
        <f t="shared" si="170"/>
        <v>3</v>
      </c>
    </row>
    <row r="361" spans="1:46" ht="16" x14ac:dyDescent="0.2">
      <c r="A361" s="298"/>
      <c r="B361"/>
      <c r="D361" s="303" t="s">
        <v>75</v>
      </c>
      <c r="E361" s="396" t="s">
        <v>722</v>
      </c>
      <c r="F361" s="387">
        <v>1</v>
      </c>
      <c r="G361" s="397" t="s">
        <v>652</v>
      </c>
      <c r="H361" s="387" t="str">
        <f t="shared" si="145"/>
        <v>3-1-0</v>
      </c>
      <c r="I361" s="389">
        <f t="shared" si="146"/>
        <v>6</v>
      </c>
      <c r="J361" s="455" t="str">
        <f t="shared" si="171"/>
        <v/>
      </c>
      <c r="K361" s="455" t="str">
        <f t="shared" si="147"/>
        <v/>
      </c>
      <c r="L361" s="455" t="str">
        <f t="shared" si="172"/>
        <v/>
      </c>
      <c r="M361" s="389" t="str">
        <f>IFERROR(IF(AD361&lt;=VLOOKUP(D361,Tournaments!$A$1:$B$1772,2,FALSE),"TRUE","FALSE"),"")</f>
        <v>TRUE</v>
      </c>
      <c r="N361" s="389">
        <v>1</v>
      </c>
      <c r="O361" s="389">
        <f t="shared" si="148"/>
        <v>2</v>
      </c>
      <c r="Q361" s="389">
        <f t="shared" si="149"/>
        <v>3</v>
      </c>
      <c r="R361" s="389">
        <f t="shared" si="150"/>
        <v>1</v>
      </c>
      <c r="S361" s="389">
        <f t="shared" si="151"/>
        <v>0</v>
      </c>
      <c r="U361" s="389">
        <f t="shared" si="152"/>
        <v>2</v>
      </c>
      <c r="V361" s="389" t="b">
        <f t="shared" si="153"/>
        <v>0</v>
      </c>
      <c r="W361" s="389">
        <f t="shared" si="154"/>
        <v>-2</v>
      </c>
      <c r="X361" s="389">
        <f t="shared" si="155"/>
        <v>2</v>
      </c>
      <c r="Y361" s="389" t="b">
        <f t="shared" si="173"/>
        <v>0</v>
      </c>
      <c r="Z361" s="389">
        <f t="shared" si="156"/>
        <v>-2</v>
      </c>
      <c r="AA361" s="389">
        <f t="shared" si="157"/>
        <v>2</v>
      </c>
      <c r="AB361" s="389" t="b">
        <f t="shared" si="158"/>
        <v>0</v>
      </c>
      <c r="AC361" s="389">
        <f t="shared" si="159"/>
        <v>-2</v>
      </c>
      <c r="AD361" s="389">
        <f t="shared" si="160"/>
        <v>2</v>
      </c>
      <c r="AE361" s="389">
        <f t="shared" si="161"/>
        <v>1</v>
      </c>
      <c r="AG361" s="311" t="str">
        <f t="shared" si="162"/>
        <v>Junior B Male Mini Soccer-Pool A</v>
      </c>
      <c r="AH361" s="453">
        <f t="shared" si="163"/>
        <v>2</v>
      </c>
      <c r="AI361" s="453">
        <f t="shared" si="164"/>
        <v>1</v>
      </c>
      <c r="AJ361" t="str">
        <f t="array" ref="AJ361">IF(AND(AI361&gt;1,G361&lt;&gt;""),INDEX(FS_teams,MATCH(1,(FS_Keys=AG361)*(FS_Points=I361)*(FS_teams&lt;&gt;G361),0)),"")</f>
        <v/>
      </c>
      <c r="AK361" s="390" t="str">
        <f t="array" ref="AK361">IF(AJ361&lt;&gt;"",INDEX(TM_Score1,MATCH(1,(TM_Events=D361)*(TM_Participant1=G361)*(TM_Participant2=AJ361),0)),"")</f>
        <v/>
      </c>
      <c r="AL361" s="390" t="str">
        <f t="array" ref="AL361">IF(AJ361&lt;&gt;"",INDEX(TM_Score1,MATCH(1,(TM_Events=D361)*(TM_Participant1=AJ361)*(TM_Participant2=G361),0)),"")</f>
        <v/>
      </c>
      <c r="AM361" s="389" t="str">
        <f t="array" ref="AM361">IF(ISNUMBER(AK361),INDEX(TM_Score2,MATCH(1,(TM_Events=D361)*(TM_Participant1=G361)*(TM_Participant2=AJ361),0)),"")</f>
        <v/>
      </c>
      <c r="AN361" s="389" t="str">
        <f t="array" ref="AN361">IF(ISNUMBER(AL361),INDEX(TM_Score2,MATCH(1,(TM_Events=D361)*(TM_Participant1=AJ361)*(TM_Participant2=G361),0)),"")</f>
        <v/>
      </c>
      <c r="AO361" s="389" t="str">
        <f t="shared" si="165"/>
        <v/>
      </c>
      <c r="AP361" s="389">
        <f t="shared" si="166"/>
        <v>3</v>
      </c>
      <c r="AQ361" s="389">
        <f t="shared" si="167"/>
        <v>0</v>
      </c>
      <c r="AR361" s="389">
        <f t="shared" si="168"/>
        <v>1</v>
      </c>
      <c r="AS361" s="453">
        <f t="shared" si="169"/>
        <v>6</v>
      </c>
      <c r="AT361" s="452">
        <f t="shared" si="170"/>
        <v>20</v>
      </c>
    </row>
    <row r="362" spans="1:46" ht="16" x14ac:dyDescent="0.2">
      <c r="A362" s="298"/>
      <c r="B362"/>
      <c r="D362" s="303" t="s">
        <v>75</v>
      </c>
      <c r="E362" s="396" t="s">
        <v>722</v>
      </c>
      <c r="F362" s="387">
        <v>1</v>
      </c>
      <c r="G362" s="397" t="s">
        <v>656</v>
      </c>
      <c r="H362" s="387" t="str">
        <f t="shared" si="145"/>
        <v>4-1-0</v>
      </c>
      <c r="I362" s="389">
        <f t="shared" si="146"/>
        <v>8</v>
      </c>
      <c r="J362" s="455" t="str">
        <f t="shared" si="171"/>
        <v/>
      </c>
      <c r="K362" s="455" t="str">
        <f t="shared" si="147"/>
        <v/>
      </c>
      <c r="L362" s="455" t="str">
        <f t="shared" si="172"/>
        <v/>
      </c>
      <c r="M362" s="389" t="str">
        <f>IFERROR(IF(AD362&lt;=VLOOKUP(D362,Tournaments!$A$1:$B$1772,2,FALSE),"TRUE","FALSE"),"")</f>
        <v>TRUE</v>
      </c>
      <c r="N362" s="389">
        <v>1</v>
      </c>
      <c r="O362" s="389">
        <f t="shared" si="148"/>
        <v>1</v>
      </c>
      <c r="Q362" s="389">
        <f t="shared" si="149"/>
        <v>4</v>
      </c>
      <c r="R362" s="389">
        <f t="shared" si="150"/>
        <v>1</v>
      </c>
      <c r="S362" s="389">
        <f t="shared" si="151"/>
        <v>0</v>
      </c>
      <c r="U362" s="389">
        <f t="shared" si="152"/>
        <v>1</v>
      </c>
      <c r="V362" s="389" t="b">
        <f t="shared" si="153"/>
        <v>0</v>
      </c>
      <c r="W362" s="389">
        <f t="shared" si="154"/>
        <v>-1</v>
      </c>
      <c r="X362" s="389">
        <f t="shared" si="155"/>
        <v>1</v>
      </c>
      <c r="Y362" s="389" t="b">
        <f t="shared" si="173"/>
        <v>0</v>
      </c>
      <c r="Z362" s="389">
        <f t="shared" si="156"/>
        <v>-1</v>
      </c>
      <c r="AA362" s="389">
        <f t="shared" si="157"/>
        <v>1</v>
      </c>
      <c r="AB362" s="389" t="b">
        <f t="shared" si="158"/>
        <v>0</v>
      </c>
      <c r="AC362" s="389">
        <f t="shared" si="159"/>
        <v>-1</v>
      </c>
      <c r="AD362" s="389">
        <f t="shared" si="160"/>
        <v>1</v>
      </c>
      <c r="AE362" s="389">
        <f t="shared" si="161"/>
        <v>1</v>
      </c>
      <c r="AG362" s="311" t="str">
        <f t="shared" si="162"/>
        <v>Junior B Male Mini Soccer-Pool A</v>
      </c>
      <c r="AH362" s="453">
        <f t="shared" si="163"/>
        <v>1</v>
      </c>
      <c r="AI362" s="453">
        <f t="shared" si="164"/>
        <v>1</v>
      </c>
      <c r="AJ362" t="str">
        <f t="array" ref="AJ362">IF(AND(AI362&gt;1,G362&lt;&gt;""),INDEX(FS_teams,MATCH(1,(FS_Keys=AG362)*(FS_Points=I362)*(FS_teams&lt;&gt;G362),0)),"")</f>
        <v/>
      </c>
      <c r="AK362" s="390" t="str">
        <f t="array" ref="AK362">IF(AJ362&lt;&gt;"",INDEX(TM_Score1,MATCH(1,(TM_Events=D362)*(TM_Participant1=G362)*(TM_Participant2=AJ362),0)),"")</f>
        <v/>
      </c>
      <c r="AL362" s="390" t="str">
        <f t="array" ref="AL362">IF(AJ362&lt;&gt;"",INDEX(TM_Score1,MATCH(1,(TM_Events=D362)*(TM_Participant1=AJ362)*(TM_Participant2=G362),0)),"")</f>
        <v/>
      </c>
      <c r="AM362" s="389" t="str">
        <f t="array" ref="AM362">IF(ISNUMBER(AK362),INDEX(TM_Score2,MATCH(1,(TM_Events=D362)*(TM_Participant1=G362)*(TM_Participant2=AJ362),0)),"")</f>
        <v/>
      </c>
      <c r="AN362" s="389" t="str">
        <f t="array" ref="AN362">IF(ISNUMBER(AL362),INDEX(TM_Score2,MATCH(1,(TM_Events=D362)*(TM_Participant1=AJ362)*(TM_Participant2=G362),0)),"")</f>
        <v/>
      </c>
      <c r="AO362" s="389" t="str">
        <f t="shared" si="165"/>
        <v/>
      </c>
      <c r="AP362" s="389">
        <f t="shared" si="166"/>
        <v>4</v>
      </c>
      <c r="AQ362" s="389">
        <f t="shared" si="167"/>
        <v>0</v>
      </c>
      <c r="AR362" s="389">
        <f t="shared" si="168"/>
        <v>1</v>
      </c>
      <c r="AS362" s="453">
        <f t="shared" si="169"/>
        <v>5</v>
      </c>
      <c r="AT362" s="452">
        <f t="shared" si="170"/>
        <v>13</v>
      </c>
    </row>
    <row r="363" spans="1:46" ht="16" x14ac:dyDescent="0.2">
      <c r="A363" s="298"/>
      <c r="B363"/>
      <c r="D363" s="303" t="s">
        <v>75</v>
      </c>
      <c r="E363" s="396" t="s">
        <v>722</v>
      </c>
      <c r="F363" s="387">
        <v>1</v>
      </c>
      <c r="G363" s="397" t="s">
        <v>648</v>
      </c>
      <c r="H363" s="387" t="str">
        <f t="shared" si="145"/>
        <v>1-2-0</v>
      </c>
      <c r="I363" s="389">
        <f t="shared" si="146"/>
        <v>2</v>
      </c>
      <c r="J363" s="455" t="str">
        <f t="shared" si="171"/>
        <v/>
      </c>
      <c r="K363" s="455" t="str">
        <f t="shared" si="147"/>
        <v/>
      </c>
      <c r="L363" s="455" t="str">
        <f t="shared" si="172"/>
        <v/>
      </c>
      <c r="M363" s="389" t="str">
        <f>IFERROR(IF(AD363&lt;=VLOOKUP(D363,Tournaments!$A$1:$B$1772,2,FALSE),"TRUE","FALSE"),"")</f>
        <v>FALSE</v>
      </c>
      <c r="N363" s="389">
        <v>1</v>
      </c>
      <c r="O363" s="389">
        <f t="shared" si="148"/>
        <v>3</v>
      </c>
      <c r="Q363" s="389">
        <f t="shared" si="149"/>
        <v>1</v>
      </c>
      <c r="R363" s="389">
        <f t="shared" si="150"/>
        <v>2</v>
      </c>
      <c r="S363" s="389">
        <f t="shared" si="151"/>
        <v>0</v>
      </c>
      <c r="U363" s="389">
        <f t="shared" si="152"/>
        <v>3</v>
      </c>
      <c r="V363" s="389" t="b">
        <f t="shared" si="153"/>
        <v>0</v>
      </c>
      <c r="W363" s="389">
        <f t="shared" si="154"/>
        <v>-3</v>
      </c>
      <c r="X363" s="389">
        <f t="shared" si="155"/>
        <v>3</v>
      </c>
      <c r="Y363" s="389" t="b">
        <f t="shared" si="173"/>
        <v>0</v>
      </c>
      <c r="Z363" s="389">
        <f t="shared" si="156"/>
        <v>-3</v>
      </c>
      <c r="AA363" s="389">
        <f t="shared" si="157"/>
        <v>3</v>
      </c>
      <c r="AB363" s="389" t="b">
        <f t="shared" si="158"/>
        <v>0</v>
      </c>
      <c r="AC363" s="389">
        <f t="shared" si="159"/>
        <v>-3</v>
      </c>
      <c r="AD363" s="389">
        <f t="shared" si="160"/>
        <v>3</v>
      </c>
      <c r="AE363" s="389">
        <f t="shared" si="161"/>
        <v>1</v>
      </c>
      <c r="AG363" s="311" t="str">
        <f t="shared" si="162"/>
        <v>Junior B Male Mini Soccer-Pool A</v>
      </c>
      <c r="AH363" s="453">
        <f t="shared" si="163"/>
        <v>3</v>
      </c>
      <c r="AI363" s="453">
        <f t="shared" si="164"/>
        <v>1</v>
      </c>
      <c r="AJ363" t="str">
        <f t="array" ref="AJ363">IF(AND(AI363&gt;1,G363&lt;&gt;""),INDEX(FS_teams,MATCH(1,(FS_Keys=AG363)*(FS_Points=I363)*(FS_teams&lt;&gt;G363),0)),"")</f>
        <v/>
      </c>
      <c r="AK363" s="390" t="str">
        <f t="array" ref="AK363">IF(AJ363&lt;&gt;"",INDEX(TM_Score1,MATCH(1,(TM_Events=D363)*(TM_Participant1=G363)*(TM_Participant2=AJ363),0)),"")</f>
        <v/>
      </c>
      <c r="AL363" s="390" t="str">
        <f t="array" ref="AL363">IF(AJ363&lt;&gt;"",INDEX(TM_Score1,MATCH(1,(TM_Events=D363)*(TM_Participant1=AJ363)*(TM_Participant2=G363),0)),"")</f>
        <v/>
      </c>
      <c r="AM363" s="389" t="str">
        <f t="array" ref="AM363">IF(ISNUMBER(AK363),INDEX(TM_Score2,MATCH(1,(TM_Events=D363)*(TM_Participant1=G363)*(TM_Participant2=AJ363),0)),"")</f>
        <v/>
      </c>
      <c r="AN363" s="389" t="str">
        <f t="array" ref="AN363">IF(ISNUMBER(AL363),INDEX(TM_Score2,MATCH(1,(TM_Events=D363)*(TM_Participant1=AJ363)*(TM_Participant2=G363),0)),"")</f>
        <v/>
      </c>
      <c r="AO363" s="389" t="str">
        <f t="shared" si="165"/>
        <v/>
      </c>
      <c r="AP363" s="389">
        <f t="shared" si="166"/>
        <v>1</v>
      </c>
      <c r="AQ363" s="389">
        <f t="shared" si="167"/>
        <v>0</v>
      </c>
      <c r="AR363" s="389">
        <f t="shared" si="168"/>
        <v>2</v>
      </c>
      <c r="AS363" s="453">
        <f t="shared" si="169"/>
        <v>1</v>
      </c>
      <c r="AT363" s="452">
        <f t="shared" si="170"/>
        <v>11</v>
      </c>
    </row>
    <row r="364" spans="1:46" ht="16" x14ac:dyDescent="0.2">
      <c r="A364" s="298"/>
      <c r="B364"/>
      <c r="D364" s="303" t="s">
        <v>75</v>
      </c>
      <c r="E364" s="396" t="s">
        <v>723</v>
      </c>
      <c r="F364" s="387">
        <v>1</v>
      </c>
      <c r="G364" s="397" t="s">
        <v>655</v>
      </c>
      <c r="H364" s="387" t="str">
        <f t="shared" si="145"/>
        <v>0-3-0</v>
      </c>
      <c r="I364" s="389">
        <f t="shared" si="146"/>
        <v>0</v>
      </c>
      <c r="J364" s="455" t="str">
        <f t="shared" si="171"/>
        <v/>
      </c>
      <c r="K364" s="455" t="str">
        <f t="shared" si="147"/>
        <v/>
      </c>
      <c r="L364" s="455" t="str">
        <f t="shared" si="172"/>
        <v/>
      </c>
      <c r="M364" s="389" t="str">
        <f>IFERROR(IF(AD364&lt;=VLOOKUP(D364,Tournaments!$A$1:$B$1772,2,FALSE),"TRUE","FALSE"),"")</f>
        <v>FALSE</v>
      </c>
      <c r="N364" s="389">
        <v>1</v>
      </c>
      <c r="O364" s="389">
        <f t="shared" si="148"/>
        <v>4</v>
      </c>
      <c r="Q364" s="389">
        <f t="shared" si="149"/>
        <v>0</v>
      </c>
      <c r="R364" s="389">
        <f t="shared" si="150"/>
        <v>3</v>
      </c>
      <c r="S364" s="389">
        <f t="shared" si="151"/>
        <v>0</v>
      </c>
      <c r="U364" s="389">
        <f t="shared" si="152"/>
        <v>4</v>
      </c>
      <c r="V364" s="389" t="b">
        <f t="shared" si="153"/>
        <v>0</v>
      </c>
      <c r="W364" s="389">
        <f t="shared" si="154"/>
        <v>-4</v>
      </c>
      <c r="X364" s="389">
        <f t="shared" si="155"/>
        <v>4</v>
      </c>
      <c r="Y364" s="389" t="b">
        <f t="shared" si="173"/>
        <v>0</v>
      </c>
      <c r="Z364" s="389">
        <f t="shared" si="156"/>
        <v>-4</v>
      </c>
      <c r="AA364" s="389">
        <f t="shared" si="157"/>
        <v>4</v>
      </c>
      <c r="AB364" s="389" t="b">
        <f t="shared" si="158"/>
        <v>0</v>
      </c>
      <c r="AC364" s="389">
        <f t="shared" si="159"/>
        <v>-4</v>
      </c>
      <c r="AD364" s="389">
        <f t="shared" si="160"/>
        <v>4</v>
      </c>
      <c r="AE364" s="389">
        <f t="shared" si="161"/>
        <v>1</v>
      </c>
      <c r="AG364" s="311" t="str">
        <f t="shared" si="162"/>
        <v>Junior B Male Mini Soccer-Pool B</v>
      </c>
      <c r="AH364" s="453">
        <f t="shared" si="163"/>
        <v>4</v>
      </c>
      <c r="AI364" s="453">
        <f t="shared" si="164"/>
        <v>1</v>
      </c>
      <c r="AJ364" t="str">
        <f t="array" ref="AJ364">IF(AND(AI364&gt;1,G364&lt;&gt;""),INDEX(FS_teams,MATCH(1,(FS_Keys=AG364)*(FS_Points=I364)*(FS_teams&lt;&gt;G364),0)),"")</f>
        <v/>
      </c>
      <c r="AK364" s="390" t="str">
        <f t="array" ref="AK364">IF(AJ364&lt;&gt;"",INDEX(TM_Score1,MATCH(1,(TM_Events=D364)*(TM_Participant1=G364)*(TM_Participant2=AJ364),0)),"")</f>
        <v/>
      </c>
      <c r="AL364" s="390" t="str">
        <f t="array" ref="AL364">IF(AJ364&lt;&gt;"",INDEX(TM_Score1,MATCH(1,(TM_Events=D364)*(TM_Participant1=AJ364)*(TM_Participant2=G364),0)),"")</f>
        <v/>
      </c>
      <c r="AM364" s="389" t="str">
        <f t="array" ref="AM364">IF(ISNUMBER(AK364),INDEX(TM_Score2,MATCH(1,(TM_Events=D364)*(TM_Participant1=G364)*(TM_Participant2=AJ364),0)),"")</f>
        <v/>
      </c>
      <c r="AN364" s="389" t="str">
        <f t="array" ref="AN364">IF(ISNUMBER(AL364),INDEX(TM_Score2,MATCH(1,(TM_Events=D364)*(TM_Participant1=AJ364)*(TM_Participant2=G364),0)),"")</f>
        <v/>
      </c>
      <c r="AO364" s="389" t="str">
        <f t="shared" si="165"/>
        <v/>
      </c>
      <c r="AP364" s="389">
        <f t="shared" si="166"/>
        <v>0</v>
      </c>
      <c r="AQ364" s="389">
        <f t="shared" si="167"/>
        <v>0</v>
      </c>
      <c r="AR364" s="389">
        <f t="shared" si="168"/>
        <v>3</v>
      </c>
      <c r="AS364" s="453">
        <f t="shared" si="169"/>
        <v>-9</v>
      </c>
      <c r="AT364" s="452">
        <f t="shared" si="170"/>
        <v>5</v>
      </c>
    </row>
    <row r="365" spans="1:46" ht="16" x14ac:dyDescent="0.2">
      <c r="A365" s="298"/>
      <c r="B365"/>
      <c r="D365" s="303" t="s">
        <v>75</v>
      </c>
      <c r="E365" s="396" t="s">
        <v>723</v>
      </c>
      <c r="F365" s="387">
        <v>1</v>
      </c>
      <c r="G365" s="397" t="s">
        <v>650</v>
      </c>
      <c r="H365" s="387" t="str">
        <f t="shared" si="145"/>
        <v>1-2-0</v>
      </c>
      <c r="I365" s="389">
        <f t="shared" si="146"/>
        <v>2</v>
      </c>
      <c r="J365" s="455" t="str">
        <f t="shared" si="171"/>
        <v/>
      </c>
      <c r="K365" s="455" t="str">
        <f t="shared" si="147"/>
        <v/>
      </c>
      <c r="L365" s="455" t="str">
        <f t="shared" si="172"/>
        <v/>
      </c>
      <c r="M365" s="389" t="str">
        <f>IFERROR(IF(AD365&lt;=VLOOKUP(D365,Tournaments!$A$1:$B$1772,2,FALSE),"TRUE","FALSE"),"")</f>
        <v>FALSE</v>
      </c>
      <c r="N365" s="389">
        <v>1</v>
      </c>
      <c r="O365" s="389">
        <f t="shared" si="148"/>
        <v>3</v>
      </c>
      <c r="Q365" s="389">
        <f t="shared" si="149"/>
        <v>1</v>
      </c>
      <c r="R365" s="389">
        <f t="shared" si="150"/>
        <v>2</v>
      </c>
      <c r="S365" s="389">
        <f t="shared" si="151"/>
        <v>0</v>
      </c>
      <c r="U365" s="389">
        <f t="shared" si="152"/>
        <v>3</v>
      </c>
      <c r="V365" s="389" t="b">
        <f t="shared" si="153"/>
        <v>0</v>
      </c>
      <c r="W365" s="389">
        <f t="shared" si="154"/>
        <v>-3</v>
      </c>
      <c r="X365" s="389">
        <f t="shared" si="155"/>
        <v>3</v>
      </c>
      <c r="Y365" s="389" t="b">
        <f t="shared" si="173"/>
        <v>0</v>
      </c>
      <c r="Z365" s="389">
        <f t="shared" si="156"/>
        <v>-3</v>
      </c>
      <c r="AA365" s="389">
        <f t="shared" si="157"/>
        <v>3</v>
      </c>
      <c r="AB365" s="389" t="b">
        <f t="shared" si="158"/>
        <v>0</v>
      </c>
      <c r="AC365" s="389">
        <f t="shared" si="159"/>
        <v>-3</v>
      </c>
      <c r="AD365" s="389">
        <f t="shared" si="160"/>
        <v>3</v>
      </c>
      <c r="AE365" s="389">
        <f t="shared" si="161"/>
        <v>1</v>
      </c>
      <c r="AG365" s="311" t="str">
        <f t="shared" si="162"/>
        <v>Junior B Male Mini Soccer-Pool B</v>
      </c>
      <c r="AH365" s="453">
        <f t="shared" si="163"/>
        <v>3</v>
      </c>
      <c r="AI365" s="453">
        <f t="shared" si="164"/>
        <v>1</v>
      </c>
      <c r="AJ365" t="str">
        <f t="array" ref="AJ365">IF(AND(AI365&gt;1,G365&lt;&gt;""),INDEX(FS_teams,MATCH(1,(FS_Keys=AG365)*(FS_Points=I365)*(FS_teams&lt;&gt;G365),0)),"")</f>
        <v/>
      </c>
      <c r="AK365" s="390" t="str">
        <f t="array" ref="AK365">IF(AJ365&lt;&gt;"",INDEX(TM_Score1,MATCH(1,(TM_Events=D365)*(TM_Participant1=G365)*(TM_Participant2=AJ365),0)),"")</f>
        <v/>
      </c>
      <c r="AL365" s="390" t="str">
        <f t="array" ref="AL365">IF(AJ365&lt;&gt;"",INDEX(TM_Score1,MATCH(1,(TM_Events=D365)*(TM_Participant1=AJ365)*(TM_Participant2=G365),0)),"")</f>
        <v/>
      </c>
      <c r="AM365" s="389" t="str">
        <f t="array" ref="AM365">IF(ISNUMBER(AK365),INDEX(TM_Score2,MATCH(1,(TM_Events=D365)*(TM_Participant1=G365)*(TM_Participant2=AJ365),0)),"")</f>
        <v/>
      </c>
      <c r="AN365" s="389" t="str">
        <f t="array" ref="AN365">IF(ISNUMBER(AL365),INDEX(TM_Score2,MATCH(1,(TM_Events=D365)*(TM_Participant1=AJ365)*(TM_Participant2=G365),0)),"")</f>
        <v/>
      </c>
      <c r="AO365" s="389" t="str">
        <f t="shared" si="165"/>
        <v/>
      </c>
      <c r="AP365" s="389">
        <f t="shared" si="166"/>
        <v>1</v>
      </c>
      <c r="AQ365" s="389">
        <f t="shared" si="167"/>
        <v>0</v>
      </c>
      <c r="AR365" s="389">
        <f t="shared" si="168"/>
        <v>2</v>
      </c>
      <c r="AS365" s="453">
        <f t="shared" si="169"/>
        <v>-3</v>
      </c>
      <c r="AT365" s="452">
        <f t="shared" si="170"/>
        <v>7</v>
      </c>
    </row>
    <row r="366" spans="1:46" ht="16" x14ac:dyDescent="0.2">
      <c r="A366" s="298"/>
      <c r="B366"/>
      <c r="D366" s="303" t="s">
        <v>75</v>
      </c>
      <c r="E366" s="396" t="s">
        <v>723</v>
      </c>
      <c r="F366" s="387">
        <v>1</v>
      </c>
      <c r="G366" s="397" t="s">
        <v>651</v>
      </c>
      <c r="H366" s="387" t="str">
        <f t="shared" si="145"/>
        <v>3-2-0</v>
      </c>
      <c r="I366" s="389">
        <f t="shared" si="146"/>
        <v>6</v>
      </c>
      <c r="J366" s="455">
        <f t="shared" si="171"/>
        <v>0</v>
      </c>
      <c r="K366" s="455" t="str">
        <f t="shared" si="147"/>
        <v/>
      </c>
      <c r="L366" s="455" t="str">
        <f t="shared" si="172"/>
        <v/>
      </c>
      <c r="M366" s="389" t="str">
        <f>IFERROR(IF(AD366&lt;=VLOOKUP(D366,Tournaments!$A$1:$B$1772,2,FALSE),"TRUE","FALSE"),"")</f>
        <v>TRUE</v>
      </c>
      <c r="N366" s="389">
        <v>1</v>
      </c>
      <c r="O366" s="389">
        <f t="shared" si="148"/>
        <v>2</v>
      </c>
      <c r="Q366" s="389">
        <f t="shared" si="149"/>
        <v>3</v>
      </c>
      <c r="R366" s="389">
        <f t="shared" si="150"/>
        <v>2</v>
      </c>
      <c r="S366" s="389">
        <f t="shared" si="151"/>
        <v>0</v>
      </c>
      <c r="U366" s="389">
        <f t="shared" si="152"/>
        <v>2</v>
      </c>
      <c r="V366" s="389">
        <f t="shared" si="153"/>
        <v>1E-4</v>
      </c>
      <c r="W366" s="389">
        <f t="shared" si="154"/>
        <v>-1.9999</v>
      </c>
      <c r="X366" s="389">
        <f t="shared" si="155"/>
        <v>2</v>
      </c>
      <c r="Y366" s="389" t="b">
        <f t="shared" si="173"/>
        <v>0</v>
      </c>
      <c r="Z366" s="389">
        <f t="shared" si="156"/>
        <v>-2</v>
      </c>
      <c r="AA366" s="389">
        <f t="shared" si="157"/>
        <v>2</v>
      </c>
      <c r="AB366" s="389" t="b">
        <f t="shared" si="158"/>
        <v>0</v>
      </c>
      <c r="AC366" s="389">
        <f t="shared" si="159"/>
        <v>-2</v>
      </c>
      <c r="AD366" s="389">
        <f t="shared" si="160"/>
        <v>2</v>
      </c>
      <c r="AE366" s="389">
        <f t="shared" si="161"/>
        <v>1</v>
      </c>
      <c r="AG366" s="311" t="str">
        <f t="shared" si="162"/>
        <v>Junior B Male Mini Soccer-Pool B</v>
      </c>
      <c r="AH366" s="453">
        <f t="shared" si="163"/>
        <v>1</v>
      </c>
      <c r="AI366" s="453">
        <f t="shared" si="164"/>
        <v>2</v>
      </c>
      <c r="AJ366" t="str">
        <f t="array" ref="AJ366">IF(AND(AI366&gt;1,G366&lt;&gt;""),INDEX(FS_teams,MATCH(1,(FS_Keys=AG366)*(FS_Points=I366)*(FS_teams&lt;&gt;G366),0)),"")</f>
        <v>JR B M - PER</v>
      </c>
      <c r="AK366" s="390">
        <f t="array" ref="AK366">IF(AJ366&lt;&gt;"",INDEX(TM_Score1,MATCH(1,(TM_Events=D366)*(TM_Participant1=G366)*(TM_Participant2=AJ366),0)),"")</f>
        <v>1</v>
      </c>
      <c r="AL366" s="390" t="e">
        <f t="array" ref="AL366">IF(AJ366&lt;&gt;"",INDEX(TM_Score1,MATCH(1,(TM_Events=D366)*(TM_Participant1=AJ366)*(TM_Participant2=G366),0)),"")</f>
        <v>#N/A</v>
      </c>
      <c r="AM366" s="389">
        <f t="array" ref="AM366">IF(ISNUMBER(AK366),INDEX(TM_Score2,MATCH(1,(TM_Events=D366)*(TM_Participant1=G366)*(TM_Participant2=AJ366),0)),"")</f>
        <v>2</v>
      </c>
      <c r="AN366" s="389" t="str">
        <f t="array" ref="AN366">IF(ISNUMBER(AL366),INDEX(TM_Score2,MATCH(1,(TM_Events=D366)*(TM_Participant1=AJ366)*(TM_Participant2=G366),0)),"")</f>
        <v/>
      </c>
      <c r="AO366" s="389" t="str">
        <f t="shared" si="165"/>
        <v>Loss</v>
      </c>
      <c r="AP366" s="389">
        <f t="shared" si="166"/>
        <v>3</v>
      </c>
      <c r="AQ366" s="389">
        <f t="shared" si="167"/>
        <v>0</v>
      </c>
      <c r="AR366" s="389">
        <f t="shared" si="168"/>
        <v>2</v>
      </c>
      <c r="AS366" s="453">
        <f t="shared" si="169"/>
        <v>3</v>
      </c>
      <c r="AT366" s="452">
        <f t="shared" si="170"/>
        <v>21</v>
      </c>
    </row>
    <row r="367" spans="1:46" ht="16" x14ac:dyDescent="0.2">
      <c r="A367" s="298"/>
      <c r="B367"/>
      <c r="D367" s="298" t="s">
        <v>75</v>
      </c>
      <c r="E367" s="389" t="s">
        <v>723</v>
      </c>
      <c r="F367" s="389">
        <v>1</v>
      </c>
      <c r="G367" s="390" t="s">
        <v>653</v>
      </c>
      <c r="H367" s="387" t="str">
        <f t="shared" si="145"/>
        <v>3-1-0</v>
      </c>
      <c r="I367" s="389">
        <f t="shared" si="146"/>
        <v>6</v>
      </c>
      <c r="J367" s="455">
        <f t="shared" si="171"/>
        <v>2</v>
      </c>
      <c r="K367" s="455" t="str">
        <f t="shared" si="147"/>
        <v/>
      </c>
      <c r="L367" s="455" t="str">
        <f t="shared" si="172"/>
        <v/>
      </c>
      <c r="M367" s="389" t="str">
        <f>IFERROR(IF(AD367&lt;=VLOOKUP(D367,Tournaments!$A$1:$B$1772,2,FALSE),"TRUE","FALSE"),"")</f>
        <v>TRUE</v>
      </c>
      <c r="N367" s="389">
        <v>1</v>
      </c>
      <c r="O367" s="389">
        <f t="shared" si="148"/>
        <v>1</v>
      </c>
      <c r="Q367" s="389">
        <f t="shared" si="149"/>
        <v>3</v>
      </c>
      <c r="R367" s="389">
        <f t="shared" si="150"/>
        <v>1</v>
      </c>
      <c r="S367" s="389">
        <f t="shared" si="151"/>
        <v>0</v>
      </c>
      <c r="U367" s="389">
        <f t="shared" si="152"/>
        <v>2</v>
      </c>
      <c r="V367" s="389">
        <f t="shared" si="153"/>
        <v>2.1999999999999999E-2</v>
      </c>
      <c r="W367" s="389">
        <f t="shared" si="154"/>
        <v>-1.978</v>
      </c>
      <c r="X367" s="389">
        <f t="shared" si="155"/>
        <v>1</v>
      </c>
      <c r="Y367" s="389" t="b">
        <f t="shared" si="173"/>
        <v>0</v>
      </c>
      <c r="Z367" s="389">
        <f t="shared" si="156"/>
        <v>-1</v>
      </c>
      <c r="AA367" s="389">
        <f t="shared" si="157"/>
        <v>1</v>
      </c>
      <c r="AB367" s="389" t="b">
        <f t="shared" si="158"/>
        <v>0</v>
      </c>
      <c r="AC367" s="389">
        <f t="shared" si="159"/>
        <v>-1</v>
      </c>
      <c r="AD367" s="389">
        <f t="shared" si="160"/>
        <v>1</v>
      </c>
      <c r="AE367" s="389">
        <f t="shared" si="161"/>
        <v>1</v>
      </c>
      <c r="AG367" s="311" t="str">
        <f t="shared" si="162"/>
        <v>Junior B Male Mini Soccer-Pool B</v>
      </c>
      <c r="AH367" s="453">
        <f t="shared" si="163"/>
        <v>1</v>
      </c>
      <c r="AI367" s="453">
        <f t="shared" si="164"/>
        <v>2</v>
      </c>
      <c r="AJ367" t="str">
        <f t="array" ref="AJ367">IF(AND(AI367&gt;1,G367&lt;&gt;""),INDEX(FS_teams,MATCH(1,(FS_Keys=AG367)*(FS_Points=I367)*(FS_teams&lt;&gt;G367),0)),"")</f>
        <v>JR B M - ISR 1</v>
      </c>
      <c r="AK367" s="390" t="e">
        <f t="array" ref="AK367">IF(AJ367&lt;&gt;"",INDEX(TM_Score1,MATCH(1,(TM_Events=D367)*(TM_Participant1=G367)*(TM_Participant2=AJ367),0)),"")</f>
        <v>#N/A</v>
      </c>
      <c r="AL367" s="390">
        <f t="array" ref="AL367">IF(AJ367&lt;&gt;"",INDEX(TM_Score1,MATCH(1,(TM_Events=D367)*(TM_Participant1=AJ367)*(TM_Participant2=G367),0)),"")</f>
        <v>1</v>
      </c>
      <c r="AM367" s="389" t="str">
        <f t="array" ref="AM367">IF(ISNUMBER(AK367),INDEX(TM_Score2,MATCH(1,(TM_Events=D367)*(TM_Participant1=G367)*(TM_Participant2=AJ367),0)),"")</f>
        <v/>
      </c>
      <c r="AN367" s="389">
        <f t="array" ref="AN367">IF(ISNUMBER(AL367),INDEX(TM_Score2,MATCH(1,(TM_Events=D367)*(TM_Participant1=AJ367)*(TM_Participant2=G367),0)),"")</f>
        <v>2</v>
      </c>
      <c r="AO367" s="389" t="str">
        <f t="shared" si="165"/>
        <v>Win</v>
      </c>
      <c r="AP367" s="389">
        <f t="shared" si="166"/>
        <v>3</v>
      </c>
      <c r="AQ367" s="389">
        <f t="shared" si="167"/>
        <v>0</v>
      </c>
      <c r="AR367" s="389">
        <f t="shared" si="168"/>
        <v>1</v>
      </c>
      <c r="AS367" s="453">
        <f t="shared" si="169"/>
        <v>6</v>
      </c>
      <c r="AT367" s="452">
        <f t="shared" si="170"/>
        <v>13</v>
      </c>
    </row>
    <row r="368" spans="1:46" ht="16" x14ac:dyDescent="0.2">
      <c r="A368" s="298"/>
      <c r="B368"/>
      <c r="D368" s="303" t="s">
        <v>78</v>
      </c>
      <c r="E368" s="396" t="s">
        <v>722</v>
      </c>
      <c r="F368" s="387">
        <v>1</v>
      </c>
      <c r="G368" s="397" t="s">
        <v>655</v>
      </c>
      <c r="H368" s="387" t="str">
        <f t="shared" si="145"/>
        <v>1-2-0</v>
      </c>
      <c r="I368" s="389">
        <f t="shared" si="146"/>
        <v>2</v>
      </c>
      <c r="J368" s="455" t="str">
        <f t="shared" si="171"/>
        <v/>
      </c>
      <c r="K368" s="455" t="str">
        <f t="shared" si="147"/>
        <v/>
      </c>
      <c r="L368" s="455" t="str">
        <f t="shared" si="172"/>
        <v/>
      </c>
      <c r="M368" s="389" t="str">
        <f>IFERROR(IF(AD368&lt;=VLOOKUP(D368,Tournaments!$A$1:$B$1772,2,FALSE),"TRUE","FALSE"),"")</f>
        <v>FALSE</v>
      </c>
      <c r="N368" s="389">
        <v>1</v>
      </c>
      <c r="O368" s="389">
        <f t="shared" si="148"/>
        <v>3</v>
      </c>
      <c r="Q368" s="389">
        <f t="shared" si="149"/>
        <v>1</v>
      </c>
      <c r="R368" s="389">
        <f t="shared" si="150"/>
        <v>2</v>
      </c>
      <c r="S368" s="389">
        <f t="shared" si="151"/>
        <v>0</v>
      </c>
      <c r="U368" s="389">
        <f t="shared" si="152"/>
        <v>3</v>
      </c>
      <c r="V368" s="389" t="b">
        <f t="shared" si="153"/>
        <v>0</v>
      </c>
      <c r="W368" s="389">
        <f t="shared" si="154"/>
        <v>-3</v>
      </c>
      <c r="X368" s="389">
        <f t="shared" si="155"/>
        <v>3</v>
      </c>
      <c r="Y368" s="389" t="b">
        <f t="shared" si="173"/>
        <v>0</v>
      </c>
      <c r="Z368" s="389">
        <f t="shared" si="156"/>
        <v>-3</v>
      </c>
      <c r="AA368" s="389">
        <f t="shared" si="157"/>
        <v>3</v>
      </c>
      <c r="AB368" s="389" t="b">
        <f t="shared" si="158"/>
        <v>0</v>
      </c>
      <c r="AC368" s="389">
        <f t="shared" si="159"/>
        <v>-3</v>
      </c>
      <c r="AD368" s="389">
        <f t="shared" si="160"/>
        <v>3</v>
      </c>
      <c r="AE368" s="389">
        <f t="shared" si="161"/>
        <v>1</v>
      </c>
      <c r="AG368" s="311" t="str">
        <f t="shared" si="162"/>
        <v>Junior B Male Volleyball-Pool A</v>
      </c>
      <c r="AH368" s="453">
        <f t="shared" si="163"/>
        <v>3</v>
      </c>
      <c r="AI368" s="453">
        <f t="shared" si="164"/>
        <v>1</v>
      </c>
      <c r="AJ368" t="str">
        <f t="array" ref="AJ368">IF(AND(AI368&gt;1,G368&lt;&gt;""),INDEX(FS_teams,MATCH(1,(FS_Keys=AG368)*(FS_Points=I368)*(FS_teams&lt;&gt;G368),0)),"")</f>
        <v/>
      </c>
      <c r="AK368" s="390" t="str">
        <f t="array" ref="AK368">IF(AJ368&lt;&gt;"",INDEX(TM_Score1,MATCH(1,(TM_Events=D368)*(TM_Participant1=G368)*(TM_Participant2=AJ368),0)),"")</f>
        <v/>
      </c>
      <c r="AL368" s="390" t="str">
        <f t="array" ref="AL368">IF(AJ368&lt;&gt;"",INDEX(TM_Score1,MATCH(1,(TM_Events=D368)*(TM_Participant1=AJ368)*(TM_Participant2=G368),0)),"")</f>
        <v/>
      </c>
      <c r="AM368" s="389" t="str">
        <f t="array" ref="AM368">IF(ISNUMBER(AK368),INDEX(TM_Score2,MATCH(1,(TM_Events=D368)*(TM_Participant1=G368)*(TM_Participant2=AJ368),0)),"")</f>
        <v/>
      </c>
      <c r="AN368" s="389" t="str">
        <f t="array" ref="AN368">IF(ISNUMBER(AL368),INDEX(TM_Score2,MATCH(1,(TM_Events=D368)*(TM_Participant1=AJ368)*(TM_Participant2=G368),0)),"")</f>
        <v/>
      </c>
      <c r="AO368" s="389" t="str">
        <f t="shared" si="165"/>
        <v/>
      </c>
      <c r="AP368" s="389">
        <f t="shared" si="166"/>
        <v>1</v>
      </c>
      <c r="AQ368" s="389">
        <f t="shared" si="167"/>
        <v>0</v>
      </c>
      <c r="AR368" s="389">
        <f t="shared" si="168"/>
        <v>2</v>
      </c>
      <c r="AS368" s="453">
        <f t="shared" si="169"/>
        <v>-2</v>
      </c>
      <c r="AT368" s="452">
        <f t="shared" si="170"/>
        <v>2</v>
      </c>
    </row>
    <row r="369" spans="1:46" ht="16" x14ac:dyDescent="0.2">
      <c r="A369" s="298"/>
      <c r="B369"/>
      <c r="D369" s="303" t="s">
        <v>78</v>
      </c>
      <c r="E369" s="396" t="s">
        <v>722</v>
      </c>
      <c r="F369" s="387">
        <v>1</v>
      </c>
      <c r="G369" s="397" t="s">
        <v>650</v>
      </c>
      <c r="H369" s="387" t="str">
        <f t="shared" si="145"/>
        <v>3-0-0</v>
      </c>
      <c r="I369" s="389">
        <f t="shared" si="146"/>
        <v>6</v>
      </c>
      <c r="J369" s="455" t="str">
        <f t="shared" si="171"/>
        <v/>
      </c>
      <c r="K369" s="455" t="str">
        <f t="shared" si="147"/>
        <v/>
      </c>
      <c r="L369" s="455" t="str">
        <f t="shared" si="172"/>
        <v/>
      </c>
      <c r="M369" s="389" t="str">
        <f>IFERROR(IF(AD369&lt;=VLOOKUP(D369,Tournaments!$A$1:$B$1772,2,FALSE),"TRUE","FALSE"),"")</f>
        <v>TRUE</v>
      </c>
      <c r="N369" s="389">
        <v>1</v>
      </c>
      <c r="O369" s="389">
        <f t="shared" si="148"/>
        <v>1</v>
      </c>
      <c r="Q369" s="389">
        <f t="shared" si="149"/>
        <v>3</v>
      </c>
      <c r="R369" s="389">
        <f t="shared" si="150"/>
        <v>0</v>
      </c>
      <c r="S369" s="389">
        <f t="shared" si="151"/>
        <v>0</v>
      </c>
      <c r="U369" s="389">
        <f t="shared" si="152"/>
        <v>1</v>
      </c>
      <c r="V369" s="389" t="b">
        <f t="shared" si="153"/>
        <v>0</v>
      </c>
      <c r="W369" s="389">
        <f t="shared" si="154"/>
        <v>-1</v>
      </c>
      <c r="X369" s="389">
        <f t="shared" si="155"/>
        <v>1</v>
      </c>
      <c r="Y369" s="389" t="b">
        <f t="shared" si="173"/>
        <v>0</v>
      </c>
      <c r="Z369" s="389">
        <f t="shared" si="156"/>
        <v>-1</v>
      </c>
      <c r="AA369" s="389">
        <f t="shared" si="157"/>
        <v>1</v>
      </c>
      <c r="AB369" s="389" t="b">
        <f t="shared" si="158"/>
        <v>0</v>
      </c>
      <c r="AC369" s="389">
        <f t="shared" si="159"/>
        <v>-1</v>
      </c>
      <c r="AD369" s="389">
        <f t="shared" si="160"/>
        <v>1</v>
      </c>
      <c r="AE369" s="389">
        <f t="shared" si="161"/>
        <v>1</v>
      </c>
      <c r="AG369" s="311" t="str">
        <f t="shared" si="162"/>
        <v>Junior B Male Volleyball-Pool A</v>
      </c>
      <c r="AH369" s="453">
        <f t="shared" si="163"/>
        <v>1</v>
      </c>
      <c r="AI369" s="453">
        <f t="shared" si="164"/>
        <v>1</v>
      </c>
      <c r="AJ369" t="str">
        <f t="array" ref="AJ369">IF(AND(AI369&gt;1,G369&lt;&gt;""),INDEX(FS_teams,MATCH(1,(FS_Keys=AG369)*(FS_Points=I369)*(FS_teams&lt;&gt;G369),0)),"")</f>
        <v/>
      </c>
      <c r="AK369" s="390" t="str">
        <f t="array" ref="AK369">IF(AJ369&lt;&gt;"",INDEX(TM_Score1,MATCH(1,(TM_Events=D369)*(TM_Participant1=G369)*(TM_Participant2=AJ369),0)),"")</f>
        <v/>
      </c>
      <c r="AL369" s="390" t="str">
        <f t="array" ref="AL369">IF(AJ369&lt;&gt;"",INDEX(TM_Score1,MATCH(1,(TM_Events=D369)*(TM_Participant1=AJ369)*(TM_Participant2=G369),0)),"")</f>
        <v/>
      </c>
      <c r="AM369" s="389" t="str">
        <f t="array" ref="AM369">IF(ISNUMBER(AK369),INDEX(TM_Score2,MATCH(1,(TM_Events=D369)*(TM_Participant1=G369)*(TM_Participant2=AJ369),0)),"")</f>
        <v/>
      </c>
      <c r="AN369" s="389" t="str">
        <f t="array" ref="AN369">IF(ISNUMBER(AL369),INDEX(TM_Score2,MATCH(1,(TM_Events=D369)*(TM_Participant1=AJ369)*(TM_Participant2=G369),0)),"")</f>
        <v/>
      </c>
      <c r="AO369" s="389" t="str">
        <f t="shared" si="165"/>
        <v/>
      </c>
      <c r="AP369" s="389">
        <f t="shared" si="166"/>
        <v>3</v>
      </c>
      <c r="AQ369" s="389">
        <f t="shared" si="167"/>
        <v>0</v>
      </c>
      <c r="AR369" s="389">
        <f t="shared" si="168"/>
        <v>0</v>
      </c>
      <c r="AS369" s="453">
        <f t="shared" si="169"/>
        <v>5</v>
      </c>
      <c r="AT369" s="452">
        <f t="shared" si="170"/>
        <v>6</v>
      </c>
    </row>
    <row r="370" spans="1:46" ht="16" x14ac:dyDescent="0.2">
      <c r="A370" s="298"/>
      <c r="B370"/>
      <c r="D370" s="303" t="s">
        <v>78</v>
      </c>
      <c r="E370" s="396" t="s">
        <v>722</v>
      </c>
      <c r="F370" s="387">
        <v>1</v>
      </c>
      <c r="G370" s="397" t="s">
        <v>652</v>
      </c>
      <c r="H370" s="387" t="str">
        <f t="shared" si="145"/>
        <v>2-1-0</v>
      </c>
      <c r="I370" s="389">
        <f t="shared" si="146"/>
        <v>4</v>
      </c>
      <c r="J370" s="455" t="str">
        <f t="shared" si="171"/>
        <v/>
      </c>
      <c r="K370" s="455" t="str">
        <f t="shared" si="147"/>
        <v/>
      </c>
      <c r="L370" s="455" t="str">
        <f t="shared" si="172"/>
        <v/>
      </c>
      <c r="M370" s="389" t="str">
        <f>IFERROR(IF(AD370&lt;=VLOOKUP(D370,Tournaments!$A$1:$B$1772,2,FALSE),"TRUE","FALSE"),"")</f>
        <v>FALSE</v>
      </c>
      <c r="N370" s="389">
        <v>1</v>
      </c>
      <c r="O370" s="389">
        <f t="shared" si="148"/>
        <v>2</v>
      </c>
      <c r="Q370" s="389">
        <f t="shared" si="149"/>
        <v>2</v>
      </c>
      <c r="R370" s="389">
        <f t="shared" si="150"/>
        <v>1</v>
      </c>
      <c r="S370" s="389">
        <f t="shared" si="151"/>
        <v>0</v>
      </c>
      <c r="U370" s="389">
        <f t="shared" si="152"/>
        <v>2</v>
      </c>
      <c r="V370" s="389" t="b">
        <f t="shared" si="153"/>
        <v>0</v>
      </c>
      <c r="W370" s="389">
        <f t="shared" si="154"/>
        <v>-2</v>
      </c>
      <c r="X370" s="389">
        <f t="shared" si="155"/>
        <v>2</v>
      </c>
      <c r="Y370" s="389" t="b">
        <f t="shared" si="173"/>
        <v>0</v>
      </c>
      <c r="Z370" s="389">
        <f t="shared" si="156"/>
        <v>-2</v>
      </c>
      <c r="AA370" s="389">
        <f t="shared" si="157"/>
        <v>2</v>
      </c>
      <c r="AB370" s="389" t="b">
        <f t="shared" si="158"/>
        <v>0</v>
      </c>
      <c r="AC370" s="389">
        <f t="shared" si="159"/>
        <v>-2</v>
      </c>
      <c r="AD370" s="389">
        <f t="shared" si="160"/>
        <v>2</v>
      </c>
      <c r="AE370" s="389">
        <f t="shared" si="161"/>
        <v>1</v>
      </c>
      <c r="AG370" s="311" t="str">
        <f t="shared" si="162"/>
        <v>Junior B Male Volleyball-Pool A</v>
      </c>
      <c r="AH370" s="453">
        <f t="shared" si="163"/>
        <v>2</v>
      </c>
      <c r="AI370" s="453">
        <f t="shared" si="164"/>
        <v>1</v>
      </c>
      <c r="AJ370" t="str">
        <f t="array" ref="AJ370">IF(AND(AI370&gt;1,G370&lt;&gt;""),INDEX(FS_teams,MATCH(1,(FS_Keys=AG370)*(FS_Points=I370)*(FS_teams&lt;&gt;G370),0)),"")</f>
        <v/>
      </c>
      <c r="AK370" s="390" t="str">
        <f t="array" ref="AK370">IF(AJ370&lt;&gt;"",INDEX(TM_Score1,MATCH(1,(TM_Events=D370)*(TM_Participant1=G370)*(TM_Participant2=AJ370),0)),"")</f>
        <v/>
      </c>
      <c r="AL370" s="390" t="str">
        <f t="array" ref="AL370">IF(AJ370&lt;&gt;"",INDEX(TM_Score1,MATCH(1,(TM_Events=D370)*(TM_Participant1=AJ370)*(TM_Participant2=G370),0)),"")</f>
        <v/>
      </c>
      <c r="AM370" s="389" t="str">
        <f t="array" ref="AM370">IF(ISNUMBER(AK370),INDEX(TM_Score2,MATCH(1,(TM_Events=D370)*(TM_Participant1=G370)*(TM_Participant2=AJ370),0)),"")</f>
        <v/>
      </c>
      <c r="AN370" s="389" t="str">
        <f t="array" ref="AN370">IF(ISNUMBER(AL370),INDEX(TM_Score2,MATCH(1,(TM_Events=D370)*(TM_Participant1=AJ370)*(TM_Participant2=G370),0)),"")</f>
        <v/>
      </c>
      <c r="AO370" s="389" t="str">
        <f t="shared" si="165"/>
        <v/>
      </c>
      <c r="AP370" s="389">
        <f t="shared" si="166"/>
        <v>2</v>
      </c>
      <c r="AQ370" s="389">
        <f t="shared" si="167"/>
        <v>0</v>
      </c>
      <c r="AR370" s="389">
        <f t="shared" si="168"/>
        <v>1</v>
      </c>
      <c r="AS370" s="453">
        <f t="shared" si="169"/>
        <v>1</v>
      </c>
      <c r="AT370" s="452">
        <f t="shared" si="170"/>
        <v>4</v>
      </c>
    </row>
    <row r="371" spans="1:46" ht="16" x14ac:dyDescent="0.2">
      <c r="A371" s="298"/>
      <c r="B371"/>
      <c r="D371" s="298" t="s">
        <v>78</v>
      </c>
      <c r="E371" s="389" t="s">
        <v>722</v>
      </c>
      <c r="F371" s="389">
        <v>1</v>
      </c>
      <c r="G371" s="390" t="s">
        <v>654</v>
      </c>
      <c r="H371" s="387" t="str">
        <f t="shared" si="145"/>
        <v>0-3-0</v>
      </c>
      <c r="I371" s="389">
        <f t="shared" si="146"/>
        <v>0</v>
      </c>
      <c r="J371" s="455" t="str">
        <f t="shared" si="171"/>
        <v/>
      </c>
      <c r="K371" s="455" t="str">
        <f t="shared" si="147"/>
        <v/>
      </c>
      <c r="L371" s="455" t="str">
        <f t="shared" si="172"/>
        <v/>
      </c>
      <c r="M371" s="389" t="str">
        <f>IFERROR(IF(AD371&lt;=VLOOKUP(D371,Tournaments!$A$1:$B$1772,2,FALSE),"TRUE","FALSE"),"")</f>
        <v>FALSE</v>
      </c>
      <c r="N371" s="389">
        <v>1</v>
      </c>
      <c r="O371" s="389">
        <f t="shared" si="148"/>
        <v>4</v>
      </c>
      <c r="Q371" s="389">
        <f t="shared" si="149"/>
        <v>0</v>
      </c>
      <c r="R371" s="389">
        <f t="shared" si="150"/>
        <v>3</v>
      </c>
      <c r="S371" s="389">
        <f t="shared" si="151"/>
        <v>0</v>
      </c>
      <c r="U371" s="389">
        <f t="shared" si="152"/>
        <v>4</v>
      </c>
      <c r="V371" s="389" t="b">
        <f t="shared" si="153"/>
        <v>0</v>
      </c>
      <c r="W371" s="389">
        <f t="shared" si="154"/>
        <v>-4</v>
      </c>
      <c r="X371" s="389">
        <f t="shared" si="155"/>
        <v>4</v>
      </c>
      <c r="Y371" s="389" t="b">
        <f t="shared" si="173"/>
        <v>0</v>
      </c>
      <c r="Z371" s="389">
        <f t="shared" si="156"/>
        <v>-4</v>
      </c>
      <c r="AA371" s="389">
        <f t="shared" si="157"/>
        <v>4</v>
      </c>
      <c r="AB371" s="389" t="b">
        <f t="shared" si="158"/>
        <v>0</v>
      </c>
      <c r="AC371" s="389">
        <f t="shared" si="159"/>
        <v>-4</v>
      </c>
      <c r="AD371" s="389">
        <f t="shared" si="160"/>
        <v>4</v>
      </c>
      <c r="AE371" s="389">
        <f t="shared" si="161"/>
        <v>1</v>
      </c>
      <c r="AG371" s="311" t="str">
        <f t="shared" si="162"/>
        <v>Junior B Male Volleyball-Pool A</v>
      </c>
      <c r="AH371" s="453">
        <f t="shared" si="163"/>
        <v>4</v>
      </c>
      <c r="AI371" s="453">
        <f t="shared" si="164"/>
        <v>1</v>
      </c>
      <c r="AJ371" t="str">
        <f t="array" ref="AJ371">IF(AND(AI371&gt;1,G371&lt;&gt;""),INDEX(FS_teams,MATCH(1,(FS_Keys=AG371)*(FS_Points=I371)*(FS_teams&lt;&gt;G371),0)),"")</f>
        <v/>
      </c>
      <c r="AK371" s="390" t="str">
        <f t="array" ref="AK371">IF(AJ371&lt;&gt;"",INDEX(TM_Score1,MATCH(1,(TM_Events=D371)*(TM_Participant1=G371)*(TM_Participant2=AJ371),0)),"")</f>
        <v/>
      </c>
      <c r="AL371" s="390" t="str">
        <f t="array" ref="AL371">IF(AJ371&lt;&gt;"",INDEX(TM_Score1,MATCH(1,(TM_Events=D371)*(TM_Participant1=AJ371)*(TM_Participant2=G371),0)),"")</f>
        <v/>
      </c>
      <c r="AM371" s="389" t="str">
        <f t="array" ref="AM371">IF(ISNUMBER(AK371),INDEX(TM_Score2,MATCH(1,(TM_Events=D371)*(TM_Participant1=G371)*(TM_Participant2=AJ371),0)),"")</f>
        <v/>
      </c>
      <c r="AN371" s="389" t="str">
        <f t="array" ref="AN371">IF(ISNUMBER(AL371),INDEX(TM_Score2,MATCH(1,(TM_Events=D371)*(TM_Participant1=AJ371)*(TM_Participant2=G371),0)),"")</f>
        <v/>
      </c>
      <c r="AO371" s="389" t="str">
        <f t="shared" si="165"/>
        <v/>
      </c>
      <c r="AP371" s="389">
        <f t="shared" si="166"/>
        <v>0</v>
      </c>
      <c r="AQ371" s="389">
        <f t="shared" si="167"/>
        <v>0</v>
      </c>
      <c r="AR371" s="389">
        <f t="shared" si="168"/>
        <v>3</v>
      </c>
      <c r="AS371" s="453">
        <f t="shared" si="169"/>
        <v>-4</v>
      </c>
      <c r="AT371" s="452">
        <f t="shared" si="170"/>
        <v>2</v>
      </c>
    </row>
    <row r="372" spans="1:46" ht="16" x14ac:dyDescent="0.2">
      <c r="A372" s="298"/>
      <c r="B372"/>
      <c r="D372" s="303" t="s">
        <v>78</v>
      </c>
      <c r="E372" s="396" t="s">
        <v>723</v>
      </c>
      <c r="F372" s="387">
        <v>1</v>
      </c>
      <c r="G372" s="397" t="s">
        <v>656</v>
      </c>
      <c r="H372" s="387" t="str">
        <f t="shared" si="145"/>
        <v>2-1-0</v>
      </c>
      <c r="I372" s="389">
        <f t="shared" si="146"/>
        <v>4</v>
      </c>
      <c r="J372" s="455" t="str">
        <f t="shared" si="171"/>
        <v/>
      </c>
      <c r="K372" s="455" t="str">
        <f t="shared" si="147"/>
        <v/>
      </c>
      <c r="L372" s="455" t="str">
        <f t="shared" si="172"/>
        <v/>
      </c>
      <c r="M372" s="389" t="str">
        <f>IFERROR(IF(AD372&lt;=VLOOKUP(D372,Tournaments!$A$1:$B$1772,2,FALSE),"TRUE","FALSE"),"")</f>
        <v>FALSE</v>
      </c>
      <c r="N372" s="389">
        <v>1</v>
      </c>
      <c r="O372" s="389">
        <f t="shared" si="148"/>
        <v>2</v>
      </c>
      <c r="Q372" s="389">
        <f t="shared" si="149"/>
        <v>2</v>
      </c>
      <c r="R372" s="389">
        <f t="shared" si="150"/>
        <v>1</v>
      </c>
      <c r="S372" s="389">
        <f t="shared" si="151"/>
        <v>0</v>
      </c>
      <c r="U372" s="389">
        <f t="shared" si="152"/>
        <v>2</v>
      </c>
      <c r="V372" s="389" t="b">
        <f t="shared" si="153"/>
        <v>0</v>
      </c>
      <c r="W372" s="389">
        <f t="shared" si="154"/>
        <v>-2</v>
      </c>
      <c r="X372" s="389">
        <f t="shared" si="155"/>
        <v>2</v>
      </c>
      <c r="Y372" s="389" t="b">
        <f t="shared" si="173"/>
        <v>0</v>
      </c>
      <c r="Z372" s="389">
        <f t="shared" si="156"/>
        <v>-2</v>
      </c>
      <c r="AA372" s="389">
        <f t="shared" si="157"/>
        <v>2</v>
      </c>
      <c r="AB372" s="389" t="b">
        <f t="shared" si="158"/>
        <v>0</v>
      </c>
      <c r="AC372" s="389">
        <f t="shared" si="159"/>
        <v>-2</v>
      </c>
      <c r="AD372" s="389">
        <f t="shared" si="160"/>
        <v>2</v>
      </c>
      <c r="AE372" s="389">
        <f t="shared" si="161"/>
        <v>1</v>
      </c>
      <c r="AG372" s="311" t="str">
        <f t="shared" si="162"/>
        <v>Junior B Male Volleyball-Pool B</v>
      </c>
      <c r="AH372" s="453">
        <f t="shared" si="163"/>
        <v>2</v>
      </c>
      <c r="AI372" s="453">
        <f t="shared" si="164"/>
        <v>1</v>
      </c>
      <c r="AJ372" t="str">
        <f t="array" ref="AJ372">IF(AND(AI372&gt;1,G372&lt;&gt;""),INDEX(FS_teams,MATCH(1,(FS_Keys=AG372)*(FS_Points=I372)*(FS_teams&lt;&gt;G372),0)),"")</f>
        <v/>
      </c>
      <c r="AK372" s="390" t="str">
        <f t="array" ref="AK372">IF(AJ372&lt;&gt;"",INDEX(TM_Score1,MATCH(1,(TM_Events=D372)*(TM_Participant1=G372)*(TM_Participant2=AJ372),0)),"")</f>
        <v/>
      </c>
      <c r="AL372" s="390" t="str">
        <f t="array" ref="AL372">IF(AJ372&lt;&gt;"",INDEX(TM_Score1,MATCH(1,(TM_Events=D372)*(TM_Participant1=AJ372)*(TM_Participant2=G372),0)),"")</f>
        <v/>
      </c>
      <c r="AM372" s="389" t="str">
        <f t="array" ref="AM372">IF(ISNUMBER(AK372),INDEX(TM_Score2,MATCH(1,(TM_Events=D372)*(TM_Participant1=G372)*(TM_Participant2=AJ372),0)),"")</f>
        <v/>
      </c>
      <c r="AN372" s="389" t="str">
        <f t="array" ref="AN372">IF(ISNUMBER(AL372),INDEX(TM_Score2,MATCH(1,(TM_Events=D372)*(TM_Participant1=AJ372)*(TM_Participant2=G372),0)),"")</f>
        <v/>
      </c>
      <c r="AO372" s="389" t="str">
        <f t="shared" si="165"/>
        <v/>
      </c>
      <c r="AP372" s="389">
        <f t="shared" si="166"/>
        <v>2</v>
      </c>
      <c r="AQ372" s="389">
        <f t="shared" si="167"/>
        <v>0</v>
      </c>
      <c r="AR372" s="389">
        <f t="shared" si="168"/>
        <v>1</v>
      </c>
      <c r="AS372" s="453">
        <f t="shared" si="169"/>
        <v>1</v>
      </c>
      <c r="AT372" s="452">
        <f t="shared" si="170"/>
        <v>4</v>
      </c>
    </row>
    <row r="373" spans="1:46" ht="16" x14ac:dyDescent="0.2">
      <c r="A373" s="298"/>
      <c r="B373"/>
      <c r="D373" s="303" t="s">
        <v>78</v>
      </c>
      <c r="E373" s="396" t="s">
        <v>723</v>
      </c>
      <c r="F373" s="387">
        <v>1</v>
      </c>
      <c r="G373" s="397" t="s">
        <v>651</v>
      </c>
      <c r="H373" s="387" t="str">
        <f t="shared" si="145"/>
        <v>0-3-0</v>
      </c>
      <c r="I373" s="389">
        <f t="shared" si="146"/>
        <v>0</v>
      </c>
      <c r="J373" s="455" t="str">
        <f t="shared" si="171"/>
        <v/>
      </c>
      <c r="K373" s="455" t="str">
        <f t="shared" si="147"/>
        <v/>
      </c>
      <c r="L373" s="455" t="str">
        <f t="shared" si="172"/>
        <v/>
      </c>
      <c r="M373" s="389" t="str">
        <f>IFERROR(IF(AD373&lt;=VLOOKUP(D373,Tournaments!$A$1:$B$1772,2,FALSE),"TRUE","FALSE"),"")</f>
        <v>FALSE</v>
      </c>
      <c r="N373" s="389">
        <v>1</v>
      </c>
      <c r="O373" s="389">
        <f t="shared" si="148"/>
        <v>4</v>
      </c>
      <c r="Q373" s="389">
        <f t="shared" si="149"/>
        <v>0</v>
      </c>
      <c r="R373" s="389">
        <f t="shared" si="150"/>
        <v>3</v>
      </c>
      <c r="S373" s="389">
        <f t="shared" si="151"/>
        <v>0</v>
      </c>
      <c r="U373" s="389">
        <f t="shared" si="152"/>
        <v>4</v>
      </c>
      <c r="V373" s="389" t="b">
        <f t="shared" si="153"/>
        <v>0</v>
      </c>
      <c r="W373" s="389">
        <f t="shared" si="154"/>
        <v>-4</v>
      </c>
      <c r="X373" s="389">
        <f t="shared" si="155"/>
        <v>4</v>
      </c>
      <c r="Y373" s="389" t="b">
        <f t="shared" si="173"/>
        <v>0</v>
      </c>
      <c r="Z373" s="389">
        <f t="shared" si="156"/>
        <v>-4</v>
      </c>
      <c r="AA373" s="389">
        <f t="shared" si="157"/>
        <v>4</v>
      </c>
      <c r="AB373" s="389" t="b">
        <f t="shared" si="158"/>
        <v>0</v>
      </c>
      <c r="AC373" s="389">
        <f t="shared" si="159"/>
        <v>-4</v>
      </c>
      <c r="AD373" s="389">
        <f t="shared" si="160"/>
        <v>4</v>
      </c>
      <c r="AE373" s="389">
        <f t="shared" si="161"/>
        <v>1</v>
      </c>
      <c r="AG373" s="311" t="str">
        <f t="shared" si="162"/>
        <v>Junior B Male Volleyball-Pool B</v>
      </c>
      <c r="AH373" s="453">
        <f t="shared" si="163"/>
        <v>4</v>
      </c>
      <c r="AI373" s="453">
        <f t="shared" si="164"/>
        <v>1</v>
      </c>
      <c r="AJ373" t="str">
        <f t="array" ref="AJ373">IF(AND(AI373&gt;1,G373&lt;&gt;""),INDEX(FS_teams,MATCH(1,(FS_Keys=AG373)*(FS_Points=I373)*(FS_teams&lt;&gt;G373),0)),"")</f>
        <v/>
      </c>
      <c r="AK373" s="390" t="str">
        <f t="array" ref="AK373">IF(AJ373&lt;&gt;"",INDEX(TM_Score1,MATCH(1,(TM_Events=D373)*(TM_Participant1=G373)*(TM_Participant2=AJ373),0)),"")</f>
        <v/>
      </c>
      <c r="AL373" s="390" t="str">
        <f t="array" ref="AL373">IF(AJ373&lt;&gt;"",INDEX(TM_Score1,MATCH(1,(TM_Events=D373)*(TM_Participant1=AJ373)*(TM_Participant2=G373),0)),"")</f>
        <v/>
      </c>
      <c r="AM373" s="389" t="str">
        <f t="array" ref="AM373">IF(ISNUMBER(AK373),INDEX(TM_Score2,MATCH(1,(TM_Events=D373)*(TM_Participant1=G373)*(TM_Participant2=AJ373),0)),"")</f>
        <v/>
      </c>
      <c r="AN373" s="389" t="str">
        <f t="array" ref="AN373">IF(ISNUMBER(AL373),INDEX(TM_Score2,MATCH(1,(TM_Events=D373)*(TM_Participant1=AJ373)*(TM_Participant2=G373),0)),"")</f>
        <v/>
      </c>
      <c r="AO373" s="389" t="str">
        <f t="shared" si="165"/>
        <v/>
      </c>
      <c r="AP373" s="389">
        <f t="shared" si="166"/>
        <v>0</v>
      </c>
      <c r="AQ373" s="389">
        <f t="shared" si="167"/>
        <v>0</v>
      </c>
      <c r="AR373" s="389">
        <f t="shared" si="168"/>
        <v>3</v>
      </c>
      <c r="AS373" s="453">
        <f t="shared" si="169"/>
        <v>-4</v>
      </c>
      <c r="AT373" s="452">
        <f t="shared" si="170"/>
        <v>2</v>
      </c>
    </row>
    <row r="374" spans="1:46" ht="16" x14ac:dyDescent="0.2">
      <c r="A374" s="298"/>
      <c r="B374"/>
      <c r="D374" s="303" t="s">
        <v>78</v>
      </c>
      <c r="E374" s="396" t="s">
        <v>723</v>
      </c>
      <c r="F374" s="387">
        <v>1</v>
      </c>
      <c r="G374" s="397" t="s">
        <v>648</v>
      </c>
      <c r="H374" s="387" t="str">
        <f t="shared" si="145"/>
        <v>1-2-0</v>
      </c>
      <c r="I374" s="389">
        <f t="shared" si="146"/>
        <v>2</v>
      </c>
      <c r="J374" s="455" t="str">
        <f t="shared" si="171"/>
        <v/>
      </c>
      <c r="K374" s="455" t="str">
        <f t="shared" si="147"/>
        <v/>
      </c>
      <c r="L374" s="455" t="str">
        <f t="shared" si="172"/>
        <v/>
      </c>
      <c r="M374" s="389" t="str">
        <f>IFERROR(IF(AD374&lt;=VLOOKUP(D374,Tournaments!$A$1:$B$1772,2,FALSE),"TRUE","FALSE"),"")</f>
        <v>FALSE</v>
      </c>
      <c r="N374" s="389">
        <v>1</v>
      </c>
      <c r="O374" s="389">
        <f t="shared" si="148"/>
        <v>3</v>
      </c>
      <c r="Q374" s="389">
        <f t="shared" si="149"/>
        <v>1</v>
      </c>
      <c r="R374" s="389">
        <f t="shared" si="150"/>
        <v>2</v>
      </c>
      <c r="S374" s="389">
        <f t="shared" si="151"/>
        <v>0</v>
      </c>
      <c r="U374" s="389">
        <f t="shared" si="152"/>
        <v>3</v>
      </c>
      <c r="V374" s="389" t="b">
        <f t="shared" si="153"/>
        <v>0</v>
      </c>
      <c r="W374" s="389">
        <f t="shared" si="154"/>
        <v>-3</v>
      </c>
      <c r="X374" s="389">
        <f t="shared" si="155"/>
        <v>3</v>
      </c>
      <c r="Y374" s="389" t="b">
        <f t="shared" si="173"/>
        <v>0</v>
      </c>
      <c r="Z374" s="389">
        <f t="shared" si="156"/>
        <v>-3</v>
      </c>
      <c r="AA374" s="389">
        <f t="shared" si="157"/>
        <v>3</v>
      </c>
      <c r="AB374" s="389" t="b">
        <f t="shared" si="158"/>
        <v>0</v>
      </c>
      <c r="AC374" s="389">
        <f t="shared" si="159"/>
        <v>-3</v>
      </c>
      <c r="AD374" s="389">
        <f t="shared" si="160"/>
        <v>3</v>
      </c>
      <c r="AE374" s="389">
        <f t="shared" si="161"/>
        <v>1</v>
      </c>
      <c r="AG374" s="311" t="str">
        <f t="shared" si="162"/>
        <v>Junior B Male Volleyball-Pool B</v>
      </c>
      <c r="AH374" s="453">
        <f t="shared" si="163"/>
        <v>3</v>
      </c>
      <c r="AI374" s="453">
        <f t="shared" si="164"/>
        <v>1</v>
      </c>
      <c r="AJ374" t="str">
        <f t="array" ref="AJ374">IF(AND(AI374&gt;1,G374&lt;&gt;""),INDEX(FS_teams,MATCH(1,(FS_Keys=AG374)*(FS_Points=I374)*(FS_teams&lt;&gt;G374),0)),"")</f>
        <v/>
      </c>
      <c r="AK374" s="390" t="str">
        <f t="array" ref="AK374">IF(AJ374&lt;&gt;"",INDEX(TM_Score1,MATCH(1,(TM_Events=D374)*(TM_Participant1=G374)*(TM_Participant2=AJ374),0)),"")</f>
        <v/>
      </c>
      <c r="AL374" s="390" t="str">
        <f t="array" ref="AL374">IF(AJ374&lt;&gt;"",INDEX(TM_Score1,MATCH(1,(TM_Events=D374)*(TM_Participant1=AJ374)*(TM_Participant2=G374),0)),"")</f>
        <v/>
      </c>
      <c r="AM374" s="389" t="str">
        <f t="array" ref="AM374">IF(ISNUMBER(AK374),INDEX(TM_Score2,MATCH(1,(TM_Events=D374)*(TM_Participant1=G374)*(TM_Participant2=AJ374),0)),"")</f>
        <v/>
      </c>
      <c r="AN374" s="389" t="str">
        <f t="array" ref="AN374">IF(ISNUMBER(AL374),INDEX(TM_Score2,MATCH(1,(TM_Events=D374)*(TM_Participant1=AJ374)*(TM_Participant2=G374),0)),"")</f>
        <v/>
      </c>
      <c r="AO374" s="389" t="str">
        <f t="shared" si="165"/>
        <v/>
      </c>
      <c r="AP374" s="389">
        <f t="shared" si="166"/>
        <v>1</v>
      </c>
      <c r="AQ374" s="389">
        <f t="shared" si="167"/>
        <v>0</v>
      </c>
      <c r="AR374" s="389">
        <f t="shared" si="168"/>
        <v>2</v>
      </c>
      <c r="AS374" s="453">
        <f t="shared" si="169"/>
        <v>-3</v>
      </c>
      <c r="AT374" s="452">
        <f t="shared" si="170"/>
        <v>2</v>
      </c>
    </row>
    <row r="375" spans="1:46" ht="16" x14ac:dyDescent="0.2">
      <c r="A375" s="298"/>
      <c r="B375"/>
      <c r="D375" s="303" t="s">
        <v>78</v>
      </c>
      <c r="E375" s="396" t="s">
        <v>723</v>
      </c>
      <c r="F375" s="387">
        <v>1</v>
      </c>
      <c r="G375" s="397" t="s">
        <v>653</v>
      </c>
      <c r="H375" s="387" t="str">
        <f t="shared" si="145"/>
        <v>3-0-0</v>
      </c>
      <c r="I375" s="389">
        <f t="shared" si="146"/>
        <v>6</v>
      </c>
      <c r="J375" s="455" t="str">
        <f t="shared" si="171"/>
        <v/>
      </c>
      <c r="K375" s="455" t="str">
        <f t="shared" si="147"/>
        <v/>
      </c>
      <c r="L375" s="455" t="str">
        <f t="shared" si="172"/>
        <v/>
      </c>
      <c r="M375" s="389" t="str">
        <f>IFERROR(IF(AD375&lt;=VLOOKUP(D375,Tournaments!$A$1:$B$1772,2,FALSE),"TRUE","FALSE"),"")</f>
        <v>TRUE</v>
      </c>
      <c r="N375" s="389">
        <v>1</v>
      </c>
      <c r="O375" s="389">
        <f t="shared" si="148"/>
        <v>1</v>
      </c>
      <c r="Q375" s="389">
        <f t="shared" si="149"/>
        <v>3</v>
      </c>
      <c r="R375" s="389">
        <f t="shared" si="150"/>
        <v>0</v>
      </c>
      <c r="S375" s="389">
        <f t="shared" si="151"/>
        <v>0</v>
      </c>
      <c r="U375" s="389">
        <f t="shared" si="152"/>
        <v>1</v>
      </c>
      <c r="V375" s="389" t="b">
        <f t="shared" si="153"/>
        <v>0</v>
      </c>
      <c r="W375" s="389">
        <f t="shared" si="154"/>
        <v>-1</v>
      </c>
      <c r="X375" s="389">
        <f t="shared" si="155"/>
        <v>1</v>
      </c>
      <c r="Y375" s="389" t="b">
        <f t="shared" si="173"/>
        <v>0</v>
      </c>
      <c r="Z375" s="389">
        <f t="shared" si="156"/>
        <v>-1</v>
      </c>
      <c r="AA375" s="389">
        <f t="shared" si="157"/>
        <v>1</v>
      </c>
      <c r="AB375" s="389" t="b">
        <f t="shared" si="158"/>
        <v>0</v>
      </c>
      <c r="AC375" s="389">
        <f t="shared" si="159"/>
        <v>-1</v>
      </c>
      <c r="AD375" s="389">
        <f t="shared" si="160"/>
        <v>1</v>
      </c>
      <c r="AE375" s="389">
        <f t="shared" si="161"/>
        <v>1</v>
      </c>
      <c r="AG375" s="311" t="str">
        <f t="shared" si="162"/>
        <v>Junior B Male Volleyball-Pool B</v>
      </c>
      <c r="AH375" s="453">
        <f t="shared" si="163"/>
        <v>1</v>
      </c>
      <c r="AI375" s="453">
        <f t="shared" si="164"/>
        <v>1</v>
      </c>
      <c r="AJ375" t="str">
        <f t="array" ref="AJ375">IF(AND(AI375&gt;1,G375&lt;&gt;""),INDEX(FS_teams,MATCH(1,(FS_Keys=AG375)*(FS_Points=I375)*(FS_teams&lt;&gt;G375),0)),"")</f>
        <v/>
      </c>
      <c r="AK375" s="390" t="str">
        <f t="array" ref="AK375">IF(AJ375&lt;&gt;"",INDEX(TM_Score1,MATCH(1,(TM_Events=D375)*(TM_Participant1=G375)*(TM_Participant2=AJ375),0)),"")</f>
        <v/>
      </c>
      <c r="AL375" s="390" t="str">
        <f t="array" ref="AL375">IF(AJ375&lt;&gt;"",INDEX(TM_Score1,MATCH(1,(TM_Events=D375)*(TM_Participant1=AJ375)*(TM_Participant2=G375),0)),"")</f>
        <v/>
      </c>
      <c r="AM375" s="389" t="str">
        <f t="array" ref="AM375">IF(ISNUMBER(AK375),INDEX(TM_Score2,MATCH(1,(TM_Events=D375)*(TM_Participant1=G375)*(TM_Participant2=AJ375),0)),"")</f>
        <v/>
      </c>
      <c r="AN375" s="389" t="str">
        <f t="array" ref="AN375">IF(ISNUMBER(AL375),INDEX(TM_Score2,MATCH(1,(TM_Events=D375)*(TM_Participant1=AJ375)*(TM_Participant2=G375),0)),"")</f>
        <v/>
      </c>
      <c r="AO375" s="389" t="str">
        <f t="shared" si="165"/>
        <v/>
      </c>
      <c r="AP375" s="389">
        <f t="shared" si="166"/>
        <v>3</v>
      </c>
      <c r="AQ375" s="389">
        <f t="shared" si="167"/>
        <v>0</v>
      </c>
      <c r="AR375" s="389">
        <f t="shared" si="168"/>
        <v>0</v>
      </c>
      <c r="AS375" s="453">
        <f t="shared" si="169"/>
        <v>6</v>
      </c>
      <c r="AT375" s="452">
        <f t="shared" si="170"/>
        <v>6</v>
      </c>
    </row>
    <row r="376" spans="1:46" ht="16" x14ac:dyDescent="0.2">
      <c r="A376" s="298"/>
      <c r="B376"/>
      <c r="D376" s="303" t="s">
        <v>68</v>
      </c>
      <c r="E376" s="396"/>
      <c r="F376" s="387">
        <v>1</v>
      </c>
      <c r="G376" s="397" t="s">
        <v>667</v>
      </c>
      <c r="H376" s="387" t="str">
        <f t="shared" si="145"/>
        <v>5-0-0</v>
      </c>
      <c r="I376" s="389">
        <f t="shared" si="146"/>
        <v>10</v>
      </c>
      <c r="J376" s="455">
        <f t="shared" si="171"/>
        <v>1</v>
      </c>
      <c r="K376" s="455">
        <f t="shared" si="147"/>
        <v>59</v>
      </c>
      <c r="L376" s="455" t="str">
        <f t="shared" si="172"/>
        <v/>
      </c>
      <c r="M376" s="389" t="str">
        <f>IFERROR(IF(AD376&lt;=VLOOKUP(D376,Tournaments!$A$1:$B$1772,2,FALSE),"TRUE","FALSE"),"")</f>
        <v>TRUE</v>
      </c>
      <c r="N376" s="389">
        <v>1</v>
      </c>
      <c r="O376" s="389">
        <f t="shared" si="148"/>
        <v>1</v>
      </c>
      <c r="Q376" s="389">
        <f t="shared" si="149"/>
        <v>5</v>
      </c>
      <c r="R376" s="389">
        <f t="shared" si="150"/>
        <v>0</v>
      </c>
      <c r="S376" s="389">
        <f t="shared" si="151"/>
        <v>0</v>
      </c>
      <c r="U376" s="389">
        <f t="shared" si="152"/>
        <v>2</v>
      </c>
      <c r="V376" s="389">
        <f t="shared" si="153"/>
        <v>2.5000000000000001E-3</v>
      </c>
      <c r="W376" s="389">
        <f t="shared" si="154"/>
        <v>-1.9975000000000001</v>
      </c>
      <c r="X376" s="389">
        <f t="shared" si="155"/>
        <v>2</v>
      </c>
      <c r="Y376" s="389">
        <f t="shared" si="173"/>
        <v>7.7299999999999994E-2</v>
      </c>
      <c r="Z376" s="389">
        <f t="shared" si="156"/>
        <v>-1.9227000000000001</v>
      </c>
      <c r="AA376" s="389">
        <f t="shared" si="157"/>
        <v>1</v>
      </c>
      <c r="AB376" s="389" t="b">
        <f t="shared" si="158"/>
        <v>0</v>
      </c>
      <c r="AC376" s="389">
        <f t="shared" si="159"/>
        <v>-1</v>
      </c>
      <c r="AD376" s="389">
        <f t="shared" si="160"/>
        <v>1</v>
      </c>
      <c r="AE376" s="389">
        <f t="shared" si="161"/>
        <v>2</v>
      </c>
      <c r="AG376" s="311" t="str">
        <f t="shared" si="162"/>
        <v>Junior Female Basketball-</v>
      </c>
      <c r="AH376" s="453">
        <f t="shared" si="163"/>
        <v>1</v>
      </c>
      <c r="AI376" s="453">
        <f t="shared" si="164"/>
        <v>2</v>
      </c>
      <c r="AJ376" t="str">
        <f t="array" ref="AJ376">IF(AND(AI376&gt;1,G376&lt;&gt;""),INDEX(FS_teams,MATCH(1,(FS_Keys=AG376)*(FS_Points=I376)*(FS_teams&lt;&gt;G376),0)),"")</f>
        <v>JR F - COL 2</v>
      </c>
      <c r="AK376" s="390" t="e">
        <f t="array" ref="AK376">IF(AJ376&lt;&gt;"",INDEX(TM_Score1,MATCH(1,(TM_Events=D376)*(TM_Participant1=G376)*(TM_Participant2=AJ376),0)),"")</f>
        <v>#N/A</v>
      </c>
      <c r="AL376" s="390">
        <f t="array" ref="AL376">IF(AJ376&lt;&gt;"",INDEX(TM_Score1,MATCH(1,(TM_Events=D376)*(TM_Participant1=AJ376)*(TM_Participant2=G376),0)),"")</f>
        <v>0</v>
      </c>
      <c r="AM376" s="389" t="str">
        <f t="array" ref="AM376">IF(ISNUMBER(AK376),INDEX(TM_Score2,MATCH(1,(TM_Events=D376)*(TM_Participant1=G376)*(TM_Participant2=AJ376),0)),"")</f>
        <v/>
      </c>
      <c r="AN376" s="389">
        <f t="array" ref="AN376">IF(ISNUMBER(AL376),INDEX(TM_Score2,MATCH(1,(TM_Events=D376)*(TM_Participant1=AJ376)*(TM_Participant2=G376),0)),"")</f>
        <v>0</v>
      </c>
      <c r="AO376" s="389" t="str">
        <f t="shared" si="165"/>
        <v>Tie</v>
      </c>
      <c r="AP376" s="389">
        <f t="shared" si="166"/>
        <v>5</v>
      </c>
      <c r="AQ376" s="389">
        <f t="shared" si="167"/>
        <v>0</v>
      </c>
      <c r="AR376" s="389">
        <f t="shared" si="168"/>
        <v>0</v>
      </c>
      <c r="AS376" s="453">
        <f t="shared" si="169"/>
        <v>59</v>
      </c>
      <c r="AT376" s="452">
        <f t="shared" si="170"/>
        <v>183</v>
      </c>
    </row>
    <row r="377" spans="1:46" ht="16" x14ac:dyDescent="0.2">
      <c r="A377" s="298"/>
      <c r="B377"/>
      <c r="D377" s="303" t="s">
        <v>68</v>
      </c>
      <c r="E377" s="396"/>
      <c r="F377" s="387">
        <v>1</v>
      </c>
      <c r="G377" s="397" t="s">
        <v>664</v>
      </c>
      <c r="H377" s="387" t="str">
        <f t="shared" si="145"/>
        <v>2-2-0</v>
      </c>
      <c r="I377" s="389">
        <f t="shared" si="146"/>
        <v>4</v>
      </c>
      <c r="J377" s="455">
        <f t="shared" si="171"/>
        <v>1</v>
      </c>
      <c r="K377" s="455">
        <f t="shared" si="147"/>
        <v>-9</v>
      </c>
      <c r="L377" s="455" t="str">
        <f t="shared" si="172"/>
        <v/>
      </c>
      <c r="M377" s="389" t="str">
        <f>IFERROR(IF(AD377&lt;=VLOOKUP(D377,Tournaments!$A$1:$B$1772,2,FALSE),"TRUE","FALSE"),"")</f>
        <v>FALSE</v>
      </c>
      <c r="N377" s="389">
        <v>1</v>
      </c>
      <c r="O377" s="389">
        <f t="shared" si="148"/>
        <v>6</v>
      </c>
      <c r="Q377" s="389">
        <f t="shared" si="149"/>
        <v>2</v>
      </c>
      <c r="R377" s="389">
        <f t="shared" si="150"/>
        <v>2</v>
      </c>
      <c r="S377" s="389">
        <f t="shared" si="151"/>
        <v>0</v>
      </c>
      <c r="U377" s="389">
        <f t="shared" si="152"/>
        <v>6</v>
      </c>
      <c r="V377" s="389">
        <f t="shared" si="153"/>
        <v>2.5000000000000001E-3</v>
      </c>
      <c r="W377" s="389">
        <f t="shared" si="154"/>
        <v>-5.9974999999999996</v>
      </c>
      <c r="X377" s="389">
        <f t="shared" si="155"/>
        <v>6</v>
      </c>
      <c r="Y377" s="389">
        <f t="shared" si="173"/>
        <v>4.1000000000000003E-3</v>
      </c>
      <c r="Z377" s="389">
        <f t="shared" si="156"/>
        <v>-5.9958999999999998</v>
      </c>
      <c r="AA377" s="389">
        <f t="shared" si="157"/>
        <v>6</v>
      </c>
      <c r="AB377" s="389" t="b">
        <f t="shared" si="158"/>
        <v>0</v>
      </c>
      <c r="AC377" s="389">
        <f t="shared" si="159"/>
        <v>-6</v>
      </c>
      <c r="AD377" s="389">
        <f t="shared" si="160"/>
        <v>6</v>
      </c>
      <c r="AE377" s="389">
        <f t="shared" si="161"/>
        <v>3</v>
      </c>
      <c r="AG377" s="311" t="str">
        <f t="shared" si="162"/>
        <v>Junior Female Basketball-</v>
      </c>
      <c r="AH377" s="453">
        <f t="shared" si="163"/>
        <v>4</v>
      </c>
      <c r="AI377" s="453">
        <f t="shared" si="164"/>
        <v>3</v>
      </c>
      <c r="AJ377" t="str">
        <f t="array" ref="AJ377">IF(AND(AI377&gt;1,G377&lt;&gt;""),INDEX(FS_teams,MATCH(1,(FS_Keys=AG377)*(FS_Points=I377)*(FS_teams&lt;&gt;G377),0)),"")</f>
        <v>JR F - ISR 1</v>
      </c>
      <c r="AK377" s="390" t="e">
        <f t="array" ref="AK377">IF(AJ377&lt;&gt;"",INDEX(TM_Score1,MATCH(1,(TM_Events=D377)*(TM_Participant1=G377)*(TM_Participant2=AJ377),0)),"")</f>
        <v>#N/A</v>
      </c>
      <c r="AL377" s="390" t="e">
        <f t="array" ref="AL377">IF(AJ377&lt;&gt;"",INDEX(TM_Score1,MATCH(1,(TM_Events=D377)*(TM_Participant1=AJ377)*(TM_Participant2=G377),0)),"")</f>
        <v>#N/A</v>
      </c>
      <c r="AM377" s="389" t="str">
        <f t="array" ref="AM377">IF(ISNUMBER(AK377),INDEX(TM_Score2,MATCH(1,(TM_Events=D377)*(TM_Participant1=G377)*(TM_Participant2=AJ377),0)),"")</f>
        <v/>
      </c>
      <c r="AN377" s="389" t="str">
        <f t="array" ref="AN377">IF(ISNUMBER(AL377),INDEX(TM_Score2,MATCH(1,(TM_Events=D377)*(TM_Participant1=AJ377)*(TM_Participant2=G377),0)),"")</f>
        <v/>
      </c>
      <c r="AO377" s="389" t="str">
        <f t="shared" si="165"/>
        <v>did not play</v>
      </c>
      <c r="AP377" s="389">
        <f t="shared" si="166"/>
        <v>2</v>
      </c>
      <c r="AQ377" s="389">
        <f t="shared" si="167"/>
        <v>0</v>
      </c>
      <c r="AR377" s="389">
        <f t="shared" si="168"/>
        <v>2</v>
      </c>
      <c r="AS377" s="453">
        <f t="shared" si="169"/>
        <v>-9</v>
      </c>
      <c r="AT377" s="452">
        <f t="shared" si="170"/>
        <v>113</v>
      </c>
    </row>
    <row r="378" spans="1:46" ht="16" x14ac:dyDescent="0.2">
      <c r="A378" s="298"/>
      <c r="B378"/>
      <c r="D378" s="298" t="s">
        <v>68</v>
      </c>
      <c r="F378" s="389">
        <v>1</v>
      </c>
      <c r="G378" s="390" t="s">
        <v>661</v>
      </c>
      <c r="H378" s="387" t="str">
        <f t="shared" si="145"/>
        <v>2-3-0</v>
      </c>
      <c r="I378" s="389">
        <f t="shared" si="146"/>
        <v>4</v>
      </c>
      <c r="J378" s="455">
        <f t="shared" si="171"/>
        <v>1</v>
      </c>
      <c r="K378" s="455">
        <f t="shared" si="147"/>
        <v>7</v>
      </c>
      <c r="L378" s="455" t="str">
        <f t="shared" si="172"/>
        <v/>
      </c>
      <c r="M378" s="389" t="str">
        <f>IFERROR(IF(AD378&lt;=VLOOKUP(D378,Tournaments!$A$1:$B$1772,2,FALSE),"TRUE","FALSE"),"")</f>
        <v>FALSE</v>
      </c>
      <c r="N378" s="389">
        <v>1</v>
      </c>
      <c r="O378" s="389">
        <f t="shared" si="148"/>
        <v>5</v>
      </c>
      <c r="Q378" s="389">
        <f t="shared" si="149"/>
        <v>2</v>
      </c>
      <c r="R378" s="389">
        <f t="shared" si="150"/>
        <v>3</v>
      </c>
      <c r="S378" s="389">
        <f t="shared" si="151"/>
        <v>0</v>
      </c>
      <c r="U378" s="389">
        <f t="shared" si="152"/>
        <v>6</v>
      </c>
      <c r="V378" s="389">
        <f t="shared" si="153"/>
        <v>2.5000000000000001E-3</v>
      </c>
      <c r="W378" s="389">
        <f t="shared" si="154"/>
        <v>-5.9974999999999996</v>
      </c>
      <c r="X378" s="389">
        <f t="shared" si="155"/>
        <v>6</v>
      </c>
      <c r="Y378" s="389">
        <f t="shared" si="173"/>
        <v>7.3999999999999996E-2</v>
      </c>
      <c r="Z378" s="389">
        <f t="shared" si="156"/>
        <v>-5.9260000000000002</v>
      </c>
      <c r="AA378" s="389">
        <f t="shared" si="157"/>
        <v>5</v>
      </c>
      <c r="AB378" s="389" t="b">
        <f t="shared" si="158"/>
        <v>0</v>
      </c>
      <c r="AC378" s="389">
        <f t="shared" si="159"/>
        <v>-5</v>
      </c>
      <c r="AD378" s="389">
        <f t="shared" si="160"/>
        <v>5</v>
      </c>
      <c r="AE378" s="389">
        <f t="shared" si="161"/>
        <v>3</v>
      </c>
      <c r="AG378" s="311" t="str">
        <f t="shared" si="162"/>
        <v>Junior Female Basketball-</v>
      </c>
      <c r="AH378" s="453">
        <f t="shared" si="163"/>
        <v>4</v>
      </c>
      <c r="AI378" s="453">
        <f t="shared" si="164"/>
        <v>3</v>
      </c>
      <c r="AJ378" t="str">
        <f t="array" ref="AJ378">IF(AND(AI378&gt;1,G378&lt;&gt;""),INDEX(FS_teams,MATCH(1,(FS_Keys=AG378)*(FS_Points=I378)*(FS_teams&lt;&gt;G378),0)),"")</f>
        <v>JR F - PER</v>
      </c>
      <c r="AK378" s="390" t="e">
        <f t="array" ref="AK378">IF(AJ378&lt;&gt;"",INDEX(TM_Score1,MATCH(1,(TM_Events=D378)*(TM_Participant1=G378)*(TM_Participant2=AJ378),0)),"")</f>
        <v>#N/A</v>
      </c>
      <c r="AL378" s="390" t="e">
        <f t="array" ref="AL378">IF(AJ378&lt;&gt;"",INDEX(TM_Score1,MATCH(1,(TM_Events=D378)*(TM_Participant1=AJ378)*(TM_Participant2=G378),0)),"")</f>
        <v>#N/A</v>
      </c>
      <c r="AM378" s="389" t="str">
        <f t="array" ref="AM378">IF(ISNUMBER(AK378),INDEX(TM_Score2,MATCH(1,(TM_Events=D378)*(TM_Participant1=G378)*(TM_Participant2=AJ378),0)),"")</f>
        <v/>
      </c>
      <c r="AN378" s="389" t="str">
        <f t="array" ref="AN378">IF(ISNUMBER(AL378),INDEX(TM_Score2,MATCH(1,(TM_Events=D378)*(TM_Participant1=AJ378)*(TM_Participant2=G378),0)),"")</f>
        <v/>
      </c>
      <c r="AO378" s="389" t="str">
        <f t="shared" si="165"/>
        <v>did not play</v>
      </c>
      <c r="AP378" s="389">
        <f t="shared" si="166"/>
        <v>2</v>
      </c>
      <c r="AQ378" s="389">
        <f t="shared" si="167"/>
        <v>0</v>
      </c>
      <c r="AR378" s="389">
        <f t="shared" si="168"/>
        <v>3</v>
      </c>
      <c r="AS378" s="453">
        <f t="shared" si="169"/>
        <v>7</v>
      </c>
      <c r="AT378" s="452">
        <f t="shared" si="170"/>
        <v>127</v>
      </c>
    </row>
    <row r="379" spans="1:46" ht="16" x14ac:dyDescent="0.2">
      <c r="A379" s="298"/>
      <c r="B379"/>
      <c r="D379" s="303" t="s">
        <v>68</v>
      </c>
      <c r="E379" s="396"/>
      <c r="F379" s="398">
        <v>1</v>
      </c>
      <c r="G379" s="397" t="s">
        <v>668</v>
      </c>
      <c r="H379" s="387" t="str">
        <f t="shared" si="145"/>
        <v>1-3-0</v>
      </c>
      <c r="I379" s="389">
        <f t="shared" si="146"/>
        <v>2</v>
      </c>
      <c r="J379" s="455">
        <f t="shared" si="171"/>
        <v>1</v>
      </c>
      <c r="K379" s="455">
        <f t="shared" si="147"/>
        <v>-23</v>
      </c>
      <c r="L379" s="455" t="str">
        <f t="shared" si="172"/>
        <v/>
      </c>
      <c r="M379" s="389" t="str">
        <f>IFERROR(IF(AD379&lt;=VLOOKUP(D379,Tournaments!$A$1:$B$1772,2,FALSE),"TRUE","FALSE"),"")</f>
        <v>FALSE</v>
      </c>
      <c r="N379" s="389">
        <v>1</v>
      </c>
      <c r="O379" s="389">
        <f t="shared" si="148"/>
        <v>8</v>
      </c>
      <c r="Q379" s="389">
        <f t="shared" si="149"/>
        <v>1</v>
      </c>
      <c r="R379" s="389">
        <f t="shared" si="150"/>
        <v>3</v>
      </c>
      <c r="S379" s="389">
        <f t="shared" si="151"/>
        <v>0</v>
      </c>
      <c r="U379" s="389">
        <f t="shared" si="152"/>
        <v>9</v>
      </c>
      <c r="V379" s="389">
        <f t="shared" si="153"/>
        <v>2.5000000000000001E-3</v>
      </c>
      <c r="W379" s="389">
        <f t="shared" si="154"/>
        <v>-8.9975000000000005</v>
      </c>
      <c r="X379" s="389">
        <f t="shared" si="155"/>
        <v>9</v>
      </c>
      <c r="Y379" s="389">
        <f t="shared" si="173"/>
        <v>2.0999999999999999E-3</v>
      </c>
      <c r="Z379" s="389">
        <f t="shared" si="156"/>
        <v>-8.9978999999999996</v>
      </c>
      <c r="AA379" s="389">
        <f t="shared" si="157"/>
        <v>8</v>
      </c>
      <c r="AB379" s="389" t="b">
        <f t="shared" si="158"/>
        <v>0</v>
      </c>
      <c r="AC379" s="389">
        <f t="shared" si="159"/>
        <v>-8</v>
      </c>
      <c r="AD379" s="389">
        <f t="shared" si="160"/>
        <v>8</v>
      </c>
      <c r="AE379" s="389">
        <f t="shared" si="161"/>
        <v>3</v>
      </c>
      <c r="AG379" s="311" t="str">
        <f t="shared" si="162"/>
        <v>Junior Female Basketball-</v>
      </c>
      <c r="AH379" s="453">
        <f t="shared" si="163"/>
        <v>7</v>
      </c>
      <c r="AI379" s="453">
        <f t="shared" si="164"/>
        <v>3</v>
      </c>
      <c r="AJ379" t="str">
        <f t="array" ref="AJ379">IF(AND(AI379&gt;1,G379&lt;&gt;""),INDEX(FS_teams,MATCH(1,(FS_Keys=AG379)*(FS_Points=I379)*(FS_teams&lt;&gt;G379),0)),"")</f>
        <v>JR F - USA 1</v>
      </c>
      <c r="AK379" s="390" t="e">
        <f t="array" ref="AK379">IF(AJ379&lt;&gt;"",INDEX(TM_Score1,MATCH(1,(TM_Events=D379)*(TM_Participant1=G379)*(TM_Participant2=AJ379),0)),"")</f>
        <v>#N/A</v>
      </c>
      <c r="AL379" s="390">
        <f t="array" ref="AL379">IF(AJ379&lt;&gt;"",INDEX(TM_Score1,MATCH(1,(TM_Events=D379)*(TM_Participant1=AJ379)*(TM_Participant2=G379),0)),"")</f>
        <v>17</v>
      </c>
      <c r="AM379" s="389" t="str">
        <f t="array" ref="AM379">IF(ISNUMBER(AK379),INDEX(TM_Score2,MATCH(1,(TM_Events=D379)*(TM_Participant1=G379)*(TM_Participant2=AJ379),0)),"")</f>
        <v/>
      </c>
      <c r="AN379" s="389">
        <f t="array" ref="AN379">IF(ISNUMBER(AL379),INDEX(TM_Score2,MATCH(1,(TM_Events=D379)*(TM_Participant1=AJ379)*(TM_Participant2=G379),0)),"")</f>
        <v>19</v>
      </c>
      <c r="AO379" s="389" t="str">
        <f t="shared" si="165"/>
        <v>Win</v>
      </c>
      <c r="AP379" s="389">
        <f t="shared" si="166"/>
        <v>1</v>
      </c>
      <c r="AQ379" s="389">
        <f t="shared" si="167"/>
        <v>0</v>
      </c>
      <c r="AR379" s="389">
        <f t="shared" si="168"/>
        <v>3</v>
      </c>
      <c r="AS379" s="453">
        <f t="shared" si="169"/>
        <v>-23</v>
      </c>
      <c r="AT379" s="452">
        <f t="shared" si="170"/>
        <v>62</v>
      </c>
    </row>
    <row r="380" spans="1:46" ht="16" x14ac:dyDescent="0.2">
      <c r="A380" s="298"/>
      <c r="B380"/>
      <c r="D380" s="298" t="s">
        <v>68</v>
      </c>
      <c r="F380" s="389">
        <v>1</v>
      </c>
      <c r="G380" s="390" t="s">
        <v>659</v>
      </c>
      <c r="H380" s="387" t="str">
        <f t="shared" si="145"/>
        <v>3-2-0</v>
      </c>
      <c r="I380" s="389">
        <f t="shared" si="146"/>
        <v>6</v>
      </c>
      <c r="J380" s="455" t="str">
        <f t="shared" si="171"/>
        <v/>
      </c>
      <c r="K380" s="455" t="str">
        <f t="shared" si="147"/>
        <v/>
      </c>
      <c r="L380" s="455" t="str">
        <f t="shared" si="172"/>
        <v/>
      </c>
      <c r="M380" s="389" t="str">
        <f>IFERROR(IF(AD380&lt;=VLOOKUP(D380,Tournaments!$A$1:$B$1772,2,FALSE),"TRUE","FALSE"),"")</f>
        <v>TRUE</v>
      </c>
      <c r="N380" s="389">
        <v>1</v>
      </c>
      <c r="O380" s="389">
        <f t="shared" si="148"/>
        <v>3</v>
      </c>
      <c r="Q380" s="389">
        <f t="shared" si="149"/>
        <v>3</v>
      </c>
      <c r="R380" s="389">
        <f t="shared" si="150"/>
        <v>2</v>
      </c>
      <c r="S380" s="389">
        <f t="shared" si="151"/>
        <v>0</v>
      </c>
      <c r="U380" s="389">
        <f t="shared" si="152"/>
        <v>3</v>
      </c>
      <c r="V380" s="389" t="b">
        <f t="shared" si="153"/>
        <v>0</v>
      </c>
      <c r="W380" s="389">
        <f t="shared" si="154"/>
        <v>-3</v>
      </c>
      <c r="X380" s="389">
        <f t="shared" si="155"/>
        <v>3</v>
      </c>
      <c r="Y380" s="389" t="b">
        <f t="shared" si="173"/>
        <v>0</v>
      </c>
      <c r="Z380" s="389">
        <f t="shared" si="156"/>
        <v>-3</v>
      </c>
      <c r="AA380" s="389">
        <f t="shared" si="157"/>
        <v>3</v>
      </c>
      <c r="AB380" s="389" t="b">
        <f t="shared" si="158"/>
        <v>0</v>
      </c>
      <c r="AC380" s="389">
        <f t="shared" si="159"/>
        <v>-3</v>
      </c>
      <c r="AD380" s="389">
        <f t="shared" si="160"/>
        <v>3</v>
      </c>
      <c r="AE380" s="389">
        <f t="shared" si="161"/>
        <v>1</v>
      </c>
      <c r="AG380" s="311" t="str">
        <f t="shared" si="162"/>
        <v>Junior Female Basketball-</v>
      </c>
      <c r="AH380" s="453">
        <f t="shared" si="163"/>
        <v>3</v>
      </c>
      <c r="AI380" s="453">
        <f t="shared" si="164"/>
        <v>1</v>
      </c>
      <c r="AJ380" t="str">
        <f t="array" ref="AJ380">IF(AND(AI380&gt;1,G380&lt;&gt;""),INDEX(FS_teams,MATCH(1,(FS_Keys=AG380)*(FS_Points=I380)*(FS_teams&lt;&gt;G380),0)),"")</f>
        <v/>
      </c>
      <c r="AK380" s="390" t="str">
        <f t="array" ref="AK380">IF(AJ380&lt;&gt;"",INDEX(TM_Score1,MATCH(1,(TM_Events=D380)*(TM_Participant1=G380)*(TM_Participant2=AJ380),0)),"")</f>
        <v/>
      </c>
      <c r="AL380" s="390" t="str">
        <f t="array" ref="AL380">IF(AJ380&lt;&gt;"",INDEX(TM_Score1,MATCH(1,(TM_Events=D380)*(TM_Participant1=AJ380)*(TM_Participant2=G380),0)),"")</f>
        <v/>
      </c>
      <c r="AM380" s="389" t="str">
        <f t="array" ref="AM380">IF(ISNUMBER(AK380),INDEX(TM_Score2,MATCH(1,(TM_Events=D380)*(TM_Participant1=G380)*(TM_Participant2=AJ380),0)),"")</f>
        <v/>
      </c>
      <c r="AN380" s="389" t="str">
        <f t="array" ref="AN380">IF(ISNUMBER(AL380),INDEX(TM_Score2,MATCH(1,(TM_Events=D380)*(TM_Participant1=AJ380)*(TM_Participant2=G380),0)),"")</f>
        <v/>
      </c>
      <c r="AO380" s="389" t="str">
        <f t="shared" si="165"/>
        <v/>
      </c>
      <c r="AP380" s="389">
        <f t="shared" si="166"/>
        <v>3</v>
      </c>
      <c r="AQ380" s="389">
        <f t="shared" si="167"/>
        <v>0</v>
      </c>
      <c r="AR380" s="389">
        <f t="shared" si="168"/>
        <v>2</v>
      </c>
      <c r="AS380" s="453">
        <f t="shared" si="169"/>
        <v>-14</v>
      </c>
      <c r="AT380" s="452">
        <f t="shared" si="170"/>
        <v>89</v>
      </c>
    </row>
    <row r="381" spans="1:46" ht="16" x14ac:dyDescent="0.2">
      <c r="A381" s="298"/>
      <c r="B381"/>
      <c r="D381" s="303" t="s">
        <v>68</v>
      </c>
      <c r="E381" s="396"/>
      <c r="F381" s="387">
        <v>1</v>
      </c>
      <c r="G381" s="397" t="s">
        <v>666</v>
      </c>
      <c r="H381" s="387" t="str">
        <f t="shared" si="145"/>
        <v>2-2-0</v>
      </c>
      <c r="I381" s="389">
        <f t="shared" si="146"/>
        <v>4</v>
      </c>
      <c r="J381" s="455">
        <f t="shared" si="171"/>
        <v>1</v>
      </c>
      <c r="K381" s="455">
        <f t="shared" si="147"/>
        <v>10</v>
      </c>
      <c r="L381" s="455" t="str">
        <f t="shared" si="172"/>
        <v/>
      </c>
      <c r="M381" s="389" t="str">
        <f>IFERROR(IF(AD381&lt;=VLOOKUP(D381,Tournaments!$A$1:$B$1772,2,FALSE),"TRUE","FALSE"),"")</f>
        <v>TRUE</v>
      </c>
      <c r="N381" s="389">
        <v>1</v>
      </c>
      <c r="O381" s="389">
        <f t="shared" si="148"/>
        <v>4</v>
      </c>
      <c r="Q381" s="389">
        <f t="shared" si="149"/>
        <v>2</v>
      </c>
      <c r="R381" s="389">
        <f t="shared" si="150"/>
        <v>2</v>
      </c>
      <c r="S381" s="389">
        <f t="shared" si="151"/>
        <v>0</v>
      </c>
      <c r="U381" s="389">
        <f t="shared" si="152"/>
        <v>6</v>
      </c>
      <c r="V381" s="389">
        <f t="shared" si="153"/>
        <v>2.5000000000000001E-3</v>
      </c>
      <c r="W381" s="389">
        <f t="shared" si="154"/>
        <v>-5.9974999999999996</v>
      </c>
      <c r="X381" s="389">
        <f t="shared" si="155"/>
        <v>6</v>
      </c>
      <c r="Y381" s="389">
        <f t="shared" si="173"/>
        <v>7.4999999999999997E-2</v>
      </c>
      <c r="Z381" s="389">
        <f t="shared" si="156"/>
        <v>-5.9249999999999998</v>
      </c>
      <c r="AA381" s="389">
        <f t="shared" si="157"/>
        <v>4</v>
      </c>
      <c r="AB381" s="389" t="b">
        <f t="shared" si="158"/>
        <v>0</v>
      </c>
      <c r="AC381" s="389">
        <f t="shared" si="159"/>
        <v>-4</v>
      </c>
      <c r="AD381" s="389">
        <f t="shared" si="160"/>
        <v>4</v>
      </c>
      <c r="AE381" s="389">
        <f t="shared" si="161"/>
        <v>3</v>
      </c>
      <c r="AG381" s="311" t="str">
        <f t="shared" si="162"/>
        <v>Junior Female Basketball-</v>
      </c>
      <c r="AH381" s="453">
        <f t="shared" si="163"/>
        <v>4</v>
      </c>
      <c r="AI381" s="453">
        <f t="shared" si="164"/>
        <v>3</v>
      </c>
      <c r="AJ381" t="str">
        <f t="array" ref="AJ381">IF(AND(AI381&gt;1,G381&lt;&gt;""),INDEX(FS_teams,MATCH(1,(FS_Keys=AG381)*(FS_Points=I381)*(FS_teams&lt;&gt;G381),0)),"")</f>
        <v>JR F - PER</v>
      </c>
      <c r="AK381" s="390" t="e">
        <f t="array" ref="AK381">IF(AJ381&lt;&gt;"",INDEX(TM_Score1,MATCH(1,(TM_Events=D381)*(TM_Participant1=G381)*(TM_Participant2=AJ381),0)),"")</f>
        <v>#N/A</v>
      </c>
      <c r="AL381" s="390">
        <f t="array" ref="AL381">IF(AJ381&lt;&gt;"",INDEX(TM_Score1,MATCH(1,(TM_Events=D381)*(TM_Participant1=AJ381)*(TM_Participant2=G381),0)),"")</f>
        <v>32</v>
      </c>
      <c r="AM381" s="389" t="str">
        <f t="array" ref="AM381">IF(ISNUMBER(AK381),INDEX(TM_Score2,MATCH(1,(TM_Events=D381)*(TM_Participant1=G381)*(TM_Participant2=AJ381),0)),"")</f>
        <v/>
      </c>
      <c r="AN381" s="389">
        <f t="array" ref="AN381">IF(ISNUMBER(AL381),INDEX(TM_Score2,MATCH(1,(TM_Events=D381)*(TM_Participant1=AJ381)*(TM_Participant2=G381),0)),"")</f>
        <v>28</v>
      </c>
      <c r="AO381" s="389" t="str">
        <f t="shared" si="165"/>
        <v>Loss</v>
      </c>
      <c r="AP381" s="389">
        <f t="shared" si="166"/>
        <v>2</v>
      </c>
      <c r="AQ381" s="389">
        <f t="shared" si="167"/>
        <v>0</v>
      </c>
      <c r="AR381" s="389">
        <f t="shared" si="168"/>
        <v>2</v>
      </c>
      <c r="AS381" s="453">
        <f t="shared" si="169"/>
        <v>10</v>
      </c>
      <c r="AT381" s="452">
        <f t="shared" si="170"/>
        <v>82</v>
      </c>
    </row>
    <row r="382" spans="1:46" ht="16" x14ac:dyDescent="0.2">
      <c r="A382" s="298"/>
      <c r="B382"/>
      <c r="D382" s="303" t="s">
        <v>68</v>
      </c>
      <c r="E382" s="396"/>
      <c r="F382" s="387">
        <v>1</v>
      </c>
      <c r="G382" s="397" t="s">
        <v>665</v>
      </c>
      <c r="H382" s="387" t="str">
        <f t="shared" si="145"/>
        <v>1-3-0</v>
      </c>
      <c r="I382" s="389">
        <f t="shared" si="146"/>
        <v>2</v>
      </c>
      <c r="J382" s="455">
        <f t="shared" si="171"/>
        <v>1</v>
      </c>
      <c r="K382" s="455">
        <f t="shared" si="147"/>
        <v>-17</v>
      </c>
      <c r="L382" s="455" t="str">
        <f t="shared" si="172"/>
        <v/>
      </c>
      <c r="M382" s="389" t="str">
        <f>IFERROR(IF(AD382&lt;=VLOOKUP(D382,Tournaments!$A$1:$B$1772,2,FALSE),"TRUE","FALSE"),"")</f>
        <v>FALSE</v>
      </c>
      <c r="N382" s="389">
        <v>1</v>
      </c>
      <c r="O382" s="389">
        <f t="shared" si="148"/>
        <v>7</v>
      </c>
      <c r="Q382" s="389">
        <f t="shared" si="149"/>
        <v>1</v>
      </c>
      <c r="R382" s="389">
        <f t="shared" si="150"/>
        <v>3</v>
      </c>
      <c r="S382" s="389">
        <f t="shared" si="151"/>
        <v>0</v>
      </c>
      <c r="U382" s="389">
        <f t="shared" si="152"/>
        <v>9</v>
      </c>
      <c r="V382" s="389">
        <f t="shared" si="153"/>
        <v>2.5000000000000001E-3</v>
      </c>
      <c r="W382" s="389">
        <f t="shared" si="154"/>
        <v>-8.9975000000000005</v>
      </c>
      <c r="X382" s="389">
        <f t="shared" si="155"/>
        <v>9</v>
      </c>
      <c r="Y382" s="389">
        <f t="shared" si="173"/>
        <v>2.5999999999999999E-3</v>
      </c>
      <c r="Z382" s="389">
        <f t="shared" si="156"/>
        <v>-8.9974000000000007</v>
      </c>
      <c r="AA382" s="389">
        <f t="shared" si="157"/>
        <v>7</v>
      </c>
      <c r="AB382" s="389" t="b">
        <f t="shared" si="158"/>
        <v>0</v>
      </c>
      <c r="AC382" s="389">
        <f t="shared" si="159"/>
        <v>-7</v>
      </c>
      <c r="AD382" s="389">
        <f t="shared" si="160"/>
        <v>7</v>
      </c>
      <c r="AE382" s="389">
        <f t="shared" si="161"/>
        <v>3</v>
      </c>
      <c r="AG382" s="311" t="str">
        <f t="shared" si="162"/>
        <v>Junior Female Basketball-</v>
      </c>
      <c r="AH382" s="453">
        <f t="shared" si="163"/>
        <v>7</v>
      </c>
      <c r="AI382" s="453">
        <f t="shared" si="164"/>
        <v>3</v>
      </c>
      <c r="AJ382" t="str">
        <f t="array" ref="AJ382">IF(AND(AI382&gt;1,G382&lt;&gt;""),INDEX(FS_teams,MATCH(1,(FS_Keys=AG382)*(FS_Points=I382)*(FS_teams&lt;&gt;G382),0)),"")</f>
        <v>JR F - VEN 1</v>
      </c>
      <c r="AK382" s="390">
        <f t="array" ref="AK382">IF(AJ382&lt;&gt;"",INDEX(TM_Score1,MATCH(1,(TM_Events=D382)*(TM_Participant1=G382)*(TM_Participant2=AJ382),0)),"")</f>
        <v>17</v>
      </c>
      <c r="AL382" s="390" t="e">
        <f t="array" ref="AL382">IF(AJ382&lt;&gt;"",INDEX(TM_Score1,MATCH(1,(TM_Events=D382)*(TM_Participant1=AJ382)*(TM_Participant2=G382),0)),"")</f>
        <v>#N/A</v>
      </c>
      <c r="AM382" s="389">
        <f t="array" ref="AM382">IF(ISNUMBER(AK382),INDEX(TM_Score2,MATCH(1,(TM_Events=D382)*(TM_Participant1=G382)*(TM_Participant2=AJ382),0)),"")</f>
        <v>19</v>
      </c>
      <c r="AN382" s="389" t="str">
        <f t="array" ref="AN382">IF(ISNUMBER(AL382),INDEX(TM_Score2,MATCH(1,(TM_Events=D382)*(TM_Participant1=AJ382)*(TM_Participant2=G382),0)),"")</f>
        <v/>
      </c>
      <c r="AO382" s="389" t="str">
        <f t="shared" si="165"/>
        <v>Loss</v>
      </c>
      <c r="AP382" s="389">
        <f t="shared" si="166"/>
        <v>1</v>
      </c>
      <c r="AQ382" s="389">
        <f t="shared" si="167"/>
        <v>0</v>
      </c>
      <c r="AR382" s="389">
        <f t="shared" si="168"/>
        <v>3</v>
      </c>
      <c r="AS382" s="453">
        <f t="shared" si="169"/>
        <v>-17</v>
      </c>
      <c r="AT382" s="452">
        <f t="shared" si="170"/>
        <v>53</v>
      </c>
    </row>
    <row r="383" spans="1:46" ht="16" x14ac:dyDescent="0.2">
      <c r="A383" s="298"/>
      <c r="B383"/>
      <c r="D383" s="303" t="s">
        <v>68</v>
      </c>
      <c r="E383" s="396"/>
      <c r="F383" s="387">
        <v>1</v>
      </c>
      <c r="G383" s="397" t="s">
        <v>660</v>
      </c>
      <c r="H383" s="387" t="str">
        <f t="shared" si="145"/>
        <v>5-0-0</v>
      </c>
      <c r="I383" s="389">
        <f t="shared" si="146"/>
        <v>10</v>
      </c>
      <c r="J383" s="455">
        <f t="shared" si="171"/>
        <v>1</v>
      </c>
      <c r="K383" s="455">
        <f t="shared" si="147"/>
        <v>57</v>
      </c>
      <c r="L383" s="455" t="str">
        <f t="shared" si="172"/>
        <v/>
      </c>
      <c r="M383" s="389" t="str">
        <f>IFERROR(IF(AD383&lt;=VLOOKUP(D383,Tournaments!$A$1:$B$1772,2,FALSE),"TRUE","FALSE"),"")</f>
        <v>TRUE</v>
      </c>
      <c r="N383" s="389">
        <v>1</v>
      </c>
      <c r="O383" s="389">
        <f t="shared" si="148"/>
        <v>2</v>
      </c>
      <c r="Q383" s="389">
        <f t="shared" si="149"/>
        <v>5</v>
      </c>
      <c r="R383" s="389">
        <f t="shared" si="150"/>
        <v>0</v>
      </c>
      <c r="S383" s="389">
        <f t="shared" si="151"/>
        <v>0</v>
      </c>
      <c r="U383" s="389">
        <f t="shared" si="152"/>
        <v>2</v>
      </c>
      <c r="V383" s="389">
        <f t="shared" si="153"/>
        <v>2.5000000000000001E-3</v>
      </c>
      <c r="W383" s="389">
        <f t="shared" si="154"/>
        <v>-1.9975000000000001</v>
      </c>
      <c r="X383" s="389">
        <f t="shared" si="155"/>
        <v>2</v>
      </c>
      <c r="Y383" s="389">
        <f t="shared" si="173"/>
        <v>7.7100000000000002E-2</v>
      </c>
      <c r="Z383" s="389">
        <f t="shared" si="156"/>
        <v>-1.9229000000000001</v>
      </c>
      <c r="AA383" s="389">
        <f t="shared" si="157"/>
        <v>2</v>
      </c>
      <c r="AB383" s="389" t="b">
        <f t="shared" si="158"/>
        <v>0</v>
      </c>
      <c r="AC383" s="389">
        <f t="shared" si="159"/>
        <v>-2</v>
      </c>
      <c r="AD383" s="389">
        <f t="shared" si="160"/>
        <v>2</v>
      </c>
      <c r="AE383" s="389">
        <f t="shared" si="161"/>
        <v>2</v>
      </c>
      <c r="AG383" s="311" t="str">
        <f t="shared" si="162"/>
        <v>Junior Female Basketball-</v>
      </c>
      <c r="AH383" s="453">
        <f t="shared" si="163"/>
        <v>1</v>
      </c>
      <c r="AI383" s="453">
        <f t="shared" si="164"/>
        <v>2</v>
      </c>
      <c r="AJ383" t="str">
        <f t="array" ref="AJ383">IF(AND(AI383&gt;1,G383&lt;&gt;""),INDEX(FS_teams,MATCH(1,(FS_Keys=AG383)*(FS_Points=I383)*(FS_teams&lt;&gt;G383),0)),"")</f>
        <v>JR F - USA 2</v>
      </c>
      <c r="AK383" s="390">
        <f t="array" ref="AK383">IF(AJ383&lt;&gt;"",INDEX(TM_Score1,MATCH(1,(TM_Events=D383)*(TM_Participant1=G383)*(TM_Participant2=AJ383),0)),"")</f>
        <v>0</v>
      </c>
      <c r="AL383" s="390" t="e">
        <f t="array" ref="AL383">IF(AJ383&lt;&gt;"",INDEX(TM_Score1,MATCH(1,(TM_Events=D383)*(TM_Participant1=AJ383)*(TM_Participant2=G383),0)),"")</f>
        <v>#N/A</v>
      </c>
      <c r="AM383" s="389">
        <f t="array" ref="AM383">IF(ISNUMBER(AK383),INDEX(TM_Score2,MATCH(1,(TM_Events=D383)*(TM_Participant1=G383)*(TM_Participant2=AJ383),0)),"")</f>
        <v>0</v>
      </c>
      <c r="AN383" s="389" t="str">
        <f t="array" ref="AN383">IF(ISNUMBER(AL383),INDEX(TM_Score2,MATCH(1,(TM_Events=D383)*(TM_Participant1=AJ383)*(TM_Participant2=G383),0)),"")</f>
        <v/>
      </c>
      <c r="AO383" s="389" t="str">
        <f t="shared" si="165"/>
        <v>Tie</v>
      </c>
      <c r="AP383" s="389">
        <f t="shared" si="166"/>
        <v>5</v>
      </c>
      <c r="AQ383" s="389">
        <f t="shared" si="167"/>
        <v>0</v>
      </c>
      <c r="AR383" s="389">
        <f t="shared" si="168"/>
        <v>0</v>
      </c>
      <c r="AS383" s="453">
        <f t="shared" si="169"/>
        <v>57</v>
      </c>
      <c r="AT383" s="452">
        <f t="shared" si="170"/>
        <v>156</v>
      </c>
    </row>
    <row r="384" spans="1:46" ht="16" x14ac:dyDescent="0.2">
      <c r="A384" s="298"/>
      <c r="B384"/>
      <c r="D384" s="303" t="s">
        <v>68</v>
      </c>
      <c r="E384" s="396"/>
      <c r="F384" s="387">
        <v>1</v>
      </c>
      <c r="G384" s="397" t="s">
        <v>669</v>
      </c>
      <c r="H384" s="387" t="str">
        <f t="shared" si="145"/>
        <v>1-3-0</v>
      </c>
      <c r="I384" s="389">
        <f t="shared" si="146"/>
        <v>2</v>
      </c>
      <c r="J384" s="455">
        <f t="shared" si="171"/>
        <v>1</v>
      </c>
      <c r="K384" s="455">
        <f t="shared" si="147"/>
        <v>-25</v>
      </c>
      <c r="L384" s="455" t="str">
        <f t="shared" si="172"/>
        <v/>
      </c>
      <c r="M384" s="389" t="str">
        <f>IFERROR(IF(AD384&lt;=VLOOKUP(D384,Tournaments!$A$1:$B$1772,2,FALSE),"TRUE","FALSE"),"")</f>
        <v>FALSE</v>
      </c>
      <c r="N384" s="389">
        <v>1</v>
      </c>
      <c r="O384" s="389">
        <f t="shared" si="148"/>
        <v>9</v>
      </c>
      <c r="Q384" s="389">
        <f t="shared" si="149"/>
        <v>1</v>
      </c>
      <c r="R384" s="389">
        <f t="shared" si="150"/>
        <v>3</v>
      </c>
      <c r="S384" s="389">
        <f t="shared" si="151"/>
        <v>0</v>
      </c>
      <c r="U384" s="389">
        <f t="shared" si="152"/>
        <v>9</v>
      </c>
      <c r="V384" s="389">
        <f t="shared" si="153"/>
        <v>2.5000000000000001E-3</v>
      </c>
      <c r="W384" s="389">
        <f t="shared" si="154"/>
        <v>-8.9975000000000005</v>
      </c>
      <c r="X384" s="389">
        <f t="shared" si="155"/>
        <v>9</v>
      </c>
      <c r="Y384" s="389">
        <f t="shared" si="173"/>
        <v>2E-3</v>
      </c>
      <c r="Z384" s="389">
        <f t="shared" si="156"/>
        <v>-8.9979999999999993</v>
      </c>
      <c r="AA384" s="389">
        <f t="shared" si="157"/>
        <v>9</v>
      </c>
      <c r="AB384" s="389" t="b">
        <f t="shared" si="158"/>
        <v>0</v>
      </c>
      <c r="AC384" s="389">
        <f t="shared" si="159"/>
        <v>-9</v>
      </c>
      <c r="AD384" s="389">
        <f t="shared" si="160"/>
        <v>9</v>
      </c>
      <c r="AE384" s="389">
        <f t="shared" si="161"/>
        <v>3</v>
      </c>
      <c r="AG384" s="311" t="str">
        <f t="shared" si="162"/>
        <v>Junior Female Basketball-</v>
      </c>
      <c r="AH384" s="453">
        <f t="shared" si="163"/>
        <v>7</v>
      </c>
      <c r="AI384" s="453">
        <f t="shared" si="164"/>
        <v>3</v>
      </c>
      <c r="AJ384" t="str">
        <f t="array" ref="AJ384">IF(AND(AI384&gt;1,G384&lt;&gt;""),INDEX(FS_teams,MATCH(1,(FS_Keys=AG384)*(FS_Points=I384)*(FS_teams&lt;&gt;G384),0)),"")</f>
        <v>JR F - VEN 1</v>
      </c>
      <c r="AK384" s="390">
        <f t="array" ref="AK384">IF(AJ384&lt;&gt;"",INDEX(TM_Score1,MATCH(1,(TM_Events=D384)*(TM_Participant1=G384)*(TM_Participant2=AJ384),0)),"")</f>
        <v>9</v>
      </c>
      <c r="AL384" s="390" t="e">
        <f t="array" ref="AL384">IF(AJ384&lt;&gt;"",INDEX(TM_Score1,MATCH(1,(TM_Events=D384)*(TM_Participant1=AJ384)*(TM_Participant2=G384),0)),"")</f>
        <v>#N/A</v>
      </c>
      <c r="AM384" s="389">
        <f t="array" ref="AM384">IF(ISNUMBER(AK384),INDEX(TM_Score2,MATCH(1,(TM_Events=D384)*(TM_Participant1=G384)*(TM_Participant2=AJ384),0)),"")</f>
        <v>8</v>
      </c>
      <c r="AN384" s="389" t="str">
        <f t="array" ref="AN384">IF(ISNUMBER(AL384),INDEX(TM_Score2,MATCH(1,(TM_Events=D384)*(TM_Participant1=AJ384)*(TM_Participant2=G384),0)),"")</f>
        <v/>
      </c>
      <c r="AO384" s="389" t="str">
        <f t="shared" si="165"/>
        <v>Win</v>
      </c>
      <c r="AP384" s="389">
        <f t="shared" si="166"/>
        <v>1</v>
      </c>
      <c r="AQ384" s="389">
        <f t="shared" si="167"/>
        <v>0</v>
      </c>
      <c r="AR384" s="389">
        <f t="shared" si="168"/>
        <v>3</v>
      </c>
      <c r="AS384" s="453">
        <f t="shared" si="169"/>
        <v>-25</v>
      </c>
      <c r="AT384" s="452">
        <f t="shared" si="170"/>
        <v>36</v>
      </c>
    </row>
    <row r="385" spans="1:46" ht="16" x14ac:dyDescent="0.2">
      <c r="A385" s="298"/>
      <c r="B385"/>
      <c r="D385" s="303" t="s">
        <v>68</v>
      </c>
      <c r="E385" s="396"/>
      <c r="F385" s="387">
        <v>1</v>
      </c>
      <c r="G385" s="397" t="s">
        <v>776</v>
      </c>
      <c r="H385" s="387" t="str">
        <f t="shared" si="145"/>
        <v>0-4-0</v>
      </c>
      <c r="I385" s="389">
        <f t="shared" si="146"/>
        <v>0</v>
      </c>
      <c r="J385" s="455" t="str">
        <f t="shared" si="171"/>
        <v/>
      </c>
      <c r="K385" s="455" t="str">
        <f t="shared" si="147"/>
        <v/>
      </c>
      <c r="L385" s="455" t="str">
        <f t="shared" si="172"/>
        <v/>
      </c>
      <c r="M385" s="389" t="str">
        <f>IFERROR(IF(AD385&lt;=VLOOKUP(D385,Tournaments!$A$1:$B$1772,2,FALSE),"TRUE","FALSE"),"")</f>
        <v>FALSE</v>
      </c>
      <c r="N385" s="389">
        <v>1</v>
      </c>
      <c r="O385" s="389">
        <f t="shared" si="148"/>
        <v>10</v>
      </c>
      <c r="Q385" s="389">
        <f t="shared" si="149"/>
        <v>0</v>
      </c>
      <c r="R385" s="389">
        <f t="shared" si="150"/>
        <v>4</v>
      </c>
      <c r="S385" s="389">
        <f t="shared" si="151"/>
        <v>0</v>
      </c>
      <c r="U385" s="389">
        <f t="shared" si="152"/>
        <v>10</v>
      </c>
      <c r="V385" s="389" t="b">
        <f t="shared" si="153"/>
        <v>0</v>
      </c>
      <c r="W385" s="389">
        <f t="shared" si="154"/>
        <v>-10</v>
      </c>
      <c r="X385" s="389">
        <f t="shared" si="155"/>
        <v>10</v>
      </c>
      <c r="Y385" s="389" t="b">
        <f t="shared" si="173"/>
        <v>0</v>
      </c>
      <c r="Z385" s="389">
        <f t="shared" si="156"/>
        <v>-10</v>
      </c>
      <c r="AA385" s="389">
        <f t="shared" si="157"/>
        <v>10</v>
      </c>
      <c r="AB385" s="389" t="b">
        <f t="shared" si="158"/>
        <v>0</v>
      </c>
      <c r="AC385" s="389">
        <f t="shared" si="159"/>
        <v>-10</v>
      </c>
      <c r="AD385" s="389">
        <f t="shared" si="160"/>
        <v>10</v>
      </c>
      <c r="AE385" s="389">
        <f t="shared" si="161"/>
        <v>1</v>
      </c>
      <c r="AG385" s="311" t="str">
        <f t="shared" si="162"/>
        <v>Junior Female Basketball-</v>
      </c>
      <c r="AH385" s="453">
        <f t="shared" si="163"/>
        <v>10</v>
      </c>
      <c r="AI385" s="453">
        <f t="shared" si="164"/>
        <v>1</v>
      </c>
      <c r="AJ385" t="str">
        <f t="array" ref="AJ385">IF(AND(AI385&gt;1,G385&lt;&gt;""),INDEX(FS_teams,MATCH(1,(FS_Keys=AG385)*(FS_Points=I385)*(FS_teams&lt;&gt;G385),0)),"")</f>
        <v/>
      </c>
      <c r="AK385" s="390" t="str">
        <f t="array" ref="AK385">IF(AJ385&lt;&gt;"",INDEX(TM_Score1,MATCH(1,(TM_Events=D385)*(TM_Participant1=G385)*(TM_Participant2=AJ385),0)),"")</f>
        <v/>
      </c>
      <c r="AL385" s="390" t="str">
        <f t="array" ref="AL385">IF(AJ385&lt;&gt;"",INDEX(TM_Score1,MATCH(1,(TM_Events=D385)*(TM_Participant1=AJ385)*(TM_Participant2=G385),0)),"")</f>
        <v/>
      </c>
      <c r="AM385" s="389" t="str">
        <f t="array" ref="AM385">IF(ISNUMBER(AK385),INDEX(TM_Score2,MATCH(1,(TM_Events=D385)*(TM_Participant1=G385)*(TM_Participant2=AJ385),0)),"")</f>
        <v/>
      </c>
      <c r="AN385" s="389" t="str">
        <f t="array" ref="AN385">IF(ISNUMBER(AL385),INDEX(TM_Score2,MATCH(1,(TM_Events=D385)*(TM_Participant1=AJ385)*(TM_Participant2=G385),0)),"")</f>
        <v/>
      </c>
      <c r="AO385" s="389" t="str">
        <f t="shared" si="165"/>
        <v/>
      </c>
      <c r="AP385" s="389">
        <f t="shared" si="166"/>
        <v>0</v>
      </c>
      <c r="AQ385" s="389">
        <f t="shared" si="167"/>
        <v>0</v>
      </c>
      <c r="AR385" s="389">
        <f t="shared" si="168"/>
        <v>4</v>
      </c>
      <c r="AS385" s="453">
        <f t="shared" si="169"/>
        <v>-45</v>
      </c>
      <c r="AT385" s="452">
        <f t="shared" si="170"/>
        <v>35</v>
      </c>
    </row>
    <row r="386" spans="1:46" ht="16" x14ac:dyDescent="0.2">
      <c r="A386" s="298"/>
      <c r="B386"/>
      <c r="D386" s="303" t="s">
        <v>69</v>
      </c>
      <c r="E386" s="396"/>
      <c r="F386" s="387">
        <v>1</v>
      </c>
      <c r="G386" s="397" t="s">
        <v>659</v>
      </c>
      <c r="H386" s="387" t="str">
        <f t="shared" si="145"/>
        <v>3-2-0</v>
      </c>
      <c r="I386" s="389">
        <f t="shared" si="146"/>
        <v>6</v>
      </c>
      <c r="J386" s="455">
        <f t="shared" si="171"/>
        <v>1</v>
      </c>
      <c r="K386" s="455">
        <f t="shared" si="147"/>
        <v>30</v>
      </c>
      <c r="L386" s="455" t="str">
        <f t="shared" si="172"/>
        <v/>
      </c>
      <c r="M386" s="389" t="str">
        <f>IFERROR(IF(AD386&lt;=VLOOKUP(D386,Tournaments!$A$1:$B$1772,2,FALSE),"TRUE","FALSE"),"")</f>
        <v>TRUE</v>
      </c>
      <c r="N386" s="389">
        <v>1</v>
      </c>
      <c r="O386" s="389">
        <f t="shared" si="148"/>
        <v>4</v>
      </c>
      <c r="Q386" s="389">
        <f t="shared" si="149"/>
        <v>3</v>
      </c>
      <c r="R386" s="389">
        <f t="shared" si="150"/>
        <v>2</v>
      </c>
      <c r="S386" s="389">
        <f t="shared" si="151"/>
        <v>0</v>
      </c>
      <c r="U386" s="389">
        <f t="shared" si="152"/>
        <v>5</v>
      </c>
      <c r="V386" s="389">
        <f t="shared" si="153"/>
        <v>2.5000000000000001E-3</v>
      </c>
      <c r="W386" s="389">
        <f t="shared" si="154"/>
        <v>-4.9974999999999996</v>
      </c>
      <c r="X386" s="389">
        <f t="shared" si="155"/>
        <v>5</v>
      </c>
      <c r="Y386" s="389">
        <f t="shared" si="173"/>
        <v>7.6499999999999999E-2</v>
      </c>
      <c r="Z386" s="389">
        <f t="shared" si="156"/>
        <v>-4.9234999999999998</v>
      </c>
      <c r="AA386" s="389">
        <f t="shared" si="157"/>
        <v>4</v>
      </c>
      <c r="AB386" s="389" t="b">
        <f t="shared" si="158"/>
        <v>0</v>
      </c>
      <c r="AC386" s="389">
        <f t="shared" si="159"/>
        <v>-4</v>
      </c>
      <c r="AD386" s="389">
        <f t="shared" si="160"/>
        <v>4</v>
      </c>
      <c r="AE386" s="389">
        <f t="shared" si="161"/>
        <v>3</v>
      </c>
      <c r="AG386" s="311" t="str">
        <f t="shared" si="162"/>
        <v>Junior Female Flag Football-</v>
      </c>
      <c r="AH386" s="453">
        <f t="shared" si="163"/>
        <v>3</v>
      </c>
      <c r="AI386" s="453">
        <f t="shared" si="164"/>
        <v>3</v>
      </c>
      <c r="AJ386" t="str">
        <f t="array" ref="AJ386">IF(AND(AI386&gt;1,G386&lt;&gt;""),INDEX(FS_teams,MATCH(1,(FS_Keys=AG386)*(FS_Points=I386)*(FS_teams&lt;&gt;G386),0)),"")</f>
        <v>JR F - USA 1</v>
      </c>
      <c r="AK386" s="390">
        <f t="array" ref="AK386">IF(AJ386&lt;&gt;"",INDEX(TM_Score1,MATCH(1,(TM_Events=D386)*(TM_Participant1=G386)*(TM_Participant2=AJ386),0)),"")</f>
        <v>25</v>
      </c>
      <c r="AL386" s="390" t="e">
        <f t="array" ref="AL386">IF(AJ386&lt;&gt;"",INDEX(TM_Score1,MATCH(1,(TM_Events=D386)*(TM_Participant1=AJ386)*(TM_Participant2=G386),0)),"")</f>
        <v>#N/A</v>
      </c>
      <c r="AM386" s="389">
        <f t="array" ref="AM386">IF(ISNUMBER(AK386),INDEX(TM_Score2,MATCH(1,(TM_Events=D386)*(TM_Participant1=G386)*(TM_Participant2=AJ386),0)),"")</f>
        <v>13</v>
      </c>
      <c r="AN386" s="389" t="str">
        <f t="array" ref="AN386">IF(ISNUMBER(AL386),INDEX(TM_Score2,MATCH(1,(TM_Events=D386)*(TM_Participant1=AJ386)*(TM_Participant2=G386),0)),"")</f>
        <v/>
      </c>
      <c r="AO386" s="389" t="str">
        <f t="shared" si="165"/>
        <v>Win</v>
      </c>
      <c r="AP386" s="389">
        <f t="shared" si="166"/>
        <v>3</v>
      </c>
      <c r="AQ386" s="389">
        <f t="shared" si="167"/>
        <v>0</v>
      </c>
      <c r="AR386" s="389">
        <f t="shared" si="168"/>
        <v>2</v>
      </c>
      <c r="AS386" s="453">
        <f t="shared" si="169"/>
        <v>30</v>
      </c>
      <c r="AT386" s="452">
        <f t="shared" si="170"/>
        <v>139</v>
      </c>
    </row>
    <row r="387" spans="1:46" ht="16" x14ac:dyDescent="0.2">
      <c r="A387" s="298"/>
      <c r="B387"/>
      <c r="D387" s="303" t="s">
        <v>69</v>
      </c>
      <c r="E387" s="396"/>
      <c r="F387" s="387">
        <v>1</v>
      </c>
      <c r="G387" s="397" t="s">
        <v>776</v>
      </c>
      <c r="H387" s="387" t="str">
        <f t="shared" ref="H387:H450" si="174">Q387&amp;"-"&amp;R387&amp;"-"&amp;S387</f>
        <v>1-3-0</v>
      </c>
      <c r="I387" s="389">
        <f t="shared" ref="I387:I450" si="175">IF(H387&lt;&gt;"0-0-0",Q387*2+S387,0)</f>
        <v>2</v>
      </c>
      <c r="J387" s="455">
        <f t="shared" si="171"/>
        <v>1</v>
      </c>
      <c r="K387" s="455">
        <f t="shared" ref="K387:K450" si="176">IF(COUNTIFS(AG:AG,AG387,I:I,I387,J:J,J387)&gt;1,AS387,"")</f>
        <v>-55</v>
      </c>
      <c r="L387" s="455" t="str">
        <f t="shared" si="172"/>
        <v/>
      </c>
      <c r="M387" s="389" t="str">
        <f>IFERROR(IF(AD387&lt;=VLOOKUP(D387,Tournaments!$A$1:$B$1772,2,FALSE),"TRUE","FALSE"),"")</f>
        <v>FALSE</v>
      </c>
      <c r="N387" s="389">
        <v>1</v>
      </c>
      <c r="O387" s="389">
        <f t="shared" ref="O387:O450" si="177">AD387</f>
        <v>8</v>
      </c>
      <c r="Q387" s="389">
        <f t="shared" ref="Q387:Q450" si="178">AP387</f>
        <v>1</v>
      </c>
      <c r="R387" s="389">
        <f t="shared" ref="R387:R450" si="179">AR387</f>
        <v>3</v>
      </c>
      <c r="S387" s="389">
        <f t="shared" ref="S387:S450" si="180">AQ387</f>
        <v>0</v>
      </c>
      <c r="U387" s="389">
        <f t="shared" ref="U387:U450" si="181">IF(E387&lt;&gt;"",COUNTIFS($D$3:$D$1001,D387,$E$3:$E$1001,E387,$I$3:$I$1001,"&gt;"&amp;I387)+COUNTIFS($D$3:$D$1001,D387,$E$3:$E$1001,E387,$I$3:$I$1001,I387),COUNTIFS($D$3:$D$1001,D387,$I$3:$I$1001,"&gt;"&amp;I387)+COUNTIFS($D$3:$D$1001,D387,$I$3:$I$1001,I387))</f>
        <v>8</v>
      </c>
      <c r="V387" s="389">
        <f t="shared" ref="V387:V450" si="182">IFERROR(RANK(J387,$J:$J,1)/10000,FALSE)</f>
        <v>2.5000000000000001E-3</v>
      </c>
      <c r="W387" s="389">
        <f t="shared" ref="W387:W450" si="183">V387-U387</f>
        <v>-7.9974999999999996</v>
      </c>
      <c r="X387" s="389">
        <f t="shared" ref="X387:X450" si="184">IF(E387&lt;&gt;"",COUNTIFS($D:$D,$D387,$E:$E,$E387,$W:$W,"&gt;"&amp;W387)+COUNTIFS($D:$D,$D387,$E:$E,$E387,$W:$W,W387),COUNTIFS($D:$D,$D387,$W:$W,"&gt;"&amp;W387)+COUNTIFS($D:$D,$D387,$W:$W,W387))</f>
        <v>8</v>
      </c>
      <c r="Y387" s="389">
        <f t="shared" si="173"/>
        <v>4.0000000000000002E-4</v>
      </c>
      <c r="Z387" s="389">
        <f t="shared" ref="Z387:Z450" si="185">Y387-X387</f>
        <v>-7.9996</v>
      </c>
      <c r="AA387" s="389">
        <f t="shared" ref="AA387:AA450" si="186">IF(E387&lt;&gt;"",(COUNTIFS($D:$D,D387,$E:$E,E387,$Z:$Z,"&gt;"&amp;Z387)+COUNTIFS($D:$D,D387,$E:$E,E387,$Z:$Z,Z387)),(COUNTIFS($D:$D,D387,$Z:$Z,"&gt;"&amp;Z387)+COUNTIFS($D:$D,D387,$Z:$Z,Z387)))</f>
        <v>8</v>
      </c>
      <c r="AB387" s="389" t="b">
        <f t="shared" ref="AB387:AB450" si="187">IFERROR(RANK(L387,$L:$L,1)/10000,FALSE)</f>
        <v>0</v>
      </c>
      <c r="AC387" s="389">
        <f t="shared" ref="AC387:AC450" si="188">AB387-AA387</f>
        <v>-8</v>
      </c>
      <c r="AD387" s="389">
        <f t="shared" ref="AD387:AD450" si="189">IF(E387&lt;&gt;"",COUNTIFS($D:$D,$D387,$E:$E,$E387,$AC:$AC,"&gt;"&amp;AC387)+COUNTIFS($D:$D,$D387,$E:$E,$E387,$AC:$AC,AC387),COUNTIFS($D:$D,$D387,$AC:$AC,"&gt;"&amp;AC387)+COUNTIFS($D:$D,$D387,$AC:$AC,AC387))</f>
        <v>8</v>
      </c>
      <c r="AE387" s="389">
        <f t="shared" ref="AE387:AE450" si="190">IF(E387&lt;&gt;"",COUNTIFS($D:$D,D387,$E:$E,E387,$I:$I,I387,$J:$J,J387),COUNTIFS($D:$D,D387,$I:$I,I387,$J:$J,J387))</f>
        <v>3</v>
      </c>
      <c r="AG387" s="311" t="str">
        <f t="shared" ref="AG387:AG450" si="191">D387&amp;"-"&amp;E387</f>
        <v>Junior Female Flag Football-</v>
      </c>
      <c r="AH387" s="453">
        <f t="shared" ref="AH387:AH450" si="192">IF(G387="","",COUNTIFS(FS_teams,"&lt;&gt;-1",FS_Keys,AG387,FS_Points,"&gt;"&amp;I387)+1)</f>
        <v>6</v>
      </c>
      <c r="AI387" s="453">
        <f t="shared" ref="AI387:AI450" si="193">IF(G387="","",COUNTIFS(FS_Keys,AG387,FS_Rank_on_Points,AH387))</f>
        <v>3</v>
      </c>
      <c r="AJ387" t="str">
        <f t="array" ref="AJ387">IF(AND(AI387&gt;1,G387&lt;&gt;""),INDEX(FS_teams,MATCH(1,(FS_Keys=AG387)*(FS_Points=I387)*(FS_teams&lt;&gt;G387),0)),"")</f>
        <v>JR F - COL 1</v>
      </c>
      <c r="AK387" s="390" t="e">
        <f t="array" ref="AK387">IF(AJ387&lt;&gt;"",INDEX(TM_Score1,MATCH(1,(TM_Events=D387)*(TM_Participant1=G387)*(TM_Participant2=AJ387),0)),"")</f>
        <v>#N/A</v>
      </c>
      <c r="AL387" s="390" t="e">
        <f t="array" ref="AL387">IF(AJ387&lt;&gt;"",INDEX(TM_Score1,MATCH(1,(TM_Events=D387)*(TM_Participant1=AJ387)*(TM_Participant2=G387),0)),"")</f>
        <v>#N/A</v>
      </c>
      <c r="AM387" s="389" t="str">
        <f t="array" ref="AM387">IF(ISNUMBER(AK387),INDEX(TM_Score2,MATCH(1,(TM_Events=D387)*(TM_Participant1=G387)*(TM_Participant2=AJ387),0)),"")</f>
        <v/>
      </c>
      <c r="AN387" s="389" t="str">
        <f t="array" ref="AN387">IF(ISNUMBER(AL387),INDEX(TM_Score2,MATCH(1,(TM_Events=D387)*(TM_Participant1=AJ387)*(TM_Participant2=G387),0)),"")</f>
        <v/>
      </c>
      <c r="AO387" s="389" t="str">
        <f t="shared" ref="AO387:AO450" si="194">IF(AJ387="","",IF(ISNUMBER(AK387),IF(AK387&gt;AM387,"Win",IF(AK387=AM387,"Tie",IF(AK387&lt;AM387,"Loss","check"))),IF(ISNUMBER(AL387),IF(AN387&gt;AL387,"Win",IF(AN387=AL387,"Tie",IF(AN387&lt;AL387,"Loss","check"))),IF(AND(ISNA(AK387),ISNA(AL387)),"did not play","check"))))</f>
        <v>did not play</v>
      </c>
      <c r="AP387" s="389">
        <f t="shared" ref="AP387:AP450" si="195">SUMIFS(TM_W1,TM_Events,D387,TM_Participant1,G387)+SUMIFS(TM_w2,TM_Events,D387,TM_Participant2,G387)</f>
        <v>1</v>
      </c>
      <c r="AQ387" s="389">
        <f t="shared" ref="AQ387:AQ450" si="196">SUMIFS(TM_T1,TM_Events,D387,TM_Participant1,G387)+SUMIFS(TM_T2,TM_Events,D387,TM_Participant2,G387)</f>
        <v>0</v>
      </c>
      <c r="AR387" s="389">
        <f t="shared" ref="AR387:AR450" si="197">SUMIFS(TM_L1,TM_Events,D387,TM_Participant1,G387)+SUMIFS(TM_L2,TM_Events,D387,TM_Participant2,G387)</f>
        <v>3</v>
      </c>
      <c r="AS387" s="453">
        <f t="shared" ref="AS387:AS450" si="198">SUMIFS(Net_1,TM_Events,D387,TM_Participant1,G387)+SUMIFS(Net_2,TM_Events,D387,TM_Participant2,G387)</f>
        <v>-55</v>
      </c>
      <c r="AT387" s="452">
        <f t="shared" ref="AT387:AT450" si="199">SUMIFS(Score_1,TM_Events,D387,TM_Participant1,G387)+SUMIFS(Score_2,TM_Events,D387,TM_Participant2,G387)</f>
        <v>20</v>
      </c>
    </row>
    <row r="388" spans="1:46" ht="16" x14ac:dyDescent="0.2">
      <c r="A388" s="298"/>
      <c r="B388"/>
      <c r="D388" s="303" t="s">
        <v>69</v>
      </c>
      <c r="E388" s="396"/>
      <c r="F388" s="387">
        <v>1</v>
      </c>
      <c r="G388" s="397" t="s">
        <v>666</v>
      </c>
      <c r="H388" s="387" t="str">
        <f t="shared" si="174"/>
        <v>1-3-0</v>
      </c>
      <c r="I388" s="389">
        <f t="shared" si="175"/>
        <v>2</v>
      </c>
      <c r="J388" s="455">
        <f t="shared" ref="J388:J451" si="200">IF(E388&lt;&gt;"",IF(COUNTIFS($D:$D,D388,$E:$E,E388,$I:$I,I388)&lt;3,IFERROR(IF(H388&lt;&gt;"0-0-0",IF(AO388&lt;&gt;"",IF(AO388="Win",2,IF(AO388="Loss",0,1)),""),""),""),1),IF(COUNTIFS(D:D,D388,I:I,I388)&lt;3,IFERROR(IF(H388&lt;&gt;"0-0-0",IF(AO388&lt;&gt;"",IF(AO388="Win",2,IF(AO388="Loss",0,1)),""),""),""),1))</f>
        <v>1</v>
      </c>
      <c r="K388" s="455">
        <f t="shared" si="176"/>
        <v>-22</v>
      </c>
      <c r="L388" s="455" t="str">
        <f t="shared" ref="L388:L451" si="201">IF(COUNTIFS(AG:AG,AG388,I:I,I388,J:J,J388,K:K,K388)&gt;1,AT388,"")</f>
        <v/>
      </c>
      <c r="M388" s="389" t="str">
        <f>IFERROR(IF(AD388&lt;=VLOOKUP(D388,Tournaments!$A$1:$B$1772,2,FALSE),"TRUE","FALSE"),"")</f>
        <v>FALSE</v>
      </c>
      <c r="N388" s="389">
        <v>1</v>
      </c>
      <c r="O388" s="389">
        <f t="shared" si="177"/>
        <v>6</v>
      </c>
      <c r="Q388" s="389">
        <f t="shared" si="178"/>
        <v>1</v>
      </c>
      <c r="R388" s="389">
        <f t="shared" si="179"/>
        <v>3</v>
      </c>
      <c r="S388" s="389">
        <f t="shared" si="180"/>
        <v>0</v>
      </c>
      <c r="U388" s="389">
        <f t="shared" si="181"/>
        <v>8</v>
      </c>
      <c r="V388" s="389">
        <f t="shared" si="182"/>
        <v>2.5000000000000001E-3</v>
      </c>
      <c r="W388" s="389">
        <f t="shared" si="183"/>
        <v>-7.9974999999999996</v>
      </c>
      <c r="X388" s="389">
        <f t="shared" si="184"/>
        <v>8</v>
      </c>
      <c r="Y388" s="389">
        <f t="shared" ref="Y388:Y451" si="202">IFERROR(IF(K388&gt;=0,RANK(K388,$K:$K,1)/10000,RANK(K388,$K:$K,1)/10000),FALSE)</f>
        <v>2.3E-3</v>
      </c>
      <c r="Z388" s="389">
        <f t="shared" si="185"/>
        <v>-7.9977</v>
      </c>
      <c r="AA388" s="389">
        <f t="shared" si="186"/>
        <v>6</v>
      </c>
      <c r="AB388" s="389" t="b">
        <f t="shared" si="187"/>
        <v>0</v>
      </c>
      <c r="AC388" s="389">
        <f t="shared" si="188"/>
        <v>-6</v>
      </c>
      <c r="AD388" s="389">
        <f t="shared" si="189"/>
        <v>6</v>
      </c>
      <c r="AE388" s="389">
        <f t="shared" si="190"/>
        <v>3</v>
      </c>
      <c r="AG388" s="311" t="str">
        <f t="shared" si="191"/>
        <v>Junior Female Flag Football-</v>
      </c>
      <c r="AH388" s="453">
        <f t="shared" si="192"/>
        <v>6</v>
      </c>
      <c r="AI388" s="453">
        <f t="shared" si="193"/>
        <v>3</v>
      </c>
      <c r="AJ388" t="str">
        <f t="array" ref="AJ388">IF(AND(AI388&gt;1,G388&lt;&gt;""),INDEX(FS_teams,MATCH(1,(FS_Keys=AG388)*(FS_Points=I388)*(FS_teams&lt;&gt;G388),0)),"")</f>
        <v>JR F - USA 3</v>
      </c>
      <c r="AK388" s="390" t="e">
        <f t="array" ref="AK388">IF(AJ388&lt;&gt;"",INDEX(TM_Score1,MATCH(1,(TM_Events=D388)*(TM_Participant1=G388)*(TM_Participant2=AJ388),0)),"")</f>
        <v>#N/A</v>
      </c>
      <c r="AL388" s="390" t="e">
        <f t="array" ref="AL388">IF(AJ388&lt;&gt;"",INDEX(TM_Score1,MATCH(1,(TM_Events=D388)*(TM_Participant1=AJ388)*(TM_Participant2=G388),0)),"")</f>
        <v>#N/A</v>
      </c>
      <c r="AM388" s="389" t="str">
        <f t="array" ref="AM388">IF(ISNUMBER(AK388),INDEX(TM_Score2,MATCH(1,(TM_Events=D388)*(TM_Participant1=G388)*(TM_Participant2=AJ388),0)),"")</f>
        <v/>
      </c>
      <c r="AN388" s="389" t="str">
        <f t="array" ref="AN388">IF(ISNUMBER(AL388),INDEX(TM_Score2,MATCH(1,(TM_Events=D388)*(TM_Participant1=AJ388)*(TM_Participant2=G388),0)),"")</f>
        <v/>
      </c>
      <c r="AO388" s="389" t="str">
        <f t="shared" si="194"/>
        <v>did not play</v>
      </c>
      <c r="AP388" s="389">
        <f t="shared" si="195"/>
        <v>1</v>
      </c>
      <c r="AQ388" s="389">
        <f t="shared" si="196"/>
        <v>0</v>
      </c>
      <c r="AR388" s="389">
        <f t="shared" si="197"/>
        <v>3</v>
      </c>
      <c r="AS388" s="453">
        <f t="shared" si="198"/>
        <v>-22</v>
      </c>
      <c r="AT388" s="452">
        <f t="shared" si="199"/>
        <v>34</v>
      </c>
    </row>
    <row r="389" spans="1:46" ht="16" x14ac:dyDescent="0.2">
      <c r="A389" s="298"/>
      <c r="B389"/>
      <c r="D389" s="303" t="s">
        <v>69</v>
      </c>
      <c r="E389" s="396"/>
      <c r="F389" s="387">
        <v>1</v>
      </c>
      <c r="G389" s="397" t="s">
        <v>668</v>
      </c>
      <c r="H389" s="387" t="str">
        <f t="shared" si="174"/>
        <v>0-4-0</v>
      </c>
      <c r="I389" s="389">
        <f t="shared" si="175"/>
        <v>0</v>
      </c>
      <c r="J389" s="455">
        <f t="shared" si="200"/>
        <v>1</v>
      </c>
      <c r="K389" s="455">
        <f t="shared" si="176"/>
        <v>-71</v>
      </c>
      <c r="L389" s="455" t="str">
        <f t="shared" si="201"/>
        <v/>
      </c>
      <c r="M389" s="389" t="str">
        <f>IFERROR(IF(AD389&lt;=VLOOKUP(D389,Tournaments!$A$1:$B$1772,2,FALSE),"TRUE","FALSE"),"")</f>
        <v>FALSE</v>
      </c>
      <c r="N389" s="389">
        <v>1</v>
      </c>
      <c r="O389" s="389">
        <f t="shared" si="177"/>
        <v>9</v>
      </c>
      <c r="Q389" s="389">
        <f t="shared" si="178"/>
        <v>0</v>
      </c>
      <c r="R389" s="389">
        <f t="shared" si="179"/>
        <v>4</v>
      </c>
      <c r="S389" s="389">
        <f t="shared" si="180"/>
        <v>0</v>
      </c>
      <c r="U389" s="389">
        <f t="shared" si="181"/>
        <v>10</v>
      </c>
      <c r="V389" s="389">
        <f t="shared" si="182"/>
        <v>2.5000000000000001E-3</v>
      </c>
      <c r="W389" s="389">
        <f t="shared" si="183"/>
        <v>-9.9975000000000005</v>
      </c>
      <c r="X389" s="389">
        <f t="shared" si="184"/>
        <v>10</v>
      </c>
      <c r="Y389" s="389">
        <f t="shared" si="202"/>
        <v>2.0000000000000001E-4</v>
      </c>
      <c r="Z389" s="389">
        <f t="shared" si="185"/>
        <v>-9.9998000000000005</v>
      </c>
      <c r="AA389" s="389">
        <f t="shared" si="186"/>
        <v>9</v>
      </c>
      <c r="AB389" s="389" t="b">
        <f t="shared" si="187"/>
        <v>0</v>
      </c>
      <c r="AC389" s="389">
        <f t="shared" si="188"/>
        <v>-9</v>
      </c>
      <c r="AD389" s="389">
        <f t="shared" si="189"/>
        <v>9</v>
      </c>
      <c r="AE389" s="389">
        <f t="shared" si="190"/>
        <v>2</v>
      </c>
      <c r="AG389" s="311" t="str">
        <f t="shared" si="191"/>
        <v>Junior Female Flag Football-</v>
      </c>
      <c r="AH389" s="453">
        <f t="shared" si="192"/>
        <v>9</v>
      </c>
      <c r="AI389" s="453">
        <f t="shared" si="193"/>
        <v>2</v>
      </c>
      <c r="AJ389" t="str">
        <f t="array" ref="AJ389">IF(AND(AI389&gt;1,G389&lt;&gt;""),INDEX(FS_teams,MATCH(1,(FS_Keys=AG389)*(FS_Points=I389)*(FS_teams&lt;&gt;G389),0)),"")</f>
        <v>JR F - VEN 2</v>
      </c>
      <c r="AK389" s="390" t="e">
        <f t="array" ref="AK389">IF(AJ389&lt;&gt;"",INDEX(TM_Score1,MATCH(1,(TM_Events=D389)*(TM_Participant1=G389)*(TM_Participant2=AJ389),0)),"")</f>
        <v>#N/A</v>
      </c>
      <c r="AL389" s="390" t="e">
        <f t="array" ref="AL389">IF(AJ389&lt;&gt;"",INDEX(TM_Score1,MATCH(1,(TM_Events=D389)*(TM_Participant1=AJ389)*(TM_Participant2=G389),0)),"")</f>
        <v>#N/A</v>
      </c>
      <c r="AM389" s="389" t="str">
        <f t="array" ref="AM389">IF(ISNUMBER(AK389),INDEX(TM_Score2,MATCH(1,(TM_Events=D389)*(TM_Participant1=G389)*(TM_Participant2=AJ389),0)),"")</f>
        <v/>
      </c>
      <c r="AN389" s="389" t="str">
        <f t="array" ref="AN389">IF(ISNUMBER(AL389),INDEX(TM_Score2,MATCH(1,(TM_Events=D389)*(TM_Participant1=AJ389)*(TM_Participant2=G389),0)),"")</f>
        <v/>
      </c>
      <c r="AO389" s="389" t="str">
        <f t="shared" si="194"/>
        <v>did not play</v>
      </c>
      <c r="AP389" s="389">
        <f t="shared" si="195"/>
        <v>0</v>
      </c>
      <c r="AQ389" s="389">
        <f t="shared" si="196"/>
        <v>0</v>
      </c>
      <c r="AR389" s="389">
        <f t="shared" si="197"/>
        <v>4</v>
      </c>
      <c r="AS389" s="453">
        <f t="shared" si="198"/>
        <v>-71</v>
      </c>
      <c r="AT389" s="452">
        <f t="shared" si="199"/>
        <v>6</v>
      </c>
    </row>
    <row r="390" spans="1:46" ht="16" x14ac:dyDescent="0.2">
      <c r="A390" s="298"/>
      <c r="B390"/>
      <c r="D390" s="303" t="s">
        <v>69</v>
      </c>
      <c r="E390" s="396"/>
      <c r="F390" s="387">
        <v>1</v>
      </c>
      <c r="G390" s="397" t="s">
        <v>665</v>
      </c>
      <c r="H390" s="387" t="str">
        <f t="shared" si="174"/>
        <v>3-1-0</v>
      </c>
      <c r="I390" s="389">
        <f t="shared" si="175"/>
        <v>6</v>
      </c>
      <c r="J390" s="455">
        <f t="shared" si="200"/>
        <v>1</v>
      </c>
      <c r="K390" s="455">
        <f t="shared" si="176"/>
        <v>31</v>
      </c>
      <c r="L390" s="455" t="str">
        <f t="shared" si="201"/>
        <v/>
      </c>
      <c r="M390" s="389" t="str">
        <f>IFERROR(IF(AD390&lt;=VLOOKUP(D390,Tournaments!$A$1:$B$1772,2,FALSE),"TRUE","FALSE"),"")</f>
        <v>TRUE</v>
      </c>
      <c r="N390" s="389">
        <v>1</v>
      </c>
      <c r="O390" s="389">
        <f t="shared" si="177"/>
        <v>3</v>
      </c>
      <c r="Q390" s="389">
        <f t="shared" si="178"/>
        <v>3</v>
      </c>
      <c r="R390" s="389">
        <f t="shared" si="179"/>
        <v>1</v>
      </c>
      <c r="S390" s="389">
        <f t="shared" si="180"/>
        <v>0</v>
      </c>
      <c r="U390" s="389">
        <f t="shared" si="181"/>
        <v>5</v>
      </c>
      <c r="V390" s="389">
        <f t="shared" si="182"/>
        <v>2.5000000000000001E-3</v>
      </c>
      <c r="W390" s="389">
        <f t="shared" si="183"/>
        <v>-4.9974999999999996</v>
      </c>
      <c r="X390" s="389">
        <f t="shared" si="184"/>
        <v>5</v>
      </c>
      <c r="Y390" s="389">
        <f t="shared" si="202"/>
        <v>7.6600000000000001E-2</v>
      </c>
      <c r="Z390" s="389">
        <f t="shared" si="185"/>
        <v>-4.9234</v>
      </c>
      <c r="AA390" s="389">
        <f t="shared" si="186"/>
        <v>3</v>
      </c>
      <c r="AB390" s="389" t="b">
        <f t="shared" si="187"/>
        <v>0</v>
      </c>
      <c r="AC390" s="389">
        <f t="shared" si="188"/>
        <v>-3</v>
      </c>
      <c r="AD390" s="389">
        <f t="shared" si="189"/>
        <v>3</v>
      </c>
      <c r="AE390" s="389">
        <f t="shared" si="190"/>
        <v>3</v>
      </c>
      <c r="AG390" s="311" t="str">
        <f t="shared" si="191"/>
        <v>Junior Female Flag Football-</v>
      </c>
      <c r="AH390" s="453">
        <f t="shared" si="192"/>
        <v>3</v>
      </c>
      <c r="AI390" s="453">
        <f t="shared" si="193"/>
        <v>3</v>
      </c>
      <c r="AJ390" t="str">
        <f t="array" ref="AJ390">IF(AND(AI390&gt;1,G390&lt;&gt;""),INDEX(FS_teams,MATCH(1,(FS_Keys=AG390)*(FS_Points=I390)*(FS_teams&lt;&gt;G390),0)),"")</f>
        <v>JR F - ARG 1</v>
      </c>
      <c r="AK390" s="390" t="e">
        <f t="array" ref="AK390">IF(AJ390&lt;&gt;"",INDEX(TM_Score1,MATCH(1,(TM_Events=D390)*(TM_Participant1=G390)*(TM_Participant2=AJ390),0)),"")</f>
        <v>#N/A</v>
      </c>
      <c r="AL390" s="390">
        <f t="array" ref="AL390">IF(AJ390&lt;&gt;"",INDEX(TM_Score1,MATCH(1,(TM_Events=D390)*(TM_Participant1=AJ390)*(TM_Participant2=G390),0)),"")</f>
        <v>25</v>
      </c>
      <c r="AM390" s="389" t="str">
        <f t="array" ref="AM390">IF(ISNUMBER(AK390),INDEX(TM_Score2,MATCH(1,(TM_Events=D390)*(TM_Participant1=G390)*(TM_Participant2=AJ390),0)),"")</f>
        <v/>
      </c>
      <c r="AN390" s="389">
        <f t="array" ref="AN390">IF(ISNUMBER(AL390),INDEX(TM_Score2,MATCH(1,(TM_Events=D390)*(TM_Participant1=AJ390)*(TM_Participant2=G390),0)),"")</f>
        <v>13</v>
      </c>
      <c r="AO390" s="389" t="str">
        <f t="shared" si="194"/>
        <v>Loss</v>
      </c>
      <c r="AP390" s="389">
        <f t="shared" si="195"/>
        <v>3</v>
      </c>
      <c r="AQ390" s="389">
        <f t="shared" si="196"/>
        <v>0</v>
      </c>
      <c r="AR390" s="389">
        <f t="shared" si="197"/>
        <v>1</v>
      </c>
      <c r="AS390" s="453">
        <f t="shared" si="198"/>
        <v>31</v>
      </c>
      <c r="AT390" s="452">
        <f t="shared" si="199"/>
        <v>81</v>
      </c>
    </row>
    <row r="391" spans="1:46" ht="16" x14ac:dyDescent="0.2">
      <c r="A391" s="298"/>
      <c r="B391"/>
      <c r="D391" s="303" t="s">
        <v>69</v>
      </c>
      <c r="E391" s="396"/>
      <c r="F391" s="387">
        <v>1</v>
      </c>
      <c r="G391" s="397" t="s">
        <v>661</v>
      </c>
      <c r="H391" s="387" t="str">
        <f t="shared" si="174"/>
        <v>3-2-0</v>
      </c>
      <c r="I391" s="389">
        <f t="shared" si="175"/>
        <v>6</v>
      </c>
      <c r="J391" s="455">
        <f t="shared" si="200"/>
        <v>1</v>
      </c>
      <c r="K391" s="455">
        <f t="shared" si="176"/>
        <v>27</v>
      </c>
      <c r="L391" s="455" t="str">
        <f t="shared" si="201"/>
        <v/>
      </c>
      <c r="M391" s="389" t="str">
        <f>IFERROR(IF(AD391&lt;=VLOOKUP(D391,Tournaments!$A$1:$B$1772,2,FALSE),"TRUE","FALSE"),"")</f>
        <v>FALSE</v>
      </c>
      <c r="N391" s="389">
        <v>1</v>
      </c>
      <c r="O391" s="389">
        <f t="shared" si="177"/>
        <v>5</v>
      </c>
      <c r="Q391" s="389">
        <f t="shared" si="178"/>
        <v>3</v>
      </c>
      <c r="R391" s="389">
        <f t="shared" si="179"/>
        <v>2</v>
      </c>
      <c r="S391" s="389">
        <f t="shared" si="180"/>
        <v>0</v>
      </c>
      <c r="U391" s="389">
        <f t="shared" si="181"/>
        <v>5</v>
      </c>
      <c r="V391" s="389">
        <f t="shared" si="182"/>
        <v>2.5000000000000001E-3</v>
      </c>
      <c r="W391" s="389">
        <f t="shared" si="183"/>
        <v>-4.9974999999999996</v>
      </c>
      <c r="X391" s="389">
        <f t="shared" si="184"/>
        <v>5</v>
      </c>
      <c r="Y391" s="389">
        <f t="shared" si="202"/>
        <v>7.6300000000000007E-2</v>
      </c>
      <c r="Z391" s="389">
        <f t="shared" si="185"/>
        <v>-4.9237000000000002</v>
      </c>
      <c r="AA391" s="389">
        <f t="shared" si="186"/>
        <v>5</v>
      </c>
      <c r="AB391" s="389" t="b">
        <f t="shared" si="187"/>
        <v>0</v>
      </c>
      <c r="AC391" s="389">
        <f t="shared" si="188"/>
        <v>-5</v>
      </c>
      <c r="AD391" s="389">
        <f t="shared" si="189"/>
        <v>5</v>
      </c>
      <c r="AE391" s="389">
        <f t="shared" si="190"/>
        <v>3</v>
      </c>
      <c r="AG391" s="311" t="str">
        <f t="shared" si="191"/>
        <v>Junior Female Flag Football-</v>
      </c>
      <c r="AH391" s="453">
        <f t="shared" si="192"/>
        <v>3</v>
      </c>
      <c r="AI391" s="453">
        <f t="shared" si="193"/>
        <v>3</v>
      </c>
      <c r="AJ391" t="str">
        <f t="array" ref="AJ391">IF(AND(AI391&gt;1,G391&lt;&gt;""),INDEX(FS_teams,MATCH(1,(FS_Keys=AG391)*(FS_Points=I391)*(FS_teams&lt;&gt;G391),0)),"")</f>
        <v>JR F - ARG 1</v>
      </c>
      <c r="AK391" s="390" t="e">
        <f t="array" ref="AK391">IF(AJ391&lt;&gt;"",INDEX(TM_Score1,MATCH(1,(TM_Events=D391)*(TM_Participant1=G391)*(TM_Participant2=AJ391),0)),"")</f>
        <v>#N/A</v>
      </c>
      <c r="AL391" s="390" t="e">
        <f t="array" ref="AL391">IF(AJ391&lt;&gt;"",INDEX(TM_Score1,MATCH(1,(TM_Events=D391)*(TM_Participant1=AJ391)*(TM_Participant2=G391),0)),"")</f>
        <v>#N/A</v>
      </c>
      <c r="AM391" s="389" t="str">
        <f t="array" ref="AM391">IF(ISNUMBER(AK391),INDEX(TM_Score2,MATCH(1,(TM_Events=D391)*(TM_Participant1=G391)*(TM_Participant2=AJ391),0)),"")</f>
        <v/>
      </c>
      <c r="AN391" s="389" t="str">
        <f t="array" ref="AN391">IF(ISNUMBER(AL391),INDEX(TM_Score2,MATCH(1,(TM_Events=D391)*(TM_Participant1=AJ391)*(TM_Participant2=G391),0)),"")</f>
        <v/>
      </c>
      <c r="AO391" s="389" t="str">
        <f t="shared" si="194"/>
        <v>did not play</v>
      </c>
      <c r="AP391" s="389">
        <f t="shared" si="195"/>
        <v>3</v>
      </c>
      <c r="AQ391" s="389">
        <f t="shared" si="196"/>
        <v>0</v>
      </c>
      <c r="AR391" s="389">
        <f t="shared" si="197"/>
        <v>2</v>
      </c>
      <c r="AS391" s="453">
        <f t="shared" si="198"/>
        <v>27</v>
      </c>
      <c r="AT391" s="452">
        <f t="shared" si="199"/>
        <v>109</v>
      </c>
    </row>
    <row r="392" spans="1:46" ht="16" x14ac:dyDescent="0.2">
      <c r="A392" s="298"/>
      <c r="B392"/>
      <c r="D392" s="298" t="s">
        <v>69</v>
      </c>
      <c r="F392" s="389">
        <v>1</v>
      </c>
      <c r="G392" s="390" t="s">
        <v>664</v>
      </c>
      <c r="H392" s="387" t="str">
        <f t="shared" si="174"/>
        <v>5-0-0</v>
      </c>
      <c r="I392" s="389">
        <f t="shared" si="175"/>
        <v>10</v>
      </c>
      <c r="J392" s="455">
        <f t="shared" si="200"/>
        <v>1</v>
      </c>
      <c r="K392" s="455">
        <f t="shared" si="176"/>
        <v>90</v>
      </c>
      <c r="L392" s="455" t="str">
        <f t="shared" si="201"/>
        <v/>
      </c>
      <c r="M392" s="389" t="str">
        <f>IFERROR(IF(AD392&lt;=VLOOKUP(D392,Tournaments!$A$1:$B$1772,2,FALSE),"TRUE","FALSE"),"")</f>
        <v>TRUE</v>
      </c>
      <c r="N392" s="389">
        <v>1</v>
      </c>
      <c r="O392" s="389">
        <f t="shared" si="177"/>
        <v>1</v>
      </c>
      <c r="Q392" s="389">
        <f t="shared" si="178"/>
        <v>5</v>
      </c>
      <c r="R392" s="389">
        <f t="shared" si="179"/>
        <v>0</v>
      </c>
      <c r="S392" s="389">
        <f t="shared" si="180"/>
        <v>0</v>
      </c>
      <c r="U392" s="389">
        <f t="shared" si="181"/>
        <v>2</v>
      </c>
      <c r="V392" s="389">
        <f t="shared" si="182"/>
        <v>2.5000000000000001E-3</v>
      </c>
      <c r="W392" s="389">
        <f t="shared" si="183"/>
        <v>-1.9975000000000001</v>
      </c>
      <c r="X392" s="389">
        <f t="shared" si="184"/>
        <v>2</v>
      </c>
      <c r="Y392" s="389">
        <f t="shared" si="202"/>
        <v>7.7499999999999999E-2</v>
      </c>
      <c r="Z392" s="389">
        <f t="shared" si="185"/>
        <v>-1.9225000000000001</v>
      </c>
      <c r="AA392" s="389">
        <f t="shared" si="186"/>
        <v>1</v>
      </c>
      <c r="AB392" s="389" t="b">
        <f t="shared" si="187"/>
        <v>0</v>
      </c>
      <c r="AC392" s="389">
        <f t="shared" si="188"/>
        <v>-1</v>
      </c>
      <c r="AD392" s="389">
        <f t="shared" si="189"/>
        <v>1</v>
      </c>
      <c r="AE392" s="389">
        <f t="shared" si="190"/>
        <v>2</v>
      </c>
      <c r="AG392" s="311" t="str">
        <f t="shared" si="191"/>
        <v>Junior Female Flag Football-</v>
      </c>
      <c r="AH392" s="453">
        <f t="shared" si="192"/>
        <v>1</v>
      </c>
      <c r="AI392" s="453">
        <f t="shared" si="193"/>
        <v>2</v>
      </c>
      <c r="AJ392" t="str">
        <f t="array" ref="AJ392">IF(AND(AI392&gt;1,G392&lt;&gt;""),INDEX(FS_teams,MATCH(1,(FS_Keys=AG392)*(FS_Points=I392)*(FS_teams&lt;&gt;G392),0)),"")</f>
        <v>JR F - USA 2</v>
      </c>
      <c r="AK392" s="390">
        <f t="array" ref="AK392">IF(AJ392&lt;&gt;"",INDEX(TM_Score1,MATCH(1,(TM_Events=D392)*(TM_Participant1=G392)*(TM_Participant2=AJ392),0)),"")</f>
        <v>0</v>
      </c>
      <c r="AL392" s="390" t="e">
        <f t="array" ref="AL392">IF(AJ392&lt;&gt;"",INDEX(TM_Score1,MATCH(1,(TM_Events=D392)*(TM_Participant1=AJ392)*(TM_Participant2=G392),0)),"")</f>
        <v>#N/A</v>
      </c>
      <c r="AM392" s="389">
        <f t="array" ref="AM392">IF(ISNUMBER(AK392),INDEX(TM_Score2,MATCH(1,(TM_Events=D392)*(TM_Participant1=G392)*(TM_Participant2=AJ392),0)),"")</f>
        <v>0</v>
      </c>
      <c r="AN392" s="389" t="str">
        <f t="array" ref="AN392">IF(ISNUMBER(AL392),INDEX(TM_Score2,MATCH(1,(TM_Events=D392)*(TM_Participant1=AJ392)*(TM_Participant2=G392),0)),"")</f>
        <v/>
      </c>
      <c r="AO392" s="389" t="str">
        <f t="shared" si="194"/>
        <v>Tie</v>
      </c>
      <c r="AP392" s="389">
        <f t="shared" si="195"/>
        <v>5</v>
      </c>
      <c r="AQ392" s="389">
        <f t="shared" si="196"/>
        <v>0</v>
      </c>
      <c r="AR392" s="389">
        <f t="shared" si="197"/>
        <v>0</v>
      </c>
      <c r="AS392" s="453">
        <f t="shared" si="198"/>
        <v>90</v>
      </c>
      <c r="AT392" s="452">
        <f t="shared" si="199"/>
        <v>123</v>
      </c>
    </row>
    <row r="393" spans="1:46" ht="16" x14ac:dyDescent="0.2">
      <c r="A393" s="298"/>
      <c r="B393"/>
      <c r="D393" s="303" t="s">
        <v>69</v>
      </c>
      <c r="E393" s="396"/>
      <c r="F393" s="398">
        <v>1</v>
      </c>
      <c r="G393" s="397" t="s">
        <v>660</v>
      </c>
      <c r="H393" s="387" t="str">
        <f t="shared" si="174"/>
        <v>1-3-0</v>
      </c>
      <c r="I393" s="389">
        <f t="shared" si="175"/>
        <v>2</v>
      </c>
      <c r="J393" s="455">
        <f t="shared" si="200"/>
        <v>1</v>
      </c>
      <c r="K393" s="455">
        <f t="shared" si="176"/>
        <v>-32</v>
      </c>
      <c r="L393" s="455" t="str">
        <f t="shared" si="201"/>
        <v/>
      </c>
      <c r="M393" s="389" t="str">
        <f>IFERROR(IF(AD393&lt;=VLOOKUP(D393,Tournaments!$A$1:$B$1772,2,FALSE),"TRUE","FALSE"),"")</f>
        <v>FALSE</v>
      </c>
      <c r="N393" s="389">
        <v>1</v>
      </c>
      <c r="O393" s="389">
        <f t="shared" si="177"/>
        <v>7</v>
      </c>
      <c r="Q393" s="389">
        <f t="shared" si="178"/>
        <v>1</v>
      </c>
      <c r="R393" s="389">
        <f t="shared" si="179"/>
        <v>3</v>
      </c>
      <c r="S393" s="389">
        <f t="shared" si="180"/>
        <v>0</v>
      </c>
      <c r="U393" s="389">
        <f t="shared" si="181"/>
        <v>8</v>
      </c>
      <c r="V393" s="389">
        <f t="shared" si="182"/>
        <v>2.5000000000000001E-3</v>
      </c>
      <c r="W393" s="389">
        <f t="shared" si="183"/>
        <v>-7.9974999999999996</v>
      </c>
      <c r="X393" s="389">
        <f t="shared" si="184"/>
        <v>8</v>
      </c>
      <c r="Y393" s="389">
        <f t="shared" si="202"/>
        <v>1.6999999999999999E-3</v>
      </c>
      <c r="Z393" s="389">
        <f t="shared" si="185"/>
        <v>-7.9983000000000004</v>
      </c>
      <c r="AA393" s="389">
        <f t="shared" si="186"/>
        <v>7</v>
      </c>
      <c r="AB393" s="389" t="b">
        <f t="shared" si="187"/>
        <v>0</v>
      </c>
      <c r="AC393" s="389">
        <f t="shared" si="188"/>
        <v>-7</v>
      </c>
      <c r="AD393" s="389">
        <f t="shared" si="189"/>
        <v>7</v>
      </c>
      <c r="AE393" s="389">
        <f t="shared" si="190"/>
        <v>3</v>
      </c>
      <c r="AG393" s="311" t="str">
        <f t="shared" si="191"/>
        <v>Junior Female Flag Football-</v>
      </c>
      <c r="AH393" s="453">
        <f t="shared" si="192"/>
        <v>6</v>
      </c>
      <c r="AI393" s="453">
        <f t="shared" si="193"/>
        <v>3</v>
      </c>
      <c r="AJ393" t="str">
        <f t="array" ref="AJ393">IF(AND(AI393&gt;1,G393&lt;&gt;""),INDEX(FS_teams,MATCH(1,(FS_Keys=AG393)*(FS_Points=I393)*(FS_teams&lt;&gt;G393),0)),"")</f>
        <v>JR F - USA 3</v>
      </c>
      <c r="AK393" s="390" t="e">
        <f t="array" ref="AK393">IF(AJ393&lt;&gt;"",INDEX(TM_Score1,MATCH(1,(TM_Events=D393)*(TM_Participant1=G393)*(TM_Participant2=AJ393),0)),"")</f>
        <v>#N/A</v>
      </c>
      <c r="AL393" s="390" t="e">
        <f t="array" ref="AL393">IF(AJ393&lt;&gt;"",INDEX(TM_Score1,MATCH(1,(TM_Events=D393)*(TM_Participant1=AJ393)*(TM_Participant2=G393),0)),"")</f>
        <v>#N/A</v>
      </c>
      <c r="AM393" s="389" t="str">
        <f t="array" ref="AM393">IF(ISNUMBER(AK393),INDEX(TM_Score2,MATCH(1,(TM_Events=D393)*(TM_Participant1=G393)*(TM_Participant2=AJ393),0)),"")</f>
        <v/>
      </c>
      <c r="AN393" s="389" t="str">
        <f t="array" ref="AN393">IF(ISNUMBER(AL393),INDEX(TM_Score2,MATCH(1,(TM_Events=D393)*(TM_Participant1=AJ393)*(TM_Participant2=G393),0)),"")</f>
        <v/>
      </c>
      <c r="AO393" s="389" t="str">
        <f t="shared" si="194"/>
        <v>did not play</v>
      </c>
      <c r="AP393" s="389">
        <f t="shared" si="195"/>
        <v>1</v>
      </c>
      <c r="AQ393" s="389">
        <f t="shared" si="196"/>
        <v>0</v>
      </c>
      <c r="AR393" s="389">
        <f t="shared" si="197"/>
        <v>3</v>
      </c>
      <c r="AS393" s="453">
        <f t="shared" si="198"/>
        <v>-32</v>
      </c>
      <c r="AT393" s="452">
        <f t="shared" si="199"/>
        <v>59</v>
      </c>
    </row>
    <row r="394" spans="1:46" ht="16" x14ac:dyDescent="0.2">
      <c r="A394" s="298"/>
      <c r="B394"/>
      <c r="D394" s="303" t="s">
        <v>69</v>
      </c>
      <c r="E394" s="396"/>
      <c r="F394" s="398">
        <v>1</v>
      </c>
      <c r="G394" s="397" t="s">
        <v>669</v>
      </c>
      <c r="H394" s="387" t="str">
        <f t="shared" si="174"/>
        <v>0-4-0</v>
      </c>
      <c r="I394" s="389">
        <f t="shared" si="175"/>
        <v>0</v>
      </c>
      <c r="J394" s="455">
        <f t="shared" si="200"/>
        <v>1</v>
      </c>
      <c r="K394" s="455">
        <f t="shared" si="176"/>
        <v>-84</v>
      </c>
      <c r="L394" s="455" t="str">
        <f t="shared" si="201"/>
        <v/>
      </c>
      <c r="M394" s="389" t="str">
        <f>IFERROR(IF(AD394&lt;=VLOOKUP(D394,Tournaments!$A$1:$B$1772,2,FALSE),"TRUE","FALSE"),"")</f>
        <v>FALSE</v>
      </c>
      <c r="N394" s="389">
        <v>1</v>
      </c>
      <c r="O394" s="389">
        <f t="shared" si="177"/>
        <v>10</v>
      </c>
      <c r="Q394" s="389">
        <f t="shared" si="178"/>
        <v>0</v>
      </c>
      <c r="R394" s="389">
        <f t="shared" si="179"/>
        <v>4</v>
      </c>
      <c r="S394" s="389">
        <f t="shared" si="180"/>
        <v>0</v>
      </c>
      <c r="U394" s="389">
        <f t="shared" si="181"/>
        <v>10</v>
      </c>
      <c r="V394" s="389">
        <f t="shared" si="182"/>
        <v>2.5000000000000001E-3</v>
      </c>
      <c r="W394" s="389">
        <f t="shared" si="183"/>
        <v>-9.9975000000000005</v>
      </c>
      <c r="X394" s="389">
        <f t="shared" si="184"/>
        <v>10</v>
      </c>
      <c r="Y394" s="389">
        <f t="shared" si="202"/>
        <v>1E-4</v>
      </c>
      <c r="Z394" s="389">
        <f t="shared" si="185"/>
        <v>-9.9999000000000002</v>
      </c>
      <c r="AA394" s="389">
        <f t="shared" si="186"/>
        <v>10</v>
      </c>
      <c r="AB394" s="389" t="b">
        <f t="shared" si="187"/>
        <v>0</v>
      </c>
      <c r="AC394" s="389">
        <f t="shared" si="188"/>
        <v>-10</v>
      </c>
      <c r="AD394" s="389">
        <f t="shared" si="189"/>
        <v>10</v>
      </c>
      <c r="AE394" s="389">
        <f t="shared" si="190"/>
        <v>2</v>
      </c>
      <c r="AG394" s="311" t="str">
        <f t="shared" si="191"/>
        <v>Junior Female Flag Football-</v>
      </c>
      <c r="AH394" s="453">
        <f t="shared" si="192"/>
        <v>9</v>
      </c>
      <c r="AI394" s="453">
        <f t="shared" si="193"/>
        <v>2</v>
      </c>
      <c r="AJ394" t="str">
        <f t="array" ref="AJ394">IF(AND(AI394&gt;1,G394&lt;&gt;""),INDEX(FS_teams,MATCH(1,(FS_Keys=AG394)*(FS_Points=I394)*(FS_teams&lt;&gt;G394),0)),"")</f>
        <v>JR F - VEN 1</v>
      </c>
      <c r="AK394" s="390" t="e">
        <f t="array" ref="AK394">IF(AJ394&lt;&gt;"",INDEX(TM_Score1,MATCH(1,(TM_Events=D394)*(TM_Participant1=G394)*(TM_Participant2=AJ394),0)),"")</f>
        <v>#N/A</v>
      </c>
      <c r="AL394" s="390" t="e">
        <f t="array" ref="AL394">IF(AJ394&lt;&gt;"",INDEX(TM_Score1,MATCH(1,(TM_Events=D394)*(TM_Participant1=AJ394)*(TM_Participant2=G394),0)),"")</f>
        <v>#N/A</v>
      </c>
      <c r="AM394" s="389" t="str">
        <f t="array" ref="AM394">IF(ISNUMBER(AK394),INDEX(TM_Score2,MATCH(1,(TM_Events=D394)*(TM_Participant1=G394)*(TM_Participant2=AJ394),0)),"")</f>
        <v/>
      </c>
      <c r="AN394" s="389" t="str">
        <f t="array" ref="AN394">IF(ISNUMBER(AL394),INDEX(TM_Score2,MATCH(1,(TM_Events=D394)*(TM_Participant1=AJ394)*(TM_Participant2=G394),0)),"")</f>
        <v/>
      </c>
      <c r="AO394" s="389" t="str">
        <f t="shared" si="194"/>
        <v>did not play</v>
      </c>
      <c r="AP394" s="389">
        <f t="shared" si="195"/>
        <v>0</v>
      </c>
      <c r="AQ394" s="389">
        <f t="shared" si="196"/>
        <v>0</v>
      </c>
      <c r="AR394" s="389">
        <f t="shared" si="197"/>
        <v>4</v>
      </c>
      <c r="AS394" s="453">
        <f t="shared" si="198"/>
        <v>-84</v>
      </c>
      <c r="AT394" s="452">
        <f t="shared" si="199"/>
        <v>6</v>
      </c>
    </row>
    <row r="395" spans="1:46" ht="16" x14ac:dyDescent="0.2">
      <c r="A395" s="298"/>
      <c r="B395"/>
      <c r="D395" s="303" t="s">
        <v>69</v>
      </c>
      <c r="E395" s="396"/>
      <c r="F395" s="387">
        <v>1</v>
      </c>
      <c r="G395" s="397" t="s">
        <v>667</v>
      </c>
      <c r="H395" s="387" t="str">
        <f t="shared" si="174"/>
        <v>5-0-0</v>
      </c>
      <c r="I395" s="389">
        <f t="shared" si="175"/>
        <v>10</v>
      </c>
      <c r="J395" s="455">
        <f t="shared" si="200"/>
        <v>1</v>
      </c>
      <c r="K395" s="455">
        <f t="shared" si="176"/>
        <v>86</v>
      </c>
      <c r="L395" s="455" t="str">
        <f t="shared" si="201"/>
        <v/>
      </c>
      <c r="M395" s="389" t="str">
        <f>IFERROR(IF(AD395&lt;=VLOOKUP(D395,Tournaments!$A$1:$B$1772,2,FALSE),"TRUE","FALSE"),"")</f>
        <v>TRUE</v>
      </c>
      <c r="N395" s="389">
        <v>1</v>
      </c>
      <c r="O395" s="389">
        <f t="shared" si="177"/>
        <v>2</v>
      </c>
      <c r="Q395" s="389">
        <f t="shared" si="178"/>
        <v>5</v>
      </c>
      <c r="R395" s="389">
        <f t="shared" si="179"/>
        <v>0</v>
      </c>
      <c r="S395" s="389">
        <f t="shared" si="180"/>
        <v>0</v>
      </c>
      <c r="U395" s="389">
        <f t="shared" si="181"/>
        <v>2</v>
      </c>
      <c r="V395" s="389">
        <f t="shared" si="182"/>
        <v>2.5000000000000001E-3</v>
      </c>
      <c r="W395" s="389">
        <f t="shared" si="183"/>
        <v>-1.9975000000000001</v>
      </c>
      <c r="X395" s="389">
        <f t="shared" si="184"/>
        <v>2</v>
      </c>
      <c r="Y395" s="389">
        <f t="shared" si="202"/>
        <v>7.7399999999999997E-2</v>
      </c>
      <c r="Z395" s="389">
        <f t="shared" si="185"/>
        <v>-1.9226000000000001</v>
      </c>
      <c r="AA395" s="389">
        <f t="shared" si="186"/>
        <v>2</v>
      </c>
      <c r="AB395" s="389" t="b">
        <f t="shared" si="187"/>
        <v>0</v>
      </c>
      <c r="AC395" s="389">
        <f t="shared" si="188"/>
        <v>-2</v>
      </c>
      <c r="AD395" s="389">
        <f t="shared" si="189"/>
        <v>2</v>
      </c>
      <c r="AE395" s="389">
        <f t="shared" si="190"/>
        <v>2</v>
      </c>
      <c r="AG395" s="311" t="str">
        <f t="shared" si="191"/>
        <v>Junior Female Flag Football-</v>
      </c>
      <c r="AH395" s="453">
        <f t="shared" si="192"/>
        <v>1</v>
      </c>
      <c r="AI395" s="453">
        <f t="shared" si="193"/>
        <v>2</v>
      </c>
      <c r="AJ395" t="str">
        <f t="array" ref="AJ395">IF(AND(AI395&gt;1,G395&lt;&gt;""),INDEX(FS_teams,MATCH(1,(FS_Keys=AG395)*(FS_Points=I395)*(FS_teams&lt;&gt;G395),0)),"")</f>
        <v>JR F - PER</v>
      </c>
      <c r="AK395" s="390" t="e">
        <f t="array" ref="AK395">IF(AJ395&lt;&gt;"",INDEX(TM_Score1,MATCH(1,(TM_Events=D395)*(TM_Participant1=G395)*(TM_Participant2=AJ395),0)),"")</f>
        <v>#N/A</v>
      </c>
      <c r="AL395" s="390">
        <f t="array" ref="AL395">IF(AJ395&lt;&gt;"",INDEX(TM_Score1,MATCH(1,(TM_Events=D395)*(TM_Participant1=AJ395)*(TM_Participant2=G395),0)),"")</f>
        <v>0</v>
      </c>
      <c r="AM395" s="389" t="str">
        <f t="array" ref="AM395">IF(ISNUMBER(AK395),INDEX(TM_Score2,MATCH(1,(TM_Events=D395)*(TM_Participant1=G395)*(TM_Participant2=AJ395),0)),"")</f>
        <v/>
      </c>
      <c r="AN395" s="389">
        <f t="array" ref="AN395">IF(ISNUMBER(AL395),INDEX(TM_Score2,MATCH(1,(TM_Events=D395)*(TM_Participant1=AJ395)*(TM_Participant2=G395),0)),"")</f>
        <v>0</v>
      </c>
      <c r="AO395" s="389" t="str">
        <f t="shared" si="194"/>
        <v>Tie</v>
      </c>
      <c r="AP395" s="389">
        <f t="shared" si="195"/>
        <v>5</v>
      </c>
      <c r="AQ395" s="389">
        <f t="shared" si="196"/>
        <v>0</v>
      </c>
      <c r="AR395" s="389">
        <f t="shared" si="197"/>
        <v>0</v>
      </c>
      <c r="AS395" s="453">
        <f t="shared" si="198"/>
        <v>86</v>
      </c>
      <c r="AT395" s="452">
        <f t="shared" si="199"/>
        <v>136</v>
      </c>
    </row>
    <row r="396" spans="1:46" ht="16" x14ac:dyDescent="0.2">
      <c r="A396" s="298"/>
      <c r="B396"/>
      <c r="D396" s="303" t="s">
        <v>67</v>
      </c>
      <c r="E396" s="396"/>
      <c r="F396" s="387">
        <v>1</v>
      </c>
      <c r="G396" s="397" t="s">
        <v>661</v>
      </c>
      <c r="H396" s="387" t="str">
        <f t="shared" si="174"/>
        <v>3-2-0</v>
      </c>
      <c r="I396" s="389">
        <f t="shared" si="175"/>
        <v>6</v>
      </c>
      <c r="J396" s="455" t="str">
        <f t="shared" si="200"/>
        <v/>
      </c>
      <c r="K396" s="455" t="str">
        <f t="shared" si="176"/>
        <v/>
      </c>
      <c r="L396" s="455" t="str">
        <f t="shared" si="201"/>
        <v/>
      </c>
      <c r="M396" s="389" t="str">
        <f>IFERROR(IF(AD396&lt;=VLOOKUP(D396,Tournaments!$A$1:$B$1772,2,FALSE),"TRUE","FALSE"),"")</f>
        <v>TRUE</v>
      </c>
      <c r="N396" s="389">
        <v>1</v>
      </c>
      <c r="O396" s="389">
        <f t="shared" si="177"/>
        <v>3</v>
      </c>
      <c r="Q396" s="389">
        <f t="shared" si="178"/>
        <v>3</v>
      </c>
      <c r="R396" s="389">
        <f t="shared" si="179"/>
        <v>2</v>
      </c>
      <c r="S396" s="389">
        <f t="shared" si="180"/>
        <v>0</v>
      </c>
      <c r="U396" s="389">
        <f t="shared" si="181"/>
        <v>3</v>
      </c>
      <c r="V396" s="389" t="b">
        <f t="shared" si="182"/>
        <v>0</v>
      </c>
      <c r="W396" s="389">
        <f t="shared" si="183"/>
        <v>-3</v>
      </c>
      <c r="X396" s="389">
        <f t="shared" si="184"/>
        <v>3</v>
      </c>
      <c r="Y396" s="389" t="b">
        <f t="shared" si="202"/>
        <v>0</v>
      </c>
      <c r="Z396" s="389">
        <f t="shared" si="185"/>
        <v>-3</v>
      </c>
      <c r="AA396" s="389">
        <f t="shared" si="186"/>
        <v>3</v>
      </c>
      <c r="AB396" s="389" t="b">
        <f t="shared" si="187"/>
        <v>0</v>
      </c>
      <c r="AC396" s="389">
        <f t="shared" si="188"/>
        <v>-3</v>
      </c>
      <c r="AD396" s="389">
        <f t="shared" si="189"/>
        <v>3</v>
      </c>
      <c r="AE396" s="389">
        <f t="shared" si="190"/>
        <v>1</v>
      </c>
      <c r="AG396" s="311" t="str">
        <f t="shared" si="191"/>
        <v>Junior Female Mini Soccer-</v>
      </c>
      <c r="AH396" s="453">
        <f t="shared" si="192"/>
        <v>3</v>
      </c>
      <c r="AI396" s="453">
        <f t="shared" si="193"/>
        <v>1</v>
      </c>
      <c r="AJ396" t="str">
        <f t="array" ref="AJ396">IF(AND(AI396&gt;1,G396&lt;&gt;""),INDEX(FS_teams,MATCH(1,(FS_Keys=AG396)*(FS_Points=I396)*(FS_teams&lt;&gt;G396),0)),"")</f>
        <v/>
      </c>
      <c r="AK396" s="390" t="str">
        <f t="array" ref="AK396">IF(AJ396&lt;&gt;"",INDEX(TM_Score1,MATCH(1,(TM_Events=D396)*(TM_Participant1=G396)*(TM_Participant2=AJ396),0)),"")</f>
        <v/>
      </c>
      <c r="AL396" s="390" t="str">
        <f t="array" ref="AL396">IF(AJ396&lt;&gt;"",INDEX(TM_Score1,MATCH(1,(TM_Events=D396)*(TM_Participant1=AJ396)*(TM_Participant2=G396),0)),"")</f>
        <v/>
      </c>
      <c r="AM396" s="389" t="str">
        <f t="array" ref="AM396">IF(ISNUMBER(AK396),INDEX(TM_Score2,MATCH(1,(TM_Events=D396)*(TM_Participant1=G396)*(TM_Participant2=AJ396),0)),"")</f>
        <v/>
      </c>
      <c r="AN396" s="389" t="str">
        <f t="array" ref="AN396">IF(ISNUMBER(AL396),INDEX(TM_Score2,MATCH(1,(TM_Events=D396)*(TM_Participant1=AJ396)*(TM_Participant2=G396),0)),"")</f>
        <v/>
      </c>
      <c r="AO396" s="389" t="str">
        <f t="shared" si="194"/>
        <v/>
      </c>
      <c r="AP396" s="389">
        <f t="shared" si="195"/>
        <v>3</v>
      </c>
      <c r="AQ396" s="389">
        <f t="shared" si="196"/>
        <v>0</v>
      </c>
      <c r="AR396" s="389">
        <f t="shared" si="197"/>
        <v>2</v>
      </c>
      <c r="AS396" s="453">
        <f t="shared" si="198"/>
        <v>1</v>
      </c>
      <c r="AT396" s="452">
        <f t="shared" si="199"/>
        <v>8</v>
      </c>
    </row>
    <row r="397" spans="1:46" ht="16" x14ac:dyDescent="0.2">
      <c r="A397" s="298"/>
      <c r="B397"/>
      <c r="D397" s="303" t="s">
        <v>67</v>
      </c>
      <c r="E397" s="396"/>
      <c r="F397" s="387">
        <v>1</v>
      </c>
      <c r="G397" s="397" t="s">
        <v>666</v>
      </c>
      <c r="H397" s="387" t="str">
        <f t="shared" si="174"/>
        <v>2-2-0</v>
      </c>
      <c r="I397" s="389">
        <f t="shared" si="175"/>
        <v>4</v>
      </c>
      <c r="J397" s="455">
        <f t="shared" si="200"/>
        <v>1</v>
      </c>
      <c r="K397" s="455">
        <f t="shared" si="176"/>
        <v>-3</v>
      </c>
      <c r="L397" s="455" t="str">
        <f t="shared" si="201"/>
        <v/>
      </c>
      <c r="M397" s="389" t="str">
        <f>IFERROR(IF(AD397&lt;=VLOOKUP(D397,Tournaments!$A$1:$B$1772,2,FALSE),"TRUE","FALSE"),"")</f>
        <v>FALSE</v>
      </c>
      <c r="N397" s="389">
        <v>1</v>
      </c>
      <c r="O397" s="389">
        <f t="shared" si="177"/>
        <v>7</v>
      </c>
      <c r="Q397" s="389">
        <f t="shared" si="178"/>
        <v>2</v>
      </c>
      <c r="R397" s="389">
        <f t="shared" si="179"/>
        <v>2</v>
      </c>
      <c r="S397" s="389">
        <f t="shared" si="180"/>
        <v>0</v>
      </c>
      <c r="U397" s="389">
        <f t="shared" si="181"/>
        <v>7</v>
      </c>
      <c r="V397" s="389">
        <f t="shared" si="182"/>
        <v>2.5000000000000001E-3</v>
      </c>
      <c r="W397" s="389">
        <f t="shared" si="183"/>
        <v>-6.9974999999999996</v>
      </c>
      <c r="X397" s="389">
        <f t="shared" si="184"/>
        <v>7</v>
      </c>
      <c r="Y397" s="389">
        <f t="shared" si="202"/>
        <v>8.0000000000000002E-3</v>
      </c>
      <c r="Z397" s="389">
        <f t="shared" si="185"/>
        <v>-6.992</v>
      </c>
      <c r="AA397" s="389">
        <f t="shared" si="186"/>
        <v>7</v>
      </c>
      <c r="AB397" s="389" t="b">
        <f t="shared" si="187"/>
        <v>0</v>
      </c>
      <c r="AC397" s="389">
        <f t="shared" si="188"/>
        <v>-7</v>
      </c>
      <c r="AD397" s="389">
        <f t="shared" si="189"/>
        <v>7</v>
      </c>
      <c r="AE397" s="389">
        <f t="shared" si="190"/>
        <v>4</v>
      </c>
      <c r="AG397" s="311" t="str">
        <f t="shared" si="191"/>
        <v>Junior Female Mini Soccer-</v>
      </c>
      <c r="AH397" s="453">
        <f t="shared" si="192"/>
        <v>4</v>
      </c>
      <c r="AI397" s="453">
        <f t="shared" si="193"/>
        <v>4</v>
      </c>
      <c r="AJ397" t="str">
        <f t="array" ref="AJ397">IF(AND(AI397&gt;1,G397&lt;&gt;""),INDEX(FS_teams,MATCH(1,(FS_Keys=AG397)*(FS_Points=I397)*(FS_teams&lt;&gt;G397),0)),"")</f>
        <v>JR F - VEN 1</v>
      </c>
      <c r="AK397" s="390" t="e">
        <f t="array" ref="AK397">IF(AJ397&lt;&gt;"",INDEX(TM_Score1,MATCH(1,(TM_Events=D397)*(TM_Participant1=G397)*(TM_Participant2=AJ397),0)),"")</f>
        <v>#N/A</v>
      </c>
      <c r="AL397" s="390" t="e">
        <f t="array" ref="AL397">IF(AJ397&lt;&gt;"",INDEX(TM_Score1,MATCH(1,(TM_Events=D397)*(TM_Participant1=AJ397)*(TM_Participant2=G397),0)),"")</f>
        <v>#N/A</v>
      </c>
      <c r="AM397" s="389" t="str">
        <f t="array" ref="AM397">IF(ISNUMBER(AK397),INDEX(TM_Score2,MATCH(1,(TM_Events=D397)*(TM_Participant1=G397)*(TM_Participant2=AJ397),0)),"")</f>
        <v/>
      </c>
      <c r="AN397" s="389" t="str">
        <f t="array" ref="AN397">IF(ISNUMBER(AL397),INDEX(TM_Score2,MATCH(1,(TM_Events=D397)*(TM_Participant1=AJ397)*(TM_Participant2=G397),0)),"")</f>
        <v/>
      </c>
      <c r="AO397" s="389" t="str">
        <f t="shared" si="194"/>
        <v>did not play</v>
      </c>
      <c r="AP397" s="389">
        <f t="shared" si="195"/>
        <v>2</v>
      </c>
      <c r="AQ397" s="389">
        <f t="shared" si="196"/>
        <v>0</v>
      </c>
      <c r="AR397" s="389">
        <f t="shared" si="197"/>
        <v>2</v>
      </c>
      <c r="AS397" s="453">
        <f t="shared" si="198"/>
        <v>-3</v>
      </c>
      <c r="AT397" s="452">
        <f t="shared" si="199"/>
        <v>6</v>
      </c>
    </row>
    <row r="398" spans="1:46" ht="16" x14ac:dyDescent="0.2">
      <c r="A398" s="298"/>
      <c r="B398"/>
      <c r="D398" s="298" t="s">
        <v>67</v>
      </c>
      <c r="F398" s="389">
        <v>1</v>
      </c>
      <c r="G398" s="390" t="s">
        <v>665</v>
      </c>
      <c r="H398" s="387" t="str">
        <f t="shared" si="174"/>
        <v>0-4-0</v>
      </c>
      <c r="I398" s="389">
        <f t="shared" si="175"/>
        <v>0</v>
      </c>
      <c r="J398" s="455" t="str">
        <f t="shared" si="200"/>
        <v/>
      </c>
      <c r="K398" s="455" t="str">
        <f t="shared" si="176"/>
        <v/>
      </c>
      <c r="L398" s="455" t="str">
        <f t="shared" si="201"/>
        <v/>
      </c>
      <c r="M398" s="389" t="str">
        <f>IFERROR(IF(AD398&lt;=VLOOKUP(D398,Tournaments!$A$1:$B$1772,2,FALSE),"TRUE","FALSE"),"")</f>
        <v>FALSE</v>
      </c>
      <c r="N398" s="389">
        <v>1</v>
      </c>
      <c r="O398" s="389">
        <f t="shared" si="177"/>
        <v>10</v>
      </c>
      <c r="Q398" s="389">
        <f t="shared" si="178"/>
        <v>0</v>
      </c>
      <c r="R398" s="389">
        <f t="shared" si="179"/>
        <v>4</v>
      </c>
      <c r="S398" s="389">
        <f t="shared" si="180"/>
        <v>0</v>
      </c>
      <c r="U398" s="389">
        <f t="shared" si="181"/>
        <v>10</v>
      </c>
      <c r="V398" s="389" t="b">
        <f t="shared" si="182"/>
        <v>0</v>
      </c>
      <c r="W398" s="389">
        <f t="shared" si="183"/>
        <v>-10</v>
      </c>
      <c r="X398" s="389">
        <f t="shared" si="184"/>
        <v>10</v>
      </c>
      <c r="Y398" s="389" t="b">
        <f t="shared" si="202"/>
        <v>0</v>
      </c>
      <c r="Z398" s="389">
        <f t="shared" si="185"/>
        <v>-10</v>
      </c>
      <c r="AA398" s="389">
        <f t="shared" si="186"/>
        <v>10</v>
      </c>
      <c r="AB398" s="389" t="b">
        <f t="shared" si="187"/>
        <v>0</v>
      </c>
      <c r="AC398" s="389">
        <f t="shared" si="188"/>
        <v>-10</v>
      </c>
      <c r="AD398" s="389">
        <f t="shared" si="189"/>
        <v>10</v>
      </c>
      <c r="AE398" s="389">
        <f t="shared" si="190"/>
        <v>1</v>
      </c>
      <c r="AG398" s="311" t="str">
        <f t="shared" si="191"/>
        <v>Junior Female Mini Soccer-</v>
      </c>
      <c r="AH398" s="453">
        <f t="shared" si="192"/>
        <v>10</v>
      </c>
      <c r="AI398" s="453">
        <f t="shared" si="193"/>
        <v>1</v>
      </c>
      <c r="AJ398" t="str">
        <f t="array" ref="AJ398">IF(AND(AI398&gt;1,G398&lt;&gt;""),INDEX(FS_teams,MATCH(1,(FS_Keys=AG398)*(FS_Points=I398)*(FS_teams&lt;&gt;G398),0)),"")</f>
        <v/>
      </c>
      <c r="AK398" s="390" t="str">
        <f t="array" ref="AK398">IF(AJ398&lt;&gt;"",INDEX(TM_Score1,MATCH(1,(TM_Events=D398)*(TM_Participant1=G398)*(TM_Participant2=AJ398),0)),"")</f>
        <v/>
      </c>
      <c r="AL398" s="390" t="str">
        <f t="array" ref="AL398">IF(AJ398&lt;&gt;"",INDEX(TM_Score1,MATCH(1,(TM_Events=D398)*(TM_Participant1=AJ398)*(TM_Participant2=G398),0)),"")</f>
        <v/>
      </c>
      <c r="AM398" s="389" t="str">
        <f t="array" ref="AM398">IF(ISNUMBER(AK398),INDEX(TM_Score2,MATCH(1,(TM_Events=D398)*(TM_Participant1=G398)*(TM_Participant2=AJ398),0)),"")</f>
        <v/>
      </c>
      <c r="AN398" s="389" t="str">
        <f t="array" ref="AN398">IF(ISNUMBER(AL398),INDEX(TM_Score2,MATCH(1,(TM_Events=D398)*(TM_Participant1=AJ398)*(TM_Participant2=G398),0)),"")</f>
        <v/>
      </c>
      <c r="AO398" s="389" t="str">
        <f t="shared" si="194"/>
        <v/>
      </c>
      <c r="AP398" s="389">
        <f t="shared" si="195"/>
        <v>0</v>
      </c>
      <c r="AQ398" s="389">
        <f t="shared" si="196"/>
        <v>0</v>
      </c>
      <c r="AR398" s="389">
        <f t="shared" si="197"/>
        <v>4</v>
      </c>
      <c r="AS398" s="453">
        <f t="shared" si="198"/>
        <v>-12</v>
      </c>
      <c r="AT398" s="452">
        <f t="shared" si="199"/>
        <v>5</v>
      </c>
    </row>
    <row r="399" spans="1:46" ht="16" x14ac:dyDescent="0.2">
      <c r="A399" s="298"/>
      <c r="B399"/>
      <c r="D399" s="303" t="s">
        <v>67</v>
      </c>
      <c r="E399" s="396"/>
      <c r="F399" s="387">
        <v>1</v>
      </c>
      <c r="G399" s="397" t="s">
        <v>668</v>
      </c>
      <c r="H399" s="387" t="str">
        <f t="shared" si="174"/>
        <v>2-2-0</v>
      </c>
      <c r="I399" s="389">
        <f t="shared" si="175"/>
        <v>4</v>
      </c>
      <c r="J399" s="455">
        <f t="shared" si="200"/>
        <v>1</v>
      </c>
      <c r="K399" s="455">
        <f t="shared" si="176"/>
        <v>0</v>
      </c>
      <c r="L399" s="455">
        <f t="shared" si="201"/>
        <v>6</v>
      </c>
      <c r="M399" s="389" t="str">
        <f>IFERROR(IF(AD399&lt;=VLOOKUP(D399,Tournaments!$A$1:$B$1772,2,FALSE),"TRUE","FALSE"),"")</f>
        <v>FALSE</v>
      </c>
      <c r="N399" s="389">
        <v>1</v>
      </c>
      <c r="O399" s="389">
        <f t="shared" si="177"/>
        <v>5</v>
      </c>
      <c r="Q399" s="389">
        <f t="shared" si="178"/>
        <v>2</v>
      </c>
      <c r="R399" s="389">
        <f t="shared" si="179"/>
        <v>2</v>
      </c>
      <c r="S399" s="389">
        <f t="shared" si="180"/>
        <v>0</v>
      </c>
      <c r="U399" s="389">
        <f t="shared" si="181"/>
        <v>7</v>
      </c>
      <c r="V399" s="389">
        <f t="shared" si="182"/>
        <v>2.5000000000000001E-3</v>
      </c>
      <c r="W399" s="389">
        <f t="shared" si="183"/>
        <v>-6.9974999999999996</v>
      </c>
      <c r="X399" s="389">
        <f t="shared" si="184"/>
        <v>7</v>
      </c>
      <c r="Y399" s="389">
        <f t="shared" si="202"/>
        <v>1.0999999999999999E-2</v>
      </c>
      <c r="Z399" s="389">
        <f t="shared" si="185"/>
        <v>-6.9889999999999999</v>
      </c>
      <c r="AA399" s="389">
        <f t="shared" si="186"/>
        <v>5</v>
      </c>
      <c r="AB399" s="389">
        <f t="shared" si="187"/>
        <v>5.8999999999999997E-2</v>
      </c>
      <c r="AC399" s="389">
        <f t="shared" si="188"/>
        <v>-4.9409999999999998</v>
      </c>
      <c r="AD399" s="389">
        <f t="shared" si="189"/>
        <v>5</v>
      </c>
      <c r="AE399" s="389">
        <f t="shared" si="190"/>
        <v>4</v>
      </c>
      <c r="AG399" s="311" t="str">
        <f t="shared" si="191"/>
        <v>Junior Female Mini Soccer-</v>
      </c>
      <c r="AH399" s="453">
        <f t="shared" si="192"/>
        <v>4</v>
      </c>
      <c r="AI399" s="453">
        <f t="shared" si="193"/>
        <v>4</v>
      </c>
      <c r="AJ399" t="str">
        <f t="array" ref="AJ399">IF(AND(AI399&gt;1,G399&lt;&gt;""),INDEX(FS_teams,MATCH(1,(FS_Keys=AG399)*(FS_Points=I399)*(FS_teams&lt;&gt;G399),0)),"")</f>
        <v>JR F - COL 1</v>
      </c>
      <c r="AK399" s="390" t="e">
        <f t="array" ref="AK399">IF(AJ399&lt;&gt;"",INDEX(TM_Score1,MATCH(1,(TM_Events=D399)*(TM_Participant1=G399)*(TM_Participant2=AJ399),0)),"")</f>
        <v>#N/A</v>
      </c>
      <c r="AL399" s="390" t="e">
        <f t="array" ref="AL399">IF(AJ399&lt;&gt;"",INDEX(TM_Score1,MATCH(1,(TM_Events=D399)*(TM_Participant1=AJ399)*(TM_Participant2=G399),0)),"")</f>
        <v>#N/A</v>
      </c>
      <c r="AM399" s="389" t="str">
        <f t="array" ref="AM399">IF(ISNUMBER(AK399),INDEX(TM_Score2,MATCH(1,(TM_Events=D399)*(TM_Participant1=G399)*(TM_Participant2=AJ399),0)),"")</f>
        <v/>
      </c>
      <c r="AN399" s="389" t="str">
        <f t="array" ref="AN399">IF(ISNUMBER(AL399),INDEX(TM_Score2,MATCH(1,(TM_Events=D399)*(TM_Participant1=AJ399)*(TM_Participant2=G399),0)),"")</f>
        <v/>
      </c>
      <c r="AO399" s="389" t="str">
        <f t="shared" si="194"/>
        <v>did not play</v>
      </c>
      <c r="AP399" s="389">
        <f t="shared" si="195"/>
        <v>2</v>
      </c>
      <c r="AQ399" s="389">
        <f t="shared" si="196"/>
        <v>0</v>
      </c>
      <c r="AR399" s="389">
        <f t="shared" si="197"/>
        <v>2</v>
      </c>
      <c r="AS399" s="453">
        <f t="shared" si="198"/>
        <v>0</v>
      </c>
      <c r="AT399" s="452">
        <f t="shared" si="199"/>
        <v>6</v>
      </c>
    </row>
    <row r="400" spans="1:46" ht="16" x14ac:dyDescent="0.2">
      <c r="A400" s="298"/>
      <c r="B400"/>
      <c r="D400" s="303" t="s">
        <v>67</v>
      </c>
      <c r="E400" s="396"/>
      <c r="F400" s="387">
        <v>1</v>
      </c>
      <c r="G400" s="397" t="s">
        <v>669</v>
      </c>
      <c r="H400" s="387" t="str">
        <f t="shared" si="174"/>
        <v>1-3-0</v>
      </c>
      <c r="I400" s="389">
        <f t="shared" si="175"/>
        <v>2</v>
      </c>
      <c r="J400" s="455">
        <f t="shared" si="200"/>
        <v>1</v>
      </c>
      <c r="K400" s="455">
        <f t="shared" si="176"/>
        <v>-4</v>
      </c>
      <c r="L400" s="455" t="str">
        <f t="shared" si="201"/>
        <v/>
      </c>
      <c r="M400" s="389" t="str">
        <f>IFERROR(IF(AD400&lt;=VLOOKUP(D400,Tournaments!$A$1:$B$1772,2,FALSE),"TRUE","FALSE"),"")</f>
        <v>FALSE</v>
      </c>
      <c r="N400" s="389">
        <v>1</v>
      </c>
      <c r="O400" s="389">
        <f t="shared" si="177"/>
        <v>9</v>
      </c>
      <c r="Q400" s="389">
        <f t="shared" si="178"/>
        <v>1</v>
      </c>
      <c r="R400" s="389">
        <f t="shared" si="179"/>
        <v>3</v>
      </c>
      <c r="S400" s="389">
        <f t="shared" si="180"/>
        <v>0</v>
      </c>
      <c r="U400" s="389">
        <f t="shared" si="181"/>
        <v>9</v>
      </c>
      <c r="V400" s="389">
        <f t="shared" si="182"/>
        <v>2.5000000000000001E-3</v>
      </c>
      <c r="W400" s="389">
        <f t="shared" si="183"/>
        <v>-8.9975000000000005</v>
      </c>
      <c r="X400" s="389">
        <f t="shared" si="184"/>
        <v>9</v>
      </c>
      <c r="Y400" s="389">
        <f t="shared" si="202"/>
        <v>7.3000000000000001E-3</v>
      </c>
      <c r="Z400" s="389">
        <f t="shared" si="185"/>
        <v>-8.9926999999999992</v>
      </c>
      <c r="AA400" s="389">
        <f t="shared" si="186"/>
        <v>9</v>
      </c>
      <c r="AB400" s="389" t="b">
        <f t="shared" si="187"/>
        <v>0</v>
      </c>
      <c r="AC400" s="389">
        <f t="shared" si="188"/>
        <v>-9</v>
      </c>
      <c r="AD400" s="389">
        <f t="shared" si="189"/>
        <v>9</v>
      </c>
      <c r="AE400" s="389">
        <f t="shared" si="190"/>
        <v>2</v>
      </c>
      <c r="AG400" s="311" t="str">
        <f t="shared" si="191"/>
        <v>Junior Female Mini Soccer-</v>
      </c>
      <c r="AH400" s="453">
        <f t="shared" si="192"/>
        <v>8</v>
      </c>
      <c r="AI400" s="453">
        <f t="shared" si="193"/>
        <v>2</v>
      </c>
      <c r="AJ400" t="str">
        <f t="array" ref="AJ400">IF(AND(AI400&gt;1,G400&lt;&gt;""),INDEX(FS_teams,MATCH(1,(FS_Keys=AG400)*(FS_Points=I400)*(FS_teams&lt;&gt;G400),0)),"")</f>
        <v>JR F - COL 2</v>
      </c>
      <c r="AK400" s="390" t="e">
        <f t="array" ref="AK400">IF(AJ400&lt;&gt;"",INDEX(TM_Score1,MATCH(1,(TM_Events=D400)*(TM_Participant1=G400)*(TM_Participant2=AJ400),0)),"")</f>
        <v>#N/A</v>
      </c>
      <c r="AL400" s="390" t="e">
        <f t="array" ref="AL400">IF(AJ400&lt;&gt;"",INDEX(TM_Score1,MATCH(1,(TM_Events=D400)*(TM_Participant1=AJ400)*(TM_Participant2=G400),0)),"")</f>
        <v>#N/A</v>
      </c>
      <c r="AM400" s="389" t="str">
        <f t="array" ref="AM400">IF(ISNUMBER(AK400),INDEX(TM_Score2,MATCH(1,(TM_Events=D400)*(TM_Participant1=G400)*(TM_Participant2=AJ400),0)),"")</f>
        <v/>
      </c>
      <c r="AN400" s="389" t="str">
        <f t="array" ref="AN400">IF(ISNUMBER(AL400),INDEX(TM_Score2,MATCH(1,(TM_Events=D400)*(TM_Participant1=AJ400)*(TM_Participant2=G400),0)),"")</f>
        <v/>
      </c>
      <c r="AO400" s="389" t="str">
        <f t="shared" si="194"/>
        <v>did not play</v>
      </c>
      <c r="AP400" s="389">
        <f t="shared" si="195"/>
        <v>1</v>
      </c>
      <c r="AQ400" s="389">
        <f t="shared" si="196"/>
        <v>0</v>
      </c>
      <c r="AR400" s="389">
        <f t="shared" si="197"/>
        <v>3</v>
      </c>
      <c r="AS400" s="453">
        <f t="shared" si="198"/>
        <v>-4</v>
      </c>
      <c r="AT400" s="452">
        <f t="shared" si="199"/>
        <v>7</v>
      </c>
    </row>
    <row r="401" spans="1:46" ht="16" x14ac:dyDescent="0.2">
      <c r="A401" s="298"/>
      <c r="B401"/>
      <c r="D401" s="303" t="s">
        <v>67</v>
      </c>
      <c r="E401" s="396"/>
      <c r="F401" s="387">
        <v>1</v>
      </c>
      <c r="G401" s="397" t="s">
        <v>660</v>
      </c>
      <c r="H401" s="387" t="str">
        <f t="shared" si="174"/>
        <v>1-3-0</v>
      </c>
      <c r="I401" s="389">
        <f t="shared" si="175"/>
        <v>2</v>
      </c>
      <c r="J401" s="455">
        <f t="shared" si="200"/>
        <v>1</v>
      </c>
      <c r="K401" s="455">
        <f t="shared" si="176"/>
        <v>-2</v>
      </c>
      <c r="L401" s="455" t="str">
        <f t="shared" si="201"/>
        <v/>
      </c>
      <c r="M401" s="389" t="str">
        <f>IFERROR(IF(AD401&lt;=VLOOKUP(D401,Tournaments!$A$1:$B$1772,2,FALSE),"TRUE","FALSE"),"")</f>
        <v>FALSE</v>
      </c>
      <c r="N401" s="389">
        <v>1</v>
      </c>
      <c r="O401" s="389">
        <f t="shared" si="177"/>
        <v>8</v>
      </c>
      <c r="Q401" s="389">
        <f t="shared" si="178"/>
        <v>1</v>
      </c>
      <c r="R401" s="389">
        <f t="shared" si="179"/>
        <v>3</v>
      </c>
      <c r="S401" s="389">
        <f t="shared" si="180"/>
        <v>0</v>
      </c>
      <c r="U401" s="389">
        <f t="shared" si="181"/>
        <v>9</v>
      </c>
      <c r="V401" s="389">
        <f t="shared" si="182"/>
        <v>2.5000000000000001E-3</v>
      </c>
      <c r="W401" s="389">
        <f t="shared" si="183"/>
        <v>-8.9975000000000005</v>
      </c>
      <c r="X401" s="389">
        <f t="shared" si="184"/>
        <v>9</v>
      </c>
      <c r="Y401" s="389">
        <f t="shared" si="202"/>
        <v>8.9999999999999993E-3</v>
      </c>
      <c r="Z401" s="389">
        <f t="shared" si="185"/>
        <v>-8.9909999999999997</v>
      </c>
      <c r="AA401" s="389">
        <f t="shared" si="186"/>
        <v>8</v>
      </c>
      <c r="AB401" s="389" t="b">
        <f t="shared" si="187"/>
        <v>0</v>
      </c>
      <c r="AC401" s="389">
        <f t="shared" si="188"/>
        <v>-8</v>
      </c>
      <c r="AD401" s="389">
        <f t="shared" si="189"/>
        <v>8</v>
      </c>
      <c r="AE401" s="389">
        <f t="shared" si="190"/>
        <v>2</v>
      </c>
      <c r="AG401" s="311" t="str">
        <f t="shared" si="191"/>
        <v>Junior Female Mini Soccer-</v>
      </c>
      <c r="AH401" s="453">
        <f t="shared" si="192"/>
        <v>8</v>
      </c>
      <c r="AI401" s="453">
        <f t="shared" si="193"/>
        <v>2</v>
      </c>
      <c r="AJ401" t="str">
        <f t="array" ref="AJ401">IF(AND(AI401&gt;1,G401&lt;&gt;""),INDEX(FS_teams,MATCH(1,(FS_Keys=AG401)*(FS_Points=I401)*(FS_teams&lt;&gt;G401),0)),"")</f>
        <v>JR F - VEN 2</v>
      </c>
      <c r="AK401" s="390" t="e">
        <f t="array" ref="AK401">IF(AJ401&lt;&gt;"",INDEX(TM_Score1,MATCH(1,(TM_Events=D401)*(TM_Participant1=G401)*(TM_Participant2=AJ401),0)),"")</f>
        <v>#N/A</v>
      </c>
      <c r="AL401" s="390" t="e">
        <f t="array" ref="AL401">IF(AJ401&lt;&gt;"",INDEX(TM_Score1,MATCH(1,(TM_Events=D401)*(TM_Participant1=AJ401)*(TM_Participant2=G401),0)),"")</f>
        <v>#N/A</v>
      </c>
      <c r="AM401" s="389" t="str">
        <f t="array" ref="AM401">IF(ISNUMBER(AK401),INDEX(TM_Score2,MATCH(1,(TM_Events=D401)*(TM_Participant1=G401)*(TM_Participant2=AJ401),0)),"")</f>
        <v/>
      </c>
      <c r="AN401" s="389" t="str">
        <f t="array" ref="AN401">IF(ISNUMBER(AL401),INDEX(TM_Score2,MATCH(1,(TM_Events=D401)*(TM_Participant1=AJ401)*(TM_Participant2=G401),0)),"")</f>
        <v/>
      </c>
      <c r="AO401" s="389" t="str">
        <f t="shared" si="194"/>
        <v>did not play</v>
      </c>
      <c r="AP401" s="389">
        <f t="shared" si="195"/>
        <v>1</v>
      </c>
      <c r="AQ401" s="389">
        <f t="shared" si="196"/>
        <v>0</v>
      </c>
      <c r="AR401" s="389">
        <f t="shared" si="197"/>
        <v>3</v>
      </c>
      <c r="AS401" s="453">
        <f t="shared" si="198"/>
        <v>-2</v>
      </c>
      <c r="AT401" s="452">
        <f t="shared" si="199"/>
        <v>2</v>
      </c>
    </row>
    <row r="402" spans="1:46" ht="16" x14ac:dyDescent="0.2">
      <c r="A402" s="298"/>
      <c r="B402"/>
      <c r="D402" s="298" t="s">
        <v>67</v>
      </c>
      <c r="F402" s="389">
        <v>1</v>
      </c>
      <c r="G402" s="390" t="s">
        <v>776</v>
      </c>
      <c r="H402" s="387" t="str">
        <f t="shared" si="174"/>
        <v>2-3-0</v>
      </c>
      <c r="I402" s="389">
        <f t="shared" si="175"/>
        <v>4</v>
      </c>
      <c r="J402" s="455">
        <f t="shared" si="200"/>
        <v>1</v>
      </c>
      <c r="K402" s="455">
        <f t="shared" si="176"/>
        <v>0</v>
      </c>
      <c r="L402" s="455">
        <f t="shared" si="201"/>
        <v>19</v>
      </c>
      <c r="M402" s="389" t="str">
        <f>IFERROR(IF(AD402&lt;=VLOOKUP(D402,Tournaments!$A$1:$B$1772,2,FALSE),"TRUE","FALSE"),"")</f>
        <v>TRUE</v>
      </c>
      <c r="N402" s="389">
        <v>1</v>
      </c>
      <c r="O402" s="389">
        <f t="shared" si="177"/>
        <v>4</v>
      </c>
      <c r="Q402" s="389">
        <f t="shared" si="178"/>
        <v>2</v>
      </c>
      <c r="R402" s="389">
        <f t="shared" si="179"/>
        <v>3</v>
      </c>
      <c r="S402" s="389">
        <f t="shared" si="180"/>
        <v>0</v>
      </c>
      <c r="U402" s="389">
        <f t="shared" si="181"/>
        <v>7</v>
      </c>
      <c r="V402" s="389">
        <f t="shared" si="182"/>
        <v>2.5000000000000001E-3</v>
      </c>
      <c r="W402" s="389">
        <f t="shared" si="183"/>
        <v>-6.9974999999999996</v>
      </c>
      <c r="X402" s="389">
        <f t="shared" si="184"/>
        <v>7</v>
      </c>
      <c r="Y402" s="389">
        <f t="shared" si="202"/>
        <v>1.0999999999999999E-2</v>
      </c>
      <c r="Z402" s="389">
        <f t="shared" si="185"/>
        <v>-6.9889999999999999</v>
      </c>
      <c r="AA402" s="389">
        <f t="shared" si="186"/>
        <v>5</v>
      </c>
      <c r="AB402" s="389">
        <f t="shared" si="187"/>
        <v>5.9700000000000003E-2</v>
      </c>
      <c r="AC402" s="389">
        <f t="shared" si="188"/>
        <v>-4.9402999999999997</v>
      </c>
      <c r="AD402" s="389">
        <f t="shared" si="189"/>
        <v>4</v>
      </c>
      <c r="AE402" s="389">
        <f t="shared" si="190"/>
        <v>4</v>
      </c>
      <c r="AG402" s="311" t="str">
        <f t="shared" si="191"/>
        <v>Junior Female Mini Soccer-</v>
      </c>
      <c r="AH402" s="453">
        <f t="shared" si="192"/>
        <v>4</v>
      </c>
      <c r="AI402" s="453">
        <f t="shared" si="193"/>
        <v>4</v>
      </c>
      <c r="AJ402" t="str">
        <f t="array" ref="AJ402">IF(AND(AI402&gt;1,G402&lt;&gt;""),INDEX(FS_teams,MATCH(1,(FS_Keys=AG402)*(FS_Points=I402)*(FS_teams&lt;&gt;G402),0)),"")</f>
        <v>JR F - COL 1</v>
      </c>
      <c r="AK402" s="390">
        <f t="array" ref="AK402">IF(AJ402&lt;&gt;"",INDEX(TM_Score1,MATCH(1,(TM_Events=D402)*(TM_Participant1=G402)*(TM_Participant2=AJ402),0)),"")</f>
        <v>3</v>
      </c>
      <c r="AL402" s="390" t="e">
        <f t="array" ref="AL402">IF(AJ402&lt;&gt;"",INDEX(TM_Score1,MATCH(1,(TM_Events=D402)*(TM_Participant1=AJ402)*(TM_Participant2=G402),0)),"")</f>
        <v>#N/A</v>
      </c>
      <c r="AM402" s="389">
        <f t="array" ref="AM402">IF(ISNUMBER(AK402),INDEX(TM_Score2,MATCH(1,(TM_Events=D402)*(TM_Participant1=G402)*(TM_Participant2=AJ402),0)),"")</f>
        <v>5</v>
      </c>
      <c r="AN402" s="389" t="str">
        <f t="array" ref="AN402">IF(ISNUMBER(AL402),INDEX(TM_Score2,MATCH(1,(TM_Events=D402)*(TM_Participant1=AJ402)*(TM_Participant2=G402),0)),"")</f>
        <v/>
      </c>
      <c r="AO402" s="389" t="str">
        <f t="shared" si="194"/>
        <v>Loss</v>
      </c>
      <c r="AP402" s="389">
        <f t="shared" si="195"/>
        <v>2</v>
      </c>
      <c r="AQ402" s="389">
        <f t="shared" si="196"/>
        <v>0</v>
      </c>
      <c r="AR402" s="389">
        <f t="shared" si="197"/>
        <v>3</v>
      </c>
      <c r="AS402" s="453">
        <f t="shared" si="198"/>
        <v>0</v>
      </c>
      <c r="AT402" s="452">
        <f t="shared" si="199"/>
        <v>19</v>
      </c>
    </row>
    <row r="403" spans="1:46" ht="16" x14ac:dyDescent="0.2">
      <c r="A403" s="298"/>
      <c r="B403"/>
      <c r="D403" s="303" t="s">
        <v>67</v>
      </c>
      <c r="E403" s="396"/>
      <c r="F403" s="387">
        <v>1</v>
      </c>
      <c r="G403" s="397" t="s">
        <v>664</v>
      </c>
      <c r="H403" s="387" t="str">
        <f t="shared" si="174"/>
        <v>5-0-0</v>
      </c>
      <c r="I403" s="389">
        <f t="shared" si="175"/>
        <v>10</v>
      </c>
      <c r="J403" s="455" t="str">
        <f t="shared" si="200"/>
        <v/>
      </c>
      <c r="K403" s="455" t="str">
        <f t="shared" si="176"/>
        <v/>
      </c>
      <c r="L403" s="455" t="str">
        <f t="shared" si="201"/>
        <v/>
      </c>
      <c r="M403" s="389" t="str">
        <f>IFERROR(IF(AD403&lt;=VLOOKUP(D403,Tournaments!$A$1:$B$1772,2,FALSE),"TRUE","FALSE"),"")</f>
        <v>TRUE</v>
      </c>
      <c r="N403" s="389">
        <v>1</v>
      </c>
      <c r="O403" s="389">
        <f t="shared" si="177"/>
        <v>1</v>
      </c>
      <c r="Q403" s="389">
        <f t="shared" si="178"/>
        <v>5</v>
      </c>
      <c r="R403" s="389">
        <f t="shared" si="179"/>
        <v>0</v>
      </c>
      <c r="S403" s="389">
        <f t="shared" si="180"/>
        <v>0</v>
      </c>
      <c r="U403" s="389">
        <f t="shared" si="181"/>
        <v>1</v>
      </c>
      <c r="V403" s="389" t="b">
        <f t="shared" si="182"/>
        <v>0</v>
      </c>
      <c r="W403" s="389">
        <f t="shared" si="183"/>
        <v>-1</v>
      </c>
      <c r="X403" s="389">
        <f t="shared" si="184"/>
        <v>1</v>
      </c>
      <c r="Y403" s="389" t="b">
        <f t="shared" si="202"/>
        <v>0</v>
      </c>
      <c r="Z403" s="389">
        <f t="shared" si="185"/>
        <v>-1</v>
      </c>
      <c r="AA403" s="389">
        <f t="shared" si="186"/>
        <v>1</v>
      </c>
      <c r="AB403" s="389" t="b">
        <f t="shared" si="187"/>
        <v>0</v>
      </c>
      <c r="AC403" s="389">
        <f t="shared" si="188"/>
        <v>-1</v>
      </c>
      <c r="AD403" s="389">
        <f t="shared" si="189"/>
        <v>1</v>
      </c>
      <c r="AE403" s="389">
        <f t="shared" si="190"/>
        <v>1</v>
      </c>
      <c r="AG403" s="311" t="str">
        <f t="shared" si="191"/>
        <v>Junior Female Mini Soccer-</v>
      </c>
      <c r="AH403" s="453">
        <f t="shared" si="192"/>
        <v>1</v>
      </c>
      <c r="AI403" s="453">
        <f t="shared" si="193"/>
        <v>1</v>
      </c>
      <c r="AJ403" t="str">
        <f t="array" ref="AJ403">IF(AND(AI403&gt;1,G403&lt;&gt;""),INDEX(FS_teams,MATCH(1,(FS_Keys=AG403)*(FS_Points=I403)*(FS_teams&lt;&gt;G403),0)),"")</f>
        <v/>
      </c>
      <c r="AK403" s="390" t="str">
        <f t="array" ref="AK403">IF(AJ403&lt;&gt;"",INDEX(TM_Score1,MATCH(1,(TM_Events=D403)*(TM_Participant1=G403)*(TM_Participant2=AJ403),0)),"")</f>
        <v/>
      </c>
      <c r="AL403" s="390" t="str">
        <f t="array" ref="AL403">IF(AJ403&lt;&gt;"",INDEX(TM_Score1,MATCH(1,(TM_Events=D403)*(TM_Participant1=AJ403)*(TM_Participant2=G403),0)),"")</f>
        <v/>
      </c>
      <c r="AM403" s="389" t="str">
        <f t="array" ref="AM403">IF(ISNUMBER(AK403),INDEX(TM_Score2,MATCH(1,(TM_Events=D403)*(TM_Participant1=G403)*(TM_Participant2=AJ403),0)),"")</f>
        <v/>
      </c>
      <c r="AN403" s="389" t="str">
        <f t="array" ref="AN403">IF(ISNUMBER(AL403),INDEX(TM_Score2,MATCH(1,(TM_Events=D403)*(TM_Participant1=AJ403)*(TM_Participant2=G403),0)),"")</f>
        <v/>
      </c>
      <c r="AO403" s="389" t="str">
        <f t="shared" si="194"/>
        <v/>
      </c>
      <c r="AP403" s="389">
        <f t="shared" si="195"/>
        <v>5</v>
      </c>
      <c r="AQ403" s="389">
        <f t="shared" si="196"/>
        <v>0</v>
      </c>
      <c r="AR403" s="389">
        <f t="shared" si="197"/>
        <v>0</v>
      </c>
      <c r="AS403" s="453">
        <f t="shared" si="198"/>
        <v>11</v>
      </c>
      <c r="AT403" s="452">
        <f t="shared" si="199"/>
        <v>25</v>
      </c>
    </row>
    <row r="404" spans="1:46" ht="16" x14ac:dyDescent="0.2">
      <c r="A404" s="298"/>
      <c r="B404"/>
      <c r="D404" s="303" t="s">
        <v>67</v>
      </c>
      <c r="E404" s="396"/>
      <c r="F404" s="387">
        <v>1</v>
      </c>
      <c r="G404" s="397" t="s">
        <v>659</v>
      </c>
      <c r="H404" s="387" t="str">
        <f t="shared" si="174"/>
        <v>4-1-0</v>
      </c>
      <c r="I404" s="389">
        <f t="shared" si="175"/>
        <v>8</v>
      </c>
      <c r="J404" s="455" t="str">
        <f t="shared" si="200"/>
        <v/>
      </c>
      <c r="K404" s="455" t="str">
        <f t="shared" si="176"/>
        <v/>
      </c>
      <c r="L404" s="455" t="str">
        <f t="shared" si="201"/>
        <v/>
      </c>
      <c r="M404" s="389" t="str">
        <f>IFERROR(IF(AD404&lt;=VLOOKUP(D404,Tournaments!$A$1:$B$1772,2,FALSE),"TRUE","FALSE"),"")</f>
        <v>TRUE</v>
      </c>
      <c r="N404" s="389">
        <v>1</v>
      </c>
      <c r="O404" s="389">
        <f t="shared" si="177"/>
        <v>2</v>
      </c>
      <c r="Q404" s="389">
        <f t="shared" si="178"/>
        <v>4</v>
      </c>
      <c r="R404" s="389">
        <f t="shared" si="179"/>
        <v>1</v>
      </c>
      <c r="S404" s="389">
        <f t="shared" si="180"/>
        <v>0</v>
      </c>
      <c r="U404" s="389">
        <f t="shared" si="181"/>
        <v>2</v>
      </c>
      <c r="V404" s="389" t="b">
        <f t="shared" si="182"/>
        <v>0</v>
      </c>
      <c r="W404" s="389">
        <f t="shared" si="183"/>
        <v>-2</v>
      </c>
      <c r="X404" s="389">
        <f t="shared" si="184"/>
        <v>2</v>
      </c>
      <c r="Y404" s="389" t="b">
        <f t="shared" si="202"/>
        <v>0</v>
      </c>
      <c r="Z404" s="389">
        <f t="shared" si="185"/>
        <v>-2</v>
      </c>
      <c r="AA404" s="389">
        <f t="shared" si="186"/>
        <v>2</v>
      </c>
      <c r="AB404" s="389" t="b">
        <f t="shared" si="187"/>
        <v>0</v>
      </c>
      <c r="AC404" s="389">
        <f t="shared" si="188"/>
        <v>-2</v>
      </c>
      <c r="AD404" s="389">
        <f t="shared" si="189"/>
        <v>2</v>
      </c>
      <c r="AE404" s="389">
        <f t="shared" si="190"/>
        <v>1</v>
      </c>
      <c r="AG404" s="311" t="str">
        <f t="shared" si="191"/>
        <v>Junior Female Mini Soccer-</v>
      </c>
      <c r="AH404" s="453">
        <f t="shared" si="192"/>
        <v>2</v>
      </c>
      <c r="AI404" s="453">
        <f t="shared" si="193"/>
        <v>1</v>
      </c>
      <c r="AJ404" t="str">
        <f t="array" ref="AJ404">IF(AND(AI404&gt;1,G404&lt;&gt;""),INDEX(FS_teams,MATCH(1,(FS_Keys=AG404)*(FS_Points=I404)*(FS_teams&lt;&gt;G404),0)),"")</f>
        <v/>
      </c>
      <c r="AK404" s="390" t="str">
        <f t="array" ref="AK404">IF(AJ404&lt;&gt;"",INDEX(TM_Score1,MATCH(1,(TM_Events=D404)*(TM_Participant1=G404)*(TM_Participant2=AJ404),0)),"")</f>
        <v/>
      </c>
      <c r="AL404" s="390" t="str">
        <f t="array" ref="AL404">IF(AJ404&lt;&gt;"",INDEX(TM_Score1,MATCH(1,(TM_Events=D404)*(TM_Participant1=AJ404)*(TM_Participant2=G404),0)),"")</f>
        <v/>
      </c>
      <c r="AM404" s="389" t="str">
        <f t="array" ref="AM404">IF(ISNUMBER(AK404),INDEX(TM_Score2,MATCH(1,(TM_Events=D404)*(TM_Participant1=G404)*(TM_Participant2=AJ404),0)),"")</f>
        <v/>
      </c>
      <c r="AN404" s="389" t="str">
        <f t="array" ref="AN404">IF(ISNUMBER(AL404),INDEX(TM_Score2,MATCH(1,(TM_Events=D404)*(TM_Participant1=AJ404)*(TM_Participant2=G404),0)),"")</f>
        <v/>
      </c>
      <c r="AO404" s="389" t="str">
        <f t="shared" si="194"/>
        <v/>
      </c>
      <c r="AP404" s="389">
        <f t="shared" si="195"/>
        <v>4</v>
      </c>
      <c r="AQ404" s="389">
        <f t="shared" si="196"/>
        <v>0</v>
      </c>
      <c r="AR404" s="389">
        <f t="shared" si="197"/>
        <v>1</v>
      </c>
      <c r="AS404" s="453">
        <f t="shared" si="198"/>
        <v>11</v>
      </c>
      <c r="AT404" s="452">
        <f t="shared" si="199"/>
        <v>16</v>
      </c>
    </row>
    <row r="405" spans="1:46" ht="16" x14ac:dyDescent="0.2">
      <c r="A405" s="298"/>
      <c r="B405"/>
      <c r="D405" s="303" t="s">
        <v>67</v>
      </c>
      <c r="E405" s="396"/>
      <c r="F405" s="387">
        <v>1</v>
      </c>
      <c r="G405" s="397" t="s">
        <v>667</v>
      </c>
      <c r="H405" s="387" t="str">
        <f t="shared" si="174"/>
        <v>2-2-0</v>
      </c>
      <c r="I405" s="389">
        <f t="shared" si="175"/>
        <v>4</v>
      </c>
      <c r="J405" s="455">
        <f t="shared" si="200"/>
        <v>1</v>
      </c>
      <c r="K405" s="455">
        <f t="shared" si="176"/>
        <v>-2</v>
      </c>
      <c r="L405" s="455" t="str">
        <f t="shared" si="201"/>
        <v/>
      </c>
      <c r="M405" s="389" t="str">
        <f>IFERROR(IF(AD405&lt;=VLOOKUP(D405,Tournaments!$A$1:$B$1772,2,FALSE),"TRUE","FALSE"),"")</f>
        <v>FALSE</v>
      </c>
      <c r="N405" s="389">
        <v>1</v>
      </c>
      <c r="O405" s="389">
        <f t="shared" si="177"/>
        <v>6</v>
      </c>
      <c r="Q405" s="389">
        <f t="shared" si="178"/>
        <v>2</v>
      </c>
      <c r="R405" s="389">
        <f t="shared" si="179"/>
        <v>2</v>
      </c>
      <c r="S405" s="389">
        <f t="shared" si="180"/>
        <v>0</v>
      </c>
      <c r="U405" s="389">
        <f t="shared" si="181"/>
        <v>7</v>
      </c>
      <c r="V405" s="389">
        <f t="shared" si="182"/>
        <v>2.5000000000000001E-3</v>
      </c>
      <c r="W405" s="389">
        <f t="shared" si="183"/>
        <v>-6.9974999999999996</v>
      </c>
      <c r="X405" s="389">
        <f t="shared" si="184"/>
        <v>7</v>
      </c>
      <c r="Y405" s="389">
        <f t="shared" si="202"/>
        <v>8.9999999999999993E-3</v>
      </c>
      <c r="Z405" s="389">
        <f t="shared" si="185"/>
        <v>-6.9909999999999997</v>
      </c>
      <c r="AA405" s="389">
        <f t="shared" si="186"/>
        <v>6</v>
      </c>
      <c r="AB405" s="389" t="b">
        <f t="shared" si="187"/>
        <v>0</v>
      </c>
      <c r="AC405" s="389">
        <f t="shared" si="188"/>
        <v>-6</v>
      </c>
      <c r="AD405" s="389">
        <f t="shared" si="189"/>
        <v>6</v>
      </c>
      <c r="AE405" s="389">
        <f t="shared" si="190"/>
        <v>4</v>
      </c>
      <c r="AG405" s="311" t="str">
        <f t="shared" si="191"/>
        <v>Junior Female Mini Soccer-</v>
      </c>
      <c r="AH405" s="453">
        <f t="shared" si="192"/>
        <v>4</v>
      </c>
      <c r="AI405" s="453">
        <f t="shared" si="193"/>
        <v>4</v>
      </c>
      <c r="AJ405" t="str">
        <f t="array" ref="AJ405">IF(AND(AI405&gt;1,G405&lt;&gt;""),INDEX(FS_teams,MATCH(1,(FS_Keys=AG405)*(FS_Points=I405)*(FS_teams&lt;&gt;G405),0)),"")</f>
        <v>JR F - COL 1</v>
      </c>
      <c r="AK405" s="390">
        <f t="array" ref="AK405">IF(AJ405&lt;&gt;"",INDEX(TM_Score1,MATCH(1,(TM_Events=D405)*(TM_Participant1=G405)*(TM_Participant2=AJ405),0)),"")</f>
        <v>4</v>
      </c>
      <c r="AL405" s="390" t="e">
        <f t="array" ref="AL405">IF(AJ405&lt;&gt;"",INDEX(TM_Score1,MATCH(1,(TM_Events=D405)*(TM_Participant1=AJ405)*(TM_Participant2=G405),0)),"")</f>
        <v>#N/A</v>
      </c>
      <c r="AM405" s="389">
        <f t="array" ref="AM405">IF(ISNUMBER(AK405),INDEX(TM_Score2,MATCH(1,(TM_Events=D405)*(TM_Participant1=G405)*(TM_Participant2=AJ405),0)),"")</f>
        <v>0</v>
      </c>
      <c r="AN405" s="389" t="str">
        <f t="array" ref="AN405">IF(ISNUMBER(AL405),INDEX(TM_Score2,MATCH(1,(TM_Events=D405)*(TM_Participant1=AJ405)*(TM_Participant2=G405),0)),"")</f>
        <v/>
      </c>
      <c r="AO405" s="389" t="str">
        <f t="shared" si="194"/>
        <v>Win</v>
      </c>
      <c r="AP405" s="389">
        <f t="shared" si="195"/>
        <v>2</v>
      </c>
      <c r="AQ405" s="389">
        <f t="shared" si="196"/>
        <v>0</v>
      </c>
      <c r="AR405" s="389">
        <f t="shared" si="197"/>
        <v>2</v>
      </c>
      <c r="AS405" s="453">
        <f t="shared" si="198"/>
        <v>-2</v>
      </c>
      <c r="AT405" s="452">
        <f t="shared" si="199"/>
        <v>8</v>
      </c>
    </row>
    <row r="406" spans="1:46" ht="16" x14ac:dyDescent="0.2">
      <c r="A406" s="298"/>
      <c r="B406"/>
      <c r="D406" s="298" t="s">
        <v>70</v>
      </c>
      <c r="F406" s="389">
        <v>1</v>
      </c>
      <c r="G406" s="390" t="s">
        <v>659</v>
      </c>
      <c r="H406" s="387" t="str">
        <f t="shared" si="174"/>
        <v>5-0-0</v>
      </c>
      <c r="I406" s="389">
        <f t="shared" si="175"/>
        <v>10</v>
      </c>
      <c r="J406" s="455">
        <f t="shared" si="200"/>
        <v>1</v>
      </c>
      <c r="K406" s="455">
        <f t="shared" si="176"/>
        <v>9</v>
      </c>
      <c r="L406" s="455" t="str">
        <f t="shared" si="201"/>
        <v/>
      </c>
      <c r="M406" s="389" t="str">
        <f>IFERROR(IF(AD406&lt;=VLOOKUP(D406,Tournaments!$A$1:$B$1772,2,FALSE),"TRUE","FALSE"),"")</f>
        <v>TRUE</v>
      </c>
      <c r="N406" s="389">
        <v>1</v>
      </c>
      <c r="O406" s="389">
        <f t="shared" si="177"/>
        <v>2</v>
      </c>
      <c r="Q406" s="389">
        <f t="shared" si="178"/>
        <v>5</v>
      </c>
      <c r="R406" s="389">
        <f t="shared" si="179"/>
        <v>0</v>
      </c>
      <c r="S406" s="389">
        <f t="shared" si="180"/>
        <v>0</v>
      </c>
      <c r="U406" s="389">
        <f t="shared" si="181"/>
        <v>2</v>
      </c>
      <c r="V406" s="389">
        <f t="shared" si="182"/>
        <v>2.5000000000000001E-3</v>
      </c>
      <c r="W406" s="389">
        <f t="shared" si="183"/>
        <v>-1.9975000000000001</v>
      </c>
      <c r="X406" s="389">
        <f t="shared" si="184"/>
        <v>2</v>
      </c>
      <c r="Y406" s="389">
        <f t="shared" si="202"/>
        <v>7.4700000000000003E-2</v>
      </c>
      <c r="Z406" s="389">
        <f t="shared" si="185"/>
        <v>-1.9253</v>
      </c>
      <c r="AA406" s="389">
        <f t="shared" si="186"/>
        <v>2</v>
      </c>
      <c r="AB406" s="389" t="b">
        <f t="shared" si="187"/>
        <v>0</v>
      </c>
      <c r="AC406" s="389">
        <f t="shared" si="188"/>
        <v>-2</v>
      </c>
      <c r="AD406" s="389">
        <f t="shared" si="189"/>
        <v>2</v>
      </c>
      <c r="AE406" s="389">
        <f t="shared" si="190"/>
        <v>2</v>
      </c>
      <c r="AG406" s="311" t="str">
        <f t="shared" si="191"/>
        <v>Junior Female Volleyball-</v>
      </c>
      <c r="AH406" s="453">
        <f t="shared" si="192"/>
        <v>1</v>
      </c>
      <c r="AI406" s="453">
        <f t="shared" si="193"/>
        <v>2</v>
      </c>
      <c r="AJ406" t="str">
        <f t="array" ref="AJ406">IF(AND(AI406&gt;1,G406&lt;&gt;""),INDEX(FS_teams,MATCH(1,(FS_Keys=AG406)*(FS_Points=I406)*(FS_teams&lt;&gt;G406),0)),"")</f>
        <v>JR F - USA 2</v>
      </c>
      <c r="AK406" s="390" t="e">
        <f t="array" ref="AK406">IF(AJ406&lt;&gt;"",INDEX(TM_Score1,MATCH(1,(TM_Events=D406)*(TM_Participant1=G406)*(TM_Participant2=AJ406),0)),"")</f>
        <v>#N/A</v>
      </c>
      <c r="AL406" s="390">
        <f t="array" ref="AL406">IF(AJ406&lt;&gt;"",INDEX(TM_Score1,MATCH(1,(TM_Events=D406)*(TM_Participant1=AJ406)*(TM_Participant2=G406),0)),"")</f>
        <v>0</v>
      </c>
      <c r="AM406" s="389" t="str">
        <f t="array" ref="AM406">IF(ISNUMBER(AK406),INDEX(TM_Score2,MATCH(1,(TM_Events=D406)*(TM_Participant1=G406)*(TM_Participant2=AJ406),0)),"")</f>
        <v/>
      </c>
      <c r="AN406" s="389">
        <f t="array" ref="AN406">IF(ISNUMBER(AL406),INDEX(TM_Score2,MATCH(1,(TM_Events=D406)*(TM_Participant1=AJ406)*(TM_Participant2=G406),0)),"")</f>
        <v>0</v>
      </c>
      <c r="AO406" s="389" t="str">
        <f t="shared" si="194"/>
        <v>Tie</v>
      </c>
      <c r="AP406" s="389">
        <f t="shared" si="195"/>
        <v>5</v>
      </c>
      <c r="AQ406" s="389">
        <f t="shared" si="196"/>
        <v>0</v>
      </c>
      <c r="AR406" s="389">
        <f t="shared" si="197"/>
        <v>0</v>
      </c>
      <c r="AS406" s="453">
        <f t="shared" si="198"/>
        <v>9</v>
      </c>
      <c r="AT406" s="452">
        <f t="shared" si="199"/>
        <v>10</v>
      </c>
    </row>
    <row r="407" spans="1:46" ht="16" x14ac:dyDescent="0.2">
      <c r="A407" s="298"/>
      <c r="B407"/>
      <c r="D407" s="303" t="s">
        <v>70</v>
      </c>
      <c r="E407" s="396"/>
      <c r="F407" s="387">
        <v>1</v>
      </c>
      <c r="G407" s="397" t="s">
        <v>776</v>
      </c>
      <c r="H407" s="387" t="str">
        <f t="shared" si="174"/>
        <v>1-3-0</v>
      </c>
      <c r="I407" s="389">
        <f t="shared" si="175"/>
        <v>2</v>
      </c>
      <c r="J407" s="455">
        <f t="shared" si="200"/>
        <v>1</v>
      </c>
      <c r="K407" s="455">
        <f t="shared" si="176"/>
        <v>-5</v>
      </c>
      <c r="L407" s="455" t="str">
        <f t="shared" si="201"/>
        <v/>
      </c>
      <c r="M407" s="389" t="str">
        <f>IFERROR(IF(AD407&lt;=VLOOKUP(D407,Tournaments!$A$1:$B$1772,2,FALSE),"TRUE","FALSE"),"")</f>
        <v>FALSE</v>
      </c>
      <c r="N407" s="389">
        <v>1</v>
      </c>
      <c r="O407" s="389">
        <f t="shared" si="177"/>
        <v>8</v>
      </c>
      <c r="Q407" s="389">
        <f t="shared" si="178"/>
        <v>1</v>
      </c>
      <c r="R407" s="389">
        <f t="shared" si="179"/>
        <v>3</v>
      </c>
      <c r="S407" s="389">
        <f t="shared" si="180"/>
        <v>0</v>
      </c>
      <c r="U407" s="389">
        <f t="shared" si="181"/>
        <v>8</v>
      </c>
      <c r="V407" s="389">
        <f t="shared" si="182"/>
        <v>2.5000000000000001E-3</v>
      </c>
      <c r="W407" s="389">
        <f t="shared" si="183"/>
        <v>-7.9974999999999996</v>
      </c>
      <c r="X407" s="389">
        <f t="shared" si="184"/>
        <v>8</v>
      </c>
      <c r="Y407" s="389">
        <f t="shared" si="202"/>
        <v>6.4000000000000003E-3</v>
      </c>
      <c r="Z407" s="389">
        <f t="shared" si="185"/>
        <v>-7.9935999999999998</v>
      </c>
      <c r="AA407" s="389">
        <f t="shared" si="186"/>
        <v>8</v>
      </c>
      <c r="AB407" s="389" t="b">
        <f t="shared" si="187"/>
        <v>0</v>
      </c>
      <c r="AC407" s="389">
        <f t="shared" si="188"/>
        <v>-8</v>
      </c>
      <c r="AD407" s="389">
        <f t="shared" si="189"/>
        <v>8</v>
      </c>
      <c r="AE407" s="389">
        <f t="shared" si="190"/>
        <v>2</v>
      </c>
      <c r="AG407" s="311" t="str">
        <f t="shared" si="191"/>
        <v>Junior Female Volleyball-</v>
      </c>
      <c r="AH407" s="453">
        <f t="shared" si="192"/>
        <v>7</v>
      </c>
      <c r="AI407" s="453">
        <f t="shared" si="193"/>
        <v>2</v>
      </c>
      <c r="AJ407" t="str">
        <f t="array" ref="AJ407">IF(AND(AI407&gt;1,G407&lt;&gt;""),INDEX(FS_teams,MATCH(1,(FS_Keys=AG407)*(FS_Points=I407)*(FS_teams&lt;&gt;G407),0)),"")</f>
        <v>JR F - COL 2</v>
      </c>
      <c r="AK407" s="390" t="e">
        <f t="array" ref="AK407">IF(AJ407&lt;&gt;"",INDEX(TM_Score1,MATCH(1,(TM_Events=D407)*(TM_Participant1=G407)*(TM_Participant2=AJ407),0)),"")</f>
        <v>#N/A</v>
      </c>
      <c r="AL407" s="390" t="e">
        <f t="array" ref="AL407">IF(AJ407&lt;&gt;"",INDEX(TM_Score1,MATCH(1,(TM_Events=D407)*(TM_Participant1=AJ407)*(TM_Participant2=G407),0)),"")</f>
        <v>#N/A</v>
      </c>
      <c r="AM407" s="389" t="str">
        <f t="array" ref="AM407">IF(ISNUMBER(AK407),INDEX(TM_Score2,MATCH(1,(TM_Events=D407)*(TM_Participant1=G407)*(TM_Participant2=AJ407),0)),"")</f>
        <v/>
      </c>
      <c r="AN407" s="389" t="str">
        <f t="array" ref="AN407">IF(ISNUMBER(AL407),INDEX(TM_Score2,MATCH(1,(TM_Events=D407)*(TM_Participant1=AJ407)*(TM_Participant2=G407),0)),"")</f>
        <v/>
      </c>
      <c r="AO407" s="389" t="str">
        <f t="shared" si="194"/>
        <v>did not play</v>
      </c>
      <c r="AP407" s="389">
        <f t="shared" si="195"/>
        <v>1</v>
      </c>
      <c r="AQ407" s="389">
        <f t="shared" si="196"/>
        <v>0</v>
      </c>
      <c r="AR407" s="389">
        <f t="shared" si="197"/>
        <v>3</v>
      </c>
      <c r="AS407" s="453">
        <f t="shared" si="198"/>
        <v>-5</v>
      </c>
      <c r="AT407" s="452">
        <f t="shared" si="199"/>
        <v>2</v>
      </c>
    </row>
    <row r="408" spans="1:46" ht="16" x14ac:dyDescent="0.2">
      <c r="A408" s="298"/>
      <c r="B408"/>
      <c r="D408" s="303" t="s">
        <v>70</v>
      </c>
      <c r="E408" s="396"/>
      <c r="F408" s="387">
        <v>1</v>
      </c>
      <c r="G408" s="397" t="s">
        <v>668</v>
      </c>
      <c r="H408" s="387" t="str">
        <f t="shared" si="174"/>
        <v>0-4-0</v>
      </c>
      <c r="I408" s="389">
        <f t="shared" si="175"/>
        <v>0</v>
      </c>
      <c r="J408" s="455">
        <f t="shared" si="200"/>
        <v>1</v>
      </c>
      <c r="K408" s="455">
        <f t="shared" si="176"/>
        <v>-7</v>
      </c>
      <c r="L408" s="455" t="str">
        <f t="shared" si="201"/>
        <v/>
      </c>
      <c r="M408" s="389" t="str">
        <f>IFERROR(IF(AD408&lt;=VLOOKUP(D408,Tournaments!$A$1:$B$1772,2,FALSE),"TRUE","FALSE"),"")</f>
        <v>FALSE</v>
      </c>
      <c r="N408" s="389">
        <v>1</v>
      </c>
      <c r="O408" s="389">
        <f t="shared" si="177"/>
        <v>10</v>
      </c>
      <c r="Q408" s="389">
        <f t="shared" si="178"/>
        <v>0</v>
      </c>
      <c r="R408" s="389">
        <f t="shared" si="179"/>
        <v>4</v>
      </c>
      <c r="S408" s="389">
        <f t="shared" si="180"/>
        <v>0</v>
      </c>
      <c r="U408" s="389">
        <f t="shared" si="181"/>
        <v>10</v>
      </c>
      <c r="V408" s="389">
        <f t="shared" si="182"/>
        <v>2.5000000000000001E-3</v>
      </c>
      <c r="W408" s="389">
        <f t="shared" si="183"/>
        <v>-9.9975000000000005</v>
      </c>
      <c r="X408" s="389">
        <f t="shared" si="184"/>
        <v>10</v>
      </c>
      <c r="Y408" s="389">
        <f t="shared" si="202"/>
        <v>5.1000000000000004E-3</v>
      </c>
      <c r="Z408" s="389">
        <f t="shared" si="185"/>
        <v>-9.9948999999999995</v>
      </c>
      <c r="AA408" s="389">
        <f t="shared" si="186"/>
        <v>10</v>
      </c>
      <c r="AB408" s="389" t="b">
        <f t="shared" si="187"/>
        <v>0</v>
      </c>
      <c r="AC408" s="389">
        <f t="shared" si="188"/>
        <v>-10</v>
      </c>
      <c r="AD408" s="389">
        <f t="shared" si="189"/>
        <v>10</v>
      </c>
      <c r="AE408" s="389">
        <f t="shared" si="190"/>
        <v>2</v>
      </c>
      <c r="AG408" s="311" t="str">
        <f t="shared" si="191"/>
        <v>Junior Female Volleyball-</v>
      </c>
      <c r="AH408" s="453">
        <f t="shared" si="192"/>
        <v>9</v>
      </c>
      <c r="AI408" s="453">
        <f t="shared" si="193"/>
        <v>2</v>
      </c>
      <c r="AJ408" t="str">
        <f t="array" ref="AJ408">IF(AND(AI408&gt;1,G408&lt;&gt;""),INDEX(FS_teams,MATCH(1,(FS_Keys=AG408)*(FS_Points=I408)*(FS_teams&lt;&gt;G408),0)),"")</f>
        <v>JR F - USA 1</v>
      </c>
      <c r="AK408" s="390" t="e">
        <f t="array" ref="AK408">IF(AJ408&lt;&gt;"",INDEX(TM_Score1,MATCH(1,(TM_Events=D408)*(TM_Participant1=G408)*(TM_Participant2=AJ408),0)),"")</f>
        <v>#N/A</v>
      </c>
      <c r="AL408" s="390" t="e">
        <f t="array" ref="AL408">IF(AJ408&lt;&gt;"",INDEX(TM_Score1,MATCH(1,(TM_Events=D408)*(TM_Participant1=AJ408)*(TM_Participant2=G408),0)),"")</f>
        <v>#N/A</v>
      </c>
      <c r="AM408" s="389" t="str">
        <f t="array" ref="AM408">IF(ISNUMBER(AK408),INDEX(TM_Score2,MATCH(1,(TM_Events=D408)*(TM_Participant1=G408)*(TM_Participant2=AJ408),0)),"")</f>
        <v/>
      </c>
      <c r="AN408" s="389" t="str">
        <f t="array" ref="AN408">IF(ISNUMBER(AL408),INDEX(TM_Score2,MATCH(1,(TM_Events=D408)*(TM_Participant1=AJ408)*(TM_Participant2=G408),0)),"")</f>
        <v/>
      </c>
      <c r="AO408" s="389" t="str">
        <f t="shared" si="194"/>
        <v>did not play</v>
      </c>
      <c r="AP408" s="389">
        <f t="shared" si="195"/>
        <v>0</v>
      </c>
      <c r="AQ408" s="389">
        <f t="shared" si="196"/>
        <v>0</v>
      </c>
      <c r="AR408" s="389">
        <f t="shared" si="197"/>
        <v>4</v>
      </c>
      <c r="AS408" s="453">
        <f t="shared" si="198"/>
        <v>-7</v>
      </c>
      <c r="AT408" s="452">
        <f t="shared" si="199"/>
        <v>1</v>
      </c>
    </row>
    <row r="409" spans="1:46" ht="16" x14ac:dyDescent="0.2">
      <c r="A409" s="298"/>
      <c r="B409"/>
      <c r="D409" s="303" t="s">
        <v>70</v>
      </c>
      <c r="E409" s="396"/>
      <c r="F409" s="387">
        <v>1</v>
      </c>
      <c r="G409" s="397" t="s">
        <v>661</v>
      </c>
      <c r="H409" s="387" t="str">
        <f t="shared" si="174"/>
        <v>2-2-0</v>
      </c>
      <c r="I409" s="389">
        <f t="shared" si="175"/>
        <v>4</v>
      </c>
      <c r="J409" s="455">
        <f t="shared" si="200"/>
        <v>2</v>
      </c>
      <c r="K409" s="455" t="str">
        <f t="shared" si="176"/>
        <v/>
      </c>
      <c r="L409" s="455" t="str">
        <f t="shared" si="201"/>
        <v/>
      </c>
      <c r="M409" s="389" t="str">
        <f>IFERROR(IF(AD409&lt;=VLOOKUP(D409,Tournaments!$A$1:$B$1772,2,FALSE),"TRUE","FALSE"),"")</f>
        <v>FALSE</v>
      </c>
      <c r="N409" s="389">
        <v>1</v>
      </c>
      <c r="O409" s="389">
        <f t="shared" si="177"/>
        <v>5</v>
      </c>
      <c r="Q409" s="389">
        <f t="shared" si="178"/>
        <v>2</v>
      </c>
      <c r="R409" s="389">
        <f t="shared" si="179"/>
        <v>2</v>
      </c>
      <c r="S409" s="389">
        <f t="shared" si="180"/>
        <v>0</v>
      </c>
      <c r="U409" s="389">
        <f t="shared" si="181"/>
        <v>6</v>
      </c>
      <c r="V409" s="389">
        <f t="shared" si="182"/>
        <v>2.1999999999999999E-2</v>
      </c>
      <c r="W409" s="389">
        <f t="shared" si="183"/>
        <v>-5.9779999999999998</v>
      </c>
      <c r="X409" s="389">
        <f t="shared" si="184"/>
        <v>5</v>
      </c>
      <c r="Y409" s="389" t="b">
        <f t="shared" si="202"/>
        <v>0</v>
      </c>
      <c r="Z409" s="389">
        <f t="shared" si="185"/>
        <v>-5</v>
      </c>
      <c r="AA409" s="389">
        <f t="shared" si="186"/>
        <v>5</v>
      </c>
      <c r="AB409" s="389" t="b">
        <f t="shared" si="187"/>
        <v>0</v>
      </c>
      <c r="AC409" s="389">
        <f t="shared" si="188"/>
        <v>-5</v>
      </c>
      <c r="AD409" s="389">
        <f t="shared" si="189"/>
        <v>5</v>
      </c>
      <c r="AE409" s="389">
        <f t="shared" si="190"/>
        <v>1</v>
      </c>
      <c r="AG409" s="311" t="str">
        <f t="shared" si="191"/>
        <v>Junior Female Volleyball-</v>
      </c>
      <c r="AH409" s="453">
        <f t="shared" si="192"/>
        <v>5</v>
      </c>
      <c r="AI409" s="453">
        <f t="shared" si="193"/>
        <v>2</v>
      </c>
      <c r="AJ409" t="str">
        <f t="array" ref="AJ409">IF(AND(AI409&gt;1,G409&lt;&gt;""),INDEX(FS_teams,MATCH(1,(FS_Keys=AG409)*(FS_Points=I409)*(FS_teams&lt;&gt;G409),0)),"")</f>
        <v>JR F - VEN 2</v>
      </c>
      <c r="AK409" s="390" t="e">
        <f t="array" ref="AK409">IF(AJ409&lt;&gt;"",INDEX(TM_Score1,MATCH(1,(TM_Events=D409)*(TM_Participant1=G409)*(TM_Participant2=AJ409),0)),"")</f>
        <v>#N/A</v>
      </c>
      <c r="AL409" s="390">
        <f t="array" ref="AL409">IF(AJ409&lt;&gt;"",INDEX(TM_Score1,MATCH(1,(TM_Events=D409)*(TM_Participant1=AJ409)*(TM_Participant2=G409),0)),"")</f>
        <v>1</v>
      </c>
      <c r="AM409" s="389" t="str">
        <f t="array" ref="AM409">IF(ISNUMBER(AK409),INDEX(TM_Score2,MATCH(1,(TM_Events=D409)*(TM_Participant1=G409)*(TM_Participant2=AJ409),0)),"")</f>
        <v/>
      </c>
      <c r="AN409" s="389">
        <f t="array" ref="AN409">IF(ISNUMBER(AL409),INDEX(TM_Score2,MATCH(1,(TM_Events=D409)*(TM_Participant1=AJ409)*(TM_Participant2=G409),0)),"")</f>
        <v>2</v>
      </c>
      <c r="AO409" s="389" t="str">
        <f t="shared" si="194"/>
        <v>Win</v>
      </c>
      <c r="AP409" s="389">
        <f t="shared" si="195"/>
        <v>2</v>
      </c>
      <c r="AQ409" s="389">
        <f t="shared" si="196"/>
        <v>0</v>
      </c>
      <c r="AR409" s="389">
        <f t="shared" si="197"/>
        <v>2</v>
      </c>
      <c r="AS409" s="453">
        <f t="shared" si="198"/>
        <v>-1</v>
      </c>
      <c r="AT409" s="452">
        <f t="shared" si="199"/>
        <v>5</v>
      </c>
    </row>
    <row r="410" spans="1:46" ht="16" x14ac:dyDescent="0.2">
      <c r="A410" s="298"/>
      <c r="B410"/>
      <c r="D410" s="303" t="s">
        <v>70</v>
      </c>
      <c r="E410" s="396"/>
      <c r="F410" s="387">
        <v>1</v>
      </c>
      <c r="G410" s="397" t="s">
        <v>660</v>
      </c>
      <c r="H410" s="387" t="str">
        <f t="shared" si="174"/>
        <v>1-3-0</v>
      </c>
      <c r="I410" s="389">
        <f t="shared" si="175"/>
        <v>2</v>
      </c>
      <c r="J410" s="455">
        <f t="shared" si="200"/>
        <v>1</v>
      </c>
      <c r="K410" s="455">
        <f t="shared" si="176"/>
        <v>-3</v>
      </c>
      <c r="L410" s="455" t="str">
        <f t="shared" si="201"/>
        <v/>
      </c>
      <c r="M410" s="389" t="str">
        <f>IFERROR(IF(AD410&lt;=VLOOKUP(D410,Tournaments!$A$1:$B$1772,2,FALSE),"TRUE","FALSE"),"")</f>
        <v>FALSE</v>
      </c>
      <c r="N410" s="389">
        <v>1</v>
      </c>
      <c r="O410" s="389">
        <f t="shared" si="177"/>
        <v>7</v>
      </c>
      <c r="Q410" s="389">
        <f t="shared" si="178"/>
        <v>1</v>
      </c>
      <c r="R410" s="389">
        <f t="shared" si="179"/>
        <v>3</v>
      </c>
      <c r="S410" s="389">
        <f t="shared" si="180"/>
        <v>0</v>
      </c>
      <c r="U410" s="389">
        <f t="shared" si="181"/>
        <v>8</v>
      </c>
      <c r="V410" s="389">
        <f t="shared" si="182"/>
        <v>2.5000000000000001E-3</v>
      </c>
      <c r="W410" s="389">
        <f t="shared" si="183"/>
        <v>-7.9974999999999996</v>
      </c>
      <c r="X410" s="389">
        <f t="shared" si="184"/>
        <v>8</v>
      </c>
      <c r="Y410" s="389">
        <f t="shared" si="202"/>
        <v>8.0000000000000002E-3</v>
      </c>
      <c r="Z410" s="389">
        <f t="shared" si="185"/>
        <v>-7.992</v>
      </c>
      <c r="AA410" s="389">
        <f t="shared" si="186"/>
        <v>7</v>
      </c>
      <c r="AB410" s="389" t="b">
        <f t="shared" si="187"/>
        <v>0</v>
      </c>
      <c r="AC410" s="389">
        <f t="shared" si="188"/>
        <v>-7</v>
      </c>
      <c r="AD410" s="389">
        <f t="shared" si="189"/>
        <v>7</v>
      </c>
      <c r="AE410" s="389">
        <f t="shared" si="190"/>
        <v>2</v>
      </c>
      <c r="AG410" s="311" t="str">
        <f t="shared" si="191"/>
        <v>Junior Female Volleyball-</v>
      </c>
      <c r="AH410" s="453">
        <f t="shared" si="192"/>
        <v>7</v>
      </c>
      <c r="AI410" s="453">
        <f t="shared" si="193"/>
        <v>2</v>
      </c>
      <c r="AJ410" t="str">
        <f t="array" ref="AJ410">IF(AND(AI410&gt;1,G410&lt;&gt;""),INDEX(FS_teams,MATCH(1,(FS_Keys=AG410)*(FS_Points=I410)*(FS_teams&lt;&gt;G410),0)),"")</f>
        <v>JR F - USA 3</v>
      </c>
      <c r="AK410" s="390" t="e">
        <f t="array" ref="AK410">IF(AJ410&lt;&gt;"",INDEX(TM_Score1,MATCH(1,(TM_Events=D410)*(TM_Participant1=G410)*(TM_Participant2=AJ410),0)),"")</f>
        <v>#N/A</v>
      </c>
      <c r="AL410" s="390" t="e">
        <f t="array" ref="AL410">IF(AJ410&lt;&gt;"",INDEX(TM_Score1,MATCH(1,(TM_Events=D410)*(TM_Participant1=AJ410)*(TM_Participant2=G410),0)),"")</f>
        <v>#N/A</v>
      </c>
      <c r="AM410" s="389" t="str">
        <f t="array" ref="AM410">IF(ISNUMBER(AK410),INDEX(TM_Score2,MATCH(1,(TM_Events=D410)*(TM_Participant1=G410)*(TM_Participant2=AJ410),0)),"")</f>
        <v/>
      </c>
      <c r="AN410" s="389" t="str">
        <f t="array" ref="AN410">IF(ISNUMBER(AL410),INDEX(TM_Score2,MATCH(1,(TM_Events=D410)*(TM_Participant1=AJ410)*(TM_Participant2=G410),0)),"")</f>
        <v/>
      </c>
      <c r="AO410" s="389" t="str">
        <f t="shared" si="194"/>
        <v>did not play</v>
      </c>
      <c r="AP410" s="389">
        <f t="shared" si="195"/>
        <v>1</v>
      </c>
      <c r="AQ410" s="389">
        <f t="shared" si="196"/>
        <v>0</v>
      </c>
      <c r="AR410" s="389">
        <f t="shared" si="197"/>
        <v>3</v>
      </c>
      <c r="AS410" s="453">
        <f t="shared" si="198"/>
        <v>-3</v>
      </c>
      <c r="AT410" s="452">
        <f t="shared" si="199"/>
        <v>3</v>
      </c>
    </row>
    <row r="411" spans="1:46" ht="16" x14ac:dyDescent="0.2">
      <c r="A411" s="298"/>
      <c r="B411"/>
      <c r="D411" s="303" t="s">
        <v>70</v>
      </c>
      <c r="E411" s="396"/>
      <c r="F411" s="387">
        <v>1</v>
      </c>
      <c r="G411" s="397" t="s">
        <v>666</v>
      </c>
      <c r="H411" s="387" t="str">
        <f t="shared" si="174"/>
        <v>3-2-0</v>
      </c>
      <c r="I411" s="389">
        <f t="shared" si="175"/>
        <v>6</v>
      </c>
      <c r="J411" s="455">
        <f t="shared" si="200"/>
        <v>1</v>
      </c>
      <c r="K411" s="455">
        <f t="shared" si="176"/>
        <v>2</v>
      </c>
      <c r="L411" s="455" t="str">
        <f t="shared" si="201"/>
        <v/>
      </c>
      <c r="M411" s="389" t="str">
        <f>IFERROR(IF(AD411&lt;=VLOOKUP(D411,Tournaments!$A$1:$B$1772,2,FALSE),"TRUE","FALSE"),"")</f>
        <v>TRUE</v>
      </c>
      <c r="N411" s="389">
        <v>1</v>
      </c>
      <c r="O411" s="389">
        <f t="shared" si="177"/>
        <v>3</v>
      </c>
      <c r="Q411" s="389">
        <f t="shared" si="178"/>
        <v>3</v>
      </c>
      <c r="R411" s="389">
        <f t="shared" si="179"/>
        <v>2</v>
      </c>
      <c r="S411" s="389">
        <f t="shared" si="180"/>
        <v>0</v>
      </c>
      <c r="U411" s="389">
        <f t="shared" si="181"/>
        <v>4</v>
      </c>
      <c r="V411" s="389">
        <f t="shared" si="182"/>
        <v>2.5000000000000001E-3</v>
      </c>
      <c r="W411" s="389">
        <f t="shared" si="183"/>
        <v>-3.9975000000000001</v>
      </c>
      <c r="X411" s="389">
        <f t="shared" si="184"/>
        <v>4</v>
      </c>
      <c r="Y411" s="389">
        <f t="shared" si="202"/>
        <v>7.1499999999999994E-2</v>
      </c>
      <c r="Z411" s="389">
        <f t="shared" si="185"/>
        <v>-3.9285000000000001</v>
      </c>
      <c r="AA411" s="389">
        <f t="shared" si="186"/>
        <v>3</v>
      </c>
      <c r="AB411" s="389" t="b">
        <f t="shared" si="187"/>
        <v>0</v>
      </c>
      <c r="AC411" s="389">
        <f t="shared" si="188"/>
        <v>-3</v>
      </c>
      <c r="AD411" s="389">
        <f t="shared" si="189"/>
        <v>3</v>
      </c>
      <c r="AE411" s="389">
        <f t="shared" si="190"/>
        <v>2</v>
      </c>
      <c r="AG411" s="311" t="str">
        <f t="shared" si="191"/>
        <v>Junior Female Volleyball-</v>
      </c>
      <c r="AH411" s="453">
        <f t="shared" si="192"/>
        <v>3</v>
      </c>
      <c r="AI411" s="453">
        <f t="shared" si="193"/>
        <v>2</v>
      </c>
      <c r="AJ411" t="str">
        <f t="array" ref="AJ411">IF(AND(AI411&gt;1,G411&lt;&gt;""),INDEX(FS_teams,MATCH(1,(FS_Keys=AG411)*(FS_Points=I411)*(FS_teams&lt;&gt;G411),0)),"")</f>
        <v>JR F - PER</v>
      </c>
      <c r="AK411" s="390" t="e">
        <f t="array" ref="AK411">IF(AJ411&lt;&gt;"",INDEX(TM_Score1,MATCH(1,(TM_Events=D411)*(TM_Participant1=G411)*(TM_Participant2=AJ411),0)),"")</f>
        <v>#N/A</v>
      </c>
      <c r="AL411" s="390" t="e">
        <f t="array" ref="AL411">IF(AJ411&lt;&gt;"",INDEX(TM_Score1,MATCH(1,(TM_Events=D411)*(TM_Participant1=AJ411)*(TM_Participant2=G411),0)),"")</f>
        <v>#N/A</v>
      </c>
      <c r="AM411" s="389" t="str">
        <f t="array" ref="AM411">IF(ISNUMBER(AK411),INDEX(TM_Score2,MATCH(1,(TM_Events=D411)*(TM_Participant1=G411)*(TM_Participant2=AJ411),0)),"")</f>
        <v/>
      </c>
      <c r="AN411" s="389" t="str">
        <f t="array" ref="AN411">IF(ISNUMBER(AL411),INDEX(TM_Score2,MATCH(1,(TM_Events=D411)*(TM_Participant1=AJ411)*(TM_Participant2=G411),0)),"")</f>
        <v/>
      </c>
      <c r="AO411" s="389" t="str">
        <f t="shared" si="194"/>
        <v>did not play</v>
      </c>
      <c r="AP411" s="389">
        <f t="shared" si="195"/>
        <v>3</v>
      </c>
      <c r="AQ411" s="389">
        <f t="shared" si="196"/>
        <v>0</v>
      </c>
      <c r="AR411" s="389">
        <f t="shared" si="197"/>
        <v>2</v>
      </c>
      <c r="AS411" s="453">
        <f t="shared" si="198"/>
        <v>2</v>
      </c>
      <c r="AT411" s="452">
        <f t="shared" si="199"/>
        <v>7</v>
      </c>
    </row>
    <row r="412" spans="1:46" ht="16" x14ac:dyDescent="0.2">
      <c r="A412" s="298"/>
      <c r="B412"/>
      <c r="D412" s="303" t="s">
        <v>70</v>
      </c>
      <c r="E412" s="396"/>
      <c r="F412" s="387">
        <v>1</v>
      </c>
      <c r="G412" s="397" t="s">
        <v>665</v>
      </c>
      <c r="H412" s="387" t="str">
        <f t="shared" si="174"/>
        <v>0-4-0</v>
      </c>
      <c r="I412" s="389">
        <f t="shared" si="175"/>
        <v>0</v>
      </c>
      <c r="J412" s="455">
        <f t="shared" si="200"/>
        <v>1</v>
      </c>
      <c r="K412" s="455">
        <f t="shared" si="176"/>
        <v>-6</v>
      </c>
      <c r="L412" s="455" t="str">
        <f t="shared" si="201"/>
        <v/>
      </c>
      <c r="M412" s="389" t="str">
        <f>IFERROR(IF(AD412&lt;=VLOOKUP(D412,Tournaments!$A$1:$B$1772,2,FALSE),"TRUE","FALSE"),"")</f>
        <v>FALSE</v>
      </c>
      <c r="N412" s="389">
        <v>1</v>
      </c>
      <c r="O412" s="389">
        <f t="shared" si="177"/>
        <v>9</v>
      </c>
      <c r="Q412" s="389">
        <f t="shared" si="178"/>
        <v>0</v>
      </c>
      <c r="R412" s="389">
        <f t="shared" si="179"/>
        <v>4</v>
      </c>
      <c r="S412" s="389">
        <f t="shared" si="180"/>
        <v>0</v>
      </c>
      <c r="U412" s="389">
        <f t="shared" si="181"/>
        <v>10</v>
      </c>
      <c r="V412" s="389">
        <f t="shared" si="182"/>
        <v>2.5000000000000001E-3</v>
      </c>
      <c r="W412" s="389">
        <f t="shared" si="183"/>
        <v>-9.9975000000000005</v>
      </c>
      <c r="X412" s="389">
        <f t="shared" si="184"/>
        <v>10</v>
      </c>
      <c r="Y412" s="389">
        <f t="shared" si="202"/>
        <v>5.5999999999999999E-3</v>
      </c>
      <c r="Z412" s="389">
        <f t="shared" si="185"/>
        <v>-9.9944000000000006</v>
      </c>
      <c r="AA412" s="389">
        <f t="shared" si="186"/>
        <v>9</v>
      </c>
      <c r="AB412" s="389" t="b">
        <f t="shared" si="187"/>
        <v>0</v>
      </c>
      <c r="AC412" s="389">
        <f t="shared" si="188"/>
        <v>-9</v>
      </c>
      <c r="AD412" s="389">
        <f t="shared" si="189"/>
        <v>9</v>
      </c>
      <c r="AE412" s="389">
        <f t="shared" si="190"/>
        <v>2</v>
      </c>
      <c r="AG412" s="311" t="str">
        <f t="shared" si="191"/>
        <v>Junior Female Volleyball-</v>
      </c>
      <c r="AH412" s="453">
        <f t="shared" si="192"/>
        <v>9</v>
      </c>
      <c r="AI412" s="453">
        <f t="shared" si="193"/>
        <v>2</v>
      </c>
      <c r="AJ412" t="str">
        <f t="array" ref="AJ412">IF(AND(AI412&gt;1,G412&lt;&gt;""),INDEX(FS_teams,MATCH(1,(FS_Keys=AG412)*(FS_Points=I412)*(FS_teams&lt;&gt;G412),0)),"")</f>
        <v>JR F - VEN 1</v>
      </c>
      <c r="AK412" s="390" t="e">
        <f t="array" ref="AK412">IF(AJ412&lt;&gt;"",INDEX(TM_Score1,MATCH(1,(TM_Events=D412)*(TM_Participant1=G412)*(TM_Participant2=AJ412),0)),"")</f>
        <v>#N/A</v>
      </c>
      <c r="AL412" s="390" t="e">
        <f t="array" ref="AL412">IF(AJ412&lt;&gt;"",INDEX(TM_Score1,MATCH(1,(TM_Events=D412)*(TM_Participant1=AJ412)*(TM_Participant2=G412),0)),"")</f>
        <v>#N/A</v>
      </c>
      <c r="AM412" s="389" t="str">
        <f t="array" ref="AM412">IF(ISNUMBER(AK412),INDEX(TM_Score2,MATCH(1,(TM_Events=D412)*(TM_Participant1=G412)*(TM_Participant2=AJ412),0)),"")</f>
        <v/>
      </c>
      <c r="AN412" s="389" t="str">
        <f t="array" ref="AN412">IF(ISNUMBER(AL412),INDEX(TM_Score2,MATCH(1,(TM_Events=D412)*(TM_Participant1=AJ412)*(TM_Participant2=G412),0)),"")</f>
        <v/>
      </c>
      <c r="AO412" s="389" t="str">
        <f t="shared" si="194"/>
        <v>did not play</v>
      </c>
      <c r="AP412" s="389">
        <f t="shared" si="195"/>
        <v>0</v>
      </c>
      <c r="AQ412" s="389">
        <f t="shared" si="196"/>
        <v>0</v>
      </c>
      <c r="AR412" s="389">
        <f t="shared" si="197"/>
        <v>4</v>
      </c>
      <c r="AS412" s="453">
        <f t="shared" si="198"/>
        <v>-6</v>
      </c>
      <c r="AT412" s="452">
        <f t="shared" si="199"/>
        <v>2</v>
      </c>
    </row>
    <row r="413" spans="1:46" ht="16" x14ac:dyDescent="0.2">
      <c r="A413" s="298"/>
      <c r="B413"/>
      <c r="D413" s="303" t="s">
        <v>70</v>
      </c>
      <c r="E413" s="396"/>
      <c r="F413" s="387">
        <v>1</v>
      </c>
      <c r="G413" s="397" t="s">
        <v>664</v>
      </c>
      <c r="H413" s="387" t="str">
        <f t="shared" si="174"/>
        <v>3-2-0</v>
      </c>
      <c r="I413" s="389">
        <f t="shared" si="175"/>
        <v>6</v>
      </c>
      <c r="J413" s="455">
        <f t="shared" si="200"/>
        <v>1</v>
      </c>
      <c r="K413" s="455">
        <f t="shared" si="176"/>
        <v>1</v>
      </c>
      <c r="L413" s="455" t="str">
        <f t="shared" si="201"/>
        <v/>
      </c>
      <c r="M413" s="389" t="str">
        <f>IFERROR(IF(AD413&lt;=VLOOKUP(D413,Tournaments!$A$1:$B$1772,2,FALSE),"TRUE","FALSE"),"")</f>
        <v>TRUE</v>
      </c>
      <c r="N413" s="389">
        <v>1</v>
      </c>
      <c r="O413" s="389">
        <f t="shared" si="177"/>
        <v>4</v>
      </c>
      <c r="Q413" s="389">
        <f t="shared" si="178"/>
        <v>3</v>
      </c>
      <c r="R413" s="389">
        <f t="shared" si="179"/>
        <v>2</v>
      </c>
      <c r="S413" s="389">
        <f t="shared" si="180"/>
        <v>0</v>
      </c>
      <c r="U413" s="389">
        <f t="shared" si="181"/>
        <v>4</v>
      </c>
      <c r="V413" s="389">
        <f t="shared" si="182"/>
        <v>2.5000000000000001E-3</v>
      </c>
      <c r="W413" s="389">
        <f t="shared" si="183"/>
        <v>-3.9975000000000001</v>
      </c>
      <c r="X413" s="389">
        <f t="shared" si="184"/>
        <v>4</v>
      </c>
      <c r="Y413" s="389">
        <f t="shared" si="202"/>
        <v>7.0000000000000007E-2</v>
      </c>
      <c r="Z413" s="389">
        <f t="shared" si="185"/>
        <v>-3.93</v>
      </c>
      <c r="AA413" s="389">
        <f t="shared" si="186"/>
        <v>4</v>
      </c>
      <c r="AB413" s="389" t="b">
        <f t="shared" si="187"/>
        <v>0</v>
      </c>
      <c r="AC413" s="389">
        <f t="shared" si="188"/>
        <v>-4</v>
      </c>
      <c r="AD413" s="389">
        <f t="shared" si="189"/>
        <v>4</v>
      </c>
      <c r="AE413" s="389">
        <f t="shared" si="190"/>
        <v>2</v>
      </c>
      <c r="AG413" s="311" t="str">
        <f t="shared" si="191"/>
        <v>Junior Female Volleyball-</v>
      </c>
      <c r="AH413" s="453">
        <f t="shared" si="192"/>
        <v>3</v>
      </c>
      <c r="AI413" s="453">
        <f t="shared" si="193"/>
        <v>2</v>
      </c>
      <c r="AJ413" t="str">
        <f t="array" ref="AJ413">IF(AND(AI413&gt;1,G413&lt;&gt;""),INDEX(FS_teams,MATCH(1,(FS_Keys=AG413)*(FS_Points=I413)*(FS_teams&lt;&gt;G413),0)),"")</f>
        <v>JR F - COL 1</v>
      </c>
      <c r="AK413" s="390" t="e">
        <f t="array" ref="AK413">IF(AJ413&lt;&gt;"",INDEX(TM_Score1,MATCH(1,(TM_Events=D413)*(TM_Participant1=G413)*(TM_Participant2=AJ413),0)),"")</f>
        <v>#N/A</v>
      </c>
      <c r="AL413" s="390" t="e">
        <f t="array" ref="AL413">IF(AJ413&lt;&gt;"",INDEX(TM_Score1,MATCH(1,(TM_Events=D413)*(TM_Participant1=AJ413)*(TM_Participant2=G413),0)),"")</f>
        <v>#N/A</v>
      </c>
      <c r="AM413" s="389" t="str">
        <f t="array" ref="AM413">IF(ISNUMBER(AK413),INDEX(TM_Score2,MATCH(1,(TM_Events=D413)*(TM_Participant1=G413)*(TM_Participant2=AJ413),0)),"")</f>
        <v/>
      </c>
      <c r="AN413" s="389" t="str">
        <f t="array" ref="AN413">IF(ISNUMBER(AL413),INDEX(TM_Score2,MATCH(1,(TM_Events=D413)*(TM_Participant1=AJ413)*(TM_Participant2=G413),0)),"")</f>
        <v/>
      </c>
      <c r="AO413" s="389" t="str">
        <f t="shared" si="194"/>
        <v>did not play</v>
      </c>
      <c r="AP413" s="389">
        <f t="shared" si="195"/>
        <v>3</v>
      </c>
      <c r="AQ413" s="389">
        <f t="shared" si="196"/>
        <v>0</v>
      </c>
      <c r="AR413" s="389">
        <f t="shared" si="197"/>
        <v>2</v>
      </c>
      <c r="AS413" s="453">
        <f t="shared" si="198"/>
        <v>1</v>
      </c>
      <c r="AT413" s="452">
        <f t="shared" si="199"/>
        <v>6</v>
      </c>
    </row>
    <row r="414" spans="1:46" ht="16" x14ac:dyDescent="0.2">
      <c r="A414" s="298"/>
      <c r="B414"/>
      <c r="D414" s="303" t="s">
        <v>70</v>
      </c>
      <c r="E414" s="396"/>
      <c r="F414" s="398">
        <v>1</v>
      </c>
      <c r="G414" s="397" t="s">
        <v>667</v>
      </c>
      <c r="H414" s="387" t="str">
        <f t="shared" si="174"/>
        <v>5-0-0</v>
      </c>
      <c r="I414" s="389">
        <f t="shared" si="175"/>
        <v>10</v>
      </c>
      <c r="J414" s="455">
        <f t="shared" si="200"/>
        <v>1</v>
      </c>
      <c r="K414" s="455">
        <f t="shared" si="176"/>
        <v>10</v>
      </c>
      <c r="L414" s="455" t="str">
        <f t="shared" si="201"/>
        <v/>
      </c>
      <c r="M414" s="389" t="str">
        <f>IFERROR(IF(AD414&lt;=VLOOKUP(D414,Tournaments!$A$1:$B$1772,2,FALSE),"TRUE","FALSE"),"")</f>
        <v>TRUE</v>
      </c>
      <c r="N414" s="389">
        <v>1</v>
      </c>
      <c r="O414" s="389">
        <f t="shared" si="177"/>
        <v>1</v>
      </c>
      <c r="Q414" s="389">
        <f t="shared" si="178"/>
        <v>5</v>
      </c>
      <c r="R414" s="389">
        <f t="shared" si="179"/>
        <v>0</v>
      </c>
      <c r="S414" s="389">
        <f t="shared" si="180"/>
        <v>0</v>
      </c>
      <c r="U414" s="389">
        <f t="shared" si="181"/>
        <v>2</v>
      </c>
      <c r="V414" s="389">
        <f t="shared" si="182"/>
        <v>2.5000000000000001E-3</v>
      </c>
      <c r="W414" s="389">
        <f t="shared" si="183"/>
        <v>-1.9975000000000001</v>
      </c>
      <c r="X414" s="389">
        <f t="shared" si="184"/>
        <v>2</v>
      </c>
      <c r="Y414" s="389">
        <f t="shared" si="202"/>
        <v>7.4999999999999997E-2</v>
      </c>
      <c r="Z414" s="389">
        <f t="shared" si="185"/>
        <v>-1.925</v>
      </c>
      <c r="AA414" s="389">
        <f t="shared" si="186"/>
        <v>1</v>
      </c>
      <c r="AB414" s="389" t="b">
        <f t="shared" si="187"/>
        <v>0</v>
      </c>
      <c r="AC414" s="389">
        <f t="shared" si="188"/>
        <v>-1</v>
      </c>
      <c r="AD414" s="389">
        <f t="shared" si="189"/>
        <v>1</v>
      </c>
      <c r="AE414" s="389">
        <f t="shared" si="190"/>
        <v>2</v>
      </c>
      <c r="AG414" s="311" t="str">
        <f t="shared" si="191"/>
        <v>Junior Female Volleyball-</v>
      </c>
      <c r="AH414" s="453">
        <f t="shared" si="192"/>
        <v>1</v>
      </c>
      <c r="AI414" s="453">
        <f t="shared" si="193"/>
        <v>2</v>
      </c>
      <c r="AJ414" t="str">
        <f t="array" ref="AJ414">IF(AND(AI414&gt;1,G414&lt;&gt;""),INDEX(FS_teams,MATCH(1,(FS_Keys=AG414)*(FS_Points=I414)*(FS_teams&lt;&gt;G414),0)),"")</f>
        <v>JR F - ARG 1</v>
      </c>
      <c r="AK414" s="390">
        <f t="array" ref="AK414">IF(AJ414&lt;&gt;"",INDEX(TM_Score1,MATCH(1,(TM_Events=D414)*(TM_Participant1=G414)*(TM_Participant2=AJ414),0)),"")</f>
        <v>0</v>
      </c>
      <c r="AL414" s="390" t="e">
        <f t="array" ref="AL414">IF(AJ414&lt;&gt;"",INDEX(TM_Score1,MATCH(1,(TM_Events=D414)*(TM_Participant1=AJ414)*(TM_Participant2=G414),0)),"")</f>
        <v>#N/A</v>
      </c>
      <c r="AM414" s="389">
        <f t="array" ref="AM414">IF(ISNUMBER(AK414),INDEX(TM_Score2,MATCH(1,(TM_Events=D414)*(TM_Participant1=G414)*(TM_Participant2=AJ414),0)),"")</f>
        <v>0</v>
      </c>
      <c r="AN414" s="389" t="str">
        <f t="array" ref="AN414">IF(ISNUMBER(AL414),INDEX(TM_Score2,MATCH(1,(TM_Events=D414)*(TM_Participant1=AJ414)*(TM_Participant2=G414),0)),"")</f>
        <v/>
      </c>
      <c r="AO414" s="389" t="str">
        <f t="shared" si="194"/>
        <v>Tie</v>
      </c>
      <c r="AP414" s="389">
        <f t="shared" si="195"/>
        <v>5</v>
      </c>
      <c r="AQ414" s="389">
        <f t="shared" si="196"/>
        <v>0</v>
      </c>
      <c r="AR414" s="389">
        <f t="shared" si="197"/>
        <v>0</v>
      </c>
      <c r="AS414" s="453">
        <f t="shared" si="198"/>
        <v>10</v>
      </c>
      <c r="AT414" s="452">
        <f t="shared" si="199"/>
        <v>10</v>
      </c>
    </row>
    <row r="415" spans="1:46" ht="16" x14ac:dyDescent="0.2">
      <c r="A415" s="298"/>
      <c r="B415"/>
      <c r="D415" s="298" t="s">
        <v>70</v>
      </c>
      <c r="F415" s="389">
        <v>1</v>
      </c>
      <c r="G415" s="390" t="s">
        <v>669</v>
      </c>
      <c r="H415" s="387" t="str">
        <f t="shared" si="174"/>
        <v>2-2-0</v>
      </c>
      <c r="I415" s="389">
        <f t="shared" si="175"/>
        <v>4</v>
      </c>
      <c r="J415" s="455">
        <f t="shared" si="200"/>
        <v>0</v>
      </c>
      <c r="K415" s="455" t="str">
        <f t="shared" si="176"/>
        <v/>
      </c>
      <c r="L415" s="455" t="str">
        <f t="shared" si="201"/>
        <v/>
      </c>
      <c r="M415" s="389" t="str">
        <f>IFERROR(IF(AD415&lt;=VLOOKUP(D415,Tournaments!$A$1:$B$1772,2,FALSE),"TRUE","FALSE"),"")</f>
        <v>FALSE</v>
      </c>
      <c r="N415" s="389">
        <v>1</v>
      </c>
      <c r="O415" s="389">
        <f t="shared" si="177"/>
        <v>6</v>
      </c>
      <c r="Q415" s="389">
        <f t="shared" si="178"/>
        <v>2</v>
      </c>
      <c r="R415" s="389">
        <f t="shared" si="179"/>
        <v>2</v>
      </c>
      <c r="S415" s="389">
        <f t="shared" si="180"/>
        <v>0</v>
      </c>
      <c r="U415" s="389">
        <f t="shared" si="181"/>
        <v>6</v>
      </c>
      <c r="V415" s="389">
        <f t="shared" si="182"/>
        <v>1E-4</v>
      </c>
      <c r="W415" s="389">
        <f t="shared" si="183"/>
        <v>-5.9999000000000002</v>
      </c>
      <c r="X415" s="389">
        <f t="shared" si="184"/>
        <v>6</v>
      </c>
      <c r="Y415" s="389" t="b">
        <f t="shared" si="202"/>
        <v>0</v>
      </c>
      <c r="Z415" s="389">
        <f t="shared" si="185"/>
        <v>-6</v>
      </c>
      <c r="AA415" s="389">
        <f t="shared" si="186"/>
        <v>6</v>
      </c>
      <c r="AB415" s="389" t="b">
        <f t="shared" si="187"/>
        <v>0</v>
      </c>
      <c r="AC415" s="389">
        <f t="shared" si="188"/>
        <v>-6</v>
      </c>
      <c r="AD415" s="389">
        <f t="shared" si="189"/>
        <v>6</v>
      </c>
      <c r="AE415" s="389">
        <f t="shared" si="190"/>
        <v>1</v>
      </c>
      <c r="AG415" s="311" t="str">
        <f t="shared" si="191"/>
        <v>Junior Female Volleyball-</v>
      </c>
      <c r="AH415" s="453">
        <f t="shared" si="192"/>
        <v>5</v>
      </c>
      <c r="AI415" s="453">
        <f t="shared" si="193"/>
        <v>2</v>
      </c>
      <c r="AJ415" t="str">
        <f t="array" ref="AJ415">IF(AND(AI415&gt;1,G415&lt;&gt;""),INDEX(FS_teams,MATCH(1,(FS_Keys=AG415)*(FS_Points=I415)*(FS_teams&lt;&gt;G415),0)),"")</f>
        <v>JR F - ISR 1</v>
      </c>
      <c r="AK415" s="390">
        <f t="array" ref="AK415">IF(AJ415&lt;&gt;"",INDEX(TM_Score1,MATCH(1,(TM_Events=D415)*(TM_Participant1=G415)*(TM_Participant2=AJ415),0)),"")</f>
        <v>1</v>
      </c>
      <c r="AL415" s="390" t="e">
        <f t="array" ref="AL415">IF(AJ415&lt;&gt;"",INDEX(TM_Score1,MATCH(1,(TM_Events=D415)*(TM_Participant1=AJ415)*(TM_Participant2=G415),0)),"")</f>
        <v>#N/A</v>
      </c>
      <c r="AM415" s="389">
        <f t="array" ref="AM415">IF(ISNUMBER(AK415),INDEX(TM_Score2,MATCH(1,(TM_Events=D415)*(TM_Participant1=G415)*(TM_Participant2=AJ415),0)),"")</f>
        <v>2</v>
      </c>
      <c r="AN415" s="389" t="str">
        <f t="array" ref="AN415">IF(ISNUMBER(AL415),INDEX(TM_Score2,MATCH(1,(TM_Events=D415)*(TM_Participant1=AJ415)*(TM_Participant2=G415),0)),"")</f>
        <v/>
      </c>
      <c r="AO415" s="389" t="str">
        <f t="shared" si="194"/>
        <v>Loss</v>
      </c>
      <c r="AP415" s="389">
        <f t="shared" si="195"/>
        <v>2</v>
      </c>
      <c r="AQ415" s="389">
        <f t="shared" si="196"/>
        <v>0</v>
      </c>
      <c r="AR415" s="389">
        <f t="shared" si="197"/>
        <v>2</v>
      </c>
      <c r="AS415" s="453">
        <f t="shared" si="198"/>
        <v>0</v>
      </c>
      <c r="AT415" s="452">
        <f t="shared" si="199"/>
        <v>6</v>
      </c>
    </row>
    <row r="416" spans="1:46" ht="16" x14ac:dyDescent="0.2">
      <c r="A416" s="298"/>
      <c r="B416"/>
      <c r="D416" s="303" t="s">
        <v>517</v>
      </c>
      <c r="E416" s="396"/>
      <c r="F416" s="387">
        <v>1</v>
      </c>
      <c r="G416" s="397" t="s">
        <v>678</v>
      </c>
      <c r="H416" s="387" t="str">
        <f t="shared" si="174"/>
        <v>6-0-0</v>
      </c>
      <c r="I416" s="389">
        <f t="shared" si="175"/>
        <v>12</v>
      </c>
      <c r="J416" s="455" t="str">
        <f t="shared" si="200"/>
        <v/>
      </c>
      <c r="K416" s="455" t="str">
        <f t="shared" si="176"/>
        <v/>
      </c>
      <c r="L416" s="455" t="str">
        <f t="shared" si="201"/>
        <v/>
      </c>
      <c r="M416" s="389" t="str">
        <f>IFERROR(IF(AD416&lt;=VLOOKUP(D416,Tournaments!$A$1:$B$1772,2,FALSE),"TRUE","FALSE"),"")</f>
        <v>TRUE</v>
      </c>
      <c r="N416" s="389">
        <v>1</v>
      </c>
      <c r="O416" s="389">
        <f t="shared" si="177"/>
        <v>1</v>
      </c>
      <c r="Q416" s="389">
        <f t="shared" si="178"/>
        <v>6</v>
      </c>
      <c r="R416" s="389">
        <f t="shared" si="179"/>
        <v>0</v>
      </c>
      <c r="S416" s="389">
        <f t="shared" si="180"/>
        <v>0</v>
      </c>
      <c r="U416" s="389">
        <f t="shared" si="181"/>
        <v>1</v>
      </c>
      <c r="V416" s="389" t="b">
        <f t="shared" si="182"/>
        <v>0</v>
      </c>
      <c r="W416" s="389">
        <f t="shared" si="183"/>
        <v>-1</v>
      </c>
      <c r="X416" s="389">
        <f t="shared" si="184"/>
        <v>1</v>
      </c>
      <c r="Y416" s="389" t="b">
        <f t="shared" si="202"/>
        <v>0</v>
      </c>
      <c r="Z416" s="389">
        <f t="shared" si="185"/>
        <v>-1</v>
      </c>
      <c r="AA416" s="389">
        <f t="shared" si="186"/>
        <v>1</v>
      </c>
      <c r="AB416" s="389" t="b">
        <f t="shared" si="187"/>
        <v>0</v>
      </c>
      <c r="AC416" s="389">
        <f t="shared" si="188"/>
        <v>-1</v>
      </c>
      <c r="AD416" s="389">
        <f t="shared" si="189"/>
        <v>1</v>
      </c>
      <c r="AE416" s="389">
        <f t="shared" si="190"/>
        <v>1</v>
      </c>
      <c r="AG416" s="311" t="str">
        <f t="shared" si="191"/>
        <v>Veterans Mini Soccer-</v>
      </c>
      <c r="AH416" s="453">
        <f t="shared" si="192"/>
        <v>1</v>
      </c>
      <c r="AI416" s="453">
        <f t="shared" si="193"/>
        <v>1</v>
      </c>
      <c r="AJ416" t="str">
        <f t="array" ref="AJ416">IF(AND(AI416&gt;1,G416&lt;&gt;""),INDEX(FS_teams,MATCH(1,(FS_Keys=AG416)*(FS_Points=I416)*(FS_teams&lt;&gt;G416),0)),"")</f>
        <v/>
      </c>
      <c r="AK416" s="390" t="str">
        <f t="array" ref="AK416">IF(AJ416&lt;&gt;"",INDEX(TM_Score1,MATCH(1,(TM_Events=D416)*(TM_Participant1=G416)*(TM_Participant2=AJ416),0)),"")</f>
        <v/>
      </c>
      <c r="AL416" s="390" t="str">
        <f t="array" ref="AL416">IF(AJ416&lt;&gt;"",INDEX(TM_Score1,MATCH(1,(TM_Events=D416)*(TM_Participant1=AJ416)*(TM_Participant2=G416),0)),"")</f>
        <v/>
      </c>
      <c r="AM416" s="389" t="str">
        <f t="array" ref="AM416">IF(ISNUMBER(AK416),INDEX(TM_Score2,MATCH(1,(TM_Events=D416)*(TM_Participant1=G416)*(TM_Participant2=AJ416),0)),"")</f>
        <v/>
      </c>
      <c r="AN416" s="389" t="str">
        <f t="array" ref="AN416">IF(ISNUMBER(AL416),INDEX(TM_Score2,MATCH(1,(TM_Events=D416)*(TM_Participant1=AJ416)*(TM_Participant2=G416),0)),"")</f>
        <v/>
      </c>
      <c r="AO416" s="389" t="str">
        <f t="shared" si="194"/>
        <v/>
      </c>
      <c r="AP416" s="389">
        <f t="shared" si="195"/>
        <v>6</v>
      </c>
      <c r="AQ416" s="389">
        <f t="shared" si="196"/>
        <v>0</v>
      </c>
      <c r="AR416" s="389">
        <f t="shared" si="197"/>
        <v>0</v>
      </c>
      <c r="AS416" s="453">
        <f t="shared" si="198"/>
        <v>13</v>
      </c>
      <c r="AT416" s="452">
        <f t="shared" si="199"/>
        <v>22</v>
      </c>
    </row>
    <row r="417" spans="1:46" ht="16" x14ac:dyDescent="0.2">
      <c r="A417" s="298"/>
      <c r="B417"/>
      <c r="D417" s="303" t="s">
        <v>517</v>
      </c>
      <c r="E417" s="396"/>
      <c r="F417" s="387">
        <v>1</v>
      </c>
      <c r="G417" s="397" t="s">
        <v>675</v>
      </c>
      <c r="H417" s="387" t="str">
        <f t="shared" si="174"/>
        <v>1-4-0</v>
      </c>
      <c r="I417" s="389">
        <f t="shared" si="175"/>
        <v>2</v>
      </c>
      <c r="J417" s="455">
        <f t="shared" si="200"/>
        <v>1</v>
      </c>
      <c r="K417" s="455">
        <f t="shared" si="176"/>
        <v>-5</v>
      </c>
      <c r="L417" s="455" t="str">
        <f t="shared" si="201"/>
        <v/>
      </c>
      <c r="M417" s="389" t="str">
        <f>IFERROR(IF(AD417&lt;=VLOOKUP(D417,Tournaments!$A$1:$B$1772,2,FALSE),"TRUE","FALSE"),"")</f>
        <v>TRUE</v>
      </c>
      <c r="N417" s="389">
        <v>1</v>
      </c>
      <c r="O417" s="389">
        <f t="shared" si="177"/>
        <v>3</v>
      </c>
      <c r="Q417" s="389">
        <f t="shared" si="178"/>
        <v>1</v>
      </c>
      <c r="R417" s="389">
        <f t="shared" si="179"/>
        <v>4</v>
      </c>
      <c r="S417" s="389">
        <f t="shared" si="180"/>
        <v>0</v>
      </c>
      <c r="U417" s="389">
        <f t="shared" si="181"/>
        <v>5</v>
      </c>
      <c r="V417" s="389">
        <f t="shared" si="182"/>
        <v>2.5000000000000001E-3</v>
      </c>
      <c r="W417" s="389">
        <f t="shared" si="183"/>
        <v>-4.9974999999999996</v>
      </c>
      <c r="X417" s="389">
        <f t="shared" si="184"/>
        <v>5</v>
      </c>
      <c r="Y417" s="389">
        <f t="shared" si="202"/>
        <v>6.4000000000000003E-3</v>
      </c>
      <c r="Z417" s="389">
        <f t="shared" si="185"/>
        <v>-4.9935999999999998</v>
      </c>
      <c r="AA417" s="389">
        <f t="shared" si="186"/>
        <v>3</v>
      </c>
      <c r="AB417" s="389" t="b">
        <f t="shared" si="187"/>
        <v>0</v>
      </c>
      <c r="AC417" s="389">
        <f t="shared" si="188"/>
        <v>-3</v>
      </c>
      <c r="AD417" s="389">
        <f t="shared" si="189"/>
        <v>3</v>
      </c>
      <c r="AE417" s="389">
        <f t="shared" si="190"/>
        <v>3</v>
      </c>
      <c r="AG417" s="311" t="str">
        <f t="shared" si="191"/>
        <v>Veterans Mini Soccer-</v>
      </c>
      <c r="AH417" s="453">
        <f t="shared" si="192"/>
        <v>3</v>
      </c>
      <c r="AI417" s="453">
        <f t="shared" si="193"/>
        <v>3</v>
      </c>
      <c r="AJ417" t="str">
        <f t="array" ref="AJ417">IF(AND(AI417&gt;1,G417&lt;&gt;""),INDEX(FS_teams,MATCH(1,(FS_Keys=AG417)*(FS_Points=I417)*(FS_teams&lt;&gt;G417),0)),"")</f>
        <v>VET - COL 1</v>
      </c>
      <c r="AK417" s="390" t="e">
        <f t="array" ref="AK417">IF(AJ417&lt;&gt;"",INDEX(TM_Score1,MATCH(1,(TM_Events=D417)*(TM_Participant1=G417)*(TM_Participant2=AJ417),0)),"")</f>
        <v>#N/A</v>
      </c>
      <c r="AL417" s="390">
        <f t="array" ref="AL417">IF(AJ417&lt;&gt;"",INDEX(TM_Score1,MATCH(1,(TM_Events=D417)*(TM_Participant1=AJ417)*(TM_Participant2=G417),0)),"")</f>
        <v>3</v>
      </c>
      <c r="AM417" s="389" t="str">
        <f t="array" ref="AM417">IF(ISNUMBER(AK417),INDEX(TM_Score2,MATCH(1,(TM_Events=D417)*(TM_Participant1=G417)*(TM_Participant2=AJ417),0)),"")</f>
        <v/>
      </c>
      <c r="AN417" s="389">
        <f t="array" ref="AN417">IF(ISNUMBER(AL417),INDEX(TM_Score2,MATCH(1,(TM_Events=D417)*(TM_Participant1=AJ417)*(TM_Participant2=G417),0)),"")</f>
        <v>2</v>
      </c>
      <c r="AO417" s="389" t="str">
        <f t="shared" si="194"/>
        <v>Loss</v>
      </c>
      <c r="AP417" s="389">
        <f t="shared" si="195"/>
        <v>1</v>
      </c>
      <c r="AQ417" s="389">
        <f t="shared" si="196"/>
        <v>0</v>
      </c>
      <c r="AR417" s="389">
        <f t="shared" si="197"/>
        <v>4</v>
      </c>
      <c r="AS417" s="453">
        <f t="shared" si="198"/>
        <v>-5</v>
      </c>
      <c r="AT417" s="452">
        <f t="shared" si="199"/>
        <v>5</v>
      </c>
    </row>
    <row r="418" spans="1:46" ht="16" x14ac:dyDescent="0.2">
      <c r="A418" s="298"/>
      <c r="B418"/>
      <c r="D418" s="303" t="s">
        <v>517</v>
      </c>
      <c r="E418" s="396"/>
      <c r="F418" s="387">
        <v>1</v>
      </c>
      <c r="G418" s="397" t="s">
        <v>672</v>
      </c>
      <c r="H418" s="387" t="str">
        <f t="shared" si="174"/>
        <v>4-2-0</v>
      </c>
      <c r="I418" s="389">
        <f t="shared" si="175"/>
        <v>8</v>
      </c>
      <c r="J418" s="455" t="str">
        <f t="shared" si="200"/>
        <v/>
      </c>
      <c r="K418" s="455" t="str">
        <f t="shared" si="176"/>
        <v/>
      </c>
      <c r="L418" s="455" t="str">
        <f t="shared" si="201"/>
        <v/>
      </c>
      <c r="M418" s="389" t="str">
        <f>IFERROR(IF(AD418&lt;=VLOOKUP(D418,Tournaments!$A$1:$B$1772,2,FALSE),"TRUE","FALSE"),"")</f>
        <v>TRUE</v>
      </c>
      <c r="N418" s="389">
        <v>1</v>
      </c>
      <c r="O418" s="389">
        <f t="shared" si="177"/>
        <v>2</v>
      </c>
      <c r="Q418" s="389">
        <f t="shared" si="178"/>
        <v>4</v>
      </c>
      <c r="R418" s="389">
        <f t="shared" si="179"/>
        <v>2</v>
      </c>
      <c r="S418" s="389">
        <f t="shared" si="180"/>
        <v>0</v>
      </c>
      <c r="U418" s="389">
        <f t="shared" si="181"/>
        <v>2</v>
      </c>
      <c r="V418" s="389" t="b">
        <f t="shared" si="182"/>
        <v>0</v>
      </c>
      <c r="W418" s="389">
        <f t="shared" si="183"/>
        <v>-2</v>
      </c>
      <c r="X418" s="389">
        <f t="shared" si="184"/>
        <v>2</v>
      </c>
      <c r="Y418" s="389" t="b">
        <f t="shared" si="202"/>
        <v>0</v>
      </c>
      <c r="Z418" s="389">
        <f t="shared" si="185"/>
        <v>-2</v>
      </c>
      <c r="AA418" s="389">
        <f t="shared" si="186"/>
        <v>2</v>
      </c>
      <c r="AB418" s="389" t="b">
        <f t="shared" si="187"/>
        <v>0</v>
      </c>
      <c r="AC418" s="389">
        <f t="shared" si="188"/>
        <v>-2</v>
      </c>
      <c r="AD418" s="389">
        <f t="shared" si="189"/>
        <v>2</v>
      </c>
      <c r="AE418" s="389">
        <f t="shared" si="190"/>
        <v>1</v>
      </c>
      <c r="AG418" s="311" t="str">
        <f t="shared" si="191"/>
        <v>Veterans Mini Soccer-</v>
      </c>
      <c r="AH418" s="453">
        <f t="shared" si="192"/>
        <v>2</v>
      </c>
      <c r="AI418" s="453">
        <f t="shared" si="193"/>
        <v>1</v>
      </c>
      <c r="AJ418" t="str">
        <f t="array" ref="AJ418">IF(AND(AI418&gt;1,G418&lt;&gt;""),INDEX(FS_teams,MATCH(1,(FS_Keys=AG418)*(FS_Points=I418)*(FS_teams&lt;&gt;G418),0)),"")</f>
        <v/>
      </c>
      <c r="AK418" s="390" t="str">
        <f t="array" ref="AK418">IF(AJ418&lt;&gt;"",INDEX(TM_Score1,MATCH(1,(TM_Events=D418)*(TM_Participant1=G418)*(TM_Participant2=AJ418),0)),"")</f>
        <v/>
      </c>
      <c r="AL418" s="390" t="str">
        <f t="array" ref="AL418">IF(AJ418&lt;&gt;"",INDEX(TM_Score1,MATCH(1,(TM_Events=D418)*(TM_Participant1=AJ418)*(TM_Participant2=G418),0)),"")</f>
        <v/>
      </c>
      <c r="AM418" s="389" t="str">
        <f t="array" ref="AM418">IF(ISNUMBER(AK418),INDEX(TM_Score2,MATCH(1,(TM_Events=D418)*(TM_Participant1=G418)*(TM_Participant2=AJ418),0)),"")</f>
        <v/>
      </c>
      <c r="AN418" s="389" t="str">
        <f t="array" ref="AN418">IF(ISNUMBER(AL418),INDEX(TM_Score2,MATCH(1,(TM_Events=D418)*(TM_Participant1=AJ418)*(TM_Participant2=G418),0)),"")</f>
        <v/>
      </c>
      <c r="AO418" s="389" t="str">
        <f t="shared" si="194"/>
        <v/>
      </c>
      <c r="AP418" s="389">
        <f t="shared" si="195"/>
        <v>4</v>
      </c>
      <c r="AQ418" s="389">
        <f t="shared" si="196"/>
        <v>0</v>
      </c>
      <c r="AR418" s="389">
        <f t="shared" si="197"/>
        <v>2</v>
      </c>
      <c r="AS418" s="453">
        <f t="shared" si="198"/>
        <v>6</v>
      </c>
      <c r="AT418" s="452">
        <f t="shared" si="199"/>
        <v>14</v>
      </c>
    </row>
    <row r="419" spans="1:46" ht="16" x14ac:dyDescent="0.2">
      <c r="A419" s="298"/>
      <c r="B419"/>
      <c r="D419" s="303" t="s">
        <v>517</v>
      </c>
      <c r="E419" s="396"/>
      <c r="F419" s="387">
        <v>1</v>
      </c>
      <c r="G419" s="397" t="s">
        <v>674</v>
      </c>
      <c r="H419" s="387" t="str">
        <f t="shared" si="174"/>
        <v>1-3-0</v>
      </c>
      <c r="I419" s="389">
        <f t="shared" si="175"/>
        <v>2</v>
      </c>
      <c r="J419" s="455">
        <f t="shared" si="200"/>
        <v>1</v>
      </c>
      <c r="K419" s="455">
        <f t="shared" si="176"/>
        <v>-6</v>
      </c>
      <c r="L419" s="455" t="str">
        <f t="shared" si="201"/>
        <v/>
      </c>
      <c r="M419" s="389" t="str">
        <f>IFERROR(IF(AD419&lt;=VLOOKUP(D419,Tournaments!$A$1:$B$1772,2,FALSE),"TRUE","FALSE"),"")</f>
        <v>TRUE</v>
      </c>
      <c r="N419" s="389">
        <v>1</v>
      </c>
      <c r="O419" s="389">
        <f t="shared" si="177"/>
        <v>4</v>
      </c>
      <c r="Q419" s="389">
        <f t="shared" si="178"/>
        <v>1</v>
      </c>
      <c r="R419" s="389">
        <f t="shared" si="179"/>
        <v>3</v>
      </c>
      <c r="S419" s="389">
        <f t="shared" si="180"/>
        <v>0</v>
      </c>
      <c r="U419" s="389">
        <f t="shared" si="181"/>
        <v>5</v>
      </c>
      <c r="V419" s="389">
        <f t="shared" si="182"/>
        <v>2.5000000000000001E-3</v>
      </c>
      <c r="W419" s="389">
        <f t="shared" si="183"/>
        <v>-4.9974999999999996</v>
      </c>
      <c r="X419" s="389">
        <f t="shared" si="184"/>
        <v>5</v>
      </c>
      <c r="Y419" s="389">
        <f t="shared" si="202"/>
        <v>5.5999999999999999E-3</v>
      </c>
      <c r="Z419" s="389">
        <f t="shared" si="185"/>
        <v>-4.9943999999999997</v>
      </c>
      <c r="AA419" s="389">
        <f t="shared" si="186"/>
        <v>4</v>
      </c>
      <c r="AB419" s="389" t="b">
        <f t="shared" si="187"/>
        <v>0</v>
      </c>
      <c r="AC419" s="389">
        <f t="shared" si="188"/>
        <v>-4</v>
      </c>
      <c r="AD419" s="389">
        <f t="shared" si="189"/>
        <v>4</v>
      </c>
      <c r="AE419" s="389">
        <f t="shared" si="190"/>
        <v>3</v>
      </c>
      <c r="AG419" s="311" t="str">
        <f t="shared" si="191"/>
        <v>Veterans Mini Soccer-</v>
      </c>
      <c r="AH419" s="453">
        <f t="shared" si="192"/>
        <v>3</v>
      </c>
      <c r="AI419" s="453">
        <f t="shared" si="193"/>
        <v>3</v>
      </c>
      <c r="AJ419" t="str">
        <f t="array" ref="AJ419">IF(AND(AI419&gt;1,G419&lt;&gt;""),INDEX(FS_teams,MATCH(1,(FS_Keys=AG419)*(FS_Points=I419)*(FS_teams&lt;&gt;G419),0)),"")</f>
        <v>VET - MEX</v>
      </c>
      <c r="AK419" s="390">
        <f t="array" ref="AK419">IF(AJ419&lt;&gt;"",INDEX(TM_Score1,MATCH(1,(TM_Events=D419)*(TM_Participant1=G419)*(TM_Participant2=AJ419),0)),"")</f>
        <v>3</v>
      </c>
      <c r="AL419" s="390" t="e">
        <f t="array" ref="AL419">IF(AJ419&lt;&gt;"",INDEX(TM_Score1,MATCH(1,(TM_Events=D419)*(TM_Participant1=AJ419)*(TM_Participant2=G419),0)),"")</f>
        <v>#N/A</v>
      </c>
      <c r="AM419" s="389">
        <f t="array" ref="AM419">IF(ISNUMBER(AK419),INDEX(TM_Score2,MATCH(1,(TM_Events=D419)*(TM_Participant1=G419)*(TM_Participant2=AJ419),0)),"")</f>
        <v>2</v>
      </c>
      <c r="AN419" s="389" t="str">
        <f t="array" ref="AN419">IF(ISNUMBER(AL419),INDEX(TM_Score2,MATCH(1,(TM_Events=D419)*(TM_Participant1=AJ419)*(TM_Participant2=G419),0)),"")</f>
        <v/>
      </c>
      <c r="AO419" s="389" t="str">
        <f t="shared" si="194"/>
        <v>Win</v>
      </c>
      <c r="AP419" s="389">
        <f t="shared" si="195"/>
        <v>1</v>
      </c>
      <c r="AQ419" s="389">
        <f t="shared" si="196"/>
        <v>0</v>
      </c>
      <c r="AR419" s="389">
        <f t="shared" si="197"/>
        <v>3</v>
      </c>
      <c r="AS419" s="453">
        <f t="shared" si="198"/>
        <v>-6</v>
      </c>
      <c r="AT419" s="452">
        <f t="shared" si="199"/>
        <v>7</v>
      </c>
    </row>
    <row r="420" spans="1:46" ht="16" x14ac:dyDescent="0.2">
      <c r="A420" s="298"/>
      <c r="B420"/>
      <c r="D420" s="303" t="s">
        <v>517</v>
      </c>
      <c r="E420" s="396"/>
      <c r="F420" s="387">
        <v>1</v>
      </c>
      <c r="G420" s="397" t="s">
        <v>721</v>
      </c>
      <c r="H420" s="387" t="str">
        <f t="shared" si="174"/>
        <v>1-4-0</v>
      </c>
      <c r="I420" s="389">
        <f t="shared" si="175"/>
        <v>2</v>
      </c>
      <c r="J420" s="455">
        <f t="shared" si="200"/>
        <v>1</v>
      </c>
      <c r="K420" s="455">
        <f t="shared" si="176"/>
        <v>-8</v>
      </c>
      <c r="L420" s="455" t="str">
        <f t="shared" si="201"/>
        <v/>
      </c>
      <c r="M420" s="389" t="str">
        <f>IFERROR(IF(AD420&lt;=VLOOKUP(D420,Tournaments!$A$1:$B$1772,2,FALSE),"TRUE","FALSE"),"")</f>
        <v>FALSE</v>
      </c>
      <c r="N420" s="389">
        <v>1</v>
      </c>
      <c r="O420" s="389">
        <f t="shared" si="177"/>
        <v>5</v>
      </c>
      <c r="Q420" s="389">
        <f t="shared" si="178"/>
        <v>1</v>
      </c>
      <c r="R420" s="389">
        <f t="shared" si="179"/>
        <v>4</v>
      </c>
      <c r="S420" s="389">
        <f t="shared" si="180"/>
        <v>0</v>
      </c>
      <c r="U420" s="389">
        <f t="shared" si="181"/>
        <v>5</v>
      </c>
      <c r="V420" s="389">
        <f t="shared" si="182"/>
        <v>2.5000000000000001E-3</v>
      </c>
      <c r="W420" s="389">
        <f t="shared" si="183"/>
        <v>-4.9974999999999996</v>
      </c>
      <c r="X420" s="389">
        <f t="shared" si="184"/>
        <v>5</v>
      </c>
      <c r="Y420" s="389">
        <f t="shared" si="202"/>
        <v>4.4999999999999997E-3</v>
      </c>
      <c r="Z420" s="389">
        <f t="shared" si="185"/>
        <v>-4.9954999999999998</v>
      </c>
      <c r="AA420" s="389">
        <f t="shared" si="186"/>
        <v>5</v>
      </c>
      <c r="AB420" s="389" t="b">
        <f t="shared" si="187"/>
        <v>0</v>
      </c>
      <c r="AC420" s="389">
        <f t="shared" si="188"/>
        <v>-5</v>
      </c>
      <c r="AD420" s="389">
        <f t="shared" si="189"/>
        <v>5</v>
      </c>
      <c r="AE420" s="389">
        <f t="shared" si="190"/>
        <v>3</v>
      </c>
      <c r="AG420" s="311" t="str">
        <f t="shared" si="191"/>
        <v>Veterans Mini Soccer-</v>
      </c>
      <c r="AH420" s="453">
        <f t="shared" si="192"/>
        <v>3</v>
      </c>
      <c r="AI420" s="453">
        <f t="shared" si="193"/>
        <v>3</v>
      </c>
      <c r="AJ420" t="str">
        <f t="array" ref="AJ420">IF(AND(AI420&gt;1,G420&lt;&gt;""),INDEX(FS_teams,MATCH(1,(FS_Keys=AG420)*(FS_Points=I420)*(FS_teams&lt;&gt;G420),0)),"")</f>
        <v>VET - MEX</v>
      </c>
      <c r="AK420" s="390" t="e">
        <f t="array" ref="AK420">IF(AJ420&lt;&gt;"",INDEX(TM_Score1,MATCH(1,(TM_Events=D420)*(TM_Participant1=G420)*(TM_Participant2=AJ420),0)),"")</f>
        <v>#N/A</v>
      </c>
      <c r="AL420" s="390">
        <f t="array" ref="AL420">IF(AJ420&lt;&gt;"",INDEX(TM_Score1,MATCH(1,(TM_Events=D420)*(TM_Participant1=AJ420)*(TM_Participant2=G420),0)),"")</f>
        <v>1</v>
      </c>
      <c r="AM420" s="389" t="str">
        <f t="array" ref="AM420">IF(ISNUMBER(AK420),INDEX(TM_Score2,MATCH(1,(TM_Events=D420)*(TM_Participant1=G420)*(TM_Participant2=AJ420),0)),"")</f>
        <v/>
      </c>
      <c r="AN420" s="389">
        <f t="array" ref="AN420">IF(ISNUMBER(AL420),INDEX(TM_Score2,MATCH(1,(TM_Events=D420)*(TM_Participant1=AJ420)*(TM_Participant2=G420),0)),"")</f>
        <v>0</v>
      </c>
      <c r="AO420" s="389" t="str">
        <f t="shared" si="194"/>
        <v>Loss</v>
      </c>
      <c r="AP420" s="389">
        <f t="shared" si="195"/>
        <v>1</v>
      </c>
      <c r="AQ420" s="389">
        <f t="shared" si="196"/>
        <v>0</v>
      </c>
      <c r="AR420" s="389">
        <f t="shared" si="197"/>
        <v>4</v>
      </c>
      <c r="AS420" s="453">
        <f t="shared" si="198"/>
        <v>-8</v>
      </c>
      <c r="AT420" s="452">
        <f t="shared" si="199"/>
        <v>4</v>
      </c>
    </row>
    <row r="421" spans="1:46" ht="16" x14ac:dyDescent="0.2">
      <c r="A421" s="298"/>
      <c r="B421"/>
      <c r="D421" s="303" t="s">
        <v>516</v>
      </c>
      <c r="E421" s="396"/>
      <c r="F421" s="387">
        <v>1</v>
      </c>
      <c r="G421" s="397" t="s">
        <v>678</v>
      </c>
      <c r="H421" s="387" t="str">
        <f t="shared" si="174"/>
        <v>5-1-0</v>
      </c>
      <c r="I421" s="389">
        <f t="shared" si="175"/>
        <v>10</v>
      </c>
      <c r="J421" s="455">
        <f t="shared" si="200"/>
        <v>0</v>
      </c>
      <c r="K421" s="455">
        <f t="shared" si="176"/>
        <v>8</v>
      </c>
      <c r="L421" s="455" t="str">
        <f t="shared" si="201"/>
        <v/>
      </c>
      <c r="M421" s="389" t="str">
        <f>IFERROR(IF(AD421&lt;=VLOOKUP(D421,Tournaments!$A$1:$B$1772,2,FALSE),"TRUE","FALSE"),"")</f>
        <v>TRUE</v>
      </c>
      <c r="N421" s="389">
        <v>1</v>
      </c>
      <c r="O421" s="389">
        <f t="shared" si="177"/>
        <v>1</v>
      </c>
      <c r="Q421" s="389">
        <f t="shared" si="178"/>
        <v>5</v>
      </c>
      <c r="R421" s="389">
        <f t="shared" si="179"/>
        <v>1</v>
      </c>
      <c r="S421" s="389">
        <f t="shared" si="180"/>
        <v>0</v>
      </c>
      <c r="U421" s="389">
        <f t="shared" si="181"/>
        <v>2</v>
      </c>
      <c r="V421" s="389">
        <f t="shared" si="182"/>
        <v>1E-4</v>
      </c>
      <c r="W421" s="389">
        <f t="shared" si="183"/>
        <v>-1.9999</v>
      </c>
      <c r="X421" s="389">
        <f t="shared" si="184"/>
        <v>2</v>
      </c>
      <c r="Y421" s="389">
        <f t="shared" si="202"/>
        <v>7.4399999999999994E-2</v>
      </c>
      <c r="Z421" s="389">
        <f t="shared" si="185"/>
        <v>-1.9256</v>
      </c>
      <c r="AA421" s="389">
        <f t="shared" si="186"/>
        <v>1</v>
      </c>
      <c r="AB421" s="389" t="b">
        <f t="shared" si="187"/>
        <v>0</v>
      </c>
      <c r="AC421" s="389">
        <f t="shared" si="188"/>
        <v>-1</v>
      </c>
      <c r="AD421" s="389">
        <f t="shared" si="189"/>
        <v>1</v>
      </c>
      <c r="AE421" s="389">
        <f t="shared" si="190"/>
        <v>2</v>
      </c>
      <c r="AG421" s="311" t="str">
        <f t="shared" si="191"/>
        <v>Veterans Volleyball-</v>
      </c>
      <c r="AH421" s="453">
        <f t="shared" si="192"/>
        <v>1</v>
      </c>
      <c r="AI421" s="453">
        <f t="shared" si="193"/>
        <v>2</v>
      </c>
      <c r="AJ421" t="str">
        <f t="array" ref="AJ421">IF(AND(AI421&gt;1,G421&lt;&gt;""),INDEX(FS_teams,MATCH(1,(FS_Keys=AG421)*(FS_Points=I421)*(FS_teams&lt;&gt;G421),0)),"")</f>
        <v>VET - ISR 1</v>
      </c>
      <c r="AK421" s="390">
        <f t="array" ref="AK421">IF(AJ421&lt;&gt;"",INDEX(TM_Score1,MATCH(1,(TM_Events=D421)*(TM_Participant1=G421)*(TM_Participant2=AJ421),0)),"")</f>
        <v>1</v>
      </c>
      <c r="AL421" s="390">
        <f t="array" ref="AL421">IF(AJ421&lt;&gt;"",INDEX(TM_Score1,MATCH(1,(TM_Events=D421)*(TM_Participant1=AJ421)*(TM_Participant2=G421),0)),"")</f>
        <v>0</v>
      </c>
      <c r="AM421" s="389">
        <f t="array" ref="AM421">IF(ISNUMBER(AK421),INDEX(TM_Score2,MATCH(1,(TM_Events=D421)*(TM_Participant1=G421)*(TM_Participant2=AJ421),0)),"")</f>
        <v>2</v>
      </c>
      <c r="AN421" s="389">
        <f t="array" ref="AN421">IF(ISNUMBER(AL421),INDEX(TM_Score2,MATCH(1,(TM_Events=D421)*(TM_Participant1=AJ421)*(TM_Participant2=G421),0)),"")</f>
        <v>2</v>
      </c>
      <c r="AO421" s="389" t="str">
        <f t="shared" si="194"/>
        <v>Loss</v>
      </c>
      <c r="AP421" s="389">
        <f t="shared" si="195"/>
        <v>5</v>
      </c>
      <c r="AQ421" s="389">
        <f t="shared" si="196"/>
        <v>0</v>
      </c>
      <c r="AR421" s="389">
        <f t="shared" si="197"/>
        <v>1</v>
      </c>
      <c r="AS421" s="453">
        <f t="shared" si="198"/>
        <v>8</v>
      </c>
      <c r="AT421" s="452">
        <f t="shared" si="199"/>
        <v>11</v>
      </c>
    </row>
    <row r="422" spans="1:46" ht="16" x14ac:dyDescent="0.2">
      <c r="A422" s="298"/>
      <c r="B422"/>
      <c r="D422" s="303" t="s">
        <v>516</v>
      </c>
      <c r="E422" s="396"/>
      <c r="F422" s="387">
        <v>1</v>
      </c>
      <c r="G422" s="397" t="s">
        <v>674</v>
      </c>
      <c r="H422" s="387" t="str">
        <f t="shared" si="174"/>
        <v>3-2-0</v>
      </c>
      <c r="I422" s="389">
        <f t="shared" si="175"/>
        <v>6</v>
      </c>
      <c r="J422" s="455" t="str">
        <f t="shared" si="200"/>
        <v/>
      </c>
      <c r="K422" s="455" t="str">
        <f t="shared" si="176"/>
        <v/>
      </c>
      <c r="L422" s="455" t="str">
        <f t="shared" si="201"/>
        <v/>
      </c>
      <c r="M422" s="389" t="str">
        <f>IFERROR(IF(AD422&lt;=VLOOKUP(D422,Tournaments!$A$1:$B$1772,2,FALSE),"TRUE","FALSE"),"")</f>
        <v>TRUE</v>
      </c>
      <c r="N422" s="389">
        <v>1</v>
      </c>
      <c r="O422" s="389">
        <f t="shared" si="177"/>
        <v>3</v>
      </c>
      <c r="Q422" s="389">
        <f t="shared" si="178"/>
        <v>3</v>
      </c>
      <c r="R422" s="389">
        <f t="shared" si="179"/>
        <v>2</v>
      </c>
      <c r="S422" s="389">
        <f t="shared" si="180"/>
        <v>0</v>
      </c>
      <c r="U422" s="389">
        <f t="shared" si="181"/>
        <v>3</v>
      </c>
      <c r="V422" s="389" t="b">
        <f t="shared" si="182"/>
        <v>0</v>
      </c>
      <c r="W422" s="389">
        <f t="shared" si="183"/>
        <v>-3</v>
      </c>
      <c r="X422" s="389">
        <f t="shared" si="184"/>
        <v>3</v>
      </c>
      <c r="Y422" s="389" t="b">
        <f t="shared" si="202"/>
        <v>0</v>
      </c>
      <c r="Z422" s="389">
        <f t="shared" si="185"/>
        <v>-3</v>
      </c>
      <c r="AA422" s="389">
        <f t="shared" si="186"/>
        <v>3</v>
      </c>
      <c r="AB422" s="389" t="b">
        <f t="shared" si="187"/>
        <v>0</v>
      </c>
      <c r="AC422" s="389">
        <f t="shared" si="188"/>
        <v>-3</v>
      </c>
      <c r="AD422" s="389">
        <f t="shared" si="189"/>
        <v>3</v>
      </c>
      <c r="AE422" s="389">
        <f t="shared" si="190"/>
        <v>1</v>
      </c>
      <c r="AG422" s="311" t="str">
        <f t="shared" si="191"/>
        <v>Veterans Volleyball-</v>
      </c>
      <c r="AH422" s="453">
        <f t="shared" si="192"/>
        <v>3</v>
      </c>
      <c r="AI422" s="453">
        <f t="shared" si="193"/>
        <v>1</v>
      </c>
      <c r="AJ422" t="str">
        <f t="array" ref="AJ422">IF(AND(AI422&gt;1,G422&lt;&gt;""),INDEX(FS_teams,MATCH(1,(FS_Keys=AG422)*(FS_Points=I422)*(FS_teams&lt;&gt;G422),0)),"")</f>
        <v/>
      </c>
      <c r="AK422" s="390" t="str">
        <f t="array" ref="AK422">IF(AJ422&lt;&gt;"",INDEX(TM_Score1,MATCH(1,(TM_Events=D422)*(TM_Participant1=G422)*(TM_Participant2=AJ422),0)),"")</f>
        <v/>
      </c>
      <c r="AL422" s="390" t="str">
        <f t="array" ref="AL422">IF(AJ422&lt;&gt;"",INDEX(TM_Score1,MATCH(1,(TM_Events=D422)*(TM_Participant1=AJ422)*(TM_Participant2=G422),0)),"")</f>
        <v/>
      </c>
      <c r="AM422" s="389" t="str">
        <f t="array" ref="AM422">IF(ISNUMBER(AK422),INDEX(TM_Score2,MATCH(1,(TM_Events=D422)*(TM_Participant1=G422)*(TM_Participant2=AJ422),0)),"")</f>
        <v/>
      </c>
      <c r="AN422" s="389" t="str">
        <f t="array" ref="AN422">IF(ISNUMBER(AL422),INDEX(TM_Score2,MATCH(1,(TM_Events=D422)*(TM_Participant1=AJ422)*(TM_Participant2=G422),0)),"")</f>
        <v/>
      </c>
      <c r="AO422" s="389" t="str">
        <f t="shared" si="194"/>
        <v/>
      </c>
      <c r="AP422" s="389">
        <f t="shared" si="195"/>
        <v>3</v>
      </c>
      <c r="AQ422" s="389">
        <f t="shared" si="196"/>
        <v>0</v>
      </c>
      <c r="AR422" s="389">
        <f t="shared" si="197"/>
        <v>2</v>
      </c>
      <c r="AS422" s="453">
        <f t="shared" si="198"/>
        <v>0</v>
      </c>
      <c r="AT422" s="452">
        <f t="shared" si="199"/>
        <v>6</v>
      </c>
    </row>
    <row r="423" spans="1:46" ht="16" x14ac:dyDescent="0.2">
      <c r="A423" s="298"/>
      <c r="B423"/>
      <c r="D423" s="303" t="s">
        <v>516</v>
      </c>
      <c r="E423" s="396"/>
      <c r="F423" s="398">
        <v>1</v>
      </c>
      <c r="G423" s="397" t="s">
        <v>677</v>
      </c>
      <c r="H423" s="387" t="str">
        <f t="shared" si="174"/>
        <v>1-3-0</v>
      </c>
      <c r="I423" s="389">
        <f t="shared" si="175"/>
        <v>2</v>
      </c>
      <c r="J423" s="455">
        <f t="shared" si="200"/>
        <v>0</v>
      </c>
      <c r="K423" s="455" t="str">
        <f t="shared" si="176"/>
        <v/>
      </c>
      <c r="L423" s="455" t="str">
        <f t="shared" si="201"/>
        <v/>
      </c>
      <c r="M423" s="389" t="str">
        <f>IFERROR(IF(AD423&lt;=VLOOKUP(D423,Tournaments!$A$1:$B$1772,2,FALSE),"TRUE","FALSE"),"")</f>
        <v>FALSE</v>
      </c>
      <c r="N423" s="389">
        <v>1</v>
      </c>
      <c r="O423" s="389">
        <f t="shared" si="177"/>
        <v>5</v>
      </c>
      <c r="Q423" s="389">
        <f t="shared" si="178"/>
        <v>1</v>
      </c>
      <c r="R423" s="389">
        <f t="shared" si="179"/>
        <v>3</v>
      </c>
      <c r="S423" s="389">
        <f t="shared" si="180"/>
        <v>0</v>
      </c>
      <c r="U423" s="389">
        <f t="shared" si="181"/>
        <v>5</v>
      </c>
      <c r="V423" s="389">
        <f t="shared" si="182"/>
        <v>1E-4</v>
      </c>
      <c r="W423" s="389">
        <f t="shared" si="183"/>
        <v>-4.9999000000000002</v>
      </c>
      <c r="X423" s="389">
        <f t="shared" si="184"/>
        <v>5</v>
      </c>
      <c r="Y423" s="389" t="b">
        <f t="shared" si="202"/>
        <v>0</v>
      </c>
      <c r="Z423" s="389">
        <f t="shared" si="185"/>
        <v>-5</v>
      </c>
      <c r="AA423" s="389">
        <f t="shared" si="186"/>
        <v>5</v>
      </c>
      <c r="AB423" s="389" t="b">
        <f t="shared" si="187"/>
        <v>0</v>
      </c>
      <c r="AC423" s="389">
        <f t="shared" si="188"/>
        <v>-5</v>
      </c>
      <c r="AD423" s="389">
        <f t="shared" si="189"/>
        <v>5</v>
      </c>
      <c r="AE423" s="389">
        <f t="shared" si="190"/>
        <v>1</v>
      </c>
      <c r="AG423" s="311" t="str">
        <f t="shared" si="191"/>
        <v>Veterans Volleyball-</v>
      </c>
      <c r="AH423" s="453">
        <f t="shared" si="192"/>
        <v>4</v>
      </c>
      <c r="AI423" s="453">
        <f t="shared" si="193"/>
        <v>2</v>
      </c>
      <c r="AJ423" t="str">
        <f t="array" ref="AJ423">IF(AND(AI423&gt;1,G423&lt;&gt;""),INDEX(FS_teams,MATCH(1,(FS_Keys=AG423)*(FS_Points=I423)*(FS_teams&lt;&gt;G423),0)),"")</f>
        <v>VET - MEX</v>
      </c>
      <c r="AK423" s="390" t="e">
        <f t="array" ref="AK423">IF(AJ423&lt;&gt;"",INDEX(TM_Score1,MATCH(1,(TM_Events=D423)*(TM_Participant1=G423)*(TM_Participant2=AJ423),0)),"")</f>
        <v>#N/A</v>
      </c>
      <c r="AL423" s="390">
        <f t="array" ref="AL423">IF(AJ423&lt;&gt;"",INDEX(TM_Score1,MATCH(1,(TM_Events=D423)*(TM_Participant1=AJ423)*(TM_Participant2=G423),0)),"")</f>
        <v>2</v>
      </c>
      <c r="AM423" s="389" t="str">
        <f t="array" ref="AM423">IF(ISNUMBER(AK423),INDEX(TM_Score2,MATCH(1,(TM_Events=D423)*(TM_Participant1=G423)*(TM_Participant2=AJ423),0)),"")</f>
        <v/>
      </c>
      <c r="AN423" s="389">
        <f t="array" ref="AN423">IF(ISNUMBER(AL423),INDEX(TM_Score2,MATCH(1,(TM_Events=D423)*(TM_Participant1=AJ423)*(TM_Participant2=G423),0)),"")</f>
        <v>0</v>
      </c>
      <c r="AO423" s="389" t="str">
        <f t="shared" si="194"/>
        <v>Loss</v>
      </c>
      <c r="AP423" s="389">
        <f t="shared" si="195"/>
        <v>1</v>
      </c>
      <c r="AQ423" s="389">
        <f t="shared" si="196"/>
        <v>0</v>
      </c>
      <c r="AR423" s="389">
        <f t="shared" si="197"/>
        <v>3</v>
      </c>
      <c r="AS423" s="453">
        <f t="shared" si="198"/>
        <v>-2</v>
      </c>
      <c r="AT423" s="452">
        <f t="shared" si="199"/>
        <v>4</v>
      </c>
    </row>
    <row r="424" spans="1:46" ht="16" x14ac:dyDescent="0.2">
      <c r="A424" s="298"/>
      <c r="B424"/>
      <c r="D424" s="303" t="s">
        <v>516</v>
      </c>
      <c r="E424" s="396"/>
      <c r="F424" s="398">
        <v>1</v>
      </c>
      <c r="G424" s="397" t="s">
        <v>721</v>
      </c>
      <c r="H424" s="387" t="str">
        <f t="shared" si="174"/>
        <v>5-1-0</v>
      </c>
      <c r="I424" s="389">
        <f t="shared" si="175"/>
        <v>10</v>
      </c>
      <c r="J424" s="455">
        <f t="shared" si="200"/>
        <v>0</v>
      </c>
      <c r="K424" s="455">
        <f t="shared" si="176"/>
        <v>7</v>
      </c>
      <c r="L424" s="455" t="str">
        <f t="shared" si="201"/>
        <v/>
      </c>
      <c r="M424" s="389" t="str">
        <f>IFERROR(IF(AD424&lt;=VLOOKUP(D424,Tournaments!$A$1:$B$1772,2,FALSE),"TRUE","FALSE"),"")</f>
        <v>TRUE</v>
      </c>
      <c r="N424" s="389">
        <v>1</v>
      </c>
      <c r="O424" s="389">
        <f t="shared" si="177"/>
        <v>2</v>
      </c>
      <c r="Q424" s="389">
        <f t="shared" si="178"/>
        <v>5</v>
      </c>
      <c r="R424" s="389">
        <f t="shared" si="179"/>
        <v>1</v>
      </c>
      <c r="S424" s="389">
        <f t="shared" si="180"/>
        <v>0</v>
      </c>
      <c r="U424" s="389">
        <f t="shared" si="181"/>
        <v>2</v>
      </c>
      <c r="V424" s="389">
        <f t="shared" si="182"/>
        <v>1E-4</v>
      </c>
      <c r="W424" s="389">
        <f t="shared" si="183"/>
        <v>-1.9999</v>
      </c>
      <c r="X424" s="389">
        <f t="shared" si="184"/>
        <v>2</v>
      </c>
      <c r="Y424" s="389">
        <f t="shared" si="202"/>
        <v>7.3999999999999996E-2</v>
      </c>
      <c r="Z424" s="389">
        <f t="shared" si="185"/>
        <v>-1.9259999999999999</v>
      </c>
      <c r="AA424" s="389">
        <f t="shared" si="186"/>
        <v>2</v>
      </c>
      <c r="AB424" s="389" t="b">
        <f t="shared" si="187"/>
        <v>0</v>
      </c>
      <c r="AC424" s="389">
        <f t="shared" si="188"/>
        <v>-2</v>
      </c>
      <c r="AD424" s="389">
        <f t="shared" si="189"/>
        <v>2</v>
      </c>
      <c r="AE424" s="389">
        <f t="shared" si="190"/>
        <v>2</v>
      </c>
      <c r="AG424" s="311" t="str">
        <f t="shared" si="191"/>
        <v>Veterans Volleyball-</v>
      </c>
      <c r="AH424" s="453">
        <f t="shared" si="192"/>
        <v>1</v>
      </c>
      <c r="AI424" s="453">
        <f t="shared" si="193"/>
        <v>2</v>
      </c>
      <c r="AJ424" t="str">
        <f t="array" ref="AJ424">IF(AND(AI424&gt;1,G424&lt;&gt;""),INDEX(FS_teams,MATCH(1,(FS_Keys=AG424)*(FS_Points=I424)*(FS_teams&lt;&gt;G424),0)),"")</f>
        <v>VET - VEN 1</v>
      </c>
      <c r="AK424" s="390">
        <f t="array" ref="AK424">IF(AJ424&lt;&gt;"",INDEX(TM_Score1,MATCH(1,(TM_Events=D424)*(TM_Participant1=G424)*(TM_Participant2=AJ424),0)),"")</f>
        <v>0</v>
      </c>
      <c r="AL424" s="390">
        <f t="array" ref="AL424">IF(AJ424&lt;&gt;"",INDEX(TM_Score1,MATCH(1,(TM_Events=D424)*(TM_Participant1=AJ424)*(TM_Participant2=G424),0)),"")</f>
        <v>1</v>
      </c>
      <c r="AM424" s="389">
        <f t="array" ref="AM424">IF(ISNUMBER(AK424),INDEX(TM_Score2,MATCH(1,(TM_Events=D424)*(TM_Participant1=G424)*(TM_Participant2=AJ424),0)),"")</f>
        <v>2</v>
      </c>
      <c r="AN424" s="389">
        <f t="array" ref="AN424">IF(ISNUMBER(AL424),INDEX(TM_Score2,MATCH(1,(TM_Events=D424)*(TM_Participant1=AJ424)*(TM_Participant2=G424),0)),"")</f>
        <v>2</v>
      </c>
      <c r="AO424" s="389" t="str">
        <f t="shared" si="194"/>
        <v>Loss</v>
      </c>
      <c r="AP424" s="389">
        <f t="shared" si="195"/>
        <v>5</v>
      </c>
      <c r="AQ424" s="389">
        <f t="shared" si="196"/>
        <v>0</v>
      </c>
      <c r="AR424" s="389">
        <f t="shared" si="197"/>
        <v>1</v>
      </c>
      <c r="AS424" s="453">
        <f t="shared" si="198"/>
        <v>7</v>
      </c>
      <c r="AT424" s="452">
        <f t="shared" si="199"/>
        <v>10</v>
      </c>
    </row>
    <row r="425" spans="1:46" ht="16" x14ac:dyDescent="0.2">
      <c r="A425" s="298"/>
      <c r="B425"/>
      <c r="D425" s="303" t="s">
        <v>516</v>
      </c>
      <c r="E425" s="396"/>
      <c r="F425" s="387">
        <v>1</v>
      </c>
      <c r="G425" s="397" t="s">
        <v>672</v>
      </c>
      <c r="H425" s="387" t="str">
        <f t="shared" si="174"/>
        <v>0-4-0</v>
      </c>
      <c r="I425" s="389">
        <f t="shared" si="175"/>
        <v>0</v>
      </c>
      <c r="J425" s="455" t="str">
        <f t="shared" si="200"/>
        <v/>
      </c>
      <c r="K425" s="455" t="str">
        <f t="shared" si="176"/>
        <v/>
      </c>
      <c r="L425" s="455" t="str">
        <f t="shared" si="201"/>
        <v/>
      </c>
      <c r="M425" s="389" t="str">
        <f>IFERROR(IF(AD425&lt;=VLOOKUP(D425,Tournaments!$A$1:$B$1772,2,FALSE),"TRUE","FALSE"),"")</f>
        <v>FALSE</v>
      </c>
      <c r="N425" s="389">
        <v>1</v>
      </c>
      <c r="O425" s="389">
        <f t="shared" si="177"/>
        <v>6</v>
      </c>
      <c r="Q425" s="389">
        <f t="shared" si="178"/>
        <v>0</v>
      </c>
      <c r="R425" s="389">
        <f t="shared" si="179"/>
        <v>4</v>
      </c>
      <c r="S425" s="389">
        <f t="shared" si="180"/>
        <v>0</v>
      </c>
      <c r="U425" s="389">
        <f t="shared" si="181"/>
        <v>6</v>
      </c>
      <c r="V425" s="389" t="b">
        <f t="shared" si="182"/>
        <v>0</v>
      </c>
      <c r="W425" s="389">
        <f t="shared" si="183"/>
        <v>-6</v>
      </c>
      <c r="X425" s="389">
        <f t="shared" si="184"/>
        <v>6</v>
      </c>
      <c r="Y425" s="389" t="b">
        <f t="shared" si="202"/>
        <v>0</v>
      </c>
      <c r="Z425" s="389">
        <f t="shared" si="185"/>
        <v>-6</v>
      </c>
      <c r="AA425" s="389">
        <f t="shared" si="186"/>
        <v>6</v>
      </c>
      <c r="AB425" s="389" t="b">
        <f t="shared" si="187"/>
        <v>0</v>
      </c>
      <c r="AC425" s="389">
        <f t="shared" si="188"/>
        <v>-6</v>
      </c>
      <c r="AD425" s="389">
        <f t="shared" si="189"/>
        <v>6</v>
      </c>
      <c r="AE425" s="389">
        <f t="shared" si="190"/>
        <v>1</v>
      </c>
      <c r="AG425" s="311" t="str">
        <f t="shared" si="191"/>
        <v>Veterans Volleyball-</v>
      </c>
      <c r="AH425" s="453">
        <f t="shared" si="192"/>
        <v>6</v>
      </c>
      <c r="AI425" s="453">
        <f t="shared" si="193"/>
        <v>1</v>
      </c>
      <c r="AJ425" t="str">
        <f t="array" ref="AJ425">IF(AND(AI425&gt;1,G425&lt;&gt;""),INDEX(FS_teams,MATCH(1,(FS_Keys=AG425)*(FS_Points=I425)*(FS_teams&lt;&gt;G425),0)),"")</f>
        <v/>
      </c>
      <c r="AK425" s="390" t="str">
        <f t="array" ref="AK425">IF(AJ425&lt;&gt;"",INDEX(TM_Score1,MATCH(1,(TM_Events=D425)*(TM_Participant1=G425)*(TM_Participant2=AJ425),0)),"")</f>
        <v/>
      </c>
      <c r="AL425" s="390" t="str">
        <f t="array" ref="AL425">IF(AJ425&lt;&gt;"",INDEX(TM_Score1,MATCH(1,(TM_Events=D425)*(TM_Participant1=AJ425)*(TM_Participant2=G425),0)),"")</f>
        <v/>
      </c>
      <c r="AM425" s="389" t="str">
        <f t="array" ref="AM425">IF(ISNUMBER(AK425),INDEX(TM_Score2,MATCH(1,(TM_Events=D425)*(TM_Participant1=G425)*(TM_Participant2=AJ425),0)),"")</f>
        <v/>
      </c>
      <c r="AN425" s="389" t="str">
        <f t="array" ref="AN425">IF(ISNUMBER(AL425),INDEX(TM_Score2,MATCH(1,(TM_Events=D425)*(TM_Participant1=AJ425)*(TM_Participant2=G425),0)),"")</f>
        <v/>
      </c>
      <c r="AO425" s="389" t="str">
        <f t="shared" si="194"/>
        <v/>
      </c>
      <c r="AP425" s="389">
        <f t="shared" si="195"/>
        <v>0</v>
      </c>
      <c r="AQ425" s="389">
        <f t="shared" si="196"/>
        <v>0</v>
      </c>
      <c r="AR425" s="389">
        <f t="shared" si="197"/>
        <v>4</v>
      </c>
      <c r="AS425" s="453">
        <f t="shared" si="198"/>
        <v>-8</v>
      </c>
      <c r="AT425" s="452">
        <f t="shared" si="199"/>
        <v>0</v>
      </c>
    </row>
    <row r="426" spans="1:46" ht="16" x14ac:dyDescent="0.2">
      <c r="A426" s="298"/>
      <c r="B426"/>
      <c r="D426" s="303" t="s">
        <v>516</v>
      </c>
      <c r="E426" s="396"/>
      <c r="F426" s="387">
        <v>1</v>
      </c>
      <c r="G426" s="397" t="s">
        <v>675</v>
      </c>
      <c r="H426" s="387" t="str">
        <f t="shared" si="174"/>
        <v>1-4-0</v>
      </c>
      <c r="I426" s="389">
        <f t="shared" si="175"/>
        <v>2</v>
      </c>
      <c r="J426" s="455">
        <f t="shared" si="200"/>
        <v>2</v>
      </c>
      <c r="K426" s="455" t="str">
        <f t="shared" si="176"/>
        <v/>
      </c>
      <c r="L426" s="455" t="str">
        <f t="shared" si="201"/>
        <v/>
      </c>
      <c r="M426" s="389" t="str">
        <f>IFERROR(IF(AD426&lt;=VLOOKUP(D426,Tournaments!$A$1:$B$1772,2,FALSE),"TRUE","FALSE"),"")</f>
        <v>TRUE</v>
      </c>
      <c r="N426" s="389">
        <v>1</v>
      </c>
      <c r="O426" s="389">
        <f t="shared" si="177"/>
        <v>4</v>
      </c>
      <c r="Q426" s="389">
        <f t="shared" si="178"/>
        <v>1</v>
      </c>
      <c r="R426" s="389">
        <f t="shared" si="179"/>
        <v>4</v>
      </c>
      <c r="S426" s="389">
        <f t="shared" si="180"/>
        <v>0</v>
      </c>
      <c r="U426" s="389">
        <f t="shared" si="181"/>
        <v>5</v>
      </c>
      <c r="V426" s="389">
        <f t="shared" si="182"/>
        <v>2.1999999999999999E-2</v>
      </c>
      <c r="W426" s="389">
        <f t="shared" si="183"/>
        <v>-4.9779999999999998</v>
      </c>
      <c r="X426" s="389">
        <f t="shared" si="184"/>
        <v>4</v>
      </c>
      <c r="Y426" s="389" t="b">
        <f t="shared" si="202"/>
        <v>0</v>
      </c>
      <c r="Z426" s="389">
        <f t="shared" si="185"/>
        <v>-4</v>
      </c>
      <c r="AA426" s="389">
        <f t="shared" si="186"/>
        <v>4</v>
      </c>
      <c r="AB426" s="389" t="b">
        <f t="shared" si="187"/>
        <v>0</v>
      </c>
      <c r="AC426" s="389">
        <f t="shared" si="188"/>
        <v>-4</v>
      </c>
      <c r="AD426" s="389">
        <f t="shared" si="189"/>
        <v>4</v>
      </c>
      <c r="AE426" s="389">
        <f t="shared" si="190"/>
        <v>1</v>
      </c>
      <c r="AG426" s="311" t="str">
        <f t="shared" si="191"/>
        <v>Veterans Volleyball-</v>
      </c>
      <c r="AH426" s="453">
        <f t="shared" si="192"/>
        <v>4</v>
      </c>
      <c r="AI426" s="453">
        <f t="shared" si="193"/>
        <v>2</v>
      </c>
      <c r="AJ426" t="str">
        <f t="array" ref="AJ426">IF(AND(AI426&gt;1,G426&lt;&gt;""),INDEX(FS_teams,MATCH(1,(FS_Keys=AG426)*(FS_Points=I426)*(FS_teams&lt;&gt;G426),0)),"")</f>
        <v>VET - USA 1</v>
      </c>
      <c r="AK426" s="390">
        <f t="array" ref="AK426">IF(AJ426&lt;&gt;"",INDEX(TM_Score1,MATCH(1,(TM_Events=D426)*(TM_Participant1=G426)*(TM_Participant2=AJ426),0)),"")</f>
        <v>2</v>
      </c>
      <c r="AL426" s="390" t="e">
        <f t="array" ref="AL426">IF(AJ426&lt;&gt;"",INDEX(TM_Score1,MATCH(1,(TM_Events=D426)*(TM_Participant1=AJ426)*(TM_Participant2=G426),0)),"")</f>
        <v>#N/A</v>
      </c>
      <c r="AM426" s="389">
        <f t="array" ref="AM426">IF(ISNUMBER(AK426),INDEX(TM_Score2,MATCH(1,(TM_Events=D426)*(TM_Participant1=G426)*(TM_Participant2=AJ426),0)),"")</f>
        <v>0</v>
      </c>
      <c r="AN426" s="389" t="str">
        <f t="array" ref="AN426">IF(ISNUMBER(AL426),INDEX(TM_Score2,MATCH(1,(TM_Events=D426)*(TM_Participant1=AJ426)*(TM_Participant2=G426),0)),"")</f>
        <v/>
      </c>
      <c r="AO426" s="389" t="str">
        <f t="shared" si="194"/>
        <v>Win</v>
      </c>
      <c r="AP426" s="389">
        <f t="shared" si="195"/>
        <v>1</v>
      </c>
      <c r="AQ426" s="389">
        <f t="shared" si="196"/>
        <v>0</v>
      </c>
      <c r="AR426" s="389">
        <f t="shared" si="197"/>
        <v>4</v>
      </c>
      <c r="AS426" s="453">
        <f t="shared" si="198"/>
        <v>-5</v>
      </c>
      <c r="AT426" s="452">
        <f t="shared" si="199"/>
        <v>3</v>
      </c>
    </row>
    <row r="427" spans="1:46" ht="16" x14ac:dyDescent="0.2">
      <c r="A427" s="298"/>
      <c r="B427" s="355"/>
      <c r="D427" s="303"/>
      <c r="E427" s="396"/>
      <c r="F427" s="387"/>
      <c r="G427" s="397"/>
      <c r="H427" s="387" t="str">
        <f t="shared" si="174"/>
        <v>0-0-0</v>
      </c>
      <c r="I427" s="389">
        <f t="shared" si="175"/>
        <v>0</v>
      </c>
      <c r="J427" s="455" t="str">
        <f t="shared" si="200"/>
        <v/>
      </c>
      <c r="K427" s="455">
        <f t="shared" si="176"/>
        <v>0</v>
      </c>
      <c r="L427" s="455">
        <f t="shared" si="201"/>
        <v>0</v>
      </c>
      <c r="M427" s="389" t="str">
        <f>IFERROR(IF(AD427&lt;=VLOOKUP(D427,Tournaments!$A$1:$B$1772,2,FALSE),"TRUE","FALSE"),"")</f>
        <v/>
      </c>
      <c r="N427" s="389">
        <v>1</v>
      </c>
      <c r="O427" s="389">
        <f t="shared" si="177"/>
        <v>0</v>
      </c>
      <c r="Q427" s="389">
        <f t="shared" si="178"/>
        <v>0</v>
      </c>
      <c r="R427" s="389">
        <f t="shared" si="179"/>
        <v>0</v>
      </c>
      <c r="S427" s="389">
        <f t="shared" si="180"/>
        <v>0</v>
      </c>
      <c r="U427" s="389">
        <f t="shared" si="181"/>
        <v>0</v>
      </c>
      <c r="V427" s="389" t="b">
        <f t="shared" si="182"/>
        <v>0</v>
      </c>
      <c r="W427" s="389">
        <f t="shared" si="183"/>
        <v>0</v>
      </c>
      <c r="X427" s="389">
        <f t="shared" si="184"/>
        <v>0</v>
      </c>
      <c r="Y427" s="389">
        <f t="shared" si="202"/>
        <v>1.0999999999999999E-2</v>
      </c>
      <c r="Z427" s="389">
        <f t="shared" si="185"/>
        <v>1.0999999999999999E-2</v>
      </c>
      <c r="AA427" s="389">
        <f t="shared" si="186"/>
        <v>0</v>
      </c>
      <c r="AB427" s="389">
        <f t="shared" si="187"/>
        <v>1E-4</v>
      </c>
      <c r="AC427" s="389">
        <f t="shared" si="188"/>
        <v>1E-4</v>
      </c>
      <c r="AD427" s="389">
        <f t="shared" si="189"/>
        <v>0</v>
      </c>
      <c r="AE427" s="389">
        <f t="shared" si="190"/>
        <v>0</v>
      </c>
      <c r="AG427" s="311" t="str">
        <f t="shared" si="191"/>
        <v>-</v>
      </c>
      <c r="AH427" s="453" t="str">
        <f t="shared" si="192"/>
        <v/>
      </c>
      <c r="AI427" s="453" t="str">
        <f t="shared" si="193"/>
        <v/>
      </c>
      <c r="AJ427" t="str">
        <f t="array" ref="AJ427">IF(AND(AI427&gt;1,G427&lt;&gt;""),INDEX(FS_teams,MATCH(1,(FS_Keys=AG427)*(FS_Points=I427)*(FS_teams&lt;&gt;G427),0)),"")</f>
        <v/>
      </c>
      <c r="AK427" s="390" t="str">
        <f t="array" ref="AK427">IF(AJ427&lt;&gt;"",INDEX(TM_Score1,MATCH(1,(TM_Events=D427)*(TM_Participant1=G427)*(TM_Participant2=AJ427),0)),"")</f>
        <v/>
      </c>
      <c r="AL427" s="390" t="str">
        <f t="array" ref="AL427">IF(AJ427&lt;&gt;"",INDEX(TM_Score1,MATCH(1,(TM_Events=D427)*(TM_Participant1=AJ427)*(TM_Participant2=G427),0)),"")</f>
        <v/>
      </c>
      <c r="AM427" s="389" t="str">
        <f t="array" ref="AM427">IF(ISNUMBER(AK427),INDEX(TM_Score2,MATCH(1,(TM_Events=D427)*(TM_Participant1=G427)*(TM_Participant2=AJ427),0)),"")</f>
        <v/>
      </c>
      <c r="AN427" s="389" t="str">
        <f t="array" ref="AN427">IF(ISNUMBER(AL427),INDEX(TM_Score2,MATCH(1,(TM_Events=D427)*(TM_Participant1=AJ427)*(TM_Participant2=G427),0)),"")</f>
        <v/>
      </c>
      <c r="AO427" s="389" t="str">
        <f t="shared" si="194"/>
        <v/>
      </c>
      <c r="AP427" s="389">
        <f t="shared" si="195"/>
        <v>0</v>
      </c>
      <c r="AQ427" s="389">
        <f t="shared" si="196"/>
        <v>0</v>
      </c>
      <c r="AR427" s="389">
        <f t="shared" si="197"/>
        <v>0</v>
      </c>
      <c r="AS427" s="453">
        <f t="shared" si="198"/>
        <v>0</v>
      </c>
      <c r="AT427" s="452">
        <f t="shared" si="199"/>
        <v>0</v>
      </c>
    </row>
    <row r="428" spans="1:46" ht="16" x14ac:dyDescent="0.2">
      <c r="A428" s="298"/>
      <c r="B428" s="355"/>
      <c r="D428" s="303"/>
      <c r="E428" s="396"/>
      <c r="F428" s="387"/>
      <c r="G428" s="397"/>
      <c r="H428" s="387" t="str">
        <f t="shared" si="174"/>
        <v>0-0-0</v>
      </c>
      <c r="I428" s="389">
        <f t="shared" si="175"/>
        <v>0</v>
      </c>
      <c r="J428" s="455" t="str">
        <f t="shared" si="200"/>
        <v/>
      </c>
      <c r="K428" s="455">
        <f t="shared" si="176"/>
        <v>0</v>
      </c>
      <c r="L428" s="455">
        <f t="shared" si="201"/>
        <v>0</v>
      </c>
      <c r="M428" s="389" t="str">
        <f>IFERROR(IF(AD428&lt;=VLOOKUP(D428,Tournaments!$A$1:$B$1772,2,FALSE),"TRUE","FALSE"),"")</f>
        <v/>
      </c>
      <c r="N428" s="389">
        <v>1</v>
      </c>
      <c r="O428" s="389">
        <f t="shared" si="177"/>
        <v>0</v>
      </c>
      <c r="Q428" s="389">
        <f t="shared" si="178"/>
        <v>0</v>
      </c>
      <c r="R428" s="389">
        <f t="shared" si="179"/>
        <v>0</v>
      </c>
      <c r="S428" s="389">
        <f t="shared" si="180"/>
        <v>0</v>
      </c>
      <c r="U428" s="389">
        <f t="shared" si="181"/>
        <v>0</v>
      </c>
      <c r="V428" s="389" t="b">
        <f t="shared" si="182"/>
        <v>0</v>
      </c>
      <c r="W428" s="389">
        <f t="shared" si="183"/>
        <v>0</v>
      </c>
      <c r="X428" s="389">
        <f t="shared" si="184"/>
        <v>0</v>
      </c>
      <c r="Y428" s="389">
        <f t="shared" si="202"/>
        <v>1.0999999999999999E-2</v>
      </c>
      <c r="Z428" s="389">
        <f t="shared" si="185"/>
        <v>1.0999999999999999E-2</v>
      </c>
      <c r="AA428" s="389">
        <f t="shared" si="186"/>
        <v>0</v>
      </c>
      <c r="AB428" s="389">
        <f t="shared" si="187"/>
        <v>1E-4</v>
      </c>
      <c r="AC428" s="389">
        <f t="shared" si="188"/>
        <v>1E-4</v>
      </c>
      <c r="AD428" s="389">
        <f t="shared" si="189"/>
        <v>0</v>
      </c>
      <c r="AE428" s="389">
        <f t="shared" si="190"/>
        <v>0</v>
      </c>
      <c r="AG428" s="311" t="str">
        <f t="shared" si="191"/>
        <v>-</v>
      </c>
      <c r="AH428" s="453" t="str">
        <f t="shared" si="192"/>
        <v/>
      </c>
      <c r="AI428" s="453" t="str">
        <f t="shared" si="193"/>
        <v/>
      </c>
      <c r="AJ428" t="str">
        <f t="array" ref="AJ428">IF(AND(AI428&gt;1,G428&lt;&gt;""),INDEX(FS_teams,MATCH(1,(FS_Keys=AG428)*(FS_Points=I428)*(FS_teams&lt;&gt;G428),0)),"")</f>
        <v/>
      </c>
      <c r="AK428" s="390" t="str">
        <f t="array" ref="AK428">IF(AJ428&lt;&gt;"",INDEX(TM_Score1,MATCH(1,(TM_Events=D428)*(TM_Participant1=G428)*(TM_Participant2=AJ428),0)),"")</f>
        <v/>
      </c>
      <c r="AL428" s="390" t="str">
        <f t="array" ref="AL428">IF(AJ428&lt;&gt;"",INDEX(TM_Score1,MATCH(1,(TM_Events=D428)*(TM_Participant1=AJ428)*(TM_Participant2=G428),0)),"")</f>
        <v/>
      </c>
      <c r="AM428" s="389" t="str">
        <f t="array" ref="AM428">IF(ISNUMBER(AK428),INDEX(TM_Score2,MATCH(1,(TM_Events=D428)*(TM_Participant1=G428)*(TM_Participant2=AJ428),0)),"")</f>
        <v/>
      </c>
      <c r="AN428" s="389" t="str">
        <f t="array" ref="AN428">IF(ISNUMBER(AL428),INDEX(TM_Score2,MATCH(1,(TM_Events=D428)*(TM_Participant1=AJ428)*(TM_Participant2=G428),0)),"")</f>
        <v/>
      </c>
      <c r="AO428" s="389" t="str">
        <f t="shared" si="194"/>
        <v/>
      </c>
      <c r="AP428" s="389">
        <f t="shared" si="195"/>
        <v>0</v>
      </c>
      <c r="AQ428" s="389">
        <f t="shared" si="196"/>
        <v>0</v>
      </c>
      <c r="AR428" s="389">
        <f t="shared" si="197"/>
        <v>0</v>
      </c>
      <c r="AS428" s="453">
        <f t="shared" si="198"/>
        <v>0</v>
      </c>
      <c r="AT428" s="452">
        <f t="shared" si="199"/>
        <v>0</v>
      </c>
    </row>
    <row r="429" spans="1:46" ht="16" x14ac:dyDescent="0.2">
      <c r="A429" s="298"/>
      <c r="B429" s="355"/>
      <c r="D429" s="303"/>
      <c r="E429" s="396"/>
      <c r="F429" s="387"/>
      <c r="G429" s="397"/>
      <c r="H429" s="387" t="str">
        <f t="shared" si="174"/>
        <v>0-0-0</v>
      </c>
      <c r="I429" s="389">
        <f t="shared" si="175"/>
        <v>0</v>
      </c>
      <c r="J429" s="455" t="str">
        <f t="shared" si="200"/>
        <v/>
      </c>
      <c r="K429" s="455">
        <f t="shared" si="176"/>
        <v>0</v>
      </c>
      <c r="L429" s="455">
        <f t="shared" si="201"/>
        <v>0</v>
      </c>
      <c r="M429" s="389" t="str">
        <f>IFERROR(IF(AD429&lt;=VLOOKUP(D429,Tournaments!$A$1:$B$1772,2,FALSE),"TRUE","FALSE"),"")</f>
        <v/>
      </c>
      <c r="N429" s="389">
        <v>1</v>
      </c>
      <c r="O429" s="389">
        <f t="shared" si="177"/>
        <v>0</v>
      </c>
      <c r="Q429" s="389">
        <f t="shared" si="178"/>
        <v>0</v>
      </c>
      <c r="R429" s="389">
        <f t="shared" si="179"/>
        <v>0</v>
      </c>
      <c r="S429" s="389">
        <f t="shared" si="180"/>
        <v>0</v>
      </c>
      <c r="U429" s="389">
        <f t="shared" si="181"/>
        <v>0</v>
      </c>
      <c r="V429" s="389" t="b">
        <f t="shared" si="182"/>
        <v>0</v>
      </c>
      <c r="W429" s="389">
        <f t="shared" si="183"/>
        <v>0</v>
      </c>
      <c r="X429" s="389">
        <f t="shared" si="184"/>
        <v>0</v>
      </c>
      <c r="Y429" s="389">
        <f t="shared" si="202"/>
        <v>1.0999999999999999E-2</v>
      </c>
      <c r="Z429" s="389">
        <f t="shared" si="185"/>
        <v>1.0999999999999999E-2</v>
      </c>
      <c r="AA429" s="389">
        <f t="shared" si="186"/>
        <v>0</v>
      </c>
      <c r="AB429" s="389">
        <f t="shared" si="187"/>
        <v>1E-4</v>
      </c>
      <c r="AC429" s="389">
        <f t="shared" si="188"/>
        <v>1E-4</v>
      </c>
      <c r="AD429" s="389">
        <f t="shared" si="189"/>
        <v>0</v>
      </c>
      <c r="AE429" s="389">
        <f t="shared" si="190"/>
        <v>0</v>
      </c>
      <c r="AG429" s="311" t="str">
        <f t="shared" si="191"/>
        <v>-</v>
      </c>
      <c r="AH429" s="453" t="str">
        <f t="shared" si="192"/>
        <v/>
      </c>
      <c r="AI429" s="453" t="str">
        <f t="shared" si="193"/>
        <v/>
      </c>
      <c r="AJ429" t="str">
        <f t="array" ref="AJ429">IF(AND(AI429&gt;1,G429&lt;&gt;""),INDEX(FS_teams,MATCH(1,(FS_Keys=AG429)*(FS_Points=I429)*(FS_teams&lt;&gt;G429),0)),"")</f>
        <v/>
      </c>
      <c r="AK429" s="390" t="str">
        <f t="array" ref="AK429">IF(AJ429&lt;&gt;"",INDEX(TM_Score1,MATCH(1,(TM_Events=D429)*(TM_Participant1=G429)*(TM_Participant2=AJ429),0)),"")</f>
        <v/>
      </c>
      <c r="AL429" s="390" t="str">
        <f t="array" ref="AL429">IF(AJ429&lt;&gt;"",INDEX(TM_Score1,MATCH(1,(TM_Events=D429)*(TM_Participant1=AJ429)*(TM_Participant2=G429),0)),"")</f>
        <v/>
      </c>
      <c r="AM429" s="389" t="str">
        <f t="array" ref="AM429">IF(ISNUMBER(AK429),INDEX(TM_Score2,MATCH(1,(TM_Events=D429)*(TM_Participant1=G429)*(TM_Participant2=AJ429),0)),"")</f>
        <v/>
      </c>
      <c r="AN429" s="389" t="str">
        <f t="array" ref="AN429">IF(ISNUMBER(AL429),INDEX(TM_Score2,MATCH(1,(TM_Events=D429)*(TM_Participant1=AJ429)*(TM_Participant2=G429),0)),"")</f>
        <v/>
      </c>
      <c r="AO429" s="389" t="str">
        <f t="shared" si="194"/>
        <v/>
      </c>
      <c r="AP429" s="389">
        <f t="shared" si="195"/>
        <v>0</v>
      </c>
      <c r="AQ429" s="389">
        <f t="shared" si="196"/>
        <v>0</v>
      </c>
      <c r="AR429" s="389">
        <f t="shared" si="197"/>
        <v>0</v>
      </c>
      <c r="AS429" s="453">
        <f t="shared" si="198"/>
        <v>0</v>
      </c>
      <c r="AT429" s="452">
        <f t="shared" si="199"/>
        <v>0</v>
      </c>
    </row>
    <row r="430" spans="1:46" ht="16" x14ac:dyDescent="0.2">
      <c r="A430" s="298"/>
      <c r="B430" s="355"/>
      <c r="D430" s="303"/>
      <c r="E430" s="396"/>
      <c r="F430" s="387"/>
      <c r="G430" s="397"/>
      <c r="H430" s="387" t="str">
        <f t="shared" si="174"/>
        <v>0-0-0</v>
      </c>
      <c r="I430" s="389">
        <f t="shared" si="175"/>
        <v>0</v>
      </c>
      <c r="J430" s="455" t="str">
        <f t="shared" si="200"/>
        <v/>
      </c>
      <c r="K430" s="455">
        <f t="shared" si="176"/>
        <v>0</v>
      </c>
      <c r="L430" s="455">
        <f t="shared" si="201"/>
        <v>0</v>
      </c>
      <c r="M430" s="389" t="str">
        <f>IFERROR(IF(AD430&lt;=VLOOKUP(D430,Tournaments!$A$1:$B$1772,2,FALSE),"TRUE","FALSE"),"")</f>
        <v/>
      </c>
      <c r="N430" s="389">
        <v>1</v>
      </c>
      <c r="O430" s="389">
        <f t="shared" si="177"/>
        <v>0</v>
      </c>
      <c r="Q430" s="389">
        <f t="shared" si="178"/>
        <v>0</v>
      </c>
      <c r="R430" s="389">
        <f t="shared" si="179"/>
        <v>0</v>
      </c>
      <c r="S430" s="389">
        <f t="shared" si="180"/>
        <v>0</v>
      </c>
      <c r="U430" s="389">
        <f t="shared" si="181"/>
        <v>0</v>
      </c>
      <c r="V430" s="389" t="b">
        <f t="shared" si="182"/>
        <v>0</v>
      </c>
      <c r="W430" s="389">
        <f t="shared" si="183"/>
        <v>0</v>
      </c>
      <c r="X430" s="389">
        <f t="shared" si="184"/>
        <v>0</v>
      </c>
      <c r="Y430" s="389">
        <f t="shared" si="202"/>
        <v>1.0999999999999999E-2</v>
      </c>
      <c r="Z430" s="389">
        <f t="shared" si="185"/>
        <v>1.0999999999999999E-2</v>
      </c>
      <c r="AA430" s="389">
        <f t="shared" si="186"/>
        <v>0</v>
      </c>
      <c r="AB430" s="389">
        <f t="shared" si="187"/>
        <v>1E-4</v>
      </c>
      <c r="AC430" s="389">
        <f t="shared" si="188"/>
        <v>1E-4</v>
      </c>
      <c r="AD430" s="389">
        <f t="shared" si="189"/>
        <v>0</v>
      </c>
      <c r="AE430" s="389">
        <f t="shared" si="190"/>
        <v>0</v>
      </c>
      <c r="AG430" s="311" t="str">
        <f t="shared" si="191"/>
        <v>-</v>
      </c>
      <c r="AH430" s="453" t="str">
        <f t="shared" si="192"/>
        <v/>
      </c>
      <c r="AI430" s="453" t="str">
        <f t="shared" si="193"/>
        <v/>
      </c>
      <c r="AJ430" t="str">
        <f t="array" ref="AJ430">IF(AND(AI430&gt;1,G430&lt;&gt;""),INDEX(FS_teams,MATCH(1,(FS_Keys=AG430)*(FS_Points=I430)*(FS_teams&lt;&gt;G430),0)),"")</f>
        <v/>
      </c>
      <c r="AK430" s="390" t="str">
        <f t="array" ref="AK430">IF(AJ430&lt;&gt;"",INDEX(TM_Score1,MATCH(1,(TM_Events=D430)*(TM_Participant1=G430)*(TM_Participant2=AJ430),0)),"")</f>
        <v/>
      </c>
      <c r="AL430" s="390" t="str">
        <f t="array" ref="AL430">IF(AJ430&lt;&gt;"",INDEX(TM_Score1,MATCH(1,(TM_Events=D430)*(TM_Participant1=AJ430)*(TM_Participant2=G430),0)),"")</f>
        <v/>
      </c>
      <c r="AM430" s="389" t="str">
        <f t="array" ref="AM430">IF(ISNUMBER(AK430),INDEX(TM_Score2,MATCH(1,(TM_Events=D430)*(TM_Participant1=G430)*(TM_Participant2=AJ430),0)),"")</f>
        <v/>
      </c>
      <c r="AN430" s="389" t="str">
        <f t="array" ref="AN430">IF(ISNUMBER(AL430),INDEX(TM_Score2,MATCH(1,(TM_Events=D430)*(TM_Participant1=AJ430)*(TM_Participant2=G430),0)),"")</f>
        <v/>
      </c>
      <c r="AO430" s="389" t="str">
        <f t="shared" si="194"/>
        <v/>
      </c>
      <c r="AP430" s="389">
        <f t="shared" si="195"/>
        <v>0</v>
      </c>
      <c r="AQ430" s="389">
        <f t="shared" si="196"/>
        <v>0</v>
      </c>
      <c r="AR430" s="389">
        <f t="shared" si="197"/>
        <v>0</v>
      </c>
      <c r="AS430" s="453">
        <f t="shared" si="198"/>
        <v>0</v>
      </c>
      <c r="AT430" s="452">
        <f t="shared" si="199"/>
        <v>0</v>
      </c>
    </row>
    <row r="431" spans="1:46" ht="16" x14ac:dyDescent="0.2">
      <c r="A431" s="298"/>
      <c r="B431" s="355"/>
      <c r="D431" s="303"/>
      <c r="E431" s="396"/>
      <c r="F431" s="387"/>
      <c r="G431" s="397"/>
      <c r="H431" s="387" t="str">
        <f t="shared" si="174"/>
        <v>0-0-0</v>
      </c>
      <c r="I431" s="389">
        <f t="shared" si="175"/>
        <v>0</v>
      </c>
      <c r="J431" s="455" t="str">
        <f t="shared" si="200"/>
        <v/>
      </c>
      <c r="K431" s="455">
        <f t="shared" si="176"/>
        <v>0</v>
      </c>
      <c r="L431" s="455">
        <f t="shared" si="201"/>
        <v>0</v>
      </c>
      <c r="M431" s="389" t="str">
        <f>IFERROR(IF(AD431&lt;=VLOOKUP(D431,Tournaments!$A$1:$B$1772,2,FALSE),"TRUE","FALSE"),"")</f>
        <v/>
      </c>
      <c r="N431" s="389">
        <v>1</v>
      </c>
      <c r="O431" s="389">
        <f t="shared" si="177"/>
        <v>0</v>
      </c>
      <c r="Q431" s="389">
        <f t="shared" si="178"/>
        <v>0</v>
      </c>
      <c r="R431" s="389">
        <f t="shared" si="179"/>
        <v>0</v>
      </c>
      <c r="S431" s="389">
        <f t="shared" si="180"/>
        <v>0</v>
      </c>
      <c r="U431" s="389">
        <f t="shared" si="181"/>
        <v>0</v>
      </c>
      <c r="V431" s="389" t="b">
        <f t="shared" si="182"/>
        <v>0</v>
      </c>
      <c r="W431" s="389">
        <f t="shared" si="183"/>
        <v>0</v>
      </c>
      <c r="X431" s="389">
        <f t="shared" si="184"/>
        <v>0</v>
      </c>
      <c r="Y431" s="389">
        <f t="shared" si="202"/>
        <v>1.0999999999999999E-2</v>
      </c>
      <c r="Z431" s="389">
        <f t="shared" si="185"/>
        <v>1.0999999999999999E-2</v>
      </c>
      <c r="AA431" s="389">
        <f t="shared" si="186"/>
        <v>0</v>
      </c>
      <c r="AB431" s="389">
        <f t="shared" si="187"/>
        <v>1E-4</v>
      </c>
      <c r="AC431" s="389">
        <f t="shared" si="188"/>
        <v>1E-4</v>
      </c>
      <c r="AD431" s="389">
        <f t="shared" si="189"/>
        <v>0</v>
      </c>
      <c r="AE431" s="389">
        <f t="shared" si="190"/>
        <v>0</v>
      </c>
      <c r="AG431" s="311" t="str">
        <f t="shared" si="191"/>
        <v>-</v>
      </c>
      <c r="AH431" s="453" t="str">
        <f t="shared" si="192"/>
        <v/>
      </c>
      <c r="AI431" s="453" t="str">
        <f t="shared" si="193"/>
        <v/>
      </c>
      <c r="AJ431" t="str">
        <f t="array" ref="AJ431">IF(AND(AI431&gt;1,G431&lt;&gt;""),INDEX(FS_teams,MATCH(1,(FS_Keys=AG431)*(FS_Points=I431)*(FS_teams&lt;&gt;G431),0)),"")</f>
        <v/>
      </c>
      <c r="AK431" s="390" t="str">
        <f t="array" ref="AK431">IF(AJ431&lt;&gt;"",INDEX(TM_Score1,MATCH(1,(TM_Events=D431)*(TM_Participant1=G431)*(TM_Participant2=AJ431),0)),"")</f>
        <v/>
      </c>
      <c r="AL431" s="390" t="str">
        <f t="array" ref="AL431">IF(AJ431&lt;&gt;"",INDEX(TM_Score1,MATCH(1,(TM_Events=D431)*(TM_Participant1=AJ431)*(TM_Participant2=G431),0)),"")</f>
        <v/>
      </c>
      <c r="AM431" s="389" t="str">
        <f t="array" ref="AM431">IF(ISNUMBER(AK431),INDEX(TM_Score2,MATCH(1,(TM_Events=D431)*(TM_Participant1=G431)*(TM_Participant2=AJ431),0)),"")</f>
        <v/>
      </c>
      <c r="AN431" s="389" t="str">
        <f t="array" ref="AN431">IF(ISNUMBER(AL431),INDEX(TM_Score2,MATCH(1,(TM_Events=D431)*(TM_Participant1=AJ431)*(TM_Participant2=G431),0)),"")</f>
        <v/>
      </c>
      <c r="AO431" s="389" t="str">
        <f t="shared" si="194"/>
        <v/>
      </c>
      <c r="AP431" s="389">
        <f t="shared" si="195"/>
        <v>0</v>
      </c>
      <c r="AQ431" s="389">
        <f t="shared" si="196"/>
        <v>0</v>
      </c>
      <c r="AR431" s="389">
        <f t="shared" si="197"/>
        <v>0</v>
      </c>
      <c r="AS431" s="453">
        <f t="shared" si="198"/>
        <v>0</v>
      </c>
      <c r="AT431" s="452">
        <f t="shared" si="199"/>
        <v>0</v>
      </c>
    </row>
    <row r="432" spans="1:46" ht="16" x14ac:dyDescent="0.2">
      <c r="A432" s="298"/>
      <c r="B432" s="355"/>
      <c r="D432" s="303"/>
      <c r="E432" s="396"/>
      <c r="F432" s="387"/>
      <c r="G432" s="397"/>
      <c r="H432" s="387" t="str">
        <f t="shared" si="174"/>
        <v>0-0-0</v>
      </c>
      <c r="I432" s="389">
        <f t="shared" si="175"/>
        <v>0</v>
      </c>
      <c r="J432" s="455" t="str">
        <f t="shared" si="200"/>
        <v/>
      </c>
      <c r="K432" s="455">
        <f t="shared" si="176"/>
        <v>0</v>
      </c>
      <c r="L432" s="455">
        <f t="shared" si="201"/>
        <v>0</v>
      </c>
      <c r="M432" s="389" t="str">
        <f>IFERROR(IF(AD432&lt;=VLOOKUP(D432,Tournaments!$A$1:$B$1772,2,FALSE),"TRUE","FALSE"),"")</f>
        <v/>
      </c>
      <c r="N432" s="389">
        <v>1</v>
      </c>
      <c r="O432" s="389">
        <f t="shared" si="177"/>
        <v>0</v>
      </c>
      <c r="Q432" s="389">
        <f t="shared" si="178"/>
        <v>0</v>
      </c>
      <c r="R432" s="389">
        <f t="shared" si="179"/>
        <v>0</v>
      </c>
      <c r="S432" s="389">
        <f t="shared" si="180"/>
        <v>0</v>
      </c>
      <c r="U432" s="389">
        <f t="shared" si="181"/>
        <v>0</v>
      </c>
      <c r="V432" s="389" t="b">
        <f t="shared" si="182"/>
        <v>0</v>
      </c>
      <c r="W432" s="389">
        <f t="shared" si="183"/>
        <v>0</v>
      </c>
      <c r="X432" s="389">
        <f t="shared" si="184"/>
        <v>0</v>
      </c>
      <c r="Y432" s="389">
        <f t="shared" si="202"/>
        <v>1.0999999999999999E-2</v>
      </c>
      <c r="Z432" s="389">
        <f t="shared" si="185"/>
        <v>1.0999999999999999E-2</v>
      </c>
      <c r="AA432" s="389">
        <f t="shared" si="186"/>
        <v>0</v>
      </c>
      <c r="AB432" s="389">
        <f t="shared" si="187"/>
        <v>1E-4</v>
      </c>
      <c r="AC432" s="389">
        <f t="shared" si="188"/>
        <v>1E-4</v>
      </c>
      <c r="AD432" s="389">
        <f t="shared" si="189"/>
        <v>0</v>
      </c>
      <c r="AE432" s="389">
        <f t="shared" si="190"/>
        <v>0</v>
      </c>
      <c r="AG432" s="311" t="str">
        <f t="shared" si="191"/>
        <v>-</v>
      </c>
      <c r="AH432" s="453" t="str">
        <f t="shared" si="192"/>
        <v/>
      </c>
      <c r="AI432" s="453" t="str">
        <f t="shared" si="193"/>
        <v/>
      </c>
      <c r="AJ432" t="str">
        <f t="array" ref="AJ432">IF(AND(AI432&gt;1,G432&lt;&gt;""),INDEX(FS_teams,MATCH(1,(FS_Keys=AG432)*(FS_Points=I432)*(FS_teams&lt;&gt;G432),0)),"")</f>
        <v/>
      </c>
      <c r="AK432" s="390" t="str">
        <f t="array" ref="AK432">IF(AJ432&lt;&gt;"",INDEX(TM_Score1,MATCH(1,(TM_Events=D432)*(TM_Participant1=G432)*(TM_Participant2=AJ432),0)),"")</f>
        <v/>
      </c>
      <c r="AL432" s="390" t="str">
        <f t="array" ref="AL432">IF(AJ432&lt;&gt;"",INDEX(TM_Score1,MATCH(1,(TM_Events=D432)*(TM_Participant1=AJ432)*(TM_Participant2=G432),0)),"")</f>
        <v/>
      </c>
      <c r="AM432" s="389" t="str">
        <f t="array" ref="AM432">IF(ISNUMBER(AK432),INDEX(TM_Score2,MATCH(1,(TM_Events=D432)*(TM_Participant1=G432)*(TM_Participant2=AJ432),0)),"")</f>
        <v/>
      </c>
      <c r="AN432" s="389" t="str">
        <f t="array" ref="AN432">IF(ISNUMBER(AL432),INDEX(TM_Score2,MATCH(1,(TM_Events=D432)*(TM_Participant1=AJ432)*(TM_Participant2=G432),0)),"")</f>
        <v/>
      </c>
      <c r="AO432" s="389" t="str">
        <f t="shared" si="194"/>
        <v/>
      </c>
      <c r="AP432" s="389">
        <f t="shared" si="195"/>
        <v>0</v>
      </c>
      <c r="AQ432" s="389">
        <f t="shared" si="196"/>
        <v>0</v>
      </c>
      <c r="AR432" s="389">
        <f t="shared" si="197"/>
        <v>0</v>
      </c>
      <c r="AS432" s="453">
        <f t="shared" si="198"/>
        <v>0</v>
      </c>
      <c r="AT432" s="452">
        <f t="shared" si="199"/>
        <v>0</v>
      </c>
    </row>
    <row r="433" spans="1:46" ht="16" x14ac:dyDescent="0.2">
      <c r="A433" s="298"/>
      <c r="B433" s="355"/>
      <c r="D433" s="303"/>
      <c r="E433" s="396"/>
      <c r="F433" s="387"/>
      <c r="G433" s="397"/>
      <c r="H433" s="387" t="str">
        <f t="shared" si="174"/>
        <v>0-0-0</v>
      </c>
      <c r="I433" s="389">
        <f t="shared" si="175"/>
        <v>0</v>
      </c>
      <c r="J433" s="455" t="str">
        <f t="shared" si="200"/>
        <v/>
      </c>
      <c r="K433" s="455">
        <f t="shared" si="176"/>
        <v>0</v>
      </c>
      <c r="L433" s="455">
        <f t="shared" si="201"/>
        <v>0</v>
      </c>
      <c r="M433" s="389" t="str">
        <f>IFERROR(IF(AD433&lt;=VLOOKUP(D433,Tournaments!$A$1:$B$1772,2,FALSE),"TRUE","FALSE"),"")</f>
        <v/>
      </c>
      <c r="N433" s="389">
        <v>1</v>
      </c>
      <c r="O433" s="389">
        <f t="shared" si="177"/>
        <v>0</v>
      </c>
      <c r="Q433" s="389">
        <f t="shared" si="178"/>
        <v>0</v>
      </c>
      <c r="R433" s="389">
        <f t="shared" si="179"/>
        <v>0</v>
      </c>
      <c r="S433" s="389">
        <f t="shared" si="180"/>
        <v>0</v>
      </c>
      <c r="U433" s="389">
        <f t="shared" si="181"/>
        <v>0</v>
      </c>
      <c r="V433" s="389" t="b">
        <f t="shared" si="182"/>
        <v>0</v>
      </c>
      <c r="W433" s="389">
        <f t="shared" si="183"/>
        <v>0</v>
      </c>
      <c r="X433" s="389">
        <f t="shared" si="184"/>
        <v>0</v>
      </c>
      <c r="Y433" s="389">
        <f t="shared" si="202"/>
        <v>1.0999999999999999E-2</v>
      </c>
      <c r="Z433" s="389">
        <f t="shared" si="185"/>
        <v>1.0999999999999999E-2</v>
      </c>
      <c r="AA433" s="389">
        <f t="shared" si="186"/>
        <v>0</v>
      </c>
      <c r="AB433" s="389">
        <f t="shared" si="187"/>
        <v>1E-4</v>
      </c>
      <c r="AC433" s="389">
        <f t="shared" si="188"/>
        <v>1E-4</v>
      </c>
      <c r="AD433" s="389">
        <f t="shared" si="189"/>
        <v>0</v>
      </c>
      <c r="AE433" s="389">
        <f t="shared" si="190"/>
        <v>0</v>
      </c>
      <c r="AG433" s="311" t="str">
        <f t="shared" si="191"/>
        <v>-</v>
      </c>
      <c r="AH433" s="453" t="str">
        <f t="shared" si="192"/>
        <v/>
      </c>
      <c r="AI433" s="453" t="str">
        <f t="shared" si="193"/>
        <v/>
      </c>
      <c r="AJ433" t="str">
        <f t="array" ref="AJ433">IF(AND(AI433&gt;1,G433&lt;&gt;""),INDEX(FS_teams,MATCH(1,(FS_Keys=AG433)*(FS_Points=I433)*(FS_teams&lt;&gt;G433),0)),"")</f>
        <v/>
      </c>
      <c r="AK433" s="390" t="str">
        <f t="array" ref="AK433">IF(AJ433&lt;&gt;"",INDEX(TM_Score1,MATCH(1,(TM_Events=D433)*(TM_Participant1=G433)*(TM_Participant2=AJ433),0)),"")</f>
        <v/>
      </c>
      <c r="AL433" s="390" t="str">
        <f t="array" ref="AL433">IF(AJ433&lt;&gt;"",INDEX(TM_Score1,MATCH(1,(TM_Events=D433)*(TM_Participant1=AJ433)*(TM_Participant2=G433),0)),"")</f>
        <v/>
      </c>
      <c r="AM433" s="389" t="str">
        <f t="array" ref="AM433">IF(ISNUMBER(AK433),INDEX(TM_Score2,MATCH(1,(TM_Events=D433)*(TM_Participant1=G433)*(TM_Participant2=AJ433),0)),"")</f>
        <v/>
      </c>
      <c r="AN433" s="389" t="str">
        <f t="array" ref="AN433">IF(ISNUMBER(AL433),INDEX(TM_Score2,MATCH(1,(TM_Events=D433)*(TM_Participant1=AJ433)*(TM_Participant2=G433),0)),"")</f>
        <v/>
      </c>
      <c r="AO433" s="389" t="str">
        <f t="shared" si="194"/>
        <v/>
      </c>
      <c r="AP433" s="389">
        <f t="shared" si="195"/>
        <v>0</v>
      </c>
      <c r="AQ433" s="389">
        <f t="shared" si="196"/>
        <v>0</v>
      </c>
      <c r="AR433" s="389">
        <f t="shared" si="197"/>
        <v>0</v>
      </c>
      <c r="AS433" s="453">
        <f t="shared" si="198"/>
        <v>0</v>
      </c>
      <c r="AT433" s="452">
        <f t="shared" si="199"/>
        <v>0</v>
      </c>
    </row>
    <row r="434" spans="1:46" ht="16" x14ac:dyDescent="0.2">
      <c r="A434" s="298"/>
      <c r="B434" s="355"/>
      <c r="D434" s="303"/>
      <c r="E434" s="396"/>
      <c r="F434" s="387"/>
      <c r="G434" s="397"/>
      <c r="H434" s="387" t="str">
        <f t="shared" si="174"/>
        <v>0-0-0</v>
      </c>
      <c r="I434" s="389">
        <f t="shared" si="175"/>
        <v>0</v>
      </c>
      <c r="J434" s="455" t="str">
        <f t="shared" si="200"/>
        <v/>
      </c>
      <c r="K434" s="455">
        <f t="shared" si="176"/>
        <v>0</v>
      </c>
      <c r="L434" s="455">
        <f t="shared" si="201"/>
        <v>0</v>
      </c>
      <c r="M434" s="389" t="str">
        <f>IFERROR(IF(AD434&lt;=VLOOKUP(D434,Tournaments!$A$1:$B$1772,2,FALSE),"TRUE","FALSE"),"")</f>
        <v/>
      </c>
      <c r="N434" s="389">
        <v>1</v>
      </c>
      <c r="O434" s="389">
        <f t="shared" si="177"/>
        <v>0</v>
      </c>
      <c r="Q434" s="389">
        <f t="shared" si="178"/>
        <v>0</v>
      </c>
      <c r="R434" s="389">
        <f t="shared" si="179"/>
        <v>0</v>
      </c>
      <c r="S434" s="389">
        <f t="shared" si="180"/>
        <v>0</v>
      </c>
      <c r="U434" s="389">
        <f t="shared" si="181"/>
        <v>0</v>
      </c>
      <c r="V434" s="389" t="b">
        <f t="shared" si="182"/>
        <v>0</v>
      </c>
      <c r="W434" s="389">
        <f t="shared" si="183"/>
        <v>0</v>
      </c>
      <c r="X434" s="389">
        <f t="shared" si="184"/>
        <v>0</v>
      </c>
      <c r="Y434" s="389">
        <f t="shared" si="202"/>
        <v>1.0999999999999999E-2</v>
      </c>
      <c r="Z434" s="389">
        <f t="shared" si="185"/>
        <v>1.0999999999999999E-2</v>
      </c>
      <c r="AA434" s="389">
        <f t="shared" si="186"/>
        <v>0</v>
      </c>
      <c r="AB434" s="389">
        <f t="shared" si="187"/>
        <v>1E-4</v>
      </c>
      <c r="AC434" s="389">
        <f t="shared" si="188"/>
        <v>1E-4</v>
      </c>
      <c r="AD434" s="389">
        <f t="shared" si="189"/>
        <v>0</v>
      </c>
      <c r="AE434" s="389">
        <f t="shared" si="190"/>
        <v>0</v>
      </c>
      <c r="AG434" s="311" t="str">
        <f t="shared" si="191"/>
        <v>-</v>
      </c>
      <c r="AH434" s="453" t="str">
        <f t="shared" si="192"/>
        <v/>
      </c>
      <c r="AI434" s="453" t="str">
        <f t="shared" si="193"/>
        <v/>
      </c>
      <c r="AJ434" t="str">
        <f t="array" ref="AJ434">IF(AND(AI434&gt;1,G434&lt;&gt;""),INDEX(FS_teams,MATCH(1,(FS_Keys=AG434)*(FS_Points=I434)*(FS_teams&lt;&gt;G434),0)),"")</f>
        <v/>
      </c>
      <c r="AK434" s="390" t="str">
        <f t="array" ref="AK434">IF(AJ434&lt;&gt;"",INDEX(TM_Score1,MATCH(1,(TM_Events=D434)*(TM_Participant1=G434)*(TM_Participant2=AJ434),0)),"")</f>
        <v/>
      </c>
      <c r="AL434" s="390" t="str">
        <f t="array" ref="AL434">IF(AJ434&lt;&gt;"",INDEX(TM_Score1,MATCH(1,(TM_Events=D434)*(TM_Participant1=AJ434)*(TM_Participant2=G434),0)),"")</f>
        <v/>
      </c>
      <c r="AM434" s="389" t="str">
        <f t="array" ref="AM434">IF(ISNUMBER(AK434),INDEX(TM_Score2,MATCH(1,(TM_Events=D434)*(TM_Participant1=G434)*(TM_Participant2=AJ434),0)),"")</f>
        <v/>
      </c>
      <c r="AN434" s="389" t="str">
        <f t="array" ref="AN434">IF(ISNUMBER(AL434),INDEX(TM_Score2,MATCH(1,(TM_Events=D434)*(TM_Participant1=AJ434)*(TM_Participant2=G434),0)),"")</f>
        <v/>
      </c>
      <c r="AO434" s="389" t="str">
        <f t="shared" si="194"/>
        <v/>
      </c>
      <c r="AP434" s="389">
        <f t="shared" si="195"/>
        <v>0</v>
      </c>
      <c r="AQ434" s="389">
        <f t="shared" si="196"/>
        <v>0</v>
      </c>
      <c r="AR434" s="389">
        <f t="shared" si="197"/>
        <v>0</v>
      </c>
      <c r="AS434" s="453">
        <f t="shared" si="198"/>
        <v>0</v>
      </c>
      <c r="AT434" s="452">
        <f t="shared" si="199"/>
        <v>0</v>
      </c>
    </row>
    <row r="435" spans="1:46" ht="16" x14ac:dyDescent="0.2">
      <c r="A435" s="298"/>
      <c r="B435" s="355"/>
      <c r="D435" s="303"/>
      <c r="E435" s="396"/>
      <c r="F435" s="387"/>
      <c r="G435" s="397"/>
      <c r="H435" s="387" t="str">
        <f t="shared" si="174"/>
        <v>0-0-0</v>
      </c>
      <c r="I435" s="389">
        <f t="shared" si="175"/>
        <v>0</v>
      </c>
      <c r="J435" s="455" t="str">
        <f t="shared" si="200"/>
        <v/>
      </c>
      <c r="K435" s="455">
        <f t="shared" si="176"/>
        <v>0</v>
      </c>
      <c r="L435" s="455">
        <f t="shared" si="201"/>
        <v>0</v>
      </c>
      <c r="M435" s="389" t="str">
        <f>IFERROR(IF(AD435&lt;=VLOOKUP(D435,Tournaments!$A$1:$B$1772,2,FALSE),"TRUE","FALSE"),"")</f>
        <v/>
      </c>
      <c r="N435" s="389">
        <v>1</v>
      </c>
      <c r="O435" s="389">
        <f t="shared" si="177"/>
        <v>0</v>
      </c>
      <c r="Q435" s="389">
        <f t="shared" si="178"/>
        <v>0</v>
      </c>
      <c r="R435" s="389">
        <f t="shared" si="179"/>
        <v>0</v>
      </c>
      <c r="S435" s="389">
        <f t="shared" si="180"/>
        <v>0</v>
      </c>
      <c r="U435" s="389">
        <f t="shared" si="181"/>
        <v>0</v>
      </c>
      <c r="V435" s="389" t="b">
        <f t="shared" si="182"/>
        <v>0</v>
      </c>
      <c r="W435" s="389">
        <f t="shared" si="183"/>
        <v>0</v>
      </c>
      <c r="X435" s="389">
        <f t="shared" si="184"/>
        <v>0</v>
      </c>
      <c r="Y435" s="389">
        <f t="shared" si="202"/>
        <v>1.0999999999999999E-2</v>
      </c>
      <c r="Z435" s="389">
        <f t="shared" si="185"/>
        <v>1.0999999999999999E-2</v>
      </c>
      <c r="AA435" s="389">
        <f t="shared" si="186"/>
        <v>0</v>
      </c>
      <c r="AB435" s="389">
        <f t="shared" si="187"/>
        <v>1E-4</v>
      </c>
      <c r="AC435" s="389">
        <f t="shared" si="188"/>
        <v>1E-4</v>
      </c>
      <c r="AD435" s="389">
        <f t="shared" si="189"/>
        <v>0</v>
      </c>
      <c r="AE435" s="389">
        <f t="shared" si="190"/>
        <v>0</v>
      </c>
      <c r="AG435" s="311" t="str">
        <f t="shared" si="191"/>
        <v>-</v>
      </c>
      <c r="AH435" s="453" t="str">
        <f t="shared" si="192"/>
        <v/>
      </c>
      <c r="AI435" s="453" t="str">
        <f t="shared" si="193"/>
        <v/>
      </c>
      <c r="AJ435" t="str">
        <f t="array" ref="AJ435">IF(AND(AI435&gt;1,G435&lt;&gt;""),INDEX(FS_teams,MATCH(1,(FS_Keys=AG435)*(FS_Points=I435)*(FS_teams&lt;&gt;G435),0)),"")</f>
        <v/>
      </c>
      <c r="AK435" s="390" t="str">
        <f t="array" ref="AK435">IF(AJ435&lt;&gt;"",INDEX(TM_Score1,MATCH(1,(TM_Events=D435)*(TM_Participant1=G435)*(TM_Participant2=AJ435),0)),"")</f>
        <v/>
      </c>
      <c r="AL435" s="390" t="str">
        <f t="array" ref="AL435">IF(AJ435&lt;&gt;"",INDEX(TM_Score1,MATCH(1,(TM_Events=D435)*(TM_Participant1=AJ435)*(TM_Participant2=G435),0)),"")</f>
        <v/>
      </c>
      <c r="AM435" s="389" t="str">
        <f t="array" ref="AM435">IF(ISNUMBER(AK435),INDEX(TM_Score2,MATCH(1,(TM_Events=D435)*(TM_Participant1=G435)*(TM_Participant2=AJ435),0)),"")</f>
        <v/>
      </c>
      <c r="AN435" s="389" t="str">
        <f t="array" ref="AN435">IF(ISNUMBER(AL435),INDEX(TM_Score2,MATCH(1,(TM_Events=D435)*(TM_Participant1=AJ435)*(TM_Participant2=G435),0)),"")</f>
        <v/>
      </c>
      <c r="AO435" s="389" t="str">
        <f t="shared" si="194"/>
        <v/>
      </c>
      <c r="AP435" s="389">
        <f t="shared" si="195"/>
        <v>0</v>
      </c>
      <c r="AQ435" s="389">
        <f t="shared" si="196"/>
        <v>0</v>
      </c>
      <c r="AR435" s="389">
        <f t="shared" si="197"/>
        <v>0</v>
      </c>
      <c r="AS435" s="453">
        <f t="shared" si="198"/>
        <v>0</v>
      </c>
      <c r="AT435" s="452">
        <f t="shared" si="199"/>
        <v>0</v>
      </c>
    </row>
    <row r="436" spans="1:46" ht="16" x14ac:dyDescent="0.2">
      <c r="A436" s="298"/>
      <c r="B436"/>
      <c r="D436" s="303"/>
      <c r="E436" s="396"/>
      <c r="F436" s="387"/>
      <c r="G436" s="397"/>
      <c r="H436" s="387" t="str">
        <f t="shared" si="174"/>
        <v>0-0-0</v>
      </c>
      <c r="I436" s="389">
        <f t="shared" si="175"/>
        <v>0</v>
      </c>
      <c r="J436" s="455" t="str">
        <f t="shared" si="200"/>
        <v/>
      </c>
      <c r="K436" s="455">
        <f t="shared" si="176"/>
        <v>0</v>
      </c>
      <c r="L436" s="455">
        <f t="shared" si="201"/>
        <v>0</v>
      </c>
      <c r="M436" s="389" t="str">
        <f>IFERROR(IF(AD436&lt;=VLOOKUP(D436,Tournaments!$A$1:$B$1772,2,FALSE),"TRUE","FALSE"),"")</f>
        <v/>
      </c>
      <c r="N436" s="389">
        <v>1</v>
      </c>
      <c r="O436" s="389">
        <f t="shared" si="177"/>
        <v>0</v>
      </c>
      <c r="Q436" s="389">
        <f t="shared" si="178"/>
        <v>0</v>
      </c>
      <c r="R436" s="389">
        <f t="shared" si="179"/>
        <v>0</v>
      </c>
      <c r="S436" s="389">
        <f t="shared" si="180"/>
        <v>0</v>
      </c>
      <c r="U436" s="389">
        <f t="shared" si="181"/>
        <v>0</v>
      </c>
      <c r="V436" s="389" t="b">
        <f t="shared" si="182"/>
        <v>0</v>
      </c>
      <c r="W436" s="389">
        <f t="shared" si="183"/>
        <v>0</v>
      </c>
      <c r="X436" s="389">
        <f t="shared" si="184"/>
        <v>0</v>
      </c>
      <c r="Y436" s="389">
        <f t="shared" si="202"/>
        <v>1.0999999999999999E-2</v>
      </c>
      <c r="Z436" s="389">
        <f t="shared" si="185"/>
        <v>1.0999999999999999E-2</v>
      </c>
      <c r="AA436" s="389">
        <f t="shared" si="186"/>
        <v>0</v>
      </c>
      <c r="AB436" s="389">
        <f t="shared" si="187"/>
        <v>1E-4</v>
      </c>
      <c r="AC436" s="389">
        <f t="shared" si="188"/>
        <v>1E-4</v>
      </c>
      <c r="AD436" s="389">
        <f t="shared" si="189"/>
        <v>0</v>
      </c>
      <c r="AE436" s="389">
        <f t="shared" si="190"/>
        <v>0</v>
      </c>
      <c r="AG436" s="311" t="str">
        <f t="shared" si="191"/>
        <v>-</v>
      </c>
      <c r="AH436" s="453" t="str">
        <f t="shared" si="192"/>
        <v/>
      </c>
      <c r="AI436" s="453" t="str">
        <f t="shared" si="193"/>
        <v/>
      </c>
      <c r="AJ436" t="str">
        <f t="array" ref="AJ436">IF(AND(AI436&gt;1,G436&lt;&gt;""),INDEX(FS_teams,MATCH(1,(FS_Keys=AG436)*(FS_Points=I436)*(FS_teams&lt;&gt;G436),0)),"")</f>
        <v/>
      </c>
      <c r="AK436" s="390" t="str">
        <f t="array" ref="AK436">IF(AJ436&lt;&gt;"",INDEX(TM_Score1,MATCH(1,(TM_Events=D436)*(TM_Participant1=G436)*(TM_Participant2=AJ436),0)),"")</f>
        <v/>
      </c>
      <c r="AL436" s="390" t="str">
        <f t="array" ref="AL436">IF(AJ436&lt;&gt;"",INDEX(TM_Score1,MATCH(1,(TM_Events=D436)*(TM_Participant1=AJ436)*(TM_Participant2=G436),0)),"")</f>
        <v/>
      </c>
      <c r="AM436" s="389" t="str">
        <f t="array" ref="AM436">IF(ISNUMBER(AK436),INDEX(TM_Score2,MATCH(1,(TM_Events=D436)*(TM_Participant1=G436)*(TM_Participant2=AJ436),0)),"")</f>
        <v/>
      </c>
      <c r="AN436" s="389" t="str">
        <f t="array" ref="AN436">IF(ISNUMBER(AL436),INDEX(TM_Score2,MATCH(1,(TM_Events=D436)*(TM_Participant1=AJ436)*(TM_Participant2=G436),0)),"")</f>
        <v/>
      </c>
      <c r="AO436" s="389" t="str">
        <f t="shared" si="194"/>
        <v/>
      </c>
      <c r="AP436" s="389">
        <f t="shared" si="195"/>
        <v>0</v>
      </c>
      <c r="AQ436" s="389">
        <f t="shared" si="196"/>
        <v>0</v>
      </c>
      <c r="AR436" s="389">
        <f t="shared" si="197"/>
        <v>0</v>
      </c>
      <c r="AS436" s="453">
        <f t="shared" si="198"/>
        <v>0</v>
      </c>
      <c r="AT436" s="452">
        <f t="shared" si="199"/>
        <v>0</v>
      </c>
    </row>
    <row r="437" spans="1:46" ht="16" x14ac:dyDescent="0.2">
      <c r="A437" s="298"/>
      <c r="B437"/>
      <c r="D437" s="303"/>
      <c r="E437" s="396"/>
      <c r="F437" s="387"/>
      <c r="G437" s="397"/>
      <c r="H437" s="387" t="str">
        <f t="shared" si="174"/>
        <v>0-0-0</v>
      </c>
      <c r="I437" s="389">
        <f t="shared" si="175"/>
        <v>0</v>
      </c>
      <c r="J437" s="455" t="str">
        <f t="shared" si="200"/>
        <v/>
      </c>
      <c r="K437" s="455">
        <f t="shared" si="176"/>
        <v>0</v>
      </c>
      <c r="L437" s="455">
        <f t="shared" si="201"/>
        <v>0</v>
      </c>
      <c r="M437" s="389" t="str">
        <f>IFERROR(IF(AD437&lt;=VLOOKUP(D437,Tournaments!$A$1:$B$1772,2,FALSE),"TRUE","FALSE"),"")</f>
        <v/>
      </c>
      <c r="N437" s="389">
        <v>1</v>
      </c>
      <c r="O437" s="389">
        <f t="shared" si="177"/>
        <v>0</v>
      </c>
      <c r="Q437" s="389">
        <f t="shared" si="178"/>
        <v>0</v>
      </c>
      <c r="R437" s="389">
        <f t="shared" si="179"/>
        <v>0</v>
      </c>
      <c r="S437" s="389">
        <f t="shared" si="180"/>
        <v>0</v>
      </c>
      <c r="U437" s="389">
        <f t="shared" si="181"/>
        <v>0</v>
      </c>
      <c r="V437" s="389" t="b">
        <f t="shared" si="182"/>
        <v>0</v>
      </c>
      <c r="W437" s="389">
        <f t="shared" si="183"/>
        <v>0</v>
      </c>
      <c r="X437" s="389">
        <f t="shared" si="184"/>
        <v>0</v>
      </c>
      <c r="Y437" s="389">
        <f t="shared" si="202"/>
        <v>1.0999999999999999E-2</v>
      </c>
      <c r="Z437" s="389">
        <f t="shared" si="185"/>
        <v>1.0999999999999999E-2</v>
      </c>
      <c r="AA437" s="389">
        <f t="shared" si="186"/>
        <v>0</v>
      </c>
      <c r="AB437" s="389">
        <f t="shared" si="187"/>
        <v>1E-4</v>
      </c>
      <c r="AC437" s="389">
        <f t="shared" si="188"/>
        <v>1E-4</v>
      </c>
      <c r="AD437" s="389">
        <f t="shared" si="189"/>
        <v>0</v>
      </c>
      <c r="AE437" s="389">
        <f t="shared" si="190"/>
        <v>0</v>
      </c>
      <c r="AG437" s="311" t="str">
        <f t="shared" si="191"/>
        <v>-</v>
      </c>
      <c r="AH437" s="453" t="str">
        <f t="shared" si="192"/>
        <v/>
      </c>
      <c r="AI437" s="453" t="str">
        <f t="shared" si="193"/>
        <v/>
      </c>
      <c r="AJ437" t="str">
        <f t="array" ref="AJ437">IF(AND(AI437&gt;1,G437&lt;&gt;""),INDEX(FS_teams,MATCH(1,(FS_Keys=AG437)*(FS_Points=I437)*(FS_teams&lt;&gt;G437),0)),"")</f>
        <v/>
      </c>
      <c r="AK437" s="390" t="str">
        <f t="array" ref="AK437">IF(AJ437&lt;&gt;"",INDEX(TM_Score1,MATCH(1,(TM_Events=D437)*(TM_Participant1=G437)*(TM_Participant2=AJ437),0)),"")</f>
        <v/>
      </c>
      <c r="AL437" s="390" t="str">
        <f t="array" ref="AL437">IF(AJ437&lt;&gt;"",INDEX(TM_Score1,MATCH(1,(TM_Events=D437)*(TM_Participant1=AJ437)*(TM_Participant2=G437),0)),"")</f>
        <v/>
      </c>
      <c r="AM437" s="389" t="str">
        <f t="array" ref="AM437">IF(ISNUMBER(AK437),INDEX(TM_Score2,MATCH(1,(TM_Events=D437)*(TM_Participant1=G437)*(TM_Participant2=AJ437),0)),"")</f>
        <v/>
      </c>
      <c r="AN437" s="389" t="str">
        <f t="array" ref="AN437">IF(ISNUMBER(AL437),INDEX(TM_Score2,MATCH(1,(TM_Events=D437)*(TM_Participant1=AJ437)*(TM_Participant2=G437),0)),"")</f>
        <v/>
      </c>
      <c r="AO437" s="389" t="str">
        <f t="shared" si="194"/>
        <v/>
      </c>
      <c r="AP437" s="389">
        <f t="shared" si="195"/>
        <v>0</v>
      </c>
      <c r="AQ437" s="389">
        <f t="shared" si="196"/>
        <v>0</v>
      </c>
      <c r="AR437" s="389">
        <f t="shared" si="197"/>
        <v>0</v>
      </c>
      <c r="AS437" s="453">
        <f t="shared" si="198"/>
        <v>0</v>
      </c>
      <c r="AT437" s="452">
        <f t="shared" si="199"/>
        <v>0</v>
      </c>
    </row>
    <row r="438" spans="1:46" ht="16" x14ac:dyDescent="0.2">
      <c r="A438" s="298"/>
      <c r="B438"/>
      <c r="D438" s="303"/>
      <c r="E438" s="396"/>
      <c r="F438" s="387"/>
      <c r="G438" s="397"/>
      <c r="H438" s="387" t="str">
        <f t="shared" si="174"/>
        <v>0-0-0</v>
      </c>
      <c r="I438" s="389">
        <f t="shared" si="175"/>
        <v>0</v>
      </c>
      <c r="J438" s="455" t="str">
        <f t="shared" si="200"/>
        <v/>
      </c>
      <c r="K438" s="455">
        <f t="shared" si="176"/>
        <v>0</v>
      </c>
      <c r="L438" s="455">
        <f t="shared" si="201"/>
        <v>0</v>
      </c>
      <c r="M438" s="389" t="str">
        <f>IFERROR(IF(AD438&lt;=VLOOKUP(D438,Tournaments!$A$1:$B$1772,2,FALSE),"TRUE","FALSE"),"")</f>
        <v/>
      </c>
      <c r="N438" s="389">
        <v>1</v>
      </c>
      <c r="O438" s="389">
        <f t="shared" si="177"/>
        <v>0</v>
      </c>
      <c r="Q438" s="389">
        <f t="shared" si="178"/>
        <v>0</v>
      </c>
      <c r="R438" s="389">
        <f t="shared" si="179"/>
        <v>0</v>
      </c>
      <c r="S438" s="389">
        <f t="shared" si="180"/>
        <v>0</v>
      </c>
      <c r="U438" s="389">
        <f t="shared" si="181"/>
        <v>0</v>
      </c>
      <c r="V438" s="389" t="b">
        <f t="shared" si="182"/>
        <v>0</v>
      </c>
      <c r="W438" s="389">
        <f t="shared" si="183"/>
        <v>0</v>
      </c>
      <c r="X438" s="389">
        <f t="shared" si="184"/>
        <v>0</v>
      </c>
      <c r="Y438" s="389">
        <f t="shared" si="202"/>
        <v>1.0999999999999999E-2</v>
      </c>
      <c r="Z438" s="389">
        <f t="shared" si="185"/>
        <v>1.0999999999999999E-2</v>
      </c>
      <c r="AA438" s="389">
        <f t="shared" si="186"/>
        <v>0</v>
      </c>
      <c r="AB438" s="389">
        <f t="shared" si="187"/>
        <v>1E-4</v>
      </c>
      <c r="AC438" s="389">
        <f t="shared" si="188"/>
        <v>1E-4</v>
      </c>
      <c r="AD438" s="389">
        <f t="shared" si="189"/>
        <v>0</v>
      </c>
      <c r="AE438" s="389">
        <f t="shared" si="190"/>
        <v>0</v>
      </c>
      <c r="AG438" s="311" t="str">
        <f t="shared" si="191"/>
        <v>-</v>
      </c>
      <c r="AH438" s="453" t="str">
        <f t="shared" si="192"/>
        <v/>
      </c>
      <c r="AI438" s="453" t="str">
        <f t="shared" si="193"/>
        <v/>
      </c>
      <c r="AJ438" t="str">
        <f t="array" ref="AJ438">IF(AND(AI438&gt;1,G438&lt;&gt;""),INDEX(FS_teams,MATCH(1,(FS_Keys=AG438)*(FS_Points=I438)*(FS_teams&lt;&gt;G438),0)),"")</f>
        <v/>
      </c>
      <c r="AK438" s="390" t="str">
        <f t="array" ref="AK438">IF(AJ438&lt;&gt;"",INDEX(TM_Score1,MATCH(1,(TM_Events=D438)*(TM_Participant1=G438)*(TM_Participant2=AJ438),0)),"")</f>
        <v/>
      </c>
      <c r="AL438" s="390" t="str">
        <f t="array" ref="AL438">IF(AJ438&lt;&gt;"",INDEX(TM_Score1,MATCH(1,(TM_Events=D438)*(TM_Participant1=AJ438)*(TM_Participant2=G438),0)),"")</f>
        <v/>
      </c>
      <c r="AM438" s="389" t="str">
        <f t="array" ref="AM438">IF(ISNUMBER(AK438),INDEX(TM_Score2,MATCH(1,(TM_Events=D438)*(TM_Participant1=G438)*(TM_Participant2=AJ438),0)),"")</f>
        <v/>
      </c>
      <c r="AN438" s="389" t="str">
        <f t="array" ref="AN438">IF(ISNUMBER(AL438),INDEX(TM_Score2,MATCH(1,(TM_Events=D438)*(TM_Participant1=AJ438)*(TM_Participant2=G438),0)),"")</f>
        <v/>
      </c>
      <c r="AO438" s="389" t="str">
        <f t="shared" si="194"/>
        <v/>
      </c>
      <c r="AP438" s="389">
        <f t="shared" si="195"/>
        <v>0</v>
      </c>
      <c r="AQ438" s="389">
        <f t="shared" si="196"/>
        <v>0</v>
      </c>
      <c r="AR438" s="389">
        <f t="shared" si="197"/>
        <v>0</v>
      </c>
      <c r="AS438" s="453">
        <f t="shared" si="198"/>
        <v>0</v>
      </c>
      <c r="AT438" s="452">
        <f t="shared" si="199"/>
        <v>0</v>
      </c>
    </row>
    <row r="439" spans="1:46" ht="16" x14ac:dyDescent="0.2">
      <c r="A439" s="298"/>
      <c r="B439"/>
      <c r="D439" s="303"/>
      <c r="E439" s="396"/>
      <c r="F439" s="387"/>
      <c r="G439" s="397"/>
      <c r="H439" s="387" t="str">
        <f t="shared" si="174"/>
        <v>0-0-0</v>
      </c>
      <c r="I439" s="389">
        <f t="shared" si="175"/>
        <v>0</v>
      </c>
      <c r="J439" s="455" t="str">
        <f t="shared" si="200"/>
        <v/>
      </c>
      <c r="K439" s="455">
        <f t="shared" si="176"/>
        <v>0</v>
      </c>
      <c r="L439" s="455">
        <f t="shared" si="201"/>
        <v>0</v>
      </c>
      <c r="M439" s="389" t="str">
        <f>IFERROR(IF(AD439&lt;=VLOOKUP(D439,Tournaments!$A$1:$B$1772,2,FALSE),"TRUE","FALSE"),"")</f>
        <v/>
      </c>
      <c r="N439" s="389">
        <v>1</v>
      </c>
      <c r="O439" s="389">
        <f t="shared" si="177"/>
        <v>0</v>
      </c>
      <c r="Q439" s="389">
        <f t="shared" si="178"/>
        <v>0</v>
      </c>
      <c r="R439" s="389">
        <f t="shared" si="179"/>
        <v>0</v>
      </c>
      <c r="S439" s="389">
        <f t="shared" si="180"/>
        <v>0</v>
      </c>
      <c r="U439" s="389">
        <f t="shared" si="181"/>
        <v>0</v>
      </c>
      <c r="V439" s="389" t="b">
        <f t="shared" si="182"/>
        <v>0</v>
      </c>
      <c r="W439" s="389">
        <f t="shared" si="183"/>
        <v>0</v>
      </c>
      <c r="X439" s="389">
        <f t="shared" si="184"/>
        <v>0</v>
      </c>
      <c r="Y439" s="389">
        <f t="shared" si="202"/>
        <v>1.0999999999999999E-2</v>
      </c>
      <c r="Z439" s="389">
        <f t="shared" si="185"/>
        <v>1.0999999999999999E-2</v>
      </c>
      <c r="AA439" s="389">
        <f t="shared" si="186"/>
        <v>0</v>
      </c>
      <c r="AB439" s="389">
        <f t="shared" si="187"/>
        <v>1E-4</v>
      </c>
      <c r="AC439" s="389">
        <f t="shared" si="188"/>
        <v>1E-4</v>
      </c>
      <c r="AD439" s="389">
        <f t="shared" si="189"/>
        <v>0</v>
      </c>
      <c r="AE439" s="389">
        <f t="shared" si="190"/>
        <v>0</v>
      </c>
      <c r="AG439" s="311" t="str">
        <f t="shared" si="191"/>
        <v>-</v>
      </c>
      <c r="AH439" s="453" t="str">
        <f t="shared" si="192"/>
        <v/>
      </c>
      <c r="AI439" s="453" t="str">
        <f t="shared" si="193"/>
        <v/>
      </c>
      <c r="AJ439" t="str">
        <f t="array" ref="AJ439">IF(AND(AI439&gt;1,G439&lt;&gt;""),INDEX(FS_teams,MATCH(1,(FS_Keys=AG439)*(FS_Points=I439)*(FS_teams&lt;&gt;G439),0)),"")</f>
        <v/>
      </c>
      <c r="AK439" s="390" t="str">
        <f t="array" ref="AK439">IF(AJ439&lt;&gt;"",INDEX(TM_Score1,MATCH(1,(TM_Events=D439)*(TM_Participant1=G439)*(TM_Participant2=AJ439),0)),"")</f>
        <v/>
      </c>
      <c r="AL439" s="390" t="str">
        <f t="array" ref="AL439">IF(AJ439&lt;&gt;"",INDEX(TM_Score1,MATCH(1,(TM_Events=D439)*(TM_Participant1=AJ439)*(TM_Participant2=G439),0)),"")</f>
        <v/>
      </c>
      <c r="AM439" s="389" t="str">
        <f t="array" ref="AM439">IF(ISNUMBER(AK439),INDEX(TM_Score2,MATCH(1,(TM_Events=D439)*(TM_Participant1=G439)*(TM_Participant2=AJ439),0)),"")</f>
        <v/>
      </c>
      <c r="AN439" s="389" t="str">
        <f t="array" ref="AN439">IF(ISNUMBER(AL439),INDEX(TM_Score2,MATCH(1,(TM_Events=D439)*(TM_Participant1=AJ439)*(TM_Participant2=G439),0)),"")</f>
        <v/>
      </c>
      <c r="AO439" s="389" t="str">
        <f t="shared" si="194"/>
        <v/>
      </c>
      <c r="AP439" s="389">
        <f t="shared" si="195"/>
        <v>0</v>
      </c>
      <c r="AQ439" s="389">
        <f t="shared" si="196"/>
        <v>0</v>
      </c>
      <c r="AR439" s="389">
        <f t="shared" si="197"/>
        <v>0</v>
      </c>
      <c r="AS439" s="453">
        <f t="shared" si="198"/>
        <v>0</v>
      </c>
      <c r="AT439" s="452">
        <f t="shared" si="199"/>
        <v>0</v>
      </c>
    </row>
    <row r="440" spans="1:46" ht="16" x14ac:dyDescent="0.2">
      <c r="A440" s="298"/>
      <c r="B440"/>
      <c r="D440" s="303"/>
      <c r="E440" s="396"/>
      <c r="F440" s="387"/>
      <c r="G440" s="397"/>
      <c r="H440" s="387" t="str">
        <f t="shared" si="174"/>
        <v>0-0-0</v>
      </c>
      <c r="I440" s="389">
        <f t="shared" si="175"/>
        <v>0</v>
      </c>
      <c r="J440" s="455" t="str">
        <f t="shared" si="200"/>
        <v/>
      </c>
      <c r="K440" s="455">
        <f t="shared" si="176"/>
        <v>0</v>
      </c>
      <c r="L440" s="455">
        <f t="shared" si="201"/>
        <v>0</v>
      </c>
      <c r="M440" s="389" t="str">
        <f>IFERROR(IF(AD440&lt;=VLOOKUP(D440,Tournaments!$A$1:$B$1772,2,FALSE),"TRUE","FALSE"),"")</f>
        <v/>
      </c>
      <c r="N440" s="389">
        <v>1</v>
      </c>
      <c r="O440" s="389">
        <f t="shared" si="177"/>
        <v>0</v>
      </c>
      <c r="Q440" s="389">
        <f t="shared" si="178"/>
        <v>0</v>
      </c>
      <c r="R440" s="389">
        <f t="shared" si="179"/>
        <v>0</v>
      </c>
      <c r="S440" s="389">
        <f t="shared" si="180"/>
        <v>0</v>
      </c>
      <c r="U440" s="389">
        <f t="shared" si="181"/>
        <v>0</v>
      </c>
      <c r="V440" s="389" t="b">
        <f t="shared" si="182"/>
        <v>0</v>
      </c>
      <c r="W440" s="389">
        <f t="shared" si="183"/>
        <v>0</v>
      </c>
      <c r="X440" s="389">
        <f t="shared" si="184"/>
        <v>0</v>
      </c>
      <c r="Y440" s="389">
        <f t="shared" si="202"/>
        <v>1.0999999999999999E-2</v>
      </c>
      <c r="Z440" s="389">
        <f t="shared" si="185"/>
        <v>1.0999999999999999E-2</v>
      </c>
      <c r="AA440" s="389">
        <f t="shared" si="186"/>
        <v>0</v>
      </c>
      <c r="AB440" s="389">
        <f t="shared" si="187"/>
        <v>1E-4</v>
      </c>
      <c r="AC440" s="389">
        <f t="shared" si="188"/>
        <v>1E-4</v>
      </c>
      <c r="AD440" s="389">
        <f t="shared" si="189"/>
        <v>0</v>
      </c>
      <c r="AE440" s="389">
        <f t="shared" si="190"/>
        <v>0</v>
      </c>
      <c r="AG440" s="311" t="str">
        <f t="shared" si="191"/>
        <v>-</v>
      </c>
      <c r="AH440" s="453" t="str">
        <f t="shared" si="192"/>
        <v/>
      </c>
      <c r="AI440" s="453" t="str">
        <f t="shared" si="193"/>
        <v/>
      </c>
      <c r="AJ440" t="str">
        <f t="array" ref="AJ440">IF(AND(AI440&gt;1,G440&lt;&gt;""),INDEX(FS_teams,MATCH(1,(FS_Keys=AG440)*(FS_Points=I440)*(FS_teams&lt;&gt;G440),0)),"")</f>
        <v/>
      </c>
      <c r="AK440" s="390" t="str">
        <f t="array" ref="AK440">IF(AJ440&lt;&gt;"",INDEX(TM_Score1,MATCH(1,(TM_Events=D440)*(TM_Participant1=G440)*(TM_Participant2=AJ440),0)),"")</f>
        <v/>
      </c>
      <c r="AL440" s="390" t="str">
        <f t="array" ref="AL440">IF(AJ440&lt;&gt;"",INDEX(TM_Score1,MATCH(1,(TM_Events=D440)*(TM_Participant1=AJ440)*(TM_Participant2=G440),0)),"")</f>
        <v/>
      </c>
      <c r="AM440" s="389" t="str">
        <f t="array" ref="AM440">IF(ISNUMBER(AK440),INDEX(TM_Score2,MATCH(1,(TM_Events=D440)*(TM_Participant1=G440)*(TM_Participant2=AJ440),0)),"")</f>
        <v/>
      </c>
      <c r="AN440" s="389" t="str">
        <f t="array" ref="AN440">IF(ISNUMBER(AL440),INDEX(TM_Score2,MATCH(1,(TM_Events=D440)*(TM_Participant1=AJ440)*(TM_Participant2=G440),0)),"")</f>
        <v/>
      </c>
      <c r="AO440" s="389" t="str">
        <f t="shared" si="194"/>
        <v/>
      </c>
      <c r="AP440" s="389">
        <f t="shared" si="195"/>
        <v>0</v>
      </c>
      <c r="AQ440" s="389">
        <f t="shared" si="196"/>
        <v>0</v>
      </c>
      <c r="AR440" s="389">
        <f t="shared" si="197"/>
        <v>0</v>
      </c>
      <c r="AS440" s="453">
        <f t="shared" si="198"/>
        <v>0</v>
      </c>
      <c r="AT440" s="452">
        <f t="shared" si="199"/>
        <v>0</v>
      </c>
    </row>
    <row r="441" spans="1:46" ht="16" x14ac:dyDescent="0.2">
      <c r="A441" s="298"/>
      <c r="B441"/>
      <c r="D441" s="303"/>
      <c r="E441" s="396"/>
      <c r="F441" s="387"/>
      <c r="G441" s="397"/>
      <c r="H441" s="387" t="str">
        <f t="shared" si="174"/>
        <v>0-0-0</v>
      </c>
      <c r="I441" s="389">
        <f t="shared" si="175"/>
        <v>0</v>
      </c>
      <c r="J441" s="455" t="str">
        <f t="shared" si="200"/>
        <v/>
      </c>
      <c r="K441" s="455">
        <f t="shared" si="176"/>
        <v>0</v>
      </c>
      <c r="L441" s="455">
        <f t="shared" si="201"/>
        <v>0</v>
      </c>
      <c r="M441" s="389" t="str">
        <f>IFERROR(IF(AD441&lt;=VLOOKUP(D441,Tournaments!$A$1:$B$1772,2,FALSE),"TRUE","FALSE"),"")</f>
        <v/>
      </c>
      <c r="N441" s="389">
        <v>1</v>
      </c>
      <c r="O441" s="389">
        <f t="shared" si="177"/>
        <v>0</v>
      </c>
      <c r="Q441" s="389">
        <f t="shared" si="178"/>
        <v>0</v>
      </c>
      <c r="R441" s="389">
        <f t="shared" si="179"/>
        <v>0</v>
      </c>
      <c r="S441" s="389">
        <f t="shared" si="180"/>
        <v>0</v>
      </c>
      <c r="U441" s="389">
        <f t="shared" si="181"/>
        <v>0</v>
      </c>
      <c r="V441" s="389" t="b">
        <f t="shared" si="182"/>
        <v>0</v>
      </c>
      <c r="W441" s="389">
        <f t="shared" si="183"/>
        <v>0</v>
      </c>
      <c r="X441" s="389">
        <f t="shared" si="184"/>
        <v>0</v>
      </c>
      <c r="Y441" s="389">
        <f t="shared" si="202"/>
        <v>1.0999999999999999E-2</v>
      </c>
      <c r="Z441" s="389">
        <f t="shared" si="185"/>
        <v>1.0999999999999999E-2</v>
      </c>
      <c r="AA441" s="389">
        <f t="shared" si="186"/>
        <v>0</v>
      </c>
      <c r="AB441" s="389">
        <f t="shared" si="187"/>
        <v>1E-4</v>
      </c>
      <c r="AC441" s="389">
        <f t="shared" si="188"/>
        <v>1E-4</v>
      </c>
      <c r="AD441" s="389">
        <f t="shared" si="189"/>
        <v>0</v>
      </c>
      <c r="AE441" s="389">
        <f t="shared" si="190"/>
        <v>0</v>
      </c>
      <c r="AG441" s="311" t="str">
        <f t="shared" si="191"/>
        <v>-</v>
      </c>
      <c r="AH441" s="453" t="str">
        <f t="shared" si="192"/>
        <v/>
      </c>
      <c r="AI441" s="453" t="str">
        <f t="shared" si="193"/>
        <v/>
      </c>
      <c r="AJ441" t="str">
        <f t="array" ref="AJ441">IF(AND(AI441&gt;1,G441&lt;&gt;""),INDEX(FS_teams,MATCH(1,(FS_Keys=AG441)*(FS_Points=I441)*(FS_teams&lt;&gt;G441),0)),"")</f>
        <v/>
      </c>
      <c r="AK441" s="390" t="str">
        <f t="array" ref="AK441">IF(AJ441&lt;&gt;"",INDEX(TM_Score1,MATCH(1,(TM_Events=D441)*(TM_Participant1=G441)*(TM_Participant2=AJ441),0)),"")</f>
        <v/>
      </c>
      <c r="AL441" s="390" t="str">
        <f t="array" ref="AL441">IF(AJ441&lt;&gt;"",INDEX(TM_Score1,MATCH(1,(TM_Events=D441)*(TM_Participant1=AJ441)*(TM_Participant2=G441),0)),"")</f>
        <v/>
      </c>
      <c r="AM441" s="389" t="str">
        <f t="array" ref="AM441">IF(ISNUMBER(AK441),INDEX(TM_Score2,MATCH(1,(TM_Events=D441)*(TM_Participant1=G441)*(TM_Participant2=AJ441),0)),"")</f>
        <v/>
      </c>
      <c r="AN441" s="389" t="str">
        <f t="array" ref="AN441">IF(ISNUMBER(AL441),INDEX(TM_Score2,MATCH(1,(TM_Events=D441)*(TM_Participant1=AJ441)*(TM_Participant2=G441),0)),"")</f>
        <v/>
      </c>
      <c r="AO441" s="389" t="str">
        <f t="shared" si="194"/>
        <v/>
      </c>
      <c r="AP441" s="389">
        <f t="shared" si="195"/>
        <v>0</v>
      </c>
      <c r="AQ441" s="389">
        <f t="shared" si="196"/>
        <v>0</v>
      </c>
      <c r="AR441" s="389">
        <f t="shared" si="197"/>
        <v>0</v>
      </c>
      <c r="AS441" s="453">
        <f t="shared" si="198"/>
        <v>0</v>
      </c>
      <c r="AT441" s="452">
        <f t="shared" si="199"/>
        <v>0</v>
      </c>
    </row>
    <row r="442" spans="1:46" ht="16" x14ac:dyDescent="0.2">
      <c r="A442" s="298"/>
      <c r="B442"/>
      <c r="D442" s="303"/>
      <c r="E442" s="396"/>
      <c r="F442" s="387"/>
      <c r="G442" s="397"/>
      <c r="H442" s="387" t="str">
        <f t="shared" si="174"/>
        <v>0-0-0</v>
      </c>
      <c r="I442" s="389">
        <f t="shared" si="175"/>
        <v>0</v>
      </c>
      <c r="J442" s="455" t="str">
        <f t="shared" si="200"/>
        <v/>
      </c>
      <c r="K442" s="455">
        <f t="shared" si="176"/>
        <v>0</v>
      </c>
      <c r="L442" s="455">
        <f t="shared" si="201"/>
        <v>0</v>
      </c>
      <c r="M442" s="389" t="str">
        <f>IFERROR(IF(AD442&lt;=VLOOKUP(D442,Tournaments!$A$1:$B$1772,2,FALSE),"TRUE","FALSE"),"")</f>
        <v/>
      </c>
      <c r="N442" s="389">
        <v>1</v>
      </c>
      <c r="O442" s="389">
        <f t="shared" si="177"/>
        <v>0</v>
      </c>
      <c r="Q442" s="389">
        <f t="shared" si="178"/>
        <v>0</v>
      </c>
      <c r="R442" s="389">
        <f t="shared" si="179"/>
        <v>0</v>
      </c>
      <c r="S442" s="389">
        <f t="shared" si="180"/>
        <v>0</v>
      </c>
      <c r="U442" s="389">
        <f t="shared" si="181"/>
        <v>0</v>
      </c>
      <c r="V442" s="389" t="b">
        <f t="shared" si="182"/>
        <v>0</v>
      </c>
      <c r="W442" s="389">
        <f t="shared" si="183"/>
        <v>0</v>
      </c>
      <c r="X442" s="389">
        <f t="shared" si="184"/>
        <v>0</v>
      </c>
      <c r="Y442" s="389">
        <f t="shared" si="202"/>
        <v>1.0999999999999999E-2</v>
      </c>
      <c r="Z442" s="389">
        <f t="shared" si="185"/>
        <v>1.0999999999999999E-2</v>
      </c>
      <c r="AA442" s="389">
        <f t="shared" si="186"/>
        <v>0</v>
      </c>
      <c r="AB442" s="389">
        <f t="shared" si="187"/>
        <v>1E-4</v>
      </c>
      <c r="AC442" s="389">
        <f t="shared" si="188"/>
        <v>1E-4</v>
      </c>
      <c r="AD442" s="389">
        <f t="shared" si="189"/>
        <v>0</v>
      </c>
      <c r="AE442" s="389">
        <f t="shared" si="190"/>
        <v>0</v>
      </c>
      <c r="AG442" s="311" t="str">
        <f t="shared" si="191"/>
        <v>-</v>
      </c>
      <c r="AH442" s="453" t="str">
        <f t="shared" si="192"/>
        <v/>
      </c>
      <c r="AI442" s="453" t="str">
        <f t="shared" si="193"/>
        <v/>
      </c>
      <c r="AJ442" t="str">
        <f t="array" ref="AJ442">IF(AND(AI442&gt;1,G442&lt;&gt;""),INDEX(FS_teams,MATCH(1,(FS_Keys=AG442)*(FS_Points=I442)*(FS_teams&lt;&gt;G442),0)),"")</f>
        <v/>
      </c>
      <c r="AK442" s="390" t="str">
        <f t="array" ref="AK442">IF(AJ442&lt;&gt;"",INDEX(TM_Score1,MATCH(1,(TM_Events=D442)*(TM_Participant1=G442)*(TM_Participant2=AJ442),0)),"")</f>
        <v/>
      </c>
      <c r="AL442" s="390" t="str">
        <f t="array" ref="AL442">IF(AJ442&lt;&gt;"",INDEX(TM_Score1,MATCH(1,(TM_Events=D442)*(TM_Participant1=AJ442)*(TM_Participant2=G442),0)),"")</f>
        <v/>
      </c>
      <c r="AM442" s="389" t="str">
        <f t="array" ref="AM442">IF(ISNUMBER(AK442),INDEX(TM_Score2,MATCH(1,(TM_Events=D442)*(TM_Participant1=G442)*(TM_Participant2=AJ442),0)),"")</f>
        <v/>
      </c>
      <c r="AN442" s="389" t="str">
        <f t="array" ref="AN442">IF(ISNUMBER(AL442),INDEX(TM_Score2,MATCH(1,(TM_Events=D442)*(TM_Participant1=AJ442)*(TM_Participant2=G442),0)),"")</f>
        <v/>
      </c>
      <c r="AO442" s="389" t="str">
        <f t="shared" si="194"/>
        <v/>
      </c>
      <c r="AP442" s="389">
        <f t="shared" si="195"/>
        <v>0</v>
      </c>
      <c r="AQ442" s="389">
        <f t="shared" si="196"/>
        <v>0</v>
      </c>
      <c r="AR442" s="389">
        <f t="shared" si="197"/>
        <v>0</v>
      </c>
      <c r="AS442" s="453">
        <f t="shared" si="198"/>
        <v>0</v>
      </c>
      <c r="AT442" s="452">
        <f t="shared" si="199"/>
        <v>0</v>
      </c>
    </row>
    <row r="443" spans="1:46" ht="16" x14ac:dyDescent="0.2">
      <c r="A443" s="298"/>
      <c r="B443"/>
      <c r="D443" s="303"/>
      <c r="E443" s="396"/>
      <c r="F443" s="387"/>
      <c r="G443" s="397"/>
      <c r="H443" s="387" t="str">
        <f t="shared" si="174"/>
        <v>0-0-0</v>
      </c>
      <c r="I443" s="389">
        <f t="shared" si="175"/>
        <v>0</v>
      </c>
      <c r="J443" s="455" t="str">
        <f t="shared" si="200"/>
        <v/>
      </c>
      <c r="K443" s="455">
        <f t="shared" si="176"/>
        <v>0</v>
      </c>
      <c r="L443" s="455">
        <f t="shared" si="201"/>
        <v>0</v>
      </c>
      <c r="M443" s="389" t="str">
        <f>IFERROR(IF(AD443&lt;=VLOOKUP(D443,Tournaments!$A$1:$B$1772,2,FALSE),"TRUE","FALSE"),"")</f>
        <v/>
      </c>
      <c r="N443" s="389">
        <v>1</v>
      </c>
      <c r="O443" s="389">
        <f t="shared" si="177"/>
        <v>0</v>
      </c>
      <c r="Q443" s="389">
        <f t="shared" si="178"/>
        <v>0</v>
      </c>
      <c r="R443" s="389">
        <f t="shared" si="179"/>
        <v>0</v>
      </c>
      <c r="S443" s="389">
        <f t="shared" si="180"/>
        <v>0</v>
      </c>
      <c r="U443" s="389">
        <f t="shared" si="181"/>
        <v>0</v>
      </c>
      <c r="V443" s="389" t="b">
        <f t="shared" si="182"/>
        <v>0</v>
      </c>
      <c r="W443" s="389">
        <f t="shared" si="183"/>
        <v>0</v>
      </c>
      <c r="X443" s="389">
        <f t="shared" si="184"/>
        <v>0</v>
      </c>
      <c r="Y443" s="389">
        <f t="shared" si="202"/>
        <v>1.0999999999999999E-2</v>
      </c>
      <c r="Z443" s="389">
        <f t="shared" si="185"/>
        <v>1.0999999999999999E-2</v>
      </c>
      <c r="AA443" s="389">
        <f t="shared" si="186"/>
        <v>0</v>
      </c>
      <c r="AB443" s="389">
        <f t="shared" si="187"/>
        <v>1E-4</v>
      </c>
      <c r="AC443" s="389">
        <f t="shared" si="188"/>
        <v>1E-4</v>
      </c>
      <c r="AD443" s="389">
        <f t="shared" si="189"/>
        <v>0</v>
      </c>
      <c r="AE443" s="389">
        <f t="shared" si="190"/>
        <v>0</v>
      </c>
      <c r="AG443" s="311" t="str">
        <f t="shared" si="191"/>
        <v>-</v>
      </c>
      <c r="AH443" s="453" t="str">
        <f t="shared" si="192"/>
        <v/>
      </c>
      <c r="AI443" s="453" t="str">
        <f t="shared" si="193"/>
        <v/>
      </c>
      <c r="AJ443" t="str">
        <f t="array" ref="AJ443">IF(AND(AI443&gt;1,G443&lt;&gt;""),INDEX(FS_teams,MATCH(1,(FS_Keys=AG443)*(FS_Points=I443)*(FS_teams&lt;&gt;G443),0)),"")</f>
        <v/>
      </c>
      <c r="AK443" s="390" t="str">
        <f t="array" ref="AK443">IF(AJ443&lt;&gt;"",INDEX(TM_Score1,MATCH(1,(TM_Events=D443)*(TM_Participant1=G443)*(TM_Participant2=AJ443),0)),"")</f>
        <v/>
      </c>
      <c r="AL443" s="390" t="str">
        <f t="array" ref="AL443">IF(AJ443&lt;&gt;"",INDEX(TM_Score1,MATCH(1,(TM_Events=D443)*(TM_Participant1=AJ443)*(TM_Participant2=G443),0)),"")</f>
        <v/>
      </c>
      <c r="AM443" s="389" t="str">
        <f t="array" ref="AM443">IF(ISNUMBER(AK443),INDEX(TM_Score2,MATCH(1,(TM_Events=D443)*(TM_Participant1=G443)*(TM_Participant2=AJ443),0)),"")</f>
        <v/>
      </c>
      <c r="AN443" s="389" t="str">
        <f t="array" ref="AN443">IF(ISNUMBER(AL443),INDEX(TM_Score2,MATCH(1,(TM_Events=D443)*(TM_Participant1=AJ443)*(TM_Participant2=G443),0)),"")</f>
        <v/>
      </c>
      <c r="AO443" s="389" t="str">
        <f t="shared" si="194"/>
        <v/>
      </c>
      <c r="AP443" s="389">
        <f t="shared" si="195"/>
        <v>0</v>
      </c>
      <c r="AQ443" s="389">
        <f t="shared" si="196"/>
        <v>0</v>
      </c>
      <c r="AR443" s="389">
        <f t="shared" si="197"/>
        <v>0</v>
      </c>
      <c r="AS443" s="453">
        <f t="shared" si="198"/>
        <v>0</v>
      </c>
      <c r="AT443" s="452">
        <f t="shared" si="199"/>
        <v>0</v>
      </c>
    </row>
    <row r="444" spans="1:46" ht="16" x14ac:dyDescent="0.2">
      <c r="A444" s="298"/>
      <c r="B444"/>
      <c r="D444" s="303"/>
      <c r="E444" s="396"/>
      <c r="F444" s="387"/>
      <c r="G444" s="397"/>
      <c r="H444" s="387" t="str">
        <f t="shared" si="174"/>
        <v>0-0-0</v>
      </c>
      <c r="I444" s="389">
        <f t="shared" si="175"/>
        <v>0</v>
      </c>
      <c r="J444" s="455" t="str">
        <f t="shared" si="200"/>
        <v/>
      </c>
      <c r="K444" s="455">
        <f t="shared" si="176"/>
        <v>0</v>
      </c>
      <c r="L444" s="455">
        <f t="shared" si="201"/>
        <v>0</v>
      </c>
      <c r="M444" s="389" t="str">
        <f>IFERROR(IF(AD444&lt;=VLOOKUP(D444,Tournaments!$A$1:$B$1772,2,FALSE),"TRUE","FALSE"),"")</f>
        <v/>
      </c>
      <c r="N444" s="389">
        <v>1</v>
      </c>
      <c r="O444" s="389">
        <f t="shared" si="177"/>
        <v>0</v>
      </c>
      <c r="Q444" s="389">
        <f t="shared" si="178"/>
        <v>0</v>
      </c>
      <c r="R444" s="389">
        <f t="shared" si="179"/>
        <v>0</v>
      </c>
      <c r="S444" s="389">
        <f t="shared" si="180"/>
        <v>0</v>
      </c>
      <c r="U444" s="389">
        <f t="shared" si="181"/>
        <v>0</v>
      </c>
      <c r="V444" s="389" t="b">
        <f t="shared" si="182"/>
        <v>0</v>
      </c>
      <c r="W444" s="389">
        <f t="shared" si="183"/>
        <v>0</v>
      </c>
      <c r="X444" s="389">
        <f t="shared" si="184"/>
        <v>0</v>
      </c>
      <c r="Y444" s="389">
        <f t="shared" si="202"/>
        <v>1.0999999999999999E-2</v>
      </c>
      <c r="Z444" s="389">
        <f t="shared" si="185"/>
        <v>1.0999999999999999E-2</v>
      </c>
      <c r="AA444" s="389">
        <f t="shared" si="186"/>
        <v>0</v>
      </c>
      <c r="AB444" s="389">
        <f t="shared" si="187"/>
        <v>1E-4</v>
      </c>
      <c r="AC444" s="389">
        <f t="shared" si="188"/>
        <v>1E-4</v>
      </c>
      <c r="AD444" s="389">
        <f t="shared" si="189"/>
        <v>0</v>
      </c>
      <c r="AE444" s="389">
        <f t="shared" si="190"/>
        <v>0</v>
      </c>
      <c r="AG444" s="311" t="str">
        <f t="shared" si="191"/>
        <v>-</v>
      </c>
      <c r="AH444" s="453" t="str">
        <f t="shared" si="192"/>
        <v/>
      </c>
      <c r="AI444" s="453" t="str">
        <f t="shared" si="193"/>
        <v/>
      </c>
      <c r="AJ444" t="str">
        <f t="array" ref="AJ444">IF(AND(AI444&gt;1,G444&lt;&gt;""),INDEX(FS_teams,MATCH(1,(FS_Keys=AG444)*(FS_Points=I444)*(FS_teams&lt;&gt;G444),0)),"")</f>
        <v/>
      </c>
      <c r="AK444" s="390" t="str">
        <f t="array" ref="AK444">IF(AJ444&lt;&gt;"",INDEX(TM_Score1,MATCH(1,(TM_Events=D444)*(TM_Participant1=G444)*(TM_Participant2=AJ444),0)),"")</f>
        <v/>
      </c>
      <c r="AL444" s="390" t="str">
        <f t="array" ref="AL444">IF(AJ444&lt;&gt;"",INDEX(TM_Score1,MATCH(1,(TM_Events=D444)*(TM_Participant1=AJ444)*(TM_Participant2=G444),0)),"")</f>
        <v/>
      </c>
      <c r="AM444" s="389" t="str">
        <f t="array" ref="AM444">IF(ISNUMBER(AK444),INDEX(TM_Score2,MATCH(1,(TM_Events=D444)*(TM_Participant1=G444)*(TM_Participant2=AJ444),0)),"")</f>
        <v/>
      </c>
      <c r="AN444" s="389" t="str">
        <f t="array" ref="AN444">IF(ISNUMBER(AL444),INDEX(TM_Score2,MATCH(1,(TM_Events=D444)*(TM_Participant1=AJ444)*(TM_Participant2=G444),0)),"")</f>
        <v/>
      </c>
      <c r="AO444" s="389" t="str">
        <f t="shared" si="194"/>
        <v/>
      </c>
      <c r="AP444" s="389">
        <f t="shared" si="195"/>
        <v>0</v>
      </c>
      <c r="AQ444" s="389">
        <f t="shared" si="196"/>
        <v>0</v>
      </c>
      <c r="AR444" s="389">
        <f t="shared" si="197"/>
        <v>0</v>
      </c>
      <c r="AS444" s="453">
        <f t="shared" si="198"/>
        <v>0</v>
      </c>
      <c r="AT444" s="452">
        <f t="shared" si="199"/>
        <v>0</v>
      </c>
    </row>
    <row r="445" spans="1:46" ht="16" x14ac:dyDescent="0.2">
      <c r="A445" s="298"/>
      <c r="B445"/>
      <c r="D445" s="303"/>
      <c r="E445" s="396"/>
      <c r="F445" s="387"/>
      <c r="G445" s="397"/>
      <c r="H445" s="387" t="str">
        <f t="shared" si="174"/>
        <v>0-0-0</v>
      </c>
      <c r="I445" s="389">
        <f t="shared" si="175"/>
        <v>0</v>
      </c>
      <c r="J445" s="455" t="str">
        <f t="shared" si="200"/>
        <v/>
      </c>
      <c r="K445" s="455">
        <f t="shared" si="176"/>
        <v>0</v>
      </c>
      <c r="L445" s="455">
        <f t="shared" si="201"/>
        <v>0</v>
      </c>
      <c r="M445" s="389" t="str">
        <f>IFERROR(IF(AD445&lt;=VLOOKUP(D445,Tournaments!$A$1:$B$1772,2,FALSE),"TRUE","FALSE"),"")</f>
        <v/>
      </c>
      <c r="N445" s="389">
        <v>1</v>
      </c>
      <c r="O445" s="389">
        <f t="shared" si="177"/>
        <v>0</v>
      </c>
      <c r="Q445" s="389">
        <f t="shared" si="178"/>
        <v>0</v>
      </c>
      <c r="R445" s="389">
        <f t="shared" si="179"/>
        <v>0</v>
      </c>
      <c r="S445" s="389">
        <f t="shared" si="180"/>
        <v>0</v>
      </c>
      <c r="U445" s="389">
        <f t="shared" si="181"/>
        <v>0</v>
      </c>
      <c r="V445" s="389" t="b">
        <f t="shared" si="182"/>
        <v>0</v>
      </c>
      <c r="W445" s="389">
        <f t="shared" si="183"/>
        <v>0</v>
      </c>
      <c r="X445" s="389">
        <f t="shared" si="184"/>
        <v>0</v>
      </c>
      <c r="Y445" s="389">
        <f t="shared" si="202"/>
        <v>1.0999999999999999E-2</v>
      </c>
      <c r="Z445" s="389">
        <f t="shared" si="185"/>
        <v>1.0999999999999999E-2</v>
      </c>
      <c r="AA445" s="389">
        <f t="shared" si="186"/>
        <v>0</v>
      </c>
      <c r="AB445" s="389">
        <f t="shared" si="187"/>
        <v>1E-4</v>
      </c>
      <c r="AC445" s="389">
        <f t="shared" si="188"/>
        <v>1E-4</v>
      </c>
      <c r="AD445" s="389">
        <f t="shared" si="189"/>
        <v>0</v>
      </c>
      <c r="AE445" s="389">
        <f t="shared" si="190"/>
        <v>0</v>
      </c>
      <c r="AG445" s="311" t="str">
        <f t="shared" si="191"/>
        <v>-</v>
      </c>
      <c r="AH445" s="453" t="str">
        <f t="shared" si="192"/>
        <v/>
      </c>
      <c r="AI445" s="453" t="str">
        <f t="shared" si="193"/>
        <v/>
      </c>
      <c r="AJ445" t="str">
        <f t="array" ref="AJ445">IF(AND(AI445&gt;1,G445&lt;&gt;""),INDEX(FS_teams,MATCH(1,(FS_Keys=AG445)*(FS_Points=I445)*(FS_teams&lt;&gt;G445),0)),"")</f>
        <v/>
      </c>
      <c r="AK445" s="390" t="str">
        <f t="array" ref="AK445">IF(AJ445&lt;&gt;"",INDEX(TM_Score1,MATCH(1,(TM_Events=D445)*(TM_Participant1=G445)*(TM_Participant2=AJ445),0)),"")</f>
        <v/>
      </c>
      <c r="AL445" s="390" t="str">
        <f t="array" ref="AL445">IF(AJ445&lt;&gt;"",INDEX(TM_Score1,MATCH(1,(TM_Events=D445)*(TM_Participant1=AJ445)*(TM_Participant2=G445),0)),"")</f>
        <v/>
      </c>
      <c r="AM445" s="389" t="str">
        <f t="array" ref="AM445">IF(ISNUMBER(AK445),INDEX(TM_Score2,MATCH(1,(TM_Events=D445)*(TM_Participant1=G445)*(TM_Participant2=AJ445),0)),"")</f>
        <v/>
      </c>
      <c r="AN445" s="389" t="str">
        <f t="array" ref="AN445">IF(ISNUMBER(AL445),INDEX(TM_Score2,MATCH(1,(TM_Events=D445)*(TM_Participant1=AJ445)*(TM_Participant2=G445),0)),"")</f>
        <v/>
      </c>
      <c r="AO445" s="389" t="str">
        <f t="shared" si="194"/>
        <v/>
      </c>
      <c r="AP445" s="389">
        <f t="shared" si="195"/>
        <v>0</v>
      </c>
      <c r="AQ445" s="389">
        <f t="shared" si="196"/>
        <v>0</v>
      </c>
      <c r="AR445" s="389">
        <f t="shared" si="197"/>
        <v>0</v>
      </c>
      <c r="AS445" s="453">
        <f t="shared" si="198"/>
        <v>0</v>
      </c>
      <c r="AT445" s="452">
        <f t="shared" si="199"/>
        <v>0</v>
      </c>
    </row>
    <row r="446" spans="1:46" ht="16" x14ac:dyDescent="0.2">
      <c r="A446" s="298"/>
      <c r="B446"/>
      <c r="D446" s="303"/>
      <c r="E446" s="396"/>
      <c r="F446" s="387"/>
      <c r="G446" s="397"/>
      <c r="H446" s="387" t="str">
        <f t="shared" si="174"/>
        <v>0-0-0</v>
      </c>
      <c r="I446" s="389">
        <f t="shared" si="175"/>
        <v>0</v>
      </c>
      <c r="J446" s="455" t="str">
        <f t="shared" si="200"/>
        <v/>
      </c>
      <c r="K446" s="455">
        <f t="shared" si="176"/>
        <v>0</v>
      </c>
      <c r="L446" s="455">
        <f t="shared" si="201"/>
        <v>0</v>
      </c>
      <c r="M446" s="389" t="str">
        <f>IFERROR(IF(AD446&lt;=VLOOKUP(D446,Tournaments!$A$1:$B$1772,2,FALSE),"TRUE","FALSE"),"")</f>
        <v/>
      </c>
      <c r="N446" s="389">
        <v>1</v>
      </c>
      <c r="O446" s="389">
        <f t="shared" si="177"/>
        <v>0</v>
      </c>
      <c r="Q446" s="389">
        <f t="shared" si="178"/>
        <v>0</v>
      </c>
      <c r="R446" s="389">
        <f t="shared" si="179"/>
        <v>0</v>
      </c>
      <c r="S446" s="389">
        <f t="shared" si="180"/>
        <v>0</v>
      </c>
      <c r="U446" s="389">
        <f t="shared" si="181"/>
        <v>0</v>
      </c>
      <c r="V446" s="389" t="b">
        <f t="shared" si="182"/>
        <v>0</v>
      </c>
      <c r="W446" s="389">
        <f t="shared" si="183"/>
        <v>0</v>
      </c>
      <c r="X446" s="389">
        <f t="shared" si="184"/>
        <v>0</v>
      </c>
      <c r="Y446" s="389">
        <f t="shared" si="202"/>
        <v>1.0999999999999999E-2</v>
      </c>
      <c r="Z446" s="389">
        <f t="shared" si="185"/>
        <v>1.0999999999999999E-2</v>
      </c>
      <c r="AA446" s="389">
        <f t="shared" si="186"/>
        <v>0</v>
      </c>
      <c r="AB446" s="389">
        <f t="shared" si="187"/>
        <v>1E-4</v>
      </c>
      <c r="AC446" s="389">
        <f t="shared" si="188"/>
        <v>1E-4</v>
      </c>
      <c r="AD446" s="389">
        <f t="shared" si="189"/>
        <v>0</v>
      </c>
      <c r="AE446" s="389">
        <f t="shared" si="190"/>
        <v>0</v>
      </c>
      <c r="AG446" s="311" t="str">
        <f t="shared" si="191"/>
        <v>-</v>
      </c>
      <c r="AH446" s="453" t="str">
        <f t="shared" si="192"/>
        <v/>
      </c>
      <c r="AI446" s="453" t="str">
        <f t="shared" si="193"/>
        <v/>
      </c>
      <c r="AJ446" t="str">
        <f t="array" ref="AJ446">IF(AND(AI446&gt;1,G446&lt;&gt;""),INDEX(FS_teams,MATCH(1,(FS_Keys=AG446)*(FS_Points=I446)*(FS_teams&lt;&gt;G446),0)),"")</f>
        <v/>
      </c>
      <c r="AK446" s="390" t="str">
        <f t="array" ref="AK446">IF(AJ446&lt;&gt;"",INDEX(TM_Score1,MATCH(1,(TM_Events=D446)*(TM_Participant1=G446)*(TM_Participant2=AJ446),0)),"")</f>
        <v/>
      </c>
      <c r="AL446" s="390" t="str">
        <f t="array" ref="AL446">IF(AJ446&lt;&gt;"",INDEX(TM_Score1,MATCH(1,(TM_Events=D446)*(TM_Participant1=AJ446)*(TM_Participant2=G446),0)),"")</f>
        <v/>
      </c>
      <c r="AM446" s="389" t="str">
        <f t="array" ref="AM446">IF(ISNUMBER(AK446),INDEX(TM_Score2,MATCH(1,(TM_Events=D446)*(TM_Participant1=G446)*(TM_Participant2=AJ446),0)),"")</f>
        <v/>
      </c>
      <c r="AN446" s="389" t="str">
        <f t="array" ref="AN446">IF(ISNUMBER(AL446),INDEX(TM_Score2,MATCH(1,(TM_Events=D446)*(TM_Participant1=AJ446)*(TM_Participant2=G446),0)),"")</f>
        <v/>
      </c>
      <c r="AO446" s="389" t="str">
        <f t="shared" si="194"/>
        <v/>
      </c>
      <c r="AP446" s="389">
        <f t="shared" si="195"/>
        <v>0</v>
      </c>
      <c r="AQ446" s="389">
        <f t="shared" si="196"/>
        <v>0</v>
      </c>
      <c r="AR446" s="389">
        <f t="shared" si="197"/>
        <v>0</v>
      </c>
      <c r="AS446" s="453">
        <f t="shared" si="198"/>
        <v>0</v>
      </c>
      <c r="AT446" s="452">
        <f t="shared" si="199"/>
        <v>0</v>
      </c>
    </row>
    <row r="447" spans="1:46" ht="16" x14ac:dyDescent="0.2">
      <c r="A447" s="298"/>
      <c r="B447"/>
      <c r="D447" s="303"/>
      <c r="E447" s="396"/>
      <c r="F447" s="387"/>
      <c r="G447" s="397"/>
      <c r="H447" s="387" t="str">
        <f t="shared" si="174"/>
        <v>0-0-0</v>
      </c>
      <c r="I447" s="389">
        <f t="shared" si="175"/>
        <v>0</v>
      </c>
      <c r="J447" s="455" t="str">
        <f t="shared" si="200"/>
        <v/>
      </c>
      <c r="K447" s="455">
        <f t="shared" si="176"/>
        <v>0</v>
      </c>
      <c r="L447" s="455">
        <f t="shared" si="201"/>
        <v>0</v>
      </c>
      <c r="M447" s="389" t="str">
        <f>IFERROR(IF(AD447&lt;=VLOOKUP(D447,Tournaments!$A$1:$B$1772,2,FALSE),"TRUE","FALSE"),"")</f>
        <v/>
      </c>
      <c r="N447" s="389">
        <v>1</v>
      </c>
      <c r="O447" s="389">
        <f t="shared" si="177"/>
        <v>0</v>
      </c>
      <c r="Q447" s="389">
        <f t="shared" si="178"/>
        <v>0</v>
      </c>
      <c r="R447" s="389">
        <f t="shared" si="179"/>
        <v>0</v>
      </c>
      <c r="S447" s="389">
        <f t="shared" si="180"/>
        <v>0</v>
      </c>
      <c r="U447" s="389">
        <f t="shared" si="181"/>
        <v>0</v>
      </c>
      <c r="V447" s="389" t="b">
        <f t="shared" si="182"/>
        <v>0</v>
      </c>
      <c r="W447" s="389">
        <f t="shared" si="183"/>
        <v>0</v>
      </c>
      <c r="X447" s="389">
        <f t="shared" si="184"/>
        <v>0</v>
      </c>
      <c r="Y447" s="389">
        <f t="shared" si="202"/>
        <v>1.0999999999999999E-2</v>
      </c>
      <c r="Z447" s="389">
        <f t="shared" si="185"/>
        <v>1.0999999999999999E-2</v>
      </c>
      <c r="AA447" s="389">
        <f t="shared" si="186"/>
        <v>0</v>
      </c>
      <c r="AB447" s="389">
        <f t="shared" si="187"/>
        <v>1E-4</v>
      </c>
      <c r="AC447" s="389">
        <f t="shared" si="188"/>
        <v>1E-4</v>
      </c>
      <c r="AD447" s="389">
        <f t="shared" si="189"/>
        <v>0</v>
      </c>
      <c r="AE447" s="389">
        <f t="shared" si="190"/>
        <v>0</v>
      </c>
      <c r="AG447" s="311" t="str">
        <f t="shared" si="191"/>
        <v>-</v>
      </c>
      <c r="AH447" s="453" t="str">
        <f t="shared" si="192"/>
        <v/>
      </c>
      <c r="AI447" s="453" t="str">
        <f t="shared" si="193"/>
        <v/>
      </c>
      <c r="AJ447" t="str">
        <f t="array" ref="AJ447">IF(AND(AI447&gt;1,G447&lt;&gt;""),INDEX(FS_teams,MATCH(1,(FS_Keys=AG447)*(FS_Points=I447)*(FS_teams&lt;&gt;G447),0)),"")</f>
        <v/>
      </c>
      <c r="AK447" s="390" t="str">
        <f t="array" ref="AK447">IF(AJ447&lt;&gt;"",INDEX(TM_Score1,MATCH(1,(TM_Events=D447)*(TM_Participant1=G447)*(TM_Participant2=AJ447),0)),"")</f>
        <v/>
      </c>
      <c r="AL447" s="390" t="str">
        <f t="array" ref="AL447">IF(AJ447&lt;&gt;"",INDEX(TM_Score1,MATCH(1,(TM_Events=D447)*(TM_Participant1=AJ447)*(TM_Participant2=G447),0)),"")</f>
        <v/>
      </c>
      <c r="AM447" s="389" t="str">
        <f t="array" ref="AM447">IF(ISNUMBER(AK447),INDEX(TM_Score2,MATCH(1,(TM_Events=D447)*(TM_Participant1=G447)*(TM_Participant2=AJ447),0)),"")</f>
        <v/>
      </c>
      <c r="AN447" s="389" t="str">
        <f t="array" ref="AN447">IF(ISNUMBER(AL447),INDEX(TM_Score2,MATCH(1,(TM_Events=D447)*(TM_Participant1=AJ447)*(TM_Participant2=G447),0)),"")</f>
        <v/>
      </c>
      <c r="AO447" s="389" t="str">
        <f t="shared" si="194"/>
        <v/>
      </c>
      <c r="AP447" s="389">
        <f t="shared" si="195"/>
        <v>0</v>
      </c>
      <c r="AQ447" s="389">
        <f t="shared" si="196"/>
        <v>0</v>
      </c>
      <c r="AR447" s="389">
        <f t="shared" si="197"/>
        <v>0</v>
      </c>
      <c r="AS447" s="453">
        <f t="shared" si="198"/>
        <v>0</v>
      </c>
      <c r="AT447" s="452">
        <f t="shared" si="199"/>
        <v>0</v>
      </c>
    </row>
    <row r="448" spans="1:46" ht="16" x14ac:dyDescent="0.2">
      <c r="A448" s="298"/>
      <c r="B448"/>
      <c r="D448" s="303"/>
      <c r="E448" s="396"/>
      <c r="F448" s="387"/>
      <c r="G448" s="397"/>
      <c r="H448" s="387" t="str">
        <f t="shared" si="174"/>
        <v>0-0-0</v>
      </c>
      <c r="I448" s="389">
        <f t="shared" si="175"/>
        <v>0</v>
      </c>
      <c r="J448" s="455" t="str">
        <f t="shared" si="200"/>
        <v/>
      </c>
      <c r="K448" s="455">
        <f t="shared" si="176"/>
        <v>0</v>
      </c>
      <c r="L448" s="455">
        <f t="shared" si="201"/>
        <v>0</v>
      </c>
      <c r="M448" s="389" t="str">
        <f>IFERROR(IF(AD448&lt;=VLOOKUP(D448,Tournaments!$A$1:$B$1772,2,FALSE),"TRUE","FALSE"),"")</f>
        <v/>
      </c>
      <c r="N448" s="389">
        <v>1</v>
      </c>
      <c r="O448" s="389">
        <f t="shared" si="177"/>
        <v>0</v>
      </c>
      <c r="Q448" s="389">
        <f t="shared" si="178"/>
        <v>0</v>
      </c>
      <c r="R448" s="389">
        <f t="shared" si="179"/>
        <v>0</v>
      </c>
      <c r="S448" s="389">
        <f t="shared" si="180"/>
        <v>0</v>
      </c>
      <c r="U448" s="389">
        <f t="shared" si="181"/>
        <v>0</v>
      </c>
      <c r="V448" s="389" t="b">
        <f t="shared" si="182"/>
        <v>0</v>
      </c>
      <c r="W448" s="389">
        <f t="shared" si="183"/>
        <v>0</v>
      </c>
      <c r="X448" s="389">
        <f t="shared" si="184"/>
        <v>0</v>
      </c>
      <c r="Y448" s="389">
        <f t="shared" si="202"/>
        <v>1.0999999999999999E-2</v>
      </c>
      <c r="Z448" s="389">
        <f t="shared" si="185"/>
        <v>1.0999999999999999E-2</v>
      </c>
      <c r="AA448" s="389">
        <f t="shared" si="186"/>
        <v>0</v>
      </c>
      <c r="AB448" s="389">
        <f t="shared" si="187"/>
        <v>1E-4</v>
      </c>
      <c r="AC448" s="389">
        <f t="shared" si="188"/>
        <v>1E-4</v>
      </c>
      <c r="AD448" s="389">
        <f t="shared" si="189"/>
        <v>0</v>
      </c>
      <c r="AE448" s="389">
        <f t="shared" si="190"/>
        <v>0</v>
      </c>
      <c r="AG448" s="311" t="str">
        <f t="shared" si="191"/>
        <v>-</v>
      </c>
      <c r="AH448" s="453" t="str">
        <f t="shared" si="192"/>
        <v/>
      </c>
      <c r="AI448" s="453" t="str">
        <f t="shared" si="193"/>
        <v/>
      </c>
      <c r="AJ448" t="str">
        <f t="array" ref="AJ448">IF(AND(AI448&gt;1,G448&lt;&gt;""),INDEX(FS_teams,MATCH(1,(FS_Keys=AG448)*(FS_Points=I448)*(FS_teams&lt;&gt;G448),0)),"")</f>
        <v/>
      </c>
      <c r="AK448" s="390" t="str">
        <f t="array" ref="AK448">IF(AJ448&lt;&gt;"",INDEX(TM_Score1,MATCH(1,(TM_Events=D448)*(TM_Participant1=G448)*(TM_Participant2=AJ448),0)),"")</f>
        <v/>
      </c>
      <c r="AL448" s="390" t="str">
        <f t="array" ref="AL448">IF(AJ448&lt;&gt;"",INDEX(TM_Score1,MATCH(1,(TM_Events=D448)*(TM_Participant1=AJ448)*(TM_Participant2=G448),0)),"")</f>
        <v/>
      </c>
      <c r="AM448" s="389" t="str">
        <f t="array" ref="AM448">IF(ISNUMBER(AK448),INDEX(TM_Score2,MATCH(1,(TM_Events=D448)*(TM_Participant1=G448)*(TM_Participant2=AJ448),0)),"")</f>
        <v/>
      </c>
      <c r="AN448" s="389" t="str">
        <f t="array" ref="AN448">IF(ISNUMBER(AL448),INDEX(TM_Score2,MATCH(1,(TM_Events=D448)*(TM_Participant1=AJ448)*(TM_Participant2=G448),0)),"")</f>
        <v/>
      </c>
      <c r="AO448" s="389" t="str">
        <f t="shared" si="194"/>
        <v/>
      </c>
      <c r="AP448" s="389">
        <f t="shared" si="195"/>
        <v>0</v>
      </c>
      <c r="AQ448" s="389">
        <f t="shared" si="196"/>
        <v>0</v>
      </c>
      <c r="AR448" s="389">
        <f t="shared" si="197"/>
        <v>0</v>
      </c>
      <c r="AS448" s="453">
        <f t="shared" si="198"/>
        <v>0</v>
      </c>
      <c r="AT448" s="452">
        <f t="shared" si="199"/>
        <v>0</v>
      </c>
    </row>
    <row r="449" spans="1:46" ht="16" x14ac:dyDescent="0.2">
      <c r="A449" s="298"/>
      <c r="B449"/>
      <c r="D449" s="303"/>
      <c r="E449" s="396"/>
      <c r="F449" s="387"/>
      <c r="G449" s="397"/>
      <c r="H449" s="387" t="str">
        <f t="shared" si="174"/>
        <v>0-0-0</v>
      </c>
      <c r="I449" s="389">
        <f t="shared" si="175"/>
        <v>0</v>
      </c>
      <c r="J449" s="455" t="str">
        <f t="shared" si="200"/>
        <v/>
      </c>
      <c r="K449" s="455">
        <f t="shared" si="176"/>
        <v>0</v>
      </c>
      <c r="L449" s="455">
        <f t="shared" si="201"/>
        <v>0</v>
      </c>
      <c r="M449" s="389" t="str">
        <f>IFERROR(IF(AD449&lt;=VLOOKUP(D449,Tournaments!$A$1:$B$1772,2,FALSE),"TRUE","FALSE"),"")</f>
        <v/>
      </c>
      <c r="N449" s="389">
        <v>1</v>
      </c>
      <c r="O449" s="389">
        <f t="shared" si="177"/>
        <v>0</v>
      </c>
      <c r="Q449" s="389">
        <f t="shared" si="178"/>
        <v>0</v>
      </c>
      <c r="R449" s="389">
        <f t="shared" si="179"/>
        <v>0</v>
      </c>
      <c r="S449" s="389">
        <f t="shared" si="180"/>
        <v>0</v>
      </c>
      <c r="U449" s="389">
        <f t="shared" si="181"/>
        <v>0</v>
      </c>
      <c r="V449" s="389" t="b">
        <f t="shared" si="182"/>
        <v>0</v>
      </c>
      <c r="W449" s="389">
        <f t="shared" si="183"/>
        <v>0</v>
      </c>
      <c r="X449" s="389">
        <f t="shared" si="184"/>
        <v>0</v>
      </c>
      <c r="Y449" s="389">
        <f t="shared" si="202"/>
        <v>1.0999999999999999E-2</v>
      </c>
      <c r="Z449" s="389">
        <f t="shared" si="185"/>
        <v>1.0999999999999999E-2</v>
      </c>
      <c r="AA449" s="389">
        <f t="shared" si="186"/>
        <v>0</v>
      </c>
      <c r="AB449" s="389">
        <f t="shared" si="187"/>
        <v>1E-4</v>
      </c>
      <c r="AC449" s="389">
        <f t="shared" si="188"/>
        <v>1E-4</v>
      </c>
      <c r="AD449" s="389">
        <f t="shared" si="189"/>
        <v>0</v>
      </c>
      <c r="AE449" s="389">
        <f t="shared" si="190"/>
        <v>0</v>
      </c>
      <c r="AG449" s="311" t="str">
        <f t="shared" si="191"/>
        <v>-</v>
      </c>
      <c r="AH449" s="453" t="str">
        <f t="shared" si="192"/>
        <v/>
      </c>
      <c r="AI449" s="453" t="str">
        <f t="shared" si="193"/>
        <v/>
      </c>
      <c r="AJ449" t="str">
        <f t="array" ref="AJ449">IF(AND(AI449&gt;1,G449&lt;&gt;""),INDEX(FS_teams,MATCH(1,(FS_Keys=AG449)*(FS_Points=I449)*(FS_teams&lt;&gt;G449),0)),"")</f>
        <v/>
      </c>
      <c r="AK449" s="390" t="str">
        <f t="array" ref="AK449">IF(AJ449&lt;&gt;"",INDEX(TM_Score1,MATCH(1,(TM_Events=D449)*(TM_Participant1=G449)*(TM_Participant2=AJ449),0)),"")</f>
        <v/>
      </c>
      <c r="AL449" s="390" t="str">
        <f t="array" ref="AL449">IF(AJ449&lt;&gt;"",INDEX(TM_Score1,MATCH(1,(TM_Events=D449)*(TM_Participant1=AJ449)*(TM_Participant2=G449),0)),"")</f>
        <v/>
      </c>
      <c r="AM449" s="389" t="str">
        <f t="array" ref="AM449">IF(ISNUMBER(AK449),INDEX(TM_Score2,MATCH(1,(TM_Events=D449)*(TM_Participant1=G449)*(TM_Participant2=AJ449),0)),"")</f>
        <v/>
      </c>
      <c r="AN449" s="389" t="str">
        <f t="array" ref="AN449">IF(ISNUMBER(AL449),INDEX(TM_Score2,MATCH(1,(TM_Events=D449)*(TM_Participant1=AJ449)*(TM_Participant2=G449),0)),"")</f>
        <v/>
      </c>
      <c r="AO449" s="389" t="str">
        <f t="shared" si="194"/>
        <v/>
      </c>
      <c r="AP449" s="389">
        <f t="shared" si="195"/>
        <v>0</v>
      </c>
      <c r="AQ449" s="389">
        <f t="shared" si="196"/>
        <v>0</v>
      </c>
      <c r="AR449" s="389">
        <f t="shared" si="197"/>
        <v>0</v>
      </c>
      <c r="AS449" s="453">
        <f t="shared" si="198"/>
        <v>0</v>
      </c>
      <c r="AT449" s="452">
        <f t="shared" si="199"/>
        <v>0</v>
      </c>
    </row>
    <row r="450" spans="1:46" ht="16" x14ac:dyDescent="0.2">
      <c r="A450" s="298"/>
      <c r="B450"/>
      <c r="D450" s="303"/>
      <c r="E450" s="396"/>
      <c r="F450" s="387"/>
      <c r="G450" s="397"/>
      <c r="H450" s="387" t="str">
        <f t="shared" si="174"/>
        <v>0-0-0</v>
      </c>
      <c r="I450" s="389">
        <f t="shared" si="175"/>
        <v>0</v>
      </c>
      <c r="J450" s="455" t="str">
        <f t="shared" si="200"/>
        <v/>
      </c>
      <c r="K450" s="455">
        <f t="shared" si="176"/>
        <v>0</v>
      </c>
      <c r="L450" s="455">
        <f t="shared" si="201"/>
        <v>0</v>
      </c>
      <c r="M450" s="389" t="str">
        <f>IFERROR(IF(AD450&lt;=VLOOKUP(D450,Tournaments!$A$1:$B$1772,2,FALSE),"TRUE","FALSE"),"")</f>
        <v/>
      </c>
      <c r="N450" s="389">
        <v>1</v>
      </c>
      <c r="O450" s="389">
        <f t="shared" si="177"/>
        <v>0</v>
      </c>
      <c r="Q450" s="389">
        <f t="shared" si="178"/>
        <v>0</v>
      </c>
      <c r="R450" s="389">
        <f t="shared" si="179"/>
        <v>0</v>
      </c>
      <c r="S450" s="389">
        <f t="shared" si="180"/>
        <v>0</v>
      </c>
      <c r="U450" s="389">
        <f t="shared" si="181"/>
        <v>0</v>
      </c>
      <c r="V450" s="389" t="b">
        <f t="shared" si="182"/>
        <v>0</v>
      </c>
      <c r="W450" s="389">
        <f t="shared" si="183"/>
        <v>0</v>
      </c>
      <c r="X450" s="389">
        <f t="shared" si="184"/>
        <v>0</v>
      </c>
      <c r="Y450" s="389">
        <f t="shared" si="202"/>
        <v>1.0999999999999999E-2</v>
      </c>
      <c r="Z450" s="389">
        <f t="shared" si="185"/>
        <v>1.0999999999999999E-2</v>
      </c>
      <c r="AA450" s="389">
        <f t="shared" si="186"/>
        <v>0</v>
      </c>
      <c r="AB450" s="389">
        <f t="shared" si="187"/>
        <v>1E-4</v>
      </c>
      <c r="AC450" s="389">
        <f t="shared" si="188"/>
        <v>1E-4</v>
      </c>
      <c r="AD450" s="389">
        <f t="shared" si="189"/>
        <v>0</v>
      </c>
      <c r="AE450" s="389">
        <f t="shared" si="190"/>
        <v>0</v>
      </c>
      <c r="AG450" s="311" t="str">
        <f t="shared" si="191"/>
        <v>-</v>
      </c>
      <c r="AH450" s="453" t="str">
        <f t="shared" si="192"/>
        <v/>
      </c>
      <c r="AI450" s="453" t="str">
        <f t="shared" si="193"/>
        <v/>
      </c>
      <c r="AJ450" t="str">
        <f t="array" ref="AJ450">IF(AND(AI450&gt;1,G450&lt;&gt;""),INDEX(FS_teams,MATCH(1,(FS_Keys=AG450)*(FS_Points=I450)*(FS_teams&lt;&gt;G450),0)),"")</f>
        <v/>
      </c>
      <c r="AK450" s="390" t="str">
        <f t="array" ref="AK450">IF(AJ450&lt;&gt;"",INDEX(TM_Score1,MATCH(1,(TM_Events=D450)*(TM_Participant1=G450)*(TM_Participant2=AJ450),0)),"")</f>
        <v/>
      </c>
      <c r="AL450" s="390" t="str">
        <f t="array" ref="AL450">IF(AJ450&lt;&gt;"",INDEX(TM_Score1,MATCH(1,(TM_Events=D450)*(TM_Participant1=AJ450)*(TM_Participant2=G450),0)),"")</f>
        <v/>
      </c>
      <c r="AM450" s="389" t="str">
        <f t="array" ref="AM450">IF(ISNUMBER(AK450),INDEX(TM_Score2,MATCH(1,(TM_Events=D450)*(TM_Participant1=G450)*(TM_Participant2=AJ450),0)),"")</f>
        <v/>
      </c>
      <c r="AN450" s="389" t="str">
        <f t="array" ref="AN450">IF(ISNUMBER(AL450),INDEX(TM_Score2,MATCH(1,(TM_Events=D450)*(TM_Participant1=AJ450)*(TM_Participant2=G450),0)),"")</f>
        <v/>
      </c>
      <c r="AO450" s="389" t="str">
        <f t="shared" si="194"/>
        <v/>
      </c>
      <c r="AP450" s="389">
        <f t="shared" si="195"/>
        <v>0</v>
      </c>
      <c r="AQ450" s="389">
        <f t="shared" si="196"/>
        <v>0</v>
      </c>
      <c r="AR450" s="389">
        <f t="shared" si="197"/>
        <v>0</v>
      </c>
      <c r="AS450" s="453">
        <f t="shared" si="198"/>
        <v>0</v>
      </c>
      <c r="AT450" s="452">
        <f t="shared" si="199"/>
        <v>0</v>
      </c>
    </row>
    <row r="451" spans="1:46" ht="16" x14ac:dyDescent="0.2">
      <c r="A451" s="298"/>
      <c r="B451"/>
      <c r="D451" s="303"/>
      <c r="E451" s="396"/>
      <c r="F451" s="387"/>
      <c r="G451" s="397"/>
      <c r="H451" s="387" t="str">
        <f t="shared" ref="H451:H514" si="203">Q451&amp;"-"&amp;R451&amp;"-"&amp;S451</f>
        <v>0-0-0</v>
      </c>
      <c r="I451" s="389">
        <f t="shared" ref="I451:I514" si="204">IF(H451&lt;&gt;"0-0-0",Q451*2+S451,0)</f>
        <v>0</v>
      </c>
      <c r="J451" s="455" t="str">
        <f t="shared" si="200"/>
        <v/>
      </c>
      <c r="K451" s="455">
        <f t="shared" ref="K451:K514" si="205">IF(COUNTIFS(AG:AG,AG451,I:I,I451,J:J,J451)&gt;1,AS451,"")</f>
        <v>0</v>
      </c>
      <c r="L451" s="455">
        <f t="shared" si="201"/>
        <v>0</v>
      </c>
      <c r="M451" s="389" t="str">
        <f>IFERROR(IF(AD451&lt;=VLOOKUP(D451,Tournaments!$A$1:$B$1772,2,FALSE),"TRUE","FALSE"),"")</f>
        <v/>
      </c>
      <c r="N451" s="389">
        <v>1</v>
      </c>
      <c r="O451" s="389">
        <f t="shared" ref="O451:O514" si="206">AD451</f>
        <v>0</v>
      </c>
      <c r="Q451" s="389">
        <f t="shared" ref="Q451:Q514" si="207">AP451</f>
        <v>0</v>
      </c>
      <c r="R451" s="389">
        <f t="shared" ref="R451:R514" si="208">AR451</f>
        <v>0</v>
      </c>
      <c r="S451" s="389">
        <f t="shared" ref="S451:S514" si="209">AQ451</f>
        <v>0</v>
      </c>
      <c r="U451" s="389">
        <f t="shared" ref="U451:U514" si="210">IF(E451&lt;&gt;"",COUNTIFS($D$3:$D$1001,D451,$E$3:$E$1001,E451,$I$3:$I$1001,"&gt;"&amp;I451)+COUNTIFS($D$3:$D$1001,D451,$E$3:$E$1001,E451,$I$3:$I$1001,I451),COUNTIFS($D$3:$D$1001,D451,$I$3:$I$1001,"&gt;"&amp;I451)+COUNTIFS($D$3:$D$1001,D451,$I$3:$I$1001,I451))</f>
        <v>0</v>
      </c>
      <c r="V451" s="389" t="b">
        <f t="shared" ref="V451:V514" si="211">IFERROR(RANK(J451,$J:$J,1)/10000,FALSE)</f>
        <v>0</v>
      </c>
      <c r="W451" s="389">
        <f t="shared" ref="W451:W514" si="212">V451-U451</f>
        <v>0</v>
      </c>
      <c r="X451" s="389">
        <f t="shared" ref="X451:X514" si="213">IF(E451&lt;&gt;"",COUNTIFS($D:$D,$D451,$E:$E,$E451,$W:$W,"&gt;"&amp;W451)+COUNTIFS($D:$D,$D451,$E:$E,$E451,$W:$W,W451),COUNTIFS($D:$D,$D451,$W:$W,"&gt;"&amp;W451)+COUNTIFS($D:$D,$D451,$W:$W,W451))</f>
        <v>0</v>
      </c>
      <c r="Y451" s="389">
        <f t="shared" si="202"/>
        <v>1.0999999999999999E-2</v>
      </c>
      <c r="Z451" s="389">
        <f t="shared" ref="Z451:Z514" si="214">Y451-X451</f>
        <v>1.0999999999999999E-2</v>
      </c>
      <c r="AA451" s="389">
        <f t="shared" ref="AA451:AA514" si="215">IF(E451&lt;&gt;"",(COUNTIFS($D:$D,D451,$E:$E,E451,$Z:$Z,"&gt;"&amp;Z451)+COUNTIFS($D:$D,D451,$E:$E,E451,$Z:$Z,Z451)),(COUNTIFS($D:$D,D451,$Z:$Z,"&gt;"&amp;Z451)+COUNTIFS($D:$D,D451,$Z:$Z,Z451)))</f>
        <v>0</v>
      </c>
      <c r="AB451" s="389">
        <f t="shared" ref="AB451:AB514" si="216">IFERROR(RANK(L451,$L:$L,1)/10000,FALSE)</f>
        <v>1E-4</v>
      </c>
      <c r="AC451" s="389">
        <f t="shared" ref="AC451:AC514" si="217">AB451-AA451</f>
        <v>1E-4</v>
      </c>
      <c r="AD451" s="389">
        <f t="shared" ref="AD451:AD514" si="218">IF(E451&lt;&gt;"",COUNTIFS($D:$D,$D451,$E:$E,$E451,$AC:$AC,"&gt;"&amp;AC451)+COUNTIFS($D:$D,$D451,$E:$E,$E451,$AC:$AC,AC451),COUNTIFS($D:$D,$D451,$AC:$AC,"&gt;"&amp;AC451)+COUNTIFS($D:$D,$D451,$AC:$AC,AC451))</f>
        <v>0</v>
      </c>
      <c r="AE451" s="389">
        <f t="shared" ref="AE451:AE514" si="219">IF(E451&lt;&gt;"",COUNTIFS($D:$D,D451,$E:$E,E451,$I:$I,I451,$J:$J,J451),COUNTIFS($D:$D,D451,$I:$I,I451,$J:$J,J451))</f>
        <v>0</v>
      </c>
      <c r="AG451" s="311" t="str">
        <f t="shared" ref="AG451:AG514" si="220">D451&amp;"-"&amp;E451</f>
        <v>-</v>
      </c>
      <c r="AH451" s="453" t="str">
        <f t="shared" ref="AH451:AH514" si="221">IF(G451="","",COUNTIFS(FS_teams,"&lt;&gt;-1",FS_Keys,AG451,FS_Points,"&gt;"&amp;I451)+1)</f>
        <v/>
      </c>
      <c r="AI451" s="453" t="str">
        <f t="shared" ref="AI451:AI514" si="222">IF(G451="","",COUNTIFS(FS_Keys,AG451,FS_Rank_on_Points,AH451))</f>
        <v/>
      </c>
      <c r="AJ451" t="str">
        <f t="array" ref="AJ451">IF(AND(AI451&gt;1,G451&lt;&gt;""),INDEX(FS_teams,MATCH(1,(FS_Keys=AG451)*(FS_Points=I451)*(FS_teams&lt;&gt;G451),0)),"")</f>
        <v/>
      </c>
      <c r="AK451" s="390" t="str">
        <f t="array" ref="AK451">IF(AJ451&lt;&gt;"",INDEX(TM_Score1,MATCH(1,(TM_Events=D451)*(TM_Participant1=G451)*(TM_Participant2=AJ451),0)),"")</f>
        <v/>
      </c>
      <c r="AL451" s="390" t="str">
        <f t="array" ref="AL451">IF(AJ451&lt;&gt;"",INDEX(TM_Score1,MATCH(1,(TM_Events=D451)*(TM_Participant1=AJ451)*(TM_Participant2=G451),0)),"")</f>
        <v/>
      </c>
      <c r="AM451" s="389" t="str">
        <f t="array" ref="AM451">IF(ISNUMBER(AK451),INDEX(TM_Score2,MATCH(1,(TM_Events=D451)*(TM_Participant1=G451)*(TM_Participant2=AJ451),0)),"")</f>
        <v/>
      </c>
      <c r="AN451" s="389" t="str">
        <f t="array" ref="AN451">IF(ISNUMBER(AL451),INDEX(TM_Score2,MATCH(1,(TM_Events=D451)*(TM_Participant1=AJ451)*(TM_Participant2=G451),0)),"")</f>
        <v/>
      </c>
      <c r="AO451" s="389" t="str">
        <f t="shared" ref="AO451:AO514" si="223">IF(AJ451="","",IF(ISNUMBER(AK451),IF(AK451&gt;AM451,"Win",IF(AK451=AM451,"Tie",IF(AK451&lt;AM451,"Loss","check"))),IF(ISNUMBER(AL451),IF(AN451&gt;AL451,"Win",IF(AN451=AL451,"Tie",IF(AN451&lt;AL451,"Loss","check"))),IF(AND(ISNA(AK451),ISNA(AL451)),"did not play","check"))))</f>
        <v/>
      </c>
      <c r="AP451" s="389">
        <f t="shared" ref="AP451:AP514" si="224">SUMIFS(TM_W1,TM_Events,D451,TM_Participant1,G451)+SUMIFS(TM_w2,TM_Events,D451,TM_Participant2,G451)</f>
        <v>0</v>
      </c>
      <c r="AQ451" s="389">
        <f t="shared" ref="AQ451:AQ514" si="225">SUMIFS(TM_T1,TM_Events,D451,TM_Participant1,G451)+SUMIFS(TM_T2,TM_Events,D451,TM_Participant2,G451)</f>
        <v>0</v>
      </c>
      <c r="AR451" s="389">
        <f t="shared" ref="AR451:AR514" si="226">SUMIFS(TM_L1,TM_Events,D451,TM_Participant1,G451)+SUMIFS(TM_L2,TM_Events,D451,TM_Participant2,G451)</f>
        <v>0</v>
      </c>
      <c r="AS451" s="453">
        <f t="shared" ref="AS451:AS514" si="227">SUMIFS(Net_1,TM_Events,D451,TM_Participant1,G451)+SUMIFS(Net_2,TM_Events,D451,TM_Participant2,G451)</f>
        <v>0</v>
      </c>
      <c r="AT451" s="452">
        <f t="shared" ref="AT451:AT514" si="228">SUMIFS(Score_1,TM_Events,D451,TM_Participant1,G451)+SUMIFS(Score_2,TM_Events,D451,TM_Participant2,G451)</f>
        <v>0</v>
      </c>
    </row>
    <row r="452" spans="1:46" ht="16" x14ac:dyDescent="0.2">
      <c r="A452" s="298"/>
      <c r="B452"/>
      <c r="D452" s="303"/>
      <c r="E452" s="387"/>
      <c r="F452" s="387"/>
      <c r="G452" s="397"/>
      <c r="H452" s="387" t="str">
        <f t="shared" si="203"/>
        <v>0-0-0</v>
      </c>
      <c r="I452" s="389">
        <f t="shared" si="204"/>
        <v>0</v>
      </c>
      <c r="J452" s="455" t="str">
        <f t="shared" ref="J452:J515" si="229">IF(E452&lt;&gt;"",IF(COUNTIFS($D:$D,D452,$E:$E,E452,$I:$I,I452)&lt;3,IFERROR(IF(H452&lt;&gt;"0-0-0",IF(AO452&lt;&gt;"",IF(AO452="Win",2,IF(AO452="Loss",0,1)),""),""),""),1),IF(COUNTIFS(D:D,D452,I:I,I452)&lt;3,IFERROR(IF(H452&lt;&gt;"0-0-0",IF(AO452&lt;&gt;"",IF(AO452="Win",2,IF(AO452="Loss",0,1)),""),""),""),1))</f>
        <v/>
      </c>
      <c r="K452" s="455">
        <f t="shared" si="205"/>
        <v>0</v>
      </c>
      <c r="L452" s="455">
        <f t="shared" ref="L452:L515" si="230">IF(COUNTIFS(AG:AG,AG452,I:I,I452,J:J,J452,K:K,K452)&gt;1,AT452,"")</f>
        <v>0</v>
      </c>
      <c r="M452" s="389" t="str">
        <f>IFERROR(IF(AD452&lt;=VLOOKUP(D452,Tournaments!$A$1:$B$1772,2,FALSE),"TRUE","FALSE"),"")</f>
        <v/>
      </c>
      <c r="N452" s="389">
        <v>1</v>
      </c>
      <c r="O452" s="389">
        <f t="shared" si="206"/>
        <v>0</v>
      </c>
      <c r="Q452" s="389">
        <f t="shared" si="207"/>
        <v>0</v>
      </c>
      <c r="R452" s="389">
        <f t="shared" si="208"/>
        <v>0</v>
      </c>
      <c r="S452" s="389">
        <f t="shared" si="209"/>
        <v>0</v>
      </c>
      <c r="U452" s="389">
        <f t="shared" si="210"/>
        <v>0</v>
      </c>
      <c r="V452" s="389" t="b">
        <f t="shared" si="211"/>
        <v>0</v>
      </c>
      <c r="W452" s="389">
        <f t="shared" si="212"/>
        <v>0</v>
      </c>
      <c r="X452" s="389">
        <f t="shared" si="213"/>
        <v>0</v>
      </c>
      <c r="Y452" s="389">
        <f t="shared" ref="Y452:Y515" si="231">IFERROR(IF(K452&gt;=0,RANK(K452,$K:$K,1)/10000,RANK(K452,$K:$K,1)/10000),FALSE)</f>
        <v>1.0999999999999999E-2</v>
      </c>
      <c r="Z452" s="389">
        <f t="shared" si="214"/>
        <v>1.0999999999999999E-2</v>
      </c>
      <c r="AA452" s="389">
        <f t="shared" si="215"/>
        <v>0</v>
      </c>
      <c r="AB452" s="389">
        <f t="shared" si="216"/>
        <v>1E-4</v>
      </c>
      <c r="AC452" s="389">
        <f t="shared" si="217"/>
        <v>1E-4</v>
      </c>
      <c r="AD452" s="389">
        <f t="shared" si="218"/>
        <v>0</v>
      </c>
      <c r="AE452" s="389">
        <f t="shared" si="219"/>
        <v>0</v>
      </c>
      <c r="AG452" s="311" t="str">
        <f t="shared" si="220"/>
        <v>-</v>
      </c>
      <c r="AH452" s="453" t="str">
        <f t="shared" si="221"/>
        <v/>
      </c>
      <c r="AI452" s="453" t="str">
        <f t="shared" si="222"/>
        <v/>
      </c>
      <c r="AJ452" t="str">
        <f t="array" ref="AJ452">IF(AND(AI452&gt;1,G452&lt;&gt;""),INDEX(FS_teams,MATCH(1,(FS_Keys=AG452)*(FS_Points=I452)*(FS_teams&lt;&gt;G452),0)),"")</f>
        <v/>
      </c>
      <c r="AK452" s="390" t="str">
        <f t="array" ref="AK452">IF(AJ452&lt;&gt;"",INDEX(TM_Score1,MATCH(1,(TM_Events=D452)*(TM_Participant1=G452)*(TM_Participant2=AJ452),0)),"")</f>
        <v/>
      </c>
      <c r="AL452" s="390" t="str">
        <f t="array" ref="AL452">IF(AJ452&lt;&gt;"",INDEX(TM_Score1,MATCH(1,(TM_Events=D452)*(TM_Participant1=AJ452)*(TM_Participant2=G452),0)),"")</f>
        <v/>
      </c>
      <c r="AM452" s="389" t="str">
        <f t="array" ref="AM452">IF(ISNUMBER(AK452),INDEX(TM_Score2,MATCH(1,(TM_Events=D452)*(TM_Participant1=G452)*(TM_Participant2=AJ452),0)),"")</f>
        <v/>
      </c>
      <c r="AN452" s="389" t="str">
        <f t="array" ref="AN452">IF(ISNUMBER(AL452),INDEX(TM_Score2,MATCH(1,(TM_Events=D452)*(TM_Participant1=AJ452)*(TM_Participant2=G452),0)),"")</f>
        <v/>
      </c>
      <c r="AO452" s="389" t="str">
        <f t="shared" si="223"/>
        <v/>
      </c>
      <c r="AP452" s="389">
        <f t="shared" si="224"/>
        <v>0</v>
      </c>
      <c r="AQ452" s="389">
        <f t="shared" si="225"/>
        <v>0</v>
      </c>
      <c r="AR452" s="389">
        <f t="shared" si="226"/>
        <v>0</v>
      </c>
      <c r="AS452" s="453">
        <f t="shared" si="227"/>
        <v>0</v>
      </c>
      <c r="AT452" s="452">
        <f t="shared" si="228"/>
        <v>0</v>
      </c>
    </row>
    <row r="453" spans="1:46" ht="16" x14ac:dyDescent="0.2">
      <c r="B453"/>
      <c r="D453" s="303"/>
      <c r="E453" s="396"/>
      <c r="F453" s="387"/>
      <c r="G453" s="397"/>
      <c r="H453" s="387" t="str">
        <f t="shared" si="203"/>
        <v>0-0-0</v>
      </c>
      <c r="I453" s="389">
        <f t="shared" si="204"/>
        <v>0</v>
      </c>
      <c r="J453" s="455" t="str">
        <f t="shared" si="229"/>
        <v/>
      </c>
      <c r="K453" s="455">
        <f t="shared" si="205"/>
        <v>0</v>
      </c>
      <c r="L453" s="455">
        <f t="shared" si="230"/>
        <v>0</v>
      </c>
      <c r="M453" s="389" t="str">
        <f>IFERROR(IF(AD453&lt;=VLOOKUP(D453,Tournaments!$A$1:$B$1772,2,FALSE),"TRUE","FALSE"),"")</f>
        <v/>
      </c>
      <c r="N453" s="389">
        <v>1</v>
      </c>
      <c r="O453" s="389">
        <f t="shared" si="206"/>
        <v>0</v>
      </c>
      <c r="Q453" s="389">
        <f t="shared" si="207"/>
        <v>0</v>
      </c>
      <c r="R453" s="389">
        <f t="shared" si="208"/>
        <v>0</v>
      </c>
      <c r="S453" s="389">
        <f t="shared" si="209"/>
        <v>0</v>
      </c>
      <c r="U453" s="389">
        <f t="shared" si="210"/>
        <v>0</v>
      </c>
      <c r="V453" s="389" t="b">
        <f t="shared" si="211"/>
        <v>0</v>
      </c>
      <c r="W453" s="389">
        <f t="shared" si="212"/>
        <v>0</v>
      </c>
      <c r="X453" s="389">
        <f t="shared" si="213"/>
        <v>0</v>
      </c>
      <c r="Y453" s="389">
        <f t="shared" si="231"/>
        <v>1.0999999999999999E-2</v>
      </c>
      <c r="Z453" s="389">
        <f t="shared" si="214"/>
        <v>1.0999999999999999E-2</v>
      </c>
      <c r="AA453" s="389">
        <f t="shared" si="215"/>
        <v>0</v>
      </c>
      <c r="AB453" s="389">
        <f t="shared" si="216"/>
        <v>1E-4</v>
      </c>
      <c r="AC453" s="389">
        <f t="shared" si="217"/>
        <v>1E-4</v>
      </c>
      <c r="AD453" s="389">
        <f t="shared" si="218"/>
        <v>0</v>
      </c>
      <c r="AE453" s="389">
        <f t="shared" si="219"/>
        <v>0</v>
      </c>
      <c r="AG453" s="311" t="str">
        <f t="shared" si="220"/>
        <v>-</v>
      </c>
      <c r="AH453" s="453" t="str">
        <f t="shared" si="221"/>
        <v/>
      </c>
      <c r="AI453" s="453" t="str">
        <f t="shared" si="222"/>
        <v/>
      </c>
      <c r="AJ453" t="str">
        <f t="array" ref="AJ453">IF(AND(AI453&gt;1,G453&lt;&gt;""),INDEX(FS_teams,MATCH(1,(FS_Keys=AG453)*(FS_Points=I453)*(FS_teams&lt;&gt;G453),0)),"")</f>
        <v/>
      </c>
      <c r="AK453" s="390" t="str">
        <f t="array" ref="AK453">IF(AJ453&lt;&gt;"",INDEX(TM_Score1,MATCH(1,(TM_Events=D453)*(TM_Participant1=G453)*(TM_Participant2=AJ453),0)),"")</f>
        <v/>
      </c>
      <c r="AL453" s="390" t="str">
        <f t="array" ref="AL453">IF(AJ453&lt;&gt;"",INDEX(TM_Score1,MATCH(1,(TM_Events=D453)*(TM_Participant1=AJ453)*(TM_Participant2=G453),0)),"")</f>
        <v/>
      </c>
      <c r="AM453" s="389" t="str">
        <f t="array" ref="AM453">IF(ISNUMBER(AK453),INDEX(TM_Score2,MATCH(1,(TM_Events=D453)*(TM_Participant1=G453)*(TM_Participant2=AJ453),0)),"")</f>
        <v/>
      </c>
      <c r="AN453" s="389" t="str">
        <f t="array" ref="AN453">IF(ISNUMBER(AL453),INDEX(TM_Score2,MATCH(1,(TM_Events=D453)*(TM_Participant1=AJ453)*(TM_Participant2=G453),0)),"")</f>
        <v/>
      </c>
      <c r="AO453" s="389" t="str">
        <f t="shared" si="223"/>
        <v/>
      </c>
      <c r="AP453" s="389">
        <f t="shared" si="224"/>
        <v>0</v>
      </c>
      <c r="AQ453" s="389">
        <f t="shared" si="225"/>
        <v>0</v>
      </c>
      <c r="AR453" s="389">
        <f t="shared" si="226"/>
        <v>0</v>
      </c>
      <c r="AS453" s="453">
        <f t="shared" si="227"/>
        <v>0</v>
      </c>
      <c r="AT453" s="452">
        <f t="shared" si="228"/>
        <v>0</v>
      </c>
    </row>
    <row r="454" spans="1:46" ht="16" x14ac:dyDescent="0.2">
      <c r="B454"/>
      <c r="D454" s="303"/>
      <c r="E454" s="396"/>
      <c r="F454" s="387"/>
      <c r="G454" s="397"/>
      <c r="H454" s="387" t="str">
        <f t="shared" si="203"/>
        <v>0-0-0</v>
      </c>
      <c r="I454" s="389">
        <f t="shared" si="204"/>
        <v>0</v>
      </c>
      <c r="J454" s="455" t="str">
        <f t="shared" si="229"/>
        <v/>
      </c>
      <c r="K454" s="455">
        <f t="shared" si="205"/>
        <v>0</v>
      </c>
      <c r="L454" s="455">
        <f t="shared" si="230"/>
        <v>0</v>
      </c>
      <c r="M454" s="389" t="str">
        <f>IFERROR(IF(AD454&lt;=VLOOKUP(D454,Tournaments!$A$1:$B$1772,2,FALSE),"TRUE","FALSE"),"")</f>
        <v/>
      </c>
      <c r="N454" s="389">
        <v>1</v>
      </c>
      <c r="O454" s="389">
        <f t="shared" si="206"/>
        <v>0</v>
      </c>
      <c r="Q454" s="389">
        <f t="shared" si="207"/>
        <v>0</v>
      </c>
      <c r="R454" s="389">
        <f t="shared" si="208"/>
        <v>0</v>
      </c>
      <c r="S454" s="389">
        <f t="shared" si="209"/>
        <v>0</v>
      </c>
      <c r="U454" s="389">
        <f t="shared" si="210"/>
        <v>0</v>
      </c>
      <c r="V454" s="389" t="b">
        <f t="shared" si="211"/>
        <v>0</v>
      </c>
      <c r="W454" s="389">
        <f t="shared" si="212"/>
        <v>0</v>
      </c>
      <c r="X454" s="389">
        <f t="shared" si="213"/>
        <v>0</v>
      </c>
      <c r="Y454" s="389">
        <f t="shared" si="231"/>
        <v>1.0999999999999999E-2</v>
      </c>
      <c r="Z454" s="389">
        <f t="shared" si="214"/>
        <v>1.0999999999999999E-2</v>
      </c>
      <c r="AA454" s="389">
        <f t="shared" si="215"/>
        <v>0</v>
      </c>
      <c r="AB454" s="389">
        <f t="shared" si="216"/>
        <v>1E-4</v>
      </c>
      <c r="AC454" s="389">
        <f t="shared" si="217"/>
        <v>1E-4</v>
      </c>
      <c r="AD454" s="389">
        <f t="shared" si="218"/>
        <v>0</v>
      </c>
      <c r="AE454" s="389">
        <f t="shared" si="219"/>
        <v>0</v>
      </c>
      <c r="AG454" s="311" t="str">
        <f t="shared" si="220"/>
        <v>-</v>
      </c>
      <c r="AH454" s="453" t="str">
        <f t="shared" si="221"/>
        <v/>
      </c>
      <c r="AI454" s="453" t="str">
        <f t="shared" si="222"/>
        <v/>
      </c>
      <c r="AJ454" t="str">
        <f t="array" ref="AJ454">IF(AND(AI454&gt;1,G454&lt;&gt;""),INDEX(FS_teams,MATCH(1,(FS_Keys=AG454)*(FS_Points=I454)*(FS_teams&lt;&gt;G454),0)),"")</f>
        <v/>
      </c>
      <c r="AK454" s="390" t="str">
        <f t="array" ref="AK454">IF(AJ454&lt;&gt;"",INDEX(TM_Score1,MATCH(1,(TM_Events=D454)*(TM_Participant1=G454)*(TM_Participant2=AJ454),0)),"")</f>
        <v/>
      </c>
      <c r="AL454" s="390" t="str">
        <f t="array" ref="AL454">IF(AJ454&lt;&gt;"",INDEX(TM_Score1,MATCH(1,(TM_Events=D454)*(TM_Participant1=AJ454)*(TM_Participant2=G454),0)),"")</f>
        <v/>
      </c>
      <c r="AM454" s="389" t="str">
        <f t="array" ref="AM454">IF(ISNUMBER(AK454),INDEX(TM_Score2,MATCH(1,(TM_Events=D454)*(TM_Participant1=G454)*(TM_Participant2=AJ454),0)),"")</f>
        <v/>
      </c>
      <c r="AN454" s="389" t="str">
        <f t="array" ref="AN454">IF(ISNUMBER(AL454),INDEX(TM_Score2,MATCH(1,(TM_Events=D454)*(TM_Participant1=AJ454)*(TM_Participant2=G454),0)),"")</f>
        <v/>
      </c>
      <c r="AO454" s="389" t="str">
        <f t="shared" si="223"/>
        <v/>
      </c>
      <c r="AP454" s="389">
        <f t="shared" si="224"/>
        <v>0</v>
      </c>
      <c r="AQ454" s="389">
        <f t="shared" si="225"/>
        <v>0</v>
      </c>
      <c r="AR454" s="389">
        <f t="shared" si="226"/>
        <v>0</v>
      </c>
      <c r="AS454" s="453">
        <f t="shared" si="227"/>
        <v>0</v>
      </c>
      <c r="AT454" s="452">
        <f t="shared" si="228"/>
        <v>0</v>
      </c>
    </row>
    <row r="455" spans="1:46" ht="16" x14ac:dyDescent="0.2">
      <c r="B455"/>
      <c r="D455" s="303"/>
      <c r="E455" s="396"/>
      <c r="F455" s="387"/>
      <c r="G455" s="397"/>
      <c r="H455" s="387" t="str">
        <f t="shared" si="203"/>
        <v>0-0-0</v>
      </c>
      <c r="I455" s="389">
        <f t="shared" si="204"/>
        <v>0</v>
      </c>
      <c r="J455" s="455" t="str">
        <f t="shared" si="229"/>
        <v/>
      </c>
      <c r="K455" s="455">
        <f t="shared" si="205"/>
        <v>0</v>
      </c>
      <c r="L455" s="455">
        <f t="shared" si="230"/>
        <v>0</v>
      </c>
      <c r="M455" s="389" t="str">
        <f>IFERROR(IF(AD455&lt;=VLOOKUP(D455,Tournaments!$A$1:$B$1772,2,FALSE),"TRUE","FALSE"),"")</f>
        <v/>
      </c>
      <c r="N455" s="389">
        <v>1</v>
      </c>
      <c r="O455" s="389">
        <f t="shared" si="206"/>
        <v>0</v>
      </c>
      <c r="Q455" s="389">
        <f t="shared" si="207"/>
        <v>0</v>
      </c>
      <c r="R455" s="389">
        <f t="shared" si="208"/>
        <v>0</v>
      </c>
      <c r="S455" s="389">
        <f t="shared" si="209"/>
        <v>0</v>
      </c>
      <c r="U455" s="389">
        <f t="shared" si="210"/>
        <v>0</v>
      </c>
      <c r="V455" s="389" t="b">
        <f t="shared" si="211"/>
        <v>0</v>
      </c>
      <c r="W455" s="389">
        <f t="shared" si="212"/>
        <v>0</v>
      </c>
      <c r="X455" s="389">
        <f t="shared" si="213"/>
        <v>0</v>
      </c>
      <c r="Y455" s="389">
        <f t="shared" si="231"/>
        <v>1.0999999999999999E-2</v>
      </c>
      <c r="Z455" s="389">
        <f t="shared" si="214"/>
        <v>1.0999999999999999E-2</v>
      </c>
      <c r="AA455" s="389">
        <f t="shared" si="215"/>
        <v>0</v>
      </c>
      <c r="AB455" s="389">
        <f t="shared" si="216"/>
        <v>1E-4</v>
      </c>
      <c r="AC455" s="389">
        <f t="shared" si="217"/>
        <v>1E-4</v>
      </c>
      <c r="AD455" s="389">
        <f t="shared" si="218"/>
        <v>0</v>
      </c>
      <c r="AE455" s="389">
        <f t="shared" si="219"/>
        <v>0</v>
      </c>
      <c r="AG455" s="311" t="str">
        <f t="shared" si="220"/>
        <v>-</v>
      </c>
      <c r="AH455" s="453" t="str">
        <f t="shared" si="221"/>
        <v/>
      </c>
      <c r="AI455" s="453" t="str">
        <f t="shared" si="222"/>
        <v/>
      </c>
      <c r="AJ455" t="str">
        <f t="array" ref="AJ455">IF(AND(AI455&gt;1,G455&lt;&gt;""),INDEX(FS_teams,MATCH(1,(FS_Keys=AG455)*(FS_Points=I455)*(FS_teams&lt;&gt;G455),0)),"")</f>
        <v/>
      </c>
      <c r="AK455" s="390" t="str">
        <f t="array" ref="AK455">IF(AJ455&lt;&gt;"",INDEX(TM_Score1,MATCH(1,(TM_Events=D455)*(TM_Participant1=G455)*(TM_Participant2=AJ455),0)),"")</f>
        <v/>
      </c>
      <c r="AL455" s="390" t="str">
        <f t="array" ref="AL455">IF(AJ455&lt;&gt;"",INDEX(TM_Score1,MATCH(1,(TM_Events=D455)*(TM_Participant1=AJ455)*(TM_Participant2=G455),0)),"")</f>
        <v/>
      </c>
      <c r="AM455" s="389" t="str">
        <f t="array" ref="AM455">IF(ISNUMBER(AK455),INDEX(TM_Score2,MATCH(1,(TM_Events=D455)*(TM_Participant1=G455)*(TM_Participant2=AJ455),0)),"")</f>
        <v/>
      </c>
      <c r="AN455" s="389" t="str">
        <f t="array" ref="AN455">IF(ISNUMBER(AL455),INDEX(TM_Score2,MATCH(1,(TM_Events=D455)*(TM_Participant1=AJ455)*(TM_Participant2=G455),0)),"")</f>
        <v/>
      </c>
      <c r="AO455" s="389" t="str">
        <f t="shared" si="223"/>
        <v/>
      </c>
      <c r="AP455" s="389">
        <f t="shared" si="224"/>
        <v>0</v>
      </c>
      <c r="AQ455" s="389">
        <f t="shared" si="225"/>
        <v>0</v>
      </c>
      <c r="AR455" s="389">
        <f t="shared" si="226"/>
        <v>0</v>
      </c>
      <c r="AS455" s="453">
        <f t="shared" si="227"/>
        <v>0</v>
      </c>
      <c r="AT455" s="452">
        <f t="shared" si="228"/>
        <v>0</v>
      </c>
    </row>
    <row r="456" spans="1:46" ht="16" x14ac:dyDescent="0.2">
      <c r="B456"/>
      <c r="D456" s="303"/>
      <c r="E456" s="396"/>
      <c r="F456" s="387"/>
      <c r="G456" s="397"/>
      <c r="H456" s="387" t="str">
        <f t="shared" si="203"/>
        <v>0-0-0</v>
      </c>
      <c r="I456" s="389">
        <f t="shared" si="204"/>
        <v>0</v>
      </c>
      <c r="J456" s="455" t="str">
        <f t="shared" si="229"/>
        <v/>
      </c>
      <c r="K456" s="455">
        <f t="shared" si="205"/>
        <v>0</v>
      </c>
      <c r="L456" s="455">
        <f t="shared" si="230"/>
        <v>0</v>
      </c>
      <c r="M456" s="389" t="str">
        <f>IFERROR(IF(AD456&lt;=VLOOKUP(D456,Tournaments!$A$1:$B$1772,2,FALSE),"TRUE","FALSE"),"")</f>
        <v/>
      </c>
      <c r="N456" s="389">
        <v>1</v>
      </c>
      <c r="O456" s="389">
        <f t="shared" si="206"/>
        <v>0</v>
      </c>
      <c r="Q456" s="389">
        <f t="shared" si="207"/>
        <v>0</v>
      </c>
      <c r="R456" s="389">
        <f t="shared" si="208"/>
        <v>0</v>
      </c>
      <c r="S456" s="389">
        <f t="shared" si="209"/>
        <v>0</v>
      </c>
      <c r="U456" s="389">
        <f t="shared" si="210"/>
        <v>0</v>
      </c>
      <c r="V456" s="389" t="b">
        <f t="shared" si="211"/>
        <v>0</v>
      </c>
      <c r="W456" s="389">
        <f t="shared" si="212"/>
        <v>0</v>
      </c>
      <c r="X456" s="389">
        <f t="shared" si="213"/>
        <v>0</v>
      </c>
      <c r="Y456" s="389">
        <f t="shared" si="231"/>
        <v>1.0999999999999999E-2</v>
      </c>
      <c r="Z456" s="389">
        <f t="shared" si="214"/>
        <v>1.0999999999999999E-2</v>
      </c>
      <c r="AA456" s="389">
        <f t="shared" si="215"/>
        <v>0</v>
      </c>
      <c r="AB456" s="389">
        <f t="shared" si="216"/>
        <v>1E-4</v>
      </c>
      <c r="AC456" s="389">
        <f t="shared" si="217"/>
        <v>1E-4</v>
      </c>
      <c r="AD456" s="389">
        <f t="shared" si="218"/>
        <v>0</v>
      </c>
      <c r="AE456" s="389">
        <f t="shared" si="219"/>
        <v>0</v>
      </c>
      <c r="AG456" s="311" t="str">
        <f t="shared" si="220"/>
        <v>-</v>
      </c>
      <c r="AH456" s="453" t="str">
        <f t="shared" si="221"/>
        <v/>
      </c>
      <c r="AI456" s="453" t="str">
        <f t="shared" si="222"/>
        <v/>
      </c>
      <c r="AJ456" t="str">
        <f t="array" ref="AJ456">IF(AND(AI456&gt;1,G456&lt;&gt;""),INDEX(FS_teams,MATCH(1,(FS_Keys=AG456)*(FS_Points=I456)*(FS_teams&lt;&gt;G456),0)),"")</f>
        <v/>
      </c>
      <c r="AK456" s="390" t="str">
        <f t="array" ref="AK456">IF(AJ456&lt;&gt;"",INDEX(TM_Score1,MATCH(1,(TM_Events=D456)*(TM_Participant1=G456)*(TM_Participant2=AJ456),0)),"")</f>
        <v/>
      </c>
      <c r="AL456" s="390" t="str">
        <f t="array" ref="AL456">IF(AJ456&lt;&gt;"",INDEX(TM_Score1,MATCH(1,(TM_Events=D456)*(TM_Participant1=AJ456)*(TM_Participant2=G456),0)),"")</f>
        <v/>
      </c>
      <c r="AM456" s="389" t="str">
        <f t="array" ref="AM456">IF(ISNUMBER(AK456),INDEX(TM_Score2,MATCH(1,(TM_Events=D456)*(TM_Participant1=G456)*(TM_Participant2=AJ456),0)),"")</f>
        <v/>
      </c>
      <c r="AN456" s="389" t="str">
        <f t="array" ref="AN456">IF(ISNUMBER(AL456),INDEX(TM_Score2,MATCH(1,(TM_Events=D456)*(TM_Participant1=AJ456)*(TM_Participant2=G456),0)),"")</f>
        <v/>
      </c>
      <c r="AO456" s="389" t="str">
        <f t="shared" si="223"/>
        <v/>
      </c>
      <c r="AP456" s="389">
        <f t="shared" si="224"/>
        <v>0</v>
      </c>
      <c r="AQ456" s="389">
        <f t="shared" si="225"/>
        <v>0</v>
      </c>
      <c r="AR456" s="389">
        <f t="shared" si="226"/>
        <v>0</v>
      </c>
      <c r="AS456" s="453">
        <f t="shared" si="227"/>
        <v>0</v>
      </c>
      <c r="AT456" s="452">
        <f t="shared" si="228"/>
        <v>0</v>
      </c>
    </row>
    <row r="457" spans="1:46" ht="16" x14ac:dyDescent="0.2">
      <c r="B457"/>
      <c r="D457" s="303"/>
      <c r="E457" s="396"/>
      <c r="F457" s="387"/>
      <c r="G457" s="397"/>
      <c r="H457" s="387" t="str">
        <f t="shared" si="203"/>
        <v>0-0-0</v>
      </c>
      <c r="I457" s="389">
        <f t="shared" si="204"/>
        <v>0</v>
      </c>
      <c r="J457" s="455" t="str">
        <f t="shared" si="229"/>
        <v/>
      </c>
      <c r="K457" s="455">
        <f t="shared" si="205"/>
        <v>0</v>
      </c>
      <c r="L457" s="455">
        <f t="shared" si="230"/>
        <v>0</v>
      </c>
      <c r="M457" s="389" t="str">
        <f>IFERROR(IF(AD457&lt;=VLOOKUP(D457,Tournaments!$A$1:$B$1772,2,FALSE),"TRUE","FALSE"),"")</f>
        <v/>
      </c>
      <c r="N457" s="389">
        <v>1</v>
      </c>
      <c r="O457" s="389">
        <f t="shared" si="206"/>
        <v>0</v>
      </c>
      <c r="Q457" s="389">
        <f t="shared" si="207"/>
        <v>0</v>
      </c>
      <c r="R457" s="389">
        <f t="shared" si="208"/>
        <v>0</v>
      </c>
      <c r="S457" s="389">
        <f t="shared" si="209"/>
        <v>0</v>
      </c>
      <c r="U457" s="389">
        <f t="shared" si="210"/>
        <v>0</v>
      </c>
      <c r="V457" s="389" t="b">
        <f t="shared" si="211"/>
        <v>0</v>
      </c>
      <c r="W457" s="389">
        <f t="shared" si="212"/>
        <v>0</v>
      </c>
      <c r="X457" s="389">
        <f t="shared" si="213"/>
        <v>0</v>
      </c>
      <c r="Y457" s="389">
        <f t="shared" si="231"/>
        <v>1.0999999999999999E-2</v>
      </c>
      <c r="Z457" s="389">
        <f t="shared" si="214"/>
        <v>1.0999999999999999E-2</v>
      </c>
      <c r="AA457" s="389">
        <f t="shared" si="215"/>
        <v>0</v>
      </c>
      <c r="AB457" s="389">
        <f t="shared" si="216"/>
        <v>1E-4</v>
      </c>
      <c r="AC457" s="389">
        <f t="shared" si="217"/>
        <v>1E-4</v>
      </c>
      <c r="AD457" s="389">
        <f t="shared" si="218"/>
        <v>0</v>
      </c>
      <c r="AE457" s="389">
        <f t="shared" si="219"/>
        <v>0</v>
      </c>
      <c r="AG457" s="311" t="str">
        <f t="shared" si="220"/>
        <v>-</v>
      </c>
      <c r="AH457" s="453" t="str">
        <f t="shared" si="221"/>
        <v/>
      </c>
      <c r="AI457" s="453" t="str">
        <f t="shared" si="222"/>
        <v/>
      </c>
      <c r="AJ457" t="str">
        <f t="array" ref="AJ457">IF(AND(AI457&gt;1,G457&lt;&gt;""),INDEX(FS_teams,MATCH(1,(FS_Keys=AG457)*(FS_Points=I457)*(FS_teams&lt;&gt;G457),0)),"")</f>
        <v/>
      </c>
      <c r="AK457" s="390" t="str">
        <f t="array" ref="AK457">IF(AJ457&lt;&gt;"",INDEX(TM_Score1,MATCH(1,(TM_Events=D457)*(TM_Participant1=G457)*(TM_Participant2=AJ457),0)),"")</f>
        <v/>
      </c>
      <c r="AL457" s="390" t="str">
        <f t="array" ref="AL457">IF(AJ457&lt;&gt;"",INDEX(TM_Score1,MATCH(1,(TM_Events=D457)*(TM_Participant1=AJ457)*(TM_Participant2=G457),0)),"")</f>
        <v/>
      </c>
      <c r="AM457" s="389" t="str">
        <f t="array" ref="AM457">IF(ISNUMBER(AK457),INDEX(TM_Score2,MATCH(1,(TM_Events=D457)*(TM_Participant1=G457)*(TM_Participant2=AJ457),0)),"")</f>
        <v/>
      </c>
      <c r="AN457" s="389" t="str">
        <f t="array" ref="AN457">IF(ISNUMBER(AL457),INDEX(TM_Score2,MATCH(1,(TM_Events=D457)*(TM_Participant1=AJ457)*(TM_Participant2=G457),0)),"")</f>
        <v/>
      </c>
      <c r="AO457" s="389" t="str">
        <f t="shared" si="223"/>
        <v/>
      </c>
      <c r="AP457" s="389">
        <f t="shared" si="224"/>
        <v>0</v>
      </c>
      <c r="AQ457" s="389">
        <f t="shared" si="225"/>
        <v>0</v>
      </c>
      <c r="AR457" s="389">
        <f t="shared" si="226"/>
        <v>0</v>
      </c>
      <c r="AS457" s="453">
        <f t="shared" si="227"/>
        <v>0</v>
      </c>
      <c r="AT457" s="452">
        <f t="shared" si="228"/>
        <v>0</v>
      </c>
    </row>
    <row r="458" spans="1:46" ht="16" x14ac:dyDescent="0.2">
      <c r="B458"/>
      <c r="D458" s="303"/>
      <c r="E458" s="396"/>
      <c r="F458" s="387"/>
      <c r="G458" s="397"/>
      <c r="H458" s="387" t="str">
        <f t="shared" si="203"/>
        <v>0-0-0</v>
      </c>
      <c r="I458" s="389">
        <f t="shared" si="204"/>
        <v>0</v>
      </c>
      <c r="J458" s="455" t="str">
        <f t="shared" si="229"/>
        <v/>
      </c>
      <c r="K458" s="455">
        <f t="shared" si="205"/>
        <v>0</v>
      </c>
      <c r="L458" s="455">
        <f t="shared" si="230"/>
        <v>0</v>
      </c>
      <c r="M458" s="389" t="str">
        <f>IFERROR(IF(AD458&lt;=VLOOKUP(D458,Tournaments!$A$1:$B$1772,2,FALSE),"TRUE","FALSE"),"")</f>
        <v/>
      </c>
      <c r="N458" s="389">
        <v>1</v>
      </c>
      <c r="O458" s="389">
        <f t="shared" si="206"/>
        <v>0</v>
      </c>
      <c r="Q458" s="389">
        <f t="shared" si="207"/>
        <v>0</v>
      </c>
      <c r="R458" s="389">
        <f t="shared" si="208"/>
        <v>0</v>
      </c>
      <c r="S458" s="389">
        <f t="shared" si="209"/>
        <v>0</v>
      </c>
      <c r="U458" s="389">
        <f t="shared" si="210"/>
        <v>0</v>
      </c>
      <c r="V458" s="389" t="b">
        <f t="shared" si="211"/>
        <v>0</v>
      </c>
      <c r="W458" s="389">
        <f t="shared" si="212"/>
        <v>0</v>
      </c>
      <c r="X458" s="389">
        <f t="shared" si="213"/>
        <v>0</v>
      </c>
      <c r="Y458" s="389">
        <f t="shared" si="231"/>
        <v>1.0999999999999999E-2</v>
      </c>
      <c r="Z458" s="389">
        <f t="shared" si="214"/>
        <v>1.0999999999999999E-2</v>
      </c>
      <c r="AA458" s="389">
        <f t="shared" si="215"/>
        <v>0</v>
      </c>
      <c r="AB458" s="389">
        <f t="shared" si="216"/>
        <v>1E-4</v>
      </c>
      <c r="AC458" s="389">
        <f t="shared" si="217"/>
        <v>1E-4</v>
      </c>
      <c r="AD458" s="389">
        <f t="shared" si="218"/>
        <v>0</v>
      </c>
      <c r="AE458" s="389">
        <f t="shared" si="219"/>
        <v>0</v>
      </c>
      <c r="AG458" s="311" t="str">
        <f t="shared" si="220"/>
        <v>-</v>
      </c>
      <c r="AH458" s="453" t="str">
        <f t="shared" si="221"/>
        <v/>
      </c>
      <c r="AI458" s="453" t="str">
        <f t="shared" si="222"/>
        <v/>
      </c>
      <c r="AJ458" t="str">
        <f t="array" ref="AJ458">IF(AND(AI458&gt;1,G458&lt;&gt;""),INDEX(FS_teams,MATCH(1,(FS_Keys=AG458)*(FS_Points=I458)*(FS_teams&lt;&gt;G458),0)),"")</f>
        <v/>
      </c>
      <c r="AK458" s="390" t="str">
        <f t="array" ref="AK458">IF(AJ458&lt;&gt;"",INDEX(TM_Score1,MATCH(1,(TM_Events=D458)*(TM_Participant1=G458)*(TM_Participant2=AJ458),0)),"")</f>
        <v/>
      </c>
      <c r="AL458" s="390" t="str">
        <f t="array" ref="AL458">IF(AJ458&lt;&gt;"",INDEX(TM_Score1,MATCH(1,(TM_Events=D458)*(TM_Participant1=AJ458)*(TM_Participant2=G458),0)),"")</f>
        <v/>
      </c>
      <c r="AM458" s="389" t="str">
        <f t="array" ref="AM458">IF(ISNUMBER(AK458),INDEX(TM_Score2,MATCH(1,(TM_Events=D458)*(TM_Participant1=G458)*(TM_Participant2=AJ458),0)),"")</f>
        <v/>
      </c>
      <c r="AN458" s="389" t="str">
        <f t="array" ref="AN458">IF(ISNUMBER(AL458),INDEX(TM_Score2,MATCH(1,(TM_Events=D458)*(TM_Participant1=AJ458)*(TM_Participant2=G458),0)),"")</f>
        <v/>
      </c>
      <c r="AO458" s="389" t="str">
        <f t="shared" si="223"/>
        <v/>
      </c>
      <c r="AP458" s="389">
        <f t="shared" si="224"/>
        <v>0</v>
      </c>
      <c r="AQ458" s="389">
        <f t="shared" si="225"/>
        <v>0</v>
      </c>
      <c r="AR458" s="389">
        <f t="shared" si="226"/>
        <v>0</v>
      </c>
      <c r="AS458" s="453">
        <f t="shared" si="227"/>
        <v>0</v>
      </c>
      <c r="AT458" s="452">
        <f t="shared" si="228"/>
        <v>0</v>
      </c>
    </row>
    <row r="459" spans="1:46" ht="16" x14ac:dyDescent="0.2">
      <c r="B459"/>
      <c r="D459" s="303"/>
      <c r="E459" s="396"/>
      <c r="F459" s="387"/>
      <c r="G459" s="397"/>
      <c r="H459" s="387" t="str">
        <f t="shared" si="203"/>
        <v>0-0-0</v>
      </c>
      <c r="I459" s="389">
        <f t="shared" si="204"/>
        <v>0</v>
      </c>
      <c r="J459" s="455" t="str">
        <f t="shared" si="229"/>
        <v/>
      </c>
      <c r="K459" s="455">
        <f t="shared" si="205"/>
        <v>0</v>
      </c>
      <c r="L459" s="455">
        <f t="shared" si="230"/>
        <v>0</v>
      </c>
      <c r="M459" s="389" t="str">
        <f>IFERROR(IF(AD459&lt;=VLOOKUP(D459,Tournaments!$A$1:$B$1772,2,FALSE),"TRUE","FALSE"),"")</f>
        <v/>
      </c>
      <c r="N459" s="389">
        <v>1</v>
      </c>
      <c r="O459" s="389">
        <f t="shared" si="206"/>
        <v>0</v>
      </c>
      <c r="Q459" s="389">
        <f t="shared" si="207"/>
        <v>0</v>
      </c>
      <c r="R459" s="389">
        <f t="shared" si="208"/>
        <v>0</v>
      </c>
      <c r="S459" s="389">
        <f t="shared" si="209"/>
        <v>0</v>
      </c>
      <c r="U459" s="389">
        <f t="shared" si="210"/>
        <v>0</v>
      </c>
      <c r="V459" s="389" t="b">
        <f t="shared" si="211"/>
        <v>0</v>
      </c>
      <c r="W459" s="389">
        <f t="shared" si="212"/>
        <v>0</v>
      </c>
      <c r="X459" s="389">
        <f t="shared" si="213"/>
        <v>0</v>
      </c>
      <c r="Y459" s="389">
        <f t="shared" si="231"/>
        <v>1.0999999999999999E-2</v>
      </c>
      <c r="Z459" s="389">
        <f t="shared" si="214"/>
        <v>1.0999999999999999E-2</v>
      </c>
      <c r="AA459" s="389">
        <f t="shared" si="215"/>
        <v>0</v>
      </c>
      <c r="AB459" s="389">
        <f t="shared" si="216"/>
        <v>1E-4</v>
      </c>
      <c r="AC459" s="389">
        <f t="shared" si="217"/>
        <v>1E-4</v>
      </c>
      <c r="AD459" s="389">
        <f t="shared" si="218"/>
        <v>0</v>
      </c>
      <c r="AE459" s="389">
        <f t="shared" si="219"/>
        <v>0</v>
      </c>
      <c r="AG459" s="311" t="str">
        <f t="shared" si="220"/>
        <v>-</v>
      </c>
      <c r="AH459" s="453" t="str">
        <f t="shared" si="221"/>
        <v/>
      </c>
      <c r="AI459" s="453" t="str">
        <f t="shared" si="222"/>
        <v/>
      </c>
      <c r="AJ459" t="str">
        <f t="array" ref="AJ459">IF(AND(AI459&gt;1,G459&lt;&gt;""),INDEX(FS_teams,MATCH(1,(FS_Keys=AG459)*(FS_Points=I459)*(FS_teams&lt;&gt;G459),0)),"")</f>
        <v/>
      </c>
      <c r="AK459" s="390" t="str">
        <f t="array" ref="AK459">IF(AJ459&lt;&gt;"",INDEX(TM_Score1,MATCH(1,(TM_Events=D459)*(TM_Participant1=G459)*(TM_Participant2=AJ459),0)),"")</f>
        <v/>
      </c>
      <c r="AL459" s="390" t="str">
        <f t="array" ref="AL459">IF(AJ459&lt;&gt;"",INDEX(TM_Score1,MATCH(1,(TM_Events=D459)*(TM_Participant1=AJ459)*(TM_Participant2=G459),0)),"")</f>
        <v/>
      </c>
      <c r="AM459" s="389" t="str">
        <f t="array" ref="AM459">IF(ISNUMBER(AK459),INDEX(TM_Score2,MATCH(1,(TM_Events=D459)*(TM_Participant1=G459)*(TM_Participant2=AJ459),0)),"")</f>
        <v/>
      </c>
      <c r="AN459" s="389" t="str">
        <f t="array" ref="AN459">IF(ISNUMBER(AL459),INDEX(TM_Score2,MATCH(1,(TM_Events=D459)*(TM_Participant1=AJ459)*(TM_Participant2=G459),0)),"")</f>
        <v/>
      </c>
      <c r="AO459" s="389" t="str">
        <f t="shared" si="223"/>
        <v/>
      </c>
      <c r="AP459" s="389">
        <f t="shared" si="224"/>
        <v>0</v>
      </c>
      <c r="AQ459" s="389">
        <f t="shared" si="225"/>
        <v>0</v>
      </c>
      <c r="AR459" s="389">
        <f t="shared" si="226"/>
        <v>0</v>
      </c>
      <c r="AS459" s="453">
        <f t="shared" si="227"/>
        <v>0</v>
      </c>
      <c r="AT459" s="452">
        <f t="shared" si="228"/>
        <v>0</v>
      </c>
    </row>
    <row r="460" spans="1:46" ht="16" x14ac:dyDescent="0.2">
      <c r="B460"/>
      <c r="D460" s="303"/>
      <c r="E460" s="396"/>
      <c r="F460" s="387"/>
      <c r="G460" s="397"/>
      <c r="H460" s="387" t="str">
        <f t="shared" si="203"/>
        <v>0-0-0</v>
      </c>
      <c r="I460" s="389">
        <f t="shared" si="204"/>
        <v>0</v>
      </c>
      <c r="J460" s="455" t="str">
        <f t="shared" si="229"/>
        <v/>
      </c>
      <c r="K460" s="455">
        <f t="shared" si="205"/>
        <v>0</v>
      </c>
      <c r="L460" s="455">
        <f t="shared" si="230"/>
        <v>0</v>
      </c>
      <c r="M460" s="389" t="str">
        <f>IFERROR(IF(AD460&lt;=VLOOKUP(D460,Tournaments!$A$1:$B$1772,2,FALSE),"TRUE","FALSE"),"")</f>
        <v/>
      </c>
      <c r="N460" s="389">
        <v>1</v>
      </c>
      <c r="O460" s="389">
        <f t="shared" si="206"/>
        <v>0</v>
      </c>
      <c r="Q460" s="389">
        <f t="shared" si="207"/>
        <v>0</v>
      </c>
      <c r="R460" s="389">
        <f t="shared" si="208"/>
        <v>0</v>
      </c>
      <c r="S460" s="389">
        <f t="shared" si="209"/>
        <v>0</v>
      </c>
      <c r="U460" s="389">
        <f t="shared" si="210"/>
        <v>0</v>
      </c>
      <c r="V460" s="389" t="b">
        <f t="shared" si="211"/>
        <v>0</v>
      </c>
      <c r="W460" s="389">
        <f t="shared" si="212"/>
        <v>0</v>
      </c>
      <c r="X460" s="389">
        <f t="shared" si="213"/>
        <v>0</v>
      </c>
      <c r="Y460" s="389">
        <f t="shared" si="231"/>
        <v>1.0999999999999999E-2</v>
      </c>
      <c r="Z460" s="389">
        <f t="shared" si="214"/>
        <v>1.0999999999999999E-2</v>
      </c>
      <c r="AA460" s="389">
        <f t="shared" si="215"/>
        <v>0</v>
      </c>
      <c r="AB460" s="389">
        <f t="shared" si="216"/>
        <v>1E-4</v>
      </c>
      <c r="AC460" s="389">
        <f t="shared" si="217"/>
        <v>1E-4</v>
      </c>
      <c r="AD460" s="389">
        <f t="shared" si="218"/>
        <v>0</v>
      </c>
      <c r="AE460" s="389">
        <f t="shared" si="219"/>
        <v>0</v>
      </c>
      <c r="AG460" s="311" t="str">
        <f t="shared" si="220"/>
        <v>-</v>
      </c>
      <c r="AH460" s="453" t="str">
        <f t="shared" si="221"/>
        <v/>
      </c>
      <c r="AI460" s="453" t="str">
        <f t="shared" si="222"/>
        <v/>
      </c>
      <c r="AJ460" t="str">
        <f t="array" ref="AJ460">IF(AND(AI460&gt;1,G460&lt;&gt;""),INDEX(FS_teams,MATCH(1,(FS_Keys=AG460)*(FS_Points=I460)*(FS_teams&lt;&gt;G460),0)),"")</f>
        <v/>
      </c>
      <c r="AK460" s="390" t="str">
        <f t="array" ref="AK460">IF(AJ460&lt;&gt;"",INDEX(TM_Score1,MATCH(1,(TM_Events=D460)*(TM_Participant1=G460)*(TM_Participant2=AJ460),0)),"")</f>
        <v/>
      </c>
      <c r="AL460" s="390" t="str">
        <f t="array" ref="AL460">IF(AJ460&lt;&gt;"",INDEX(TM_Score1,MATCH(1,(TM_Events=D460)*(TM_Participant1=AJ460)*(TM_Participant2=G460),0)),"")</f>
        <v/>
      </c>
      <c r="AM460" s="389" t="str">
        <f t="array" ref="AM460">IF(ISNUMBER(AK460),INDEX(TM_Score2,MATCH(1,(TM_Events=D460)*(TM_Participant1=G460)*(TM_Participant2=AJ460),0)),"")</f>
        <v/>
      </c>
      <c r="AN460" s="389" t="str">
        <f t="array" ref="AN460">IF(ISNUMBER(AL460),INDEX(TM_Score2,MATCH(1,(TM_Events=D460)*(TM_Participant1=AJ460)*(TM_Participant2=G460),0)),"")</f>
        <v/>
      </c>
      <c r="AO460" s="389" t="str">
        <f t="shared" si="223"/>
        <v/>
      </c>
      <c r="AP460" s="389">
        <f t="shared" si="224"/>
        <v>0</v>
      </c>
      <c r="AQ460" s="389">
        <f t="shared" si="225"/>
        <v>0</v>
      </c>
      <c r="AR460" s="389">
        <f t="shared" si="226"/>
        <v>0</v>
      </c>
      <c r="AS460" s="453">
        <f t="shared" si="227"/>
        <v>0</v>
      </c>
      <c r="AT460" s="452">
        <f t="shared" si="228"/>
        <v>0</v>
      </c>
    </row>
    <row r="461" spans="1:46" ht="16" x14ac:dyDescent="0.2">
      <c r="B461"/>
      <c r="D461" s="303"/>
      <c r="E461" s="396"/>
      <c r="F461" s="387"/>
      <c r="G461" s="397"/>
      <c r="H461" s="387" t="str">
        <f t="shared" si="203"/>
        <v>0-0-0</v>
      </c>
      <c r="I461" s="389">
        <f t="shared" si="204"/>
        <v>0</v>
      </c>
      <c r="J461" s="455" t="str">
        <f t="shared" si="229"/>
        <v/>
      </c>
      <c r="K461" s="455">
        <f t="shared" si="205"/>
        <v>0</v>
      </c>
      <c r="L461" s="455">
        <f t="shared" si="230"/>
        <v>0</v>
      </c>
      <c r="M461" s="389" t="str">
        <f>IFERROR(IF(AD461&lt;=VLOOKUP(D461,Tournaments!$A$1:$B$1772,2,FALSE),"TRUE","FALSE"),"")</f>
        <v/>
      </c>
      <c r="N461" s="389">
        <v>1</v>
      </c>
      <c r="O461" s="389">
        <f t="shared" si="206"/>
        <v>0</v>
      </c>
      <c r="Q461" s="389">
        <f t="shared" si="207"/>
        <v>0</v>
      </c>
      <c r="R461" s="389">
        <f t="shared" si="208"/>
        <v>0</v>
      </c>
      <c r="S461" s="389">
        <f t="shared" si="209"/>
        <v>0</v>
      </c>
      <c r="U461" s="389">
        <f t="shared" si="210"/>
        <v>0</v>
      </c>
      <c r="V461" s="389" t="b">
        <f t="shared" si="211"/>
        <v>0</v>
      </c>
      <c r="W461" s="389">
        <f t="shared" si="212"/>
        <v>0</v>
      </c>
      <c r="X461" s="389">
        <f t="shared" si="213"/>
        <v>0</v>
      </c>
      <c r="Y461" s="389">
        <f t="shared" si="231"/>
        <v>1.0999999999999999E-2</v>
      </c>
      <c r="Z461" s="389">
        <f t="shared" si="214"/>
        <v>1.0999999999999999E-2</v>
      </c>
      <c r="AA461" s="389">
        <f t="shared" si="215"/>
        <v>0</v>
      </c>
      <c r="AB461" s="389">
        <f t="shared" si="216"/>
        <v>1E-4</v>
      </c>
      <c r="AC461" s="389">
        <f t="shared" si="217"/>
        <v>1E-4</v>
      </c>
      <c r="AD461" s="389">
        <f t="shared" si="218"/>
        <v>0</v>
      </c>
      <c r="AE461" s="389">
        <f t="shared" si="219"/>
        <v>0</v>
      </c>
      <c r="AG461" s="311" t="str">
        <f t="shared" si="220"/>
        <v>-</v>
      </c>
      <c r="AH461" s="453" t="str">
        <f t="shared" si="221"/>
        <v/>
      </c>
      <c r="AI461" s="453" t="str">
        <f t="shared" si="222"/>
        <v/>
      </c>
      <c r="AJ461" t="str">
        <f t="array" ref="AJ461">IF(AND(AI461&gt;1,G461&lt;&gt;""),INDEX(FS_teams,MATCH(1,(FS_Keys=AG461)*(FS_Points=I461)*(FS_teams&lt;&gt;G461),0)),"")</f>
        <v/>
      </c>
      <c r="AK461" s="390" t="str">
        <f t="array" ref="AK461">IF(AJ461&lt;&gt;"",INDEX(TM_Score1,MATCH(1,(TM_Events=D461)*(TM_Participant1=G461)*(TM_Participant2=AJ461),0)),"")</f>
        <v/>
      </c>
      <c r="AL461" s="390" t="str">
        <f t="array" ref="AL461">IF(AJ461&lt;&gt;"",INDEX(TM_Score1,MATCH(1,(TM_Events=D461)*(TM_Participant1=AJ461)*(TM_Participant2=G461),0)),"")</f>
        <v/>
      </c>
      <c r="AM461" s="389" t="str">
        <f t="array" ref="AM461">IF(ISNUMBER(AK461),INDEX(TM_Score2,MATCH(1,(TM_Events=D461)*(TM_Participant1=G461)*(TM_Participant2=AJ461),0)),"")</f>
        <v/>
      </c>
      <c r="AN461" s="389" t="str">
        <f t="array" ref="AN461">IF(ISNUMBER(AL461),INDEX(TM_Score2,MATCH(1,(TM_Events=D461)*(TM_Participant1=AJ461)*(TM_Participant2=G461),0)),"")</f>
        <v/>
      </c>
      <c r="AO461" s="389" t="str">
        <f t="shared" si="223"/>
        <v/>
      </c>
      <c r="AP461" s="389">
        <f t="shared" si="224"/>
        <v>0</v>
      </c>
      <c r="AQ461" s="389">
        <f t="shared" si="225"/>
        <v>0</v>
      </c>
      <c r="AR461" s="389">
        <f t="shared" si="226"/>
        <v>0</v>
      </c>
      <c r="AS461" s="453">
        <f t="shared" si="227"/>
        <v>0</v>
      </c>
      <c r="AT461" s="452">
        <f t="shared" si="228"/>
        <v>0</v>
      </c>
    </row>
    <row r="462" spans="1:46" ht="16" x14ac:dyDescent="0.2">
      <c r="B462"/>
      <c r="D462" s="303"/>
      <c r="E462" s="396"/>
      <c r="F462" s="387"/>
      <c r="G462" s="397"/>
      <c r="H462" s="387" t="str">
        <f t="shared" si="203"/>
        <v>0-0-0</v>
      </c>
      <c r="I462" s="389">
        <f t="shared" si="204"/>
        <v>0</v>
      </c>
      <c r="J462" s="455" t="str">
        <f t="shared" si="229"/>
        <v/>
      </c>
      <c r="K462" s="455">
        <f t="shared" si="205"/>
        <v>0</v>
      </c>
      <c r="L462" s="455">
        <f t="shared" si="230"/>
        <v>0</v>
      </c>
      <c r="M462" s="389" t="str">
        <f>IFERROR(IF(AD462&lt;=VLOOKUP(D462,Tournaments!$A$1:$B$1772,2,FALSE),"TRUE","FALSE"),"")</f>
        <v/>
      </c>
      <c r="N462" s="389">
        <v>1</v>
      </c>
      <c r="O462" s="389">
        <f t="shared" si="206"/>
        <v>0</v>
      </c>
      <c r="Q462" s="389">
        <f t="shared" si="207"/>
        <v>0</v>
      </c>
      <c r="R462" s="389">
        <f t="shared" si="208"/>
        <v>0</v>
      </c>
      <c r="S462" s="389">
        <f t="shared" si="209"/>
        <v>0</v>
      </c>
      <c r="U462" s="389">
        <f t="shared" si="210"/>
        <v>0</v>
      </c>
      <c r="V462" s="389" t="b">
        <f t="shared" si="211"/>
        <v>0</v>
      </c>
      <c r="W462" s="389">
        <f t="shared" si="212"/>
        <v>0</v>
      </c>
      <c r="X462" s="389">
        <f t="shared" si="213"/>
        <v>0</v>
      </c>
      <c r="Y462" s="389">
        <f t="shared" si="231"/>
        <v>1.0999999999999999E-2</v>
      </c>
      <c r="Z462" s="389">
        <f t="shared" si="214"/>
        <v>1.0999999999999999E-2</v>
      </c>
      <c r="AA462" s="389">
        <f t="shared" si="215"/>
        <v>0</v>
      </c>
      <c r="AB462" s="389">
        <f t="shared" si="216"/>
        <v>1E-4</v>
      </c>
      <c r="AC462" s="389">
        <f t="shared" si="217"/>
        <v>1E-4</v>
      </c>
      <c r="AD462" s="389">
        <f t="shared" si="218"/>
        <v>0</v>
      </c>
      <c r="AE462" s="389">
        <f t="shared" si="219"/>
        <v>0</v>
      </c>
      <c r="AG462" s="311" t="str">
        <f t="shared" si="220"/>
        <v>-</v>
      </c>
      <c r="AH462" s="453" t="str">
        <f t="shared" si="221"/>
        <v/>
      </c>
      <c r="AI462" s="453" t="str">
        <f t="shared" si="222"/>
        <v/>
      </c>
      <c r="AJ462" t="str">
        <f t="array" ref="AJ462">IF(AND(AI462&gt;1,G462&lt;&gt;""),INDEX(FS_teams,MATCH(1,(FS_Keys=AG462)*(FS_Points=I462)*(FS_teams&lt;&gt;G462),0)),"")</f>
        <v/>
      </c>
      <c r="AK462" s="390" t="str">
        <f t="array" ref="AK462">IF(AJ462&lt;&gt;"",INDEX(TM_Score1,MATCH(1,(TM_Events=D462)*(TM_Participant1=G462)*(TM_Participant2=AJ462),0)),"")</f>
        <v/>
      </c>
      <c r="AL462" s="390" t="str">
        <f t="array" ref="AL462">IF(AJ462&lt;&gt;"",INDEX(TM_Score1,MATCH(1,(TM_Events=D462)*(TM_Participant1=AJ462)*(TM_Participant2=G462),0)),"")</f>
        <v/>
      </c>
      <c r="AM462" s="389" t="str">
        <f t="array" ref="AM462">IF(ISNUMBER(AK462),INDEX(TM_Score2,MATCH(1,(TM_Events=D462)*(TM_Participant1=G462)*(TM_Participant2=AJ462),0)),"")</f>
        <v/>
      </c>
      <c r="AN462" s="389" t="str">
        <f t="array" ref="AN462">IF(ISNUMBER(AL462),INDEX(TM_Score2,MATCH(1,(TM_Events=D462)*(TM_Participant1=AJ462)*(TM_Participant2=G462),0)),"")</f>
        <v/>
      </c>
      <c r="AO462" s="389" t="str">
        <f t="shared" si="223"/>
        <v/>
      </c>
      <c r="AP462" s="389">
        <f t="shared" si="224"/>
        <v>0</v>
      </c>
      <c r="AQ462" s="389">
        <f t="shared" si="225"/>
        <v>0</v>
      </c>
      <c r="AR462" s="389">
        <f t="shared" si="226"/>
        <v>0</v>
      </c>
      <c r="AS462" s="453">
        <f t="shared" si="227"/>
        <v>0</v>
      </c>
      <c r="AT462" s="452">
        <f t="shared" si="228"/>
        <v>0</v>
      </c>
    </row>
    <row r="463" spans="1:46" ht="16" x14ac:dyDescent="0.2">
      <c r="B463"/>
      <c r="D463" s="303"/>
      <c r="E463" s="396"/>
      <c r="F463" s="387"/>
      <c r="G463" s="397"/>
      <c r="H463" s="387" t="str">
        <f t="shared" si="203"/>
        <v>0-0-0</v>
      </c>
      <c r="I463" s="389">
        <f t="shared" si="204"/>
        <v>0</v>
      </c>
      <c r="J463" s="455" t="str">
        <f t="shared" si="229"/>
        <v/>
      </c>
      <c r="K463" s="455">
        <f t="shared" si="205"/>
        <v>0</v>
      </c>
      <c r="L463" s="455">
        <f t="shared" si="230"/>
        <v>0</v>
      </c>
      <c r="M463" s="389" t="str">
        <f>IFERROR(IF(AD463&lt;=VLOOKUP(D463,Tournaments!$A$1:$B$1772,2,FALSE),"TRUE","FALSE"),"")</f>
        <v/>
      </c>
      <c r="N463" s="389">
        <v>1</v>
      </c>
      <c r="O463" s="389">
        <f t="shared" si="206"/>
        <v>0</v>
      </c>
      <c r="Q463" s="389">
        <f t="shared" si="207"/>
        <v>0</v>
      </c>
      <c r="R463" s="389">
        <f t="shared" si="208"/>
        <v>0</v>
      </c>
      <c r="S463" s="389">
        <f t="shared" si="209"/>
        <v>0</v>
      </c>
      <c r="U463" s="389">
        <f t="shared" si="210"/>
        <v>0</v>
      </c>
      <c r="V463" s="389" t="b">
        <f t="shared" si="211"/>
        <v>0</v>
      </c>
      <c r="W463" s="389">
        <f t="shared" si="212"/>
        <v>0</v>
      </c>
      <c r="X463" s="389">
        <f t="shared" si="213"/>
        <v>0</v>
      </c>
      <c r="Y463" s="389">
        <f t="shared" si="231"/>
        <v>1.0999999999999999E-2</v>
      </c>
      <c r="Z463" s="389">
        <f t="shared" si="214"/>
        <v>1.0999999999999999E-2</v>
      </c>
      <c r="AA463" s="389">
        <f t="shared" si="215"/>
        <v>0</v>
      </c>
      <c r="AB463" s="389">
        <f t="shared" si="216"/>
        <v>1E-4</v>
      </c>
      <c r="AC463" s="389">
        <f t="shared" si="217"/>
        <v>1E-4</v>
      </c>
      <c r="AD463" s="389">
        <f t="shared" si="218"/>
        <v>0</v>
      </c>
      <c r="AE463" s="389">
        <f t="shared" si="219"/>
        <v>0</v>
      </c>
      <c r="AG463" s="311" t="str">
        <f t="shared" si="220"/>
        <v>-</v>
      </c>
      <c r="AH463" s="453" t="str">
        <f t="shared" si="221"/>
        <v/>
      </c>
      <c r="AI463" s="453" t="str">
        <f t="shared" si="222"/>
        <v/>
      </c>
      <c r="AJ463" t="str">
        <f t="array" ref="AJ463">IF(AND(AI463&gt;1,G463&lt;&gt;""),INDEX(FS_teams,MATCH(1,(FS_Keys=AG463)*(FS_Points=I463)*(FS_teams&lt;&gt;G463),0)),"")</f>
        <v/>
      </c>
      <c r="AK463" s="390" t="str">
        <f t="array" ref="AK463">IF(AJ463&lt;&gt;"",INDEX(TM_Score1,MATCH(1,(TM_Events=D463)*(TM_Participant1=G463)*(TM_Participant2=AJ463),0)),"")</f>
        <v/>
      </c>
      <c r="AL463" s="390" t="str">
        <f t="array" ref="AL463">IF(AJ463&lt;&gt;"",INDEX(TM_Score1,MATCH(1,(TM_Events=D463)*(TM_Participant1=AJ463)*(TM_Participant2=G463),0)),"")</f>
        <v/>
      </c>
      <c r="AM463" s="389" t="str">
        <f t="array" ref="AM463">IF(ISNUMBER(AK463),INDEX(TM_Score2,MATCH(1,(TM_Events=D463)*(TM_Participant1=G463)*(TM_Participant2=AJ463),0)),"")</f>
        <v/>
      </c>
      <c r="AN463" s="389" t="str">
        <f t="array" ref="AN463">IF(ISNUMBER(AL463),INDEX(TM_Score2,MATCH(1,(TM_Events=D463)*(TM_Participant1=AJ463)*(TM_Participant2=G463),0)),"")</f>
        <v/>
      </c>
      <c r="AO463" s="389" t="str">
        <f t="shared" si="223"/>
        <v/>
      </c>
      <c r="AP463" s="389">
        <f t="shared" si="224"/>
        <v>0</v>
      </c>
      <c r="AQ463" s="389">
        <f t="shared" si="225"/>
        <v>0</v>
      </c>
      <c r="AR463" s="389">
        <f t="shared" si="226"/>
        <v>0</v>
      </c>
      <c r="AS463" s="453">
        <f t="shared" si="227"/>
        <v>0</v>
      </c>
      <c r="AT463" s="452">
        <f t="shared" si="228"/>
        <v>0</v>
      </c>
    </row>
    <row r="464" spans="1:46" ht="16" x14ac:dyDescent="0.2">
      <c r="B464"/>
      <c r="D464" s="303"/>
      <c r="E464" s="396"/>
      <c r="F464" s="387"/>
      <c r="G464" s="397"/>
      <c r="H464" s="387" t="str">
        <f t="shared" si="203"/>
        <v>0-0-0</v>
      </c>
      <c r="I464" s="389">
        <f t="shared" si="204"/>
        <v>0</v>
      </c>
      <c r="J464" s="455" t="str">
        <f t="shared" si="229"/>
        <v/>
      </c>
      <c r="K464" s="455">
        <f t="shared" si="205"/>
        <v>0</v>
      </c>
      <c r="L464" s="455">
        <f t="shared" si="230"/>
        <v>0</v>
      </c>
      <c r="M464" s="389" t="str">
        <f>IFERROR(IF(AD464&lt;=VLOOKUP(D464,Tournaments!$A$1:$B$1772,2,FALSE),"TRUE","FALSE"),"")</f>
        <v/>
      </c>
      <c r="N464" s="389">
        <v>1</v>
      </c>
      <c r="O464" s="389">
        <f t="shared" si="206"/>
        <v>0</v>
      </c>
      <c r="Q464" s="389">
        <f t="shared" si="207"/>
        <v>0</v>
      </c>
      <c r="R464" s="389">
        <f t="shared" si="208"/>
        <v>0</v>
      </c>
      <c r="S464" s="389">
        <f t="shared" si="209"/>
        <v>0</v>
      </c>
      <c r="U464" s="389">
        <f t="shared" si="210"/>
        <v>0</v>
      </c>
      <c r="V464" s="389" t="b">
        <f t="shared" si="211"/>
        <v>0</v>
      </c>
      <c r="W464" s="389">
        <f t="shared" si="212"/>
        <v>0</v>
      </c>
      <c r="X464" s="389">
        <f t="shared" si="213"/>
        <v>0</v>
      </c>
      <c r="Y464" s="389">
        <f t="shared" si="231"/>
        <v>1.0999999999999999E-2</v>
      </c>
      <c r="Z464" s="389">
        <f t="shared" si="214"/>
        <v>1.0999999999999999E-2</v>
      </c>
      <c r="AA464" s="389">
        <f t="shared" si="215"/>
        <v>0</v>
      </c>
      <c r="AB464" s="389">
        <f t="shared" si="216"/>
        <v>1E-4</v>
      </c>
      <c r="AC464" s="389">
        <f t="shared" si="217"/>
        <v>1E-4</v>
      </c>
      <c r="AD464" s="389">
        <f t="shared" si="218"/>
        <v>0</v>
      </c>
      <c r="AE464" s="389">
        <f t="shared" si="219"/>
        <v>0</v>
      </c>
      <c r="AG464" s="311" t="str">
        <f t="shared" si="220"/>
        <v>-</v>
      </c>
      <c r="AH464" s="453" t="str">
        <f t="shared" si="221"/>
        <v/>
      </c>
      <c r="AI464" s="453" t="str">
        <f t="shared" si="222"/>
        <v/>
      </c>
      <c r="AJ464" t="str">
        <f t="array" ref="AJ464">IF(AND(AI464&gt;1,G464&lt;&gt;""),INDEX(FS_teams,MATCH(1,(FS_Keys=AG464)*(FS_Points=I464)*(FS_teams&lt;&gt;G464),0)),"")</f>
        <v/>
      </c>
      <c r="AK464" s="390" t="str">
        <f t="array" ref="AK464">IF(AJ464&lt;&gt;"",INDEX(TM_Score1,MATCH(1,(TM_Events=D464)*(TM_Participant1=G464)*(TM_Participant2=AJ464),0)),"")</f>
        <v/>
      </c>
      <c r="AL464" s="390" t="str">
        <f t="array" ref="AL464">IF(AJ464&lt;&gt;"",INDEX(TM_Score1,MATCH(1,(TM_Events=D464)*(TM_Participant1=AJ464)*(TM_Participant2=G464),0)),"")</f>
        <v/>
      </c>
      <c r="AM464" s="389" t="str">
        <f t="array" ref="AM464">IF(ISNUMBER(AK464),INDEX(TM_Score2,MATCH(1,(TM_Events=D464)*(TM_Participant1=G464)*(TM_Participant2=AJ464),0)),"")</f>
        <v/>
      </c>
      <c r="AN464" s="389" t="str">
        <f t="array" ref="AN464">IF(ISNUMBER(AL464),INDEX(TM_Score2,MATCH(1,(TM_Events=D464)*(TM_Participant1=AJ464)*(TM_Participant2=G464),0)),"")</f>
        <v/>
      </c>
      <c r="AO464" s="389" t="str">
        <f t="shared" si="223"/>
        <v/>
      </c>
      <c r="AP464" s="389">
        <f t="shared" si="224"/>
        <v>0</v>
      </c>
      <c r="AQ464" s="389">
        <f t="shared" si="225"/>
        <v>0</v>
      </c>
      <c r="AR464" s="389">
        <f t="shared" si="226"/>
        <v>0</v>
      </c>
      <c r="AS464" s="453">
        <f t="shared" si="227"/>
        <v>0</v>
      </c>
      <c r="AT464" s="452">
        <f t="shared" si="228"/>
        <v>0</v>
      </c>
    </row>
    <row r="465" spans="2:46" ht="16" x14ac:dyDescent="0.2">
      <c r="B465"/>
      <c r="D465" s="303"/>
      <c r="E465" s="396"/>
      <c r="F465" s="387"/>
      <c r="G465" s="397"/>
      <c r="H465" s="387" t="str">
        <f t="shared" si="203"/>
        <v>0-0-0</v>
      </c>
      <c r="I465" s="389">
        <f t="shared" si="204"/>
        <v>0</v>
      </c>
      <c r="J465" s="455" t="str">
        <f t="shared" si="229"/>
        <v/>
      </c>
      <c r="K465" s="455">
        <f t="shared" si="205"/>
        <v>0</v>
      </c>
      <c r="L465" s="455">
        <f t="shared" si="230"/>
        <v>0</v>
      </c>
      <c r="M465" s="389" t="str">
        <f>IFERROR(IF(AD465&lt;=VLOOKUP(D465,Tournaments!$A$1:$B$1772,2,FALSE),"TRUE","FALSE"),"")</f>
        <v/>
      </c>
      <c r="N465" s="389">
        <v>1</v>
      </c>
      <c r="O465" s="389">
        <f t="shared" si="206"/>
        <v>0</v>
      </c>
      <c r="Q465" s="389">
        <f t="shared" si="207"/>
        <v>0</v>
      </c>
      <c r="R465" s="389">
        <f t="shared" si="208"/>
        <v>0</v>
      </c>
      <c r="S465" s="389">
        <f t="shared" si="209"/>
        <v>0</v>
      </c>
      <c r="U465" s="389">
        <f t="shared" si="210"/>
        <v>0</v>
      </c>
      <c r="V465" s="389" t="b">
        <f t="shared" si="211"/>
        <v>0</v>
      </c>
      <c r="W465" s="389">
        <f t="shared" si="212"/>
        <v>0</v>
      </c>
      <c r="X465" s="389">
        <f t="shared" si="213"/>
        <v>0</v>
      </c>
      <c r="Y465" s="389">
        <f t="shared" si="231"/>
        <v>1.0999999999999999E-2</v>
      </c>
      <c r="Z465" s="389">
        <f t="shared" si="214"/>
        <v>1.0999999999999999E-2</v>
      </c>
      <c r="AA465" s="389">
        <f t="shared" si="215"/>
        <v>0</v>
      </c>
      <c r="AB465" s="389">
        <f t="shared" si="216"/>
        <v>1E-4</v>
      </c>
      <c r="AC465" s="389">
        <f t="shared" si="217"/>
        <v>1E-4</v>
      </c>
      <c r="AD465" s="389">
        <f t="shared" si="218"/>
        <v>0</v>
      </c>
      <c r="AE465" s="389">
        <f t="shared" si="219"/>
        <v>0</v>
      </c>
      <c r="AG465" s="311" t="str">
        <f t="shared" si="220"/>
        <v>-</v>
      </c>
      <c r="AH465" s="453" t="str">
        <f t="shared" si="221"/>
        <v/>
      </c>
      <c r="AI465" s="453" t="str">
        <f t="shared" si="222"/>
        <v/>
      </c>
      <c r="AJ465" t="str">
        <f t="array" ref="AJ465">IF(AND(AI465&gt;1,G465&lt;&gt;""),INDEX(FS_teams,MATCH(1,(FS_Keys=AG465)*(FS_Points=I465)*(FS_teams&lt;&gt;G465),0)),"")</f>
        <v/>
      </c>
      <c r="AK465" s="390" t="str">
        <f t="array" ref="AK465">IF(AJ465&lt;&gt;"",INDEX(TM_Score1,MATCH(1,(TM_Events=D465)*(TM_Participant1=G465)*(TM_Participant2=AJ465),0)),"")</f>
        <v/>
      </c>
      <c r="AL465" s="390" t="str">
        <f t="array" ref="AL465">IF(AJ465&lt;&gt;"",INDEX(TM_Score1,MATCH(1,(TM_Events=D465)*(TM_Participant1=AJ465)*(TM_Participant2=G465),0)),"")</f>
        <v/>
      </c>
      <c r="AM465" s="389" t="str">
        <f t="array" ref="AM465">IF(ISNUMBER(AK465),INDEX(TM_Score2,MATCH(1,(TM_Events=D465)*(TM_Participant1=G465)*(TM_Participant2=AJ465),0)),"")</f>
        <v/>
      </c>
      <c r="AN465" s="389" t="str">
        <f t="array" ref="AN465">IF(ISNUMBER(AL465),INDEX(TM_Score2,MATCH(1,(TM_Events=D465)*(TM_Participant1=AJ465)*(TM_Participant2=G465),0)),"")</f>
        <v/>
      </c>
      <c r="AO465" s="389" t="str">
        <f t="shared" si="223"/>
        <v/>
      </c>
      <c r="AP465" s="389">
        <f t="shared" si="224"/>
        <v>0</v>
      </c>
      <c r="AQ465" s="389">
        <f t="shared" si="225"/>
        <v>0</v>
      </c>
      <c r="AR465" s="389">
        <f t="shared" si="226"/>
        <v>0</v>
      </c>
      <c r="AS465" s="453">
        <f t="shared" si="227"/>
        <v>0</v>
      </c>
      <c r="AT465" s="452">
        <f t="shared" si="228"/>
        <v>0</v>
      </c>
    </row>
    <row r="466" spans="2:46" ht="16" x14ac:dyDescent="0.2">
      <c r="B466"/>
      <c r="D466" s="303"/>
      <c r="E466" s="396"/>
      <c r="F466" s="387"/>
      <c r="G466" s="397"/>
      <c r="H466" s="387" t="str">
        <f t="shared" si="203"/>
        <v>0-0-0</v>
      </c>
      <c r="I466" s="389">
        <f t="shared" si="204"/>
        <v>0</v>
      </c>
      <c r="J466" s="455" t="str">
        <f t="shared" si="229"/>
        <v/>
      </c>
      <c r="K466" s="455">
        <f t="shared" si="205"/>
        <v>0</v>
      </c>
      <c r="L466" s="455">
        <f t="shared" si="230"/>
        <v>0</v>
      </c>
      <c r="M466" s="389" t="str">
        <f>IFERROR(IF(AD466&lt;=VLOOKUP(D466,Tournaments!$A$1:$B$1772,2,FALSE),"TRUE","FALSE"),"")</f>
        <v/>
      </c>
      <c r="N466" s="389">
        <v>1</v>
      </c>
      <c r="O466" s="389">
        <f t="shared" si="206"/>
        <v>0</v>
      </c>
      <c r="Q466" s="389">
        <f t="shared" si="207"/>
        <v>0</v>
      </c>
      <c r="R466" s="389">
        <f t="shared" si="208"/>
        <v>0</v>
      </c>
      <c r="S466" s="389">
        <f t="shared" si="209"/>
        <v>0</v>
      </c>
      <c r="U466" s="389">
        <f t="shared" si="210"/>
        <v>0</v>
      </c>
      <c r="V466" s="389" t="b">
        <f t="shared" si="211"/>
        <v>0</v>
      </c>
      <c r="W466" s="389">
        <f t="shared" si="212"/>
        <v>0</v>
      </c>
      <c r="X466" s="389">
        <f t="shared" si="213"/>
        <v>0</v>
      </c>
      <c r="Y466" s="389">
        <f t="shared" si="231"/>
        <v>1.0999999999999999E-2</v>
      </c>
      <c r="Z466" s="389">
        <f t="shared" si="214"/>
        <v>1.0999999999999999E-2</v>
      </c>
      <c r="AA466" s="389">
        <f t="shared" si="215"/>
        <v>0</v>
      </c>
      <c r="AB466" s="389">
        <f t="shared" si="216"/>
        <v>1E-4</v>
      </c>
      <c r="AC466" s="389">
        <f t="shared" si="217"/>
        <v>1E-4</v>
      </c>
      <c r="AD466" s="389">
        <f t="shared" si="218"/>
        <v>0</v>
      </c>
      <c r="AE466" s="389">
        <f t="shared" si="219"/>
        <v>0</v>
      </c>
      <c r="AG466" s="311" t="str">
        <f t="shared" si="220"/>
        <v>-</v>
      </c>
      <c r="AH466" s="453" t="str">
        <f t="shared" si="221"/>
        <v/>
      </c>
      <c r="AI466" s="453" t="str">
        <f t="shared" si="222"/>
        <v/>
      </c>
      <c r="AJ466" t="str">
        <f t="array" ref="AJ466">IF(AND(AI466&gt;1,G466&lt;&gt;""),INDEX(FS_teams,MATCH(1,(FS_Keys=AG466)*(FS_Points=I466)*(FS_teams&lt;&gt;G466),0)),"")</f>
        <v/>
      </c>
      <c r="AK466" s="390" t="str">
        <f t="array" ref="AK466">IF(AJ466&lt;&gt;"",INDEX(TM_Score1,MATCH(1,(TM_Events=D466)*(TM_Participant1=G466)*(TM_Participant2=AJ466),0)),"")</f>
        <v/>
      </c>
      <c r="AL466" s="390" t="str">
        <f t="array" ref="AL466">IF(AJ466&lt;&gt;"",INDEX(TM_Score1,MATCH(1,(TM_Events=D466)*(TM_Participant1=AJ466)*(TM_Participant2=G466),0)),"")</f>
        <v/>
      </c>
      <c r="AM466" s="389" t="str">
        <f t="array" ref="AM466">IF(ISNUMBER(AK466),INDEX(TM_Score2,MATCH(1,(TM_Events=D466)*(TM_Participant1=G466)*(TM_Participant2=AJ466),0)),"")</f>
        <v/>
      </c>
      <c r="AN466" s="389" t="str">
        <f t="array" ref="AN466">IF(ISNUMBER(AL466),INDEX(TM_Score2,MATCH(1,(TM_Events=D466)*(TM_Participant1=AJ466)*(TM_Participant2=G466),0)),"")</f>
        <v/>
      </c>
      <c r="AO466" s="389" t="str">
        <f t="shared" si="223"/>
        <v/>
      </c>
      <c r="AP466" s="389">
        <f t="shared" si="224"/>
        <v>0</v>
      </c>
      <c r="AQ466" s="389">
        <f t="shared" si="225"/>
        <v>0</v>
      </c>
      <c r="AR466" s="389">
        <f t="shared" si="226"/>
        <v>0</v>
      </c>
      <c r="AS466" s="453">
        <f t="shared" si="227"/>
        <v>0</v>
      </c>
      <c r="AT466" s="452">
        <f t="shared" si="228"/>
        <v>0</v>
      </c>
    </row>
    <row r="467" spans="2:46" ht="16" x14ac:dyDescent="0.2">
      <c r="B467"/>
      <c r="D467" s="303"/>
      <c r="E467" s="396"/>
      <c r="F467" s="387"/>
      <c r="G467" s="397"/>
      <c r="H467" s="387" t="str">
        <f t="shared" si="203"/>
        <v>0-0-0</v>
      </c>
      <c r="I467" s="389">
        <f t="shared" si="204"/>
        <v>0</v>
      </c>
      <c r="J467" s="455" t="str">
        <f t="shared" si="229"/>
        <v/>
      </c>
      <c r="K467" s="455">
        <f t="shared" si="205"/>
        <v>0</v>
      </c>
      <c r="L467" s="455">
        <f t="shared" si="230"/>
        <v>0</v>
      </c>
      <c r="M467" s="389" t="str">
        <f>IFERROR(IF(AD467&lt;=VLOOKUP(D467,Tournaments!$A$1:$B$1772,2,FALSE),"TRUE","FALSE"),"")</f>
        <v/>
      </c>
      <c r="N467" s="389">
        <v>1</v>
      </c>
      <c r="O467" s="389">
        <f t="shared" si="206"/>
        <v>0</v>
      </c>
      <c r="Q467" s="389">
        <f t="shared" si="207"/>
        <v>0</v>
      </c>
      <c r="R467" s="389">
        <f t="shared" si="208"/>
        <v>0</v>
      </c>
      <c r="S467" s="389">
        <f t="shared" si="209"/>
        <v>0</v>
      </c>
      <c r="U467" s="389">
        <f t="shared" si="210"/>
        <v>0</v>
      </c>
      <c r="V467" s="389" t="b">
        <f t="shared" si="211"/>
        <v>0</v>
      </c>
      <c r="W467" s="389">
        <f t="shared" si="212"/>
        <v>0</v>
      </c>
      <c r="X467" s="389">
        <f t="shared" si="213"/>
        <v>0</v>
      </c>
      <c r="Y467" s="389">
        <f t="shared" si="231"/>
        <v>1.0999999999999999E-2</v>
      </c>
      <c r="Z467" s="389">
        <f t="shared" si="214"/>
        <v>1.0999999999999999E-2</v>
      </c>
      <c r="AA467" s="389">
        <f t="shared" si="215"/>
        <v>0</v>
      </c>
      <c r="AB467" s="389">
        <f t="shared" si="216"/>
        <v>1E-4</v>
      </c>
      <c r="AC467" s="389">
        <f t="shared" si="217"/>
        <v>1E-4</v>
      </c>
      <c r="AD467" s="389">
        <f t="shared" si="218"/>
        <v>0</v>
      </c>
      <c r="AE467" s="389">
        <f t="shared" si="219"/>
        <v>0</v>
      </c>
      <c r="AG467" s="311" t="str">
        <f t="shared" si="220"/>
        <v>-</v>
      </c>
      <c r="AH467" s="453" t="str">
        <f t="shared" si="221"/>
        <v/>
      </c>
      <c r="AI467" s="453" t="str">
        <f t="shared" si="222"/>
        <v/>
      </c>
      <c r="AJ467" t="str">
        <f t="array" ref="AJ467">IF(AND(AI467&gt;1,G467&lt;&gt;""),INDEX(FS_teams,MATCH(1,(FS_Keys=AG467)*(FS_Points=I467)*(FS_teams&lt;&gt;G467),0)),"")</f>
        <v/>
      </c>
      <c r="AK467" s="390" t="str">
        <f t="array" ref="AK467">IF(AJ467&lt;&gt;"",INDEX(TM_Score1,MATCH(1,(TM_Events=D467)*(TM_Participant1=G467)*(TM_Participant2=AJ467),0)),"")</f>
        <v/>
      </c>
      <c r="AL467" s="390" t="str">
        <f t="array" ref="AL467">IF(AJ467&lt;&gt;"",INDEX(TM_Score1,MATCH(1,(TM_Events=D467)*(TM_Participant1=AJ467)*(TM_Participant2=G467),0)),"")</f>
        <v/>
      </c>
      <c r="AM467" s="389" t="str">
        <f t="array" ref="AM467">IF(ISNUMBER(AK467),INDEX(TM_Score2,MATCH(1,(TM_Events=D467)*(TM_Participant1=G467)*(TM_Participant2=AJ467),0)),"")</f>
        <v/>
      </c>
      <c r="AN467" s="389" t="str">
        <f t="array" ref="AN467">IF(ISNUMBER(AL467),INDEX(TM_Score2,MATCH(1,(TM_Events=D467)*(TM_Participant1=AJ467)*(TM_Participant2=G467),0)),"")</f>
        <v/>
      </c>
      <c r="AO467" s="389" t="str">
        <f t="shared" si="223"/>
        <v/>
      </c>
      <c r="AP467" s="389">
        <f t="shared" si="224"/>
        <v>0</v>
      </c>
      <c r="AQ467" s="389">
        <f t="shared" si="225"/>
        <v>0</v>
      </c>
      <c r="AR467" s="389">
        <f t="shared" si="226"/>
        <v>0</v>
      </c>
      <c r="AS467" s="453">
        <f t="shared" si="227"/>
        <v>0</v>
      </c>
      <c r="AT467" s="452">
        <f t="shared" si="228"/>
        <v>0</v>
      </c>
    </row>
    <row r="468" spans="2:46" ht="16" x14ac:dyDescent="0.2">
      <c r="B468"/>
      <c r="D468" s="303"/>
      <c r="E468" s="396"/>
      <c r="F468" s="387"/>
      <c r="G468" s="397"/>
      <c r="H468" s="387" t="str">
        <f t="shared" si="203"/>
        <v>0-0-0</v>
      </c>
      <c r="I468" s="389">
        <f t="shared" si="204"/>
        <v>0</v>
      </c>
      <c r="J468" s="455" t="str">
        <f t="shared" si="229"/>
        <v/>
      </c>
      <c r="K468" s="455">
        <f t="shared" si="205"/>
        <v>0</v>
      </c>
      <c r="L468" s="455">
        <f t="shared" si="230"/>
        <v>0</v>
      </c>
      <c r="M468" s="389" t="str">
        <f>IFERROR(IF(AD468&lt;=VLOOKUP(D468,Tournaments!$A$1:$B$1772,2,FALSE),"TRUE","FALSE"),"")</f>
        <v/>
      </c>
      <c r="N468" s="389">
        <v>1</v>
      </c>
      <c r="O468" s="389">
        <f t="shared" si="206"/>
        <v>0</v>
      </c>
      <c r="Q468" s="389">
        <f t="shared" si="207"/>
        <v>0</v>
      </c>
      <c r="R468" s="389">
        <f t="shared" si="208"/>
        <v>0</v>
      </c>
      <c r="S468" s="389">
        <f t="shared" si="209"/>
        <v>0</v>
      </c>
      <c r="U468" s="389">
        <f t="shared" si="210"/>
        <v>0</v>
      </c>
      <c r="V468" s="389" t="b">
        <f t="shared" si="211"/>
        <v>0</v>
      </c>
      <c r="W468" s="389">
        <f t="shared" si="212"/>
        <v>0</v>
      </c>
      <c r="X468" s="389">
        <f t="shared" si="213"/>
        <v>0</v>
      </c>
      <c r="Y468" s="389">
        <f t="shared" si="231"/>
        <v>1.0999999999999999E-2</v>
      </c>
      <c r="Z468" s="389">
        <f t="shared" si="214"/>
        <v>1.0999999999999999E-2</v>
      </c>
      <c r="AA468" s="389">
        <f t="shared" si="215"/>
        <v>0</v>
      </c>
      <c r="AB468" s="389">
        <f t="shared" si="216"/>
        <v>1E-4</v>
      </c>
      <c r="AC468" s="389">
        <f t="shared" si="217"/>
        <v>1E-4</v>
      </c>
      <c r="AD468" s="389">
        <f t="shared" si="218"/>
        <v>0</v>
      </c>
      <c r="AE468" s="389">
        <f t="shared" si="219"/>
        <v>0</v>
      </c>
      <c r="AG468" s="311" t="str">
        <f t="shared" si="220"/>
        <v>-</v>
      </c>
      <c r="AH468" s="453" t="str">
        <f t="shared" si="221"/>
        <v/>
      </c>
      <c r="AI468" s="453" t="str">
        <f t="shared" si="222"/>
        <v/>
      </c>
      <c r="AJ468" t="str">
        <f t="array" ref="AJ468">IF(AND(AI468&gt;1,G468&lt;&gt;""),INDEX(FS_teams,MATCH(1,(FS_Keys=AG468)*(FS_Points=I468)*(FS_teams&lt;&gt;G468),0)),"")</f>
        <v/>
      </c>
      <c r="AK468" s="390" t="str">
        <f t="array" ref="AK468">IF(AJ468&lt;&gt;"",INDEX(TM_Score1,MATCH(1,(TM_Events=D468)*(TM_Participant1=G468)*(TM_Participant2=AJ468),0)),"")</f>
        <v/>
      </c>
      <c r="AL468" s="390" t="str">
        <f t="array" ref="AL468">IF(AJ468&lt;&gt;"",INDEX(TM_Score1,MATCH(1,(TM_Events=D468)*(TM_Participant1=AJ468)*(TM_Participant2=G468),0)),"")</f>
        <v/>
      </c>
      <c r="AM468" s="389" t="str">
        <f t="array" ref="AM468">IF(ISNUMBER(AK468),INDEX(TM_Score2,MATCH(1,(TM_Events=D468)*(TM_Participant1=G468)*(TM_Participant2=AJ468),0)),"")</f>
        <v/>
      </c>
      <c r="AN468" s="389" t="str">
        <f t="array" ref="AN468">IF(ISNUMBER(AL468),INDEX(TM_Score2,MATCH(1,(TM_Events=D468)*(TM_Participant1=AJ468)*(TM_Participant2=G468),0)),"")</f>
        <v/>
      </c>
      <c r="AO468" s="389" t="str">
        <f t="shared" si="223"/>
        <v/>
      </c>
      <c r="AP468" s="389">
        <f t="shared" si="224"/>
        <v>0</v>
      </c>
      <c r="AQ468" s="389">
        <f t="shared" si="225"/>
        <v>0</v>
      </c>
      <c r="AR468" s="389">
        <f t="shared" si="226"/>
        <v>0</v>
      </c>
      <c r="AS468" s="453">
        <f t="shared" si="227"/>
        <v>0</v>
      </c>
      <c r="AT468" s="452">
        <f t="shared" si="228"/>
        <v>0</v>
      </c>
    </row>
    <row r="469" spans="2:46" ht="16" x14ac:dyDescent="0.2">
      <c r="B469"/>
      <c r="D469" s="303"/>
      <c r="E469" s="396"/>
      <c r="F469" s="387"/>
      <c r="G469" s="397"/>
      <c r="H469" s="387" t="str">
        <f t="shared" si="203"/>
        <v>0-0-0</v>
      </c>
      <c r="I469" s="389">
        <f t="shared" si="204"/>
        <v>0</v>
      </c>
      <c r="J469" s="455" t="str">
        <f t="shared" si="229"/>
        <v/>
      </c>
      <c r="K469" s="455">
        <f t="shared" si="205"/>
        <v>0</v>
      </c>
      <c r="L469" s="455">
        <f t="shared" si="230"/>
        <v>0</v>
      </c>
      <c r="M469" s="389" t="str">
        <f>IFERROR(IF(AD469&lt;=VLOOKUP(D469,Tournaments!$A$1:$B$1772,2,FALSE),"TRUE","FALSE"),"")</f>
        <v/>
      </c>
      <c r="N469" s="389">
        <v>1</v>
      </c>
      <c r="O469" s="389">
        <f t="shared" si="206"/>
        <v>0</v>
      </c>
      <c r="Q469" s="389">
        <f t="shared" si="207"/>
        <v>0</v>
      </c>
      <c r="R469" s="389">
        <f t="shared" si="208"/>
        <v>0</v>
      </c>
      <c r="S469" s="389">
        <f t="shared" si="209"/>
        <v>0</v>
      </c>
      <c r="U469" s="389">
        <f t="shared" si="210"/>
        <v>0</v>
      </c>
      <c r="V469" s="389" t="b">
        <f t="shared" si="211"/>
        <v>0</v>
      </c>
      <c r="W469" s="389">
        <f t="shared" si="212"/>
        <v>0</v>
      </c>
      <c r="X469" s="389">
        <f t="shared" si="213"/>
        <v>0</v>
      </c>
      <c r="Y469" s="389">
        <f t="shared" si="231"/>
        <v>1.0999999999999999E-2</v>
      </c>
      <c r="Z469" s="389">
        <f t="shared" si="214"/>
        <v>1.0999999999999999E-2</v>
      </c>
      <c r="AA469" s="389">
        <f t="shared" si="215"/>
        <v>0</v>
      </c>
      <c r="AB469" s="389">
        <f t="shared" si="216"/>
        <v>1E-4</v>
      </c>
      <c r="AC469" s="389">
        <f t="shared" si="217"/>
        <v>1E-4</v>
      </c>
      <c r="AD469" s="389">
        <f t="shared" si="218"/>
        <v>0</v>
      </c>
      <c r="AE469" s="389">
        <f t="shared" si="219"/>
        <v>0</v>
      </c>
      <c r="AG469" s="311" t="str">
        <f t="shared" si="220"/>
        <v>-</v>
      </c>
      <c r="AH469" s="453" t="str">
        <f t="shared" si="221"/>
        <v/>
      </c>
      <c r="AI469" s="453" t="str">
        <f t="shared" si="222"/>
        <v/>
      </c>
      <c r="AJ469" t="str">
        <f t="array" ref="AJ469">IF(AND(AI469&gt;1,G469&lt;&gt;""),INDEX(FS_teams,MATCH(1,(FS_Keys=AG469)*(FS_Points=I469)*(FS_teams&lt;&gt;G469),0)),"")</f>
        <v/>
      </c>
      <c r="AK469" s="390" t="str">
        <f t="array" ref="AK469">IF(AJ469&lt;&gt;"",INDEX(TM_Score1,MATCH(1,(TM_Events=D469)*(TM_Participant1=G469)*(TM_Participant2=AJ469),0)),"")</f>
        <v/>
      </c>
      <c r="AL469" s="390" t="str">
        <f t="array" ref="AL469">IF(AJ469&lt;&gt;"",INDEX(TM_Score1,MATCH(1,(TM_Events=D469)*(TM_Participant1=AJ469)*(TM_Participant2=G469),0)),"")</f>
        <v/>
      </c>
      <c r="AM469" s="389" t="str">
        <f t="array" ref="AM469">IF(ISNUMBER(AK469),INDEX(TM_Score2,MATCH(1,(TM_Events=D469)*(TM_Participant1=G469)*(TM_Participant2=AJ469),0)),"")</f>
        <v/>
      </c>
      <c r="AN469" s="389" t="str">
        <f t="array" ref="AN469">IF(ISNUMBER(AL469),INDEX(TM_Score2,MATCH(1,(TM_Events=D469)*(TM_Participant1=AJ469)*(TM_Participant2=G469),0)),"")</f>
        <v/>
      </c>
      <c r="AO469" s="389" t="str">
        <f t="shared" si="223"/>
        <v/>
      </c>
      <c r="AP469" s="389">
        <f t="shared" si="224"/>
        <v>0</v>
      </c>
      <c r="AQ469" s="389">
        <f t="shared" si="225"/>
        <v>0</v>
      </c>
      <c r="AR469" s="389">
        <f t="shared" si="226"/>
        <v>0</v>
      </c>
      <c r="AS469" s="453">
        <f t="shared" si="227"/>
        <v>0</v>
      </c>
      <c r="AT469" s="452">
        <f t="shared" si="228"/>
        <v>0</v>
      </c>
    </row>
    <row r="470" spans="2:46" ht="16" x14ac:dyDescent="0.2">
      <c r="B470"/>
      <c r="D470" s="303"/>
      <c r="E470" s="387"/>
      <c r="F470" s="387"/>
      <c r="G470" s="397"/>
      <c r="H470" s="387" t="str">
        <f t="shared" si="203"/>
        <v>0-0-0</v>
      </c>
      <c r="I470" s="389">
        <f t="shared" si="204"/>
        <v>0</v>
      </c>
      <c r="J470" s="455" t="str">
        <f t="shared" si="229"/>
        <v/>
      </c>
      <c r="K470" s="455">
        <f t="shared" si="205"/>
        <v>0</v>
      </c>
      <c r="L470" s="455">
        <f t="shared" si="230"/>
        <v>0</v>
      </c>
      <c r="M470" s="389" t="str">
        <f>IFERROR(IF(AD470&lt;=VLOOKUP(D470,Tournaments!$A$1:$B$1772,2,FALSE),"TRUE","FALSE"),"")</f>
        <v/>
      </c>
      <c r="N470" s="389">
        <v>1</v>
      </c>
      <c r="O470" s="389">
        <f t="shared" si="206"/>
        <v>0</v>
      </c>
      <c r="Q470" s="389">
        <f t="shared" si="207"/>
        <v>0</v>
      </c>
      <c r="R470" s="389">
        <f t="shared" si="208"/>
        <v>0</v>
      </c>
      <c r="S470" s="389">
        <f t="shared" si="209"/>
        <v>0</v>
      </c>
      <c r="U470" s="389">
        <f t="shared" si="210"/>
        <v>0</v>
      </c>
      <c r="V470" s="389" t="b">
        <f t="shared" si="211"/>
        <v>0</v>
      </c>
      <c r="W470" s="389">
        <f t="shared" si="212"/>
        <v>0</v>
      </c>
      <c r="X470" s="389">
        <f t="shared" si="213"/>
        <v>0</v>
      </c>
      <c r="Y470" s="389">
        <f t="shared" si="231"/>
        <v>1.0999999999999999E-2</v>
      </c>
      <c r="Z470" s="389">
        <f t="shared" si="214"/>
        <v>1.0999999999999999E-2</v>
      </c>
      <c r="AA470" s="389">
        <f t="shared" si="215"/>
        <v>0</v>
      </c>
      <c r="AB470" s="389">
        <f t="shared" si="216"/>
        <v>1E-4</v>
      </c>
      <c r="AC470" s="389">
        <f t="shared" si="217"/>
        <v>1E-4</v>
      </c>
      <c r="AD470" s="389">
        <f t="shared" si="218"/>
        <v>0</v>
      </c>
      <c r="AE470" s="389">
        <f t="shared" si="219"/>
        <v>0</v>
      </c>
      <c r="AG470" s="311" t="str">
        <f t="shared" si="220"/>
        <v>-</v>
      </c>
      <c r="AH470" s="453" t="str">
        <f t="shared" si="221"/>
        <v/>
      </c>
      <c r="AI470" s="453" t="str">
        <f t="shared" si="222"/>
        <v/>
      </c>
      <c r="AJ470" t="str">
        <f t="array" ref="AJ470">IF(AND(AI470&gt;1,G470&lt;&gt;""),INDEX(FS_teams,MATCH(1,(FS_Keys=AG470)*(FS_Points=I470)*(FS_teams&lt;&gt;G470),0)),"")</f>
        <v/>
      </c>
      <c r="AK470" s="390" t="str">
        <f t="array" ref="AK470">IF(AJ470&lt;&gt;"",INDEX(TM_Score1,MATCH(1,(TM_Events=D470)*(TM_Participant1=G470)*(TM_Participant2=AJ470),0)),"")</f>
        <v/>
      </c>
      <c r="AL470" s="390" t="str">
        <f t="array" ref="AL470">IF(AJ470&lt;&gt;"",INDEX(TM_Score1,MATCH(1,(TM_Events=D470)*(TM_Participant1=AJ470)*(TM_Participant2=G470),0)),"")</f>
        <v/>
      </c>
      <c r="AM470" s="389" t="str">
        <f t="array" ref="AM470">IF(ISNUMBER(AK470),INDEX(TM_Score2,MATCH(1,(TM_Events=D470)*(TM_Participant1=G470)*(TM_Participant2=AJ470),0)),"")</f>
        <v/>
      </c>
      <c r="AN470" s="389" t="str">
        <f t="array" ref="AN470">IF(ISNUMBER(AL470),INDEX(TM_Score2,MATCH(1,(TM_Events=D470)*(TM_Participant1=AJ470)*(TM_Participant2=G470),0)),"")</f>
        <v/>
      </c>
      <c r="AO470" s="389" t="str">
        <f t="shared" si="223"/>
        <v/>
      </c>
      <c r="AP470" s="389">
        <f t="shared" si="224"/>
        <v>0</v>
      </c>
      <c r="AQ470" s="389">
        <f t="shared" si="225"/>
        <v>0</v>
      </c>
      <c r="AR470" s="389">
        <f t="shared" si="226"/>
        <v>0</v>
      </c>
      <c r="AS470" s="453">
        <f t="shared" si="227"/>
        <v>0</v>
      </c>
      <c r="AT470" s="452">
        <f t="shared" si="228"/>
        <v>0</v>
      </c>
    </row>
    <row r="471" spans="2:46" ht="16" x14ac:dyDescent="0.2">
      <c r="B471"/>
      <c r="D471" s="303"/>
      <c r="E471" s="396"/>
      <c r="F471" s="387"/>
      <c r="G471" s="397"/>
      <c r="H471" s="387" t="str">
        <f t="shared" si="203"/>
        <v>0-0-0</v>
      </c>
      <c r="I471" s="389">
        <f t="shared" si="204"/>
        <v>0</v>
      </c>
      <c r="J471" s="455" t="str">
        <f t="shared" si="229"/>
        <v/>
      </c>
      <c r="K471" s="455">
        <f t="shared" si="205"/>
        <v>0</v>
      </c>
      <c r="L471" s="455">
        <f t="shared" si="230"/>
        <v>0</v>
      </c>
      <c r="M471" s="389" t="str">
        <f>IFERROR(IF(AD471&lt;=VLOOKUP(D471,Tournaments!$A$1:$B$1772,2,FALSE),"TRUE","FALSE"),"")</f>
        <v/>
      </c>
      <c r="N471" s="389">
        <v>1</v>
      </c>
      <c r="O471" s="389">
        <f t="shared" si="206"/>
        <v>0</v>
      </c>
      <c r="Q471" s="389">
        <f t="shared" si="207"/>
        <v>0</v>
      </c>
      <c r="R471" s="389">
        <f t="shared" si="208"/>
        <v>0</v>
      </c>
      <c r="S471" s="389">
        <f t="shared" si="209"/>
        <v>0</v>
      </c>
      <c r="U471" s="389">
        <f t="shared" si="210"/>
        <v>0</v>
      </c>
      <c r="V471" s="389" t="b">
        <f t="shared" si="211"/>
        <v>0</v>
      </c>
      <c r="W471" s="389">
        <f t="shared" si="212"/>
        <v>0</v>
      </c>
      <c r="X471" s="389">
        <f t="shared" si="213"/>
        <v>0</v>
      </c>
      <c r="Y471" s="389">
        <f t="shared" si="231"/>
        <v>1.0999999999999999E-2</v>
      </c>
      <c r="Z471" s="389">
        <f t="shared" si="214"/>
        <v>1.0999999999999999E-2</v>
      </c>
      <c r="AA471" s="389">
        <f t="shared" si="215"/>
        <v>0</v>
      </c>
      <c r="AB471" s="389">
        <f t="shared" si="216"/>
        <v>1E-4</v>
      </c>
      <c r="AC471" s="389">
        <f t="shared" si="217"/>
        <v>1E-4</v>
      </c>
      <c r="AD471" s="389">
        <f t="shared" si="218"/>
        <v>0</v>
      </c>
      <c r="AE471" s="389">
        <f t="shared" si="219"/>
        <v>0</v>
      </c>
      <c r="AG471" s="311" t="str">
        <f t="shared" si="220"/>
        <v>-</v>
      </c>
      <c r="AH471" s="453" t="str">
        <f t="shared" si="221"/>
        <v/>
      </c>
      <c r="AI471" s="453" t="str">
        <f t="shared" si="222"/>
        <v/>
      </c>
      <c r="AJ471" t="str">
        <f t="array" ref="AJ471">IF(AND(AI471&gt;1,G471&lt;&gt;""),INDEX(FS_teams,MATCH(1,(FS_Keys=AG471)*(FS_Points=I471)*(FS_teams&lt;&gt;G471),0)),"")</f>
        <v/>
      </c>
      <c r="AK471" s="390" t="str">
        <f t="array" ref="AK471">IF(AJ471&lt;&gt;"",INDEX(TM_Score1,MATCH(1,(TM_Events=D471)*(TM_Participant1=G471)*(TM_Participant2=AJ471),0)),"")</f>
        <v/>
      </c>
      <c r="AL471" s="390" t="str">
        <f t="array" ref="AL471">IF(AJ471&lt;&gt;"",INDEX(TM_Score1,MATCH(1,(TM_Events=D471)*(TM_Participant1=AJ471)*(TM_Participant2=G471),0)),"")</f>
        <v/>
      </c>
      <c r="AM471" s="389" t="str">
        <f t="array" ref="AM471">IF(ISNUMBER(AK471),INDEX(TM_Score2,MATCH(1,(TM_Events=D471)*(TM_Participant1=G471)*(TM_Participant2=AJ471),0)),"")</f>
        <v/>
      </c>
      <c r="AN471" s="389" t="str">
        <f t="array" ref="AN471">IF(ISNUMBER(AL471),INDEX(TM_Score2,MATCH(1,(TM_Events=D471)*(TM_Participant1=AJ471)*(TM_Participant2=G471),0)),"")</f>
        <v/>
      </c>
      <c r="AO471" s="389" t="str">
        <f t="shared" si="223"/>
        <v/>
      </c>
      <c r="AP471" s="389">
        <f t="shared" si="224"/>
        <v>0</v>
      </c>
      <c r="AQ471" s="389">
        <f t="shared" si="225"/>
        <v>0</v>
      </c>
      <c r="AR471" s="389">
        <f t="shared" si="226"/>
        <v>0</v>
      </c>
      <c r="AS471" s="453">
        <f t="shared" si="227"/>
        <v>0</v>
      </c>
      <c r="AT471" s="452">
        <f t="shared" si="228"/>
        <v>0</v>
      </c>
    </row>
    <row r="472" spans="2:46" ht="16" x14ac:dyDescent="0.2">
      <c r="B472"/>
      <c r="D472" s="303"/>
      <c r="E472" s="396"/>
      <c r="F472" s="387"/>
      <c r="G472" s="397"/>
      <c r="H472" s="387" t="str">
        <f t="shared" si="203"/>
        <v>0-0-0</v>
      </c>
      <c r="I472" s="389">
        <f t="shared" si="204"/>
        <v>0</v>
      </c>
      <c r="J472" s="455" t="str">
        <f t="shared" si="229"/>
        <v/>
      </c>
      <c r="K472" s="455">
        <f t="shared" si="205"/>
        <v>0</v>
      </c>
      <c r="L472" s="455">
        <f t="shared" si="230"/>
        <v>0</v>
      </c>
      <c r="M472" s="389" t="str">
        <f>IFERROR(IF(AD472&lt;=VLOOKUP(D472,Tournaments!$A$1:$B$1772,2,FALSE),"TRUE","FALSE"),"")</f>
        <v/>
      </c>
      <c r="N472" s="389">
        <v>1</v>
      </c>
      <c r="O472" s="389">
        <f t="shared" si="206"/>
        <v>0</v>
      </c>
      <c r="Q472" s="389">
        <f t="shared" si="207"/>
        <v>0</v>
      </c>
      <c r="R472" s="389">
        <f t="shared" si="208"/>
        <v>0</v>
      </c>
      <c r="S472" s="389">
        <f t="shared" si="209"/>
        <v>0</v>
      </c>
      <c r="U472" s="389">
        <f t="shared" si="210"/>
        <v>0</v>
      </c>
      <c r="V472" s="389" t="b">
        <f t="shared" si="211"/>
        <v>0</v>
      </c>
      <c r="W472" s="389">
        <f t="shared" si="212"/>
        <v>0</v>
      </c>
      <c r="X472" s="389">
        <f t="shared" si="213"/>
        <v>0</v>
      </c>
      <c r="Y472" s="389">
        <f t="shared" si="231"/>
        <v>1.0999999999999999E-2</v>
      </c>
      <c r="Z472" s="389">
        <f t="shared" si="214"/>
        <v>1.0999999999999999E-2</v>
      </c>
      <c r="AA472" s="389">
        <f t="shared" si="215"/>
        <v>0</v>
      </c>
      <c r="AB472" s="389">
        <f t="shared" si="216"/>
        <v>1E-4</v>
      </c>
      <c r="AC472" s="389">
        <f t="shared" si="217"/>
        <v>1E-4</v>
      </c>
      <c r="AD472" s="389">
        <f t="shared" si="218"/>
        <v>0</v>
      </c>
      <c r="AE472" s="389">
        <f t="shared" si="219"/>
        <v>0</v>
      </c>
      <c r="AG472" s="311" t="str">
        <f t="shared" si="220"/>
        <v>-</v>
      </c>
      <c r="AH472" s="453" t="str">
        <f t="shared" si="221"/>
        <v/>
      </c>
      <c r="AI472" s="453" t="str">
        <f t="shared" si="222"/>
        <v/>
      </c>
      <c r="AJ472" t="str">
        <f t="array" ref="AJ472">IF(AND(AI472&gt;1,G472&lt;&gt;""),INDEX(FS_teams,MATCH(1,(FS_Keys=AG472)*(FS_Points=I472)*(FS_teams&lt;&gt;G472),0)),"")</f>
        <v/>
      </c>
      <c r="AK472" s="390" t="str">
        <f t="array" ref="AK472">IF(AJ472&lt;&gt;"",INDEX(TM_Score1,MATCH(1,(TM_Events=D472)*(TM_Participant1=G472)*(TM_Participant2=AJ472),0)),"")</f>
        <v/>
      </c>
      <c r="AL472" s="390" t="str">
        <f t="array" ref="AL472">IF(AJ472&lt;&gt;"",INDEX(TM_Score1,MATCH(1,(TM_Events=D472)*(TM_Participant1=AJ472)*(TM_Participant2=G472),0)),"")</f>
        <v/>
      </c>
      <c r="AM472" s="389" t="str">
        <f t="array" ref="AM472">IF(ISNUMBER(AK472),INDEX(TM_Score2,MATCH(1,(TM_Events=D472)*(TM_Participant1=G472)*(TM_Participant2=AJ472),0)),"")</f>
        <v/>
      </c>
      <c r="AN472" s="389" t="str">
        <f t="array" ref="AN472">IF(ISNUMBER(AL472),INDEX(TM_Score2,MATCH(1,(TM_Events=D472)*(TM_Participant1=AJ472)*(TM_Participant2=G472),0)),"")</f>
        <v/>
      </c>
      <c r="AO472" s="389" t="str">
        <f t="shared" si="223"/>
        <v/>
      </c>
      <c r="AP472" s="389">
        <f t="shared" si="224"/>
        <v>0</v>
      </c>
      <c r="AQ472" s="389">
        <f t="shared" si="225"/>
        <v>0</v>
      </c>
      <c r="AR472" s="389">
        <f t="shared" si="226"/>
        <v>0</v>
      </c>
      <c r="AS472" s="453">
        <f t="shared" si="227"/>
        <v>0</v>
      </c>
      <c r="AT472" s="452">
        <f t="shared" si="228"/>
        <v>0</v>
      </c>
    </row>
    <row r="473" spans="2:46" ht="16" x14ac:dyDescent="0.2">
      <c r="B473"/>
      <c r="D473" s="303"/>
      <c r="E473" s="396"/>
      <c r="F473" s="387"/>
      <c r="G473" s="397"/>
      <c r="H473" s="387" t="str">
        <f t="shared" si="203"/>
        <v>0-0-0</v>
      </c>
      <c r="I473" s="389">
        <f t="shared" si="204"/>
        <v>0</v>
      </c>
      <c r="J473" s="455" t="str">
        <f t="shared" si="229"/>
        <v/>
      </c>
      <c r="K473" s="455">
        <f t="shared" si="205"/>
        <v>0</v>
      </c>
      <c r="L473" s="455">
        <f t="shared" si="230"/>
        <v>0</v>
      </c>
      <c r="M473" s="389" t="str">
        <f>IFERROR(IF(AD473&lt;=VLOOKUP(D473,Tournaments!$A$1:$B$1772,2,FALSE),"TRUE","FALSE"),"")</f>
        <v/>
      </c>
      <c r="N473" s="389">
        <v>1</v>
      </c>
      <c r="O473" s="389">
        <f t="shared" si="206"/>
        <v>0</v>
      </c>
      <c r="Q473" s="389">
        <f t="shared" si="207"/>
        <v>0</v>
      </c>
      <c r="R473" s="389">
        <f t="shared" si="208"/>
        <v>0</v>
      </c>
      <c r="S473" s="389">
        <f t="shared" si="209"/>
        <v>0</v>
      </c>
      <c r="U473" s="389">
        <f t="shared" si="210"/>
        <v>0</v>
      </c>
      <c r="V473" s="389" t="b">
        <f t="shared" si="211"/>
        <v>0</v>
      </c>
      <c r="W473" s="389">
        <f t="shared" si="212"/>
        <v>0</v>
      </c>
      <c r="X473" s="389">
        <f t="shared" si="213"/>
        <v>0</v>
      </c>
      <c r="Y473" s="389">
        <f t="shared" si="231"/>
        <v>1.0999999999999999E-2</v>
      </c>
      <c r="Z473" s="389">
        <f t="shared" si="214"/>
        <v>1.0999999999999999E-2</v>
      </c>
      <c r="AA473" s="389">
        <f t="shared" si="215"/>
        <v>0</v>
      </c>
      <c r="AB473" s="389">
        <f t="shared" si="216"/>
        <v>1E-4</v>
      </c>
      <c r="AC473" s="389">
        <f t="shared" si="217"/>
        <v>1E-4</v>
      </c>
      <c r="AD473" s="389">
        <f t="shared" si="218"/>
        <v>0</v>
      </c>
      <c r="AE473" s="389">
        <f t="shared" si="219"/>
        <v>0</v>
      </c>
      <c r="AG473" s="311" t="str">
        <f t="shared" si="220"/>
        <v>-</v>
      </c>
      <c r="AH473" s="453" t="str">
        <f t="shared" si="221"/>
        <v/>
      </c>
      <c r="AI473" s="453" t="str">
        <f t="shared" si="222"/>
        <v/>
      </c>
      <c r="AJ473" t="str">
        <f t="array" ref="AJ473">IF(AND(AI473&gt;1,G473&lt;&gt;""),INDEX(FS_teams,MATCH(1,(FS_Keys=AG473)*(FS_Points=I473)*(FS_teams&lt;&gt;G473),0)),"")</f>
        <v/>
      </c>
      <c r="AK473" s="390" t="str">
        <f t="array" ref="AK473">IF(AJ473&lt;&gt;"",INDEX(TM_Score1,MATCH(1,(TM_Events=D473)*(TM_Participant1=G473)*(TM_Participant2=AJ473),0)),"")</f>
        <v/>
      </c>
      <c r="AL473" s="390" t="str">
        <f t="array" ref="AL473">IF(AJ473&lt;&gt;"",INDEX(TM_Score1,MATCH(1,(TM_Events=D473)*(TM_Participant1=AJ473)*(TM_Participant2=G473),0)),"")</f>
        <v/>
      </c>
      <c r="AM473" s="389" t="str">
        <f t="array" ref="AM473">IF(ISNUMBER(AK473),INDEX(TM_Score2,MATCH(1,(TM_Events=D473)*(TM_Participant1=G473)*(TM_Participant2=AJ473),0)),"")</f>
        <v/>
      </c>
      <c r="AN473" s="389" t="str">
        <f t="array" ref="AN473">IF(ISNUMBER(AL473),INDEX(TM_Score2,MATCH(1,(TM_Events=D473)*(TM_Participant1=AJ473)*(TM_Participant2=G473),0)),"")</f>
        <v/>
      </c>
      <c r="AO473" s="389" t="str">
        <f t="shared" si="223"/>
        <v/>
      </c>
      <c r="AP473" s="389">
        <f t="shared" si="224"/>
        <v>0</v>
      </c>
      <c r="AQ473" s="389">
        <f t="shared" si="225"/>
        <v>0</v>
      </c>
      <c r="AR473" s="389">
        <f t="shared" si="226"/>
        <v>0</v>
      </c>
      <c r="AS473" s="453">
        <f t="shared" si="227"/>
        <v>0</v>
      </c>
      <c r="AT473" s="452">
        <f t="shared" si="228"/>
        <v>0</v>
      </c>
    </row>
    <row r="474" spans="2:46" ht="16" x14ac:dyDescent="0.2">
      <c r="B474"/>
      <c r="D474" s="303"/>
      <c r="E474" s="387"/>
      <c r="F474" s="387"/>
      <c r="G474" s="397"/>
      <c r="H474" s="387" t="str">
        <f t="shared" si="203"/>
        <v>0-0-0</v>
      </c>
      <c r="I474" s="389">
        <f t="shared" si="204"/>
        <v>0</v>
      </c>
      <c r="J474" s="455" t="str">
        <f t="shared" si="229"/>
        <v/>
      </c>
      <c r="K474" s="455">
        <f t="shared" si="205"/>
        <v>0</v>
      </c>
      <c r="L474" s="455">
        <f t="shared" si="230"/>
        <v>0</v>
      </c>
      <c r="M474" s="389" t="str">
        <f>IFERROR(IF(AD474&lt;=VLOOKUP(D474,Tournaments!$A$1:$B$1772,2,FALSE),"TRUE","FALSE"),"")</f>
        <v/>
      </c>
      <c r="N474" s="389">
        <v>1</v>
      </c>
      <c r="O474" s="389">
        <f t="shared" si="206"/>
        <v>0</v>
      </c>
      <c r="Q474" s="389">
        <f t="shared" si="207"/>
        <v>0</v>
      </c>
      <c r="R474" s="389">
        <f t="shared" si="208"/>
        <v>0</v>
      </c>
      <c r="S474" s="389">
        <f t="shared" si="209"/>
        <v>0</v>
      </c>
      <c r="U474" s="389">
        <f t="shared" si="210"/>
        <v>0</v>
      </c>
      <c r="V474" s="389" t="b">
        <f t="shared" si="211"/>
        <v>0</v>
      </c>
      <c r="W474" s="389">
        <f t="shared" si="212"/>
        <v>0</v>
      </c>
      <c r="X474" s="389">
        <f t="shared" si="213"/>
        <v>0</v>
      </c>
      <c r="Y474" s="389">
        <f t="shared" si="231"/>
        <v>1.0999999999999999E-2</v>
      </c>
      <c r="Z474" s="389">
        <f t="shared" si="214"/>
        <v>1.0999999999999999E-2</v>
      </c>
      <c r="AA474" s="389">
        <f t="shared" si="215"/>
        <v>0</v>
      </c>
      <c r="AB474" s="389">
        <f t="shared" si="216"/>
        <v>1E-4</v>
      </c>
      <c r="AC474" s="389">
        <f t="shared" si="217"/>
        <v>1E-4</v>
      </c>
      <c r="AD474" s="389">
        <f t="shared" si="218"/>
        <v>0</v>
      </c>
      <c r="AE474" s="389">
        <f t="shared" si="219"/>
        <v>0</v>
      </c>
      <c r="AG474" s="311" t="str">
        <f t="shared" si="220"/>
        <v>-</v>
      </c>
      <c r="AH474" s="453" t="str">
        <f t="shared" si="221"/>
        <v/>
      </c>
      <c r="AI474" s="453" t="str">
        <f t="shared" si="222"/>
        <v/>
      </c>
      <c r="AJ474" t="str">
        <f t="array" ref="AJ474">IF(AND(AI474&gt;1,G474&lt;&gt;""),INDEX(FS_teams,MATCH(1,(FS_Keys=AG474)*(FS_Points=I474)*(FS_teams&lt;&gt;G474),0)),"")</f>
        <v/>
      </c>
      <c r="AK474" s="390" t="str">
        <f t="array" ref="AK474">IF(AJ474&lt;&gt;"",INDEX(TM_Score1,MATCH(1,(TM_Events=D474)*(TM_Participant1=G474)*(TM_Participant2=AJ474),0)),"")</f>
        <v/>
      </c>
      <c r="AL474" s="390" t="str">
        <f t="array" ref="AL474">IF(AJ474&lt;&gt;"",INDEX(TM_Score1,MATCH(1,(TM_Events=D474)*(TM_Participant1=AJ474)*(TM_Participant2=G474),0)),"")</f>
        <v/>
      </c>
      <c r="AM474" s="389" t="str">
        <f t="array" ref="AM474">IF(ISNUMBER(AK474),INDEX(TM_Score2,MATCH(1,(TM_Events=D474)*(TM_Participant1=G474)*(TM_Participant2=AJ474),0)),"")</f>
        <v/>
      </c>
      <c r="AN474" s="389" t="str">
        <f t="array" ref="AN474">IF(ISNUMBER(AL474),INDEX(TM_Score2,MATCH(1,(TM_Events=D474)*(TM_Participant1=AJ474)*(TM_Participant2=G474),0)),"")</f>
        <v/>
      </c>
      <c r="AO474" s="389" t="str">
        <f t="shared" si="223"/>
        <v/>
      </c>
      <c r="AP474" s="389">
        <f t="shared" si="224"/>
        <v>0</v>
      </c>
      <c r="AQ474" s="389">
        <f t="shared" si="225"/>
        <v>0</v>
      </c>
      <c r="AR474" s="389">
        <f t="shared" si="226"/>
        <v>0</v>
      </c>
      <c r="AS474" s="453">
        <f t="shared" si="227"/>
        <v>0</v>
      </c>
      <c r="AT474" s="452">
        <f t="shared" si="228"/>
        <v>0</v>
      </c>
    </row>
    <row r="475" spans="2:46" ht="16" x14ac:dyDescent="0.2">
      <c r="B475"/>
      <c r="D475" s="303"/>
      <c r="E475" s="387"/>
      <c r="F475" s="387"/>
      <c r="G475" s="397"/>
      <c r="H475" s="387" t="str">
        <f t="shared" si="203"/>
        <v>0-0-0</v>
      </c>
      <c r="I475" s="389">
        <f t="shared" si="204"/>
        <v>0</v>
      </c>
      <c r="J475" s="455" t="str">
        <f t="shared" si="229"/>
        <v/>
      </c>
      <c r="K475" s="455">
        <f t="shared" si="205"/>
        <v>0</v>
      </c>
      <c r="L475" s="455">
        <f t="shared" si="230"/>
        <v>0</v>
      </c>
      <c r="M475" s="389" t="str">
        <f>IFERROR(IF(AD475&lt;=VLOOKUP(D475,Tournaments!$A$1:$B$1772,2,FALSE),"TRUE","FALSE"),"")</f>
        <v/>
      </c>
      <c r="N475" s="389">
        <v>1</v>
      </c>
      <c r="O475" s="389">
        <f t="shared" si="206"/>
        <v>0</v>
      </c>
      <c r="Q475" s="389">
        <f t="shared" si="207"/>
        <v>0</v>
      </c>
      <c r="R475" s="389">
        <f t="shared" si="208"/>
        <v>0</v>
      </c>
      <c r="S475" s="389">
        <f t="shared" si="209"/>
        <v>0</v>
      </c>
      <c r="U475" s="389">
        <f t="shared" si="210"/>
        <v>0</v>
      </c>
      <c r="V475" s="389" t="b">
        <f t="shared" si="211"/>
        <v>0</v>
      </c>
      <c r="W475" s="389">
        <f t="shared" si="212"/>
        <v>0</v>
      </c>
      <c r="X475" s="389">
        <f t="shared" si="213"/>
        <v>0</v>
      </c>
      <c r="Y475" s="389">
        <f t="shared" si="231"/>
        <v>1.0999999999999999E-2</v>
      </c>
      <c r="Z475" s="389">
        <f t="shared" si="214"/>
        <v>1.0999999999999999E-2</v>
      </c>
      <c r="AA475" s="389">
        <f t="shared" si="215"/>
        <v>0</v>
      </c>
      <c r="AB475" s="389">
        <f t="shared" si="216"/>
        <v>1E-4</v>
      </c>
      <c r="AC475" s="389">
        <f t="shared" si="217"/>
        <v>1E-4</v>
      </c>
      <c r="AD475" s="389">
        <f t="shared" si="218"/>
        <v>0</v>
      </c>
      <c r="AE475" s="389">
        <f t="shared" si="219"/>
        <v>0</v>
      </c>
      <c r="AG475" s="311" t="str">
        <f t="shared" si="220"/>
        <v>-</v>
      </c>
      <c r="AH475" s="453" t="str">
        <f t="shared" si="221"/>
        <v/>
      </c>
      <c r="AI475" s="453" t="str">
        <f t="shared" si="222"/>
        <v/>
      </c>
      <c r="AJ475" t="str">
        <f t="array" ref="AJ475">IF(AND(AI475&gt;1,G475&lt;&gt;""),INDEX(FS_teams,MATCH(1,(FS_Keys=AG475)*(FS_Points=I475)*(FS_teams&lt;&gt;G475),0)),"")</f>
        <v/>
      </c>
      <c r="AK475" s="390" t="str">
        <f t="array" ref="AK475">IF(AJ475&lt;&gt;"",INDEX(TM_Score1,MATCH(1,(TM_Events=D475)*(TM_Participant1=G475)*(TM_Participant2=AJ475),0)),"")</f>
        <v/>
      </c>
      <c r="AL475" s="390" t="str">
        <f t="array" ref="AL475">IF(AJ475&lt;&gt;"",INDEX(TM_Score1,MATCH(1,(TM_Events=D475)*(TM_Participant1=AJ475)*(TM_Participant2=G475),0)),"")</f>
        <v/>
      </c>
      <c r="AM475" s="389" t="str">
        <f t="array" ref="AM475">IF(ISNUMBER(AK475),INDEX(TM_Score2,MATCH(1,(TM_Events=D475)*(TM_Participant1=G475)*(TM_Participant2=AJ475),0)),"")</f>
        <v/>
      </c>
      <c r="AN475" s="389" t="str">
        <f t="array" ref="AN475">IF(ISNUMBER(AL475),INDEX(TM_Score2,MATCH(1,(TM_Events=D475)*(TM_Participant1=AJ475)*(TM_Participant2=G475),0)),"")</f>
        <v/>
      </c>
      <c r="AO475" s="389" t="str">
        <f t="shared" si="223"/>
        <v/>
      </c>
      <c r="AP475" s="389">
        <f t="shared" si="224"/>
        <v>0</v>
      </c>
      <c r="AQ475" s="389">
        <f t="shared" si="225"/>
        <v>0</v>
      </c>
      <c r="AR475" s="389">
        <f t="shared" si="226"/>
        <v>0</v>
      </c>
      <c r="AS475" s="453">
        <f t="shared" si="227"/>
        <v>0</v>
      </c>
      <c r="AT475" s="452">
        <f t="shared" si="228"/>
        <v>0</v>
      </c>
    </row>
    <row r="476" spans="2:46" ht="16" x14ac:dyDescent="0.2">
      <c r="B476"/>
      <c r="D476" s="303"/>
      <c r="E476" s="396"/>
      <c r="F476" s="387"/>
      <c r="G476" s="397"/>
      <c r="H476" s="387" t="str">
        <f t="shared" si="203"/>
        <v>0-0-0</v>
      </c>
      <c r="I476" s="389">
        <f t="shared" si="204"/>
        <v>0</v>
      </c>
      <c r="J476" s="455" t="str">
        <f t="shared" si="229"/>
        <v/>
      </c>
      <c r="K476" s="455">
        <f t="shared" si="205"/>
        <v>0</v>
      </c>
      <c r="L476" s="455">
        <f t="shared" si="230"/>
        <v>0</v>
      </c>
      <c r="M476" s="389" t="str">
        <f>IFERROR(IF(AD476&lt;=VLOOKUP(D476,Tournaments!$A$1:$B$1772,2,FALSE),"TRUE","FALSE"),"")</f>
        <v/>
      </c>
      <c r="N476" s="389">
        <v>1</v>
      </c>
      <c r="O476" s="389">
        <f t="shared" si="206"/>
        <v>0</v>
      </c>
      <c r="Q476" s="389">
        <f t="shared" si="207"/>
        <v>0</v>
      </c>
      <c r="R476" s="389">
        <f t="shared" si="208"/>
        <v>0</v>
      </c>
      <c r="S476" s="389">
        <f t="shared" si="209"/>
        <v>0</v>
      </c>
      <c r="U476" s="389">
        <f t="shared" si="210"/>
        <v>0</v>
      </c>
      <c r="V476" s="389" t="b">
        <f t="shared" si="211"/>
        <v>0</v>
      </c>
      <c r="W476" s="389">
        <f t="shared" si="212"/>
        <v>0</v>
      </c>
      <c r="X476" s="389">
        <f t="shared" si="213"/>
        <v>0</v>
      </c>
      <c r="Y476" s="389">
        <f t="shared" si="231"/>
        <v>1.0999999999999999E-2</v>
      </c>
      <c r="Z476" s="389">
        <f t="shared" si="214"/>
        <v>1.0999999999999999E-2</v>
      </c>
      <c r="AA476" s="389">
        <f t="shared" si="215"/>
        <v>0</v>
      </c>
      <c r="AB476" s="389">
        <f t="shared" si="216"/>
        <v>1E-4</v>
      </c>
      <c r="AC476" s="389">
        <f t="shared" si="217"/>
        <v>1E-4</v>
      </c>
      <c r="AD476" s="389">
        <f t="shared" si="218"/>
        <v>0</v>
      </c>
      <c r="AE476" s="389">
        <f t="shared" si="219"/>
        <v>0</v>
      </c>
      <c r="AG476" s="311" t="str">
        <f t="shared" si="220"/>
        <v>-</v>
      </c>
      <c r="AH476" s="453" t="str">
        <f t="shared" si="221"/>
        <v/>
      </c>
      <c r="AI476" s="453" t="str">
        <f t="shared" si="222"/>
        <v/>
      </c>
      <c r="AJ476" t="str">
        <f t="array" ref="AJ476">IF(AND(AI476&gt;1,G476&lt;&gt;""),INDEX(FS_teams,MATCH(1,(FS_Keys=AG476)*(FS_Points=I476)*(FS_teams&lt;&gt;G476),0)),"")</f>
        <v/>
      </c>
      <c r="AK476" s="390" t="str">
        <f t="array" ref="AK476">IF(AJ476&lt;&gt;"",INDEX(TM_Score1,MATCH(1,(TM_Events=D476)*(TM_Participant1=G476)*(TM_Participant2=AJ476),0)),"")</f>
        <v/>
      </c>
      <c r="AL476" s="390" t="str">
        <f t="array" ref="AL476">IF(AJ476&lt;&gt;"",INDEX(TM_Score1,MATCH(1,(TM_Events=D476)*(TM_Participant1=AJ476)*(TM_Participant2=G476),0)),"")</f>
        <v/>
      </c>
      <c r="AM476" s="389" t="str">
        <f t="array" ref="AM476">IF(ISNUMBER(AK476),INDEX(TM_Score2,MATCH(1,(TM_Events=D476)*(TM_Participant1=G476)*(TM_Participant2=AJ476),0)),"")</f>
        <v/>
      </c>
      <c r="AN476" s="389" t="str">
        <f t="array" ref="AN476">IF(ISNUMBER(AL476),INDEX(TM_Score2,MATCH(1,(TM_Events=D476)*(TM_Participant1=AJ476)*(TM_Participant2=G476),0)),"")</f>
        <v/>
      </c>
      <c r="AO476" s="389" t="str">
        <f t="shared" si="223"/>
        <v/>
      </c>
      <c r="AP476" s="389">
        <f t="shared" si="224"/>
        <v>0</v>
      </c>
      <c r="AQ476" s="389">
        <f t="shared" si="225"/>
        <v>0</v>
      </c>
      <c r="AR476" s="389">
        <f t="shared" si="226"/>
        <v>0</v>
      </c>
      <c r="AS476" s="453">
        <f t="shared" si="227"/>
        <v>0</v>
      </c>
      <c r="AT476" s="452">
        <f t="shared" si="228"/>
        <v>0</v>
      </c>
    </row>
    <row r="477" spans="2:46" ht="16" x14ac:dyDescent="0.2">
      <c r="B477"/>
      <c r="D477" s="303"/>
      <c r="E477" s="396"/>
      <c r="F477" s="387"/>
      <c r="G477" s="397"/>
      <c r="H477" s="387" t="str">
        <f t="shared" si="203"/>
        <v>0-0-0</v>
      </c>
      <c r="I477" s="389">
        <f t="shared" si="204"/>
        <v>0</v>
      </c>
      <c r="J477" s="455" t="str">
        <f t="shared" si="229"/>
        <v/>
      </c>
      <c r="K477" s="455">
        <f t="shared" si="205"/>
        <v>0</v>
      </c>
      <c r="L477" s="455">
        <f t="shared" si="230"/>
        <v>0</v>
      </c>
      <c r="M477" s="389" t="str">
        <f>IFERROR(IF(AD477&lt;=VLOOKUP(D477,Tournaments!$A$1:$B$1772,2,FALSE),"TRUE","FALSE"),"")</f>
        <v/>
      </c>
      <c r="N477" s="389">
        <v>1</v>
      </c>
      <c r="O477" s="389">
        <f t="shared" si="206"/>
        <v>0</v>
      </c>
      <c r="Q477" s="389">
        <f t="shared" si="207"/>
        <v>0</v>
      </c>
      <c r="R477" s="389">
        <f t="shared" si="208"/>
        <v>0</v>
      </c>
      <c r="S477" s="389">
        <f t="shared" si="209"/>
        <v>0</v>
      </c>
      <c r="U477" s="389">
        <f t="shared" si="210"/>
        <v>0</v>
      </c>
      <c r="V477" s="389" t="b">
        <f t="shared" si="211"/>
        <v>0</v>
      </c>
      <c r="W477" s="389">
        <f t="shared" si="212"/>
        <v>0</v>
      </c>
      <c r="X477" s="389">
        <f t="shared" si="213"/>
        <v>0</v>
      </c>
      <c r="Y477" s="389">
        <f t="shared" si="231"/>
        <v>1.0999999999999999E-2</v>
      </c>
      <c r="Z477" s="389">
        <f t="shared" si="214"/>
        <v>1.0999999999999999E-2</v>
      </c>
      <c r="AA477" s="389">
        <f t="shared" si="215"/>
        <v>0</v>
      </c>
      <c r="AB477" s="389">
        <f t="shared" si="216"/>
        <v>1E-4</v>
      </c>
      <c r="AC477" s="389">
        <f t="shared" si="217"/>
        <v>1E-4</v>
      </c>
      <c r="AD477" s="389">
        <f t="shared" si="218"/>
        <v>0</v>
      </c>
      <c r="AE477" s="389">
        <f t="shared" si="219"/>
        <v>0</v>
      </c>
      <c r="AG477" s="311" t="str">
        <f t="shared" si="220"/>
        <v>-</v>
      </c>
      <c r="AH477" s="453" t="str">
        <f t="shared" si="221"/>
        <v/>
      </c>
      <c r="AI477" s="453" t="str">
        <f t="shared" si="222"/>
        <v/>
      </c>
      <c r="AJ477" t="str">
        <f t="array" ref="AJ477">IF(AND(AI477&gt;1,G477&lt;&gt;""),INDEX(FS_teams,MATCH(1,(FS_Keys=AG477)*(FS_Points=I477)*(FS_teams&lt;&gt;G477),0)),"")</f>
        <v/>
      </c>
      <c r="AK477" s="390" t="str">
        <f t="array" ref="AK477">IF(AJ477&lt;&gt;"",INDEX(TM_Score1,MATCH(1,(TM_Events=D477)*(TM_Participant1=G477)*(TM_Participant2=AJ477),0)),"")</f>
        <v/>
      </c>
      <c r="AL477" s="390" t="str">
        <f t="array" ref="AL477">IF(AJ477&lt;&gt;"",INDEX(TM_Score1,MATCH(1,(TM_Events=D477)*(TM_Participant1=AJ477)*(TM_Participant2=G477),0)),"")</f>
        <v/>
      </c>
      <c r="AM477" s="389" t="str">
        <f t="array" ref="AM477">IF(ISNUMBER(AK477),INDEX(TM_Score2,MATCH(1,(TM_Events=D477)*(TM_Participant1=G477)*(TM_Participant2=AJ477),0)),"")</f>
        <v/>
      </c>
      <c r="AN477" s="389" t="str">
        <f t="array" ref="AN477">IF(ISNUMBER(AL477),INDEX(TM_Score2,MATCH(1,(TM_Events=D477)*(TM_Participant1=AJ477)*(TM_Participant2=G477),0)),"")</f>
        <v/>
      </c>
      <c r="AO477" s="389" t="str">
        <f t="shared" si="223"/>
        <v/>
      </c>
      <c r="AP477" s="389">
        <f t="shared" si="224"/>
        <v>0</v>
      </c>
      <c r="AQ477" s="389">
        <f t="shared" si="225"/>
        <v>0</v>
      </c>
      <c r="AR477" s="389">
        <f t="shared" si="226"/>
        <v>0</v>
      </c>
      <c r="AS477" s="453">
        <f t="shared" si="227"/>
        <v>0</v>
      </c>
      <c r="AT477" s="452">
        <f t="shared" si="228"/>
        <v>0</v>
      </c>
    </row>
    <row r="478" spans="2:46" ht="16" x14ac:dyDescent="0.2">
      <c r="B478"/>
      <c r="H478" s="387" t="str">
        <f t="shared" si="203"/>
        <v>0-0-0</v>
      </c>
      <c r="I478" s="389">
        <f t="shared" si="204"/>
        <v>0</v>
      </c>
      <c r="J478" s="455" t="str">
        <f t="shared" si="229"/>
        <v/>
      </c>
      <c r="K478" s="455">
        <f t="shared" si="205"/>
        <v>0</v>
      </c>
      <c r="L478" s="455">
        <f t="shared" si="230"/>
        <v>0</v>
      </c>
      <c r="M478" s="389" t="str">
        <f>IFERROR(IF(AD478&lt;=VLOOKUP(D478,Tournaments!$A$1:$B$1772,2,FALSE),"TRUE","FALSE"),"")</f>
        <v/>
      </c>
      <c r="N478" s="389">
        <v>1</v>
      </c>
      <c r="O478" s="389">
        <f t="shared" si="206"/>
        <v>0</v>
      </c>
      <c r="Q478" s="389">
        <f t="shared" si="207"/>
        <v>0</v>
      </c>
      <c r="R478" s="389">
        <f t="shared" si="208"/>
        <v>0</v>
      </c>
      <c r="S478" s="389">
        <f t="shared" si="209"/>
        <v>0</v>
      </c>
      <c r="U478" s="389">
        <f t="shared" si="210"/>
        <v>0</v>
      </c>
      <c r="V478" s="389" t="b">
        <f t="shared" si="211"/>
        <v>0</v>
      </c>
      <c r="W478" s="389">
        <f t="shared" si="212"/>
        <v>0</v>
      </c>
      <c r="X478" s="389">
        <f t="shared" si="213"/>
        <v>0</v>
      </c>
      <c r="Y478" s="389">
        <f t="shared" si="231"/>
        <v>1.0999999999999999E-2</v>
      </c>
      <c r="Z478" s="389">
        <f t="shared" si="214"/>
        <v>1.0999999999999999E-2</v>
      </c>
      <c r="AA478" s="389">
        <f t="shared" si="215"/>
        <v>0</v>
      </c>
      <c r="AB478" s="389">
        <f t="shared" si="216"/>
        <v>1E-4</v>
      </c>
      <c r="AC478" s="389">
        <f t="shared" si="217"/>
        <v>1E-4</v>
      </c>
      <c r="AD478" s="389">
        <f t="shared" si="218"/>
        <v>0</v>
      </c>
      <c r="AE478" s="389">
        <f t="shared" si="219"/>
        <v>0</v>
      </c>
      <c r="AG478" s="311" t="str">
        <f t="shared" si="220"/>
        <v>-</v>
      </c>
      <c r="AH478" s="453" t="str">
        <f t="shared" si="221"/>
        <v/>
      </c>
      <c r="AI478" s="453" t="str">
        <f t="shared" si="222"/>
        <v/>
      </c>
      <c r="AJ478" t="str">
        <f t="array" ref="AJ478">IF(AND(AI478&gt;1,G478&lt;&gt;""),INDEX(FS_teams,MATCH(1,(FS_Keys=AG478)*(FS_Points=I478)*(FS_teams&lt;&gt;G478),0)),"")</f>
        <v/>
      </c>
      <c r="AK478" s="390" t="str">
        <f t="array" ref="AK478">IF(AJ478&lt;&gt;"",INDEX(TM_Score1,MATCH(1,(TM_Events=D478)*(TM_Participant1=G478)*(TM_Participant2=AJ478),0)),"")</f>
        <v/>
      </c>
      <c r="AL478" s="390" t="str">
        <f t="array" ref="AL478">IF(AJ478&lt;&gt;"",INDEX(TM_Score1,MATCH(1,(TM_Events=D478)*(TM_Participant1=AJ478)*(TM_Participant2=G478),0)),"")</f>
        <v/>
      </c>
      <c r="AM478" s="389" t="str">
        <f t="array" ref="AM478">IF(ISNUMBER(AK478),INDEX(TM_Score2,MATCH(1,(TM_Events=D478)*(TM_Participant1=G478)*(TM_Participant2=AJ478),0)),"")</f>
        <v/>
      </c>
      <c r="AN478" s="389" t="str">
        <f t="array" ref="AN478">IF(ISNUMBER(AL478),INDEX(TM_Score2,MATCH(1,(TM_Events=D478)*(TM_Participant1=AJ478)*(TM_Participant2=G478),0)),"")</f>
        <v/>
      </c>
      <c r="AO478" s="389" t="str">
        <f t="shared" si="223"/>
        <v/>
      </c>
      <c r="AP478" s="389">
        <f t="shared" si="224"/>
        <v>0</v>
      </c>
      <c r="AQ478" s="389">
        <f t="shared" si="225"/>
        <v>0</v>
      </c>
      <c r="AR478" s="389">
        <f t="shared" si="226"/>
        <v>0</v>
      </c>
      <c r="AS478" s="453">
        <f t="shared" si="227"/>
        <v>0</v>
      </c>
      <c r="AT478" s="452">
        <f t="shared" si="228"/>
        <v>0</v>
      </c>
    </row>
    <row r="479" spans="2:46" ht="16" x14ac:dyDescent="0.2">
      <c r="B479"/>
      <c r="H479" s="387" t="str">
        <f t="shared" si="203"/>
        <v>0-0-0</v>
      </c>
      <c r="I479" s="389">
        <f t="shared" si="204"/>
        <v>0</v>
      </c>
      <c r="J479" s="455" t="str">
        <f t="shared" si="229"/>
        <v/>
      </c>
      <c r="K479" s="455">
        <f t="shared" si="205"/>
        <v>0</v>
      </c>
      <c r="L479" s="455">
        <f t="shared" si="230"/>
        <v>0</v>
      </c>
      <c r="M479" s="389" t="str">
        <f>IFERROR(IF(AD479&lt;=VLOOKUP(D479,Tournaments!$A$1:$B$1772,2,FALSE),"TRUE","FALSE"),"")</f>
        <v/>
      </c>
      <c r="N479" s="389">
        <v>1</v>
      </c>
      <c r="O479" s="389">
        <f t="shared" si="206"/>
        <v>0</v>
      </c>
      <c r="Q479" s="389">
        <f t="shared" si="207"/>
        <v>0</v>
      </c>
      <c r="R479" s="389">
        <f t="shared" si="208"/>
        <v>0</v>
      </c>
      <c r="S479" s="389">
        <f t="shared" si="209"/>
        <v>0</v>
      </c>
      <c r="U479" s="389">
        <f t="shared" si="210"/>
        <v>0</v>
      </c>
      <c r="V479" s="389" t="b">
        <f t="shared" si="211"/>
        <v>0</v>
      </c>
      <c r="W479" s="389">
        <f t="shared" si="212"/>
        <v>0</v>
      </c>
      <c r="X479" s="389">
        <f t="shared" si="213"/>
        <v>0</v>
      </c>
      <c r="Y479" s="389">
        <f t="shared" si="231"/>
        <v>1.0999999999999999E-2</v>
      </c>
      <c r="Z479" s="389">
        <f t="shared" si="214"/>
        <v>1.0999999999999999E-2</v>
      </c>
      <c r="AA479" s="389">
        <f t="shared" si="215"/>
        <v>0</v>
      </c>
      <c r="AB479" s="389">
        <f t="shared" si="216"/>
        <v>1E-4</v>
      </c>
      <c r="AC479" s="389">
        <f t="shared" si="217"/>
        <v>1E-4</v>
      </c>
      <c r="AD479" s="389">
        <f t="shared" si="218"/>
        <v>0</v>
      </c>
      <c r="AE479" s="389">
        <f t="shared" si="219"/>
        <v>0</v>
      </c>
      <c r="AG479" s="311" t="str">
        <f t="shared" si="220"/>
        <v>-</v>
      </c>
      <c r="AH479" s="453" t="str">
        <f t="shared" si="221"/>
        <v/>
      </c>
      <c r="AI479" s="453" t="str">
        <f t="shared" si="222"/>
        <v/>
      </c>
      <c r="AJ479" t="str">
        <f t="array" ref="AJ479">IF(AND(AI479&gt;1,G479&lt;&gt;""),INDEX(FS_teams,MATCH(1,(FS_Keys=AG479)*(FS_Points=I479)*(FS_teams&lt;&gt;G479),0)),"")</f>
        <v/>
      </c>
      <c r="AK479" s="390" t="str">
        <f t="array" ref="AK479">IF(AJ479&lt;&gt;"",INDEX(TM_Score1,MATCH(1,(TM_Events=D479)*(TM_Participant1=G479)*(TM_Participant2=AJ479),0)),"")</f>
        <v/>
      </c>
      <c r="AL479" s="390" t="str">
        <f t="array" ref="AL479">IF(AJ479&lt;&gt;"",INDEX(TM_Score1,MATCH(1,(TM_Events=D479)*(TM_Participant1=AJ479)*(TM_Participant2=G479),0)),"")</f>
        <v/>
      </c>
      <c r="AM479" s="389" t="str">
        <f t="array" ref="AM479">IF(ISNUMBER(AK479),INDEX(TM_Score2,MATCH(1,(TM_Events=D479)*(TM_Participant1=G479)*(TM_Participant2=AJ479),0)),"")</f>
        <v/>
      </c>
      <c r="AN479" s="389" t="str">
        <f t="array" ref="AN479">IF(ISNUMBER(AL479),INDEX(TM_Score2,MATCH(1,(TM_Events=D479)*(TM_Participant1=AJ479)*(TM_Participant2=G479),0)),"")</f>
        <v/>
      </c>
      <c r="AO479" s="389" t="str">
        <f t="shared" si="223"/>
        <v/>
      </c>
      <c r="AP479" s="389">
        <f t="shared" si="224"/>
        <v>0</v>
      </c>
      <c r="AQ479" s="389">
        <f t="shared" si="225"/>
        <v>0</v>
      </c>
      <c r="AR479" s="389">
        <f t="shared" si="226"/>
        <v>0</v>
      </c>
      <c r="AS479" s="453">
        <f t="shared" si="227"/>
        <v>0</v>
      </c>
      <c r="AT479" s="452">
        <f t="shared" si="228"/>
        <v>0</v>
      </c>
    </row>
    <row r="480" spans="2:46" ht="16" x14ac:dyDescent="0.2">
      <c r="B480"/>
      <c r="H480" s="387" t="str">
        <f t="shared" si="203"/>
        <v>0-0-0</v>
      </c>
      <c r="I480" s="389">
        <f t="shared" si="204"/>
        <v>0</v>
      </c>
      <c r="J480" s="455" t="str">
        <f t="shared" si="229"/>
        <v/>
      </c>
      <c r="K480" s="455">
        <f t="shared" si="205"/>
        <v>0</v>
      </c>
      <c r="L480" s="455">
        <f t="shared" si="230"/>
        <v>0</v>
      </c>
      <c r="M480" s="389" t="str">
        <f>IFERROR(IF(AD480&lt;=VLOOKUP(D480,Tournaments!$A$1:$B$1772,2,FALSE),"TRUE","FALSE"),"")</f>
        <v/>
      </c>
      <c r="N480" s="389">
        <v>1</v>
      </c>
      <c r="O480" s="389">
        <f t="shared" si="206"/>
        <v>0</v>
      </c>
      <c r="Q480" s="389">
        <f t="shared" si="207"/>
        <v>0</v>
      </c>
      <c r="R480" s="389">
        <f t="shared" si="208"/>
        <v>0</v>
      </c>
      <c r="S480" s="389">
        <f t="shared" si="209"/>
        <v>0</v>
      </c>
      <c r="U480" s="389">
        <f t="shared" si="210"/>
        <v>0</v>
      </c>
      <c r="V480" s="389" t="b">
        <f t="shared" si="211"/>
        <v>0</v>
      </c>
      <c r="W480" s="389">
        <f t="shared" si="212"/>
        <v>0</v>
      </c>
      <c r="X480" s="389">
        <f t="shared" si="213"/>
        <v>0</v>
      </c>
      <c r="Y480" s="389">
        <f t="shared" si="231"/>
        <v>1.0999999999999999E-2</v>
      </c>
      <c r="Z480" s="389">
        <f t="shared" si="214"/>
        <v>1.0999999999999999E-2</v>
      </c>
      <c r="AA480" s="389">
        <f t="shared" si="215"/>
        <v>0</v>
      </c>
      <c r="AB480" s="389">
        <f t="shared" si="216"/>
        <v>1E-4</v>
      </c>
      <c r="AC480" s="389">
        <f t="shared" si="217"/>
        <v>1E-4</v>
      </c>
      <c r="AD480" s="389">
        <f t="shared" si="218"/>
        <v>0</v>
      </c>
      <c r="AE480" s="389">
        <f t="shared" si="219"/>
        <v>0</v>
      </c>
      <c r="AG480" s="311" t="str">
        <f t="shared" si="220"/>
        <v>-</v>
      </c>
      <c r="AH480" s="453" t="str">
        <f t="shared" si="221"/>
        <v/>
      </c>
      <c r="AI480" s="453" t="str">
        <f t="shared" si="222"/>
        <v/>
      </c>
      <c r="AJ480" t="str">
        <f t="array" ref="AJ480">IF(AND(AI480&gt;1,G480&lt;&gt;""),INDEX(FS_teams,MATCH(1,(FS_Keys=AG480)*(FS_Points=I480)*(FS_teams&lt;&gt;G480),0)),"")</f>
        <v/>
      </c>
      <c r="AK480" s="390" t="str">
        <f t="array" ref="AK480">IF(AJ480&lt;&gt;"",INDEX(TM_Score1,MATCH(1,(TM_Events=D480)*(TM_Participant1=G480)*(TM_Participant2=AJ480),0)),"")</f>
        <v/>
      </c>
      <c r="AL480" s="390" t="str">
        <f t="array" ref="AL480">IF(AJ480&lt;&gt;"",INDEX(TM_Score1,MATCH(1,(TM_Events=D480)*(TM_Participant1=AJ480)*(TM_Participant2=G480),0)),"")</f>
        <v/>
      </c>
      <c r="AM480" s="389" t="str">
        <f t="array" ref="AM480">IF(ISNUMBER(AK480),INDEX(TM_Score2,MATCH(1,(TM_Events=D480)*(TM_Participant1=G480)*(TM_Participant2=AJ480),0)),"")</f>
        <v/>
      </c>
      <c r="AN480" s="389" t="str">
        <f t="array" ref="AN480">IF(ISNUMBER(AL480),INDEX(TM_Score2,MATCH(1,(TM_Events=D480)*(TM_Participant1=AJ480)*(TM_Participant2=G480),0)),"")</f>
        <v/>
      </c>
      <c r="AO480" s="389" t="str">
        <f t="shared" si="223"/>
        <v/>
      </c>
      <c r="AP480" s="389">
        <f t="shared" si="224"/>
        <v>0</v>
      </c>
      <c r="AQ480" s="389">
        <f t="shared" si="225"/>
        <v>0</v>
      </c>
      <c r="AR480" s="389">
        <f t="shared" si="226"/>
        <v>0</v>
      </c>
      <c r="AS480" s="453">
        <f t="shared" si="227"/>
        <v>0</v>
      </c>
      <c r="AT480" s="452">
        <f t="shared" si="228"/>
        <v>0</v>
      </c>
    </row>
    <row r="481" spans="2:46" ht="16" x14ac:dyDescent="0.2">
      <c r="B481"/>
      <c r="H481" s="387" t="str">
        <f t="shared" si="203"/>
        <v>0-0-0</v>
      </c>
      <c r="I481" s="389">
        <f t="shared" si="204"/>
        <v>0</v>
      </c>
      <c r="J481" s="455" t="str">
        <f t="shared" si="229"/>
        <v/>
      </c>
      <c r="K481" s="455">
        <f t="shared" si="205"/>
        <v>0</v>
      </c>
      <c r="L481" s="455">
        <f t="shared" si="230"/>
        <v>0</v>
      </c>
      <c r="M481" s="389" t="str">
        <f>IFERROR(IF(AD481&lt;=VLOOKUP(D481,Tournaments!$A$1:$B$1772,2,FALSE),"TRUE","FALSE"),"")</f>
        <v/>
      </c>
      <c r="N481" s="389">
        <v>1</v>
      </c>
      <c r="O481" s="389">
        <f t="shared" si="206"/>
        <v>0</v>
      </c>
      <c r="Q481" s="389">
        <f t="shared" si="207"/>
        <v>0</v>
      </c>
      <c r="R481" s="389">
        <f t="shared" si="208"/>
        <v>0</v>
      </c>
      <c r="S481" s="389">
        <f t="shared" si="209"/>
        <v>0</v>
      </c>
      <c r="U481" s="389">
        <f t="shared" si="210"/>
        <v>0</v>
      </c>
      <c r="V481" s="389" t="b">
        <f t="shared" si="211"/>
        <v>0</v>
      </c>
      <c r="W481" s="389">
        <f t="shared" si="212"/>
        <v>0</v>
      </c>
      <c r="X481" s="389">
        <f t="shared" si="213"/>
        <v>0</v>
      </c>
      <c r="Y481" s="389">
        <f t="shared" si="231"/>
        <v>1.0999999999999999E-2</v>
      </c>
      <c r="Z481" s="389">
        <f t="shared" si="214"/>
        <v>1.0999999999999999E-2</v>
      </c>
      <c r="AA481" s="389">
        <f t="shared" si="215"/>
        <v>0</v>
      </c>
      <c r="AB481" s="389">
        <f t="shared" si="216"/>
        <v>1E-4</v>
      </c>
      <c r="AC481" s="389">
        <f t="shared" si="217"/>
        <v>1E-4</v>
      </c>
      <c r="AD481" s="389">
        <f t="shared" si="218"/>
        <v>0</v>
      </c>
      <c r="AE481" s="389">
        <f t="shared" si="219"/>
        <v>0</v>
      </c>
      <c r="AG481" s="311" t="str">
        <f t="shared" si="220"/>
        <v>-</v>
      </c>
      <c r="AH481" s="453" t="str">
        <f t="shared" si="221"/>
        <v/>
      </c>
      <c r="AI481" s="453" t="str">
        <f t="shared" si="222"/>
        <v/>
      </c>
      <c r="AJ481" t="str">
        <f t="array" ref="AJ481">IF(AND(AI481&gt;1,G481&lt;&gt;""),INDEX(FS_teams,MATCH(1,(FS_Keys=AG481)*(FS_Points=I481)*(FS_teams&lt;&gt;G481),0)),"")</f>
        <v/>
      </c>
      <c r="AK481" s="390" t="str">
        <f t="array" ref="AK481">IF(AJ481&lt;&gt;"",INDEX(TM_Score1,MATCH(1,(TM_Events=D481)*(TM_Participant1=G481)*(TM_Participant2=AJ481),0)),"")</f>
        <v/>
      </c>
      <c r="AL481" s="390" t="str">
        <f t="array" ref="AL481">IF(AJ481&lt;&gt;"",INDEX(TM_Score1,MATCH(1,(TM_Events=D481)*(TM_Participant1=AJ481)*(TM_Participant2=G481),0)),"")</f>
        <v/>
      </c>
      <c r="AM481" s="389" t="str">
        <f t="array" ref="AM481">IF(ISNUMBER(AK481),INDEX(TM_Score2,MATCH(1,(TM_Events=D481)*(TM_Participant1=G481)*(TM_Participant2=AJ481),0)),"")</f>
        <v/>
      </c>
      <c r="AN481" s="389" t="str">
        <f t="array" ref="AN481">IF(ISNUMBER(AL481),INDEX(TM_Score2,MATCH(1,(TM_Events=D481)*(TM_Participant1=AJ481)*(TM_Participant2=G481),0)),"")</f>
        <v/>
      </c>
      <c r="AO481" s="389" t="str">
        <f t="shared" si="223"/>
        <v/>
      </c>
      <c r="AP481" s="389">
        <f t="shared" si="224"/>
        <v>0</v>
      </c>
      <c r="AQ481" s="389">
        <f t="shared" si="225"/>
        <v>0</v>
      </c>
      <c r="AR481" s="389">
        <f t="shared" si="226"/>
        <v>0</v>
      </c>
      <c r="AS481" s="453">
        <f t="shared" si="227"/>
        <v>0</v>
      </c>
      <c r="AT481" s="452">
        <f t="shared" si="228"/>
        <v>0</v>
      </c>
    </row>
    <row r="482" spans="2:46" ht="16" x14ac:dyDescent="0.2">
      <c r="B482"/>
      <c r="H482" s="387" t="str">
        <f t="shared" si="203"/>
        <v>0-0-0</v>
      </c>
      <c r="I482" s="389">
        <f t="shared" si="204"/>
        <v>0</v>
      </c>
      <c r="J482" s="455" t="str">
        <f t="shared" si="229"/>
        <v/>
      </c>
      <c r="K482" s="455">
        <f t="shared" si="205"/>
        <v>0</v>
      </c>
      <c r="L482" s="455">
        <f t="shared" si="230"/>
        <v>0</v>
      </c>
      <c r="M482" s="389" t="str">
        <f>IFERROR(IF(AD482&lt;=VLOOKUP(D482,Tournaments!$A$1:$B$1772,2,FALSE),"TRUE","FALSE"),"")</f>
        <v/>
      </c>
      <c r="N482" s="389">
        <v>1</v>
      </c>
      <c r="O482" s="389">
        <f t="shared" si="206"/>
        <v>0</v>
      </c>
      <c r="Q482" s="389">
        <f t="shared" si="207"/>
        <v>0</v>
      </c>
      <c r="R482" s="389">
        <f t="shared" si="208"/>
        <v>0</v>
      </c>
      <c r="S482" s="389">
        <f t="shared" si="209"/>
        <v>0</v>
      </c>
      <c r="U482" s="389">
        <f t="shared" si="210"/>
        <v>0</v>
      </c>
      <c r="V482" s="389" t="b">
        <f t="shared" si="211"/>
        <v>0</v>
      </c>
      <c r="W482" s="389">
        <f t="shared" si="212"/>
        <v>0</v>
      </c>
      <c r="X482" s="389">
        <f t="shared" si="213"/>
        <v>0</v>
      </c>
      <c r="Y482" s="389">
        <f t="shared" si="231"/>
        <v>1.0999999999999999E-2</v>
      </c>
      <c r="Z482" s="389">
        <f t="shared" si="214"/>
        <v>1.0999999999999999E-2</v>
      </c>
      <c r="AA482" s="389">
        <f t="shared" si="215"/>
        <v>0</v>
      </c>
      <c r="AB482" s="389">
        <f t="shared" si="216"/>
        <v>1E-4</v>
      </c>
      <c r="AC482" s="389">
        <f t="shared" si="217"/>
        <v>1E-4</v>
      </c>
      <c r="AD482" s="389">
        <f t="shared" si="218"/>
        <v>0</v>
      </c>
      <c r="AE482" s="389">
        <f t="shared" si="219"/>
        <v>0</v>
      </c>
      <c r="AG482" s="311" t="str">
        <f t="shared" si="220"/>
        <v>-</v>
      </c>
      <c r="AH482" s="453" t="str">
        <f t="shared" si="221"/>
        <v/>
      </c>
      <c r="AI482" s="453" t="str">
        <f t="shared" si="222"/>
        <v/>
      </c>
      <c r="AJ482" t="str">
        <f t="array" ref="AJ482">IF(AND(AI482&gt;1,G482&lt;&gt;""),INDEX(FS_teams,MATCH(1,(FS_Keys=AG482)*(FS_Points=I482)*(FS_teams&lt;&gt;G482),0)),"")</f>
        <v/>
      </c>
      <c r="AK482" s="390" t="str">
        <f t="array" ref="AK482">IF(AJ482&lt;&gt;"",INDEX(TM_Score1,MATCH(1,(TM_Events=D482)*(TM_Participant1=G482)*(TM_Participant2=AJ482),0)),"")</f>
        <v/>
      </c>
      <c r="AL482" s="390" t="str">
        <f t="array" ref="AL482">IF(AJ482&lt;&gt;"",INDEX(TM_Score1,MATCH(1,(TM_Events=D482)*(TM_Participant1=AJ482)*(TM_Participant2=G482),0)),"")</f>
        <v/>
      </c>
      <c r="AM482" s="389" t="str">
        <f t="array" ref="AM482">IF(ISNUMBER(AK482),INDEX(TM_Score2,MATCH(1,(TM_Events=D482)*(TM_Participant1=G482)*(TM_Participant2=AJ482),0)),"")</f>
        <v/>
      </c>
      <c r="AN482" s="389" t="str">
        <f t="array" ref="AN482">IF(ISNUMBER(AL482),INDEX(TM_Score2,MATCH(1,(TM_Events=D482)*(TM_Participant1=AJ482)*(TM_Participant2=G482),0)),"")</f>
        <v/>
      </c>
      <c r="AO482" s="389" t="str">
        <f t="shared" si="223"/>
        <v/>
      </c>
      <c r="AP482" s="389">
        <f t="shared" si="224"/>
        <v>0</v>
      </c>
      <c r="AQ482" s="389">
        <f t="shared" si="225"/>
        <v>0</v>
      </c>
      <c r="AR482" s="389">
        <f t="shared" si="226"/>
        <v>0</v>
      </c>
      <c r="AS482" s="453">
        <f t="shared" si="227"/>
        <v>0</v>
      </c>
      <c r="AT482" s="452">
        <f t="shared" si="228"/>
        <v>0</v>
      </c>
    </row>
    <row r="483" spans="2:46" ht="16" x14ac:dyDescent="0.2">
      <c r="B483"/>
      <c r="H483" s="387" t="str">
        <f t="shared" si="203"/>
        <v>0-0-0</v>
      </c>
      <c r="I483" s="389">
        <f t="shared" si="204"/>
        <v>0</v>
      </c>
      <c r="J483" s="455" t="str">
        <f t="shared" si="229"/>
        <v/>
      </c>
      <c r="K483" s="455">
        <f t="shared" si="205"/>
        <v>0</v>
      </c>
      <c r="L483" s="455">
        <f t="shared" si="230"/>
        <v>0</v>
      </c>
      <c r="M483" s="389" t="str">
        <f>IFERROR(IF(AD483&lt;=VLOOKUP(D483,Tournaments!$A$1:$B$1772,2,FALSE),"TRUE","FALSE"),"")</f>
        <v/>
      </c>
      <c r="N483" s="389">
        <v>1</v>
      </c>
      <c r="O483" s="389">
        <f t="shared" si="206"/>
        <v>0</v>
      </c>
      <c r="Q483" s="389">
        <f t="shared" si="207"/>
        <v>0</v>
      </c>
      <c r="R483" s="389">
        <f t="shared" si="208"/>
        <v>0</v>
      </c>
      <c r="S483" s="389">
        <f t="shared" si="209"/>
        <v>0</v>
      </c>
      <c r="U483" s="389">
        <f t="shared" si="210"/>
        <v>0</v>
      </c>
      <c r="V483" s="389" t="b">
        <f t="shared" si="211"/>
        <v>0</v>
      </c>
      <c r="W483" s="389">
        <f t="shared" si="212"/>
        <v>0</v>
      </c>
      <c r="X483" s="389">
        <f t="shared" si="213"/>
        <v>0</v>
      </c>
      <c r="Y483" s="389">
        <f t="shared" si="231"/>
        <v>1.0999999999999999E-2</v>
      </c>
      <c r="Z483" s="389">
        <f t="shared" si="214"/>
        <v>1.0999999999999999E-2</v>
      </c>
      <c r="AA483" s="389">
        <f t="shared" si="215"/>
        <v>0</v>
      </c>
      <c r="AB483" s="389">
        <f t="shared" si="216"/>
        <v>1E-4</v>
      </c>
      <c r="AC483" s="389">
        <f t="shared" si="217"/>
        <v>1E-4</v>
      </c>
      <c r="AD483" s="389">
        <f t="shared" si="218"/>
        <v>0</v>
      </c>
      <c r="AE483" s="389">
        <f t="shared" si="219"/>
        <v>0</v>
      </c>
      <c r="AG483" s="311" t="str">
        <f t="shared" si="220"/>
        <v>-</v>
      </c>
      <c r="AH483" s="453" t="str">
        <f t="shared" si="221"/>
        <v/>
      </c>
      <c r="AI483" s="453" t="str">
        <f t="shared" si="222"/>
        <v/>
      </c>
      <c r="AJ483" t="str">
        <f t="array" ref="AJ483">IF(AND(AI483&gt;1,G483&lt;&gt;""),INDEX(FS_teams,MATCH(1,(FS_Keys=AG483)*(FS_Points=I483)*(FS_teams&lt;&gt;G483),0)),"")</f>
        <v/>
      </c>
      <c r="AK483" s="390" t="str">
        <f t="array" ref="AK483">IF(AJ483&lt;&gt;"",INDEX(TM_Score1,MATCH(1,(TM_Events=D483)*(TM_Participant1=G483)*(TM_Participant2=AJ483),0)),"")</f>
        <v/>
      </c>
      <c r="AL483" s="390" t="str">
        <f t="array" ref="AL483">IF(AJ483&lt;&gt;"",INDEX(TM_Score1,MATCH(1,(TM_Events=D483)*(TM_Participant1=AJ483)*(TM_Participant2=G483),0)),"")</f>
        <v/>
      </c>
      <c r="AM483" s="389" t="str">
        <f t="array" ref="AM483">IF(ISNUMBER(AK483),INDEX(TM_Score2,MATCH(1,(TM_Events=D483)*(TM_Participant1=G483)*(TM_Participant2=AJ483),0)),"")</f>
        <v/>
      </c>
      <c r="AN483" s="389" t="str">
        <f t="array" ref="AN483">IF(ISNUMBER(AL483),INDEX(TM_Score2,MATCH(1,(TM_Events=D483)*(TM_Participant1=AJ483)*(TM_Participant2=G483),0)),"")</f>
        <v/>
      </c>
      <c r="AO483" s="389" t="str">
        <f t="shared" si="223"/>
        <v/>
      </c>
      <c r="AP483" s="389">
        <f t="shared" si="224"/>
        <v>0</v>
      </c>
      <c r="AQ483" s="389">
        <f t="shared" si="225"/>
        <v>0</v>
      </c>
      <c r="AR483" s="389">
        <f t="shared" si="226"/>
        <v>0</v>
      </c>
      <c r="AS483" s="453">
        <f t="shared" si="227"/>
        <v>0</v>
      </c>
      <c r="AT483" s="452">
        <f t="shared" si="228"/>
        <v>0</v>
      </c>
    </row>
    <row r="484" spans="2:46" ht="16" x14ac:dyDescent="0.2">
      <c r="B484"/>
      <c r="H484" s="387" t="str">
        <f t="shared" si="203"/>
        <v>0-0-0</v>
      </c>
      <c r="I484" s="389">
        <f t="shared" si="204"/>
        <v>0</v>
      </c>
      <c r="J484" s="455" t="str">
        <f t="shared" si="229"/>
        <v/>
      </c>
      <c r="K484" s="455">
        <f t="shared" si="205"/>
        <v>0</v>
      </c>
      <c r="L484" s="455">
        <f t="shared" si="230"/>
        <v>0</v>
      </c>
      <c r="M484" s="389" t="str">
        <f>IFERROR(IF(AD484&lt;=VLOOKUP(D484,Tournaments!$A$1:$B$1772,2,FALSE),"TRUE","FALSE"),"")</f>
        <v/>
      </c>
      <c r="N484" s="389">
        <v>1</v>
      </c>
      <c r="O484" s="389">
        <f t="shared" si="206"/>
        <v>0</v>
      </c>
      <c r="Q484" s="389">
        <f t="shared" si="207"/>
        <v>0</v>
      </c>
      <c r="R484" s="389">
        <f t="shared" si="208"/>
        <v>0</v>
      </c>
      <c r="S484" s="389">
        <f t="shared" si="209"/>
        <v>0</v>
      </c>
      <c r="U484" s="389">
        <f t="shared" si="210"/>
        <v>0</v>
      </c>
      <c r="V484" s="389" t="b">
        <f t="shared" si="211"/>
        <v>0</v>
      </c>
      <c r="W484" s="389">
        <f t="shared" si="212"/>
        <v>0</v>
      </c>
      <c r="X484" s="389">
        <f t="shared" si="213"/>
        <v>0</v>
      </c>
      <c r="Y484" s="389">
        <f t="shared" si="231"/>
        <v>1.0999999999999999E-2</v>
      </c>
      <c r="Z484" s="389">
        <f t="shared" si="214"/>
        <v>1.0999999999999999E-2</v>
      </c>
      <c r="AA484" s="389">
        <f t="shared" si="215"/>
        <v>0</v>
      </c>
      <c r="AB484" s="389">
        <f t="shared" si="216"/>
        <v>1E-4</v>
      </c>
      <c r="AC484" s="389">
        <f t="shared" si="217"/>
        <v>1E-4</v>
      </c>
      <c r="AD484" s="389">
        <f t="shared" si="218"/>
        <v>0</v>
      </c>
      <c r="AE484" s="389">
        <f t="shared" si="219"/>
        <v>0</v>
      </c>
      <c r="AG484" s="311" t="str">
        <f t="shared" si="220"/>
        <v>-</v>
      </c>
      <c r="AH484" s="453" t="str">
        <f t="shared" si="221"/>
        <v/>
      </c>
      <c r="AI484" s="453" t="str">
        <f t="shared" si="222"/>
        <v/>
      </c>
      <c r="AJ484" t="str">
        <f t="array" ref="AJ484">IF(AND(AI484&gt;1,G484&lt;&gt;""),INDEX(FS_teams,MATCH(1,(FS_Keys=AG484)*(FS_Points=I484)*(FS_teams&lt;&gt;G484),0)),"")</f>
        <v/>
      </c>
      <c r="AK484" s="390" t="str">
        <f t="array" ref="AK484">IF(AJ484&lt;&gt;"",INDEX(TM_Score1,MATCH(1,(TM_Events=D484)*(TM_Participant1=G484)*(TM_Participant2=AJ484),0)),"")</f>
        <v/>
      </c>
      <c r="AL484" s="390" t="str">
        <f t="array" ref="AL484">IF(AJ484&lt;&gt;"",INDEX(TM_Score1,MATCH(1,(TM_Events=D484)*(TM_Participant1=AJ484)*(TM_Participant2=G484),0)),"")</f>
        <v/>
      </c>
      <c r="AM484" s="389" t="str">
        <f t="array" ref="AM484">IF(ISNUMBER(AK484),INDEX(TM_Score2,MATCH(1,(TM_Events=D484)*(TM_Participant1=G484)*(TM_Participant2=AJ484),0)),"")</f>
        <v/>
      </c>
      <c r="AN484" s="389" t="str">
        <f t="array" ref="AN484">IF(ISNUMBER(AL484),INDEX(TM_Score2,MATCH(1,(TM_Events=D484)*(TM_Participant1=AJ484)*(TM_Participant2=G484),0)),"")</f>
        <v/>
      </c>
      <c r="AO484" s="389" t="str">
        <f t="shared" si="223"/>
        <v/>
      </c>
      <c r="AP484" s="389">
        <f t="shared" si="224"/>
        <v>0</v>
      </c>
      <c r="AQ484" s="389">
        <f t="shared" si="225"/>
        <v>0</v>
      </c>
      <c r="AR484" s="389">
        <f t="shared" si="226"/>
        <v>0</v>
      </c>
      <c r="AS484" s="453">
        <f t="shared" si="227"/>
        <v>0</v>
      </c>
      <c r="AT484" s="452">
        <f t="shared" si="228"/>
        <v>0</v>
      </c>
    </row>
    <row r="485" spans="2:46" ht="16" x14ac:dyDescent="0.2">
      <c r="B485"/>
      <c r="H485" s="387" t="str">
        <f t="shared" si="203"/>
        <v>0-0-0</v>
      </c>
      <c r="I485" s="389">
        <f t="shared" si="204"/>
        <v>0</v>
      </c>
      <c r="J485" s="455" t="str">
        <f t="shared" si="229"/>
        <v/>
      </c>
      <c r="K485" s="455">
        <f t="shared" si="205"/>
        <v>0</v>
      </c>
      <c r="L485" s="455">
        <f t="shared" si="230"/>
        <v>0</v>
      </c>
      <c r="M485" s="389" t="str">
        <f>IFERROR(IF(AD485&lt;=VLOOKUP(D485,Tournaments!$A$1:$B$1772,2,FALSE),"TRUE","FALSE"),"")</f>
        <v/>
      </c>
      <c r="N485" s="389">
        <v>1</v>
      </c>
      <c r="O485" s="389">
        <f t="shared" si="206"/>
        <v>0</v>
      </c>
      <c r="Q485" s="389">
        <f t="shared" si="207"/>
        <v>0</v>
      </c>
      <c r="R485" s="389">
        <f t="shared" si="208"/>
        <v>0</v>
      </c>
      <c r="S485" s="389">
        <f t="shared" si="209"/>
        <v>0</v>
      </c>
      <c r="U485" s="389">
        <f t="shared" si="210"/>
        <v>0</v>
      </c>
      <c r="V485" s="389" t="b">
        <f t="shared" si="211"/>
        <v>0</v>
      </c>
      <c r="W485" s="389">
        <f t="shared" si="212"/>
        <v>0</v>
      </c>
      <c r="X485" s="389">
        <f t="shared" si="213"/>
        <v>0</v>
      </c>
      <c r="Y485" s="389">
        <f t="shared" si="231"/>
        <v>1.0999999999999999E-2</v>
      </c>
      <c r="Z485" s="389">
        <f t="shared" si="214"/>
        <v>1.0999999999999999E-2</v>
      </c>
      <c r="AA485" s="389">
        <f t="shared" si="215"/>
        <v>0</v>
      </c>
      <c r="AB485" s="389">
        <f t="shared" si="216"/>
        <v>1E-4</v>
      </c>
      <c r="AC485" s="389">
        <f t="shared" si="217"/>
        <v>1E-4</v>
      </c>
      <c r="AD485" s="389">
        <f t="shared" si="218"/>
        <v>0</v>
      </c>
      <c r="AE485" s="389">
        <f t="shared" si="219"/>
        <v>0</v>
      </c>
      <c r="AG485" s="311" t="str">
        <f t="shared" si="220"/>
        <v>-</v>
      </c>
      <c r="AH485" s="453" t="str">
        <f t="shared" si="221"/>
        <v/>
      </c>
      <c r="AI485" s="453" t="str">
        <f t="shared" si="222"/>
        <v/>
      </c>
      <c r="AJ485" t="str">
        <f t="array" ref="AJ485">IF(AND(AI485&gt;1,G485&lt;&gt;""),INDEX(FS_teams,MATCH(1,(FS_Keys=AG485)*(FS_Points=I485)*(FS_teams&lt;&gt;G485),0)),"")</f>
        <v/>
      </c>
      <c r="AK485" s="390" t="str">
        <f t="array" ref="AK485">IF(AJ485&lt;&gt;"",INDEX(TM_Score1,MATCH(1,(TM_Events=D485)*(TM_Participant1=G485)*(TM_Participant2=AJ485),0)),"")</f>
        <v/>
      </c>
      <c r="AL485" s="390" t="str">
        <f t="array" ref="AL485">IF(AJ485&lt;&gt;"",INDEX(TM_Score1,MATCH(1,(TM_Events=D485)*(TM_Participant1=AJ485)*(TM_Participant2=G485),0)),"")</f>
        <v/>
      </c>
      <c r="AM485" s="389" t="str">
        <f t="array" ref="AM485">IF(ISNUMBER(AK485),INDEX(TM_Score2,MATCH(1,(TM_Events=D485)*(TM_Participant1=G485)*(TM_Participant2=AJ485),0)),"")</f>
        <v/>
      </c>
      <c r="AN485" s="389" t="str">
        <f t="array" ref="AN485">IF(ISNUMBER(AL485),INDEX(TM_Score2,MATCH(1,(TM_Events=D485)*(TM_Participant1=AJ485)*(TM_Participant2=G485),0)),"")</f>
        <v/>
      </c>
      <c r="AO485" s="389" t="str">
        <f t="shared" si="223"/>
        <v/>
      </c>
      <c r="AP485" s="389">
        <f t="shared" si="224"/>
        <v>0</v>
      </c>
      <c r="AQ485" s="389">
        <f t="shared" si="225"/>
        <v>0</v>
      </c>
      <c r="AR485" s="389">
        <f t="shared" si="226"/>
        <v>0</v>
      </c>
      <c r="AS485" s="453">
        <f t="shared" si="227"/>
        <v>0</v>
      </c>
      <c r="AT485" s="452">
        <f t="shared" si="228"/>
        <v>0</v>
      </c>
    </row>
    <row r="486" spans="2:46" ht="16" x14ac:dyDescent="0.2">
      <c r="B486"/>
      <c r="H486" s="387" t="str">
        <f t="shared" si="203"/>
        <v>0-0-0</v>
      </c>
      <c r="I486" s="389">
        <f t="shared" si="204"/>
        <v>0</v>
      </c>
      <c r="J486" s="455" t="str">
        <f t="shared" si="229"/>
        <v/>
      </c>
      <c r="K486" s="455">
        <f t="shared" si="205"/>
        <v>0</v>
      </c>
      <c r="L486" s="455">
        <f t="shared" si="230"/>
        <v>0</v>
      </c>
      <c r="M486" s="389" t="str">
        <f>IFERROR(IF(AD486&lt;=VLOOKUP(D486,Tournaments!$A$1:$B$1772,2,FALSE),"TRUE","FALSE"),"")</f>
        <v/>
      </c>
      <c r="N486" s="389">
        <v>1</v>
      </c>
      <c r="O486" s="389">
        <f t="shared" si="206"/>
        <v>0</v>
      </c>
      <c r="Q486" s="389">
        <f t="shared" si="207"/>
        <v>0</v>
      </c>
      <c r="R486" s="389">
        <f t="shared" si="208"/>
        <v>0</v>
      </c>
      <c r="S486" s="389">
        <f t="shared" si="209"/>
        <v>0</v>
      </c>
      <c r="U486" s="389">
        <f t="shared" si="210"/>
        <v>0</v>
      </c>
      <c r="V486" s="389" t="b">
        <f t="shared" si="211"/>
        <v>0</v>
      </c>
      <c r="W486" s="389">
        <f t="shared" si="212"/>
        <v>0</v>
      </c>
      <c r="X486" s="389">
        <f t="shared" si="213"/>
        <v>0</v>
      </c>
      <c r="Y486" s="389">
        <f t="shared" si="231"/>
        <v>1.0999999999999999E-2</v>
      </c>
      <c r="Z486" s="389">
        <f t="shared" si="214"/>
        <v>1.0999999999999999E-2</v>
      </c>
      <c r="AA486" s="389">
        <f t="shared" si="215"/>
        <v>0</v>
      </c>
      <c r="AB486" s="389">
        <f t="shared" si="216"/>
        <v>1E-4</v>
      </c>
      <c r="AC486" s="389">
        <f t="shared" si="217"/>
        <v>1E-4</v>
      </c>
      <c r="AD486" s="389">
        <f t="shared" si="218"/>
        <v>0</v>
      </c>
      <c r="AE486" s="389">
        <f t="shared" si="219"/>
        <v>0</v>
      </c>
      <c r="AG486" s="311" t="str">
        <f t="shared" si="220"/>
        <v>-</v>
      </c>
      <c r="AH486" s="453" t="str">
        <f t="shared" si="221"/>
        <v/>
      </c>
      <c r="AI486" s="453" t="str">
        <f t="shared" si="222"/>
        <v/>
      </c>
      <c r="AJ486" t="str">
        <f t="array" ref="AJ486">IF(AND(AI486&gt;1,G486&lt;&gt;""),INDEX(FS_teams,MATCH(1,(FS_Keys=AG486)*(FS_Points=I486)*(FS_teams&lt;&gt;G486),0)),"")</f>
        <v/>
      </c>
      <c r="AK486" s="390" t="str">
        <f t="array" ref="AK486">IF(AJ486&lt;&gt;"",INDEX(TM_Score1,MATCH(1,(TM_Events=D486)*(TM_Participant1=G486)*(TM_Participant2=AJ486),0)),"")</f>
        <v/>
      </c>
      <c r="AL486" s="390" t="str">
        <f t="array" ref="AL486">IF(AJ486&lt;&gt;"",INDEX(TM_Score1,MATCH(1,(TM_Events=D486)*(TM_Participant1=AJ486)*(TM_Participant2=G486),0)),"")</f>
        <v/>
      </c>
      <c r="AM486" s="389" t="str">
        <f t="array" ref="AM486">IF(ISNUMBER(AK486),INDEX(TM_Score2,MATCH(1,(TM_Events=D486)*(TM_Participant1=G486)*(TM_Participant2=AJ486),0)),"")</f>
        <v/>
      </c>
      <c r="AN486" s="389" t="str">
        <f t="array" ref="AN486">IF(ISNUMBER(AL486),INDEX(TM_Score2,MATCH(1,(TM_Events=D486)*(TM_Participant1=AJ486)*(TM_Participant2=G486),0)),"")</f>
        <v/>
      </c>
      <c r="AO486" s="389" t="str">
        <f t="shared" si="223"/>
        <v/>
      </c>
      <c r="AP486" s="389">
        <f t="shared" si="224"/>
        <v>0</v>
      </c>
      <c r="AQ486" s="389">
        <f t="shared" si="225"/>
        <v>0</v>
      </c>
      <c r="AR486" s="389">
        <f t="shared" si="226"/>
        <v>0</v>
      </c>
      <c r="AS486" s="453">
        <f t="shared" si="227"/>
        <v>0</v>
      </c>
      <c r="AT486" s="452">
        <f t="shared" si="228"/>
        <v>0</v>
      </c>
    </row>
    <row r="487" spans="2:46" ht="16" x14ac:dyDescent="0.2">
      <c r="B487"/>
      <c r="H487" s="387" t="str">
        <f t="shared" si="203"/>
        <v>0-0-0</v>
      </c>
      <c r="I487" s="389">
        <f t="shared" si="204"/>
        <v>0</v>
      </c>
      <c r="J487" s="455" t="str">
        <f t="shared" si="229"/>
        <v/>
      </c>
      <c r="K487" s="455">
        <f t="shared" si="205"/>
        <v>0</v>
      </c>
      <c r="L487" s="455">
        <f t="shared" si="230"/>
        <v>0</v>
      </c>
      <c r="M487" s="389" t="str">
        <f>IFERROR(IF(AD487&lt;=VLOOKUP(D487,Tournaments!$A$1:$B$1772,2,FALSE),"TRUE","FALSE"),"")</f>
        <v/>
      </c>
      <c r="N487" s="389">
        <v>1</v>
      </c>
      <c r="O487" s="389">
        <f t="shared" si="206"/>
        <v>0</v>
      </c>
      <c r="Q487" s="389">
        <f t="shared" si="207"/>
        <v>0</v>
      </c>
      <c r="R487" s="389">
        <f t="shared" si="208"/>
        <v>0</v>
      </c>
      <c r="S487" s="389">
        <f t="shared" si="209"/>
        <v>0</v>
      </c>
      <c r="U487" s="389">
        <f t="shared" si="210"/>
        <v>0</v>
      </c>
      <c r="V487" s="389" t="b">
        <f t="shared" si="211"/>
        <v>0</v>
      </c>
      <c r="W487" s="389">
        <f t="shared" si="212"/>
        <v>0</v>
      </c>
      <c r="X487" s="389">
        <f t="shared" si="213"/>
        <v>0</v>
      </c>
      <c r="Y487" s="389">
        <f t="shared" si="231"/>
        <v>1.0999999999999999E-2</v>
      </c>
      <c r="Z487" s="389">
        <f t="shared" si="214"/>
        <v>1.0999999999999999E-2</v>
      </c>
      <c r="AA487" s="389">
        <f t="shared" si="215"/>
        <v>0</v>
      </c>
      <c r="AB487" s="389">
        <f t="shared" si="216"/>
        <v>1E-4</v>
      </c>
      <c r="AC487" s="389">
        <f t="shared" si="217"/>
        <v>1E-4</v>
      </c>
      <c r="AD487" s="389">
        <f t="shared" si="218"/>
        <v>0</v>
      </c>
      <c r="AE487" s="389">
        <f t="shared" si="219"/>
        <v>0</v>
      </c>
      <c r="AG487" s="311" t="str">
        <f t="shared" si="220"/>
        <v>-</v>
      </c>
      <c r="AH487" s="453" t="str">
        <f t="shared" si="221"/>
        <v/>
      </c>
      <c r="AI487" s="453" t="str">
        <f t="shared" si="222"/>
        <v/>
      </c>
      <c r="AJ487" t="str">
        <f t="array" ref="AJ487">IF(AND(AI487&gt;1,G487&lt;&gt;""),INDEX(FS_teams,MATCH(1,(FS_Keys=AG487)*(FS_Points=I487)*(FS_teams&lt;&gt;G487),0)),"")</f>
        <v/>
      </c>
      <c r="AK487" s="390" t="str">
        <f t="array" ref="AK487">IF(AJ487&lt;&gt;"",INDEX(TM_Score1,MATCH(1,(TM_Events=D487)*(TM_Participant1=G487)*(TM_Participant2=AJ487),0)),"")</f>
        <v/>
      </c>
      <c r="AL487" s="390" t="str">
        <f t="array" ref="AL487">IF(AJ487&lt;&gt;"",INDEX(TM_Score1,MATCH(1,(TM_Events=D487)*(TM_Participant1=AJ487)*(TM_Participant2=G487),0)),"")</f>
        <v/>
      </c>
      <c r="AM487" s="389" t="str">
        <f t="array" ref="AM487">IF(ISNUMBER(AK487),INDEX(TM_Score2,MATCH(1,(TM_Events=D487)*(TM_Participant1=G487)*(TM_Participant2=AJ487),0)),"")</f>
        <v/>
      </c>
      <c r="AN487" s="389" t="str">
        <f t="array" ref="AN487">IF(ISNUMBER(AL487),INDEX(TM_Score2,MATCH(1,(TM_Events=D487)*(TM_Participant1=AJ487)*(TM_Participant2=G487),0)),"")</f>
        <v/>
      </c>
      <c r="AO487" s="389" t="str">
        <f t="shared" si="223"/>
        <v/>
      </c>
      <c r="AP487" s="389">
        <f t="shared" si="224"/>
        <v>0</v>
      </c>
      <c r="AQ487" s="389">
        <f t="shared" si="225"/>
        <v>0</v>
      </c>
      <c r="AR487" s="389">
        <f t="shared" si="226"/>
        <v>0</v>
      </c>
      <c r="AS487" s="453">
        <f t="shared" si="227"/>
        <v>0</v>
      </c>
      <c r="AT487" s="452">
        <f t="shared" si="228"/>
        <v>0</v>
      </c>
    </row>
    <row r="488" spans="2:46" ht="16" x14ac:dyDescent="0.2">
      <c r="B488"/>
      <c r="H488" s="387" t="str">
        <f t="shared" si="203"/>
        <v>0-0-0</v>
      </c>
      <c r="I488" s="389">
        <f t="shared" si="204"/>
        <v>0</v>
      </c>
      <c r="J488" s="455" t="str">
        <f t="shared" si="229"/>
        <v/>
      </c>
      <c r="K488" s="455">
        <f t="shared" si="205"/>
        <v>0</v>
      </c>
      <c r="L488" s="455">
        <f t="shared" si="230"/>
        <v>0</v>
      </c>
      <c r="M488" s="389" t="str">
        <f>IFERROR(IF(AD488&lt;=VLOOKUP(D488,Tournaments!$A$1:$B$1772,2,FALSE),"TRUE","FALSE"),"")</f>
        <v/>
      </c>
      <c r="N488" s="389">
        <v>1</v>
      </c>
      <c r="O488" s="389">
        <f t="shared" si="206"/>
        <v>0</v>
      </c>
      <c r="Q488" s="389">
        <f t="shared" si="207"/>
        <v>0</v>
      </c>
      <c r="R488" s="389">
        <f t="shared" si="208"/>
        <v>0</v>
      </c>
      <c r="S488" s="389">
        <f t="shared" si="209"/>
        <v>0</v>
      </c>
      <c r="U488" s="389">
        <f t="shared" si="210"/>
        <v>0</v>
      </c>
      <c r="V488" s="389" t="b">
        <f t="shared" si="211"/>
        <v>0</v>
      </c>
      <c r="W488" s="389">
        <f t="shared" si="212"/>
        <v>0</v>
      </c>
      <c r="X488" s="389">
        <f t="shared" si="213"/>
        <v>0</v>
      </c>
      <c r="Y488" s="389">
        <f t="shared" si="231"/>
        <v>1.0999999999999999E-2</v>
      </c>
      <c r="Z488" s="389">
        <f t="shared" si="214"/>
        <v>1.0999999999999999E-2</v>
      </c>
      <c r="AA488" s="389">
        <f t="shared" si="215"/>
        <v>0</v>
      </c>
      <c r="AB488" s="389">
        <f t="shared" si="216"/>
        <v>1E-4</v>
      </c>
      <c r="AC488" s="389">
        <f t="shared" si="217"/>
        <v>1E-4</v>
      </c>
      <c r="AD488" s="389">
        <f t="shared" si="218"/>
        <v>0</v>
      </c>
      <c r="AE488" s="389">
        <f t="shared" si="219"/>
        <v>0</v>
      </c>
      <c r="AG488" s="311" t="str">
        <f t="shared" si="220"/>
        <v>-</v>
      </c>
      <c r="AH488" s="453" t="str">
        <f t="shared" si="221"/>
        <v/>
      </c>
      <c r="AI488" s="453" t="str">
        <f t="shared" si="222"/>
        <v/>
      </c>
      <c r="AJ488" t="str">
        <f t="array" ref="AJ488">IF(AND(AI488&gt;1,G488&lt;&gt;""),INDEX(FS_teams,MATCH(1,(FS_Keys=AG488)*(FS_Points=I488)*(FS_teams&lt;&gt;G488),0)),"")</f>
        <v/>
      </c>
      <c r="AK488" s="390" t="str">
        <f t="array" ref="AK488">IF(AJ488&lt;&gt;"",INDEX(TM_Score1,MATCH(1,(TM_Events=D488)*(TM_Participant1=G488)*(TM_Participant2=AJ488),0)),"")</f>
        <v/>
      </c>
      <c r="AL488" s="390" t="str">
        <f t="array" ref="AL488">IF(AJ488&lt;&gt;"",INDEX(TM_Score1,MATCH(1,(TM_Events=D488)*(TM_Participant1=AJ488)*(TM_Participant2=G488),0)),"")</f>
        <v/>
      </c>
      <c r="AM488" s="389" t="str">
        <f t="array" ref="AM488">IF(ISNUMBER(AK488),INDEX(TM_Score2,MATCH(1,(TM_Events=D488)*(TM_Participant1=G488)*(TM_Participant2=AJ488),0)),"")</f>
        <v/>
      </c>
      <c r="AN488" s="389" t="str">
        <f t="array" ref="AN488">IF(ISNUMBER(AL488),INDEX(TM_Score2,MATCH(1,(TM_Events=D488)*(TM_Participant1=AJ488)*(TM_Participant2=G488),0)),"")</f>
        <v/>
      </c>
      <c r="AO488" s="389" t="str">
        <f t="shared" si="223"/>
        <v/>
      </c>
      <c r="AP488" s="389">
        <f t="shared" si="224"/>
        <v>0</v>
      </c>
      <c r="AQ488" s="389">
        <f t="shared" si="225"/>
        <v>0</v>
      </c>
      <c r="AR488" s="389">
        <f t="shared" si="226"/>
        <v>0</v>
      </c>
      <c r="AS488" s="453">
        <f t="shared" si="227"/>
        <v>0</v>
      </c>
      <c r="AT488" s="452">
        <f t="shared" si="228"/>
        <v>0</v>
      </c>
    </row>
    <row r="489" spans="2:46" ht="16" x14ac:dyDescent="0.2">
      <c r="B489"/>
      <c r="H489" s="387" t="str">
        <f t="shared" si="203"/>
        <v>0-0-0</v>
      </c>
      <c r="I489" s="389">
        <f t="shared" si="204"/>
        <v>0</v>
      </c>
      <c r="J489" s="455" t="str">
        <f t="shared" si="229"/>
        <v/>
      </c>
      <c r="K489" s="455">
        <f t="shared" si="205"/>
        <v>0</v>
      </c>
      <c r="L489" s="455">
        <f t="shared" si="230"/>
        <v>0</v>
      </c>
      <c r="M489" s="389" t="str">
        <f>IFERROR(IF(AD489&lt;=VLOOKUP(D489,Tournaments!$A$1:$B$1772,2,FALSE),"TRUE","FALSE"),"")</f>
        <v/>
      </c>
      <c r="N489" s="389">
        <v>1</v>
      </c>
      <c r="O489" s="389">
        <f t="shared" si="206"/>
        <v>0</v>
      </c>
      <c r="Q489" s="389">
        <f t="shared" si="207"/>
        <v>0</v>
      </c>
      <c r="R489" s="389">
        <f t="shared" si="208"/>
        <v>0</v>
      </c>
      <c r="S489" s="389">
        <f t="shared" si="209"/>
        <v>0</v>
      </c>
      <c r="U489" s="389">
        <f t="shared" si="210"/>
        <v>0</v>
      </c>
      <c r="V489" s="389" t="b">
        <f t="shared" si="211"/>
        <v>0</v>
      </c>
      <c r="W489" s="389">
        <f t="shared" si="212"/>
        <v>0</v>
      </c>
      <c r="X489" s="389">
        <f t="shared" si="213"/>
        <v>0</v>
      </c>
      <c r="Y489" s="389">
        <f t="shared" si="231"/>
        <v>1.0999999999999999E-2</v>
      </c>
      <c r="Z489" s="389">
        <f t="shared" si="214"/>
        <v>1.0999999999999999E-2</v>
      </c>
      <c r="AA489" s="389">
        <f t="shared" si="215"/>
        <v>0</v>
      </c>
      <c r="AB489" s="389">
        <f t="shared" si="216"/>
        <v>1E-4</v>
      </c>
      <c r="AC489" s="389">
        <f t="shared" si="217"/>
        <v>1E-4</v>
      </c>
      <c r="AD489" s="389">
        <f t="shared" si="218"/>
        <v>0</v>
      </c>
      <c r="AE489" s="389">
        <f t="shared" si="219"/>
        <v>0</v>
      </c>
      <c r="AG489" s="311" t="str">
        <f t="shared" si="220"/>
        <v>-</v>
      </c>
      <c r="AH489" s="453" t="str">
        <f t="shared" si="221"/>
        <v/>
      </c>
      <c r="AI489" s="453" t="str">
        <f t="shared" si="222"/>
        <v/>
      </c>
      <c r="AJ489" t="str">
        <f t="array" ref="AJ489">IF(AND(AI489&gt;1,G489&lt;&gt;""),INDEX(FS_teams,MATCH(1,(FS_Keys=AG489)*(FS_Points=I489)*(FS_teams&lt;&gt;G489),0)),"")</f>
        <v/>
      </c>
      <c r="AK489" s="390" t="str">
        <f t="array" ref="AK489">IF(AJ489&lt;&gt;"",INDEX(TM_Score1,MATCH(1,(TM_Events=D489)*(TM_Participant1=G489)*(TM_Participant2=AJ489),0)),"")</f>
        <v/>
      </c>
      <c r="AL489" s="390" t="str">
        <f t="array" ref="AL489">IF(AJ489&lt;&gt;"",INDEX(TM_Score1,MATCH(1,(TM_Events=D489)*(TM_Participant1=AJ489)*(TM_Participant2=G489),0)),"")</f>
        <v/>
      </c>
      <c r="AM489" s="389" t="str">
        <f t="array" ref="AM489">IF(ISNUMBER(AK489),INDEX(TM_Score2,MATCH(1,(TM_Events=D489)*(TM_Participant1=G489)*(TM_Participant2=AJ489),0)),"")</f>
        <v/>
      </c>
      <c r="AN489" s="389" t="str">
        <f t="array" ref="AN489">IF(ISNUMBER(AL489),INDEX(TM_Score2,MATCH(1,(TM_Events=D489)*(TM_Participant1=AJ489)*(TM_Participant2=G489),0)),"")</f>
        <v/>
      </c>
      <c r="AO489" s="389" t="str">
        <f t="shared" si="223"/>
        <v/>
      </c>
      <c r="AP489" s="389">
        <f t="shared" si="224"/>
        <v>0</v>
      </c>
      <c r="AQ489" s="389">
        <f t="shared" si="225"/>
        <v>0</v>
      </c>
      <c r="AR489" s="389">
        <f t="shared" si="226"/>
        <v>0</v>
      </c>
      <c r="AS489" s="453">
        <f t="shared" si="227"/>
        <v>0</v>
      </c>
      <c r="AT489" s="452">
        <f t="shared" si="228"/>
        <v>0</v>
      </c>
    </row>
    <row r="490" spans="2:46" ht="16" x14ac:dyDescent="0.2">
      <c r="B490"/>
      <c r="H490" s="387" t="str">
        <f t="shared" si="203"/>
        <v>0-0-0</v>
      </c>
      <c r="I490" s="389">
        <f t="shared" si="204"/>
        <v>0</v>
      </c>
      <c r="J490" s="455" t="str">
        <f t="shared" si="229"/>
        <v/>
      </c>
      <c r="K490" s="455">
        <f t="shared" si="205"/>
        <v>0</v>
      </c>
      <c r="L490" s="455">
        <f t="shared" si="230"/>
        <v>0</v>
      </c>
      <c r="M490" s="389" t="str">
        <f>IFERROR(IF(AD490&lt;=VLOOKUP(D490,Tournaments!$A$1:$B$1772,2,FALSE),"TRUE","FALSE"),"")</f>
        <v/>
      </c>
      <c r="N490" s="389">
        <v>1</v>
      </c>
      <c r="O490" s="389">
        <f t="shared" si="206"/>
        <v>0</v>
      </c>
      <c r="Q490" s="389">
        <f t="shared" si="207"/>
        <v>0</v>
      </c>
      <c r="R490" s="389">
        <f t="shared" si="208"/>
        <v>0</v>
      </c>
      <c r="S490" s="389">
        <f t="shared" si="209"/>
        <v>0</v>
      </c>
      <c r="U490" s="389">
        <f t="shared" si="210"/>
        <v>0</v>
      </c>
      <c r="V490" s="389" t="b">
        <f t="shared" si="211"/>
        <v>0</v>
      </c>
      <c r="W490" s="389">
        <f t="shared" si="212"/>
        <v>0</v>
      </c>
      <c r="X490" s="389">
        <f t="shared" si="213"/>
        <v>0</v>
      </c>
      <c r="Y490" s="389">
        <f t="shared" si="231"/>
        <v>1.0999999999999999E-2</v>
      </c>
      <c r="Z490" s="389">
        <f t="shared" si="214"/>
        <v>1.0999999999999999E-2</v>
      </c>
      <c r="AA490" s="389">
        <f t="shared" si="215"/>
        <v>0</v>
      </c>
      <c r="AB490" s="389">
        <f t="shared" si="216"/>
        <v>1E-4</v>
      </c>
      <c r="AC490" s="389">
        <f t="shared" si="217"/>
        <v>1E-4</v>
      </c>
      <c r="AD490" s="389">
        <f t="shared" si="218"/>
        <v>0</v>
      </c>
      <c r="AE490" s="389">
        <f t="shared" si="219"/>
        <v>0</v>
      </c>
      <c r="AG490" s="311" t="str">
        <f t="shared" si="220"/>
        <v>-</v>
      </c>
      <c r="AH490" s="453" t="str">
        <f t="shared" si="221"/>
        <v/>
      </c>
      <c r="AI490" s="453" t="str">
        <f t="shared" si="222"/>
        <v/>
      </c>
      <c r="AJ490" t="str">
        <f t="array" ref="AJ490">IF(AND(AI490&gt;1,G490&lt;&gt;""),INDEX(FS_teams,MATCH(1,(FS_Keys=AG490)*(FS_Points=I490)*(FS_teams&lt;&gt;G490),0)),"")</f>
        <v/>
      </c>
      <c r="AK490" s="390" t="str">
        <f t="array" ref="AK490">IF(AJ490&lt;&gt;"",INDEX(TM_Score1,MATCH(1,(TM_Events=D490)*(TM_Participant1=G490)*(TM_Participant2=AJ490),0)),"")</f>
        <v/>
      </c>
      <c r="AL490" s="390" t="str">
        <f t="array" ref="AL490">IF(AJ490&lt;&gt;"",INDEX(TM_Score1,MATCH(1,(TM_Events=D490)*(TM_Participant1=AJ490)*(TM_Participant2=G490),0)),"")</f>
        <v/>
      </c>
      <c r="AM490" s="389" t="str">
        <f t="array" ref="AM490">IF(ISNUMBER(AK490),INDEX(TM_Score2,MATCH(1,(TM_Events=D490)*(TM_Participant1=G490)*(TM_Participant2=AJ490),0)),"")</f>
        <v/>
      </c>
      <c r="AN490" s="389" t="str">
        <f t="array" ref="AN490">IF(ISNUMBER(AL490),INDEX(TM_Score2,MATCH(1,(TM_Events=D490)*(TM_Participant1=AJ490)*(TM_Participant2=G490),0)),"")</f>
        <v/>
      </c>
      <c r="AO490" s="389" t="str">
        <f t="shared" si="223"/>
        <v/>
      </c>
      <c r="AP490" s="389">
        <f t="shared" si="224"/>
        <v>0</v>
      </c>
      <c r="AQ490" s="389">
        <f t="shared" si="225"/>
        <v>0</v>
      </c>
      <c r="AR490" s="389">
        <f t="shared" si="226"/>
        <v>0</v>
      </c>
      <c r="AS490" s="453">
        <f t="shared" si="227"/>
        <v>0</v>
      </c>
      <c r="AT490" s="452">
        <f t="shared" si="228"/>
        <v>0</v>
      </c>
    </row>
    <row r="491" spans="2:46" ht="16" x14ac:dyDescent="0.2">
      <c r="B491"/>
      <c r="H491" s="387" t="str">
        <f t="shared" si="203"/>
        <v>0-0-0</v>
      </c>
      <c r="I491" s="389">
        <f t="shared" si="204"/>
        <v>0</v>
      </c>
      <c r="J491" s="455" t="str">
        <f t="shared" si="229"/>
        <v/>
      </c>
      <c r="K491" s="455">
        <f t="shared" si="205"/>
        <v>0</v>
      </c>
      <c r="L491" s="455">
        <f t="shared" si="230"/>
        <v>0</v>
      </c>
      <c r="M491" s="389" t="str">
        <f>IFERROR(IF(AD491&lt;=VLOOKUP(D491,Tournaments!$A$1:$B$1772,2,FALSE),"TRUE","FALSE"),"")</f>
        <v/>
      </c>
      <c r="N491" s="389">
        <v>1</v>
      </c>
      <c r="O491" s="389">
        <f t="shared" si="206"/>
        <v>0</v>
      </c>
      <c r="Q491" s="389">
        <f t="shared" si="207"/>
        <v>0</v>
      </c>
      <c r="R491" s="389">
        <f t="shared" si="208"/>
        <v>0</v>
      </c>
      <c r="S491" s="389">
        <f t="shared" si="209"/>
        <v>0</v>
      </c>
      <c r="U491" s="389">
        <f t="shared" si="210"/>
        <v>0</v>
      </c>
      <c r="V491" s="389" t="b">
        <f t="shared" si="211"/>
        <v>0</v>
      </c>
      <c r="W491" s="389">
        <f t="shared" si="212"/>
        <v>0</v>
      </c>
      <c r="X491" s="389">
        <f t="shared" si="213"/>
        <v>0</v>
      </c>
      <c r="Y491" s="389">
        <f t="shared" si="231"/>
        <v>1.0999999999999999E-2</v>
      </c>
      <c r="Z491" s="389">
        <f t="shared" si="214"/>
        <v>1.0999999999999999E-2</v>
      </c>
      <c r="AA491" s="389">
        <f t="shared" si="215"/>
        <v>0</v>
      </c>
      <c r="AB491" s="389">
        <f t="shared" si="216"/>
        <v>1E-4</v>
      </c>
      <c r="AC491" s="389">
        <f t="shared" si="217"/>
        <v>1E-4</v>
      </c>
      <c r="AD491" s="389">
        <f t="shared" si="218"/>
        <v>0</v>
      </c>
      <c r="AE491" s="389">
        <f t="shared" si="219"/>
        <v>0</v>
      </c>
      <c r="AG491" s="311" t="str">
        <f t="shared" si="220"/>
        <v>-</v>
      </c>
      <c r="AH491" s="453" t="str">
        <f t="shared" si="221"/>
        <v/>
      </c>
      <c r="AI491" s="453" t="str">
        <f t="shared" si="222"/>
        <v/>
      </c>
      <c r="AJ491" t="str">
        <f t="array" ref="AJ491">IF(AND(AI491&gt;1,G491&lt;&gt;""),INDEX(FS_teams,MATCH(1,(FS_Keys=AG491)*(FS_Points=I491)*(FS_teams&lt;&gt;G491),0)),"")</f>
        <v/>
      </c>
      <c r="AK491" s="390" t="str">
        <f t="array" ref="AK491">IF(AJ491&lt;&gt;"",INDEX(TM_Score1,MATCH(1,(TM_Events=D491)*(TM_Participant1=G491)*(TM_Participant2=AJ491),0)),"")</f>
        <v/>
      </c>
      <c r="AL491" s="390" t="str">
        <f t="array" ref="AL491">IF(AJ491&lt;&gt;"",INDEX(TM_Score1,MATCH(1,(TM_Events=D491)*(TM_Participant1=AJ491)*(TM_Participant2=G491),0)),"")</f>
        <v/>
      </c>
      <c r="AM491" s="389" t="str">
        <f t="array" ref="AM491">IF(ISNUMBER(AK491),INDEX(TM_Score2,MATCH(1,(TM_Events=D491)*(TM_Participant1=G491)*(TM_Participant2=AJ491),0)),"")</f>
        <v/>
      </c>
      <c r="AN491" s="389" t="str">
        <f t="array" ref="AN491">IF(ISNUMBER(AL491),INDEX(TM_Score2,MATCH(1,(TM_Events=D491)*(TM_Participant1=AJ491)*(TM_Participant2=G491),0)),"")</f>
        <v/>
      </c>
      <c r="AO491" s="389" t="str">
        <f t="shared" si="223"/>
        <v/>
      </c>
      <c r="AP491" s="389">
        <f t="shared" si="224"/>
        <v>0</v>
      </c>
      <c r="AQ491" s="389">
        <f t="shared" si="225"/>
        <v>0</v>
      </c>
      <c r="AR491" s="389">
        <f t="shared" si="226"/>
        <v>0</v>
      </c>
      <c r="AS491" s="453">
        <f t="shared" si="227"/>
        <v>0</v>
      </c>
      <c r="AT491" s="452">
        <f t="shared" si="228"/>
        <v>0</v>
      </c>
    </row>
    <row r="492" spans="2:46" ht="16" x14ac:dyDescent="0.2">
      <c r="B492"/>
      <c r="H492" s="387" t="str">
        <f t="shared" si="203"/>
        <v>0-0-0</v>
      </c>
      <c r="I492" s="389">
        <f t="shared" si="204"/>
        <v>0</v>
      </c>
      <c r="J492" s="455" t="str">
        <f t="shared" si="229"/>
        <v/>
      </c>
      <c r="K492" s="455">
        <f t="shared" si="205"/>
        <v>0</v>
      </c>
      <c r="L492" s="455">
        <f t="shared" si="230"/>
        <v>0</v>
      </c>
      <c r="M492" s="389" t="str">
        <f>IFERROR(IF(AD492&lt;=VLOOKUP(D492,Tournaments!$A$1:$B$1772,2,FALSE),"TRUE","FALSE"),"")</f>
        <v/>
      </c>
      <c r="N492" s="389">
        <v>1</v>
      </c>
      <c r="O492" s="389">
        <f t="shared" si="206"/>
        <v>0</v>
      </c>
      <c r="Q492" s="389">
        <f t="shared" si="207"/>
        <v>0</v>
      </c>
      <c r="R492" s="389">
        <f t="shared" si="208"/>
        <v>0</v>
      </c>
      <c r="S492" s="389">
        <f t="shared" si="209"/>
        <v>0</v>
      </c>
      <c r="U492" s="389">
        <f t="shared" si="210"/>
        <v>0</v>
      </c>
      <c r="V492" s="389" t="b">
        <f t="shared" si="211"/>
        <v>0</v>
      </c>
      <c r="W492" s="389">
        <f t="shared" si="212"/>
        <v>0</v>
      </c>
      <c r="X492" s="389">
        <f t="shared" si="213"/>
        <v>0</v>
      </c>
      <c r="Y492" s="389">
        <f t="shared" si="231"/>
        <v>1.0999999999999999E-2</v>
      </c>
      <c r="Z492" s="389">
        <f t="shared" si="214"/>
        <v>1.0999999999999999E-2</v>
      </c>
      <c r="AA492" s="389">
        <f t="shared" si="215"/>
        <v>0</v>
      </c>
      <c r="AB492" s="389">
        <f t="shared" si="216"/>
        <v>1E-4</v>
      </c>
      <c r="AC492" s="389">
        <f t="shared" si="217"/>
        <v>1E-4</v>
      </c>
      <c r="AD492" s="389">
        <f t="shared" si="218"/>
        <v>0</v>
      </c>
      <c r="AE492" s="389">
        <f t="shared" si="219"/>
        <v>0</v>
      </c>
      <c r="AG492" s="311" t="str">
        <f t="shared" si="220"/>
        <v>-</v>
      </c>
      <c r="AH492" s="453" t="str">
        <f t="shared" si="221"/>
        <v/>
      </c>
      <c r="AI492" s="453" t="str">
        <f t="shared" si="222"/>
        <v/>
      </c>
      <c r="AJ492" t="str">
        <f t="array" ref="AJ492">IF(AND(AI492&gt;1,G492&lt;&gt;""),INDEX(FS_teams,MATCH(1,(FS_Keys=AG492)*(FS_Points=I492)*(FS_teams&lt;&gt;G492),0)),"")</f>
        <v/>
      </c>
      <c r="AK492" s="390" t="str">
        <f t="array" ref="AK492">IF(AJ492&lt;&gt;"",INDEX(TM_Score1,MATCH(1,(TM_Events=D492)*(TM_Participant1=G492)*(TM_Participant2=AJ492),0)),"")</f>
        <v/>
      </c>
      <c r="AL492" s="390" t="str">
        <f t="array" ref="AL492">IF(AJ492&lt;&gt;"",INDEX(TM_Score1,MATCH(1,(TM_Events=D492)*(TM_Participant1=AJ492)*(TM_Participant2=G492),0)),"")</f>
        <v/>
      </c>
      <c r="AM492" s="389" t="str">
        <f t="array" ref="AM492">IF(ISNUMBER(AK492),INDEX(TM_Score2,MATCH(1,(TM_Events=D492)*(TM_Participant1=G492)*(TM_Participant2=AJ492),0)),"")</f>
        <v/>
      </c>
      <c r="AN492" s="389" t="str">
        <f t="array" ref="AN492">IF(ISNUMBER(AL492),INDEX(TM_Score2,MATCH(1,(TM_Events=D492)*(TM_Participant1=AJ492)*(TM_Participant2=G492),0)),"")</f>
        <v/>
      </c>
      <c r="AO492" s="389" t="str">
        <f t="shared" si="223"/>
        <v/>
      </c>
      <c r="AP492" s="389">
        <f t="shared" si="224"/>
        <v>0</v>
      </c>
      <c r="AQ492" s="389">
        <f t="shared" si="225"/>
        <v>0</v>
      </c>
      <c r="AR492" s="389">
        <f t="shared" si="226"/>
        <v>0</v>
      </c>
      <c r="AS492" s="453">
        <f t="shared" si="227"/>
        <v>0</v>
      </c>
      <c r="AT492" s="452">
        <f t="shared" si="228"/>
        <v>0</v>
      </c>
    </row>
    <row r="493" spans="2:46" ht="16" x14ac:dyDescent="0.2">
      <c r="B493"/>
      <c r="H493" s="387" t="str">
        <f t="shared" si="203"/>
        <v>0-0-0</v>
      </c>
      <c r="I493" s="389">
        <f t="shared" si="204"/>
        <v>0</v>
      </c>
      <c r="J493" s="455" t="str">
        <f t="shared" si="229"/>
        <v/>
      </c>
      <c r="K493" s="455">
        <f t="shared" si="205"/>
        <v>0</v>
      </c>
      <c r="L493" s="455">
        <f t="shared" si="230"/>
        <v>0</v>
      </c>
      <c r="M493" s="389" t="str">
        <f>IFERROR(IF(AD493&lt;=VLOOKUP(D493,Tournaments!$A$1:$B$1772,2,FALSE),"TRUE","FALSE"),"")</f>
        <v/>
      </c>
      <c r="N493" s="389">
        <v>1</v>
      </c>
      <c r="O493" s="389">
        <f t="shared" si="206"/>
        <v>0</v>
      </c>
      <c r="Q493" s="389">
        <f t="shared" si="207"/>
        <v>0</v>
      </c>
      <c r="R493" s="389">
        <f t="shared" si="208"/>
        <v>0</v>
      </c>
      <c r="S493" s="389">
        <f t="shared" si="209"/>
        <v>0</v>
      </c>
      <c r="U493" s="389">
        <f t="shared" si="210"/>
        <v>0</v>
      </c>
      <c r="V493" s="389" t="b">
        <f t="shared" si="211"/>
        <v>0</v>
      </c>
      <c r="W493" s="389">
        <f t="shared" si="212"/>
        <v>0</v>
      </c>
      <c r="X493" s="389">
        <f t="shared" si="213"/>
        <v>0</v>
      </c>
      <c r="Y493" s="389">
        <f t="shared" si="231"/>
        <v>1.0999999999999999E-2</v>
      </c>
      <c r="Z493" s="389">
        <f t="shared" si="214"/>
        <v>1.0999999999999999E-2</v>
      </c>
      <c r="AA493" s="389">
        <f t="shared" si="215"/>
        <v>0</v>
      </c>
      <c r="AB493" s="389">
        <f t="shared" si="216"/>
        <v>1E-4</v>
      </c>
      <c r="AC493" s="389">
        <f t="shared" si="217"/>
        <v>1E-4</v>
      </c>
      <c r="AD493" s="389">
        <f t="shared" si="218"/>
        <v>0</v>
      </c>
      <c r="AE493" s="389">
        <f t="shared" si="219"/>
        <v>0</v>
      </c>
      <c r="AG493" s="311" t="str">
        <f t="shared" si="220"/>
        <v>-</v>
      </c>
      <c r="AH493" s="453" t="str">
        <f t="shared" si="221"/>
        <v/>
      </c>
      <c r="AI493" s="453" t="str">
        <f t="shared" si="222"/>
        <v/>
      </c>
      <c r="AJ493" t="str">
        <f t="array" ref="AJ493">IF(AND(AI493&gt;1,G493&lt;&gt;""),INDEX(FS_teams,MATCH(1,(FS_Keys=AG493)*(FS_Points=I493)*(FS_teams&lt;&gt;G493),0)),"")</f>
        <v/>
      </c>
      <c r="AK493" s="390" t="str">
        <f t="array" ref="AK493">IF(AJ493&lt;&gt;"",INDEX(TM_Score1,MATCH(1,(TM_Events=D493)*(TM_Participant1=G493)*(TM_Participant2=AJ493),0)),"")</f>
        <v/>
      </c>
      <c r="AL493" s="390" t="str">
        <f t="array" ref="AL493">IF(AJ493&lt;&gt;"",INDEX(TM_Score1,MATCH(1,(TM_Events=D493)*(TM_Participant1=AJ493)*(TM_Participant2=G493),0)),"")</f>
        <v/>
      </c>
      <c r="AM493" s="389" t="str">
        <f t="array" ref="AM493">IF(ISNUMBER(AK493),INDEX(TM_Score2,MATCH(1,(TM_Events=D493)*(TM_Participant1=G493)*(TM_Participant2=AJ493),0)),"")</f>
        <v/>
      </c>
      <c r="AN493" s="389" t="str">
        <f t="array" ref="AN493">IF(ISNUMBER(AL493),INDEX(TM_Score2,MATCH(1,(TM_Events=D493)*(TM_Participant1=AJ493)*(TM_Participant2=G493),0)),"")</f>
        <v/>
      </c>
      <c r="AO493" s="389" t="str">
        <f t="shared" si="223"/>
        <v/>
      </c>
      <c r="AP493" s="389">
        <f t="shared" si="224"/>
        <v>0</v>
      </c>
      <c r="AQ493" s="389">
        <f t="shared" si="225"/>
        <v>0</v>
      </c>
      <c r="AR493" s="389">
        <f t="shared" si="226"/>
        <v>0</v>
      </c>
      <c r="AS493" s="453">
        <f t="shared" si="227"/>
        <v>0</v>
      </c>
      <c r="AT493" s="452">
        <f t="shared" si="228"/>
        <v>0</v>
      </c>
    </row>
    <row r="494" spans="2:46" ht="16" x14ac:dyDescent="0.2">
      <c r="B494"/>
      <c r="H494" s="387" t="str">
        <f t="shared" si="203"/>
        <v>0-0-0</v>
      </c>
      <c r="I494" s="389">
        <f t="shared" si="204"/>
        <v>0</v>
      </c>
      <c r="J494" s="455" t="str">
        <f t="shared" si="229"/>
        <v/>
      </c>
      <c r="K494" s="455">
        <f t="shared" si="205"/>
        <v>0</v>
      </c>
      <c r="L494" s="455">
        <f t="shared" si="230"/>
        <v>0</v>
      </c>
      <c r="M494" s="389" t="str">
        <f>IFERROR(IF(AD494&lt;=VLOOKUP(D494,Tournaments!$A$1:$B$1772,2,FALSE),"TRUE","FALSE"),"")</f>
        <v/>
      </c>
      <c r="N494" s="389">
        <v>1</v>
      </c>
      <c r="O494" s="389">
        <f t="shared" si="206"/>
        <v>0</v>
      </c>
      <c r="Q494" s="389">
        <f t="shared" si="207"/>
        <v>0</v>
      </c>
      <c r="R494" s="389">
        <f t="shared" si="208"/>
        <v>0</v>
      </c>
      <c r="S494" s="389">
        <f t="shared" si="209"/>
        <v>0</v>
      </c>
      <c r="U494" s="389">
        <f t="shared" si="210"/>
        <v>0</v>
      </c>
      <c r="V494" s="389" t="b">
        <f t="shared" si="211"/>
        <v>0</v>
      </c>
      <c r="W494" s="389">
        <f t="shared" si="212"/>
        <v>0</v>
      </c>
      <c r="X494" s="389">
        <f t="shared" si="213"/>
        <v>0</v>
      </c>
      <c r="Y494" s="389">
        <f t="shared" si="231"/>
        <v>1.0999999999999999E-2</v>
      </c>
      <c r="Z494" s="389">
        <f t="shared" si="214"/>
        <v>1.0999999999999999E-2</v>
      </c>
      <c r="AA494" s="389">
        <f t="shared" si="215"/>
        <v>0</v>
      </c>
      <c r="AB494" s="389">
        <f t="shared" si="216"/>
        <v>1E-4</v>
      </c>
      <c r="AC494" s="389">
        <f t="shared" si="217"/>
        <v>1E-4</v>
      </c>
      <c r="AD494" s="389">
        <f t="shared" si="218"/>
        <v>0</v>
      </c>
      <c r="AE494" s="389">
        <f t="shared" si="219"/>
        <v>0</v>
      </c>
      <c r="AG494" s="311" t="str">
        <f t="shared" si="220"/>
        <v>-</v>
      </c>
      <c r="AH494" s="453" t="str">
        <f t="shared" si="221"/>
        <v/>
      </c>
      <c r="AI494" s="453" t="str">
        <f t="shared" si="222"/>
        <v/>
      </c>
      <c r="AJ494" t="str">
        <f t="array" ref="AJ494">IF(AND(AI494&gt;1,G494&lt;&gt;""),INDEX(FS_teams,MATCH(1,(FS_Keys=AG494)*(FS_Points=I494)*(FS_teams&lt;&gt;G494),0)),"")</f>
        <v/>
      </c>
      <c r="AK494" s="390" t="str">
        <f t="array" ref="AK494">IF(AJ494&lt;&gt;"",INDEX(TM_Score1,MATCH(1,(TM_Events=D494)*(TM_Participant1=G494)*(TM_Participant2=AJ494),0)),"")</f>
        <v/>
      </c>
      <c r="AL494" s="390" t="str">
        <f t="array" ref="AL494">IF(AJ494&lt;&gt;"",INDEX(TM_Score1,MATCH(1,(TM_Events=D494)*(TM_Participant1=AJ494)*(TM_Participant2=G494),0)),"")</f>
        <v/>
      </c>
      <c r="AM494" s="389" t="str">
        <f t="array" ref="AM494">IF(ISNUMBER(AK494),INDEX(TM_Score2,MATCH(1,(TM_Events=D494)*(TM_Participant1=G494)*(TM_Participant2=AJ494),0)),"")</f>
        <v/>
      </c>
      <c r="AN494" s="389" t="str">
        <f t="array" ref="AN494">IF(ISNUMBER(AL494),INDEX(TM_Score2,MATCH(1,(TM_Events=D494)*(TM_Participant1=AJ494)*(TM_Participant2=G494),0)),"")</f>
        <v/>
      </c>
      <c r="AO494" s="389" t="str">
        <f t="shared" si="223"/>
        <v/>
      </c>
      <c r="AP494" s="389">
        <f t="shared" si="224"/>
        <v>0</v>
      </c>
      <c r="AQ494" s="389">
        <f t="shared" si="225"/>
        <v>0</v>
      </c>
      <c r="AR494" s="389">
        <f t="shared" si="226"/>
        <v>0</v>
      </c>
      <c r="AS494" s="453">
        <f t="shared" si="227"/>
        <v>0</v>
      </c>
      <c r="AT494" s="452">
        <f t="shared" si="228"/>
        <v>0</v>
      </c>
    </row>
    <row r="495" spans="2:46" ht="16" x14ac:dyDescent="0.2">
      <c r="B495"/>
      <c r="H495" s="387" t="str">
        <f t="shared" si="203"/>
        <v>0-0-0</v>
      </c>
      <c r="I495" s="389">
        <f t="shared" si="204"/>
        <v>0</v>
      </c>
      <c r="J495" s="455" t="str">
        <f t="shared" si="229"/>
        <v/>
      </c>
      <c r="K495" s="455">
        <f t="shared" si="205"/>
        <v>0</v>
      </c>
      <c r="L495" s="455">
        <f t="shared" si="230"/>
        <v>0</v>
      </c>
      <c r="M495" s="389" t="str">
        <f>IFERROR(IF(AD495&lt;=VLOOKUP(D495,Tournaments!$A$1:$B$1772,2,FALSE),"TRUE","FALSE"),"")</f>
        <v/>
      </c>
      <c r="N495" s="389">
        <v>1</v>
      </c>
      <c r="O495" s="389">
        <f t="shared" si="206"/>
        <v>0</v>
      </c>
      <c r="Q495" s="389">
        <f t="shared" si="207"/>
        <v>0</v>
      </c>
      <c r="R495" s="389">
        <f t="shared" si="208"/>
        <v>0</v>
      </c>
      <c r="S495" s="389">
        <f t="shared" si="209"/>
        <v>0</v>
      </c>
      <c r="U495" s="389">
        <f t="shared" si="210"/>
        <v>0</v>
      </c>
      <c r="V495" s="389" t="b">
        <f t="shared" si="211"/>
        <v>0</v>
      </c>
      <c r="W495" s="389">
        <f t="shared" si="212"/>
        <v>0</v>
      </c>
      <c r="X495" s="389">
        <f t="shared" si="213"/>
        <v>0</v>
      </c>
      <c r="Y495" s="389">
        <f t="shared" si="231"/>
        <v>1.0999999999999999E-2</v>
      </c>
      <c r="Z495" s="389">
        <f t="shared" si="214"/>
        <v>1.0999999999999999E-2</v>
      </c>
      <c r="AA495" s="389">
        <f t="shared" si="215"/>
        <v>0</v>
      </c>
      <c r="AB495" s="389">
        <f t="shared" si="216"/>
        <v>1E-4</v>
      </c>
      <c r="AC495" s="389">
        <f t="shared" si="217"/>
        <v>1E-4</v>
      </c>
      <c r="AD495" s="389">
        <f t="shared" si="218"/>
        <v>0</v>
      </c>
      <c r="AE495" s="389">
        <f t="shared" si="219"/>
        <v>0</v>
      </c>
      <c r="AG495" s="311" t="str">
        <f t="shared" si="220"/>
        <v>-</v>
      </c>
      <c r="AH495" s="453" t="str">
        <f t="shared" si="221"/>
        <v/>
      </c>
      <c r="AI495" s="453" t="str">
        <f t="shared" si="222"/>
        <v/>
      </c>
      <c r="AJ495" t="str">
        <f t="array" ref="AJ495">IF(AND(AI495&gt;1,G495&lt;&gt;""),INDEX(FS_teams,MATCH(1,(FS_Keys=AG495)*(FS_Points=I495)*(FS_teams&lt;&gt;G495),0)),"")</f>
        <v/>
      </c>
      <c r="AK495" s="390" t="str">
        <f t="array" ref="AK495">IF(AJ495&lt;&gt;"",INDEX(TM_Score1,MATCH(1,(TM_Events=D495)*(TM_Participant1=G495)*(TM_Participant2=AJ495),0)),"")</f>
        <v/>
      </c>
      <c r="AL495" s="390" t="str">
        <f t="array" ref="AL495">IF(AJ495&lt;&gt;"",INDEX(TM_Score1,MATCH(1,(TM_Events=D495)*(TM_Participant1=AJ495)*(TM_Participant2=G495),0)),"")</f>
        <v/>
      </c>
      <c r="AM495" s="389" t="str">
        <f t="array" ref="AM495">IF(ISNUMBER(AK495),INDEX(TM_Score2,MATCH(1,(TM_Events=D495)*(TM_Participant1=G495)*(TM_Participant2=AJ495),0)),"")</f>
        <v/>
      </c>
      <c r="AN495" s="389" t="str">
        <f t="array" ref="AN495">IF(ISNUMBER(AL495),INDEX(TM_Score2,MATCH(1,(TM_Events=D495)*(TM_Participant1=AJ495)*(TM_Participant2=G495),0)),"")</f>
        <v/>
      </c>
      <c r="AO495" s="389" t="str">
        <f t="shared" si="223"/>
        <v/>
      </c>
      <c r="AP495" s="389">
        <f t="shared" si="224"/>
        <v>0</v>
      </c>
      <c r="AQ495" s="389">
        <f t="shared" si="225"/>
        <v>0</v>
      </c>
      <c r="AR495" s="389">
        <f t="shared" si="226"/>
        <v>0</v>
      </c>
      <c r="AS495" s="453">
        <f t="shared" si="227"/>
        <v>0</v>
      </c>
      <c r="AT495" s="452">
        <f t="shared" si="228"/>
        <v>0</v>
      </c>
    </row>
    <row r="496" spans="2:46" ht="16" x14ac:dyDescent="0.2">
      <c r="B496"/>
      <c r="H496" s="387" t="str">
        <f t="shared" si="203"/>
        <v>0-0-0</v>
      </c>
      <c r="I496" s="389">
        <f t="shared" si="204"/>
        <v>0</v>
      </c>
      <c r="J496" s="455" t="str">
        <f t="shared" si="229"/>
        <v/>
      </c>
      <c r="K496" s="455">
        <f t="shared" si="205"/>
        <v>0</v>
      </c>
      <c r="L496" s="455">
        <f t="shared" si="230"/>
        <v>0</v>
      </c>
      <c r="M496" s="389" t="str">
        <f>IFERROR(IF(AD496&lt;=VLOOKUP(D496,Tournaments!$A$1:$B$1772,2,FALSE),"TRUE","FALSE"),"")</f>
        <v/>
      </c>
      <c r="N496" s="389">
        <v>1</v>
      </c>
      <c r="O496" s="389">
        <f t="shared" si="206"/>
        <v>0</v>
      </c>
      <c r="Q496" s="389">
        <f t="shared" si="207"/>
        <v>0</v>
      </c>
      <c r="R496" s="389">
        <f t="shared" si="208"/>
        <v>0</v>
      </c>
      <c r="S496" s="389">
        <f t="shared" si="209"/>
        <v>0</v>
      </c>
      <c r="U496" s="389">
        <f t="shared" si="210"/>
        <v>0</v>
      </c>
      <c r="V496" s="389" t="b">
        <f t="shared" si="211"/>
        <v>0</v>
      </c>
      <c r="W496" s="389">
        <f t="shared" si="212"/>
        <v>0</v>
      </c>
      <c r="X496" s="389">
        <f t="shared" si="213"/>
        <v>0</v>
      </c>
      <c r="Y496" s="389">
        <f t="shared" si="231"/>
        <v>1.0999999999999999E-2</v>
      </c>
      <c r="Z496" s="389">
        <f t="shared" si="214"/>
        <v>1.0999999999999999E-2</v>
      </c>
      <c r="AA496" s="389">
        <f t="shared" si="215"/>
        <v>0</v>
      </c>
      <c r="AB496" s="389">
        <f t="shared" si="216"/>
        <v>1E-4</v>
      </c>
      <c r="AC496" s="389">
        <f t="shared" si="217"/>
        <v>1E-4</v>
      </c>
      <c r="AD496" s="389">
        <f t="shared" si="218"/>
        <v>0</v>
      </c>
      <c r="AE496" s="389">
        <f t="shared" si="219"/>
        <v>0</v>
      </c>
      <c r="AG496" s="311" t="str">
        <f t="shared" si="220"/>
        <v>-</v>
      </c>
      <c r="AH496" s="453" t="str">
        <f t="shared" si="221"/>
        <v/>
      </c>
      <c r="AI496" s="453" t="str">
        <f t="shared" si="222"/>
        <v/>
      </c>
      <c r="AJ496" t="str">
        <f t="array" ref="AJ496">IF(AND(AI496&gt;1,G496&lt;&gt;""),INDEX(FS_teams,MATCH(1,(FS_Keys=AG496)*(FS_Points=I496)*(FS_teams&lt;&gt;G496),0)),"")</f>
        <v/>
      </c>
      <c r="AK496" s="390" t="str">
        <f t="array" ref="AK496">IF(AJ496&lt;&gt;"",INDEX(TM_Score1,MATCH(1,(TM_Events=D496)*(TM_Participant1=G496)*(TM_Participant2=AJ496),0)),"")</f>
        <v/>
      </c>
      <c r="AL496" s="390" t="str">
        <f t="array" ref="AL496">IF(AJ496&lt;&gt;"",INDEX(TM_Score1,MATCH(1,(TM_Events=D496)*(TM_Participant1=AJ496)*(TM_Participant2=G496),0)),"")</f>
        <v/>
      </c>
      <c r="AM496" s="389" t="str">
        <f t="array" ref="AM496">IF(ISNUMBER(AK496),INDEX(TM_Score2,MATCH(1,(TM_Events=D496)*(TM_Participant1=G496)*(TM_Participant2=AJ496),0)),"")</f>
        <v/>
      </c>
      <c r="AN496" s="389" t="str">
        <f t="array" ref="AN496">IF(ISNUMBER(AL496),INDEX(TM_Score2,MATCH(1,(TM_Events=D496)*(TM_Participant1=AJ496)*(TM_Participant2=G496),0)),"")</f>
        <v/>
      </c>
      <c r="AO496" s="389" t="str">
        <f t="shared" si="223"/>
        <v/>
      </c>
      <c r="AP496" s="389">
        <f t="shared" si="224"/>
        <v>0</v>
      </c>
      <c r="AQ496" s="389">
        <f t="shared" si="225"/>
        <v>0</v>
      </c>
      <c r="AR496" s="389">
        <f t="shared" si="226"/>
        <v>0</v>
      </c>
      <c r="AS496" s="453">
        <f t="shared" si="227"/>
        <v>0</v>
      </c>
      <c r="AT496" s="452">
        <f t="shared" si="228"/>
        <v>0</v>
      </c>
    </row>
    <row r="497" spans="2:46" ht="16" x14ac:dyDescent="0.2">
      <c r="B497"/>
      <c r="H497" s="387" t="str">
        <f t="shared" si="203"/>
        <v>0-0-0</v>
      </c>
      <c r="I497" s="389">
        <f t="shared" si="204"/>
        <v>0</v>
      </c>
      <c r="J497" s="455" t="str">
        <f t="shared" si="229"/>
        <v/>
      </c>
      <c r="K497" s="455">
        <f t="shared" si="205"/>
        <v>0</v>
      </c>
      <c r="L497" s="455">
        <f t="shared" si="230"/>
        <v>0</v>
      </c>
      <c r="M497" s="389" t="str">
        <f>IFERROR(IF(AD497&lt;=VLOOKUP(D497,Tournaments!$A$1:$B$1772,2,FALSE),"TRUE","FALSE"),"")</f>
        <v/>
      </c>
      <c r="N497" s="389">
        <v>1</v>
      </c>
      <c r="O497" s="389">
        <f t="shared" si="206"/>
        <v>0</v>
      </c>
      <c r="Q497" s="389">
        <f t="shared" si="207"/>
        <v>0</v>
      </c>
      <c r="R497" s="389">
        <f t="shared" si="208"/>
        <v>0</v>
      </c>
      <c r="S497" s="389">
        <f t="shared" si="209"/>
        <v>0</v>
      </c>
      <c r="U497" s="389">
        <f t="shared" si="210"/>
        <v>0</v>
      </c>
      <c r="V497" s="389" t="b">
        <f t="shared" si="211"/>
        <v>0</v>
      </c>
      <c r="W497" s="389">
        <f t="shared" si="212"/>
        <v>0</v>
      </c>
      <c r="X497" s="389">
        <f t="shared" si="213"/>
        <v>0</v>
      </c>
      <c r="Y497" s="389">
        <f t="shared" si="231"/>
        <v>1.0999999999999999E-2</v>
      </c>
      <c r="Z497" s="389">
        <f t="shared" si="214"/>
        <v>1.0999999999999999E-2</v>
      </c>
      <c r="AA497" s="389">
        <f t="shared" si="215"/>
        <v>0</v>
      </c>
      <c r="AB497" s="389">
        <f t="shared" si="216"/>
        <v>1E-4</v>
      </c>
      <c r="AC497" s="389">
        <f t="shared" si="217"/>
        <v>1E-4</v>
      </c>
      <c r="AD497" s="389">
        <f t="shared" si="218"/>
        <v>0</v>
      </c>
      <c r="AE497" s="389">
        <f t="shared" si="219"/>
        <v>0</v>
      </c>
      <c r="AG497" s="311" t="str">
        <f t="shared" si="220"/>
        <v>-</v>
      </c>
      <c r="AH497" s="453" t="str">
        <f t="shared" si="221"/>
        <v/>
      </c>
      <c r="AI497" s="453" t="str">
        <f t="shared" si="222"/>
        <v/>
      </c>
      <c r="AJ497" t="str">
        <f t="array" ref="AJ497">IF(AND(AI497&gt;1,G497&lt;&gt;""),INDEX(FS_teams,MATCH(1,(FS_Keys=AG497)*(FS_Points=I497)*(FS_teams&lt;&gt;G497),0)),"")</f>
        <v/>
      </c>
      <c r="AK497" s="390" t="str">
        <f t="array" ref="AK497">IF(AJ497&lt;&gt;"",INDEX(TM_Score1,MATCH(1,(TM_Events=D497)*(TM_Participant1=G497)*(TM_Participant2=AJ497),0)),"")</f>
        <v/>
      </c>
      <c r="AL497" s="390" t="str">
        <f t="array" ref="AL497">IF(AJ497&lt;&gt;"",INDEX(TM_Score1,MATCH(1,(TM_Events=D497)*(TM_Participant1=AJ497)*(TM_Participant2=G497),0)),"")</f>
        <v/>
      </c>
      <c r="AM497" s="389" t="str">
        <f t="array" ref="AM497">IF(ISNUMBER(AK497),INDEX(TM_Score2,MATCH(1,(TM_Events=D497)*(TM_Participant1=G497)*(TM_Participant2=AJ497),0)),"")</f>
        <v/>
      </c>
      <c r="AN497" s="389" t="str">
        <f t="array" ref="AN497">IF(ISNUMBER(AL497),INDEX(TM_Score2,MATCH(1,(TM_Events=D497)*(TM_Participant1=AJ497)*(TM_Participant2=G497),0)),"")</f>
        <v/>
      </c>
      <c r="AO497" s="389" t="str">
        <f t="shared" si="223"/>
        <v/>
      </c>
      <c r="AP497" s="389">
        <f t="shared" si="224"/>
        <v>0</v>
      </c>
      <c r="AQ497" s="389">
        <f t="shared" si="225"/>
        <v>0</v>
      </c>
      <c r="AR497" s="389">
        <f t="shared" si="226"/>
        <v>0</v>
      </c>
      <c r="AS497" s="453">
        <f t="shared" si="227"/>
        <v>0</v>
      </c>
      <c r="AT497" s="452">
        <f t="shared" si="228"/>
        <v>0</v>
      </c>
    </row>
    <row r="498" spans="2:46" ht="16" x14ac:dyDescent="0.2">
      <c r="B498"/>
      <c r="H498" s="387" t="str">
        <f t="shared" si="203"/>
        <v>0-0-0</v>
      </c>
      <c r="I498" s="389">
        <f t="shared" si="204"/>
        <v>0</v>
      </c>
      <c r="J498" s="455" t="str">
        <f t="shared" si="229"/>
        <v/>
      </c>
      <c r="K498" s="455">
        <f t="shared" si="205"/>
        <v>0</v>
      </c>
      <c r="L498" s="455">
        <f t="shared" si="230"/>
        <v>0</v>
      </c>
      <c r="M498" s="389" t="str">
        <f>IFERROR(IF(AD498&lt;=VLOOKUP(D498,Tournaments!$A$1:$B$1772,2,FALSE),"TRUE","FALSE"),"")</f>
        <v/>
      </c>
      <c r="N498" s="389">
        <v>1</v>
      </c>
      <c r="O498" s="389">
        <f t="shared" si="206"/>
        <v>0</v>
      </c>
      <c r="Q498" s="389">
        <f t="shared" si="207"/>
        <v>0</v>
      </c>
      <c r="R498" s="389">
        <f t="shared" si="208"/>
        <v>0</v>
      </c>
      <c r="S498" s="389">
        <f t="shared" si="209"/>
        <v>0</v>
      </c>
      <c r="U498" s="389">
        <f t="shared" si="210"/>
        <v>0</v>
      </c>
      <c r="V498" s="389" t="b">
        <f t="shared" si="211"/>
        <v>0</v>
      </c>
      <c r="W498" s="389">
        <f t="shared" si="212"/>
        <v>0</v>
      </c>
      <c r="X498" s="389">
        <f t="shared" si="213"/>
        <v>0</v>
      </c>
      <c r="Y498" s="389">
        <f t="shared" si="231"/>
        <v>1.0999999999999999E-2</v>
      </c>
      <c r="Z498" s="389">
        <f t="shared" si="214"/>
        <v>1.0999999999999999E-2</v>
      </c>
      <c r="AA498" s="389">
        <f t="shared" si="215"/>
        <v>0</v>
      </c>
      <c r="AB498" s="389">
        <f t="shared" si="216"/>
        <v>1E-4</v>
      </c>
      <c r="AC498" s="389">
        <f t="shared" si="217"/>
        <v>1E-4</v>
      </c>
      <c r="AD498" s="389">
        <f t="shared" si="218"/>
        <v>0</v>
      </c>
      <c r="AE498" s="389">
        <f t="shared" si="219"/>
        <v>0</v>
      </c>
      <c r="AG498" s="311" t="str">
        <f t="shared" si="220"/>
        <v>-</v>
      </c>
      <c r="AH498" s="453" t="str">
        <f t="shared" si="221"/>
        <v/>
      </c>
      <c r="AI498" s="453" t="str">
        <f t="shared" si="222"/>
        <v/>
      </c>
      <c r="AJ498" t="str">
        <f t="array" ref="AJ498">IF(AND(AI498&gt;1,G498&lt;&gt;""),INDEX(FS_teams,MATCH(1,(FS_Keys=AG498)*(FS_Points=I498)*(FS_teams&lt;&gt;G498),0)),"")</f>
        <v/>
      </c>
      <c r="AK498" s="390" t="str">
        <f t="array" ref="AK498">IF(AJ498&lt;&gt;"",INDEX(TM_Score1,MATCH(1,(TM_Events=D498)*(TM_Participant1=G498)*(TM_Participant2=AJ498),0)),"")</f>
        <v/>
      </c>
      <c r="AL498" s="390" t="str">
        <f t="array" ref="AL498">IF(AJ498&lt;&gt;"",INDEX(TM_Score1,MATCH(1,(TM_Events=D498)*(TM_Participant1=AJ498)*(TM_Participant2=G498),0)),"")</f>
        <v/>
      </c>
      <c r="AM498" s="389" t="str">
        <f t="array" ref="AM498">IF(ISNUMBER(AK498),INDEX(TM_Score2,MATCH(1,(TM_Events=D498)*(TM_Participant1=G498)*(TM_Participant2=AJ498),0)),"")</f>
        <v/>
      </c>
      <c r="AN498" s="389" t="str">
        <f t="array" ref="AN498">IF(ISNUMBER(AL498),INDEX(TM_Score2,MATCH(1,(TM_Events=D498)*(TM_Participant1=AJ498)*(TM_Participant2=G498),0)),"")</f>
        <v/>
      </c>
      <c r="AO498" s="389" t="str">
        <f t="shared" si="223"/>
        <v/>
      </c>
      <c r="AP498" s="389">
        <f t="shared" si="224"/>
        <v>0</v>
      </c>
      <c r="AQ498" s="389">
        <f t="shared" si="225"/>
        <v>0</v>
      </c>
      <c r="AR498" s="389">
        <f t="shared" si="226"/>
        <v>0</v>
      </c>
      <c r="AS498" s="453">
        <f t="shared" si="227"/>
        <v>0</v>
      </c>
      <c r="AT498" s="452">
        <f t="shared" si="228"/>
        <v>0</v>
      </c>
    </row>
    <row r="499" spans="2:46" ht="16" x14ac:dyDescent="0.2">
      <c r="B499"/>
      <c r="H499" s="387" t="str">
        <f t="shared" si="203"/>
        <v>0-0-0</v>
      </c>
      <c r="I499" s="389">
        <f t="shared" si="204"/>
        <v>0</v>
      </c>
      <c r="J499" s="455" t="str">
        <f t="shared" si="229"/>
        <v/>
      </c>
      <c r="K499" s="455">
        <f t="shared" si="205"/>
        <v>0</v>
      </c>
      <c r="L499" s="455">
        <f t="shared" si="230"/>
        <v>0</v>
      </c>
      <c r="M499" s="389" t="str">
        <f>IFERROR(IF(AD499&lt;=VLOOKUP(D499,Tournaments!$A$1:$B$1772,2,FALSE),"TRUE","FALSE"),"")</f>
        <v/>
      </c>
      <c r="N499" s="389">
        <v>1</v>
      </c>
      <c r="O499" s="389">
        <f t="shared" si="206"/>
        <v>0</v>
      </c>
      <c r="Q499" s="389">
        <f t="shared" si="207"/>
        <v>0</v>
      </c>
      <c r="R499" s="389">
        <f t="shared" si="208"/>
        <v>0</v>
      </c>
      <c r="S499" s="389">
        <f t="shared" si="209"/>
        <v>0</v>
      </c>
      <c r="U499" s="389">
        <f t="shared" si="210"/>
        <v>0</v>
      </c>
      <c r="V499" s="389" t="b">
        <f t="shared" si="211"/>
        <v>0</v>
      </c>
      <c r="W499" s="389">
        <f t="shared" si="212"/>
        <v>0</v>
      </c>
      <c r="X499" s="389">
        <f t="shared" si="213"/>
        <v>0</v>
      </c>
      <c r="Y499" s="389">
        <f t="shared" si="231"/>
        <v>1.0999999999999999E-2</v>
      </c>
      <c r="Z499" s="389">
        <f t="shared" si="214"/>
        <v>1.0999999999999999E-2</v>
      </c>
      <c r="AA499" s="389">
        <f t="shared" si="215"/>
        <v>0</v>
      </c>
      <c r="AB499" s="389">
        <f t="shared" si="216"/>
        <v>1E-4</v>
      </c>
      <c r="AC499" s="389">
        <f t="shared" si="217"/>
        <v>1E-4</v>
      </c>
      <c r="AD499" s="389">
        <f t="shared" si="218"/>
        <v>0</v>
      </c>
      <c r="AE499" s="389">
        <f t="shared" si="219"/>
        <v>0</v>
      </c>
      <c r="AG499" s="311" t="str">
        <f t="shared" si="220"/>
        <v>-</v>
      </c>
      <c r="AH499" s="453" t="str">
        <f t="shared" si="221"/>
        <v/>
      </c>
      <c r="AI499" s="453" t="str">
        <f t="shared" si="222"/>
        <v/>
      </c>
      <c r="AJ499" t="str">
        <f t="array" ref="AJ499">IF(AND(AI499&gt;1,G499&lt;&gt;""),INDEX(FS_teams,MATCH(1,(FS_Keys=AG499)*(FS_Points=I499)*(FS_teams&lt;&gt;G499),0)),"")</f>
        <v/>
      </c>
      <c r="AK499" s="390" t="str">
        <f t="array" ref="AK499">IF(AJ499&lt;&gt;"",INDEX(TM_Score1,MATCH(1,(TM_Events=D499)*(TM_Participant1=G499)*(TM_Participant2=AJ499),0)),"")</f>
        <v/>
      </c>
      <c r="AL499" s="390" t="str">
        <f t="array" ref="AL499">IF(AJ499&lt;&gt;"",INDEX(TM_Score1,MATCH(1,(TM_Events=D499)*(TM_Participant1=AJ499)*(TM_Participant2=G499),0)),"")</f>
        <v/>
      </c>
      <c r="AM499" s="389" t="str">
        <f t="array" ref="AM499">IF(ISNUMBER(AK499),INDEX(TM_Score2,MATCH(1,(TM_Events=D499)*(TM_Participant1=G499)*(TM_Participant2=AJ499),0)),"")</f>
        <v/>
      </c>
      <c r="AN499" s="389" t="str">
        <f t="array" ref="AN499">IF(ISNUMBER(AL499),INDEX(TM_Score2,MATCH(1,(TM_Events=D499)*(TM_Participant1=AJ499)*(TM_Participant2=G499),0)),"")</f>
        <v/>
      </c>
      <c r="AO499" s="389" t="str">
        <f t="shared" si="223"/>
        <v/>
      </c>
      <c r="AP499" s="389">
        <f t="shared" si="224"/>
        <v>0</v>
      </c>
      <c r="AQ499" s="389">
        <f t="shared" si="225"/>
        <v>0</v>
      </c>
      <c r="AR499" s="389">
        <f t="shared" si="226"/>
        <v>0</v>
      </c>
      <c r="AS499" s="453">
        <f t="shared" si="227"/>
        <v>0</v>
      </c>
      <c r="AT499" s="452">
        <f t="shared" si="228"/>
        <v>0</v>
      </c>
    </row>
    <row r="500" spans="2:46" ht="16" x14ac:dyDescent="0.2">
      <c r="B500"/>
      <c r="H500" s="387" t="str">
        <f t="shared" si="203"/>
        <v>0-0-0</v>
      </c>
      <c r="I500" s="389">
        <f t="shared" si="204"/>
        <v>0</v>
      </c>
      <c r="J500" s="455" t="str">
        <f t="shared" si="229"/>
        <v/>
      </c>
      <c r="K500" s="455">
        <f t="shared" si="205"/>
        <v>0</v>
      </c>
      <c r="L500" s="455">
        <f t="shared" si="230"/>
        <v>0</v>
      </c>
      <c r="M500" s="389" t="str">
        <f>IFERROR(IF(AD500&lt;=VLOOKUP(D500,Tournaments!$A$1:$B$1772,2,FALSE),"TRUE","FALSE"),"")</f>
        <v/>
      </c>
      <c r="N500" s="389">
        <v>1</v>
      </c>
      <c r="O500" s="389">
        <f t="shared" si="206"/>
        <v>0</v>
      </c>
      <c r="Q500" s="389">
        <f t="shared" si="207"/>
        <v>0</v>
      </c>
      <c r="R500" s="389">
        <f t="shared" si="208"/>
        <v>0</v>
      </c>
      <c r="S500" s="389">
        <f t="shared" si="209"/>
        <v>0</v>
      </c>
      <c r="U500" s="389">
        <f t="shared" si="210"/>
        <v>0</v>
      </c>
      <c r="V500" s="389" t="b">
        <f t="shared" si="211"/>
        <v>0</v>
      </c>
      <c r="W500" s="389">
        <f t="shared" si="212"/>
        <v>0</v>
      </c>
      <c r="X500" s="389">
        <f t="shared" si="213"/>
        <v>0</v>
      </c>
      <c r="Y500" s="389">
        <f t="shared" si="231"/>
        <v>1.0999999999999999E-2</v>
      </c>
      <c r="Z500" s="389">
        <f t="shared" si="214"/>
        <v>1.0999999999999999E-2</v>
      </c>
      <c r="AA500" s="389">
        <f t="shared" si="215"/>
        <v>0</v>
      </c>
      <c r="AB500" s="389">
        <f t="shared" si="216"/>
        <v>1E-4</v>
      </c>
      <c r="AC500" s="389">
        <f t="shared" si="217"/>
        <v>1E-4</v>
      </c>
      <c r="AD500" s="389">
        <f t="shared" si="218"/>
        <v>0</v>
      </c>
      <c r="AE500" s="389">
        <f t="shared" si="219"/>
        <v>0</v>
      </c>
      <c r="AG500" s="311" t="str">
        <f t="shared" si="220"/>
        <v>-</v>
      </c>
      <c r="AH500" s="453" t="str">
        <f t="shared" si="221"/>
        <v/>
      </c>
      <c r="AI500" s="453" t="str">
        <f t="shared" si="222"/>
        <v/>
      </c>
      <c r="AJ500" t="str">
        <f t="array" ref="AJ500">IF(AND(AI500&gt;1,G500&lt;&gt;""),INDEX(FS_teams,MATCH(1,(FS_Keys=AG500)*(FS_Points=I500)*(FS_teams&lt;&gt;G500),0)),"")</f>
        <v/>
      </c>
      <c r="AK500" s="390" t="str">
        <f t="array" ref="AK500">IF(AJ500&lt;&gt;"",INDEX(TM_Score1,MATCH(1,(TM_Events=D500)*(TM_Participant1=G500)*(TM_Participant2=AJ500),0)),"")</f>
        <v/>
      </c>
      <c r="AL500" s="390" t="str">
        <f t="array" ref="AL500">IF(AJ500&lt;&gt;"",INDEX(TM_Score1,MATCH(1,(TM_Events=D500)*(TM_Participant1=AJ500)*(TM_Participant2=G500),0)),"")</f>
        <v/>
      </c>
      <c r="AM500" s="389" t="str">
        <f t="array" ref="AM500">IF(ISNUMBER(AK500),INDEX(TM_Score2,MATCH(1,(TM_Events=D500)*(TM_Participant1=G500)*(TM_Participant2=AJ500),0)),"")</f>
        <v/>
      </c>
      <c r="AN500" s="389" t="str">
        <f t="array" ref="AN500">IF(ISNUMBER(AL500),INDEX(TM_Score2,MATCH(1,(TM_Events=D500)*(TM_Participant1=AJ500)*(TM_Participant2=G500),0)),"")</f>
        <v/>
      </c>
      <c r="AO500" s="389" t="str">
        <f t="shared" si="223"/>
        <v/>
      </c>
      <c r="AP500" s="389">
        <f t="shared" si="224"/>
        <v>0</v>
      </c>
      <c r="AQ500" s="389">
        <f t="shared" si="225"/>
        <v>0</v>
      </c>
      <c r="AR500" s="389">
        <f t="shared" si="226"/>
        <v>0</v>
      </c>
      <c r="AS500" s="453">
        <f t="shared" si="227"/>
        <v>0</v>
      </c>
      <c r="AT500" s="452">
        <f t="shared" si="228"/>
        <v>0</v>
      </c>
    </row>
    <row r="501" spans="2:46" ht="16" x14ac:dyDescent="0.2">
      <c r="B501"/>
      <c r="H501" s="387" t="str">
        <f t="shared" si="203"/>
        <v>0-0-0</v>
      </c>
      <c r="I501" s="389">
        <f t="shared" si="204"/>
        <v>0</v>
      </c>
      <c r="J501" s="455" t="str">
        <f t="shared" si="229"/>
        <v/>
      </c>
      <c r="K501" s="455">
        <f t="shared" si="205"/>
        <v>0</v>
      </c>
      <c r="L501" s="455">
        <f t="shared" si="230"/>
        <v>0</v>
      </c>
      <c r="M501" s="389" t="str">
        <f>IFERROR(IF(AD501&lt;=VLOOKUP(D501,Tournaments!$A$1:$B$1772,2,FALSE),"TRUE","FALSE"),"")</f>
        <v/>
      </c>
      <c r="N501" s="389">
        <v>1</v>
      </c>
      <c r="O501" s="389">
        <f t="shared" si="206"/>
        <v>0</v>
      </c>
      <c r="Q501" s="389">
        <f t="shared" si="207"/>
        <v>0</v>
      </c>
      <c r="R501" s="389">
        <f t="shared" si="208"/>
        <v>0</v>
      </c>
      <c r="S501" s="389">
        <f t="shared" si="209"/>
        <v>0</v>
      </c>
      <c r="U501" s="389">
        <f t="shared" si="210"/>
        <v>0</v>
      </c>
      <c r="V501" s="389" t="b">
        <f t="shared" si="211"/>
        <v>0</v>
      </c>
      <c r="W501" s="389">
        <f t="shared" si="212"/>
        <v>0</v>
      </c>
      <c r="X501" s="389">
        <f t="shared" si="213"/>
        <v>0</v>
      </c>
      <c r="Y501" s="389">
        <f t="shared" si="231"/>
        <v>1.0999999999999999E-2</v>
      </c>
      <c r="Z501" s="389">
        <f t="shared" si="214"/>
        <v>1.0999999999999999E-2</v>
      </c>
      <c r="AA501" s="389">
        <f t="shared" si="215"/>
        <v>0</v>
      </c>
      <c r="AB501" s="389">
        <f t="shared" si="216"/>
        <v>1E-4</v>
      </c>
      <c r="AC501" s="389">
        <f t="shared" si="217"/>
        <v>1E-4</v>
      </c>
      <c r="AD501" s="389">
        <f t="shared" si="218"/>
        <v>0</v>
      </c>
      <c r="AE501" s="389">
        <f t="shared" si="219"/>
        <v>0</v>
      </c>
      <c r="AG501" s="311" t="str">
        <f t="shared" si="220"/>
        <v>-</v>
      </c>
      <c r="AH501" s="453" t="str">
        <f t="shared" si="221"/>
        <v/>
      </c>
      <c r="AI501" s="453" t="str">
        <f t="shared" si="222"/>
        <v/>
      </c>
      <c r="AJ501" t="str">
        <f t="array" ref="AJ501">IF(AND(AI501&gt;1,G501&lt;&gt;""),INDEX(FS_teams,MATCH(1,(FS_Keys=AG501)*(FS_Points=I501)*(FS_teams&lt;&gt;G501),0)),"")</f>
        <v/>
      </c>
      <c r="AK501" s="390" t="str">
        <f t="array" ref="AK501">IF(AJ501&lt;&gt;"",INDEX(TM_Score1,MATCH(1,(TM_Events=D501)*(TM_Participant1=G501)*(TM_Participant2=AJ501),0)),"")</f>
        <v/>
      </c>
      <c r="AL501" s="390" t="str">
        <f t="array" ref="AL501">IF(AJ501&lt;&gt;"",INDEX(TM_Score1,MATCH(1,(TM_Events=D501)*(TM_Participant1=AJ501)*(TM_Participant2=G501),0)),"")</f>
        <v/>
      </c>
      <c r="AM501" s="389" t="str">
        <f t="array" ref="AM501">IF(ISNUMBER(AK501),INDEX(TM_Score2,MATCH(1,(TM_Events=D501)*(TM_Participant1=G501)*(TM_Participant2=AJ501),0)),"")</f>
        <v/>
      </c>
      <c r="AN501" s="389" t="str">
        <f t="array" ref="AN501">IF(ISNUMBER(AL501),INDEX(TM_Score2,MATCH(1,(TM_Events=D501)*(TM_Participant1=AJ501)*(TM_Participant2=G501),0)),"")</f>
        <v/>
      </c>
      <c r="AO501" s="389" t="str">
        <f t="shared" si="223"/>
        <v/>
      </c>
      <c r="AP501" s="389">
        <f t="shared" si="224"/>
        <v>0</v>
      </c>
      <c r="AQ501" s="389">
        <f t="shared" si="225"/>
        <v>0</v>
      </c>
      <c r="AR501" s="389">
        <f t="shared" si="226"/>
        <v>0</v>
      </c>
      <c r="AS501" s="453">
        <f t="shared" si="227"/>
        <v>0</v>
      </c>
      <c r="AT501" s="452">
        <f t="shared" si="228"/>
        <v>0</v>
      </c>
    </row>
    <row r="502" spans="2:46" ht="16" x14ac:dyDescent="0.2">
      <c r="B502"/>
      <c r="H502" s="387" t="str">
        <f t="shared" si="203"/>
        <v>0-0-0</v>
      </c>
      <c r="I502" s="389">
        <f t="shared" si="204"/>
        <v>0</v>
      </c>
      <c r="J502" s="455" t="str">
        <f t="shared" si="229"/>
        <v/>
      </c>
      <c r="K502" s="455">
        <f t="shared" si="205"/>
        <v>0</v>
      </c>
      <c r="L502" s="455">
        <f t="shared" si="230"/>
        <v>0</v>
      </c>
      <c r="M502" s="389" t="str">
        <f>IFERROR(IF(AD502&lt;=VLOOKUP(D502,Tournaments!$A$1:$B$1772,2,FALSE),"TRUE","FALSE"),"")</f>
        <v/>
      </c>
      <c r="N502" s="389">
        <v>1</v>
      </c>
      <c r="O502" s="389">
        <f t="shared" si="206"/>
        <v>0</v>
      </c>
      <c r="Q502" s="389">
        <f t="shared" si="207"/>
        <v>0</v>
      </c>
      <c r="R502" s="389">
        <f t="shared" si="208"/>
        <v>0</v>
      </c>
      <c r="S502" s="389">
        <f t="shared" si="209"/>
        <v>0</v>
      </c>
      <c r="U502" s="389">
        <f t="shared" si="210"/>
        <v>0</v>
      </c>
      <c r="V502" s="389" t="b">
        <f t="shared" si="211"/>
        <v>0</v>
      </c>
      <c r="W502" s="389">
        <f t="shared" si="212"/>
        <v>0</v>
      </c>
      <c r="X502" s="389">
        <f t="shared" si="213"/>
        <v>0</v>
      </c>
      <c r="Y502" s="389">
        <f t="shared" si="231"/>
        <v>1.0999999999999999E-2</v>
      </c>
      <c r="Z502" s="389">
        <f t="shared" si="214"/>
        <v>1.0999999999999999E-2</v>
      </c>
      <c r="AA502" s="389">
        <f t="shared" si="215"/>
        <v>0</v>
      </c>
      <c r="AB502" s="389">
        <f t="shared" si="216"/>
        <v>1E-4</v>
      </c>
      <c r="AC502" s="389">
        <f t="shared" si="217"/>
        <v>1E-4</v>
      </c>
      <c r="AD502" s="389">
        <f t="shared" si="218"/>
        <v>0</v>
      </c>
      <c r="AE502" s="389">
        <f t="shared" si="219"/>
        <v>0</v>
      </c>
      <c r="AG502" s="311" t="str">
        <f t="shared" si="220"/>
        <v>-</v>
      </c>
      <c r="AH502" s="453" t="str">
        <f t="shared" si="221"/>
        <v/>
      </c>
      <c r="AI502" s="453" t="str">
        <f t="shared" si="222"/>
        <v/>
      </c>
      <c r="AJ502" t="str">
        <f t="array" ref="AJ502">IF(AND(AI502&gt;1,G502&lt;&gt;""),INDEX(FS_teams,MATCH(1,(FS_Keys=AG502)*(FS_Points=I502)*(FS_teams&lt;&gt;G502),0)),"")</f>
        <v/>
      </c>
      <c r="AK502" s="390" t="str">
        <f t="array" ref="AK502">IF(AJ502&lt;&gt;"",INDEX(TM_Score1,MATCH(1,(TM_Events=D502)*(TM_Participant1=G502)*(TM_Participant2=AJ502),0)),"")</f>
        <v/>
      </c>
      <c r="AL502" s="390" t="str">
        <f t="array" ref="AL502">IF(AJ502&lt;&gt;"",INDEX(TM_Score1,MATCH(1,(TM_Events=D502)*(TM_Participant1=AJ502)*(TM_Participant2=G502),0)),"")</f>
        <v/>
      </c>
      <c r="AM502" s="389" t="str">
        <f t="array" ref="AM502">IF(ISNUMBER(AK502),INDEX(TM_Score2,MATCH(1,(TM_Events=D502)*(TM_Participant1=G502)*(TM_Participant2=AJ502),0)),"")</f>
        <v/>
      </c>
      <c r="AN502" s="389" t="str">
        <f t="array" ref="AN502">IF(ISNUMBER(AL502),INDEX(TM_Score2,MATCH(1,(TM_Events=D502)*(TM_Participant1=AJ502)*(TM_Participant2=G502),0)),"")</f>
        <v/>
      </c>
      <c r="AO502" s="389" t="str">
        <f t="shared" si="223"/>
        <v/>
      </c>
      <c r="AP502" s="389">
        <f t="shared" si="224"/>
        <v>0</v>
      </c>
      <c r="AQ502" s="389">
        <f t="shared" si="225"/>
        <v>0</v>
      </c>
      <c r="AR502" s="389">
        <f t="shared" si="226"/>
        <v>0</v>
      </c>
      <c r="AS502" s="453">
        <f t="shared" si="227"/>
        <v>0</v>
      </c>
      <c r="AT502" s="452">
        <f t="shared" si="228"/>
        <v>0</v>
      </c>
    </row>
    <row r="503" spans="2:46" ht="16" x14ac:dyDescent="0.2">
      <c r="B503"/>
      <c r="H503" s="387" t="str">
        <f t="shared" si="203"/>
        <v>0-0-0</v>
      </c>
      <c r="I503" s="389">
        <f t="shared" si="204"/>
        <v>0</v>
      </c>
      <c r="J503" s="455" t="str">
        <f t="shared" si="229"/>
        <v/>
      </c>
      <c r="K503" s="455">
        <f t="shared" si="205"/>
        <v>0</v>
      </c>
      <c r="L503" s="455">
        <f t="shared" si="230"/>
        <v>0</v>
      </c>
      <c r="M503" s="389" t="str">
        <f>IFERROR(IF(AD503&lt;=VLOOKUP(D503,Tournaments!$A$1:$B$1772,2,FALSE),"TRUE","FALSE"),"")</f>
        <v/>
      </c>
      <c r="N503" s="389">
        <v>1</v>
      </c>
      <c r="O503" s="389">
        <f t="shared" si="206"/>
        <v>0</v>
      </c>
      <c r="Q503" s="389">
        <f t="shared" si="207"/>
        <v>0</v>
      </c>
      <c r="R503" s="389">
        <f t="shared" si="208"/>
        <v>0</v>
      </c>
      <c r="S503" s="389">
        <f t="shared" si="209"/>
        <v>0</v>
      </c>
      <c r="U503" s="389">
        <f t="shared" si="210"/>
        <v>0</v>
      </c>
      <c r="V503" s="389" t="b">
        <f t="shared" si="211"/>
        <v>0</v>
      </c>
      <c r="W503" s="389">
        <f t="shared" si="212"/>
        <v>0</v>
      </c>
      <c r="X503" s="389">
        <f t="shared" si="213"/>
        <v>0</v>
      </c>
      <c r="Y503" s="389">
        <f t="shared" si="231"/>
        <v>1.0999999999999999E-2</v>
      </c>
      <c r="Z503" s="389">
        <f t="shared" si="214"/>
        <v>1.0999999999999999E-2</v>
      </c>
      <c r="AA503" s="389">
        <f t="shared" si="215"/>
        <v>0</v>
      </c>
      <c r="AB503" s="389">
        <f t="shared" si="216"/>
        <v>1E-4</v>
      </c>
      <c r="AC503" s="389">
        <f t="shared" si="217"/>
        <v>1E-4</v>
      </c>
      <c r="AD503" s="389">
        <f t="shared" si="218"/>
        <v>0</v>
      </c>
      <c r="AE503" s="389">
        <f t="shared" si="219"/>
        <v>0</v>
      </c>
      <c r="AG503" s="311" t="str">
        <f t="shared" si="220"/>
        <v>-</v>
      </c>
      <c r="AH503" s="453" t="str">
        <f t="shared" si="221"/>
        <v/>
      </c>
      <c r="AI503" s="453" t="str">
        <f t="shared" si="222"/>
        <v/>
      </c>
      <c r="AJ503" t="str">
        <f t="array" ref="AJ503">IF(AND(AI503&gt;1,G503&lt;&gt;""),INDEX(FS_teams,MATCH(1,(FS_Keys=AG503)*(FS_Points=I503)*(FS_teams&lt;&gt;G503),0)),"")</f>
        <v/>
      </c>
      <c r="AK503" s="390" t="str">
        <f t="array" ref="AK503">IF(AJ503&lt;&gt;"",INDEX(TM_Score1,MATCH(1,(TM_Events=D503)*(TM_Participant1=G503)*(TM_Participant2=AJ503),0)),"")</f>
        <v/>
      </c>
      <c r="AL503" s="390" t="str">
        <f t="array" ref="AL503">IF(AJ503&lt;&gt;"",INDEX(TM_Score1,MATCH(1,(TM_Events=D503)*(TM_Participant1=AJ503)*(TM_Participant2=G503),0)),"")</f>
        <v/>
      </c>
      <c r="AM503" s="389" t="str">
        <f t="array" ref="AM503">IF(ISNUMBER(AK503),INDEX(TM_Score2,MATCH(1,(TM_Events=D503)*(TM_Participant1=G503)*(TM_Participant2=AJ503),0)),"")</f>
        <v/>
      </c>
      <c r="AN503" s="389" t="str">
        <f t="array" ref="AN503">IF(ISNUMBER(AL503),INDEX(TM_Score2,MATCH(1,(TM_Events=D503)*(TM_Participant1=AJ503)*(TM_Participant2=G503),0)),"")</f>
        <v/>
      </c>
      <c r="AO503" s="389" t="str">
        <f t="shared" si="223"/>
        <v/>
      </c>
      <c r="AP503" s="389">
        <f t="shared" si="224"/>
        <v>0</v>
      </c>
      <c r="AQ503" s="389">
        <f t="shared" si="225"/>
        <v>0</v>
      </c>
      <c r="AR503" s="389">
        <f t="shared" si="226"/>
        <v>0</v>
      </c>
      <c r="AS503" s="453">
        <f t="shared" si="227"/>
        <v>0</v>
      </c>
      <c r="AT503" s="452">
        <f t="shared" si="228"/>
        <v>0</v>
      </c>
    </row>
    <row r="504" spans="2:46" ht="16" x14ac:dyDescent="0.2">
      <c r="B504"/>
      <c r="H504" s="387" t="str">
        <f t="shared" si="203"/>
        <v>0-0-0</v>
      </c>
      <c r="I504" s="389">
        <f t="shared" si="204"/>
        <v>0</v>
      </c>
      <c r="J504" s="455" t="str">
        <f t="shared" si="229"/>
        <v/>
      </c>
      <c r="K504" s="455">
        <f t="shared" si="205"/>
        <v>0</v>
      </c>
      <c r="L504" s="455">
        <f t="shared" si="230"/>
        <v>0</v>
      </c>
      <c r="M504" s="389" t="str">
        <f>IFERROR(IF(AD504&lt;=VLOOKUP(D504,Tournaments!$A$1:$B$1772,2,FALSE),"TRUE","FALSE"),"")</f>
        <v/>
      </c>
      <c r="N504" s="389">
        <v>1</v>
      </c>
      <c r="O504" s="389">
        <f t="shared" si="206"/>
        <v>0</v>
      </c>
      <c r="Q504" s="389">
        <f t="shared" si="207"/>
        <v>0</v>
      </c>
      <c r="R504" s="389">
        <f t="shared" si="208"/>
        <v>0</v>
      </c>
      <c r="S504" s="389">
        <f t="shared" si="209"/>
        <v>0</v>
      </c>
      <c r="U504" s="389">
        <f t="shared" si="210"/>
        <v>0</v>
      </c>
      <c r="V504" s="389" t="b">
        <f t="shared" si="211"/>
        <v>0</v>
      </c>
      <c r="W504" s="389">
        <f t="shared" si="212"/>
        <v>0</v>
      </c>
      <c r="X504" s="389">
        <f t="shared" si="213"/>
        <v>0</v>
      </c>
      <c r="Y504" s="389">
        <f t="shared" si="231"/>
        <v>1.0999999999999999E-2</v>
      </c>
      <c r="Z504" s="389">
        <f t="shared" si="214"/>
        <v>1.0999999999999999E-2</v>
      </c>
      <c r="AA504" s="389">
        <f t="shared" si="215"/>
        <v>0</v>
      </c>
      <c r="AB504" s="389">
        <f t="shared" si="216"/>
        <v>1E-4</v>
      </c>
      <c r="AC504" s="389">
        <f t="shared" si="217"/>
        <v>1E-4</v>
      </c>
      <c r="AD504" s="389">
        <f t="shared" si="218"/>
        <v>0</v>
      </c>
      <c r="AE504" s="389">
        <f t="shared" si="219"/>
        <v>0</v>
      </c>
      <c r="AG504" s="311" t="str">
        <f t="shared" si="220"/>
        <v>-</v>
      </c>
      <c r="AH504" s="453" t="str">
        <f t="shared" si="221"/>
        <v/>
      </c>
      <c r="AI504" s="453" t="str">
        <f t="shared" si="222"/>
        <v/>
      </c>
      <c r="AJ504" t="str">
        <f t="array" ref="AJ504">IF(AND(AI504&gt;1,G504&lt;&gt;""),INDEX(FS_teams,MATCH(1,(FS_Keys=AG504)*(FS_Points=I504)*(FS_teams&lt;&gt;G504),0)),"")</f>
        <v/>
      </c>
      <c r="AK504" s="390" t="str">
        <f t="array" ref="AK504">IF(AJ504&lt;&gt;"",INDEX(TM_Score1,MATCH(1,(TM_Events=D504)*(TM_Participant1=G504)*(TM_Participant2=AJ504),0)),"")</f>
        <v/>
      </c>
      <c r="AL504" s="390" t="str">
        <f t="array" ref="AL504">IF(AJ504&lt;&gt;"",INDEX(TM_Score1,MATCH(1,(TM_Events=D504)*(TM_Participant1=AJ504)*(TM_Participant2=G504),0)),"")</f>
        <v/>
      </c>
      <c r="AM504" s="389" t="str">
        <f t="array" ref="AM504">IF(ISNUMBER(AK504),INDEX(TM_Score2,MATCH(1,(TM_Events=D504)*(TM_Participant1=G504)*(TM_Participant2=AJ504),0)),"")</f>
        <v/>
      </c>
      <c r="AN504" s="389" t="str">
        <f t="array" ref="AN504">IF(ISNUMBER(AL504),INDEX(TM_Score2,MATCH(1,(TM_Events=D504)*(TM_Participant1=AJ504)*(TM_Participant2=G504),0)),"")</f>
        <v/>
      </c>
      <c r="AO504" s="389" t="str">
        <f t="shared" si="223"/>
        <v/>
      </c>
      <c r="AP504" s="389">
        <f t="shared" si="224"/>
        <v>0</v>
      </c>
      <c r="AQ504" s="389">
        <f t="shared" si="225"/>
        <v>0</v>
      </c>
      <c r="AR504" s="389">
        <f t="shared" si="226"/>
        <v>0</v>
      </c>
      <c r="AS504" s="453">
        <f t="shared" si="227"/>
        <v>0</v>
      </c>
      <c r="AT504" s="452">
        <f t="shared" si="228"/>
        <v>0</v>
      </c>
    </row>
    <row r="505" spans="2:46" ht="16" x14ac:dyDescent="0.2">
      <c r="B505"/>
      <c r="H505" s="387" t="str">
        <f t="shared" si="203"/>
        <v>0-0-0</v>
      </c>
      <c r="I505" s="389">
        <f t="shared" si="204"/>
        <v>0</v>
      </c>
      <c r="J505" s="455" t="str">
        <f t="shared" si="229"/>
        <v/>
      </c>
      <c r="K505" s="455">
        <f t="shared" si="205"/>
        <v>0</v>
      </c>
      <c r="L505" s="455">
        <f t="shared" si="230"/>
        <v>0</v>
      </c>
      <c r="M505" s="389" t="str">
        <f>IFERROR(IF(AD505&lt;=VLOOKUP(D505,Tournaments!$A$1:$B$1772,2,FALSE),"TRUE","FALSE"),"")</f>
        <v/>
      </c>
      <c r="N505" s="389">
        <v>1</v>
      </c>
      <c r="O505" s="389">
        <f t="shared" si="206"/>
        <v>0</v>
      </c>
      <c r="Q505" s="389">
        <f t="shared" si="207"/>
        <v>0</v>
      </c>
      <c r="R505" s="389">
        <f t="shared" si="208"/>
        <v>0</v>
      </c>
      <c r="S505" s="389">
        <f t="shared" si="209"/>
        <v>0</v>
      </c>
      <c r="U505" s="389">
        <f t="shared" si="210"/>
        <v>0</v>
      </c>
      <c r="V505" s="389" t="b">
        <f t="shared" si="211"/>
        <v>0</v>
      </c>
      <c r="W505" s="389">
        <f t="shared" si="212"/>
        <v>0</v>
      </c>
      <c r="X505" s="389">
        <f t="shared" si="213"/>
        <v>0</v>
      </c>
      <c r="Y505" s="389">
        <f t="shared" si="231"/>
        <v>1.0999999999999999E-2</v>
      </c>
      <c r="Z505" s="389">
        <f t="shared" si="214"/>
        <v>1.0999999999999999E-2</v>
      </c>
      <c r="AA505" s="389">
        <f t="shared" si="215"/>
        <v>0</v>
      </c>
      <c r="AB505" s="389">
        <f t="shared" si="216"/>
        <v>1E-4</v>
      </c>
      <c r="AC505" s="389">
        <f t="shared" si="217"/>
        <v>1E-4</v>
      </c>
      <c r="AD505" s="389">
        <f t="shared" si="218"/>
        <v>0</v>
      </c>
      <c r="AE505" s="389">
        <f t="shared" si="219"/>
        <v>0</v>
      </c>
      <c r="AG505" s="311" t="str">
        <f t="shared" si="220"/>
        <v>-</v>
      </c>
      <c r="AH505" s="453" t="str">
        <f t="shared" si="221"/>
        <v/>
      </c>
      <c r="AI505" s="453" t="str">
        <f t="shared" si="222"/>
        <v/>
      </c>
      <c r="AJ505" t="str">
        <f t="array" ref="AJ505">IF(AND(AI505&gt;1,G505&lt;&gt;""),INDEX(FS_teams,MATCH(1,(FS_Keys=AG505)*(FS_Points=I505)*(FS_teams&lt;&gt;G505),0)),"")</f>
        <v/>
      </c>
      <c r="AK505" s="390" t="str">
        <f t="array" ref="AK505">IF(AJ505&lt;&gt;"",INDEX(TM_Score1,MATCH(1,(TM_Events=D505)*(TM_Participant1=G505)*(TM_Participant2=AJ505),0)),"")</f>
        <v/>
      </c>
      <c r="AL505" s="390" t="str">
        <f t="array" ref="AL505">IF(AJ505&lt;&gt;"",INDEX(TM_Score1,MATCH(1,(TM_Events=D505)*(TM_Participant1=AJ505)*(TM_Participant2=G505),0)),"")</f>
        <v/>
      </c>
      <c r="AM505" s="389" t="str">
        <f t="array" ref="AM505">IF(ISNUMBER(AK505),INDEX(TM_Score2,MATCH(1,(TM_Events=D505)*(TM_Participant1=G505)*(TM_Participant2=AJ505),0)),"")</f>
        <v/>
      </c>
      <c r="AN505" s="389" t="str">
        <f t="array" ref="AN505">IF(ISNUMBER(AL505),INDEX(TM_Score2,MATCH(1,(TM_Events=D505)*(TM_Participant1=AJ505)*(TM_Participant2=G505),0)),"")</f>
        <v/>
      </c>
      <c r="AO505" s="389" t="str">
        <f t="shared" si="223"/>
        <v/>
      </c>
      <c r="AP505" s="389">
        <f t="shared" si="224"/>
        <v>0</v>
      </c>
      <c r="AQ505" s="389">
        <f t="shared" si="225"/>
        <v>0</v>
      </c>
      <c r="AR505" s="389">
        <f t="shared" si="226"/>
        <v>0</v>
      </c>
      <c r="AS505" s="453">
        <f t="shared" si="227"/>
        <v>0</v>
      </c>
      <c r="AT505" s="452">
        <f t="shared" si="228"/>
        <v>0</v>
      </c>
    </row>
    <row r="506" spans="2:46" ht="16" x14ac:dyDescent="0.2">
      <c r="B506"/>
      <c r="H506" s="387" t="str">
        <f t="shared" si="203"/>
        <v>0-0-0</v>
      </c>
      <c r="I506" s="389">
        <f t="shared" si="204"/>
        <v>0</v>
      </c>
      <c r="J506" s="455" t="str">
        <f t="shared" si="229"/>
        <v/>
      </c>
      <c r="K506" s="455">
        <f t="shared" si="205"/>
        <v>0</v>
      </c>
      <c r="L506" s="455">
        <f t="shared" si="230"/>
        <v>0</v>
      </c>
      <c r="M506" s="389" t="str">
        <f>IFERROR(IF(AD506&lt;=VLOOKUP(D506,Tournaments!$A$1:$B$1772,2,FALSE),"TRUE","FALSE"),"")</f>
        <v/>
      </c>
      <c r="N506" s="389">
        <v>1</v>
      </c>
      <c r="O506" s="389">
        <f t="shared" si="206"/>
        <v>0</v>
      </c>
      <c r="Q506" s="389">
        <f t="shared" si="207"/>
        <v>0</v>
      </c>
      <c r="R506" s="389">
        <f t="shared" si="208"/>
        <v>0</v>
      </c>
      <c r="S506" s="389">
        <f t="shared" si="209"/>
        <v>0</v>
      </c>
      <c r="U506" s="389">
        <f t="shared" si="210"/>
        <v>0</v>
      </c>
      <c r="V506" s="389" t="b">
        <f t="shared" si="211"/>
        <v>0</v>
      </c>
      <c r="W506" s="389">
        <f t="shared" si="212"/>
        <v>0</v>
      </c>
      <c r="X506" s="389">
        <f t="shared" si="213"/>
        <v>0</v>
      </c>
      <c r="Y506" s="389">
        <f t="shared" si="231"/>
        <v>1.0999999999999999E-2</v>
      </c>
      <c r="Z506" s="389">
        <f t="shared" si="214"/>
        <v>1.0999999999999999E-2</v>
      </c>
      <c r="AA506" s="389">
        <f t="shared" si="215"/>
        <v>0</v>
      </c>
      <c r="AB506" s="389">
        <f t="shared" si="216"/>
        <v>1E-4</v>
      </c>
      <c r="AC506" s="389">
        <f t="shared" si="217"/>
        <v>1E-4</v>
      </c>
      <c r="AD506" s="389">
        <f t="shared" si="218"/>
        <v>0</v>
      </c>
      <c r="AE506" s="389">
        <f t="shared" si="219"/>
        <v>0</v>
      </c>
      <c r="AG506" s="311" t="str">
        <f t="shared" si="220"/>
        <v>-</v>
      </c>
      <c r="AH506" s="453" t="str">
        <f t="shared" si="221"/>
        <v/>
      </c>
      <c r="AI506" s="453" t="str">
        <f t="shared" si="222"/>
        <v/>
      </c>
      <c r="AJ506" t="str">
        <f t="array" ref="AJ506">IF(AND(AI506&gt;1,G506&lt;&gt;""),INDEX(FS_teams,MATCH(1,(FS_Keys=AG506)*(FS_Points=I506)*(FS_teams&lt;&gt;G506),0)),"")</f>
        <v/>
      </c>
      <c r="AK506" s="390" t="str">
        <f t="array" ref="AK506">IF(AJ506&lt;&gt;"",INDEX(TM_Score1,MATCH(1,(TM_Events=D506)*(TM_Participant1=G506)*(TM_Participant2=AJ506),0)),"")</f>
        <v/>
      </c>
      <c r="AL506" s="390" t="str">
        <f t="array" ref="AL506">IF(AJ506&lt;&gt;"",INDEX(TM_Score1,MATCH(1,(TM_Events=D506)*(TM_Participant1=AJ506)*(TM_Participant2=G506),0)),"")</f>
        <v/>
      </c>
      <c r="AM506" s="389" t="str">
        <f t="array" ref="AM506">IF(ISNUMBER(AK506),INDEX(TM_Score2,MATCH(1,(TM_Events=D506)*(TM_Participant1=G506)*(TM_Participant2=AJ506),0)),"")</f>
        <v/>
      </c>
      <c r="AN506" s="389" t="str">
        <f t="array" ref="AN506">IF(ISNUMBER(AL506),INDEX(TM_Score2,MATCH(1,(TM_Events=D506)*(TM_Participant1=AJ506)*(TM_Participant2=G506),0)),"")</f>
        <v/>
      </c>
      <c r="AO506" s="389" t="str">
        <f t="shared" si="223"/>
        <v/>
      </c>
      <c r="AP506" s="389">
        <f t="shared" si="224"/>
        <v>0</v>
      </c>
      <c r="AQ506" s="389">
        <f t="shared" si="225"/>
        <v>0</v>
      </c>
      <c r="AR506" s="389">
        <f t="shared" si="226"/>
        <v>0</v>
      </c>
      <c r="AS506" s="453">
        <f t="shared" si="227"/>
        <v>0</v>
      </c>
      <c r="AT506" s="452">
        <f t="shared" si="228"/>
        <v>0</v>
      </c>
    </row>
    <row r="507" spans="2:46" ht="16" x14ac:dyDescent="0.2">
      <c r="B507"/>
      <c r="H507" s="387" t="str">
        <f t="shared" si="203"/>
        <v>0-0-0</v>
      </c>
      <c r="I507" s="389">
        <f t="shared" si="204"/>
        <v>0</v>
      </c>
      <c r="J507" s="455" t="str">
        <f t="shared" si="229"/>
        <v/>
      </c>
      <c r="K507" s="455">
        <f t="shared" si="205"/>
        <v>0</v>
      </c>
      <c r="L507" s="455">
        <f t="shared" si="230"/>
        <v>0</v>
      </c>
      <c r="M507" s="389" t="str">
        <f>IFERROR(IF(AD507&lt;=VLOOKUP(D507,Tournaments!$A$1:$B$1772,2,FALSE),"TRUE","FALSE"),"")</f>
        <v/>
      </c>
      <c r="N507" s="389">
        <v>1</v>
      </c>
      <c r="O507" s="389">
        <f t="shared" si="206"/>
        <v>0</v>
      </c>
      <c r="Q507" s="389">
        <f t="shared" si="207"/>
        <v>0</v>
      </c>
      <c r="R507" s="389">
        <f t="shared" si="208"/>
        <v>0</v>
      </c>
      <c r="S507" s="389">
        <f t="shared" si="209"/>
        <v>0</v>
      </c>
      <c r="U507" s="389">
        <f t="shared" si="210"/>
        <v>0</v>
      </c>
      <c r="V507" s="389" t="b">
        <f t="shared" si="211"/>
        <v>0</v>
      </c>
      <c r="W507" s="389">
        <f t="shared" si="212"/>
        <v>0</v>
      </c>
      <c r="X507" s="389">
        <f t="shared" si="213"/>
        <v>0</v>
      </c>
      <c r="Y507" s="389">
        <f t="shared" si="231"/>
        <v>1.0999999999999999E-2</v>
      </c>
      <c r="Z507" s="389">
        <f t="shared" si="214"/>
        <v>1.0999999999999999E-2</v>
      </c>
      <c r="AA507" s="389">
        <f t="shared" si="215"/>
        <v>0</v>
      </c>
      <c r="AB507" s="389">
        <f t="shared" si="216"/>
        <v>1E-4</v>
      </c>
      <c r="AC507" s="389">
        <f t="shared" si="217"/>
        <v>1E-4</v>
      </c>
      <c r="AD507" s="389">
        <f t="shared" si="218"/>
        <v>0</v>
      </c>
      <c r="AE507" s="389">
        <f t="shared" si="219"/>
        <v>0</v>
      </c>
      <c r="AG507" s="311" t="str">
        <f t="shared" si="220"/>
        <v>-</v>
      </c>
      <c r="AH507" s="453" t="str">
        <f t="shared" si="221"/>
        <v/>
      </c>
      <c r="AI507" s="453" t="str">
        <f t="shared" si="222"/>
        <v/>
      </c>
      <c r="AJ507" t="str">
        <f t="array" ref="AJ507">IF(AND(AI507&gt;1,G507&lt;&gt;""),INDEX(FS_teams,MATCH(1,(FS_Keys=AG507)*(FS_Points=I507)*(FS_teams&lt;&gt;G507),0)),"")</f>
        <v/>
      </c>
      <c r="AK507" s="390" t="str">
        <f t="array" ref="AK507">IF(AJ507&lt;&gt;"",INDEX(TM_Score1,MATCH(1,(TM_Events=D507)*(TM_Participant1=G507)*(TM_Participant2=AJ507),0)),"")</f>
        <v/>
      </c>
      <c r="AL507" s="390" t="str">
        <f t="array" ref="AL507">IF(AJ507&lt;&gt;"",INDEX(TM_Score1,MATCH(1,(TM_Events=D507)*(TM_Participant1=AJ507)*(TM_Participant2=G507),0)),"")</f>
        <v/>
      </c>
      <c r="AM507" s="389" t="str">
        <f t="array" ref="AM507">IF(ISNUMBER(AK507),INDEX(TM_Score2,MATCH(1,(TM_Events=D507)*(TM_Participant1=G507)*(TM_Participant2=AJ507),0)),"")</f>
        <v/>
      </c>
      <c r="AN507" s="389" t="str">
        <f t="array" ref="AN507">IF(ISNUMBER(AL507),INDEX(TM_Score2,MATCH(1,(TM_Events=D507)*(TM_Participant1=AJ507)*(TM_Participant2=G507),0)),"")</f>
        <v/>
      </c>
      <c r="AO507" s="389" t="str">
        <f t="shared" si="223"/>
        <v/>
      </c>
      <c r="AP507" s="389">
        <f t="shared" si="224"/>
        <v>0</v>
      </c>
      <c r="AQ507" s="389">
        <f t="shared" si="225"/>
        <v>0</v>
      </c>
      <c r="AR507" s="389">
        <f t="shared" si="226"/>
        <v>0</v>
      </c>
      <c r="AS507" s="453">
        <f t="shared" si="227"/>
        <v>0</v>
      </c>
      <c r="AT507" s="452">
        <f t="shared" si="228"/>
        <v>0</v>
      </c>
    </row>
    <row r="508" spans="2:46" ht="16" x14ac:dyDescent="0.2">
      <c r="B508"/>
      <c r="H508" s="387" t="str">
        <f t="shared" si="203"/>
        <v>0-0-0</v>
      </c>
      <c r="I508" s="389">
        <f t="shared" si="204"/>
        <v>0</v>
      </c>
      <c r="J508" s="455" t="str">
        <f t="shared" si="229"/>
        <v/>
      </c>
      <c r="K508" s="455">
        <f t="shared" si="205"/>
        <v>0</v>
      </c>
      <c r="L508" s="455">
        <f t="shared" si="230"/>
        <v>0</v>
      </c>
      <c r="M508" s="389" t="str">
        <f>IFERROR(IF(AD508&lt;=VLOOKUP(D508,Tournaments!$A$1:$B$1772,2,FALSE),"TRUE","FALSE"),"")</f>
        <v/>
      </c>
      <c r="N508" s="389">
        <v>1</v>
      </c>
      <c r="O508" s="389">
        <f t="shared" si="206"/>
        <v>0</v>
      </c>
      <c r="Q508" s="389">
        <f t="shared" si="207"/>
        <v>0</v>
      </c>
      <c r="R508" s="389">
        <f t="shared" si="208"/>
        <v>0</v>
      </c>
      <c r="S508" s="389">
        <f t="shared" si="209"/>
        <v>0</v>
      </c>
      <c r="U508" s="389">
        <f t="shared" si="210"/>
        <v>0</v>
      </c>
      <c r="V508" s="389" t="b">
        <f t="shared" si="211"/>
        <v>0</v>
      </c>
      <c r="W508" s="389">
        <f t="shared" si="212"/>
        <v>0</v>
      </c>
      <c r="X508" s="389">
        <f t="shared" si="213"/>
        <v>0</v>
      </c>
      <c r="Y508" s="389">
        <f t="shared" si="231"/>
        <v>1.0999999999999999E-2</v>
      </c>
      <c r="Z508" s="389">
        <f t="shared" si="214"/>
        <v>1.0999999999999999E-2</v>
      </c>
      <c r="AA508" s="389">
        <f t="shared" si="215"/>
        <v>0</v>
      </c>
      <c r="AB508" s="389">
        <f t="shared" si="216"/>
        <v>1E-4</v>
      </c>
      <c r="AC508" s="389">
        <f t="shared" si="217"/>
        <v>1E-4</v>
      </c>
      <c r="AD508" s="389">
        <f t="shared" si="218"/>
        <v>0</v>
      </c>
      <c r="AE508" s="389">
        <f t="shared" si="219"/>
        <v>0</v>
      </c>
      <c r="AG508" s="311" t="str">
        <f t="shared" si="220"/>
        <v>-</v>
      </c>
      <c r="AH508" s="453" t="str">
        <f t="shared" si="221"/>
        <v/>
      </c>
      <c r="AI508" s="453" t="str">
        <f t="shared" si="222"/>
        <v/>
      </c>
      <c r="AJ508" t="str">
        <f t="array" ref="AJ508">IF(AND(AI508&gt;1,G508&lt;&gt;""),INDEX(FS_teams,MATCH(1,(FS_Keys=AG508)*(FS_Points=I508)*(FS_teams&lt;&gt;G508),0)),"")</f>
        <v/>
      </c>
      <c r="AK508" s="390" t="str">
        <f t="array" ref="AK508">IF(AJ508&lt;&gt;"",INDEX(TM_Score1,MATCH(1,(TM_Events=D508)*(TM_Participant1=G508)*(TM_Participant2=AJ508),0)),"")</f>
        <v/>
      </c>
      <c r="AL508" s="390" t="str">
        <f t="array" ref="AL508">IF(AJ508&lt;&gt;"",INDEX(TM_Score1,MATCH(1,(TM_Events=D508)*(TM_Participant1=AJ508)*(TM_Participant2=G508),0)),"")</f>
        <v/>
      </c>
      <c r="AM508" s="389" t="str">
        <f t="array" ref="AM508">IF(ISNUMBER(AK508),INDEX(TM_Score2,MATCH(1,(TM_Events=D508)*(TM_Participant1=G508)*(TM_Participant2=AJ508),0)),"")</f>
        <v/>
      </c>
      <c r="AN508" s="389" t="str">
        <f t="array" ref="AN508">IF(ISNUMBER(AL508),INDEX(TM_Score2,MATCH(1,(TM_Events=D508)*(TM_Participant1=AJ508)*(TM_Participant2=G508),0)),"")</f>
        <v/>
      </c>
      <c r="AO508" s="389" t="str">
        <f t="shared" si="223"/>
        <v/>
      </c>
      <c r="AP508" s="389">
        <f t="shared" si="224"/>
        <v>0</v>
      </c>
      <c r="AQ508" s="389">
        <f t="shared" si="225"/>
        <v>0</v>
      </c>
      <c r="AR508" s="389">
        <f t="shared" si="226"/>
        <v>0</v>
      </c>
      <c r="AS508" s="453">
        <f t="shared" si="227"/>
        <v>0</v>
      </c>
      <c r="AT508" s="452">
        <f t="shared" si="228"/>
        <v>0</v>
      </c>
    </row>
    <row r="509" spans="2:46" ht="16" x14ac:dyDescent="0.2">
      <c r="B509"/>
      <c r="H509" s="387" t="str">
        <f t="shared" si="203"/>
        <v>0-0-0</v>
      </c>
      <c r="I509" s="389">
        <f t="shared" si="204"/>
        <v>0</v>
      </c>
      <c r="J509" s="455" t="str">
        <f t="shared" si="229"/>
        <v/>
      </c>
      <c r="K509" s="455">
        <f t="shared" si="205"/>
        <v>0</v>
      </c>
      <c r="L509" s="455">
        <f t="shared" si="230"/>
        <v>0</v>
      </c>
      <c r="M509" s="389" t="str">
        <f>IFERROR(IF(AD509&lt;=VLOOKUP(D509,Tournaments!$A$1:$B$1772,2,FALSE),"TRUE","FALSE"),"")</f>
        <v/>
      </c>
      <c r="N509" s="389">
        <v>1</v>
      </c>
      <c r="O509" s="389">
        <f t="shared" si="206"/>
        <v>0</v>
      </c>
      <c r="Q509" s="389">
        <f t="shared" si="207"/>
        <v>0</v>
      </c>
      <c r="R509" s="389">
        <f t="shared" si="208"/>
        <v>0</v>
      </c>
      <c r="S509" s="389">
        <f t="shared" si="209"/>
        <v>0</v>
      </c>
      <c r="U509" s="389">
        <f t="shared" si="210"/>
        <v>0</v>
      </c>
      <c r="V509" s="389" t="b">
        <f t="shared" si="211"/>
        <v>0</v>
      </c>
      <c r="W509" s="389">
        <f t="shared" si="212"/>
        <v>0</v>
      </c>
      <c r="X509" s="389">
        <f t="shared" si="213"/>
        <v>0</v>
      </c>
      <c r="Y509" s="389">
        <f t="shared" si="231"/>
        <v>1.0999999999999999E-2</v>
      </c>
      <c r="Z509" s="389">
        <f t="shared" si="214"/>
        <v>1.0999999999999999E-2</v>
      </c>
      <c r="AA509" s="389">
        <f t="shared" si="215"/>
        <v>0</v>
      </c>
      <c r="AB509" s="389">
        <f t="shared" si="216"/>
        <v>1E-4</v>
      </c>
      <c r="AC509" s="389">
        <f t="shared" si="217"/>
        <v>1E-4</v>
      </c>
      <c r="AD509" s="389">
        <f t="shared" si="218"/>
        <v>0</v>
      </c>
      <c r="AE509" s="389">
        <f t="shared" si="219"/>
        <v>0</v>
      </c>
      <c r="AG509" s="311" t="str">
        <f t="shared" si="220"/>
        <v>-</v>
      </c>
      <c r="AH509" s="453" t="str">
        <f t="shared" si="221"/>
        <v/>
      </c>
      <c r="AI509" s="453" t="str">
        <f t="shared" si="222"/>
        <v/>
      </c>
      <c r="AJ509" t="str">
        <f t="array" ref="AJ509">IF(AND(AI509&gt;1,G509&lt;&gt;""),INDEX(FS_teams,MATCH(1,(FS_Keys=AG509)*(FS_Points=I509)*(FS_teams&lt;&gt;G509),0)),"")</f>
        <v/>
      </c>
      <c r="AK509" s="390" t="str">
        <f t="array" ref="AK509">IF(AJ509&lt;&gt;"",INDEX(TM_Score1,MATCH(1,(TM_Events=D509)*(TM_Participant1=G509)*(TM_Participant2=AJ509),0)),"")</f>
        <v/>
      </c>
      <c r="AL509" s="390" t="str">
        <f t="array" ref="AL509">IF(AJ509&lt;&gt;"",INDEX(TM_Score1,MATCH(1,(TM_Events=D509)*(TM_Participant1=AJ509)*(TM_Participant2=G509),0)),"")</f>
        <v/>
      </c>
      <c r="AM509" s="389" t="str">
        <f t="array" ref="AM509">IF(ISNUMBER(AK509),INDEX(TM_Score2,MATCH(1,(TM_Events=D509)*(TM_Participant1=G509)*(TM_Participant2=AJ509),0)),"")</f>
        <v/>
      </c>
      <c r="AN509" s="389" t="str">
        <f t="array" ref="AN509">IF(ISNUMBER(AL509),INDEX(TM_Score2,MATCH(1,(TM_Events=D509)*(TM_Participant1=AJ509)*(TM_Participant2=G509),0)),"")</f>
        <v/>
      </c>
      <c r="AO509" s="389" t="str">
        <f t="shared" si="223"/>
        <v/>
      </c>
      <c r="AP509" s="389">
        <f t="shared" si="224"/>
        <v>0</v>
      </c>
      <c r="AQ509" s="389">
        <f t="shared" si="225"/>
        <v>0</v>
      </c>
      <c r="AR509" s="389">
        <f t="shared" si="226"/>
        <v>0</v>
      </c>
      <c r="AS509" s="453">
        <f t="shared" si="227"/>
        <v>0</v>
      </c>
      <c r="AT509" s="452">
        <f t="shared" si="228"/>
        <v>0</v>
      </c>
    </row>
    <row r="510" spans="2:46" ht="16" x14ac:dyDescent="0.2">
      <c r="B510"/>
      <c r="H510" s="387" t="str">
        <f t="shared" si="203"/>
        <v>0-0-0</v>
      </c>
      <c r="I510" s="389">
        <f t="shared" si="204"/>
        <v>0</v>
      </c>
      <c r="J510" s="455" t="str">
        <f t="shared" si="229"/>
        <v/>
      </c>
      <c r="K510" s="455">
        <f t="shared" si="205"/>
        <v>0</v>
      </c>
      <c r="L510" s="455">
        <f t="shared" si="230"/>
        <v>0</v>
      </c>
      <c r="M510" s="389" t="str">
        <f>IFERROR(IF(AD510&lt;=VLOOKUP(D510,Tournaments!$A$1:$B$1772,2,FALSE),"TRUE","FALSE"),"")</f>
        <v/>
      </c>
      <c r="N510" s="389">
        <v>1</v>
      </c>
      <c r="O510" s="389">
        <f t="shared" si="206"/>
        <v>0</v>
      </c>
      <c r="Q510" s="389">
        <f t="shared" si="207"/>
        <v>0</v>
      </c>
      <c r="R510" s="389">
        <f t="shared" si="208"/>
        <v>0</v>
      </c>
      <c r="S510" s="389">
        <f t="shared" si="209"/>
        <v>0</v>
      </c>
      <c r="U510" s="389">
        <f t="shared" si="210"/>
        <v>0</v>
      </c>
      <c r="V510" s="389" t="b">
        <f t="shared" si="211"/>
        <v>0</v>
      </c>
      <c r="W510" s="389">
        <f t="shared" si="212"/>
        <v>0</v>
      </c>
      <c r="X510" s="389">
        <f t="shared" si="213"/>
        <v>0</v>
      </c>
      <c r="Y510" s="389">
        <f t="shared" si="231"/>
        <v>1.0999999999999999E-2</v>
      </c>
      <c r="Z510" s="389">
        <f t="shared" si="214"/>
        <v>1.0999999999999999E-2</v>
      </c>
      <c r="AA510" s="389">
        <f t="shared" si="215"/>
        <v>0</v>
      </c>
      <c r="AB510" s="389">
        <f t="shared" si="216"/>
        <v>1E-4</v>
      </c>
      <c r="AC510" s="389">
        <f t="shared" si="217"/>
        <v>1E-4</v>
      </c>
      <c r="AD510" s="389">
        <f t="shared" si="218"/>
        <v>0</v>
      </c>
      <c r="AE510" s="389">
        <f t="shared" si="219"/>
        <v>0</v>
      </c>
      <c r="AG510" s="311" t="str">
        <f t="shared" si="220"/>
        <v>-</v>
      </c>
      <c r="AH510" s="453" t="str">
        <f t="shared" si="221"/>
        <v/>
      </c>
      <c r="AI510" s="453" t="str">
        <f t="shared" si="222"/>
        <v/>
      </c>
      <c r="AJ510" t="str">
        <f t="array" ref="AJ510">IF(AND(AI510&gt;1,G510&lt;&gt;""),INDEX(FS_teams,MATCH(1,(FS_Keys=AG510)*(FS_Points=I510)*(FS_teams&lt;&gt;G510),0)),"")</f>
        <v/>
      </c>
      <c r="AK510" s="390" t="str">
        <f t="array" ref="AK510">IF(AJ510&lt;&gt;"",INDEX(TM_Score1,MATCH(1,(TM_Events=D510)*(TM_Participant1=G510)*(TM_Participant2=AJ510),0)),"")</f>
        <v/>
      </c>
      <c r="AL510" s="390" t="str">
        <f t="array" ref="AL510">IF(AJ510&lt;&gt;"",INDEX(TM_Score1,MATCH(1,(TM_Events=D510)*(TM_Participant1=AJ510)*(TM_Participant2=G510),0)),"")</f>
        <v/>
      </c>
      <c r="AM510" s="389" t="str">
        <f t="array" ref="AM510">IF(ISNUMBER(AK510),INDEX(TM_Score2,MATCH(1,(TM_Events=D510)*(TM_Participant1=G510)*(TM_Participant2=AJ510),0)),"")</f>
        <v/>
      </c>
      <c r="AN510" s="389" t="str">
        <f t="array" ref="AN510">IF(ISNUMBER(AL510),INDEX(TM_Score2,MATCH(1,(TM_Events=D510)*(TM_Participant1=AJ510)*(TM_Participant2=G510),0)),"")</f>
        <v/>
      </c>
      <c r="AO510" s="389" t="str">
        <f t="shared" si="223"/>
        <v/>
      </c>
      <c r="AP510" s="389">
        <f t="shared" si="224"/>
        <v>0</v>
      </c>
      <c r="AQ510" s="389">
        <f t="shared" si="225"/>
        <v>0</v>
      </c>
      <c r="AR510" s="389">
        <f t="shared" si="226"/>
        <v>0</v>
      </c>
      <c r="AS510" s="453">
        <f t="shared" si="227"/>
        <v>0</v>
      </c>
      <c r="AT510" s="452">
        <f t="shared" si="228"/>
        <v>0</v>
      </c>
    </row>
    <row r="511" spans="2:46" ht="16" x14ac:dyDescent="0.2">
      <c r="B511"/>
      <c r="H511" s="387" t="str">
        <f t="shared" si="203"/>
        <v>0-0-0</v>
      </c>
      <c r="I511" s="389">
        <f t="shared" si="204"/>
        <v>0</v>
      </c>
      <c r="J511" s="455" t="str">
        <f t="shared" si="229"/>
        <v/>
      </c>
      <c r="K511" s="455">
        <f t="shared" si="205"/>
        <v>0</v>
      </c>
      <c r="L511" s="455">
        <f t="shared" si="230"/>
        <v>0</v>
      </c>
      <c r="M511" s="389" t="str">
        <f>IFERROR(IF(AD511&lt;=VLOOKUP(D511,Tournaments!$A$1:$B$1772,2,FALSE),"TRUE","FALSE"),"")</f>
        <v/>
      </c>
      <c r="N511" s="389">
        <v>1</v>
      </c>
      <c r="O511" s="389">
        <f t="shared" si="206"/>
        <v>0</v>
      </c>
      <c r="Q511" s="389">
        <f t="shared" si="207"/>
        <v>0</v>
      </c>
      <c r="R511" s="389">
        <f t="shared" si="208"/>
        <v>0</v>
      </c>
      <c r="S511" s="389">
        <f t="shared" si="209"/>
        <v>0</v>
      </c>
      <c r="U511" s="389">
        <f t="shared" si="210"/>
        <v>0</v>
      </c>
      <c r="V511" s="389" t="b">
        <f t="shared" si="211"/>
        <v>0</v>
      </c>
      <c r="W511" s="389">
        <f t="shared" si="212"/>
        <v>0</v>
      </c>
      <c r="X511" s="389">
        <f t="shared" si="213"/>
        <v>0</v>
      </c>
      <c r="Y511" s="389">
        <f t="shared" si="231"/>
        <v>1.0999999999999999E-2</v>
      </c>
      <c r="Z511" s="389">
        <f t="shared" si="214"/>
        <v>1.0999999999999999E-2</v>
      </c>
      <c r="AA511" s="389">
        <f t="shared" si="215"/>
        <v>0</v>
      </c>
      <c r="AB511" s="389">
        <f t="shared" si="216"/>
        <v>1E-4</v>
      </c>
      <c r="AC511" s="389">
        <f t="shared" si="217"/>
        <v>1E-4</v>
      </c>
      <c r="AD511" s="389">
        <f t="shared" si="218"/>
        <v>0</v>
      </c>
      <c r="AE511" s="389">
        <f t="shared" si="219"/>
        <v>0</v>
      </c>
      <c r="AG511" s="311" t="str">
        <f t="shared" si="220"/>
        <v>-</v>
      </c>
      <c r="AH511" s="453" t="str">
        <f t="shared" si="221"/>
        <v/>
      </c>
      <c r="AI511" s="453" t="str">
        <f t="shared" si="222"/>
        <v/>
      </c>
      <c r="AJ511" t="str">
        <f t="array" ref="AJ511">IF(AND(AI511&gt;1,G511&lt;&gt;""),INDEX(FS_teams,MATCH(1,(FS_Keys=AG511)*(FS_Points=I511)*(FS_teams&lt;&gt;G511),0)),"")</f>
        <v/>
      </c>
      <c r="AK511" s="390" t="str">
        <f t="array" ref="AK511">IF(AJ511&lt;&gt;"",INDEX(TM_Score1,MATCH(1,(TM_Events=D511)*(TM_Participant1=G511)*(TM_Participant2=AJ511),0)),"")</f>
        <v/>
      </c>
      <c r="AL511" s="390" t="str">
        <f t="array" ref="AL511">IF(AJ511&lt;&gt;"",INDEX(TM_Score1,MATCH(1,(TM_Events=D511)*(TM_Participant1=AJ511)*(TM_Participant2=G511),0)),"")</f>
        <v/>
      </c>
      <c r="AM511" s="389" t="str">
        <f t="array" ref="AM511">IF(ISNUMBER(AK511),INDEX(TM_Score2,MATCH(1,(TM_Events=D511)*(TM_Participant1=G511)*(TM_Participant2=AJ511),0)),"")</f>
        <v/>
      </c>
      <c r="AN511" s="389" t="str">
        <f t="array" ref="AN511">IF(ISNUMBER(AL511),INDEX(TM_Score2,MATCH(1,(TM_Events=D511)*(TM_Participant1=AJ511)*(TM_Participant2=G511),0)),"")</f>
        <v/>
      </c>
      <c r="AO511" s="389" t="str">
        <f t="shared" si="223"/>
        <v/>
      </c>
      <c r="AP511" s="389">
        <f t="shared" si="224"/>
        <v>0</v>
      </c>
      <c r="AQ511" s="389">
        <f t="shared" si="225"/>
        <v>0</v>
      </c>
      <c r="AR511" s="389">
        <f t="shared" si="226"/>
        <v>0</v>
      </c>
      <c r="AS511" s="453">
        <f t="shared" si="227"/>
        <v>0</v>
      </c>
      <c r="AT511" s="452">
        <f t="shared" si="228"/>
        <v>0</v>
      </c>
    </row>
    <row r="512" spans="2:46" ht="16" x14ac:dyDescent="0.2">
      <c r="B512"/>
      <c r="H512" s="387" t="str">
        <f t="shared" si="203"/>
        <v>0-0-0</v>
      </c>
      <c r="I512" s="389">
        <f t="shared" si="204"/>
        <v>0</v>
      </c>
      <c r="J512" s="455" t="str">
        <f t="shared" si="229"/>
        <v/>
      </c>
      <c r="K512" s="455">
        <f t="shared" si="205"/>
        <v>0</v>
      </c>
      <c r="L512" s="455">
        <f t="shared" si="230"/>
        <v>0</v>
      </c>
      <c r="M512" s="389" t="str">
        <f>IFERROR(IF(AD512&lt;=VLOOKUP(D512,Tournaments!$A$1:$B$1772,2,FALSE),"TRUE","FALSE"),"")</f>
        <v/>
      </c>
      <c r="N512" s="389">
        <v>1</v>
      </c>
      <c r="O512" s="389">
        <f t="shared" si="206"/>
        <v>0</v>
      </c>
      <c r="Q512" s="389">
        <f t="shared" si="207"/>
        <v>0</v>
      </c>
      <c r="R512" s="389">
        <f t="shared" si="208"/>
        <v>0</v>
      </c>
      <c r="S512" s="389">
        <f t="shared" si="209"/>
        <v>0</v>
      </c>
      <c r="U512" s="389">
        <f t="shared" si="210"/>
        <v>0</v>
      </c>
      <c r="V512" s="389" t="b">
        <f t="shared" si="211"/>
        <v>0</v>
      </c>
      <c r="W512" s="389">
        <f t="shared" si="212"/>
        <v>0</v>
      </c>
      <c r="X512" s="389">
        <f t="shared" si="213"/>
        <v>0</v>
      </c>
      <c r="Y512" s="389">
        <f t="shared" si="231"/>
        <v>1.0999999999999999E-2</v>
      </c>
      <c r="Z512" s="389">
        <f t="shared" si="214"/>
        <v>1.0999999999999999E-2</v>
      </c>
      <c r="AA512" s="389">
        <f t="shared" si="215"/>
        <v>0</v>
      </c>
      <c r="AB512" s="389">
        <f t="shared" si="216"/>
        <v>1E-4</v>
      </c>
      <c r="AC512" s="389">
        <f t="shared" si="217"/>
        <v>1E-4</v>
      </c>
      <c r="AD512" s="389">
        <f t="shared" si="218"/>
        <v>0</v>
      </c>
      <c r="AE512" s="389">
        <f t="shared" si="219"/>
        <v>0</v>
      </c>
      <c r="AG512" s="311" t="str">
        <f t="shared" si="220"/>
        <v>-</v>
      </c>
      <c r="AH512" s="453" t="str">
        <f t="shared" si="221"/>
        <v/>
      </c>
      <c r="AI512" s="453" t="str">
        <f t="shared" si="222"/>
        <v/>
      </c>
      <c r="AJ512" t="str">
        <f t="array" ref="AJ512">IF(AND(AI512&gt;1,G512&lt;&gt;""),INDEX(FS_teams,MATCH(1,(FS_Keys=AG512)*(FS_Points=I512)*(FS_teams&lt;&gt;G512),0)),"")</f>
        <v/>
      </c>
      <c r="AK512" s="390" t="str">
        <f t="array" ref="AK512">IF(AJ512&lt;&gt;"",INDEX(TM_Score1,MATCH(1,(TM_Events=D512)*(TM_Participant1=G512)*(TM_Participant2=AJ512),0)),"")</f>
        <v/>
      </c>
      <c r="AL512" s="390" t="str">
        <f t="array" ref="AL512">IF(AJ512&lt;&gt;"",INDEX(TM_Score1,MATCH(1,(TM_Events=D512)*(TM_Participant1=AJ512)*(TM_Participant2=G512),0)),"")</f>
        <v/>
      </c>
      <c r="AM512" s="389" t="str">
        <f t="array" ref="AM512">IF(ISNUMBER(AK512),INDEX(TM_Score2,MATCH(1,(TM_Events=D512)*(TM_Participant1=G512)*(TM_Participant2=AJ512),0)),"")</f>
        <v/>
      </c>
      <c r="AN512" s="389" t="str">
        <f t="array" ref="AN512">IF(ISNUMBER(AL512),INDEX(TM_Score2,MATCH(1,(TM_Events=D512)*(TM_Participant1=AJ512)*(TM_Participant2=G512),0)),"")</f>
        <v/>
      </c>
      <c r="AO512" s="389" t="str">
        <f t="shared" si="223"/>
        <v/>
      </c>
      <c r="AP512" s="389">
        <f t="shared" si="224"/>
        <v>0</v>
      </c>
      <c r="AQ512" s="389">
        <f t="shared" si="225"/>
        <v>0</v>
      </c>
      <c r="AR512" s="389">
        <f t="shared" si="226"/>
        <v>0</v>
      </c>
      <c r="AS512" s="453">
        <f t="shared" si="227"/>
        <v>0</v>
      </c>
      <c r="AT512" s="452">
        <f t="shared" si="228"/>
        <v>0</v>
      </c>
    </row>
    <row r="513" spans="2:46" ht="16" x14ac:dyDescent="0.2">
      <c r="B513"/>
      <c r="H513" s="387" t="str">
        <f t="shared" si="203"/>
        <v>0-0-0</v>
      </c>
      <c r="I513" s="389">
        <f t="shared" si="204"/>
        <v>0</v>
      </c>
      <c r="J513" s="455" t="str">
        <f t="shared" si="229"/>
        <v/>
      </c>
      <c r="K513" s="455">
        <f t="shared" si="205"/>
        <v>0</v>
      </c>
      <c r="L513" s="455">
        <f t="shared" si="230"/>
        <v>0</v>
      </c>
      <c r="M513" s="389" t="str">
        <f>IFERROR(IF(AD513&lt;=VLOOKUP(D513,Tournaments!$A$1:$B$1772,2,FALSE),"TRUE","FALSE"),"")</f>
        <v/>
      </c>
      <c r="N513" s="389">
        <v>1</v>
      </c>
      <c r="O513" s="389">
        <f t="shared" si="206"/>
        <v>0</v>
      </c>
      <c r="Q513" s="389">
        <f t="shared" si="207"/>
        <v>0</v>
      </c>
      <c r="R513" s="389">
        <f t="shared" si="208"/>
        <v>0</v>
      </c>
      <c r="S513" s="389">
        <f t="shared" si="209"/>
        <v>0</v>
      </c>
      <c r="U513" s="389">
        <f t="shared" si="210"/>
        <v>0</v>
      </c>
      <c r="V513" s="389" t="b">
        <f t="shared" si="211"/>
        <v>0</v>
      </c>
      <c r="W513" s="389">
        <f t="shared" si="212"/>
        <v>0</v>
      </c>
      <c r="X513" s="389">
        <f t="shared" si="213"/>
        <v>0</v>
      </c>
      <c r="Y513" s="389">
        <f t="shared" si="231"/>
        <v>1.0999999999999999E-2</v>
      </c>
      <c r="Z513" s="389">
        <f t="shared" si="214"/>
        <v>1.0999999999999999E-2</v>
      </c>
      <c r="AA513" s="389">
        <f t="shared" si="215"/>
        <v>0</v>
      </c>
      <c r="AB513" s="389">
        <f t="shared" si="216"/>
        <v>1E-4</v>
      </c>
      <c r="AC513" s="389">
        <f t="shared" si="217"/>
        <v>1E-4</v>
      </c>
      <c r="AD513" s="389">
        <f t="shared" si="218"/>
        <v>0</v>
      </c>
      <c r="AE513" s="389">
        <f t="shared" si="219"/>
        <v>0</v>
      </c>
      <c r="AG513" s="311" t="str">
        <f t="shared" si="220"/>
        <v>-</v>
      </c>
      <c r="AH513" s="453" t="str">
        <f t="shared" si="221"/>
        <v/>
      </c>
      <c r="AI513" s="453" t="str">
        <f t="shared" si="222"/>
        <v/>
      </c>
      <c r="AJ513" t="str">
        <f t="array" ref="AJ513">IF(AND(AI513&gt;1,G513&lt;&gt;""),INDEX(FS_teams,MATCH(1,(FS_Keys=AG513)*(FS_Points=I513)*(FS_teams&lt;&gt;G513),0)),"")</f>
        <v/>
      </c>
      <c r="AK513" s="390" t="str">
        <f t="array" ref="AK513">IF(AJ513&lt;&gt;"",INDEX(TM_Score1,MATCH(1,(TM_Events=D513)*(TM_Participant1=G513)*(TM_Participant2=AJ513),0)),"")</f>
        <v/>
      </c>
      <c r="AL513" s="390" t="str">
        <f t="array" ref="AL513">IF(AJ513&lt;&gt;"",INDEX(TM_Score1,MATCH(1,(TM_Events=D513)*(TM_Participant1=AJ513)*(TM_Participant2=G513),0)),"")</f>
        <v/>
      </c>
      <c r="AM513" s="389" t="str">
        <f t="array" ref="AM513">IF(ISNUMBER(AK513),INDEX(TM_Score2,MATCH(1,(TM_Events=D513)*(TM_Participant1=G513)*(TM_Participant2=AJ513),0)),"")</f>
        <v/>
      </c>
      <c r="AN513" s="389" t="str">
        <f t="array" ref="AN513">IF(ISNUMBER(AL513),INDEX(TM_Score2,MATCH(1,(TM_Events=D513)*(TM_Participant1=AJ513)*(TM_Participant2=G513),0)),"")</f>
        <v/>
      </c>
      <c r="AO513" s="389" t="str">
        <f t="shared" si="223"/>
        <v/>
      </c>
      <c r="AP513" s="389">
        <f t="shared" si="224"/>
        <v>0</v>
      </c>
      <c r="AQ513" s="389">
        <f t="shared" si="225"/>
        <v>0</v>
      </c>
      <c r="AR513" s="389">
        <f t="shared" si="226"/>
        <v>0</v>
      </c>
      <c r="AS513" s="453">
        <f t="shared" si="227"/>
        <v>0</v>
      </c>
      <c r="AT513" s="452">
        <f t="shared" si="228"/>
        <v>0</v>
      </c>
    </row>
    <row r="514" spans="2:46" ht="16" x14ac:dyDescent="0.2">
      <c r="B514"/>
      <c r="H514" s="387" t="str">
        <f t="shared" si="203"/>
        <v>0-0-0</v>
      </c>
      <c r="I514" s="389">
        <f t="shared" si="204"/>
        <v>0</v>
      </c>
      <c r="J514" s="455" t="str">
        <f t="shared" si="229"/>
        <v/>
      </c>
      <c r="K514" s="455">
        <f t="shared" si="205"/>
        <v>0</v>
      </c>
      <c r="L514" s="455">
        <f t="shared" si="230"/>
        <v>0</v>
      </c>
      <c r="M514" s="389" t="str">
        <f>IFERROR(IF(AD514&lt;=VLOOKUP(D514,Tournaments!$A$1:$B$1772,2,FALSE),"TRUE","FALSE"),"")</f>
        <v/>
      </c>
      <c r="N514" s="389">
        <v>1</v>
      </c>
      <c r="O514" s="389">
        <f t="shared" si="206"/>
        <v>0</v>
      </c>
      <c r="Q514" s="389">
        <f t="shared" si="207"/>
        <v>0</v>
      </c>
      <c r="R514" s="389">
        <f t="shared" si="208"/>
        <v>0</v>
      </c>
      <c r="S514" s="389">
        <f t="shared" si="209"/>
        <v>0</v>
      </c>
      <c r="U514" s="389">
        <f t="shared" si="210"/>
        <v>0</v>
      </c>
      <c r="V514" s="389" t="b">
        <f t="shared" si="211"/>
        <v>0</v>
      </c>
      <c r="W514" s="389">
        <f t="shared" si="212"/>
        <v>0</v>
      </c>
      <c r="X514" s="389">
        <f t="shared" si="213"/>
        <v>0</v>
      </c>
      <c r="Y514" s="389">
        <f t="shared" si="231"/>
        <v>1.0999999999999999E-2</v>
      </c>
      <c r="Z514" s="389">
        <f t="shared" si="214"/>
        <v>1.0999999999999999E-2</v>
      </c>
      <c r="AA514" s="389">
        <f t="shared" si="215"/>
        <v>0</v>
      </c>
      <c r="AB514" s="389">
        <f t="shared" si="216"/>
        <v>1E-4</v>
      </c>
      <c r="AC514" s="389">
        <f t="shared" si="217"/>
        <v>1E-4</v>
      </c>
      <c r="AD514" s="389">
        <f t="shared" si="218"/>
        <v>0</v>
      </c>
      <c r="AE514" s="389">
        <f t="shared" si="219"/>
        <v>0</v>
      </c>
      <c r="AG514" s="311" t="str">
        <f t="shared" si="220"/>
        <v>-</v>
      </c>
      <c r="AH514" s="453" t="str">
        <f t="shared" si="221"/>
        <v/>
      </c>
      <c r="AI514" s="453" t="str">
        <f t="shared" si="222"/>
        <v/>
      </c>
      <c r="AJ514" t="str">
        <f t="array" ref="AJ514">IF(AND(AI514&gt;1,G514&lt;&gt;""),INDEX(FS_teams,MATCH(1,(FS_Keys=AG514)*(FS_Points=I514)*(FS_teams&lt;&gt;G514),0)),"")</f>
        <v/>
      </c>
      <c r="AK514" s="390" t="str">
        <f t="array" ref="AK514">IF(AJ514&lt;&gt;"",INDEX(TM_Score1,MATCH(1,(TM_Events=D514)*(TM_Participant1=G514)*(TM_Participant2=AJ514),0)),"")</f>
        <v/>
      </c>
      <c r="AL514" s="390" t="str">
        <f t="array" ref="AL514">IF(AJ514&lt;&gt;"",INDEX(TM_Score1,MATCH(1,(TM_Events=D514)*(TM_Participant1=AJ514)*(TM_Participant2=G514),0)),"")</f>
        <v/>
      </c>
      <c r="AM514" s="389" t="str">
        <f t="array" ref="AM514">IF(ISNUMBER(AK514),INDEX(TM_Score2,MATCH(1,(TM_Events=D514)*(TM_Participant1=G514)*(TM_Participant2=AJ514),0)),"")</f>
        <v/>
      </c>
      <c r="AN514" s="389" t="str">
        <f t="array" ref="AN514">IF(ISNUMBER(AL514),INDEX(TM_Score2,MATCH(1,(TM_Events=D514)*(TM_Participant1=AJ514)*(TM_Participant2=G514),0)),"")</f>
        <v/>
      </c>
      <c r="AO514" s="389" t="str">
        <f t="shared" si="223"/>
        <v/>
      </c>
      <c r="AP514" s="389">
        <f t="shared" si="224"/>
        <v>0</v>
      </c>
      <c r="AQ514" s="389">
        <f t="shared" si="225"/>
        <v>0</v>
      </c>
      <c r="AR514" s="389">
        <f t="shared" si="226"/>
        <v>0</v>
      </c>
      <c r="AS514" s="453">
        <f t="shared" si="227"/>
        <v>0</v>
      </c>
      <c r="AT514" s="452">
        <f t="shared" si="228"/>
        <v>0</v>
      </c>
    </row>
    <row r="515" spans="2:46" ht="16" x14ac:dyDescent="0.2">
      <c r="B515"/>
      <c r="H515" s="387" t="str">
        <f t="shared" ref="H515:H578" si="232">Q515&amp;"-"&amp;R515&amp;"-"&amp;S515</f>
        <v>0-0-0</v>
      </c>
      <c r="I515" s="389">
        <f t="shared" ref="I515:I578" si="233">IF(H515&lt;&gt;"0-0-0",Q515*2+S515,0)</f>
        <v>0</v>
      </c>
      <c r="J515" s="455" t="str">
        <f t="shared" si="229"/>
        <v/>
      </c>
      <c r="K515" s="455">
        <f t="shared" ref="K515:K578" si="234">IF(COUNTIFS(AG:AG,AG515,I:I,I515,J:J,J515)&gt;1,AS515,"")</f>
        <v>0</v>
      </c>
      <c r="L515" s="455">
        <f t="shared" si="230"/>
        <v>0</v>
      </c>
      <c r="M515" s="389" t="str">
        <f>IFERROR(IF(AD515&lt;=VLOOKUP(D515,Tournaments!$A$1:$B$1772,2,FALSE),"TRUE","FALSE"),"")</f>
        <v/>
      </c>
      <c r="N515" s="389">
        <v>1</v>
      </c>
      <c r="O515" s="389">
        <f t="shared" ref="O515:O578" si="235">AD515</f>
        <v>0</v>
      </c>
      <c r="Q515" s="389">
        <f t="shared" ref="Q515:Q578" si="236">AP515</f>
        <v>0</v>
      </c>
      <c r="R515" s="389">
        <f t="shared" ref="R515:R578" si="237">AR515</f>
        <v>0</v>
      </c>
      <c r="S515" s="389">
        <f t="shared" ref="S515:S578" si="238">AQ515</f>
        <v>0</v>
      </c>
      <c r="U515" s="389">
        <f t="shared" ref="U515:U578" si="239">IF(E515&lt;&gt;"",COUNTIFS($D$3:$D$1001,D515,$E$3:$E$1001,E515,$I$3:$I$1001,"&gt;"&amp;I515)+COUNTIFS($D$3:$D$1001,D515,$E$3:$E$1001,E515,$I$3:$I$1001,I515),COUNTIFS($D$3:$D$1001,D515,$I$3:$I$1001,"&gt;"&amp;I515)+COUNTIFS($D$3:$D$1001,D515,$I$3:$I$1001,I515))</f>
        <v>0</v>
      </c>
      <c r="V515" s="389" t="b">
        <f t="shared" ref="V515:V578" si="240">IFERROR(RANK(J515,$J:$J,1)/10000,FALSE)</f>
        <v>0</v>
      </c>
      <c r="W515" s="389">
        <f t="shared" ref="W515:W578" si="241">V515-U515</f>
        <v>0</v>
      </c>
      <c r="X515" s="389">
        <f t="shared" ref="X515:X578" si="242">IF(E515&lt;&gt;"",COUNTIFS($D:$D,$D515,$E:$E,$E515,$W:$W,"&gt;"&amp;W515)+COUNTIFS($D:$D,$D515,$E:$E,$E515,$W:$W,W515),COUNTIFS($D:$D,$D515,$W:$W,"&gt;"&amp;W515)+COUNTIFS($D:$D,$D515,$W:$W,W515))</f>
        <v>0</v>
      </c>
      <c r="Y515" s="389">
        <f t="shared" si="231"/>
        <v>1.0999999999999999E-2</v>
      </c>
      <c r="Z515" s="389">
        <f t="shared" ref="Z515:Z578" si="243">Y515-X515</f>
        <v>1.0999999999999999E-2</v>
      </c>
      <c r="AA515" s="389">
        <f t="shared" ref="AA515:AA578" si="244">IF(E515&lt;&gt;"",(COUNTIFS($D:$D,D515,$E:$E,E515,$Z:$Z,"&gt;"&amp;Z515)+COUNTIFS($D:$D,D515,$E:$E,E515,$Z:$Z,Z515)),(COUNTIFS($D:$D,D515,$Z:$Z,"&gt;"&amp;Z515)+COUNTIFS($D:$D,D515,$Z:$Z,Z515)))</f>
        <v>0</v>
      </c>
      <c r="AB515" s="389">
        <f t="shared" ref="AB515:AB578" si="245">IFERROR(RANK(L515,$L:$L,1)/10000,FALSE)</f>
        <v>1E-4</v>
      </c>
      <c r="AC515" s="389">
        <f t="shared" ref="AC515:AC578" si="246">AB515-AA515</f>
        <v>1E-4</v>
      </c>
      <c r="AD515" s="389">
        <f t="shared" ref="AD515:AD578" si="247">IF(E515&lt;&gt;"",COUNTIFS($D:$D,$D515,$E:$E,$E515,$AC:$AC,"&gt;"&amp;AC515)+COUNTIFS($D:$D,$D515,$E:$E,$E515,$AC:$AC,AC515),COUNTIFS($D:$D,$D515,$AC:$AC,"&gt;"&amp;AC515)+COUNTIFS($D:$D,$D515,$AC:$AC,AC515))</f>
        <v>0</v>
      </c>
      <c r="AE515" s="389">
        <f t="shared" ref="AE515:AE578" si="248">IF(E515&lt;&gt;"",COUNTIFS($D:$D,D515,$E:$E,E515,$I:$I,I515,$J:$J,J515),COUNTIFS($D:$D,D515,$I:$I,I515,$J:$J,J515))</f>
        <v>0</v>
      </c>
      <c r="AG515" s="311" t="str">
        <f t="shared" ref="AG515:AG578" si="249">D515&amp;"-"&amp;E515</f>
        <v>-</v>
      </c>
      <c r="AH515" s="453" t="str">
        <f t="shared" ref="AH515:AH578" si="250">IF(G515="","",COUNTIFS(FS_teams,"&lt;&gt;-1",FS_Keys,AG515,FS_Points,"&gt;"&amp;I515)+1)</f>
        <v/>
      </c>
      <c r="AI515" s="453" t="str">
        <f t="shared" ref="AI515:AI578" si="251">IF(G515="","",COUNTIFS(FS_Keys,AG515,FS_Rank_on_Points,AH515))</f>
        <v/>
      </c>
      <c r="AJ515" t="str">
        <f t="array" ref="AJ515">IF(AND(AI515&gt;1,G515&lt;&gt;""),INDEX(FS_teams,MATCH(1,(FS_Keys=AG515)*(FS_Points=I515)*(FS_teams&lt;&gt;G515),0)),"")</f>
        <v/>
      </c>
      <c r="AK515" s="390" t="str">
        <f t="array" ref="AK515">IF(AJ515&lt;&gt;"",INDEX(TM_Score1,MATCH(1,(TM_Events=D515)*(TM_Participant1=G515)*(TM_Participant2=AJ515),0)),"")</f>
        <v/>
      </c>
      <c r="AL515" s="390" t="str">
        <f t="array" ref="AL515">IF(AJ515&lt;&gt;"",INDEX(TM_Score1,MATCH(1,(TM_Events=D515)*(TM_Participant1=AJ515)*(TM_Participant2=G515),0)),"")</f>
        <v/>
      </c>
      <c r="AM515" s="389" t="str">
        <f t="array" ref="AM515">IF(ISNUMBER(AK515),INDEX(TM_Score2,MATCH(1,(TM_Events=D515)*(TM_Participant1=G515)*(TM_Participant2=AJ515),0)),"")</f>
        <v/>
      </c>
      <c r="AN515" s="389" t="str">
        <f t="array" ref="AN515">IF(ISNUMBER(AL515),INDEX(TM_Score2,MATCH(1,(TM_Events=D515)*(TM_Participant1=AJ515)*(TM_Participant2=G515),0)),"")</f>
        <v/>
      </c>
      <c r="AO515" s="389" t="str">
        <f t="shared" ref="AO515:AO578" si="252">IF(AJ515="","",IF(ISNUMBER(AK515),IF(AK515&gt;AM515,"Win",IF(AK515=AM515,"Tie",IF(AK515&lt;AM515,"Loss","check"))),IF(ISNUMBER(AL515),IF(AN515&gt;AL515,"Win",IF(AN515=AL515,"Tie",IF(AN515&lt;AL515,"Loss","check"))),IF(AND(ISNA(AK515),ISNA(AL515)),"did not play","check"))))</f>
        <v/>
      </c>
      <c r="AP515" s="389">
        <f t="shared" ref="AP515:AP578" si="253">SUMIFS(TM_W1,TM_Events,D515,TM_Participant1,G515)+SUMIFS(TM_w2,TM_Events,D515,TM_Participant2,G515)</f>
        <v>0</v>
      </c>
      <c r="AQ515" s="389">
        <f t="shared" ref="AQ515:AQ578" si="254">SUMIFS(TM_T1,TM_Events,D515,TM_Participant1,G515)+SUMIFS(TM_T2,TM_Events,D515,TM_Participant2,G515)</f>
        <v>0</v>
      </c>
      <c r="AR515" s="389">
        <f t="shared" ref="AR515:AR578" si="255">SUMIFS(TM_L1,TM_Events,D515,TM_Participant1,G515)+SUMIFS(TM_L2,TM_Events,D515,TM_Participant2,G515)</f>
        <v>0</v>
      </c>
      <c r="AS515" s="453">
        <f t="shared" ref="AS515:AS578" si="256">SUMIFS(Net_1,TM_Events,D515,TM_Participant1,G515)+SUMIFS(Net_2,TM_Events,D515,TM_Participant2,G515)</f>
        <v>0</v>
      </c>
      <c r="AT515" s="452">
        <f t="shared" ref="AT515:AT578" si="257">SUMIFS(Score_1,TM_Events,D515,TM_Participant1,G515)+SUMIFS(Score_2,TM_Events,D515,TM_Participant2,G515)</f>
        <v>0</v>
      </c>
    </row>
    <row r="516" spans="2:46" ht="16" x14ac:dyDescent="0.2">
      <c r="B516"/>
      <c r="H516" s="387" t="str">
        <f t="shared" si="232"/>
        <v>0-0-0</v>
      </c>
      <c r="I516" s="389">
        <f t="shared" si="233"/>
        <v>0</v>
      </c>
      <c r="J516" s="455" t="str">
        <f t="shared" ref="J516:J579" si="258">IF(E516&lt;&gt;"",IF(COUNTIFS($D:$D,D516,$E:$E,E516,$I:$I,I516)&lt;3,IFERROR(IF(H516&lt;&gt;"0-0-0",IF(AO516&lt;&gt;"",IF(AO516="Win",2,IF(AO516="Loss",0,1)),""),""),""),1),IF(COUNTIFS(D:D,D516,I:I,I516)&lt;3,IFERROR(IF(H516&lt;&gt;"0-0-0",IF(AO516&lt;&gt;"",IF(AO516="Win",2,IF(AO516="Loss",0,1)),""),""),""),1))</f>
        <v/>
      </c>
      <c r="K516" s="455">
        <f t="shared" si="234"/>
        <v>0</v>
      </c>
      <c r="L516" s="455">
        <f t="shared" ref="L516:L579" si="259">IF(COUNTIFS(AG:AG,AG516,I:I,I516,J:J,J516,K:K,K516)&gt;1,AT516,"")</f>
        <v>0</v>
      </c>
      <c r="M516" s="389" t="str">
        <f>IFERROR(IF(AD516&lt;=VLOOKUP(D516,Tournaments!$A$1:$B$1772,2,FALSE),"TRUE","FALSE"),"")</f>
        <v/>
      </c>
      <c r="N516" s="389">
        <v>1</v>
      </c>
      <c r="O516" s="389">
        <f t="shared" si="235"/>
        <v>0</v>
      </c>
      <c r="Q516" s="389">
        <f t="shared" si="236"/>
        <v>0</v>
      </c>
      <c r="R516" s="389">
        <f t="shared" si="237"/>
        <v>0</v>
      </c>
      <c r="S516" s="389">
        <f t="shared" si="238"/>
        <v>0</v>
      </c>
      <c r="U516" s="389">
        <f t="shared" si="239"/>
        <v>0</v>
      </c>
      <c r="V516" s="389" t="b">
        <f t="shared" si="240"/>
        <v>0</v>
      </c>
      <c r="W516" s="389">
        <f t="shared" si="241"/>
        <v>0</v>
      </c>
      <c r="X516" s="389">
        <f t="shared" si="242"/>
        <v>0</v>
      </c>
      <c r="Y516" s="389">
        <f t="shared" ref="Y516:Y579" si="260">IFERROR(IF(K516&gt;=0,RANK(K516,$K:$K,1)/10000,RANK(K516,$K:$K,1)/10000),FALSE)</f>
        <v>1.0999999999999999E-2</v>
      </c>
      <c r="Z516" s="389">
        <f t="shared" si="243"/>
        <v>1.0999999999999999E-2</v>
      </c>
      <c r="AA516" s="389">
        <f t="shared" si="244"/>
        <v>0</v>
      </c>
      <c r="AB516" s="389">
        <f t="shared" si="245"/>
        <v>1E-4</v>
      </c>
      <c r="AC516" s="389">
        <f t="shared" si="246"/>
        <v>1E-4</v>
      </c>
      <c r="AD516" s="389">
        <f t="shared" si="247"/>
        <v>0</v>
      </c>
      <c r="AE516" s="389">
        <f t="shared" si="248"/>
        <v>0</v>
      </c>
      <c r="AG516" s="311" t="str">
        <f t="shared" si="249"/>
        <v>-</v>
      </c>
      <c r="AH516" s="453" t="str">
        <f t="shared" si="250"/>
        <v/>
      </c>
      <c r="AI516" s="453" t="str">
        <f t="shared" si="251"/>
        <v/>
      </c>
      <c r="AJ516" t="str">
        <f t="array" ref="AJ516">IF(AND(AI516&gt;1,G516&lt;&gt;""),INDEX(FS_teams,MATCH(1,(FS_Keys=AG516)*(FS_Points=I516)*(FS_teams&lt;&gt;G516),0)),"")</f>
        <v/>
      </c>
      <c r="AK516" s="390" t="str">
        <f t="array" ref="AK516">IF(AJ516&lt;&gt;"",INDEX(TM_Score1,MATCH(1,(TM_Events=D516)*(TM_Participant1=G516)*(TM_Participant2=AJ516),0)),"")</f>
        <v/>
      </c>
      <c r="AL516" s="390" t="str">
        <f t="array" ref="AL516">IF(AJ516&lt;&gt;"",INDEX(TM_Score1,MATCH(1,(TM_Events=D516)*(TM_Participant1=AJ516)*(TM_Participant2=G516),0)),"")</f>
        <v/>
      </c>
      <c r="AM516" s="389" t="str">
        <f t="array" ref="AM516">IF(ISNUMBER(AK516),INDEX(TM_Score2,MATCH(1,(TM_Events=D516)*(TM_Participant1=G516)*(TM_Participant2=AJ516),0)),"")</f>
        <v/>
      </c>
      <c r="AN516" s="389" t="str">
        <f t="array" ref="AN516">IF(ISNUMBER(AL516),INDEX(TM_Score2,MATCH(1,(TM_Events=D516)*(TM_Participant1=AJ516)*(TM_Participant2=G516),0)),"")</f>
        <v/>
      </c>
      <c r="AO516" s="389" t="str">
        <f t="shared" si="252"/>
        <v/>
      </c>
      <c r="AP516" s="389">
        <f t="shared" si="253"/>
        <v>0</v>
      </c>
      <c r="AQ516" s="389">
        <f t="shared" si="254"/>
        <v>0</v>
      </c>
      <c r="AR516" s="389">
        <f t="shared" si="255"/>
        <v>0</v>
      </c>
      <c r="AS516" s="453">
        <f t="shared" si="256"/>
        <v>0</v>
      </c>
      <c r="AT516" s="452">
        <f t="shared" si="257"/>
        <v>0</v>
      </c>
    </row>
    <row r="517" spans="2:46" ht="16" x14ac:dyDescent="0.2">
      <c r="B517"/>
      <c r="H517" s="387" t="str">
        <f t="shared" si="232"/>
        <v>0-0-0</v>
      </c>
      <c r="I517" s="389">
        <f t="shared" si="233"/>
        <v>0</v>
      </c>
      <c r="J517" s="455" t="str">
        <f t="shared" si="258"/>
        <v/>
      </c>
      <c r="K517" s="455">
        <f t="shared" si="234"/>
        <v>0</v>
      </c>
      <c r="L517" s="455">
        <f t="shared" si="259"/>
        <v>0</v>
      </c>
      <c r="M517" s="389" t="str">
        <f>IFERROR(IF(AD517&lt;=VLOOKUP(D517,Tournaments!$A$1:$B$1772,2,FALSE),"TRUE","FALSE"),"")</f>
        <v/>
      </c>
      <c r="N517" s="389">
        <v>1</v>
      </c>
      <c r="O517" s="389">
        <f t="shared" si="235"/>
        <v>0</v>
      </c>
      <c r="Q517" s="389">
        <f t="shared" si="236"/>
        <v>0</v>
      </c>
      <c r="R517" s="389">
        <f t="shared" si="237"/>
        <v>0</v>
      </c>
      <c r="S517" s="389">
        <f t="shared" si="238"/>
        <v>0</v>
      </c>
      <c r="U517" s="389">
        <f t="shared" si="239"/>
        <v>0</v>
      </c>
      <c r="V517" s="389" t="b">
        <f t="shared" si="240"/>
        <v>0</v>
      </c>
      <c r="W517" s="389">
        <f t="shared" si="241"/>
        <v>0</v>
      </c>
      <c r="X517" s="389">
        <f t="shared" si="242"/>
        <v>0</v>
      </c>
      <c r="Y517" s="389">
        <f t="shared" si="260"/>
        <v>1.0999999999999999E-2</v>
      </c>
      <c r="Z517" s="389">
        <f t="shared" si="243"/>
        <v>1.0999999999999999E-2</v>
      </c>
      <c r="AA517" s="389">
        <f t="shared" si="244"/>
        <v>0</v>
      </c>
      <c r="AB517" s="389">
        <f t="shared" si="245"/>
        <v>1E-4</v>
      </c>
      <c r="AC517" s="389">
        <f t="shared" si="246"/>
        <v>1E-4</v>
      </c>
      <c r="AD517" s="389">
        <f t="shared" si="247"/>
        <v>0</v>
      </c>
      <c r="AE517" s="389">
        <f t="shared" si="248"/>
        <v>0</v>
      </c>
      <c r="AG517" s="311" t="str">
        <f t="shared" si="249"/>
        <v>-</v>
      </c>
      <c r="AH517" s="453" t="str">
        <f t="shared" si="250"/>
        <v/>
      </c>
      <c r="AI517" s="453" t="str">
        <f t="shared" si="251"/>
        <v/>
      </c>
      <c r="AJ517" t="str">
        <f t="array" ref="AJ517">IF(AND(AI517&gt;1,G517&lt;&gt;""),INDEX(FS_teams,MATCH(1,(FS_Keys=AG517)*(FS_Points=I517)*(FS_teams&lt;&gt;G517),0)),"")</f>
        <v/>
      </c>
      <c r="AK517" s="390" t="str">
        <f t="array" ref="AK517">IF(AJ517&lt;&gt;"",INDEX(TM_Score1,MATCH(1,(TM_Events=D517)*(TM_Participant1=G517)*(TM_Participant2=AJ517),0)),"")</f>
        <v/>
      </c>
      <c r="AL517" s="390" t="str">
        <f t="array" ref="AL517">IF(AJ517&lt;&gt;"",INDEX(TM_Score1,MATCH(1,(TM_Events=D517)*(TM_Participant1=AJ517)*(TM_Participant2=G517),0)),"")</f>
        <v/>
      </c>
      <c r="AM517" s="389" t="str">
        <f t="array" ref="AM517">IF(ISNUMBER(AK517),INDEX(TM_Score2,MATCH(1,(TM_Events=D517)*(TM_Participant1=G517)*(TM_Participant2=AJ517),0)),"")</f>
        <v/>
      </c>
      <c r="AN517" s="389" t="str">
        <f t="array" ref="AN517">IF(ISNUMBER(AL517),INDEX(TM_Score2,MATCH(1,(TM_Events=D517)*(TM_Participant1=AJ517)*(TM_Participant2=G517),0)),"")</f>
        <v/>
      </c>
      <c r="AO517" s="389" t="str">
        <f t="shared" si="252"/>
        <v/>
      </c>
      <c r="AP517" s="389">
        <f t="shared" si="253"/>
        <v>0</v>
      </c>
      <c r="AQ517" s="389">
        <f t="shared" si="254"/>
        <v>0</v>
      </c>
      <c r="AR517" s="389">
        <f t="shared" si="255"/>
        <v>0</v>
      </c>
      <c r="AS517" s="453">
        <f t="shared" si="256"/>
        <v>0</v>
      </c>
      <c r="AT517" s="452">
        <f t="shared" si="257"/>
        <v>0</v>
      </c>
    </row>
    <row r="518" spans="2:46" ht="16" x14ac:dyDescent="0.2">
      <c r="B518"/>
      <c r="H518" s="387" t="str">
        <f t="shared" si="232"/>
        <v>0-0-0</v>
      </c>
      <c r="I518" s="389">
        <f t="shared" si="233"/>
        <v>0</v>
      </c>
      <c r="J518" s="455" t="str">
        <f t="shared" si="258"/>
        <v/>
      </c>
      <c r="K518" s="455">
        <f t="shared" si="234"/>
        <v>0</v>
      </c>
      <c r="L518" s="455">
        <f t="shared" si="259"/>
        <v>0</v>
      </c>
      <c r="M518" s="389" t="str">
        <f>IFERROR(IF(AD518&lt;=VLOOKUP(D518,Tournaments!$A$1:$B$1772,2,FALSE),"TRUE","FALSE"),"")</f>
        <v/>
      </c>
      <c r="N518" s="389">
        <v>1</v>
      </c>
      <c r="O518" s="389">
        <f t="shared" si="235"/>
        <v>0</v>
      </c>
      <c r="Q518" s="389">
        <f t="shared" si="236"/>
        <v>0</v>
      </c>
      <c r="R518" s="389">
        <f t="shared" si="237"/>
        <v>0</v>
      </c>
      <c r="S518" s="389">
        <f t="shared" si="238"/>
        <v>0</v>
      </c>
      <c r="U518" s="389">
        <f t="shared" si="239"/>
        <v>0</v>
      </c>
      <c r="V518" s="389" t="b">
        <f t="shared" si="240"/>
        <v>0</v>
      </c>
      <c r="W518" s="389">
        <f t="shared" si="241"/>
        <v>0</v>
      </c>
      <c r="X518" s="389">
        <f t="shared" si="242"/>
        <v>0</v>
      </c>
      <c r="Y518" s="389">
        <f t="shared" si="260"/>
        <v>1.0999999999999999E-2</v>
      </c>
      <c r="Z518" s="389">
        <f t="shared" si="243"/>
        <v>1.0999999999999999E-2</v>
      </c>
      <c r="AA518" s="389">
        <f t="shared" si="244"/>
        <v>0</v>
      </c>
      <c r="AB518" s="389">
        <f t="shared" si="245"/>
        <v>1E-4</v>
      </c>
      <c r="AC518" s="389">
        <f t="shared" si="246"/>
        <v>1E-4</v>
      </c>
      <c r="AD518" s="389">
        <f t="shared" si="247"/>
        <v>0</v>
      </c>
      <c r="AE518" s="389">
        <f t="shared" si="248"/>
        <v>0</v>
      </c>
      <c r="AG518" s="311" t="str">
        <f t="shared" si="249"/>
        <v>-</v>
      </c>
      <c r="AH518" s="453" t="str">
        <f t="shared" si="250"/>
        <v/>
      </c>
      <c r="AI518" s="453" t="str">
        <f t="shared" si="251"/>
        <v/>
      </c>
      <c r="AJ518" t="str">
        <f t="array" ref="AJ518">IF(AND(AI518&gt;1,G518&lt;&gt;""),INDEX(FS_teams,MATCH(1,(FS_Keys=AG518)*(FS_Points=I518)*(FS_teams&lt;&gt;G518),0)),"")</f>
        <v/>
      </c>
      <c r="AK518" s="390" t="str">
        <f t="array" ref="AK518">IF(AJ518&lt;&gt;"",INDEX(TM_Score1,MATCH(1,(TM_Events=D518)*(TM_Participant1=G518)*(TM_Participant2=AJ518),0)),"")</f>
        <v/>
      </c>
      <c r="AL518" s="390" t="str">
        <f t="array" ref="AL518">IF(AJ518&lt;&gt;"",INDEX(TM_Score1,MATCH(1,(TM_Events=D518)*(TM_Participant1=AJ518)*(TM_Participant2=G518),0)),"")</f>
        <v/>
      </c>
      <c r="AM518" s="389" t="str">
        <f t="array" ref="AM518">IF(ISNUMBER(AK518),INDEX(TM_Score2,MATCH(1,(TM_Events=D518)*(TM_Participant1=G518)*(TM_Participant2=AJ518),0)),"")</f>
        <v/>
      </c>
      <c r="AN518" s="389" t="str">
        <f t="array" ref="AN518">IF(ISNUMBER(AL518),INDEX(TM_Score2,MATCH(1,(TM_Events=D518)*(TM_Participant1=AJ518)*(TM_Participant2=G518),0)),"")</f>
        <v/>
      </c>
      <c r="AO518" s="389" t="str">
        <f t="shared" si="252"/>
        <v/>
      </c>
      <c r="AP518" s="389">
        <f t="shared" si="253"/>
        <v>0</v>
      </c>
      <c r="AQ518" s="389">
        <f t="shared" si="254"/>
        <v>0</v>
      </c>
      <c r="AR518" s="389">
        <f t="shared" si="255"/>
        <v>0</v>
      </c>
      <c r="AS518" s="453">
        <f t="shared" si="256"/>
        <v>0</v>
      </c>
      <c r="AT518" s="452">
        <f t="shared" si="257"/>
        <v>0</v>
      </c>
    </row>
    <row r="519" spans="2:46" ht="16" x14ac:dyDescent="0.2">
      <c r="B519"/>
      <c r="H519" s="387" t="str">
        <f t="shared" si="232"/>
        <v>0-0-0</v>
      </c>
      <c r="I519" s="389">
        <f t="shared" si="233"/>
        <v>0</v>
      </c>
      <c r="J519" s="455" t="str">
        <f t="shared" si="258"/>
        <v/>
      </c>
      <c r="K519" s="455">
        <f t="shared" si="234"/>
        <v>0</v>
      </c>
      <c r="L519" s="455">
        <f t="shared" si="259"/>
        <v>0</v>
      </c>
      <c r="M519" s="389" t="str">
        <f>IFERROR(IF(AD519&lt;=VLOOKUP(D519,Tournaments!$A$1:$B$1772,2,FALSE),"TRUE","FALSE"),"")</f>
        <v/>
      </c>
      <c r="N519" s="389">
        <v>1</v>
      </c>
      <c r="O519" s="389">
        <f t="shared" si="235"/>
        <v>0</v>
      </c>
      <c r="Q519" s="389">
        <f t="shared" si="236"/>
        <v>0</v>
      </c>
      <c r="R519" s="389">
        <f t="shared" si="237"/>
        <v>0</v>
      </c>
      <c r="S519" s="389">
        <f t="shared" si="238"/>
        <v>0</v>
      </c>
      <c r="U519" s="389">
        <f t="shared" si="239"/>
        <v>0</v>
      </c>
      <c r="V519" s="389" t="b">
        <f t="shared" si="240"/>
        <v>0</v>
      </c>
      <c r="W519" s="389">
        <f t="shared" si="241"/>
        <v>0</v>
      </c>
      <c r="X519" s="389">
        <f t="shared" si="242"/>
        <v>0</v>
      </c>
      <c r="Y519" s="389">
        <f t="shared" si="260"/>
        <v>1.0999999999999999E-2</v>
      </c>
      <c r="Z519" s="389">
        <f t="shared" si="243"/>
        <v>1.0999999999999999E-2</v>
      </c>
      <c r="AA519" s="389">
        <f t="shared" si="244"/>
        <v>0</v>
      </c>
      <c r="AB519" s="389">
        <f t="shared" si="245"/>
        <v>1E-4</v>
      </c>
      <c r="AC519" s="389">
        <f t="shared" si="246"/>
        <v>1E-4</v>
      </c>
      <c r="AD519" s="389">
        <f t="shared" si="247"/>
        <v>0</v>
      </c>
      <c r="AE519" s="389">
        <f t="shared" si="248"/>
        <v>0</v>
      </c>
      <c r="AG519" s="311" t="str">
        <f t="shared" si="249"/>
        <v>-</v>
      </c>
      <c r="AH519" s="453" t="str">
        <f t="shared" si="250"/>
        <v/>
      </c>
      <c r="AI519" s="453" t="str">
        <f t="shared" si="251"/>
        <v/>
      </c>
      <c r="AJ519" t="str">
        <f t="array" ref="AJ519">IF(AND(AI519&gt;1,G519&lt;&gt;""),INDEX(FS_teams,MATCH(1,(FS_Keys=AG519)*(FS_Points=I519)*(FS_teams&lt;&gt;G519),0)),"")</f>
        <v/>
      </c>
      <c r="AK519" s="390" t="str">
        <f t="array" ref="AK519">IF(AJ519&lt;&gt;"",INDEX(TM_Score1,MATCH(1,(TM_Events=D519)*(TM_Participant1=G519)*(TM_Participant2=AJ519),0)),"")</f>
        <v/>
      </c>
      <c r="AL519" s="390" t="str">
        <f t="array" ref="AL519">IF(AJ519&lt;&gt;"",INDEX(TM_Score1,MATCH(1,(TM_Events=D519)*(TM_Participant1=AJ519)*(TM_Participant2=G519),0)),"")</f>
        <v/>
      </c>
      <c r="AM519" s="389" t="str">
        <f t="array" ref="AM519">IF(ISNUMBER(AK519),INDEX(TM_Score2,MATCH(1,(TM_Events=D519)*(TM_Participant1=G519)*(TM_Participant2=AJ519),0)),"")</f>
        <v/>
      </c>
      <c r="AN519" s="389" t="str">
        <f t="array" ref="AN519">IF(ISNUMBER(AL519),INDEX(TM_Score2,MATCH(1,(TM_Events=D519)*(TM_Participant1=AJ519)*(TM_Participant2=G519),0)),"")</f>
        <v/>
      </c>
      <c r="AO519" s="389" t="str">
        <f t="shared" si="252"/>
        <v/>
      </c>
      <c r="AP519" s="389">
        <f t="shared" si="253"/>
        <v>0</v>
      </c>
      <c r="AQ519" s="389">
        <f t="shared" si="254"/>
        <v>0</v>
      </c>
      <c r="AR519" s="389">
        <f t="shared" si="255"/>
        <v>0</v>
      </c>
      <c r="AS519" s="453">
        <f t="shared" si="256"/>
        <v>0</v>
      </c>
      <c r="AT519" s="452">
        <f t="shared" si="257"/>
        <v>0</v>
      </c>
    </row>
    <row r="520" spans="2:46" ht="16" x14ac:dyDescent="0.2">
      <c r="B520"/>
      <c r="H520" s="387" t="str">
        <f t="shared" si="232"/>
        <v>0-0-0</v>
      </c>
      <c r="I520" s="389">
        <f t="shared" si="233"/>
        <v>0</v>
      </c>
      <c r="J520" s="455" t="str">
        <f t="shared" si="258"/>
        <v/>
      </c>
      <c r="K520" s="455">
        <f t="shared" si="234"/>
        <v>0</v>
      </c>
      <c r="L520" s="455">
        <f t="shared" si="259"/>
        <v>0</v>
      </c>
      <c r="M520" s="389" t="str">
        <f>IFERROR(IF(AD520&lt;=VLOOKUP(D520,Tournaments!$A$1:$B$1772,2,FALSE),"TRUE","FALSE"),"")</f>
        <v/>
      </c>
      <c r="N520" s="389">
        <v>1</v>
      </c>
      <c r="O520" s="389">
        <f t="shared" si="235"/>
        <v>0</v>
      </c>
      <c r="Q520" s="389">
        <f t="shared" si="236"/>
        <v>0</v>
      </c>
      <c r="R520" s="389">
        <f t="shared" si="237"/>
        <v>0</v>
      </c>
      <c r="S520" s="389">
        <f t="shared" si="238"/>
        <v>0</v>
      </c>
      <c r="U520" s="389">
        <f t="shared" si="239"/>
        <v>0</v>
      </c>
      <c r="V520" s="389" t="b">
        <f t="shared" si="240"/>
        <v>0</v>
      </c>
      <c r="W520" s="389">
        <f t="shared" si="241"/>
        <v>0</v>
      </c>
      <c r="X520" s="389">
        <f t="shared" si="242"/>
        <v>0</v>
      </c>
      <c r="Y520" s="389">
        <f t="shared" si="260"/>
        <v>1.0999999999999999E-2</v>
      </c>
      <c r="Z520" s="389">
        <f t="shared" si="243"/>
        <v>1.0999999999999999E-2</v>
      </c>
      <c r="AA520" s="389">
        <f t="shared" si="244"/>
        <v>0</v>
      </c>
      <c r="AB520" s="389">
        <f t="shared" si="245"/>
        <v>1E-4</v>
      </c>
      <c r="AC520" s="389">
        <f t="shared" si="246"/>
        <v>1E-4</v>
      </c>
      <c r="AD520" s="389">
        <f t="shared" si="247"/>
        <v>0</v>
      </c>
      <c r="AE520" s="389">
        <f t="shared" si="248"/>
        <v>0</v>
      </c>
      <c r="AG520" s="311" t="str">
        <f t="shared" si="249"/>
        <v>-</v>
      </c>
      <c r="AH520" s="453" t="str">
        <f t="shared" si="250"/>
        <v/>
      </c>
      <c r="AI520" s="453" t="str">
        <f t="shared" si="251"/>
        <v/>
      </c>
      <c r="AJ520" t="str">
        <f t="array" ref="AJ520">IF(AND(AI520&gt;1,G520&lt;&gt;""),INDEX(FS_teams,MATCH(1,(FS_Keys=AG520)*(FS_Points=I520)*(FS_teams&lt;&gt;G520),0)),"")</f>
        <v/>
      </c>
      <c r="AK520" s="390" t="str">
        <f t="array" ref="AK520">IF(AJ520&lt;&gt;"",INDEX(TM_Score1,MATCH(1,(TM_Events=D520)*(TM_Participant1=G520)*(TM_Participant2=AJ520),0)),"")</f>
        <v/>
      </c>
      <c r="AL520" s="390" t="str">
        <f t="array" ref="AL520">IF(AJ520&lt;&gt;"",INDEX(TM_Score1,MATCH(1,(TM_Events=D520)*(TM_Participant1=AJ520)*(TM_Participant2=G520),0)),"")</f>
        <v/>
      </c>
      <c r="AM520" s="389" t="str">
        <f t="array" ref="AM520">IF(ISNUMBER(AK520),INDEX(TM_Score2,MATCH(1,(TM_Events=D520)*(TM_Participant1=G520)*(TM_Participant2=AJ520),0)),"")</f>
        <v/>
      </c>
      <c r="AN520" s="389" t="str">
        <f t="array" ref="AN520">IF(ISNUMBER(AL520),INDEX(TM_Score2,MATCH(1,(TM_Events=D520)*(TM_Participant1=AJ520)*(TM_Participant2=G520),0)),"")</f>
        <v/>
      </c>
      <c r="AO520" s="389" t="str">
        <f t="shared" si="252"/>
        <v/>
      </c>
      <c r="AP520" s="389">
        <f t="shared" si="253"/>
        <v>0</v>
      </c>
      <c r="AQ520" s="389">
        <f t="shared" si="254"/>
        <v>0</v>
      </c>
      <c r="AR520" s="389">
        <f t="shared" si="255"/>
        <v>0</v>
      </c>
      <c r="AS520" s="453">
        <f t="shared" si="256"/>
        <v>0</v>
      </c>
      <c r="AT520" s="452">
        <f t="shared" si="257"/>
        <v>0</v>
      </c>
    </row>
    <row r="521" spans="2:46" ht="16" x14ac:dyDescent="0.2">
      <c r="B521"/>
      <c r="H521" s="387" t="str">
        <f t="shared" si="232"/>
        <v>0-0-0</v>
      </c>
      <c r="I521" s="389">
        <f t="shared" si="233"/>
        <v>0</v>
      </c>
      <c r="J521" s="455" t="str">
        <f t="shared" si="258"/>
        <v/>
      </c>
      <c r="K521" s="455">
        <f t="shared" si="234"/>
        <v>0</v>
      </c>
      <c r="L521" s="455">
        <f t="shared" si="259"/>
        <v>0</v>
      </c>
      <c r="M521" s="389" t="str">
        <f>IFERROR(IF(AD521&lt;=VLOOKUP(D521,Tournaments!$A$1:$B$1772,2,FALSE),"TRUE","FALSE"),"")</f>
        <v/>
      </c>
      <c r="N521" s="389">
        <v>1</v>
      </c>
      <c r="O521" s="389">
        <f t="shared" si="235"/>
        <v>0</v>
      </c>
      <c r="Q521" s="389">
        <f t="shared" si="236"/>
        <v>0</v>
      </c>
      <c r="R521" s="389">
        <f t="shared" si="237"/>
        <v>0</v>
      </c>
      <c r="S521" s="389">
        <f t="shared" si="238"/>
        <v>0</v>
      </c>
      <c r="U521" s="389">
        <f t="shared" si="239"/>
        <v>0</v>
      </c>
      <c r="V521" s="389" t="b">
        <f t="shared" si="240"/>
        <v>0</v>
      </c>
      <c r="W521" s="389">
        <f t="shared" si="241"/>
        <v>0</v>
      </c>
      <c r="X521" s="389">
        <f t="shared" si="242"/>
        <v>0</v>
      </c>
      <c r="Y521" s="389">
        <f t="shared" si="260"/>
        <v>1.0999999999999999E-2</v>
      </c>
      <c r="Z521" s="389">
        <f t="shared" si="243"/>
        <v>1.0999999999999999E-2</v>
      </c>
      <c r="AA521" s="389">
        <f t="shared" si="244"/>
        <v>0</v>
      </c>
      <c r="AB521" s="389">
        <f t="shared" si="245"/>
        <v>1E-4</v>
      </c>
      <c r="AC521" s="389">
        <f t="shared" si="246"/>
        <v>1E-4</v>
      </c>
      <c r="AD521" s="389">
        <f t="shared" si="247"/>
        <v>0</v>
      </c>
      <c r="AE521" s="389">
        <f t="shared" si="248"/>
        <v>0</v>
      </c>
      <c r="AG521" s="311" t="str">
        <f t="shared" si="249"/>
        <v>-</v>
      </c>
      <c r="AH521" s="453" t="str">
        <f t="shared" si="250"/>
        <v/>
      </c>
      <c r="AI521" s="453" t="str">
        <f t="shared" si="251"/>
        <v/>
      </c>
      <c r="AJ521" t="str">
        <f t="array" ref="AJ521">IF(AND(AI521&gt;1,G521&lt;&gt;""),INDEX(FS_teams,MATCH(1,(FS_Keys=AG521)*(FS_Points=I521)*(FS_teams&lt;&gt;G521),0)),"")</f>
        <v/>
      </c>
      <c r="AK521" s="390" t="str">
        <f t="array" ref="AK521">IF(AJ521&lt;&gt;"",INDEX(TM_Score1,MATCH(1,(TM_Events=D521)*(TM_Participant1=G521)*(TM_Participant2=AJ521),0)),"")</f>
        <v/>
      </c>
      <c r="AL521" s="390" t="str">
        <f t="array" ref="AL521">IF(AJ521&lt;&gt;"",INDEX(TM_Score1,MATCH(1,(TM_Events=D521)*(TM_Participant1=AJ521)*(TM_Participant2=G521),0)),"")</f>
        <v/>
      </c>
      <c r="AM521" s="389" t="str">
        <f t="array" ref="AM521">IF(ISNUMBER(AK521),INDEX(TM_Score2,MATCH(1,(TM_Events=D521)*(TM_Participant1=G521)*(TM_Participant2=AJ521),0)),"")</f>
        <v/>
      </c>
      <c r="AN521" s="389" t="str">
        <f t="array" ref="AN521">IF(ISNUMBER(AL521),INDEX(TM_Score2,MATCH(1,(TM_Events=D521)*(TM_Participant1=AJ521)*(TM_Participant2=G521),0)),"")</f>
        <v/>
      </c>
      <c r="AO521" s="389" t="str">
        <f t="shared" si="252"/>
        <v/>
      </c>
      <c r="AP521" s="389">
        <f t="shared" si="253"/>
        <v>0</v>
      </c>
      <c r="AQ521" s="389">
        <f t="shared" si="254"/>
        <v>0</v>
      </c>
      <c r="AR521" s="389">
        <f t="shared" si="255"/>
        <v>0</v>
      </c>
      <c r="AS521" s="453">
        <f t="shared" si="256"/>
        <v>0</v>
      </c>
      <c r="AT521" s="452">
        <f t="shared" si="257"/>
        <v>0</v>
      </c>
    </row>
    <row r="522" spans="2:46" ht="16" x14ac:dyDescent="0.2">
      <c r="B522"/>
      <c r="H522" s="387" t="str">
        <f t="shared" si="232"/>
        <v>0-0-0</v>
      </c>
      <c r="I522" s="389">
        <f t="shared" si="233"/>
        <v>0</v>
      </c>
      <c r="J522" s="455" t="str">
        <f t="shared" si="258"/>
        <v/>
      </c>
      <c r="K522" s="455">
        <f t="shared" si="234"/>
        <v>0</v>
      </c>
      <c r="L522" s="455">
        <f t="shared" si="259"/>
        <v>0</v>
      </c>
      <c r="M522" s="389" t="str">
        <f>IFERROR(IF(AD522&lt;=VLOOKUP(D522,Tournaments!$A$1:$B$1772,2,FALSE),"TRUE","FALSE"),"")</f>
        <v/>
      </c>
      <c r="N522" s="389">
        <v>1</v>
      </c>
      <c r="O522" s="389">
        <f t="shared" si="235"/>
        <v>0</v>
      </c>
      <c r="Q522" s="389">
        <f t="shared" si="236"/>
        <v>0</v>
      </c>
      <c r="R522" s="389">
        <f t="shared" si="237"/>
        <v>0</v>
      </c>
      <c r="S522" s="389">
        <f t="shared" si="238"/>
        <v>0</v>
      </c>
      <c r="U522" s="389">
        <f t="shared" si="239"/>
        <v>0</v>
      </c>
      <c r="V522" s="389" t="b">
        <f t="shared" si="240"/>
        <v>0</v>
      </c>
      <c r="W522" s="389">
        <f t="shared" si="241"/>
        <v>0</v>
      </c>
      <c r="X522" s="389">
        <f t="shared" si="242"/>
        <v>0</v>
      </c>
      <c r="Y522" s="389">
        <f t="shared" si="260"/>
        <v>1.0999999999999999E-2</v>
      </c>
      <c r="Z522" s="389">
        <f t="shared" si="243"/>
        <v>1.0999999999999999E-2</v>
      </c>
      <c r="AA522" s="389">
        <f t="shared" si="244"/>
        <v>0</v>
      </c>
      <c r="AB522" s="389">
        <f t="shared" si="245"/>
        <v>1E-4</v>
      </c>
      <c r="AC522" s="389">
        <f t="shared" si="246"/>
        <v>1E-4</v>
      </c>
      <c r="AD522" s="389">
        <f t="shared" si="247"/>
        <v>0</v>
      </c>
      <c r="AE522" s="389">
        <f t="shared" si="248"/>
        <v>0</v>
      </c>
      <c r="AG522" s="311" t="str">
        <f t="shared" si="249"/>
        <v>-</v>
      </c>
      <c r="AH522" s="453" t="str">
        <f t="shared" si="250"/>
        <v/>
      </c>
      <c r="AI522" s="453" t="str">
        <f t="shared" si="251"/>
        <v/>
      </c>
      <c r="AJ522" t="str">
        <f t="array" ref="AJ522">IF(AND(AI522&gt;1,G522&lt;&gt;""),INDEX(FS_teams,MATCH(1,(FS_Keys=AG522)*(FS_Points=I522)*(FS_teams&lt;&gt;G522),0)),"")</f>
        <v/>
      </c>
      <c r="AK522" s="390" t="str">
        <f t="array" ref="AK522">IF(AJ522&lt;&gt;"",INDEX(TM_Score1,MATCH(1,(TM_Events=D522)*(TM_Participant1=G522)*(TM_Participant2=AJ522),0)),"")</f>
        <v/>
      </c>
      <c r="AL522" s="390" t="str">
        <f t="array" ref="AL522">IF(AJ522&lt;&gt;"",INDEX(TM_Score1,MATCH(1,(TM_Events=D522)*(TM_Participant1=AJ522)*(TM_Participant2=G522),0)),"")</f>
        <v/>
      </c>
      <c r="AM522" s="389" t="str">
        <f t="array" ref="AM522">IF(ISNUMBER(AK522),INDEX(TM_Score2,MATCH(1,(TM_Events=D522)*(TM_Participant1=G522)*(TM_Participant2=AJ522),0)),"")</f>
        <v/>
      </c>
      <c r="AN522" s="389" t="str">
        <f t="array" ref="AN522">IF(ISNUMBER(AL522),INDEX(TM_Score2,MATCH(1,(TM_Events=D522)*(TM_Participant1=AJ522)*(TM_Participant2=G522),0)),"")</f>
        <v/>
      </c>
      <c r="AO522" s="389" t="str">
        <f t="shared" si="252"/>
        <v/>
      </c>
      <c r="AP522" s="389">
        <f t="shared" si="253"/>
        <v>0</v>
      </c>
      <c r="AQ522" s="389">
        <f t="shared" si="254"/>
        <v>0</v>
      </c>
      <c r="AR522" s="389">
        <f t="shared" si="255"/>
        <v>0</v>
      </c>
      <c r="AS522" s="453">
        <f t="shared" si="256"/>
        <v>0</v>
      </c>
      <c r="AT522" s="452">
        <f t="shared" si="257"/>
        <v>0</v>
      </c>
    </row>
    <row r="523" spans="2:46" ht="16" x14ac:dyDescent="0.2">
      <c r="B523"/>
      <c r="H523" s="387" t="str">
        <f t="shared" si="232"/>
        <v>0-0-0</v>
      </c>
      <c r="I523" s="389">
        <f t="shared" si="233"/>
        <v>0</v>
      </c>
      <c r="J523" s="455" t="str">
        <f t="shared" si="258"/>
        <v/>
      </c>
      <c r="K523" s="455">
        <f t="shared" si="234"/>
        <v>0</v>
      </c>
      <c r="L523" s="455">
        <f t="shared" si="259"/>
        <v>0</v>
      </c>
      <c r="M523" s="389" t="str">
        <f>IFERROR(IF(AD523&lt;=VLOOKUP(D523,Tournaments!$A$1:$B$1772,2,FALSE),"TRUE","FALSE"),"")</f>
        <v/>
      </c>
      <c r="N523" s="389">
        <v>1</v>
      </c>
      <c r="O523" s="389">
        <f t="shared" si="235"/>
        <v>0</v>
      </c>
      <c r="Q523" s="389">
        <f t="shared" si="236"/>
        <v>0</v>
      </c>
      <c r="R523" s="389">
        <f t="shared" si="237"/>
        <v>0</v>
      </c>
      <c r="S523" s="389">
        <f t="shared" si="238"/>
        <v>0</v>
      </c>
      <c r="U523" s="389">
        <f t="shared" si="239"/>
        <v>0</v>
      </c>
      <c r="V523" s="389" t="b">
        <f t="shared" si="240"/>
        <v>0</v>
      </c>
      <c r="W523" s="389">
        <f t="shared" si="241"/>
        <v>0</v>
      </c>
      <c r="X523" s="389">
        <f t="shared" si="242"/>
        <v>0</v>
      </c>
      <c r="Y523" s="389">
        <f t="shared" si="260"/>
        <v>1.0999999999999999E-2</v>
      </c>
      <c r="Z523" s="389">
        <f t="shared" si="243"/>
        <v>1.0999999999999999E-2</v>
      </c>
      <c r="AA523" s="389">
        <f t="shared" si="244"/>
        <v>0</v>
      </c>
      <c r="AB523" s="389">
        <f t="shared" si="245"/>
        <v>1E-4</v>
      </c>
      <c r="AC523" s="389">
        <f t="shared" si="246"/>
        <v>1E-4</v>
      </c>
      <c r="AD523" s="389">
        <f t="shared" si="247"/>
        <v>0</v>
      </c>
      <c r="AE523" s="389">
        <f t="shared" si="248"/>
        <v>0</v>
      </c>
      <c r="AG523" s="311" t="str">
        <f t="shared" si="249"/>
        <v>-</v>
      </c>
      <c r="AH523" s="453" t="str">
        <f t="shared" si="250"/>
        <v/>
      </c>
      <c r="AI523" s="453" t="str">
        <f t="shared" si="251"/>
        <v/>
      </c>
      <c r="AJ523" t="str">
        <f t="array" ref="AJ523">IF(AND(AI523&gt;1,G523&lt;&gt;""),INDEX(FS_teams,MATCH(1,(FS_Keys=AG523)*(FS_Points=I523)*(FS_teams&lt;&gt;G523),0)),"")</f>
        <v/>
      </c>
      <c r="AK523" s="390" t="str">
        <f t="array" ref="AK523">IF(AJ523&lt;&gt;"",INDEX(TM_Score1,MATCH(1,(TM_Events=D523)*(TM_Participant1=G523)*(TM_Participant2=AJ523),0)),"")</f>
        <v/>
      </c>
      <c r="AL523" s="390" t="str">
        <f t="array" ref="AL523">IF(AJ523&lt;&gt;"",INDEX(TM_Score1,MATCH(1,(TM_Events=D523)*(TM_Participant1=AJ523)*(TM_Participant2=G523),0)),"")</f>
        <v/>
      </c>
      <c r="AM523" s="389" t="str">
        <f t="array" ref="AM523">IF(ISNUMBER(AK523),INDEX(TM_Score2,MATCH(1,(TM_Events=D523)*(TM_Participant1=G523)*(TM_Participant2=AJ523),0)),"")</f>
        <v/>
      </c>
      <c r="AN523" s="389" t="str">
        <f t="array" ref="AN523">IF(ISNUMBER(AL523),INDEX(TM_Score2,MATCH(1,(TM_Events=D523)*(TM_Participant1=AJ523)*(TM_Participant2=G523),0)),"")</f>
        <v/>
      </c>
      <c r="AO523" s="389" t="str">
        <f t="shared" si="252"/>
        <v/>
      </c>
      <c r="AP523" s="389">
        <f t="shared" si="253"/>
        <v>0</v>
      </c>
      <c r="AQ523" s="389">
        <f t="shared" si="254"/>
        <v>0</v>
      </c>
      <c r="AR523" s="389">
        <f t="shared" si="255"/>
        <v>0</v>
      </c>
      <c r="AS523" s="453">
        <f t="shared" si="256"/>
        <v>0</v>
      </c>
      <c r="AT523" s="452">
        <f t="shared" si="257"/>
        <v>0</v>
      </c>
    </row>
    <row r="524" spans="2:46" ht="16" x14ac:dyDescent="0.2">
      <c r="B524"/>
      <c r="H524" s="387" t="str">
        <f t="shared" si="232"/>
        <v>0-0-0</v>
      </c>
      <c r="I524" s="389">
        <f t="shared" si="233"/>
        <v>0</v>
      </c>
      <c r="J524" s="455" t="str">
        <f t="shared" si="258"/>
        <v/>
      </c>
      <c r="K524" s="455">
        <f t="shared" si="234"/>
        <v>0</v>
      </c>
      <c r="L524" s="455">
        <f t="shared" si="259"/>
        <v>0</v>
      </c>
      <c r="M524" s="389" t="str">
        <f>IFERROR(IF(AD524&lt;=VLOOKUP(D524,Tournaments!$A$1:$B$1772,2,FALSE),"TRUE","FALSE"),"")</f>
        <v/>
      </c>
      <c r="N524" s="389">
        <v>1</v>
      </c>
      <c r="O524" s="389">
        <f t="shared" si="235"/>
        <v>0</v>
      </c>
      <c r="Q524" s="389">
        <f t="shared" si="236"/>
        <v>0</v>
      </c>
      <c r="R524" s="389">
        <f t="shared" si="237"/>
        <v>0</v>
      </c>
      <c r="S524" s="389">
        <f t="shared" si="238"/>
        <v>0</v>
      </c>
      <c r="U524" s="389">
        <f t="shared" si="239"/>
        <v>0</v>
      </c>
      <c r="V524" s="389" t="b">
        <f t="shared" si="240"/>
        <v>0</v>
      </c>
      <c r="W524" s="389">
        <f t="shared" si="241"/>
        <v>0</v>
      </c>
      <c r="X524" s="389">
        <f t="shared" si="242"/>
        <v>0</v>
      </c>
      <c r="Y524" s="389">
        <f t="shared" si="260"/>
        <v>1.0999999999999999E-2</v>
      </c>
      <c r="Z524" s="389">
        <f t="shared" si="243"/>
        <v>1.0999999999999999E-2</v>
      </c>
      <c r="AA524" s="389">
        <f t="shared" si="244"/>
        <v>0</v>
      </c>
      <c r="AB524" s="389">
        <f t="shared" si="245"/>
        <v>1E-4</v>
      </c>
      <c r="AC524" s="389">
        <f t="shared" si="246"/>
        <v>1E-4</v>
      </c>
      <c r="AD524" s="389">
        <f t="shared" si="247"/>
        <v>0</v>
      </c>
      <c r="AE524" s="389">
        <f t="shared" si="248"/>
        <v>0</v>
      </c>
      <c r="AG524" s="311" t="str">
        <f t="shared" si="249"/>
        <v>-</v>
      </c>
      <c r="AH524" s="453" t="str">
        <f t="shared" si="250"/>
        <v/>
      </c>
      <c r="AI524" s="453" t="str">
        <f t="shared" si="251"/>
        <v/>
      </c>
      <c r="AJ524" t="str">
        <f t="array" ref="AJ524">IF(AND(AI524&gt;1,G524&lt;&gt;""),INDEX(FS_teams,MATCH(1,(FS_Keys=AG524)*(FS_Points=I524)*(FS_teams&lt;&gt;G524),0)),"")</f>
        <v/>
      </c>
      <c r="AK524" s="390" t="str">
        <f t="array" ref="AK524">IF(AJ524&lt;&gt;"",INDEX(TM_Score1,MATCH(1,(TM_Events=D524)*(TM_Participant1=G524)*(TM_Participant2=AJ524),0)),"")</f>
        <v/>
      </c>
      <c r="AL524" s="390" t="str">
        <f t="array" ref="AL524">IF(AJ524&lt;&gt;"",INDEX(TM_Score1,MATCH(1,(TM_Events=D524)*(TM_Participant1=AJ524)*(TM_Participant2=G524),0)),"")</f>
        <v/>
      </c>
      <c r="AM524" s="389" t="str">
        <f t="array" ref="AM524">IF(ISNUMBER(AK524),INDEX(TM_Score2,MATCH(1,(TM_Events=D524)*(TM_Participant1=G524)*(TM_Participant2=AJ524),0)),"")</f>
        <v/>
      </c>
      <c r="AN524" s="389" t="str">
        <f t="array" ref="AN524">IF(ISNUMBER(AL524),INDEX(TM_Score2,MATCH(1,(TM_Events=D524)*(TM_Participant1=AJ524)*(TM_Participant2=G524),0)),"")</f>
        <v/>
      </c>
      <c r="AO524" s="389" t="str">
        <f t="shared" si="252"/>
        <v/>
      </c>
      <c r="AP524" s="389">
        <f t="shared" si="253"/>
        <v>0</v>
      </c>
      <c r="AQ524" s="389">
        <f t="shared" si="254"/>
        <v>0</v>
      </c>
      <c r="AR524" s="389">
        <f t="shared" si="255"/>
        <v>0</v>
      </c>
      <c r="AS524" s="453">
        <f t="shared" si="256"/>
        <v>0</v>
      </c>
      <c r="AT524" s="452">
        <f t="shared" si="257"/>
        <v>0</v>
      </c>
    </row>
    <row r="525" spans="2:46" ht="16" x14ac:dyDescent="0.2">
      <c r="B525"/>
      <c r="H525" s="387" t="str">
        <f t="shared" si="232"/>
        <v>0-0-0</v>
      </c>
      <c r="I525" s="389">
        <f t="shared" si="233"/>
        <v>0</v>
      </c>
      <c r="J525" s="455" t="str">
        <f t="shared" si="258"/>
        <v/>
      </c>
      <c r="K525" s="455">
        <f t="shared" si="234"/>
        <v>0</v>
      </c>
      <c r="L525" s="455">
        <f t="shared" si="259"/>
        <v>0</v>
      </c>
      <c r="M525" s="389" t="str">
        <f>IFERROR(IF(AD525&lt;=VLOOKUP(D525,Tournaments!$A$1:$B$1772,2,FALSE),"TRUE","FALSE"),"")</f>
        <v/>
      </c>
      <c r="N525" s="389">
        <v>1</v>
      </c>
      <c r="O525" s="389">
        <f t="shared" si="235"/>
        <v>0</v>
      </c>
      <c r="Q525" s="389">
        <f t="shared" si="236"/>
        <v>0</v>
      </c>
      <c r="R525" s="389">
        <f t="shared" si="237"/>
        <v>0</v>
      </c>
      <c r="S525" s="389">
        <f t="shared" si="238"/>
        <v>0</v>
      </c>
      <c r="U525" s="389">
        <f t="shared" si="239"/>
        <v>0</v>
      </c>
      <c r="V525" s="389" t="b">
        <f t="shared" si="240"/>
        <v>0</v>
      </c>
      <c r="W525" s="389">
        <f t="shared" si="241"/>
        <v>0</v>
      </c>
      <c r="X525" s="389">
        <f t="shared" si="242"/>
        <v>0</v>
      </c>
      <c r="Y525" s="389">
        <f t="shared" si="260"/>
        <v>1.0999999999999999E-2</v>
      </c>
      <c r="Z525" s="389">
        <f t="shared" si="243"/>
        <v>1.0999999999999999E-2</v>
      </c>
      <c r="AA525" s="389">
        <f t="shared" si="244"/>
        <v>0</v>
      </c>
      <c r="AB525" s="389">
        <f t="shared" si="245"/>
        <v>1E-4</v>
      </c>
      <c r="AC525" s="389">
        <f t="shared" si="246"/>
        <v>1E-4</v>
      </c>
      <c r="AD525" s="389">
        <f t="shared" si="247"/>
        <v>0</v>
      </c>
      <c r="AE525" s="389">
        <f t="shared" si="248"/>
        <v>0</v>
      </c>
      <c r="AG525" s="311" t="str">
        <f t="shared" si="249"/>
        <v>-</v>
      </c>
      <c r="AH525" s="453" t="str">
        <f t="shared" si="250"/>
        <v/>
      </c>
      <c r="AI525" s="453" t="str">
        <f t="shared" si="251"/>
        <v/>
      </c>
      <c r="AJ525" t="str">
        <f t="array" ref="AJ525">IF(AND(AI525&gt;1,G525&lt;&gt;""),INDEX(FS_teams,MATCH(1,(FS_Keys=AG525)*(FS_Points=I525)*(FS_teams&lt;&gt;G525),0)),"")</f>
        <v/>
      </c>
      <c r="AK525" s="390" t="str">
        <f t="array" ref="AK525">IF(AJ525&lt;&gt;"",INDEX(TM_Score1,MATCH(1,(TM_Events=D525)*(TM_Participant1=G525)*(TM_Participant2=AJ525),0)),"")</f>
        <v/>
      </c>
      <c r="AL525" s="390" t="str">
        <f t="array" ref="AL525">IF(AJ525&lt;&gt;"",INDEX(TM_Score1,MATCH(1,(TM_Events=D525)*(TM_Participant1=AJ525)*(TM_Participant2=G525),0)),"")</f>
        <v/>
      </c>
      <c r="AM525" s="389" t="str">
        <f t="array" ref="AM525">IF(ISNUMBER(AK525),INDEX(TM_Score2,MATCH(1,(TM_Events=D525)*(TM_Participant1=G525)*(TM_Participant2=AJ525),0)),"")</f>
        <v/>
      </c>
      <c r="AN525" s="389" t="str">
        <f t="array" ref="AN525">IF(ISNUMBER(AL525),INDEX(TM_Score2,MATCH(1,(TM_Events=D525)*(TM_Participant1=AJ525)*(TM_Participant2=G525),0)),"")</f>
        <v/>
      </c>
      <c r="AO525" s="389" t="str">
        <f t="shared" si="252"/>
        <v/>
      </c>
      <c r="AP525" s="389">
        <f t="shared" si="253"/>
        <v>0</v>
      </c>
      <c r="AQ525" s="389">
        <f t="shared" si="254"/>
        <v>0</v>
      </c>
      <c r="AR525" s="389">
        <f t="shared" si="255"/>
        <v>0</v>
      </c>
      <c r="AS525" s="453">
        <f t="shared" si="256"/>
        <v>0</v>
      </c>
      <c r="AT525" s="452">
        <f t="shared" si="257"/>
        <v>0</v>
      </c>
    </row>
    <row r="526" spans="2:46" ht="16" x14ac:dyDescent="0.2">
      <c r="B526"/>
      <c r="H526" s="387" t="str">
        <f t="shared" si="232"/>
        <v>0-0-0</v>
      </c>
      <c r="I526" s="389">
        <f t="shared" si="233"/>
        <v>0</v>
      </c>
      <c r="J526" s="455" t="str">
        <f t="shared" si="258"/>
        <v/>
      </c>
      <c r="K526" s="455">
        <f t="shared" si="234"/>
        <v>0</v>
      </c>
      <c r="L526" s="455">
        <f t="shared" si="259"/>
        <v>0</v>
      </c>
      <c r="M526" s="389" t="str">
        <f>IFERROR(IF(AD526&lt;=VLOOKUP(D526,Tournaments!$A$1:$B$1772,2,FALSE),"TRUE","FALSE"),"")</f>
        <v/>
      </c>
      <c r="N526" s="389">
        <v>1</v>
      </c>
      <c r="O526" s="389">
        <f t="shared" si="235"/>
        <v>0</v>
      </c>
      <c r="Q526" s="389">
        <f t="shared" si="236"/>
        <v>0</v>
      </c>
      <c r="R526" s="389">
        <f t="shared" si="237"/>
        <v>0</v>
      </c>
      <c r="S526" s="389">
        <f t="shared" si="238"/>
        <v>0</v>
      </c>
      <c r="U526" s="389">
        <f t="shared" si="239"/>
        <v>0</v>
      </c>
      <c r="V526" s="389" t="b">
        <f t="shared" si="240"/>
        <v>0</v>
      </c>
      <c r="W526" s="389">
        <f t="shared" si="241"/>
        <v>0</v>
      </c>
      <c r="X526" s="389">
        <f t="shared" si="242"/>
        <v>0</v>
      </c>
      <c r="Y526" s="389">
        <f t="shared" si="260"/>
        <v>1.0999999999999999E-2</v>
      </c>
      <c r="Z526" s="389">
        <f t="shared" si="243"/>
        <v>1.0999999999999999E-2</v>
      </c>
      <c r="AA526" s="389">
        <f t="shared" si="244"/>
        <v>0</v>
      </c>
      <c r="AB526" s="389">
        <f t="shared" si="245"/>
        <v>1E-4</v>
      </c>
      <c r="AC526" s="389">
        <f t="shared" si="246"/>
        <v>1E-4</v>
      </c>
      <c r="AD526" s="389">
        <f t="shared" si="247"/>
        <v>0</v>
      </c>
      <c r="AE526" s="389">
        <f t="shared" si="248"/>
        <v>0</v>
      </c>
      <c r="AG526" s="311" t="str">
        <f t="shared" si="249"/>
        <v>-</v>
      </c>
      <c r="AH526" s="453" t="str">
        <f t="shared" si="250"/>
        <v/>
      </c>
      <c r="AI526" s="453" t="str">
        <f t="shared" si="251"/>
        <v/>
      </c>
      <c r="AJ526" t="str">
        <f t="array" ref="AJ526">IF(AND(AI526&gt;1,G526&lt;&gt;""),INDEX(FS_teams,MATCH(1,(FS_Keys=AG526)*(FS_Points=I526)*(FS_teams&lt;&gt;G526),0)),"")</f>
        <v/>
      </c>
      <c r="AK526" s="390" t="str">
        <f t="array" ref="AK526">IF(AJ526&lt;&gt;"",INDEX(TM_Score1,MATCH(1,(TM_Events=D526)*(TM_Participant1=G526)*(TM_Participant2=AJ526),0)),"")</f>
        <v/>
      </c>
      <c r="AL526" s="390" t="str">
        <f t="array" ref="AL526">IF(AJ526&lt;&gt;"",INDEX(TM_Score1,MATCH(1,(TM_Events=D526)*(TM_Participant1=AJ526)*(TM_Participant2=G526),0)),"")</f>
        <v/>
      </c>
      <c r="AM526" s="389" t="str">
        <f t="array" ref="AM526">IF(ISNUMBER(AK526),INDEX(TM_Score2,MATCH(1,(TM_Events=D526)*(TM_Participant1=G526)*(TM_Participant2=AJ526),0)),"")</f>
        <v/>
      </c>
      <c r="AN526" s="389" t="str">
        <f t="array" ref="AN526">IF(ISNUMBER(AL526),INDEX(TM_Score2,MATCH(1,(TM_Events=D526)*(TM_Participant1=AJ526)*(TM_Participant2=G526),0)),"")</f>
        <v/>
      </c>
      <c r="AO526" s="389" t="str">
        <f t="shared" si="252"/>
        <v/>
      </c>
      <c r="AP526" s="389">
        <f t="shared" si="253"/>
        <v>0</v>
      </c>
      <c r="AQ526" s="389">
        <f t="shared" si="254"/>
        <v>0</v>
      </c>
      <c r="AR526" s="389">
        <f t="shared" si="255"/>
        <v>0</v>
      </c>
      <c r="AS526" s="453">
        <f t="shared" si="256"/>
        <v>0</v>
      </c>
      <c r="AT526" s="452">
        <f t="shared" si="257"/>
        <v>0</v>
      </c>
    </row>
    <row r="527" spans="2:46" ht="16" x14ac:dyDescent="0.2">
      <c r="B527"/>
      <c r="H527" s="387" t="str">
        <f t="shared" si="232"/>
        <v>0-0-0</v>
      </c>
      <c r="I527" s="389">
        <f t="shared" si="233"/>
        <v>0</v>
      </c>
      <c r="J527" s="455" t="str">
        <f t="shared" si="258"/>
        <v/>
      </c>
      <c r="K527" s="455">
        <f t="shared" si="234"/>
        <v>0</v>
      </c>
      <c r="L527" s="455">
        <f t="shared" si="259"/>
        <v>0</v>
      </c>
      <c r="M527" s="389" t="str">
        <f>IFERROR(IF(AD527&lt;=VLOOKUP(D527,Tournaments!$A$1:$B$1772,2,FALSE),"TRUE","FALSE"),"")</f>
        <v/>
      </c>
      <c r="N527" s="389">
        <v>1</v>
      </c>
      <c r="O527" s="389">
        <f t="shared" si="235"/>
        <v>0</v>
      </c>
      <c r="Q527" s="389">
        <f t="shared" si="236"/>
        <v>0</v>
      </c>
      <c r="R527" s="389">
        <f t="shared" si="237"/>
        <v>0</v>
      </c>
      <c r="S527" s="389">
        <f t="shared" si="238"/>
        <v>0</v>
      </c>
      <c r="U527" s="389">
        <f t="shared" si="239"/>
        <v>0</v>
      </c>
      <c r="V527" s="389" t="b">
        <f t="shared" si="240"/>
        <v>0</v>
      </c>
      <c r="W527" s="389">
        <f t="shared" si="241"/>
        <v>0</v>
      </c>
      <c r="X527" s="389">
        <f t="shared" si="242"/>
        <v>0</v>
      </c>
      <c r="Y527" s="389">
        <f t="shared" si="260"/>
        <v>1.0999999999999999E-2</v>
      </c>
      <c r="Z527" s="389">
        <f t="shared" si="243"/>
        <v>1.0999999999999999E-2</v>
      </c>
      <c r="AA527" s="389">
        <f t="shared" si="244"/>
        <v>0</v>
      </c>
      <c r="AB527" s="389">
        <f t="shared" si="245"/>
        <v>1E-4</v>
      </c>
      <c r="AC527" s="389">
        <f t="shared" si="246"/>
        <v>1E-4</v>
      </c>
      <c r="AD527" s="389">
        <f t="shared" si="247"/>
        <v>0</v>
      </c>
      <c r="AE527" s="389">
        <f t="shared" si="248"/>
        <v>0</v>
      </c>
      <c r="AG527" s="311" t="str">
        <f t="shared" si="249"/>
        <v>-</v>
      </c>
      <c r="AH527" s="453" t="str">
        <f t="shared" si="250"/>
        <v/>
      </c>
      <c r="AI527" s="453" t="str">
        <f t="shared" si="251"/>
        <v/>
      </c>
      <c r="AJ527" t="str">
        <f t="array" ref="AJ527">IF(AND(AI527&gt;1,G527&lt;&gt;""),INDEX(FS_teams,MATCH(1,(FS_Keys=AG527)*(FS_Points=I527)*(FS_teams&lt;&gt;G527),0)),"")</f>
        <v/>
      </c>
      <c r="AK527" s="390" t="str">
        <f t="array" ref="AK527">IF(AJ527&lt;&gt;"",INDEX(TM_Score1,MATCH(1,(TM_Events=D527)*(TM_Participant1=G527)*(TM_Participant2=AJ527),0)),"")</f>
        <v/>
      </c>
      <c r="AL527" s="390" t="str">
        <f t="array" ref="AL527">IF(AJ527&lt;&gt;"",INDEX(TM_Score1,MATCH(1,(TM_Events=D527)*(TM_Participant1=AJ527)*(TM_Participant2=G527),0)),"")</f>
        <v/>
      </c>
      <c r="AM527" s="389" t="str">
        <f t="array" ref="AM527">IF(ISNUMBER(AK527),INDEX(TM_Score2,MATCH(1,(TM_Events=D527)*(TM_Participant1=G527)*(TM_Participant2=AJ527),0)),"")</f>
        <v/>
      </c>
      <c r="AN527" s="389" t="str">
        <f t="array" ref="AN527">IF(ISNUMBER(AL527),INDEX(TM_Score2,MATCH(1,(TM_Events=D527)*(TM_Participant1=AJ527)*(TM_Participant2=G527),0)),"")</f>
        <v/>
      </c>
      <c r="AO527" s="389" t="str">
        <f t="shared" si="252"/>
        <v/>
      </c>
      <c r="AP527" s="389">
        <f t="shared" si="253"/>
        <v>0</v>
      </c>
      <c r="AQ527" s="389">
        <f t="shared" si="254"/>
        <v>0</v>
      </c>
      <c r="AR527" s="389">
        <f t="shared" si="255"/>
        <v>0</v>
      </c>
      <c r="AS527" s="453">
        <f t="shared" si="256"/>
        <v>0</v>
      </c>
      <c r="AT527" s="452">
        <f t="shared" si="257"/>
        <v>0</v>
      </c>
    </row>
    <row r="528" spans="2:46" ht="16" x14ac:dyDescent="0.2">
      <c r="B528"/>
      <c r="H528" s="387" t="str">
        <f t="shared" si="232"/>
        <v>0-0-0</v>
      </c>
      <c r="I528" s="389">
        <f t="shared" si="233"/>
        <v>0</v>
      </c>
      <c r="J528" s="455" t="str">
        <f t="shared" si="258"/>
        <v/>
      </c>
      <c r="K528" s="455">
        <f t="shared" si="234"/>
        <v>0</v>
      </c>
      <c r="L528" s="455">
        <f t="shared" si="259"/>
        <v>0</v>
      </c>
      <c r="M528" s="389" t="str">
        <f>IFERROR(IF(AD528&lt;=VLOOKUP(D528,Tournaments!$A$1:$B$1772,2,FALSE),"TRUE","FALSE"),"")</f>
        <v/>
      </c>
      <c r="N528" s="389">
        <v>1</v>
      </c>
      <c r="O528" s="389">
        <f t="shared" si="235"/>
        <v>0</v>
      </c>
      <c r="Q528" s="389">
        <f t="shared" si="236"/>
        <v>0</v>
      </c>
      <c r="R528" s="389">
        <f t="shared" si="237"/>
        <v>0</v>
      </c>
      <c r="S528" s="389">
        <f t="shared" si="238"/>
        <v>0</v>
      </c>
      <c r="U528" s="389">
        <f t="shared" si="239"/>
        <v>0</v>
      </c>
      <c r="V528" s="389" t="b">
        <f t="shared" si="240"/>
        <v>0</v>
      </c>
      <c r="W528" s="389">
        <f t="shared" si="241"/>
        <v>0</v>
      </c>
      <c r="X528" s="389">
        <f t="shared" si="242"/>
        <v>0</v>
      </c>
      <c r="Y528" s="389">
        <f t="shared" si="260"/>
        <v>1.0999999999999999E-2</v>
      </c>
      <c r="Z528" s="389">
        <f t="shared" si="243"/>
        <v>1.0999999999999999E-2</v>
      </c>
      <c r="AA528" s="389">
        <f t="shared" si="244"/>
        <v>0</v>
      </c>
      <c r="AB528" s="389">
        <f t="shared" si="245"/>
        <v>1E-4</v>
      </c>
      <c r="AC528" s="389">
        <f t="shared" si="246"/>
        <v>1E-4</v>
      </c>
      <c r="AD528" s="389">
        <f t="shared" si="247"/>
        <v>0</v>
      </c>
      <c r="AE528" s="389">
        <f t="shared" si="248"/>
        <v>0</v>
      </c>
      <c r="AG528" s="311" t="str">
        <f t="shared" si="249"/>
        <v>-</v>
      </c>
      <c r="AH528" s="453" t="str">
        <f t="shared" si="250"/>
        <v/>
      </c>
      <c r="AI528" s="453" t="str">
        <f t="shared" si="251"/>
        <v/>
      </c>
      <c r="AJ528" t="str">
        <f t="array" ref="AJ528">IF(AND(AI528&gt;1,G528&lt;&gt;""),INDEX(FS_teams,MATCH(1,(FS_Keys=AG528)*(FS_Points=I528)*(FS_teams&lt;&gt;G528),0)),"")</f>
        <v/>
      </c>
      <c r="AK528" s="390" t="str">
        <f t="array" ref="AK528">IF(AJ528&lt;&gt;"",INDEX(TM_Score1,MATCH(1,(TM_Events=D528)*(TM_Participant1=G528)*(TM_Participant2=AJ528),0)),"")</f>
        <v/>
      </c>
      <c r="AL528" s="390" t="str">
        <f t="array" ref="AL528">IF(AJ528&lt;&gt;"",INDEX(TM_Score1,MATCH(1,(TM_Events=D528)*(TM_Participant1=AJ528)*(TM_Participant2=G528),0)),"")</f>
        <v/>
      </c>
      <c r="AM528" s="389" t="str">
        <f t="array" ref="AM528">IF(ISNUMBER(AK528),INDEX(TM_Score2,MATCH(1,(TM_Events=D528)*(TM_Participant1=G528)*(TM_Participant2=AJ528),0)),"")</f>
        <v/>
      </c>
      <c r="AN528" s="389" t="str">
        <f t="array" ref="AN528">IF(ISNUMBER(AL528),INDEX(TM_Score2,MATCH(1,(TM_Events=D528)*(TM_Participant1=AJ528)*(TM_Participant2=G528),0)),"")</f>
        <v/>
      </c>
      <c r="AO528" s="389" t="str">
        <f t="shared" si="252"/>
        <v/>
      </c>
      <c r="AP528" s="389">
        <f t="shared" si="253"/>
        <v>0</v>
      </c>
      <c r="AQ528" s="389">
        <f t="shared" si="254"/>
        <v>0</v>
      </c>
      <c r="AR528" s="389">
        <f t="shared" si="255"/>
        <v>0</v>
      </c>
      <c r="AS528" s="453">
        <f t="shared" si="256"/>
        <v>0</v>
      </c>
      <c r="AT528" s="452">
        <f t="shared" si="257"/>
        <v>0</v>
      </c>
    </row>
    <row r="529" spans="2:46" ht="16" x14ac:dyDescent="0.2">
      <c r="B529"/>
      <c r="H529" s="387" t="str">
        <f t="shared" si="232"/>
        <v>0-0-0</v>
      </c>
      <c r="I529" s="389">
        <f t="shared" si="233"/>
        <v>0</v>
      </c>
      <c r="J529" s="455" t="str">
        <f t="shared" si="258"/>
        <v/>
      </c>
      <c r="K529" s="455">
        <f t="shared" si="234"/>
        <v>0</v>
      </c>
      <c r="L529" s="455">
        <f t="shared" si="259"/>
        <v>0</v>
      </c>
      <c r="M529" s="389" t="str">
        <f>IFERROR(IF(AD529&lt;=VLOOKUP(D529,Tournaments!$A$1:$B$1772,2,FALSE),"TRUE","FALSE"),"")</f>
        <v/>
      </c>
      <c r="N529" s="389">
        <v>1</v>
      </c>
      <c r="O529" s="389">
        <f t="shared" si="235"/>
        <v>0</v>
      </c>
      <c r="Q529" s="389">
        <f t="shared" si="236"/>
        <v>0</v>
      </c>
      <c r="R529" s="389">
        <f t="shared" si="237"/>
        <v>0</v>
      </c>
      <c r="S529" s="389">
        <f t="shared" si="238"/>
        <v>0</v>
      </c>
      <c r="U529" s="389">
        <f t="shared" si="239"/>
        <v>0</v>
      </c>
      <c r="V529" s="389" t="b">
        <f t="shared" si="240"/>
        <v>0</v>
      </c>
      <c r="W529" s="389">
        <f t="shared" si="241"/>
        <v>0</v>
      </c>
      <c r="X529" s="389">
        <f t="shared" si="242"/>
        <v>0</v>
      </c>
      <c r="Y529" s="389">
        <f t="shared" si="260"/>
        <v>1.0999999999999999E-2</v>
      </c>
      <c r="Z529" s="389">
        <f t="shared" si="243"/>
        <v>1.0999999999999999E-2</v>
      </c>
      <c r="AA529" s="389">
        <f t="shared" si="244"/>
        <v>0</v>
      </c>
      <c r="AB529" s="389">
        <f t="shared" si="245"/>
        <v>1E-4</v>
      </c>
      <c r="AC529" s="389">
        <f t="shared" si="246"/>
        <v>1E-4</v>
      </c>
      <c r="AD529" s="389">
        <f t="shared" si="247"/>
        <v>0</v>
      </c>
      <c r="AE529" s="389">
        <f t="shared" si="248"/>
        <v>0</v>
      </c>
      <c r="AG529" s="311" t="str">
        <f t="shared" si="249"/>
        <v>-</v>
      </c>
      <c r="AH529" s="453" t="str">
        <f t="shared" si="250"/>
        <v/>
      </c>
      <c r="AI529" s="453" t="str">
        <f t="shared" si="251"/>
        <v/>
      </c>
      <c r="AJ529" t="str">
        <f t="array" ref="AJ529">IF(AND(AI529&gt;1,G529&lt;&gt;""),INDEX(FS_teams,MATCH(1,(FS_Keys=AG529)*(FS_Points=I529)*(FS_teams&lt;&gt;G529),0)),"")</f>
        <v/>
      </c>
      <c r="AK529" s="390" t="str">
        <f t="array" ref="AK529">IF(AJ529&lt;&gt;"",INDEX(TM_Score1,MATCH(1,(TM_Events=D529)*(TM_Participant1=G529)*(TM_Participant2=AJ529),0)),"")</f>
        <v/>
      </c>
      <c r="AL529" s="390" t="str">
        <f t="array" ref="AL529">IF(AJ529&lt;&gt;"",INDEX(TM_Score1,MATCH(1,(TM_Events=D529)*(TM_Participant1=AJ529)*(TM_Participant2=G529),0)),"")</f>
        <v/>
      </c>
      <c r="AM529" s="389" t="str">
        <f t="array" ref="AM529">IF(ISNUMBER(AK529),INDEX(TM_Score2,MATCH(1,(TM_Events=D529)*(TM_Participant1=G529)*(TM_Participant2=AJ529),0)),"")</f>
        <v/>
      </c>
      <c r="AN529" s="389" t="str">
        <f t="array" ref="AN529">IF(ISNUMBER(AL529),INDEX(TM_Score2,MATCH(1,(TM_Events=D529)*(TM_Participant1=AJ529)*(TM_Participant2=G529),0)),"")</f>
        <v/>
      </c>
      <c r="AO529" s="389" t="str">
        <f t="shared" si="252"/>
        <v/>
      </c>
      <c r="AP529" s="389">
        <f t="shared" si="253"/>
        <v>0</v>
      </c>
      <c r="AQ529" s="389">
        <f t="shared" si="254"/>
        <v>0</v>
      </c>
      <c r="AR529" s="389">
        <f t="shared" si="255"/>
        <v>0</v>
      </c>
      <c r="AS529" s="453">
        <f t="shared" si="256"/>
        <v>0</v>
      </c>
      <c r="AT529" s="452">
        <f t="shared" si="257"/>
        <v>0</v>
      </c>
    </row>
    <row r="530" spans="2:46" ht="16" x14ac:dyDescent="0.2">
      <c r="B530"/>
      <c r="H530" s="387" t="str">
        <f t="shared" si="232"/>
        <v>0-0-0</v>
      </c>
      <c r="I530" s="389">
        <f t="shared" si="233"/>
        <v>0</v>
      </c>
      <c r="J530" s="455" t="str">
        <f t="shared" si="258"/>
        <v/>
      </c>
      <c r="K530" s="455">
        <f t="shared" si="234"/>
        <v>0</v>
      </c>
      <c r="L530" s="455">
        <f t="shared" si="259"/>
        <v>0</v>
      </c>
      <c r="M530" s="389" t="str">
        <f>IFERROR(IF(AD530&lt;=VLOOKUP(D530,Tournaments!$A$1:$B$1772,2,FALSE),"TRUE","FALSE"),"")</f>
        <v/>
      </c>
      <c r="N530" s="389">
        <v>1</v>
      </c>
      <c r="O530" s="389">
        <f t="shared" si="235"/>
        <v>0</v>
      </c>
      <c r="Q530" s="389">
        <f t="shared" si="236"/>
        <v>0</v>
      </c>
      <c r="R530" s="389">
        <f t="shared" si="237"/>
        <v>0</v>
      </c>
      <c r="S530" s="389">
        <f t="shared" si="238"/>
        <v>0</v>
      </c>
      <c r="U530" s="389">
        <f t="shared" si="239"/>
        <v>0</v>
      </c>
      <c r="V530" s="389" t="b">
        <f t="shared" si="240"/>
        <v>0</v>
      </c>
      <c r="W530" s="389">
        <f t="shared" si="241"/>
        <v>0</v>
      </c>
      <c r="X530" s="389">
        <f t="shared" si="242"/>
        <v>0</v>
      </c>
      <c r="Y530" s="389">
        <f t="shared" si="260"/>
        <v>1.0999999999999999E-2</v>
      </c>
      <c r="Z530" s="389">
        <f t="shared" si="243"/>
        <v>1.0999999999999999E-2</v>
      </c>
      <c r="AA530" s="389">
        <f t="shared" si="244"/>
        <v>0</v>
      </c>
      <c r="AB530" s="389">
        <f t="shared" si="245"/>
        <v>1E-4</v>
      </c>
      <c r="AC530" s="389">
        <f t="shared" si="246"/>
        <v>1E-4</v>
      </c>
      <c r="AD530" s="389">
        <f t="shared" si="247"/>
        <v>0</v>
      </c>
      <c r="AE530" s="389">
        <f t="shared" si="248"/>
        <v>0</v>
      </c>
      <c r="AG530" s="311" t="str">
        <f t="shared" si="249"/>
        <v>-</v>
      </c>
      <c r="AH530" s="453" t="str">
        <f t="shared" si="250"/>
        <v/>
      </c>
      <c r="AI530" s="453" t="str">
        <f t="shared" si="251"/>
        <v/>
      </c>
      <c r="AJ530" t="str">
        <f t="array" ref="AJ530">IF(AND(AI530&gt;1,G530&lt;&gt;""),INDEX(FS_teams,MATCH(1,(FS_Keys=AG530)*(FS_Points=I530)*(FS_teams&lt;&gt;G530),0)),"")</f>
        <v/>
      </c>
      <c r="AK530" s="390" t="str">
        <f t="array" ref="AK530">IF(AJ530&lt;&gt;"",INDEX(TM_Score1,MATCH(1,(TM_Events=D530)*(TM_Participant1=G530)*(TM_Participant2=AJ530),0)),"")</f>
        <v/>
      </c>
      <c r="AL530" s="390" t="str">
        <f t="array" ref="AL530">IF(AJ530&lt;&gt;"",INDEX(TM_Score1,MATCH(1,(TM_Events=D530)*(TM_Participant1=AJ530)*(TM_Participant2=G530),0)),"")</f>
        <v/>
      </c>
      <c r="AM530" s="389" t="str">
        <f t="array" ref="AM530">IF(ISNUMBER(AK530),INDEX(TM_Score2,MATCH(1,(TM_Events=D530)*(TM_Participant1=G530)*(TM_Participant2=AJ530),0)),"")</f>
        <v/>
      </c>
      <c r="AN530" s="389" t="str">
        <f t="array" ref="AN530">IF(ISNUMBER(AL530),INDEX(TM_Score2,MATCH(1,(TM_Events=D530)*(TM_Participant1=AJ530)*(TM_Participant2=G530),0)),"")</f>
        <v/>
      </c>
      <c r="AO530" s="389" t="str">
        <f t="shared" si="252"/>
        <v/>
      </c>
      <c r="AP530" s="389">
        <f t="shared" si="253"/>
        <v>0</v>
      </c>
      <c r="AQ530" s="389">
        <f t="shared" si="254"/>
        <v>0</v>
      </c>
      <c r="AR530" s="389">
        <f t="shared" si="255"/>
        <v>0</v>
      </c>
      <c r="AS530" s="453">
        <f t="shared" si="256"/>
        <v>0</v>
      </c>
      <c r="AT530" s="452">
        <f t="shared" si="257"/>
        <v>0</v>
      </c>
    </row>
    <row r="531" spans="2:46" ht="16" x14ac:dyDescent="0.2">
      <c r="B531"/>
      <c r="H531" s="387" t="str">
        <f t="shared" si="232"/>
        <v>0-0-0</v>
      </c>
      <c r="I531" s="389">
        <f t="shared" si="233"/>
        <v>0</v>
      </c>
      <c r="J531" s="455" t="str">
        <f t="shared" si="258"/>
        <v/>
      </c>
      <c r="K531" s="455">
        <f t="shared" si="234"/>
        <v>0</v>
      </c>
      <c r="L531" s="455">
        <f t="shared" si="259"/>
        <v>0</v>
      </c>
      <c r="M531" s="389" t="str">
        <f>IFERROR(IF(AD531&lt;=VLOOKUP(D531,Tournaments!$A$1:$B$1772,2,FALSE),"TRUE","FALSE"),"")</f>
        <v/>
      </c>
      <c r="N531" s="389">
        <v>1</v>
      </c>
      <c r="O531" s="389">
        <f t="shared" si="235"/>
        <v>0</v>
      </c>
      <c r="Q531" s="389">
        <f t="shared" si="236"/>
        <v>0</v>
      </c>
      <c r="R531" s="389">
        <f t="shared" si="237"/>
        <v>0</v>
      </c>
      <c r="S531" s="389">
        <f t="shared" si="238"/>
        <v>0</v>
      </c>
      <c r="U531" s="389">
        <f t="shared" si="239"/>
        <v>0</v>
      </c>
      <c r="V531" s="389" t="b">
        <f t="shared" si="240"/>
        <v>0</v>
      </c>
      <c r="W531" s="389">
        <f t="shared" si="241"/>
        <v>0</v>
      </c>
      <c r="X531" s="389">
        <f t="shared" si="242"/>
        <v>0</v>
      </c>
      <c r="Y531" s="389">
        <f t="shared" si="260"/>
        <v>1.0999999999999999E-2</v>
      </c>
      <c r="Z531" s="389">
        <f t="shared" si="243"/>
        <v>1.0999999999999999E-2</v>
      </c>
      <c r="AA531" s="389">
        <f t="shared" si="244"/>
        <v>0</v>
      </c>
      <c r="AB531" s="389">
        <f t="shared" si="245"/>
        <v>1E-4</v>
      </c>
      <c r="AC531" s="389">
        <f t="shared" si="246"/>
        <v>1E-4</v>
      </c>
      <c r="AD531" s="389">
        <f t="shared" si="247"/>
        <v>0</v>
      </c>
      <c r="AE531" s="389">
        <f t="shared" si="248"/>
        <v>0</v>
      </c>
      <c r="AG531" s="311" t="str">
        <f t="shared" si="249"/>
        <v>-</v>
      </c>
      <c r="AH531" s="453" t="str">
        <f t="shared" si="250"/>
        <v/>
      </c>
      <c r="AI531" s="453" t="str">
        <f t="shared" si="251"/>
        <v/>
      </c>
      <c r="AJ531" t="str">
        <f t="array" ref="AJ531">IF(AND(AI531&gt;1,G531&lt;&gt;""),INDEX(FS_teams,MATCH(1,(FS_Keys=AG531)*(FS_Points=I531)*(FS_teams&lt;&gt;G531),0)),"")</f>
        <v/>
      </c>
      <c r="AK531" s="390" t="str">
        <f t="array" ref="AK531">IF(AJ531&lt;&gt;"",INDEX(TM_Score1,MATCH(1,(TM_Events=D531)*(TM_Participant1=G531)*(TM_Participant2=AJ531),0)),"")</f>
        <v/>
      </c>
      <c r="AL531" s="390" t="str">
        <f t="array" ref="AL531">IF(AJ531&lt;&gt;"",INDEX(TM_Score1,MATCH(1,(TM_Events=D531)*(TM_Participant1=AJ531)*(TM_Participant2=G531),0)),"")</f>
        <v/>
      </c>
      <c r="AM531" s="389" t="str">
        <f t="array" ref="AM531">IF(ISNUMBER(AK531),INDEX(TM_Score2,MATCH(1,(TM_Events=D531)*(TM_Participant1=G531)*(TM_Participant2=AJ531),0)),"")</f>
        <v/>
      </c>
      <c r="AN531" s="389" t="str">
        <f t="array" ref="AN531">IF(ISNUMBER(AL531),INDEX(TM_Score2,MATCH(1,(TM_Events=D531)*(TM_Participant1=AJ531)*(TM_Participant2=G531),0)),"")</f>
        <v/>
      </c>
      <c r="AO531" s="389" t="str">
        <f t="shared" si="252"/>
        <v/>
      </c>
      <c r="AP531" s="389">
        <f t="shared" si="253"/>
        <v>0</v>
      </c>
      <c r="AQ531" s="389">
        <f t="shared" si="254"/>
        <v>0</v>
      </c>
      <c r="AR531" s="389">
        <f t="shared" si="255"/>
        <v>0</v>
      </c>
      <c r="AS531" s="453">
        <f t="shared" si="256"/>
        <v>0</v>
      </c>
      <c r="AT531" s="452">
        <f t="shared" si="257"/>
        <v>0</v>
      </c>
    </row>
    <row r="532" spans="2:46" ht="16" x14ac:dyDescent="0.2">
      <c r="B532"/>
      <c r="H532" s="387" t="str">
        <f t="shared" si="232"/>
        <v>0-0-0</v>
      </c>
      <c r="I532" s="389">
        <f t="shared" si="233"/>
        <v>0</v>
      </c>
      <c r="J532" s="455" t="str">
        <f t="shared" si="258"/>
        <v/>
      </c>
      <c r="K532" s="455">
        <f t="shared" si="234"/>
        <v>0</v>
      </c>
      <c r="L532" s="455">
        <f t="shared" si="259"/>
        <v>0</v>
      </c>
      <c r="M532" s="389" t="str">
        <f>IFERROR(IF(AD532&lt;=VLOOKUP(D532,Tournaments!$A$1:$B$1772,2,FALSE),"TRUE","FALSE"),"")</f>
        <v/>
      </c>
      <c r="N532" s="389">
        <v>1</v>
      </c>
      <c r="O532" s="389">
        <f t="shared" si="235"/>
        <v>0</v>
      </c>
      <c r="Q532" s="389">
        <f t="shared" si="236"/>
        <v>0</v>
      </c>
      <c r="R532" s="389">
        <f t="shared" si="237"/>
        <v>0</v>
      </c>
      <c r="S532" s="389">
        <f t="shared" si="238"/>
        <v>0</v>
      </c>
      <c r="U532" s="389">
        <f t="shared" si="239"/>
        <v>0</v>
      </c>
      <c r="V532" s="389" t="b">
        <f t="shared" si="240"/>
        <v>0</v>
      </c>
      <c r="W532" s="389">
        <f t="shared" si="241"/>
        <v>0</v>
      </c>
      <c r="X532" s="389">
        <f t="shared" si="242"/>
        <v>0</v>
      </c>
      <c r="Y532" s="389">
        <f t="shared" si="260"/>
        <v>1.0999999999999999E-2</v>
      </c>
      <c r="Z532" s="389">
        <f t="shared" si="243"/>
        <v>1.0999999999999999E-2</v>
      </c>
      <c r="AA532" s="389">
        <f t="shared" si="244"/>
        <v>0</v>
      </c>
      <c r="AB532" s="389">
        <f t="shared" si="245"/>
        <v>1E-4</v>
      </c>
      <c r="AC532" s="389">
        <f t="shared" si="246"/>
        <v>1E-4</v>
      </c>
      <c r="AD532" s="389">
        <f t="shared" si="247"/>
        <v>0</v>
      </c>
      <c r="AE532" s="389">
        <f t="shared" si="248"/>
        <v>0</v>
      </c>
      <c r="AG532" s="311" t="str">
        <f t="shared" si="249"/>
        <v>-</v>
      </c>
      <c r="AH532" s="453" t="str">
        <f t="shared" si="250"/>
        <v/>
      </c>
      <c r="AI532" s="453" t="str">
        <f t="shared" si="251"/>
        <v/>
      </c>
      <c r="AJ532" t="str">
        <f t="array" ref="AJ532">IF(AND(AI532&gt;1,G532&lt;&gt;""),INDEX(FS_teams,MATCH(1,(FS_Keys=AG532)*(FS_Points=I532)*(FS_teams&lt;&gt;G532),0)),"")</f>
        <v/>
      </c>
      <c r="AK532" s="390" t="str">
        <f t="array" ref="AK532">IF(AJ532&lt;&gt;"",INDEX(TM_Score1,MATCH(1,(TM_Events=D532)*(TM_Participant1=G532)*(TM_Participant2=AJ532),0)),"")</f>
        <v/>
      </c>
      <c r="AL532" s="390" t="str">
        <f t="array" ref="AL532">IF(AJ532&lt;&gt;"",INDEX(TM_Score1,MATCH(1,(TM_Events=D532)*(TM_Participant1=AJ532)*(TM_Participant2=G532),0)),"")</f>
        <v/>
      </c>
      <c r="AM532" s="389" t="str">
        <f t="array" ref="AM532">IF(ISNUMBER(AK532),INDEX(TM_Score2,MATCH(1,(TM_Events=D532)*(TM_Participant1=G532)*(TM_Participant2=AJ532),0)),"")</f>
        <v/>
      </c>
      <c r="AN532" s="389" t="str">
        <f t="array" ref="AN532">IF(ISNUMBER(AL532),INDEX(TM_Score2,MATCH(1,(TM_Events=D532)*(TM_Participant1=AJ532)*(TM_Participant2=G532),0)),"")</f>
        <v/>
      </c>
      <c r="AO532" s="389" t="str">
        <f t="shared" si="252"/>
        <v/>
      </c>
      <c r="AP532" s="389">
        <f t="shared" si="253"/>
        <v>0</v>
      </c>
      <c r="AQ532" s="389">
        <f t="shared" si="254"/>
        <v>0</v>
      </c>
      <c r="AR532" s="389">
        <f t="shared" si="255"/>
        <v>0</v>
      </c>
      <c r="AS532" s="453">
        <f t="shared" si="256"/>
        <v>0</v>
      </c>
      <c r="AT532" s="452">
        <f t="shared" si="257"/>
        <v>0</v>
      </c>
    </row>
    <row r="533" spans="2:46" ht="16" x14ac:dyDescent="0.2">
      <c r="B533"/>
      <c r="H533" s="387" t="str">
        <f t="shared" si="232"/>
        <v>0-0-0</v>
      </c>
      <c r="I533" s="389">
        <f t="shared" si="233"/>
        <v>0</v>
      </c>
      <c r="J533" s="455" t="str">
        <f t="shared" si="258"/>
        <v/>
      </c>
      <c r="K533" s="455">
        <f t="shared" si="234"/>
        <v>0</v>
      </c>
      <c r="L533" s="455">
        <f t="shared" si="259"/>
        <v>0</v>
      </c>
      <c r="M533" s="389" t="str">
        <f>IFERROR(IF(AD533&lt;=VLOOKUP(D533,Tournaments!$A$1:$B$1772,2,FALSE),"TRUE","FALSE"),"")</f>
        <v/>
      </c>
      <c r="N533" s="389">
        <v>1</v>
      </c>
      <c r="O533" s="389">
        <f t="shared" si="235"/>
        <v>0</v>
      </c>
      <c r="Q533" s="389">
        <f t="shared" si="236"/>
        <v>0</v>
      </c>
      <c r="R533" s="389">
        <f t="shared" si="237"/>
        <v>0</v>
      </c>
      <c r="S533" s="389">
        <f t="shared" si="238"/>
        <v>0</v>
      </c>
      <c r="U533" s="389">
        <f t="shared" si="239"/>
        <v>0</v>
      </c>
      <c r="V533" s="389" t="b">
        <f t="shared" si="240"/>
        <v>0</v>
      </c>
      <c r="W533" s="389">
        <f t="shared" si="241"/>
        <v>0</v>
      </c>
      <c r="X533" s="389">
        <f t="shared" si="242"/>
        <v>0</v>
      </c>
      <c r="Y533" s="389">
        <f t="shared" si="260"/>
        <v>1.0999999999999999E-2</v>
      </c>
      <c r="Z533" s="389">
        <f t="shared" si="243"/>
        <v>1.0999999999999999E-2</v>
      </c>
      <c r="AA533" s="389">
        <f t="shared" si="244"/>
        <v>0</v>
      </c>
      <c r="AB533" s="389">
        <f t="shared" si="245"/>
        <v>1E-4</v>
      </c>
      <c r="AC533" s="389">
        <f t="shared" si="246"/>
        <v>1E-4</v>
      </c>
      <c r="AD533" s="389">
        <f t="shared" si="247"/>
        <v>0</v>
      </c>
      <c r="AE533" s="389">
        <f t="shared" si="248"/>
        <v>0</v>
      </c>
      <c r="AG533" s="311" t="str">
        <f t="shared" si="249"/>
        <v>-</v>
      </c>
      <c r="AH533" s="453" t="str">
        <f t="shared" si="250"/>
        <v/>
      </c>
      <c r="AI533" s="453" t="str">
        <f t="shared" si="251"/>
        <v/>
      </c>
      <c r="AJ533" t="str">
        <f t="array" ref="AJ533">IF(AND(AI533&gt;1,G533&lt;&gt;""),INDEX(FS_teams,MATCH(1,(FS_Keys=AG533)*(FS_Points=I533)*(FS_teams&lt;&gt;G533),0)),"")</f>
        <v/>
      </c>
      <c r="AK533" s="390" t="str">
        <f t="array" ref="AK533">IF(AJ533&lt;&gt;"",INDEX(TM_Score1,MATCH(1,(TM_Events=D533)*(TM_Participant1=G533)*(TM_Participant2=AJ533),0)),"")</f>
        <v/>
      </c>
      <c r="AL533" s="390" t="str">
        <f t="array" ref="AL533">IF(AJ533&lt;&gt;"",INDEX(TM_Score1,MATCH(1,(TM_Events=D533)*(TM_Participant1=AJ533)*(TM_Participant2=G533),0)),"")</f>
        <v/>
      </c>
      <c r="AM533" s="389" t="str">
        <f t="array" ref="AM533">IF(ISNUMBER(AK533),INDEX(TM_Score2,MATCH(1,(TM_Events=D533)*(TM_Participant1=G533)*(TM_Participant2=AJ533),0)),"")</f>
        <v/>
      </c>
      <c r="AN533" s="389" t="str">
        <f t="array" ref="AN533">IF(ISNUMBER(AL533),INDEX(TM_Score2,MATCH(1,(TM_Events=D533)*(TM_Participant1=AJ533)*(TM_Participant2=G533),0)),"")</f>
        <v/>
      </c>
      <c r="AO533" s="389" t="str">
        <f t="shared" si="252"/>
        <v/>
      </c>
      <c r="AP533" s="389">
        <f t="shared" si="253"/>
        <v>0</v>
      </c>
      <c r="AQ533" s="389">
        <f t="shared" si="254"/>
        <v>0</v>
      </c>
      <c r="AR533" s="389">
        <f t="shared" si="255"/>
        <v>0</v>
      </c>
      <c r="AS533" s="453">
        <f t="shared" si="256"/>
        <v>0</v>
      </c>
      <c r="AT533" s="452">
        <f t="shared" si="257"/>
        <v>0</v>
      </c>
    </row>
    <row r="534" spans="2:46" ht="16" x14ac:dyDescent="0.2">
      <c r="B534"/>
      <c r="H534" s="387" t="str">
        <f t="shared" si="232"/>
        <v>0-0-0</v>
      </c>
      <c r="I534" s="389">
        <f t="shared" si="233"/>
        <v>0</v>
      </c>
      <c r="J534" s="455" t="str">
        <f t="shared" si="258"/>
        <v/>
      </c>
      <c r="K534" s="455">
        <f t="shared" si="234"/>
        <v>0</v>
      </c>
      <c r="L534" s="455">
        <f t="shared" si="259"/>
        <v>0</v>
      </c>
      <c r="M534" s="389" t="str">
        <f>IFERROR(IF(AD534&lt;=VLOOKUP(D534,Tournaments!$A$1:$B$1772,2,FALSE),"TRUE","FALSE"),"")</f>
        <v/>
      </c>
      <c r="N534" s="389">
        <v>1</v>
      </c>
      <c r="O534" s="389">
        <f t="shared" si="235"/>
        <v>0</v>
      </c>
      <c r="Q534" s="389">
        <f t="shared" si="236"/>
        <v>0</v>
      </c>
      <c r="R534" s="389">
        <f t="shared" si="237"/>
        <v>0</v>
      </c>
      <c r="S534" s="389">
        <f t="shared" si="238"/>
        <v>0</v>
      </c>
      <c r="U534" s="389">
        <f t="shared" si="239"/>
        <v>0</v>
      </c>
      <c r="V534" s="389" t="b">
        <f t="shared" si="240"/>
        <v>0</v>
      </c>
      <c r="W534" s="389">
        <f t="shared" si="241"/>
        <v>0</v>
      </c>
      <c r="X534" s="389">
        <f t="shared" si="242"/>
        <v>0</v>
      </c>
      <c r="Y534" s="389">
        <f t="shared" si="260"/>
        <v>1.0999999999999999E-2</v>
      </c>
      <c r="Z534" s="389">
        <f t="shared" si="243"/>
        <v>1.0999999999999999E-2</v>
      </c>
      <c r="AA534" s="389">
        <f t="shared" si="244"/>
        <v>0</v>
      </c>
      <c r="AB534" s="389">
        <f t="shared" si="245"/>
        <v>1E-4</v>
      </c>
      <c r="AC534" s="389">
        <f t="shared" si="246"/>
        <v>1E-4</v>
      </c>
      <c r="AD534" s="389">
        <f t="shared" si="247"/>
        <v>0</v>
      </c>
      <c r="AE534" s="389">
        <f t="shared" si="248"/>
        <v>0</v>
      </c>
      <c r="AG534" s="311" t="str">
        <f t="shared" si="249"/>
        <v>-</v>
      </c>
      <c r="AH534" s="453" t="str">
        <f t="shared" si="250"/>
        <v/>
      </c>
      <c r="AI534" s="453" t="str">
        <f t="shared" si="251"/>
        <v/>
      </c>
      <c r="AJ534" t="str">
        <f t="array" ref="AJ534">IF(AND(AI534&gt;1,G534&lt;&gt;""),INDEX(FS_teams,MATCH(1,(FS_Keys=AG534)*(FS_Points=I534)*(FS_teams&lt;&gt;G534),0)),"")</f>
        <v/>
      </c>
      <c r="AK534" s="390" t="str">
        <f t="array" ref="AK534">IF(AJ534&lt;&gt;"",INDEX(TM_Score1,MATCH(1,(TM_Events=D534)*(TM_Participant1=G534)*(TM_Participant2=AJ534),0)),"")</f>
        <v/>
      </c>
      <c r="AL534" s="390" t="str">
        <f t="array" ref="AL534">IF(AJ534&lt;&gt;"",INDEX(TM_Score1,MATCH(1,(TM_Events=D534)*(TM_Participant1=AJ534)*(TM_Participant2=G534),0)),"")</f>
        <v/>
      </c>
      <c r="AM534" s="389" t="str">
        <f t="array" ref="AM534">IF(ISNUMBER(AK534),INDEX(TM_Score2,MATCH(1,(TM_Events=D534)*(TM_Participant1=G534)*(TM_Participant2=AJ534),0)),"")</f>
        <v/>
      </c>
      <c r="AN534" s="389" t="str">
        <f t="array" ref="AN534">IF(ISNUMBER(AL534),INDEX(TM_Score2,MATCH(1,(TM_Events=D534)*(TM_Participant1=AJ534)*(TM_Participant2=G534),0)),"")</f>
        <v/>
      </c>
      <c r="AO534" s="389" t="str">
        <f t="shared" si="252"/>
        <v/>
      </c>
      <c r="AP534" s="389">
        <f t="shared" si="253"/>
        <v>0</v>
      </c>
      <c r="AQ534" s="389">
        <f t="shared" si="254"/>
        <v>0</v>
      </c>
      <c r="AR534" s="389">
        <f t="shared" si="255"/>
        <v>0</v>
      </c>
      <c r="AS534" s="453">
        <f t="shared" si="256"/>
        <v>0</v>
      </c>
      <c r="AT534" s="452">
        <f t="shared" si="257"/>
        <v>0</v>
      </c>
    </row>
    <row r="535" spans="2:46" ht="16" x14ac:dyDescent="0.2">
      <c r="B535"/>
      <c r="H535" s="387" t="str">
        <f t="shared" si="232"/>
        <v>0-0-0</v>
      </c>
      <c r="I535" s="389">
        <f t="shared" si="233"/>
        <v>0</v>
      </c>
      <c r="J535" s="455" t="str">
        <f t="shared" si="258"/>
        <v/>
      </c>
      <c r="K535" s="455">
        <f t="shared" si="234"/>
        <v>0</v>
      </c>
      <c r="L535" s="455">
        <f t="shared" si="259"/>
        <v>0</v>
      </c>
      <c r="M535" s="389" t="str">
        <f>IFERROR(IF(AD535&lt;=VLOOKUP(D535,Tournaments!$A$1:$B$1772,2,FALSE),"TRUE","FALSE"),"")</f>
        <v/>
      </c>
      <c r="N535" s="389">
        <v>1</v>
      </c>
      <c r="O535" s="389">
        <f t="shared" si="235"/>
        <v>0</v>
      </c>
      <c r="Q535" s="389">
        <f t="shared" si="236"/>
        <v>0</v>
      </c>
      <c r="R535" s="389">
        <f t="shared" si="237"/>
        <v>0</v>
      </c>
      <c r="S535" s="389">
        <f t="shared" si="238"/>
        <v>0</v>
      </c>
      <c r="U535" s="389">
        <f t="shared" si="239"/>
        <v>0</v>
      </c>
      <c r="V535" s="389" t="b">
        <f t="shared" si="240"/>
        <v>0</v>
      </c>
      <c r="W535" s="389">
        <f t="shared" si="241"/>
        <v>0</v>
      </c>
      <c r="X535" s="389">
        <f t="shared" si="242"/>
        <v>0</v>
      </c>
      <c r="Y535" s="389">
        <f t="shared" si="260"/>
        <v>1.0999999999999999E-2</v>
      </c>
      <c r="Z535" s="389">
        <f t="shared" si="243"/>
        <v>1.0999999999999999E-2</v>
      </c>
      <c r="AA535" s="389">
        <f t="shared" si="244"/>
        <v>0</v>
      </c>
      <c r="AB535" s="389">
        <f t="shared" si="245"/>
        <v>1E-4</v>
      </c>
      <c r="AC535" s="389">
        <f t="shared" si="246"/>
        <v>1E-4</v>
      </c>
      <c r="AD535" s="389">
        <f t="shared" si="247"/>
        <v>0</v>
      </c>
      <c r="AE535" s="389">
        <f t="shared" si="248"/>
        <v>0</v>
      </c>
      <c r="AG535" s="311" t="str">
        <f t="shared" si="249"/>
        <v>-</v>
      </c>
      <c r="AH535" s="453" t="str">
        <f t="shared" si="250"/>
        <v/>
      </c>
      <c r="AI535" s="453" t="str">
        <f t="shared" si="251"/>
        <v/>
      </c>
      <c r="AJ535" t="str">
        <f t="array" ref="AJ535">IF(AND(AI535&gt;1,G535&lt;&gt;""),INDEX(FS_teams,MATCH(1,(FS_Keys=AG535)*(FS_Points=I535)*(FS_teams&lt;&gt;G535),0)),"")</f>
        <v/>
      </c>
      <c r="AK535" s="390" t="str">
        <f t="array" ref="AK535">IF(AJ535&lt;&gt;"",INDEX(TM_Score1,MATCH(1,(TM_Events=D535)*(TM_Participant1=G535)*(TM_Participant2=AJ535),0)),"")</f>
        <v/>
      </c>
      <c r="AL535" s="390" t="str">
        <f t="array" ref="AL535">IF(AJ535&lt;&gt;"",INDEX(TM_Score1,MATCH(1,(TM_Events=D535)*(TM_Participant1=AJ535)*(TM_Participant2=G535),0)),"")</f>
        <v/>
      </c>
      <c r="AM535" s="389" t="str">
        <f t="array" ref="AM535">IF(ISNUMBER(AK535),INDEX(TM_Score2,MATCH(1,(TM_Events=D535)*(TM_Participant1=G535)*(TM_Participant2=AJ535),0)),"")</f>
        <v/>
      </c>
      <c r="AN535" s="389" t="str">
        <f t="array" ref="AN535">IF(ISNUMBER(AL535),INDEX(TM_Score2,MATCH(1,(TM_Events=D535)*(TM_Participant1=AJ535)*(TM_Participant2=G535),0)),"")</f>
        <v/>
      </c>
      <c r="AO535" s="389" t="str">
        <f t="shared" si="252"/>
        <v/>
      </c>
      <c r="AP535" s="389">
        <f t="shared" si="253"/>
        <v>0</v>
      </c>
      <c r="AQ535" s="389">
        <f t="shared" si="254"/>
        <v>0</v>
      </c>
      <c r="AR535" s="389">
        <f t="shared" si="255"/>
        <v>0</v>
      </c>
      <c r="AS535" s="453">
        <f t="shared" si="256"/>
        <v>0</v>
      </c>
      <c r="AT535" s="452">
        <f t="shared" si="257"/>
        <v>0</v>
      </c>
    </row>
    <row r="536" spans="2:46" ht="16" x14ac:dyDescent="0.2">
      <c r="B536"/>
      <c r="H536" s="387" t="str">
        <f t="shared" si="232"/>
        <v>0-0-0</v>
      </c>
      <c r="I536" s="389">
        <f t="shared" si="233"/>
        <v>0</v>
      </c>
      <c r="J536" s="455" t="str">
        <f t="shared" si="258"/>
        <v/>
      </c>
      <c r="K536" s="455">
        <f t="shared" si="234"/>
        <v>0</v>
      </c>
      <c r="L536" s="455">
        <f t="shared" si="259"/>
        <v>0</v>
      </c>
      <c r="M536" s="389" t="str">
        <f>IFERROR(IF(AD536&lt;=VLOOKUP(D536,Tournaments!$A$1:$B$1772,2,FALSE),"TRUE","FALSE"),"")</f>
        <v/>
      </c>
      <c r="N536" s="389">
        <v>1</v>
      </c>
      <c r="O536" s="389">
        <f t="shared" si="235"/>
        <v>0</v>
      </c>
      <c r="Q536" s="389">
        <f t="shared" si="236"/>
        <v>0</v>
      </c>
      <c r="R536" s="389">
        <f t="shared" si="237"/>
        <v>0</v>
      </c>
      <c r="S536" s="389">
        <f t="shared" si="238"/>
        <v>0</v>
      </c>
      <c r="U536" s="389">
        <f t="shared" si="239"/>
        <v>0</v>
      </c>
      <c r="V536" s="389" t="b">
        <f t="shared" si="240"/>
        <v>0</v>
      </c>
      <c r="W536" s="389">
        <f t="shared" si="241"/>
        <v>0</v>
      </c>
      <c r="X536" s="389">
        <f t="shared" si="242"/>
        <v>0</v>
      </c>
      <c r="Y536" s="389">
        <f t="shared" si="260"/>
        <v>1.0999999999999999E-2</v>
      </c>
      <c r="Z536" s="389">
        <f t="shared" si="243"/>
        <v>1.0999999999999999E-2</v>
      </c>
      <c r="AA536" s="389">
        <f t="shared" si="244"/>
        <v>0</v>
      </c>
      <c r="AB536" s="389">
        <f t="shared" si="245"/>
        <v>1E-4</v>
      </c>
      <c r="AC536" s="389">
        <f t="shared" si="246"/>
        <v>1E-4</v>
      </c>
      <c r="AD536" s="389">
        <f t="shared" si="247"/>
        <v>0</v>
      </c>
      <c r="AE536" s="389">
        <f t="shared" si="248"/>
        <v>0</v>
      </c>
      <c r="AG536" s="311" t="str">
        <f t="shared" si="249"/>
        <v>-</v>
      </c>
      <c r="AH536" s="453" t="str">
        <f t="shared" si="250"/>
        <v/>
      </c>
      <c r="AI536" s="453" t="str">
        <f t="shared" si="251"/>
        <v/>
      </c>
      <c r="AJ536" t="str">
        <f t="array" ref="AJ536">IF(AND(AI536&gt;1,G536&lt;&gt;""),INDEX(FS_teams,MATCH(1,(FS_Keys=AG536)*(FS_Points=I536)*(FS_teams&lt;&gt;G536),0)),"")</f>
        <v/>
      </c>
      <c r="AK536" s="390" t="str">
        <f t="array" ref="AK536">IF(AJ536&lt;&gt;"",INDEX(TM_Score1,MATCH(1,(TM_Events=D536)*(TM_Participant1=G536)*(TM_Participant2=AJ536),0)),"")</f>
        <v/>
      </c>
      <c r="AL536" s="390" t="str">
        <f t="array" ref="AL536">IF(AJ536&lt;&gt;"",INDEX(TM_Score1,MATCH(1,(TM_Events=D536)*(TM_Participant1=AJ536)*(TM_Participant2=G536),0)),"")</f>
        <v/>
      </c>
      <c r="AM536" s="389" t="str">
        <f t="array" ref="AM536">IF(ISNUMBER(AK536),INDEX(TM_Score2,MATCH(1,(TM_Events=D536)*(TM_Participant1=G536)*(TM_Participant2=AJ536),0)),"")</f>
        <v/>
      </c>
      <c r="AN536" s="389" t="str">
        <f t="array" ref="AN536">IF(ISNUMBER(AL536),INDEX(TM_Score2,MATCH(1,(TM_Events=D536)*(TM_Participant1=AJ536)*(TM_Participant2=G536),0)),"")</f>
        <v/>
      </c>
      <c r="AO536" s="389" t="str">
        <f t="shared" si="252"/>
        <v/>
      </c>
      <c r="AP536" s="389">
        <f t="shared" si="253"/>
        <v>0</v>
      </c>
      <c r="AQ536" s="389">
        <f t="shared" si="254"/>
        <v>0</v>
      </c>
      <c r="AR536" s="389">
        <f t="shared" si="255"/>
        <v>0</v>
      </c>
      <c r="AS536" s="453">
        <f t="shared" si="256"/>
        <v>0</v>
      </c>
      <c r="AT536" s="452">
        <f t="shared" si="257"/>
        <v>0</v>
      </c>
    </row>
    <row r="537" spans="2:46" ht="16" x14ac:dyDescent="0.2">
      <c r="B537"/>
      <c r="H537" s="387" t="str">
        <f t="shared" si="232"/>
        <v>0-0-0</v>
      </c>
      <c r="I537" s="389">
        <f t="shared" si="233"/>
        <v>0</v>
      </c>
      <c r="J537" s="455" t="str">
        <f t="shared" si="258"/>
        <v/>
      </c>
      <c r="K537" s="455">
        <f t="shared" si="234"/>
        <v>0</v>
      </c>
      <c r="L537" s="455">
        <f t="shared" si="259"/>
        <v>0</v>
      </c>
      <c r="M537" s="389" t="str">
        <f>IFERROR(IF(AD537&lt;=VLOOKUP(D537,Tournaments!$A$1:$B$1772,2,FALSE),"TRUE","FALSE"),"")</f>
        <v/>
      </c>
      <c r="N537" s="389">
        <v>1</v>
      </c>
      <c r="O537" s="389">
        <f t="shared" si="235"/>
        <v>0</v>
      </c>
      <c r="Q537" s="389">
        <f t="shared" si="236"/>
        <v>0</v>
      </c>
      <c r="R537" s="389">
        <f t="shared" si="237"/>
        <v>0</v>
      </c>
      <c r="S537" s="389">
        <f t="shared" si="238"/>
        <v>0</v>
      </c>
      <c r="U537" s="389">
        <f t="shared" si="239"/>
        <v>0</v>
      </c>
      <c r="V537" s="389" t="b">
        <f t="shared" si="240"/>
        <v>0</v>
      </c>
      <c r="W537" s="389">
        <f t="shared" si="241"/>
        <v>0</v>
      </c>
      <c r="X537" s="389">
        <f t="shared" si="242"/>
        <v>0</v>
      </c>
      <c r="Y537" s="389">
        <f t="shared" si="260"/>
        <v>1.0999999999999999E-2</v>
      </c>
      <c r="Z537" s="389">
        <f t="shared" si="243"/>
        <v>1.0999999999999999E-2</v>
      </c>
      <c r="AA537" s="389">
        <f t="shared" si="244"/>
        <v>0</v>
      </c>
      <c r="AB537" s="389">
        <f t="shared" si="245"/>
        <v>1E-4</v>
      </c>
      <c r="AC537" s="389">
        <f t="shared" si="246"/>
        <v>1E-4</v>
      </c>
      <c r="AD537" s="389">
        <f t="shared" si="247"/>
        <v>0</v>
      </c>
      <c r="AE537" s="389">
        <f t="shared" si="248"/>
        <v>0</v>
      </c>
      <c r="AG537" s="311" t="str">
        <f t="shared" si="249"/>
        <v>-</v>
      </c>
      <c r="AH537" s="453" t="str">
        <f t="shared" si="250"/>
        <v/>
      </c>
      <c r="AI537" s="453" t="str">
        <f t="shared" si="251"/>
        <v/>
      </c>
      <c r="AJ537" t="str">
        <f t="array" ref="AJ537">IF(AND(AI537&gt;1,G537&lt;&gt;""),INDEX(FS_teams,MATCH(1,(FS_Keys=AG537)*(FS_Points=I537)*(FS_teams&lt;&gt;G537),0)),"")</f>
        <v/>
      </c>
      <c r="AK537" s="390" t="str">
        <f t="array" ref="AK537">IF(AJ537&lt;&gt;"",INDEX(TM_Score1,MATCH(1,(TM_Events=D537)*(TM_Participant1=G537)*(TM_Participant2=AJ537),0)),"")</f>
        <v/>
      </c>
      <c r="AL537" s="390" t="str">
        <f t="array" ref="AL537">IF(AJ537&lt;&gt;"",INDEX(TM_Score1,MATCH(1,(TM_Events=D537)*(TM_Participant1=AJ537)*(TM_Participant2=G537),0)),"")</f>
        <v/>
      </c>
      <c r="AM537" s="389" t="str">
        <f t="array" ref="AM537">IF(ISNUMBER(AK537),INDEX(TM_Score2,MATCH(1,(TM_Events=D537)*(TM_Participant1=G537)*(TM_Participant2=AJ537),0)),"")</f>
        <v/>
      </c>
      <c r="AN537" s="389" t="str">
        <f t="array" ref="AN537">IF(ISNUMBER(AL537),INDEX(TM_Score2,MATCH(1,(TM_Events=D537)*(TM_Participant1=AJ537)*(TM_Participant2=G537),0)),"")</f>
        <v/>
      </c>
      <c r="AO537" s="389" t="str">
        <f t="shared" si="252"/>
        <v/>
      </c>
      <c r="AP537" s="389">
        <f t="shared" si="253"/>
        <v>0</v>
      </c>
      <c r="AQ537" s="389">
        <f t="shared" si="254"/>
        <v>0</v>
      </c>
      <c r="AR537" s="389">
        <f t="shared" si="255"/>
        <v>0</v>
      </c>
      <c r="AS537" s="453">
        <f t="shared" si="256"/>
        <v>0</v>
      </c>
      <c r="AT537" s="452">
        <f t="shared" si="257"/>
        <v>0</v>
      </c>
    </row>
    <row r="538" spans="2:46" ht="16" x14ac:dyDescent="0.2">
      <c r="B538"/>
      <c r="H538" s="387" t="str">
        <f t="shared" si="232"/>
        <v>0-0-0</v>
      </c>
      <c r="I538" s="389">
        <f t="shared" si="233"/>
        <v>0</v>
      </c>
      <c r="J538" s="455" t="str">
        <f t="shared" si="258"/>
        <v/>
      </c>
      <c r="K538" s="455">
        <f t="shared" si="234"/>
        <v>0</v>
      </c>
      <c r="L538" s="455">
        <f t="shared" si="259"/>
        <v>0</v>
      </c>
      <c r="M538" s="389" t="str">
        <f>IFERROR(IF(AD538&lt;=VLOOKUP(D538,Tournaments!$A$1:$B$1772,2,FALSE),"TRUE","FALSE"),"")</f>
        <v/>
      </c>
      <c r="N538" s="389">
        <v>1</v>
      </c>
      <c r="O538" s="389">
        <f t="shared" si="235"/>
        <v>0</v>
      </c>
      <c r="Q538" s="389">
        <f t="shared" si="236"/>
        <v>0</v>
      </c>
      <c r="R538" s="389">
        <f t="shared" si="237"/>
        <v>0</v>
      </c>
      <c r="S538" s="389">
        <f t="shared" si="238"/>
        <v>0</v>
      </c>
      <c r="U538" s="389">
        <f t="shared" si="239"/>
        <v>0</v>
      </c>
      <c r="V538" s="389" t="b">
        <f t="shared" si="240"/>
        <v>0</v>
      </c>
      <c r="W538" s="389">
        <f t="shared" si="241"/>
        <v>0</v>
      </c>
      <c r="X538" s="389">
        <f t="shared" si="242"/>
        <v>0</v>
      </c>
      <c r="Y538" s="389">
        <f t="shared" si="260"/>
        <v>1.0999999999999999E-2</v>
      </c>
      <c r="Z538" s="389">
        <f t="shared" si="243"/>
        <v>1.0999999999999999E-2</v>
      </c>
      <c r="AA538" s="389">
        <f t="shared" si="244"/>
        <v>0</v>
      </c>
      <c r="AB538" s="389">
        <f t="shared" si="245"/>
        <v>1E-4</v>
      </c>
      <c r="AC538" s="389">
        <f t="shared" si="246"/>
        <v>1E-4</v>
      </c>
      <c r="AD538" s="389">
        <f t="shared" si="247"/>
        <v>0</v>
      </c>
      <c r="AE538" s="389">
        <f t="shared" si="248"/>
        <v>0</v>
      </c>
      <c r="AG538" s="311" t="str">
        <f t="shared" si="249"/>
        <v>-</v>
      </c>
      <c r="AH538" s="453" t="str">
        <f t="shared" si="250"/>
        <v/>
      </c>
      <c r="AI538" s="453" t="str">
        <f t="shared" si="251"/>
        <v/>
      </c>
      <c r="AJ538" t="str">
        <f t="array" ref="AJ538">IF(AND(AI538&gt;1,G538&lt;&gt;""),INDEX(FS_teams,MATCH(1,(FS_Keys=AG538)*(FS_Points=I538)*(FS_teams&lt;&gt;G538),0)),"")</f>
        <v/>
      </c>
      <c r="AK538" s="390" t="str">
        <f t="array" ref="AK538">IF(AJ538&lt;&gt;"",INDEX(TM_Score1,MATCH(1,(TM_Events=D538)*(TM_Participant1=G538)*(TM_Participant2=AJ538),0)),"")</f>
        <v/>
      </c>
      <c r="AL538" s="390" t="str">
        <f t="array" ref="AL538">IF(AJ538&lt;&gt;"",INDEX(TM_Score1,MATCH(1,(TM_Events=D538)*(TM_Participant1=AJ538)*(TM_Participant2=G538),0)),"")</f>
        <v/>
      </c>
      <c r="AM538" s="389" t="str">
        <f t="array" ref="AM538">IF(ISNUMBER(AK538),INDEX(TM_Score2,MATCH(1,(TM_Events=D538)*(TM_Participant1=G538)*(TM_Participant2=AJ538),0)),"")</f>
        <v/>
      </c>
      <c r="AN538" s="389" t="str">
        <f t="array" ref="AN538">IF(ISNUMBER(AL538),INDEX(TM_Score2,MATCH(1,(TM_Events=D538)*(TM_Participant1=AJ538)*(TM_Participant2=G538),0)),"")</f>
        <v/>
      </c>
      <c r="AO538" s="389" t="str">
        <f t="shared" si="252"/>
        <v/>
      </c>
      <c r="AP538" s="389">
        <f t="shared" si="253"/>
        <v>0</v>
      </c>
      <c r="AQ538" s="389">
        <f t="shared" si="254"/>
        <v>0</v>
      </c>
      <c r="AR538" s="389">
        <f t="shared" si="255"/>
        <v>0</v>
      </c>
      <c r="AS538" s="453">
        <f t="shared" si="256"/>
        <v>0</v>
      </c>
      <c r="AT538" s="452">
        <f t="shared" si="257"/>
        <v>0</v>
      </c>
    </row>
    <row r="539" spans="2:46" ht="16" x14ac:dyDescent="0.2">
      <c r="B539"/>
      <c r="H539" s="387" t="str">
        <f t="shared" si="232"/>
        <v>0-0-0</v>
      </c>
      <c r="I539" s="389">
        <f t="shared" si="233"/>
        <v>0</v>
      </c>
      <c r="J539" s="455" t="str">
        <f t="shared" si="258"/>
        <v/>
      </c>
      <c r="K539" s="455">
        <f t="shared" si="234"/>
        <v>0</v>
      </c>
      <c r="L539" s="455">
        <f t="shared" si="259"/>
        <v>0</v>
      </c>
      <c r="M539" s="389" t="str">
        <f>IFERROR(IF(AD539&lt;=VLOOKUP(D539,Tournaments!$A$1:$B$1772,2,FALSE),"TRUE","FALSE"),"")</f>
        <v/>
      </c>
      <c r="N539" s="389">
        <v>1</v>
      </c>
      <c r="O539" s="389">
        <f t="shared" si="235"/>
        <v>0</v>
      </c>
      <c r="Q539" s="389">
        <f t="shared" si="236"/>
        <v>0</v>
      </c>
      <c r="R539" s="389">
        <f t="shared" si="237"/>
        <v>0</v>
      </c>
      <c r="S539" s="389">
        <f t="shared" si="238"/>
        <v>0</v>
      </c>
      <c r="U539" s="389">
        <f t="shared" si="239"/>
        <v>0</v>
      </c>
      <c r="V539" s="389" t="b">
        <f t="shared" si="240"/>
        <v>0</v>
      </c>
      <c r="W539" s="389">
        <f t="shared" si="241"/>
        <v>0</v>
      </c>
      <c r="X539" s="389">
        <f t="shared" si="242"/>
        <v>0</v>
      </c>
      <c r="Y539" s="389">
        <f t="shared" si="260"/>
        <v>1.0999999999999999E-2</v>
      </c>
      <c r="Z539" s="389">
        <f t="shared" si="243"/>
        <v>1.0999999999999999E-2</v>
      </c>
      <c r="AA539" s="389">
        <f t="shared" si="244"/>
        <v>0</v>
      </c>
      <c r="AB539" s="389">
        <f t="shared" si="245"/>
        <v>1E-4</v>
      </c>
      <c r="AC539" s="389">
        <f t="shared" si="246"/>
        <v>1E-4</v>
      </c>
      <c r="AD539" s="389">
        <f t="shared" si="247"/>
        <v>0</v>
      </c>
      <c r="AE539" s="389">
        <f t="shared" si="248"/>
        <v>0</v>
      </c>
      <c r="AG539" s="311" t="str">
        <f t="shared" si="249"/>
        <v>-</v>
      </c>
      <c r="AH539" s="453" t="str">
        <f t="shared" si="250"/>
        <v/>
      </c>
      <c r="AI539" s="453" t="str">
        <f t="shared" si="251"/>
        <v/>
      </c>
      <c r="AJ539" t="str">
        <f t="array" ref="AJ539">IF(AND(AI539&gt;1,G539&lt;&gt;""),INDEX(FS_teams,MATCH(1,(FS_Keys=AG539)*(FS_Points=I539)*(FS_teams&lt;&gt;G539),0)),"")</f>
        <v/>
      </c>
      <c r="AK539" s="390" t="str">
        <f t="array" ref="AK539">IF(AJ539&lt;&gt;"",INDEX(TM_Score1,MATCH(1,(TM_Events=D539)*(TM_Participant1=G539)*(TM_Participant2=AJ539),0)),"")</f>
        <v/>
      </c>
      <c r="AL539" s="390" t="str">
        <f t="array" ref="AL539">IF(AJ539&lt;&gt;"",INDEX(TM_Score1,MATCH(1,(TM_Events=D539)*(TM_Participant1=AJ539)*(TM_Participant2=G539),0)),"")</f>
        <v/>
      </c>
      <c r="AM539" s="389" t="str">
        <f t="array" ref="AM539">IF(ISNUMBER(AK539),INDEX(TM_Score2,MATCH(1,(TM_Events=D539)*(TM_Participant1=G539)*(TM_Participant2=AJ539),0)),"")</f>
        <v/>
      </c>
      <c r="AN539" s="389" t="str">
        <f t="array" ref="AN539">IF(ISNUMBER(AL539),INDEX(TM_Score2,MATCH(1,(TM_Events=D539)*(TM_Participant1=AJ539)*(TM_Participant2=G539),0)),"")</f>
        <v/>
      </c>
      <c r="AO539" s="389" t="str">
        <f t="shared" si="252"/>
        <v/>
      </c>
      <c r="AP539" s="389">
        <f t="shared" si="253"/>
        <v>0</v>
      </c>
      <c r="AQ539" s="389">
        <f t="shared" si="254"/>
        <v>0</v>
      </c>
      <c r="AR539" s="389">
        <f t="shared" si="255"/>
        <v>0</v>
      </c>
      <c r="AS539" s="453">
        <f t="shared" si="256"/>
        <v>0</v>
      </c>
      <c r="AT539" s="452">
        <f t="shared" si="257"/>
        <v>0</v>
      </c>
    </row>
    <row r="540" spans="2:46" ht="16" x14ac:dyDescent="0.2">
      <c r="B540"/>
      <c r="H540" s="387" t="str">
        <f t="shared" si="232"/>
        <v>0-0-0</v>
      </c>
      <c r="I540" s="389">
        <f t="shared" si="233"/>
        <v>0</v>
      </c>
      <c r="J540" s="455" t="str">
        <f t="shared" si="258"/>
        <v/>
      </c>
      <c r="K540" s="455">
        <f t="shared" si="234"/>
        <v>0</v>
      </c>
      <c r="L540" s="455">
        <f t="shared" si="259"/>
        <v>0</v>
      </c>
      <c r="M540" s="389" t="str">
        <f>IFERROR(IF(AD540&lt;=VLOOKUP(D540,Tournaments!$A$1:$B$1772,2,FALSE),"TRUE","FALSE"),"")</f>
        <v/>
      </c>
      <c r="N540" s="389">
        <v>1</v>
      </c>
      <c r="O540" s="389">
        <f t="shared" si="235"/>
        <v>0</v>
      </c>
      <c r="Q540" s="389">
        <f t="shared" si="236"/>
        <v>0</v>
      </c>
      <c r="R540" s="389">
        <f t="shared" si="237"/>
        <v>0</v>
      </c>
      <c r="S540" s="389">
        <f t="shared" si="238"/>
        <v>0</v>
      </c>
      <c r="U540" s="389">
        <f t="shared" si="239"/>
        <v>0</v>
      </c>
      <c r="V540" s="389" t="b">
        <f t="shared" si="240"/>
        <v>0</v>
      </c>
      <c r="W540" s="389">
        <f t="shared" si="241"/>
        <v>0</v>
      </c>
      <c r="X540" s="389">
        <f t="shared" si="242"/>
        <v>0</v>
      </c>
      <c r="Y540" s="389">
        <f t="shared" si="260"/>
        <v>1.0999999999999999E-2</v>
      </c>
      <c r="Z540" s="389">
        <f t="shared" si="243"/>
        <v>1.0999999999999999E-2</v>
      </c>
      <c r="AA540" s="389">
        <f t="shared" si="244"/>
        <v>0</v>
      </c>
      <c r="AB540" s="389">
        <f t="shared" si="245"/>
        <v>1E-4</v>
      </c>
      <c r="AC540" s="389">
        <f t="shared" si="246"/>
        <v>1E-4</v>
      </c>
      <c r="AD540" s="389">
        <f t="shared" si="247"/>
        <v>0</v>
      </c>
      <c r="AE540" s="389">
        <f t="shared" si="248"/>
        <v>0</v>
      </c>
      <c r="AG540" s="311" t="str">
        <f t="shared" si="249"/>
        <v>-</v>
      </c>
      <c r="AH540" s="453" t="str">
        <f t="shared" si="250"/>
        <v/>
      </c>
      <c r="AI540" s="453" t="str">
        <f t="shared" si="251"/>
        <v/>
      </c>
      <c r="AJ540" t="str">
        <f t="array" ref="AJ540">IF(AND(AI540&gt;1,G540&lt;&gt;""),INDEX(FS_teams,MATCH(1,(FS_Keys=AG540)*(FS_Points=I540)*(FS_teams&lt;&gt;G540),0)),"")</f>
        <v/>
      </c>
      <c r="AK540" s="390" t="str">
        <f t="array" ref="AK540">IF(AJ540&lt;&gt;"",INDEX(TM_Score1,MATCH(1,(TM_Events=D540)*(TM_Participant1=G540)*(TM_Participant2=AJ540),0)),"")</f>
        <v/>
      </c>
      <c r="AL540" s="390" t="str">
        <f t="array" ref="AL540">IF(AJ540&lt;&gt;"",INDEX(TM_Score1,MATCH(1,(TM_Events=D540)*(TM_Participant1=AJ540)*(TM_Participant2=G540),0)),"")</f>
        <v/>
      </c>
      <c r="AM540" s="389" t="str">
        <f t="array" ref="AM540">IF(ISNUMBER(AK540),INDEX(TM_Score2,MATCH(1,(TM_Events=D540)*(TM_Participant1=G540)*(TM_Participant2=AJ540),0)),"")</f>
        <v/>
      </c>
      <c r="AN540" s="389" t="str">
        <f t="array" ref="AN540">IF(ISNUMBER(AL540),INDEX(TM_Score2,MATCH(1,(TM_Events=D540)*(TM_Participant1=AJ540)*(TM_Participant2=G540),0)),"")</f>
        <v/>
      </c>
      <c r="AO540" s="389" t="str">
        <f t="shared" si="252"/>
        <v/>
      </c>
      <c r="AP540" s="389">
        <f t="shared" si="253"/>
        <v>0</v>
      </c>
      <c r="AQ540" s="389">
        <f t="shared" si="254"/>
        <v>0</v>
      </c>
      <c r="AR540" s="389">
        <f t="shared" si="255"/>
        <v>0</v>
      </c>
      <c r="AS540" s="453">
        <f t="shared" si="256"/>
        <v>0</v>
      </c>
      <c r="AT540" s="452">
        <f t="shared" si="257"/>
        <v>0</v>
      </c>
    </row>
    <row r="541" spans="2:46" ht="16" x14ac:dyDescent="0.2">
      <c r="B541"/>
      <c r="H541" s="387" t="str">
        <f t="shared" si="232"/>
        <v>0-0-0</v>
      </c>
      <c r="I541" s="389">
        <f t="shared" si="233"/>
        <v>0</v>
      </c>
      <c r="J541" s="455" t="str">
        <f t="shared" si="258"/>
        <v/>
      </c>
      <c r="K541" s="455">
        <f t="shared" si="234"/>
        <v>0</v>
      </c>
      <c r="L541" s="455">
        <f t="shared" si="259"/>
        <v>0</v>
      </c>
      <c r="M541" s="389" t="str">
        <f>IFERROR(IF(AD541&lt;=VLOOKUP(D541,Tournaments!$A$1:$B$1772,2,FALSE),"TRUE","FALSE"),"")</f>
        <v/>
      </c>
      <c r="N541" s="389">
        <v>1</v>
      </c>
      <c r="O541" s="389">
        <f t="shared" si="235"/>
        <v>0</v>
      </c>
      <c r="Q541" s="389">
        <f t="shared" si="236"/>
        <v>0</v>
      </c>
      <c r="R541" s="389">
        <f t="shared" si="237"/>
        <v>0</v>
      </c>
      <c r="S541" s="389">
        <f t="shared" si="238"/>
        <v>0</v>
      </c>
      <c r="U541" s="389">
        <f t="shared" si="239"/>
        <v>0</v>
      </c>
      <c r="V541" s="389" t="b">
        <f t="shared" si="240"/>
        <v>0</v>
      </c>
      <c r="W541" s="389">
        <f t="shared" si="241"/>
        <v>0</v>
      </c>
      <c r="X541" s="389">
        <f t="shared" si="242"/>
        <v>0</v>
      </c>
      <c r="Y541" s="389">
        <f t="shared" si="260"/>
        <v>1.0999999999999999E-2</v>
      </c>
      <c r="Z541" s="389">
        <f t="shared" si="243"/>
        <v>1.0999999999999999E-2</v>
      </c>
      <c r="AA541" s="389">
        <f t="shared" si="244"/>
        <v>0</v>
      </c>
      <c r="AB541" s="389">
        <f t="shared" si="245"/>
        <v>1E-4</v>
      </c>
      <c r="AC541" s="389">
        <f t="shared" si="246"/>
        <v>1E-4</v>
      </c>
      <c r="AD541" s="389">
        <f t="shared" si="247"/>
        <v>0</v>
      </c>
      <c r="AE541" s="389">
        <f t="shared" si="248"/>
        <v>0</v>
      </c>
      <c r="AG541" s="311" t="str">
        <f t="shared" si="249"/>
        <v>-</v>
      </c>
      <c r="AH541" s="453" t="str">
        <f t="shared" si="250"/>
        <v/>
      </c>
      <c r="AI541" s="453" t="str">
        <f t="shared" si="251"/>
        <v/>
      </c>
      <c r="AJ541" t="str">
        <f t="array" ref="AJ541">IF(AND(AI541&gt;1,G541&lt;&gt;""),INDEX(FS_teams,MATCH(1,(FS_Keys=AG541)*(FS_Points=I541)*(FS_teams&lt;&gt;G541),0)),"")</f>
        <v/>
      </c>
      <c r="AK541" s="390" t="str">
        <f t="array" ref="AK541">IF(AJ541&lt;&gt;"",INDEX(TM_Score1,MATCH(1,(TM_Events=D541)*(TM_Participant1=G541)*(TM_Participant2=AJ541),0)),"")</f>
        <v/>
      </c>
      <c r="AL541" s="390" t="str">
        <f t="array" ref="AL541">IF(AJ541&lt;&gt;"",INDEX(TM_Score1,MATCH(1,(TM_Events=D541)*(TM_Participant1=AJ541)*(TM_Participant2=G541),0)),"")</f>
        <v/>
      </c>
      <c r="AM541" s="389" t="str">
        <f t="array" ref="AM541">IF(ISNUMBER(AK541),INDEX(TM_Score2,MATCH(1,(TM_Events=D541)*(TM_Participant1=G541)*(TM_Participant2=AJ541),0)),"")</f>
        <v/>
      </c>
      <c r="AN541" s="389" t="str">
        <f t="array" ref="AN541">IF(ISNUMBER(AL541),INDEX(TM_Score2,MATCH(1,(TM_Events=D541)*(TM_Participant1=AJ541)*(TM_Participant2=G541),0)),"")</f>
        <v/>
      </c>
      <c r="AO541" s="389" t="str">
        <f t="shared" si="252"/>
        <v/>
      </c>
      <c r="AP541" s="389">
        <f t="shared" si="253"/>
        <v>0</v>
      </c>
      <c r="AQ541" s="389">
        <f t="shared" si="254"/>
        <v>0</v>
      </c>
      <c r="AR541" s="389">
        <f t="shared" si="255"/>
        <v>0</v>
      </c>
      <c r="AS541" s="453">
        <f t="shared" si="256"/>
        <v>0</v>
      </c>
      <c r="AT541" s="452">
        <f t="shared" si="257"/>
        <v>0</v>
      </c>
    </row>
    <row r="542" spans="2:46" ht="16" x14ac:dyDescent="0.2">
      <c r="B542"/>
      <c r="H542" s="387" t="str">
        <f t="shared" si="232"/>
        <v>0-0-0</v>
      </c>
      <c r="I542" s="389">
        <f t="shared" si="233"/>
        <v>0</v>
      </c>
      <c r="J542" s="455" t="str">
        <f t="shared" si="258"/>
        <v/>
      </c>
      <c r="K542" s="455">
        <f t="shared" si="234"/>
        <v>0</v>
      </c>
      <c r="L542" s="455">
        <f t="shared" si="259"/>
        <v>0</v>
      </c>
      <c r="M542" s="389" t="str">
        <f>IFERROR(IF(AD542&lt;=VLOOKUP(D542,Tournaments!$A$1:$B$1772,2,FALSE),"TRUE","FALSE"),"")</f>
        <v/>
      </c>
      <c r="N542" s="389">
        <v>1</v>
      </c>
      <c r="O542" s="389">
        <f t="shared" si="235"/>
        <v>0</v>
      </c>
      <c r="Q542" s="389">
        <f t="shared" si="236"/>
        <v>0</v>
      </c>
      <c r="R542" s="389">
        <f t="shared" si="237"/>
        <v>0</v>
      </c>
      <c r="S542" s="389">
        <f t="shared" si="238"/>
        <v>0</v>
      </c>
      <c r="U542" s="389">
        <f t="shared" si="239"/>
        <v>0</v>
      </c>
      <c r="V542" s="389" t="b">
        <f t="shared" si="240"/>
        <v>0</v>
      </c>
      <c r="W542" s="389">
        <f t="shared" si="241"/>
        <v>0</v>
      </c>
      <c r="X542" s="389">
        <f t="shared" si="242"/>
        <v>0</v>
      </c>
      <c r="Y542" s="389">
        <f t="shared" si="260"/>
        <v>1.0999999999999999E-2</v>
      </c>
      <c r="Z542" s="389">
        <f t="shared" si="243"/>
        <v>1.0999999999999999E-2</v>
      </c>
      <c r="AA542" s="389">
        <f t="shared" si="244"/>
        <v>0</v>
      </c>
      <c r="AB542" s="389">
        <f t="shared" si="245"/>
        <v>1E-4</v>
      </c>
      <c r="AC542" s="389">
        <f t="shared" si="246"/>
        <v>1E-4</v>
      </c>
      <c r="AD542" s="389">
        <f t="shared" si="247"/>
        <v>0</v>
      </c>
      <c r="AE542" s="389">
        <f t="shared" si="248"/>
        <v>0</v>
      </c>
      <c r="AG542" s="311" t="str">
        <f t="shared" si="249"/>
        <v>-</v>
      </c>
      <c r="AH542" s="453" t="str">
        <f t="shared" si="250"/>
        <v/>
      </c>
      <c r="AI542" s="453" t="str">
        <f t="shared" si="251"/>
        <v/>
      </c>
      <c r="AJ542" t="str">
        <f t="array" ref="AJ542">IF(AND(AI542&gt;1,G542&lt;&gt;""),INDEX(FS_teams,MATCH(1,(FS_Keys=AG542)*(FS_Points=I542)*(FS_teams&lt;&gt;G542),0)),"")</f>
        <v/>
      </c>
      <c r="AK542" s="390" t="str">
        <f t="array" ref="AK542">IF(AJ542&lt;&gt;"",INDEX(TM_Score1,MATCH(1,(TM_Events=D542)*(TM_Participant1=G542)*(TM_Participant2=AJ542),0)),"")</f>
        <v/>
      </c>
      <c r="AL542" s="390" t="str">
        <f t="array" ref="AL542">IF(AJ542&lt;&gt;"",INDEX(TM_Score1,MATCH(1,(TM_Events=D542)*(TM_Participant1=AJ542)*(TM_Participant2=G542),0)),"")</f>
        <v/>
      </c>
      <c r="AM542" s="389" t="str">
        <f t="array" ref="AM542">IF(ISNUMBER(AK542),INDEX(TM_Score2,MATCH(1,(TM_Events=D542)*(TM_Participant1=G542)*(TM_Participant2=AJ542),0)),"")</f>
        <v/>
      </c>
      <c r="AN542" s="389" t="str">
        <f t="array" ref="AN542">IF(ISNUMBER(AL542),INDEX(TM_Score2,MATCH(1,(TM_Events=D542)*(TM_Participant1=AJ542)*(TM_Participant2=G542),0)),"")</f>
        <v/>
      </c>
      <c r="AO542" s="389" t="str">
        <f t="shared" si="252"/>
        <v/>
      </c>
      <c r="AP542" s="389">
        <f t="shared" si="253"/>
        <v>0</v>
      </c>
      <c r="AQ542" s="389">
        <f t="shared" si="254"/>
        <v>0</v>
      </c>
      <c r="AR542" s="389">
        <f t="shared" si="255"/>
        <v>0</v>
      </c>
      <c r="AS542" s="453">
        <f t="shared" si="256"/>
        <v>0</v>
      </c>
      <c r="AT542" s="452">
        <f t="shared" si="257"/>
        <v>0</v>
      </c>
    </row>
    <row r="543" spans="2:46" ht="16" x14ac:dyDescent="0.2">
      <c r="B543"/>
      <c r="H543" s="387" t="str">
        <f t="shared" si="232"/>
        <v>0-0-0</v>
      </c>
      <c r="I543" s="389">
        <f t="shared" si="233"/>
        <v>0</v>
      </c>
      <c r="J543" s="455" t="str">
        <f t="shared" si="258"/>
        <v/>
      </c>
      <c r="K543" s="455">
        <f t="shared" si="234"/>
        <v>0</v>
      </c>
      <c r="L543" s="455">
        <f t="shared" si="259"/>
        <v>0</v>
      </c>
      <c r="M543" s="389" t="str">
        <f>IFERROR(IF(AD543&lt;=VLOOKUP(D543,Tournaments!$A$1:$B$1772,2,FALSE),"TRUE","FALSE"),"")</f>
        <v/>
      </c>
      <c r="N543" s="389">
        <v>1</v>
      </c>
      <c r="O543" s="389">
        <f t="shared" si="235"/>
        <v>0</v>
      </c>
      <c r="Q543" s="389">
        <f t="shared" si="236"/>
        <v>0</v>
      </c>
      <c r="R543" s="389">
        <f t="shared" si="237"/>
        <v>0</v>
      </c>
      <c r="S543" s="389">
        <f t="shared" si="238"/>
        <v>0</v>
      </c>
      <c r="U543" s="389">
        <f t="shared" si="239"/>
        <v>0</v>
      </c>
      <c r="V543" s="389" t="b">
        <f t="shared" si="240"/>
        <v>0</v>
      </c>
      <c r="W543" s="389">
        <f t="shared" si="241"/>
        <v>0</v>
      </c>
      <c r="X543" s="389">
        <f t="shared" si="242"/>
        <v>0</v>
      </c>
      <c r="Y543" s="389">
        <f t="shared" si="260"/>
        <v>1.0999999999999999E-2</v>
      </c>
      <c r="Z543" s="389">
        <f t="shared" si="243"/>
        <v>1.0999999999999999E-2</v>
      </c>
      <c r="AA543" s="389">
        <f t="shared" si="244"/>
        <v>0</v>
      </c>
      <c r="AB543" s="389">
        <f t="shared" si="245"/>
        <v>1E-4</v>
      </c>
      <c r="AC543" s="389">
        <f t="shared" si="246"/>
        <v>1E-4</v>
      </c>
      <c r="AD543" s="389">
        <f t="shared" si="247"/>
        <v>0</v>
      </c>
      <c r="AE543" s="389">
        <f t="shared" si="248"/>
        <v>0</v>
      </c>
      <c r="AG543" s="311" t="str">
        <f t="shared" si="249"/>
        <v>-</v>
      </c>
      <c r="AH543" s="453" t="str">
        <f t="shared" si="250"/>
        <v/>
      </c>
      <c r="AI543" s="453" t="str">
        <f t="shared" si="251"/>
        <v/>
      </c>
      <c r="AJ543" t="str">
        <f t="array" ref="AJ543">IF(AND(AI543&gt;1,G543&lt;&gt;""),INDEX(FS_teams,MATCH(1,(FS_Keys=AG543)*(FS_Points=I543)*(FS_teams&lt;&gt;G543),0)),"")</f>
        <v/>
      </c>
      <c r="AK543" s="390" t="str">
        <f t="array" ref="AK543">IF(AJ543&lt;&gt;"",INDEX(TM_Score1,MATCH(1,(TM_Events=D543)*(TM_Participant1=G543)*(TM_Participant2=AJ543),0)),"")</f>
        <v/>
      </c>
      <c r="AL543" s="390" t="str">
        <f t="array" ref="AL543">IF(AJ543&lt;&gt;"",INDEX(TM_Score1,MATCH(1,(TM_Events=D543)*(TM_Participant1=AJ543)*(TM_Participant2=G543),0)),"")</f>
        <v/>
      </c>
      <c r="AM543" s="389" t="str">
        <f t="array" ref="AM543">IF(ISNUMBER(AK543),INDEX(TM_Score2,MATCH(1,(TM_Events=D543)*(TM_Participant1=G543)*(TM_Participant2=AJ543),0)),"")</f>
        <v/>
      </c>
      <c r="AN543" s="389" t="str">
        <f t="array" ref="AN543">IF(ISNUMBER(AL543),INDEX(TM_Score2,MATCH(1,(TM_Events=D543)*(TM_Participant1=AJ543)*(TM_Participant2=G543),0)),"")</f>
        <v/>
      </c>
      <c r="AO543" s="389" t="str">
        <f t="shared" si="252"/>
        <v/>
      </c>
      <c r="AP543" s="389">
        <f t="shared" si="253"/>
        <v>0</v>
      </c>
      <c r="AQ543" s="389">
        <f t="shared" si="254"/>
        <v>0</v>
      </c>
      <c r="AR543" s="389">
        <f t="shared" si="255"/>
        <v>0</v>
      </c>
      <c r="AS543" s="453">
        <f t="shared" si="256"/>
        <v>0</v>
      </c>
      <c r="AT543" s="452">
        <f t="shared" si="257"/>
        <v>0</v>
      </c>
    </row>
    <row r="544" spans="2:46" ht="16" x14ac:dyDescent="0.2">
      <c r="B544"/>
      <c r="H544" s="387" t="str">
        <f t="shared" si="232"/>
        <v>0-0-0</v>
      </c>
      <c r="I544" s="389">
        <f t="shared" si="233"/>
        <v>0</v>
      </c>
      <c r="J544" s="455" t="str">
        <f t="shared" si="258"/>
        <v/>
      </c>
      <c r="K544" s="455">
        <f t="shared" si="234"/>
        <v>0</v>
      </c>
      <c r="L544" s="455">
        <f t="shared" si="259"/>
        <v>0</v>
      </c>
      <c r="M544" s="389" t="str">
        <f>IFERROR(IF(AD544&lt;=VLOOKUP(D544,Tournaments!$A$1:$B$1772,2,FALSE),"TRUE","FALSE"),"")</f>
        <v/>
      </c>
      <c r="N544" s="389">
        <v>1</v>
      </c>
      <c r="O544" s="389">
        <f t="shared" si="235"/>
        <v>0</v>
      </c>
      <c r="Q544" s="389">
        <f t="shared" si="236"/>
        <v>0</v>
      </c>
      <c r="R544" s="389">
        <f t="shared" si="237"/>
        <v>0</v>
      </c>
      <c r="S544" s="389">
        <f t="shared" si="238"/>
        <v>0</v>
      </c>
      <c r="U544" s="389">
        <f t="shared" si="239"/>
        <v>0</v>
      </c>
      <c r="V544" s="389" t="b">
        <f t="shared" si="240"/>
        <v>0</v>
      </c>
      <c r="W544" s="389">
        <f t="shared" si="241"/>
        <v>0</v>
      </c>
      <c r="X544" s="389">
        <f t="shared" si="242"/>
        <v>0</v>
      </c>
      <c r="Y544" s="389">
        <f t="shared" si="260"/>
        <v>1.0999999999999999E-2</v>
      </c>
      <c r="Z544" s="389">
        <f t="shared" si="243"/>
        <v>1.0999999999999999E-2</v>
      </c>
      <c r="AA544" s="389">
        <f t="shared" si="244"/>
        <v>0</v>
      </c>
      <c r="AB544" s="389">
        <f t="shared" si="245"/>
        <v>1E-4</v>
      </c>
      <c r="AC544" s="389">
        <f t="shared" si="246"/>
        <v>1E-4</v>
      </c>
      <c r="AD544" s="389">
        <f t="shared" si="247"/>
        <v>0</v>
      </c>
      <c r="AE544" s="389">
        <f t="shared" si="248"/>
        <v>0</v>
      </c>
      <c r="AG544" s="311" t="str">
        <f t="shared" si="249"/>
        <v>-</v>
      </c>
      <c r="AH544" s="453" t="str">
        <f t="shared" si="250"/>
        <v/>
      </c>
      <c r="AI544" s="453" t="str">
        <f t="shared" si="251"/>
        <v/>
      </c>
      <c r="AJ544" t="str">
        <f t="array" ref="AJ544">IF(AND(AI544&gt;1,G544&lt;&gt;""),INDEX(FS_teams,MATCH(1,(FS_Keys=AG544)*(FS_Points=I544)*(FS_teams&lt;&gt;G544),0)),"")</f>
        <v/>
      </c>
      <c r="AK544" s="390" t="str">
        <f t="array" ref="AK544">IF(AJ544&lt;&gt;"",INDEX(TM_Score1,MATCH(1,(TM_Events=D544)*(TM_Participant1=G544)*(TM_Participant2=AJ544),0)),"")</f>
        <v/>
      </c>
      <c r="AL544" s="390" t="str">
        <f t="array" ref="AL544">IF(AJ544&lt;&gt;"",INDEX(TM_Score1,MATCH(1,(TM_Events=D544)*(TM_Participant1=AJ544)*(TM_Participant2=G544),0)),"")</f>
        <v/>
      </c>
      <c r="AM544" s="389" t="str">
        <f t="array" ref="AM544">IF(ISNUMBER(AK544),INDEX(TM_Score2,MATCH(1,(TM_Events=D544)*(TM_Participant1=G544)*(TM_Participant2=AJ544),0)),"")</f>
        <v/>
      </c>
      <c r="AN544" s="389" t="str">
        <f t="array" ref="AN544">IF(ISNUMBER(AL544),INDEX(TM_Score2,MATCH(1,(TM_Events=D544)*(TM_Participant1=AJ544)*(TM_Participant2=G544),0)),"")</f>
        <v/>
      </c>
      <c r="AO544" s="389" t="str">
        <f t="shared" si="252"/>
        <v/>
      </c>
      <c r="AP544" s="389">
        <f t="shared" si="253"/>
        <v>0</v>
      </c>
      <c r="AQ544" s="389">
        <f t="shared" si="254"/>
        <v>0</v>
      </c>
      <c r="AR544" s="389">
        <f t="shared" si="255"/>
        <v>0</v>
      </c>
      <c r="AS544" s="453">
        <f t="shared" si="256"/>
        <v>0</v>
      </c>
      <c r="AT544" s="452">
        <f t="shared" si="257"/>
        <v>0</v>
      </c>
    </row>
    <row r="545" spans="2:46" ht="16" x14ac:dyDescent="0.2">
      <c r="B545"/>
      <c r="H545" s="387" t="str">
        <f t="shared" si="232"/>
        <v>0-0-0</v>
      </c>
      <c r="I545" s="389">
        <f t="shared" si="233"/>
        <v>0</v>
      </c>
      <c r="J545" s="455" t="str">
        <f t="shared" si="258"/>
        <v/>
      </c>
      <c r="K545" s="455">
        <f t="shared" si="234"/>
        <v>0</v>
      </c>
      <c r="L545" s="455">
        <f t="shared" si="259"/>
        <v>0</v>
      </c>
      <c r="M545" s="389" t="str">
        <f>IFERROR(IF(AD545&lt;=VLOOKUP(D545,Tournaments!$A$1:$B$1772,2,FALSE),"TRUE","FALSE"),"")</f>
        <v/>
      </c>
      <c r="N545" s="389">
        <v>1</v>
      </c>
      <c r="O545" s="389">
        <f t="shared" si="235"/>
        <v>0</v>
      </c>
      <c r="Q545" s="389">
        <f t="shared" si="236"/>
        <v>0</v>
      </c>
      <c r="R545" s="389">
        <f t="shared" si="237"/>
        <v>0</v>
      </c>
      <c r="S545" s="389">
        <f t="shared" si="238"/>
        <v>0</v>
      </c>
      <c r="U545" s="389">
        <f t="shared" si="239"/>
        <v>0</v>
      </c>
      <c r="V545" s="389" t="b">
        <f t="shared" si="240"/>
        <v>0</v>
      </c>
      <c r="W545" s="389">
        <f t="shared" si="241"/>
        <v>0</v>
      </c>
      <c r="X545" s="389">
        <f t="shared" si="242"/>
        <v>0</v>
      </c>
      <c r="Y545" s="389">
        <f t="shared" si="260"/>
        <v>1.0999999999999999E-2</v>
      </c>
      <c r="Z545" s="389">
        <f t="shared" si="243"/>
        <v>1.0999999999999999E-2</v>
      </c>
      <c r="AA545" s="389">
        <f t="shared" si="244"/>
        <v>0</v>
      </c>
      <c r="AB545" s="389">
        <f t="shared" si="245"/>
        <v>1E-4</v>
      </c>
      <c r="AC545" s="389">
        <f t="shared" si="246"/>
        <v>1E-4</v>
      </c>
      <c r="AD545" s="389">
        <f t="shared" si="247"/>
        <v>0</v>
      </c>
      <c r="AE545" s="389">
        <f t="shared" si="248"/>
        <v>0</v>
      </c>
      <c r="AG545" s="311" t="str">
        <f t="shared" si="249"/>
        <v>-</v>
      </c>
      <c r="AH545" s="453" t="str">
        <f t="shared" si="250"/>
        <v/>
      </c>
      <c r="AI545" s="453" t="str">
        <f t="shared" si="251"/>
        <v/>
      </c>
      <c r="AJ545" t="str">
        <f t="array" ref="AJ545">IF(AND(AI545&gt;1,G545&lt;&gt;""),INDEX(FS_teams,MATCH(1,(FS_Keys=AG545)*(FS_Points=I545)*(FS_teams&lt;&gt;G545),0)),"")</f>
        <v/>
      </c>
      <c r="AK545" s="390" t="str">
        <f t="array" ref="AK545">IF(AJ545&lt;&gt;"",INDEX(TM_Score1,MATCH(1,(TM_Events=D545)*(TM_Participant1=G545)*(TM_Participant2=AJ545),0)),"")</f>
        <v/>
      </c>
      <c r="AL545" s="390" t="str">
        <f t="array" ref="AL545">IF(AJ545&lt;&gt;"",INDEX(TM_Score1,MATCH(1,(TM_Events=D545)*(TM_Participant1=AJ545)*(TM_Participant2=G545),0)),"")</f>
        <v/>
      </c>
      <c r="AM545" s="389" t="str">
        <f t="array" ref="AM545">IF(ISNUMBER(AK545),INDEX(TM_Score2,MATCH(1,(TM_Events=D545)*(TM_Participant1=G545)*(TM_Participant2=AJ545),0)),"")</f>
        <v/>
      </c>
      <c r="AN545" s="389" t="str">
        <f t="array" ref="AN545">IF(ISNUMBER(AL545),INDEX(TM_Score2,MATCH(1,(TM_Events=D545)*(TM_Participant1=AJ545)*(TM_Participant2=G545),0)),"")</f>
        <v/>
      </c>
      <c r="AO545" s="389" t="str">
        <f t="shared" si="252"/>
        <v/>
      </c>
      <c r="AP545" s="389">
        <f t="shared" si="253"/>
        <v>0</v>
      </c>
      <c r="AQ545" s="389">
        <f t="shared" si="254"/>
        <v>0</v>
      </c>
      <c r="AR545" s="389">
        <f t="shared" si="255"/>
        <v>0</v>
      </c>
      <c r="AS545" s="453">
        <f t="shared" si="256"/>
        <v>0</v>
      </c>
      <c r="AT545" s="452">
        <f t="shared" si="257"/>
        <v>0</v>
      </c>
    </row>
    <row r="546" spans="2:46" ht="16" x14ac:dyDescent="0.2">
      <c r="B546"/>
      <c r="H546" s="387" t="str">
        <f t="shared" si="232"/>
        <v>0-0-0</v>
      </c>
      <c r="I546" s="389">
        <f t="shared" si="233"/>
        <v>0</v>
      </c>
      <c r="J546" s="455" t="str">
        <f t="shared" si="258"/>
        <v/>
      </c>
      <c r="K546" s="455">
        <f t="shared" si="234"/>
        <v>0</v>
      </c>
      <c r="L546" s="455">
        <f t="shared" si="259"/>
        <v>0</v>
      </c>
      <c r="M546" s="389" t="str">
        <f>IFERROR(IF(AD546&lt;=VLOOKUP(D546,Tournaments!$A$1:$B$1772,2,FALSE),"TRUE","FALSE"),"")</f>
        <v/>
      </c>
      <c r="N546" s="389">
        <v>1</v>
      </c>
      <c r="O546" s="389">
        <f t="shared" si="235"/>
        <v>0</v>
      </c>
      <c r="Q546" s="389">
        <f t="shared" si="236"/>
        <v>0</v>
      </c>
      <c r="R546" s="389">
        <f t="shared" si="237"/>
        <v>0</v>
      </c>
      <c r="S546" s="389">
        <f t="shared" si="238"/>
        <v>0</v>
      </c>
      <c r="U546" s="389">
        <f t="shared" si="239"/>
        <v>0</v>
      </c>
      <c r="V546" s="389" t="b">
        <f t="shared" si="240"/>
        <v>0</v>
      </c>
      <c r="W546" s="389">
        <f t="shared" si="241"/>
        <v>0</v>
      </c>
      <c r="X546" s="389">
        <f t="shared" si="242"/>
        <v>0</v>
      </c>
      <c r="Y546" s="389">
        <f t="shared" si="260"/>
        <v>1.0999999999999999E-2</v>
      </c>
      <c r="Z546" s="389">
        <f t="shared" si="243"/>
        <v>1.0999999999999999E-2</v>
      </c>
      <c r="AA546" s="389">
        <f t="shared" si="244"/>
        <v>0</v>
      </c>
      <c r="AB546" s="389">
        <f t="shared" si="245"/>
        <v>1E-4</v>
      </c>
      <c r="AC546" s="389">
        <f t="shared" si="246"/>
        <v>1E-4</v>
      </c>
      <c r="AD546" s="389">
        <f t="shared" si="247"/>
        <v>0</v>
      </c>
      <c r="AE546" s="389">
        <f t="shared" si="248"/>
        <v>0</v>
      </c>
      <c r="AG546" s="311" t="str">
        <f t="shared" si="249"/>
        <v>-</v>
      </c>
      <c r="AH546" s="453" t="str">
        <f t="shared" si="250"/>
        <v/>
      </c>
      <c r="AI546" s="453" t="str">
        <f t="shared" si="251"/>
        <v/>
      </c>
      <c r="AJ546" t="str">
        <f t="array" ref="AJ546">IF(AND(AI546&gt;1,G546&lt;&gt;""),INDEX(FS_teams,MATCH(1,(FS_Keys=AG546)*(FS_Points=I546)*(FS_teams&lt;&gt;G546),0)),"")</f>
        <v/>
      </c>
      <c r="AK546" s="390" t="str">
        <f t="array" ref="AK546">IF(AJ546&lt;&gt;"",INDEX(TM_Score1,MATCH(1,(TM_Events=D546)*(TM_Participant1=G546)*(TM_Participant2=AJ546),0)),"")</f>
        <v/>
      </c>
      <c r="AL546" s="390" t="str">
        <f t="array" ref="AL546">IF(AJ546&lt;&gt;"",INDEX(TM_Score1,MATCH(1,(TM_Events=D546)*(TM_Participant1=AJ546)*(TM_Participant2=G546),0)),"")</f>
        <v/>
      </c>
      <c r="AM546" s="389" t="str">
        <f t="array" ref="AM546">IF(ISNUMBER(AK546),INDEX(TM_Score2,MATCH(1,(TM_Events=D546)*(TM_Participant1=G546)*(TM_Participant2=AJ546),0)),"")</f>
        <v/>
      </c>
      <c r="AN546" s="389" t="str">
        <f t="array" ref="AN546">IF(ISNUMBER(AL546),INDEX(TM_Score2,MATCH(1,(TM_Events=D546)*(TM_Participant1=AJ546)*(TM_Participant2=G546),0)),"")</f>
        <v/>
      </c>
      <c r="AO546" s="389" t="str">
        <f t="shared" si="252"/>
        <v/>
      </c>
      <c r="AP546" s="389">
        <f t="shared" si="253"/>
        <v>0</v>
      </c>
      <c r="AQ546" s="389">
        <f t="shared" si="254"/>
        <v>0</v>
      </c>
      <c r="AR546" s="389">
        <f t="shared" si="255"/>
        <v>0</v>
      </c>
      <c r="AS546" s="453">
        <f t="shared" si="256"/>
        <v>0</v>
      </c>
      <c r="AT546" s="452">
        <f t="shared" si="257"/>
        <v>0</v>
      </c>
    </row>
    <row r="547" spans="2:46" ht="16" x14ac:dyDescent="0.2">
      <c r="B547"/>
      <c r="H547" s="387" t="str">
        <f t="shared" si="232"/>
        <v>0-0-0</v>
      </c>
      <c r="I547" s="389">
        <f t="shared" si="233"/>
        <v>0</v>
      </c>
      <c r="J547" s="455" t="str">
        <f t="shared" si="258"/>
        <v/>
      </c>
      <c r="K547" s="455">
        <f t="shared" si="234"/>
        <v>0</v>
      </c>
      <c r="L547" s="455">
        <f t="shared" si="259"/>
        <v>0</v>
      </c>
      <c r="M547" s="389" t="str">
        <f>IFERROR(IF(AD547&lt;=VLOOKUP(D547,Tournaments!$A$1:$B$1772,2,FALSE),"TRUE","FALSE"),"")</f>
        <v/>
      </c>
      <c r="N547" s="389">
        <v>1</v>
      </c>
      <c r="O547" s="389">
        <f t="shared" si="235"/>
        <v>0</v>
      </c>
      <c r="Q547" s="389">
        <f t="shared" si="236"/>
        <v>0</v>
      </c>
      <c r="R547" s="389">
        <f t="shared" si="237"/>
        <v>0</v>
      </c>
      <c r="S547" s="389">
        <f t="shared" si="238"/>
        <v>0</v>
      </c>
      <c r="U547" s="389">
        <f t="shared" si="239"/>
        <v>0</v>
      </c>
      <c r="V547" s="389" t="b">
        <f t="shared" si="240"/>
        <v>0</v>
      </c>
      <c r="W547" s="389">
        <f t="shared" si="241"/>
        <v>0</v>
      </c>
      <c r="X547" s="389">
        <f t="shared" si="242"/>
        <v>0</v>
      </c>
      <c r="Y547" s="389">
        <f t="shared" si="260"/>
        <v>1.0999999999999999E-2</v>
      </c>
      <c r="Z547" s="389">
        <f t="shared" si="243"/>
        <v>1.0999999999999999E-2</v>
      </c>
      <c r="AA547" s="389">
        <f t="shared" si="244"/>
        <v>0</v>
      </c>
      <c r="AB547" s="389">
        <f t="shared" si="245"/>
        <v>1E-4</v>
      </c>
      <c r="AC547" s="389">
        <f t="shared" si="246"/>
        <v>1E-4</v>
      </c>
      <c r="AD547" s="389">
        <f t="shared" si="247"/>
        <v>0</v>
      </c>
      <c r="AE547" s="389">
        <f t="shared" si="248"/>
        <v>0</v>
      </c>
      <c r="AG547" s="311" t="str">
        <f t="shared" si="249"/>
        <v>-</v>
      </c>
      <c r="AH547" s="453" t="str">
        <f t="shared" si="250"/>
        <v/>
      </c>
      <c r="AI547" s="453" t="str">
        <f t="shared" si="251"/>
        <v/>
      </c>
      <c r="AJ547" t="str">
        <f t="array" ref="AJ547">IF(AND(AI547&gt;1,G547&lt;&gt;""),INDEX(FS_teams,MATCH(1,(FS_Keys=AG547)*(FS_Points=I547)*(FS_teams&lt;&gt;G547),0)),"")</f>
        <v/>
      </c>
      <c r="AK547" s="390" t="str">
        <f t="array" ref="AK547">IF(AJ547&lt;&gt;"",INDEX(TM_Score1,MATCH(1,(TM_Events=D547)*(TM_Participant1=G547)*(TM_Participant2=AJ547),0)),"")</f>
        <v/>
      </c>
      <c r="AL547" s="390" t="str">
        <f t="array" ref="AL547">IF(AJ547&lt;&gt;"",INDEX(TM_Score1,MATCH(1,(TM_Events=D547)*(TM_Participant1=AJ547)*(TM_Participant2=G547),0)),"")</f>
        <v/>
      </c>
      <c r="AM547" s="389" t="str">
        <f t="array" ref="AM547">IF(ISNUMBER(AK547),INDEX(TM_Score2,MATCH(1,(TM_Events=D547)*(TM_Participant1=G547)*(TM_Participant2=AJ547),0)),"")</f>
        <v/>
      </c>
      <c r="AN547" s="389" t="str">
        <f t="array" ref="AN547">IF(ISNUMBER(AL547),INDEX(TM_Score2,MATCH(1,(TM_Events=D547)*(TM_Participant1=AJ547)*(TM_Participant2=G547),0)),"")</f>
        <v/>
      </c>
      <c r="AO547" s="389" t="str">
        <f t="shared" si="252"/>
        <v/>
      </c>
      <c r="AP547" s="389">
        <f t="shared" si="253"/>
        <v>0</v>
      </c>
      <c r="AQ547" s="389">
        <f t="shared" si="254"/>
        <v>0</v>
      </c>
      <c r="AR547" s="389">
        <f t="shared" si="255"/>
        <v>0</v>
      </c>
      <c r="AS547" s="453">
        <f t="shared" si="256"/>
        <v>0</v>
      </c>
      <c r="AT547" s="452">
        <f t="shared" si="257"/>
        <v>0</v>
      </c>
    </row>
    <row r="548" spans="2:46" ht="16" x14ac:dyDescent="0.2">
      <c r="B548"/>
      <c r="H548" s="387" t="str">
        <f t="shared" si="232"/>
        <v>0-0-0</v>
      </c>
      <c r="I548" s="389">
        <f t="shared" si="233"/>
        <v>0</v>
      </c>
      <c r="J548" s="455" t="str">
        <f t="shared" si="258"/>
        <v/>
      </c>
      <c r="K548" s="455">
        <f t="shared" si="234"/>
        <v>0</v>
      </c>
      <c r="L548" s="455">
        <f t="shared" si="259"/>
        <v>0</v>
      </c>
      <c r="M548" s="389" t="str">
        <f>IFERROR(IF(AD548&lt;=VLOOKUP(D548,Tournaments!$A$1:$B$1772,2,FALSE),"TRUE","FALSE"),"")</f>
        <v/>
      </c>
      <c r="N548" s="389">
        <v>1</v>
      </c>
      <c r="O548" s="389">
        <f t="shared" si="235"/>
        <v>0</v>
      </c>
      <c r="Q548" s="389">
        <f t="shared" si="236"/>
        <v>0</v>
      </c>
      <c r="R548" s="389">
        <f t="shared" si="237"/>
        <v>0</v>
      </c>
      <c r="S548" s="389">
        <f t="shared" si="238"/>
        <v>0</v>
      </c>
      <c r="U548" s="389">
        <f t="shared" si="239"/>
        <v>0</v>
      </c>
      <c r="V548" s="389" t="b">
        <f t="shared" si="240"/>
        <v>0</v>
      </c>
      <c r="W548" s="389">
        <f t="shared" si="241"/>
        <v>0</v>
      </c>
      <c r="X548" s="389">
        <f t="shared" si="242"/>
        <v>0</v>
      </c>
      <c r="Y548" s="389">
        <f t="shared" si="260"/>
        <v>1.0999999999999999E-2</v>
      </c>
      <c r="Z548" s="389">
        <f t="shared" si="243"/>
        <v>1.0999999999999999E-2</v>
      </c>
      <c r="AA548" s="389">
        <f t="shared" si="244"/>
        <v>0</v>
      </c>
      <c r="AB548" s="389">
        <f t="shared" si="245"/>
        <v>1E-4</v>
      </c>
      <c r="AC548" s="389">
        <f t="shared" si="246"/>
        <v>1E-4</v>
      </c>
      <c r="AD548" s="389">
        <f t="shared" si="247"/>
        <v>0</v>
      </c>
      <c r="AE548" s="389">
        <f t="shared" si="248"/>
        <v>0</v>
      </c>
      <c r="AG548" s="311" t="str">
        <f t="shared" si="249"/>
        <v>-</v>
      </c>
      <c r="AH548" s="453" t="str">
        <f t="shared" si="250"/>
        <v/>
      </c>
      <c r="AI548" s="453" t="str">
        <f t="shared" si="251"/>
        <v/>
      </c>
      <c r="AJ548" t="str">
        <f t="array" ref="AJ548">IF(AND(AI548&gt;1,G548&lt;&gt;""),INDEX(FS_teams,MATCH(1,(FS_Keys=AG548)*(FS_Points=I548)*(FS_teams&lt;&gt;G548),0)),"")</f>
        <v/>
      </c>
      <c r="AK548" s="390" t="str">
        <f t="array" ref="AK548">IF(AJ548&lt;&gt;"",INDEX(TM_Score1,MATCH(1,(TM_Events=D548)*(TM_Participant1=G548)*(TM_Participant2=AJ548),0)),"")</f>
        <v/>
      </c>
      <c r="AL548" s="390" t="str">
        <f t="array" ref="AL548">IF(AJ548&lt;&gt;"",INDEX(TM_Score1,MATCH(1,(TM_Events=D548)*(TM_Participant1=AJ548)*(TM_Participant2=G548),0)),"")</f>
        <v/>
      </c>
      <c r="AM548" s="389" t="str">
        <f t="array" ref="AM548">IF(ISNUMBER(AK548),INDEX(TM_Score2,MATCH(1,(TM_Events=D548)*(TM_Participant1=G548)*(TM_Participant2=AJ548),0)),"")</f>
        <v/>
      </c>
      <c r="AN548" s="389" t="str">
        <f t="array" ref="AN548">IF(ISNUMBER(AL548),INDEX(TM_Score2,MATCH(1,(TM_Events=D548)*(TM_Participant1=AJ548)*(TM_Participant2=G548),0)),"")</f>
        <v/>
      </c>
      <c r="AO548" s="389" t="str">
        <f t="shared" si="252"/>
        <v/>
      </c>
      <c r="AP548" s="389">
        <f t="shared" si="253"/>
        <v>0</v>
      </c>
      <c r="AQ548" s="389">
        <f t="shared" si="254"/>
        <v>0</v>
      </c>
      <c r="AR548" s="389">
        <f t="shared" si="255"/>
        <v>0</v>
      </c>
      <c r="AS548" s="453">
        <f t="shared" si="256"/>
        <v>0</v>
      </c>
      <c r="AT548" s="452">
        <f t="shared" si="257"/>
        <v>0</v>
      </c>
    </row>
    <row r="549" spans="2:46" ht="16" x14ac:dyDescent="0.2">
      <c r="B549"/>
      <c r="H549" s="387" t="str">
        <f t="shared" si="232"/>
        <v>0-0-0</v>
      </c>
      <c r="I549" s="389">
        <f t="shared" si="233"/>
        <v>0</v>
      </c>
      <c r="J549" s="455" t="str">
        <f t="shared" si="258"/>
        <v/>
      </c>
      <c r="K549" s="455">
        <f t="shared" si="234"/>
        <v>0</v>
      </c>
      <c r="L549" s="455">
        <f t="shared" si="259"/>
        <v>0</v>
      </c>
      <c r="M549" s="389" t="str">
        <f>IFERROR(IF(AD549&lt;=VLOOKUP(D549,Tournaments!$A$1:$B$1772,2,FALSE),"TRUE","FALSE"),"")</f>
        <v/>
      </c>
      <c r="N549" s="389">
        <v>1</v>
      </c>
      <c r="O549" s="389">
        <f t="shared" si="235"/>
        <v>0</v>
      </c>
      <c r="Q549" s="389">
        <f t="shared" si="236"/>
        <v>0</v>
      </c>
      <c r="R549" s="389">
        <f t="shared" si="237"/>
        <v>0</v>
      </c>
      <c r="S549" s="389">
        <f t="shared" si="238"/>
        <v>0</v>
      </c>
      <c r="U549" s="389">
        <f t="shared" si="239"/>
        <v>0</v>
      </c>
      <c r="V549" s="389" t="b">
        <f t="shared" si="240"/>
        <v>0</v>
      </c>
      <c r="W549" s="389">
        <f t="shared" si="241"/>
        <v>0</v>
      </c>
      <c r="X549" s="389">
        <f t="shared" si="242"/>
        <v>0</v>
      </c>
      <c r="Y549" s="389">
        <f t="shared" si="260"/>
        <v>1.0999999999999999E-2</v>
      </c>
      <c r="Z549" s="389">
        <f t="shared" si="243"/>
        <v>1.0999999999999999E-2</v>
      </c>
      <c r="AA549" s="389">
        <f t="shared" si="244"/>
        <v>0</v>
      </c>
      <c r="AB549" s="389">
        <f t="shared" si="245"/>
        <v>1E-4</v>
      </c>
      <c r="AC549" s="389">
        <f t="shared" si="246"/>
        <v>1E-4</v>
      </c>
      <c r="AD549" s="389">
        <f t="shared" si="247"/>
        <v>0</v>
      </c>
      <c r="AE549" s="389">
        <f t="shared" si="248"/>
        <v>0</v>
      </c>
      <c r="AG549" s="311" t="str">
        <f t="shared" si="249"/>
        <v>-</v>
      </c>
      <c r="AH549" s="453" t="str">
        <f t="shared" si="250"/>
        <v/>
      </c>
      <c r="AI549" s="453" t="str">
        <f t="shared" si="251"/>
        <v/>
      </c>
      <c r="AJ549" t="str">
        <f t="array" ref="AJ549">IF(AND(AI549&gt;1,G549&lt;&gt;""),INDEX(FS_teams,MATCH(1,(FS_Keys=AG549)*(FS_Points=I549)*(FS_teams&lt;&gt;G549),0)),"")</f>
        <v/>
      </c>
      <c r="AK549" s="390" t="str">
        <f t="array" ref="AK549">IF(AJ549&lt;&gt;"",INDEX(TM_Score1,MATCH(1,(TM_Events=D549)*(TM_Participant1=G549)*(TM_Participant2=AJ549),0)),"")</f>
        <v/>
      </c>
      <c r="AL549" s="390" t="str">
        <f t="array" ref="AL549">IF(AJ549&lt;&gt;"",INDEX(TM_Score1,MATCH(1,(TM_Events=D549)*(TM_Participant1=AJ549)*(TM_Participant2=G549),0)),"")</f>
        <v/>
      </c>
      <c r="AM549" s="389" t="str">
        <f t="array" ref="AM549">IF(ISNUMBER(AK549),INDEX(TM_Score2,MATCH(1,(TM_Events=D549)*(TM_Participant1=G549)*(TM_Participant2=AJ549),0)),"")</f>
        <v/>
      </c>
      <c r="AN549" s="389" t="str">
        <f t="array" ref="AN549">IF(ISNUMBER(AL549),INDEX(TM_Score2,MATCH(1,(TM_Events=D549)*(TM_Participant1=AJ549)*(TM_Participant2=G549),0)),"")</f>
        <v/>
      </c>
      <c r="AO549" s="389" t="str">
        <f t="shared" si="252"/>
        <v/>
      </c>
      <c r="AP549" s="389">
        <f t="shared" si="253"/>
        <v>0</v>
      </c>
      <c r="AQ549" s="389">
        <f t="shared" si="254"/>
        <v>0</v>
      </c>
      <c r="AR549" s="389">
        <f t="shared" si="255"/>
        <v>0</v>
      </c>
      <c r="AS549" s="453">
        <f t="shared" si="256"/>
        <v>0</v>
      </c>
      <c r="AT549" s="452">
        <f t="shared" si="257"/>
        <v>0</v>
      </c>
    </row>
    <row r="550" spans="2:46" ht="16" x14ac:dyDescent="0.2">
      <c r="B550"/>
      <c r="H550" s="387" t="str">
        <f t="shared" si="232"/>
        <v>0-0-0</v>
      </c>
      <c r="I550" s="389">
        <f t="shared" si="233"/>
        <v>0</v>
      </c>
      <c r="J550" s="455" t="str">
        <f t="shared" si="258"/>
        <v/>
      </c>
      <c r="K550" s="455">
        <f t="shared" si="234"/>
        <v>0</v>
      </c>
      <c r="L550" s="455">
        <f t="shared" si="259"/>
        <v>0</v>
      </c>
      <c r="M550" s="389" t="str">
        <f>IFERROR(IF(AD550&lt;=VLOOKUP(D550,Tournaments!$A$1:$B$1772,2,FALSE),"TRUE","FALSE"),"")</f>
        <v/>
      </c>
      <c r="N550" s="389">
        <v>1</v>
      </c>
      <c r="O550" s="389">
        <f t="shared" si="235"/>
        <v>0</v>
      </c>
      <c r="Q550" s="389">
        <f t="shared" si="236"/>
        <v>0</v>
      </c>
      <c r="R550" s="389">
        <f t="shared" si="237"/>
        <v>0</v>
      </c>
      <c r="S550" s="389">
        <f t="shared" si="238"/>
        <v>0</v>
      </c>
      <c r="U550" s="389">
        <f t="shared" si="239"/>
        <v>0</v>
      </c>
      <c r="V550" s="389" t="b">
        <f t="shared" si="240"/>
        <v>0</v>
      </c>
      <c r="W550" s="389">
        <f t="shared" si="241"/>
        <v>0</v>
      </c>
      <c r="X550" s="389">
        <f t="shared" si="242"/>
        <v>0</v>
      </c>
      <c r="Y550" s="389">
        <f t="shared" si="260"/>
        <v>1.0999999999999999E-2</v>
      </c>
      <c r="Z550" s="389">
        <f t="shared" si="243"/>
        <v>1.0999999999999999E-2</v>
      </c>
      <c r="AA550" s="389">
        <f t="shared" si="244"/>
        <v>0</v>
      </c>
      <c r="AB550" s="389">
        <f t="shared" si="245"/>
        <v>1E-4</v>
      </c>
      <c r="AC550" s="389">
        <f t="shared" si="246"/>
        <v>1E-4</v>
      </c>
      <c r="AD550" s="389">
        <f t="shared" si="247"/>
        <v>0</v>
      </c>
      <c r="AE550" s="389">
        <f t="shared" si="248"/>
        <v>0</v>
      </c>
      <c r="AG550" s="311" t="str">
        <f t="shared" si="249"/>
        <v>-</v>
      </c>
      <c r="AH550" s="453" t="str">
        <f t="shared" si="250"/>
        <v/>
      </c>
      <c r="AI550" s="453" t="str">
        <f t="shared" si="251"/>
        <v/>
      </c>
      <c r="AJ550" t="str">
        <f t="array" ref="AJ550">IF(AND(AI550&gt;1,G550&lt;&gt;""),INDEX(FS_teams,MATCH(1,(FS_Keys=AG550)*(FS_Points=I550)*(FS_teams&lt;&gt;G550),0)),"")</f>
        <v/>
      </c>
      <c r="AK550" s="390" t="str">
        <f t="array" ref="AK550">IF(AJ550&lt;&gt;"",INDEX(TM_Score1,MATCH(1,(TM_Events=D550)*(TM_Participant1=G550)*(TM_Participant2=AJ550),0)),"")</f>
        <v/>
      </c>
      <c r="AL550" s="390" t="str">
        <f t="array" ref="AL550">IF(AJ550&lt;&gt;"",INDEX(TM_Score1,MATCH(1,(TM_Events=D550)*(TM_Participant1=AJ550)*(TM_Participant2=G550),0)),"")</f>
        <v/>
      </c>
      <c r="AM550" s="389" t="str">
        <f t="array" ref="AM550">IF(ISNUMBER(AK550),INDEX(TM_Score2,MATCH(1,(TM_Events=D550)*(TM_Participant1=G550)*(TM_Participant2=AJ550),0)),"")</f>
        <v/>
      </c>
      <c r="AN550" s="389" t="str">
        <f t="array" ref="AN550">IF(ISNUMBER(AL550),INDEX(TM_Score2,MATCH(1,(TM_Events=D550)*(TM_Participant1=AJ550)*(TM_Participant2=G550),0)),"")</f>
        <v/>
      </c>
      <c r="AO550" s="389" t="str">
        <f t="shared" si="252"/>
        <v/>
      </c>
      <c r="AP550" s="389">
        <f t="shared" si="253"/>
        <v>0</v>
      </c>
      <c r="AQ550" s="389">
        <f t="shared" si="254"/>
        <v>0</v>
      </c>
      <c r="AR550" s="389">
        <f t="shared" si="255"/>
        <v>0</v>
      </c>
      <c r="AS550" s="453">
        <f t="shared" si="256"/>
        <v>0</v>
      </c>
      <c r="AT550" s="452">
        <f t="shared" si="257"/>
        <v>0</v>
      </c>
    </row>
    <row r="551" spans="2:46" ht="16" x14ac:dyDescent="0.2">
      <c r="B551"/>
      <c r="H551" s="387" t="str">
        <f t="shared" si="232"/>
        <v>0-0-0</v>
      </c>
      <c r="I551" s="389">
        <f t="shared" si="233"/>
        <v>0</v>
      </c>
      <c r="J551" s="455" t="str">
        <f t="shared" si="258"/>
        <v/>
      </c>
      <c r="K551" s="455">
        <f t="shared" si="234"/>
        <v>0</v>
      </c>
      <c r="L551" s="455">
        <f t="shared" si="259"/>
        <v>0</v>
      </c>
      <c r="M551" s="389" t="str">
        <f>IFERROR(IF(AD551&lt;=VLOOKUP(D551,Tournaments!$A$1:$B$1772,2,FALSE),"TRUE","FALSE"),"")</f>
        <v/>
      </c>
      <c r="N551" s="389">
        <v>1</v>
      </c>
      <c r="O551" s="389">
        <f t="shared" si="235"/>
        <v>0</v>
      </c>
      <c r="Q551" s="389">
        <f t="shared" si="236"/>
        <v>0</v>
      </c>
      <c r="R551" s="389">
        <f t="shared" si="237"/>
        <v>0</v>
      </c>
      <c r="S551" s="389">
        <f t="shared" si="238"/>
        <v>0</v>
      </c>
      <c r="U551" s="389">
        <f t="shared" si="239"/>
        <v>0</v>
      </c>
      <c r="V551" s="389" t="b">
        <f t="shared" si="240"/>
        <v>0</v>
      </c>
      <c r="W551" s="389">
        <f t="shared" si="241"/>
        <v>0</v>
      </c>
      <c r="X551" s="389">
        <f t="shared" si="242"/>
        <v>0</v>
      </c>
      <c r="Y551" s="389">
        <f t="shared" si="260"/>
        <v>1.0999999999999999E-2</v>
      </c>
      <c r="Z551" s="389">
        <f t="shared" si="243"/>
        <v>1.0999999999999999E-2</v>
      </c>
      <c r="AA551" s="389">
        <f t="shared" si="244"/>
        <v>0</v>
      </c>
      <c r="AB551" s="389">
        <f t="shared" si="245"/>
        <v>1E-4</v>
      </c>
      <c r="AC551" s="389">
        <f t="shared" si="246"/>
        <v>1E-4</v>
      </c>
      <c r="AD551" s="389">
        <f t="shared" si="247"/>
        <v>0</v>
      </c>
      <c r="AE551" s="389">
        <f t="shared" si="248"/>
        <v>0</v>
      </c>
      <c r="AG551" s="311" t="str">
        <f t="shared" si="249"/>
        <v>-</v>
      </c>
      <c r="AH551" s="453" t="str">
        <f t="shared" si="250"/>
        <v/>
      </c>
      <c r="AI551" s="453" t="str">
        <f t="shared" si="251"/>
        <v/>
      </c>
      <c r="AJ551" t="str">
        <f t="array" ref="AJ551">IF(AND(AI551&gt;1,G551&lt;&gt;""),INDEX(FS_teams,MATCH(1,(FS_Keys=AG551)*(FS_Points=I551)*(FS_teams&lt;&gt;G551),0)),"")</f>
        <v/>
      </c>
      <c r="AK551" s="390" t="str">
        <f t="array" ref="AK551">IF(AJ551&lt;&gt;"",INDEX(TM_Score1,MATCH(1,(TM_Events=D551)*(TM_Participant1=G551)*(TM_Participant2=AJ551),0)),"")</f>
        <v/>
      </c>
      <c r="AL551" s="390" t="str">
        <f t="array" ref="AL551">IF(AJ551&lt;&gt;"",INDEX(TM_Score1,MATCH(1,(TM_Events=D551)*(TM_Participant1=AJ551)*(TM_Participant2=G551),0)),"")</f>
        <v/>
      </c>
      <c r="AM551" s="389" t="str">
        <f t="array" ref="AM551">IF(ISNUMBER(AK551),INDEX(TM_Score2,MATCH(1,(TM_Events=D551)*(TM_Participant1=G551)*(TM_Participant2=AJ551),0)),"")</f>
        <v/>
      </c>
      <c r="AN551" s="389" t="str">
        <f t="array" ref="AN551">IF(ISNUMBER(AL551),INDEX(TM_Score2,MATCH(1,(TM_Events=D551)*(TM_Participant1=AJ551)*(TM_Participant2=G551),0)),"")</f>
        <v/>
      </c>
      <c r="AO551" s="389" t="str">
        <f t="shared" si="252"/>
        <v/>
      </c>
      <c r="AP551" s="389">
        <f t="shared" si="253"/>
        <v>0</v>
      </c>
      <c r="AQ551" s="389">
        <f t="shared" si="254"/>
        <v>0</v>
      </c>
      <c r="AR551" s="389">
        <f t="shared" si="255"/>
        <v>0</v>
      </c>
      <c r="AS551" s="453">
        <f t="shared" si="256"/>
        <v>0</v>
      </c>
      <c r="AT551" s="452">
        <f t="shared" si="257"/>
        <v>0</v>
      </c>
    </row>
    <row r="552" spans="2:46" ht="16" x14ac:dyDescent="0.2">
      <c r="B552"/>
      <c r="H552" s="387" t="str">
        <f t="shared" si="232"/>
        <v>0-0-0</v>
      </c>
      <c r="I552" s="389">
        <f t="shared" si="233"/>
        <v>0</v>
      </c>
      <c r="J552" s="455" t="str">
        <f t="shared" si="258"/>
        <v/>
      </c>
      <c r="K552" s="455">
        <f t="shared" si="234"/>
        <v>0</v>
      </c>
      <c r="L552" s="455">
        <f t="shared" si="259"/>
        <v>0</v>
      </c>
      <c r="M552" s="389" t="str">
        <f>IFERROR(IF(AD552&lt;=VLOOKUP(D552,Tournaments!$A$1:$B$1772,2,FALSE),"TRUE","FALSE"),"")</f>
        <v/>
      </c>
      <c r="N552" s="389">
        <v>1</v>
      </c>
      <c r="O552" s="389">
        <f t="shared" si="235"/>
        <v>0</v>
      </c>
      <c r="Q552" s="389">
        <f t="shared" si="236"/>
        <v>0</v>
      </c>
      <c r="R552" s="389">
        <f t="shared" si="237"/>
        <v>0</v>
      </c>
      <c r="S552" s="389">
        <f t="shared" si="238"/>
        <v>0</v>
      </c>
      <c r="U552" s="389">
        <f t="shared" si="239"/>
        <v>0</v>
      </c>
      <c r="V552" s="389" t="b">
        <f t="shared" si="240"/>
        <v>0</v>
      </c>
      <c r="W552" s="389">
        <f t="shared" si="241"/>
        <v>0</v>
      </c>
      <c r="X552" s="389">
        <f t="shared" si="242"/>
        <v>0</v>
      </c>
      <c r="Y552" s="389">
        <f t="shared" si="260"/>
        <v>1.0999999999999999E-2</v>
      </c>
      <c r="Z552" s="389">
        <f t="shared" si="243"/>
        <v>1.0999999999999999E-2</v>
      </c>
      <c r="AA552" s="389">
        <f t="shared" si="244"/>
        <v>0</v>
      </c>
      <c r="AB552" s="389">
        <f t="shared" si="245"/>
        <v>1E-4</v>
      </c>
      <c r="AC552" s="389">
        <f t="shared" si="246"/>
        <v>1E-4</v>
      </c>
      <c r="AD552" s="389">
        <f t="shared" si="247"/>
        <v>0</v>
      </c>
      <c r="AE552" s="389">
        <f t="shared" si="248"/>
        <v>0</v>
      </c>
      <c r="AG552" s="311" t="str">
        <f t="shared" si="249"/>
        <v>-</v>
      </c>
      <c r="AH552" s="453" t="str">
        <f t="shared" si="250"/>
        <v/>
      </c>
      <c r="AI552" s="453" t="str">
        <f t="shared" si="251"/>
        <v/>
      </c>
      <c r="AJ552" t="str">
        <f t="array" ref="AJ552">IF(AND(AI552&gt;1,G552&lt;&gt;""),INDEX(FS_teams,MATCH(1,(FS_Keys=AG552)*(FS_Points=I552)*(FS_teams&lt;&gt;G552),0)),"")</f>
        <v/>
      </c>
      <c r="AK552" s="390" t="str">
        <f t="array" ref="AK552">IF(AJ552&lt;&gt;"",INDEX(TM_Score1,MATCH(1,(TM_Events=D552)*(TM_Participant1=G552)*(TM_Participant2=AJ552),0)),"")</f>
        <v/>
      </c>
      <c r="AL552" s="390" t="str">
        <f t="array" ref="AL552">IF(AJ552&lt;&gt;"",INDEX(TM_Score1,MATCH(1,(TM_Events=D552)*(TM_Participant1=AJ552)*(TM_Participant2=G552),0)),"")</f>
        <v/>
      </c>
      <c r="AM552" s="389" t="str">
        <f t="array" ref="AM552">IF(ISNUMBER(AK552),INDEX(TM_Score2,MATCH(1,(TM_Events=D552)*(TM_Participant1=G552)*(TM_Participant2=AJ552),0)),"")</f>
        <v/>
      </c>
      <c r="AN552" s="389" t="str">
        <f t="array" ref="AN552">IF(ISNUMBER(AL552),INDEX(TM_Score2,MATCH(1,(TM_Events=D552)*(TM_Participant1=AJ552)*(TM_Participant2=G552),0)),"")</f>
        <v/>
      </c>
      <c r="AO552" s="389" t="str">
        <f t="shared" si="252"/>
        <v/>
      </c>
      <c r="AP552" s="389">
        <f t="shared" si="253"/>
        <v>0</v>
      </c>
      <c r="AQ552" s="389">
        <f t="shared" si="254"/>
        <v>0</v>
      </c>
      <c r="AR552" s="389">
        <f t="shared" si="255"/>
        <v>0</v>
      </c>
      <c r="AS552" s="453">
        <f t="shared" si="256"/>
        <v>0</v>
      </c>
      <c r="AT552" s="452">
        <f t="shared" si="257"/>
        <v>0</v>
      </c>
    </row>
    <row r="553" spans="2:46" ht="16" x14ac:dyDescent="0.2">
      <c r="B553"/>
      <c r="H553" s="387" t="str">
        <f t="shared" si="232"/>
        <v>0-0-0</v>
      </c>
      <c r="I553" s="389">
        <f t="shared" si="233"/>
        <v>0</v>
      </c>
      <c r="J553" s="455" t="str">
        <f t="shared" si="258"/>
        <v/>
      </c>
      <c r="K553" s="455">
        <f t="shared" si="234"/>
        <v>0</v>
      </c>
      <c r="L553" s="455">
        <f t="shared" si="259"/>
        <v>0</v>
      </c>
      <c r="M553" s="389" t="str">
        <f>IFERROR(IF(AD553&lt;=VLOOKUP(D553,Tournaments!$A$1:$B$1772,2,FALSE),"TRUE","FALSE"),"")</f>
        <v/>
      </c>
      <c r="N553" s="389">
        <v>1</v>
      </c>
      <c r="O553" s="389">
        <f t="shared" si="235"/>
        <v>0</v>
      </c>
      <c r="Q553" s="389">
        <f t="shared" si="236"/>
        <v>0</v>
      </c>
      <c r="R553" s="389">
        <f t="shared" si="237"/>
        <v>0</v>
      </c>
      <c r="S553" s="389">
        <f t="shared" si="238"/>
        <v>0</v>
      </c>
      <c r="U553" s="389">
        <f t="shared" si="239"/>
        <v>0</v>
      </c>
      <c r="V553" s="389" t="b">
        <f t="shared" si="240"/>
        <v>0</v>
      </c>
      <c r="W553" s="389">
        <f t="shared" si="241"/>
        <v>0</v>
      </c>
      <c r="X553" s="389">
        <f t="shared" si="242"/>
        <v>0</v>
      </c>
      <c r="Y553" s="389">
        <f t="shared" si="260"/>
        <v>1.0999999999999999E-2</v>
      </c>
      <c r="Z553" s="389">
        <f t="shared" si="243"/>
        <v>1.0999999999999999E-2</v>
      </c>
      <c r="AA553" s="389">
        <f t="shared" si="244"/>
        <v>0</v>
      </c>
      <c r="AB553" s="389">
        <f t="shared" si="245"/>
        <v>1E-4</v>
      </c>
      <c r="AC553" s="389">
        <f t="shared" si="246"/>
        <v>1E-4</v>
      </c>
      <c r="AD553" s="389">
        <f t="shared" si="247"/>
        <v>0</v>
      </c>
      <c r="AE553" s="389">
        <f t="shared" si="248"/>
        <v>0</v>
      </c>
      <c r="AG553" s="311" t="str">
        <f t="shared" si="249"/>
        <v>-</v>
      </c>
      <c r="AH553" s="453" t="str">
        <f t="shared" si="250"/>
        <v/>
      </c>
      <c r="AI553" s="453" t="str">
        <f t="shared" si="251"/>
        <v/>
      </c>
      <c r="AJ553" t="str">
        <f t="array" ref="AJ553">IF(AND(AI553&gt;1,G553&lt;&gt;""),INDEX(FS_teams,MATCH(1,(FS_Keys=AG553)*(FS_Points=I553)*(FS_teams&lt;&gt;G553),0)),"")</f>
        <v/>
      </c>
      <c r="AK553" s="390" t="str">
        <f t="array" ref="AK553">IF(AJ553&lt;&gt;"",INDEX(TM_Score1,MATCH(1,(TM_Events=D553)*(TM_Participant1=G553)*(TM_Participant2=AJ553),0)),"")</f>
        <v/>
      </c>
      <c r="AL553" s="390" t="str">
        <f t="array" ref="AL553">IF(AJ553&lt;&gt;"",INDEX(TM_Score1,MATCH(1,(TM_Events=D553)*(TM_Participant1=AJ553)*(TM_Participant2=G553),0)),"")</f>
        <v/>
      </c>
      <c r="AM553" s="389" t="str">
        <f t="array" ref="AM553">IF(ISNUMBER(AK553),INDEX(TM_Score2,MATCH(1,(TM_Events=D553)*(TM_Participant1=G553)*(TM_Participant2=AJ553),0)),"")</f>
        <v/>
      </c>
      <c r="AN553" s="389" t="str">
        <f t="array" ref="AN553">IF(ISNUMBER(AL553),INDEX(TM_Score2,MATCH(1,(TM_Events=D553)*(TM_Participant1=AJ553)*(TM_Participant2=G553),0)),"")</f>
        <v/>
      </c>
      <c r="AO553" s="389" t="str">
        <f t="shared" si="252"/>
        <v/>
      </c>
      <c r="AP553" s="389">
        <f t="shared" si="253"/>
        <v>0</v>
      </c>
      <c r="AQ553" s="389">
        <f t="shared" si="254"/>
        <v>0</v>
      </c>
      <c r="AR553" s="389">
        <f t="shared" si="255"/>
        <v>0</v>
      </c>
      <c r="AS553" s="453">
        <f t="shared" si="256"/>
        <v>0</v>
      </c>
      <c r="AT553" s="452">
        <f t="shared" si="257"/>
        <v>0</v>
      </c>
    </row>
    <row r="554" spans="2:46" ht="16" x14ac:dyDescent="0.2">
      <c r="B554"/>
      <c r="H554" s="387" t="str">
        <f t="shared" si="232"/>
        <v>0-0-0</v>
      </c>
      <c r="I554" s="389">
        <f t="shared" si="233"/>
        <v>0</v>
      </c>
      <c r="J554" s="455" t="str">
        <f t="shared" si="258"/>
        <v/>
      </c>
      <c r="K554" s="455">
        <f t="shared" si="234"/>
        <v>0</v>
      </c>
      <c r="L554" s="455">
        <f t="shared" si="259"/>
        <v>0</v>
      </c>
      <c r="M554" s="389" t="str">
        <f>IFERROR(IF(AD554&lt;=VLOOKUP(D554,Tournaments!$A$1:$B$1772,2,FALSE),"TRUE","FALSE"),"")</f>
        <v/>
      </c>
      <c r="N554" s="389">
        <v>1</v>
      </c>
      <c r="O554" s="389">
        <f t="shared" si="235"/>
        <v>0</v>
      </c>
      <c r="Q554" s="389">
        <f t="shared" si="236"/>
        <v>0</v>
      </c>
      <c r="R554" s="389">
        <f t="shared" si="237"/>
        <v>0</v>
      </c>
      <c r="S554" s="389">
        <f t="shared" si="238"/>
        <v>0</v>
      </c>
      <c r="U554" s="389">
        <f t="shared" si="239"/>
        <v>0</v>
      </c>
      <c r="V554" s="389" t="b">
        <f t="shared" si="240"/>
        <v>0</v>
      </c>
      <c r="W554" s="389">
        <f t="shared" si="241"/>
        <v>0</v>
      </c>
      <c r="X554" s="389">
        <f t="shared" si="242"/>
        <v>0</v>
      </c>
      <c r="Y554" s="389">
        <f t="shared" si="260"/>
        <v>1.0999999999999999E-2</v>
      </c>
      <c r="Z554" s="389">
        <f t="shared" si="243"/>
        <v>1.0999999999999999E-2</v>
      </c>
      <c r="AA554" s="389">
        <f t="shared" si="244"/>
        <v>0</v>
      </c>
      <c r="AB554" s="389">
        <f t="shared" si="245"/>
        <v>1E-4</v>
      </c>
      <c r="AC554" s="389">
        <f t="shared" si="246"/>
        <v>1E-4</v>
      </c>
      <c r="AD554" s="389">
        <f t="shared" si="247"/>
        <v>0</v>
      </c>
      <c r="AE554" s="389">
        <f t="shared" si="248"/>
        <v>0</v>
      </c>
      <c r="AG554" s="311" t="str">
        <f t="shared" si="249"/>
        <v>-</v>
      </c>
      <c r="AH554" s="453" t="str">
        <f t="shared" si="250"/>
        <v/>
      </c>
      <c r="AI554" s="453" t="str">
        <f t="shared" si="251"/>
        <v/>
      </c>
      <c r="AJ554" t="str">
        <f t="array" ref="AJ554">IF(AND(AI554&gt;1,G554&lt;&gt;""),INDEX(FS_teams,MATCH(1,(FS_Keys=AG554)*(FS_Points=I554)*(FS_teams&lt;&gt;G554),0)),"")</f>
        <v/>
      </c>
      <c r="AK554" s="390" t="str">
        <f t="array" ref="AK554">IF(AJ554&lt;&gt;"",INDEX(TM_Score1,MATCH(1,(TM_Events=D554)*(TM_Participant1=G554)*(TM_Participant2=AJ554),0)),"")</f>
        <v/>
      </c>
      <c r="AL554" s="390" t="str">
        <f t="array" ref="AL554">IF(AJ554&lt;&gt;"",INDEX(TM_Score1,MATCH(1,(TM_Events=D554)*(TM_Participant1=AJ554)*(TM_Participant2=G554),0)),"")</f>
        <v/>
      </c>
      <c r="AM554" s="389" t="str">
        <f t="array" ref="AM554">IF(ISNUMBER(AK554),INDEX(TM_Score2,MATCH(1,(TM_Events=D554)*(TM_Participant1=G554)*(TM_Participant2=AJ554),0)),"")</f>
        <v/>
      </c>
      <c r="AN554" s="389" t="str">
        <f t="array" ref="AN554">IF(ISNUMBER(AL554),INDEX(TM_Score2,MATCH(1,(TM_Events=D554)*(TM_Participant1=AJ554)*(TM_Participant2=G554),0)),"")</f>
        <v/>
      </c>
      <c r="AO554" s="389" t="str">
        <f t="shared" si="252"/>
        <v/>
      </c>
      <c r="AP554" s="389">
        <f t="shared" si="253"/>
        <v>0</v>
      </c>
      <c r="AQ554" s="389">
        <f t="shared" si="254"/>
        <v>0</v>
      </c>
      <c r="AR554" s="389">
        <f t="shared" si="255"/>
        <v>0</v>
      </c>
      <c r="AS554" s="453">
        <f t="shared" si="256"/>
        <v>0</v>
      </c>
      <c r="AT554" s="452">
        <f t="shared" si="257"/>
        <v>0</v>
      </c>
    </row>
    <row r="555" spans="2:46" ht="16" x14ac:dyDescent="0.2">
      <c r="B555"/>
      <c r="H555" s="387" t="str">
        <f t="shared" si="232"/>
        <v>0-0-0</v>
      </c>
      <c r="I555" s="389">
        <f t="shared" si="233"/>
        <v>0</v>
      </c>
      <c r="J555" s="455" t="str">
        <f t="shared" si="258"/>
        <v/>
      </c>
      <c r="K555" s="455">
        <f t="shared" si="234"/>
        <v>0</v>
      </c>
      <c r="L555" s="455">
        <f t="shared" si="259"/>
        <v>0</v>
      </c>
      <c r="M555" s="389" t="str">
        <f>IFERROR(IF(AD555&lt;=VLOOKUP(D555,Tournaments!$A$1:$B$1772,2,FALSE),"TRUE","FALSE"),"")</f>
        <v/>
      </c>
      <c r="N555" s="389">
        <v>1</v>
      </c>
      <c r="O555" s="389">
        <f t="shared" si="235"/>
        <v>0</v>
      </c>
      <c r="Q555" s="389">
        <f t="shared" si="236"/>
        <v>0</v>
      </c>
      <c r="R555" s="389">
        <f t="shared" si="237"/>
        <v>0</v>
      </c>
      <c r="S555" s="389">
        <f t="shared" si="238"/>
        <v>0</v>
      </c>
      <c r="U555" s="389">
        <f t="shared" si="239"/>
        <v>0</v>
      </c>
      <c r="V555" s="389" t="b">
        <f t="shared" si="240"/>
        <v>0</v>
      </c>
      <c r="W555" s="389">
        <f t="shared" si="241"/>
        <v>0</v>
      </c>
      <c r="X555" s="389">
        <f t="shared" si="242"/>
        <v>0</v>
      </c>
      <c r="Y555" s="389">
        <f t="shared" si="260"/>
        <v>1.0999999999999999E-2</v>
      </c>
      <c r="Z555" s="389">
        <f t="shared" si="243"/>
        <v>1.0999999999999999E-2</v>
      </c>
      <c r="AA555" s="389">
        <f t="shared" si="244"/>
        <v>0</v>
      </c>
      <c r="AB555" s="389">
        <f t="shared" si="245"/>
        <v>1E-4</v>
      </c>
      <c r="AC555" s="389">
        <f t="shared" si="246"/>
        <v>1E-4</v>
      </c>
      <c r="AD555" s="389">
        <f t="shared" si="247"/>
        <v>0</v>
      </c>
      <c r="AE555" s="389">
        <f t="shared" si="248"/>
        <v>0</v>
      </c>
      <c r="AG555" s="311" t="str">
        <f t="shared" si="249"/>
        <v>-</v>
      </c>
      <c r="AH555" s="453" t="str">
        <f t="shared" si="250"/>
        <v/>
      </c>
      <c r="AI555" s="453" t="str">
        <f t="shared" si="251"/>
        <v/>
      </c>
      <c r="AJ555" t="str">
        <f t="array" ref="AJ555">IF(AND(AI555&gt;1,G555&lt;&gt;""),INDEX(FS_teams,MATCH(1,(FS_Keys=AG555)*(FS_Points=I555)*(FS_teams&lt;&gt;G555),0)),"")</f>
        <v/>
      </c>
      <c r="AK555" s="390" t="str">
        <f t="array" ref="AK555">IF(AJ555&lt;&gt;"",INDEX(TM_Score1,MATCH(1,(TM_Events=D555)*(TM_Participant1=G555)*(TM_Participant2=AJ555),0)),"")</f>
        <v/>
      </c>
      <c r="AL555" s="390" t="str">
        <f t="array" ref="AL555">IF(AJ555&lt;&gt;"",INDEX(TM_Score1,MATCH(1,(TM_Events=D555)*(TM_Participant1=AJ555)*(TM_Participant2=G555),0)),"")</f>
        <v/>
      </c>
      <c r="AM555" s="389" t="str">
        <f t="array" ref="AM555">IF(ISNUMBER(AK555),INDEX(TM_Score2,MATCH(1,(TM_Events=D555)*(TM_Participant1=G555)*(TM_Participant2=AJ555),0)),"")</f>
        <v/>
      </c>
      <c r="AN555" s="389" t="str">
        <f t="array" ref="AN555">IF(ISNUMBER(AL555),INDEX(TM_Score2,MATCH(1,(TM_Events=D555)*(TM_Participant1=AJ555)*(TM_Participant2=G555),0)),"")</f>
        <v/>
      </c>
      <c r="AO555" s="389" t="str">
        <f t="shared" si="252"/>
        <v/>
      </c>
      <c r="AP555" s="389">
        <f t="shared" si="253"/>
        <v>0</v>
      </c>
      <c r="AQ555" s="389">
        <f t="shared" si="254"/>
        <v>0</v>
      </c>
      <c r="AR555" s="389">
        <f t="shared" si="255"/>
        <v>0</v>
      </c>
      <c r="AS555" s="453">
        <f t="shared" si="256"/>
        <v>0</v>
      </c>
      <c r="AT555" s="452">
        <f t="shared" si="257"/>
        <v>0</v>
      </c>
    </row>
    <row r="556" spans="2:46" ht="16" x14ac:dyDescent="0.2">
      <c r="B556"/>
      <c r="H556" s="387" t="str">
        <f t="shared" si="232"/>
        <v>0-0-0</v>
      </c>
      <c r="I556" s="389">
        <f t="shared" si="233"/>
        <v>0</v>
      </c>
      <c r="J556" s="455" t="str">
        <f t="shared" si="258"/>
        <v/>
      </c>
      <c r="K556" s="455">
        <f t="shared" si="234"/>
        <v>0</v>
      </c>
      <c r="L556" s="455">
        <f t="shared" si="259"/>
        <v>0</v>
      </c>
      <c r="M556" s="389" t="str">
        <f>IFERROR(IF(AD556&lt;=VLOOKUP(D556,Tournaments!$A$1:$B$1772,2,FALSE),"TRUE","FALSE"),"")</f>
        <v/>
      </c>
      <c r="N556" s="389">
        <v>1</v>
      </c>
      <c r="O556" s="389">
        <f t="shared" si="235"/>
        <v>0</v>
      </c>
      <c r="Q556" s="389">
        <f t="shared" si="236"/>
        <v>0</v>
      </c>
      <c r="R556" s="389">
        <f t="shared" si="237"/>
        <v>0</v>
      </c>
      <c r="S556" s="389">
        <f t="shared" si="238"/>
        <v>0</v>
      </c>
      <c r="U556" s="389">
        <f t="shared" si="239"/>
        <v>0</v>
      </c>
      <c r="V556" s="389" t="b">
        <f t="shared" si="240"/>
        <v>0</v>
      </c>
      <c r="W556" s="389">
        <f t="shared" si="241"/>
        <v>0</v>
      </c>
      <c r="X556" s="389">
        <f t="shared" si="242"/>
        <v>0</v>
      </c>
      <c r="Y556" s="389">
        <f t="shared" si="260"/>
        <v>1.0999999999999999E-2</v>
      </c>
      <c r="Z556" s="389">
        <f t="shared" si="243"/>
        <v>1.0999999999999999E-2</v>
      </c>
      <c r="AA556" s="389">
        <f t="shared" si="244"/>
        <v>0</v>
      </c>
      <c r="AB556" s="389">
        <f t="shared" si="245"/>
        <v>1E-4</v>
      </c>
      <c r="AC556" s="389">
        <f t="shared" si="246"/>
        <v>1E-4</v>
      </c>
      <c r="AD556" s="389">
        <f t="shared" si="247"/>
        <v>0</v>
      </c>
      <c r="AE556" s="389">
        <f t="shared" si="248"/>
        <v>0</v>
      </c>
      <c r="AG556" s="311" t="str">
        <f t="shared" si="249"/>
        <v>-</v>
      </c>
      <c r="AH556" s="453" t="str">
        <f t="shared" si="250"/>
        <v/>
      </c>
      <c r="AI556" s="453" t="str">
        <f t="shared" si="251"/>
        <v/>
      </c>
      <c r="AJ556" t="str">
        <f t="array" ref="AJ556">IF(AND(AI556&gt;1,G556&lt;&gt;""),INDEX(FS_teams,MATCH(1,(FS_Keys=AG556)*(FS_Points=I556)*(FS_teams&lt;&gt;G556),0)),"")</f>
        <v/>
      </c>
      <c r="AK556" s="390" t="str">
        <f t="array" ref="AK556">IF(AJ556&lt;&gt;"",INDEX(TM_Score1,MATCH(1,(TM_Events=D556)*(TM_Participant1=G556)*(TM_Participant2=AJ556),0)),"")</f>
        <v/>
      </c>
      <c r="AL556" s="390" t="str">
        <f t="array" ref="AL556">IF(AJ556&lt;&gt;"",INDEX(TM_Score1,MATCH(1,(TM_Events=D556)*(TM_Participant1=AJ556)*(TM_Participant2=G556),0)),"")</f>
        <v/>
      </c>
      <c r="AM556" s="389" t="str">
        <f t="array" ref="AM556">IF(ISNUMBER(AK556),INDEX(TM_Score2,MATCH(1,(TM_Events=D556)*(TM_Participant1=G556)*(TM_Participant2=AJ556),0)),"")</f>
        <v/>
      </c>
      <c r="AN556" s="389" t="str">
        <f t="array" ref="AN556">IF(ISNUMBER(AL556),INDEX(TM_Score2,MATCH(1,(TM_Events=D556)*(TM_Participant1=AJ556)*(TM_Participant2=G556),0)),"")</f>
        <v/>
      </c>
      <c r="AO556" s="389" t="str">
        <f t="shared" si="252"/>
        <v/>
      </c>
      <c r="AP556" s="389">
        <f t="shared" si="253"/>
        <v>0</v>
      </c>
      <c r="AQ556" s="389">
        <f t="shared" si="254"/>
        <v>0</v>
      </c>
      <c r="AR556" s="389">
        <f t="shared" si="255"/>
        <v>0</v>
      </c>
      <c r="AS556" s="453">
        <f t="shared" si="256"/>
        <v>0</v>
      </c>
      <c r="AT556" s="452">
        <f t="shared" si="257"/>
        <v>0</v>
      </c>
    </row>
    <row r="557" spans="2:46" ht="16" x14ac:dyDescent="0.2">
      <c r="B557"/>
      <c r="H557" s="387" t="str">
        <f t="shared" si="232"/>
        <v>0-0-0</v>
      </c>
      <c r="I557" s="389">
        <f t="shared" si="233"/>
        <v>0</v>
      </c>
      <c r="J557" s="455" t="str">
        <f t="shared" si="258"/>
        <v/>
      </c>
      <c r="K557" s="455">
        <f t="shared" si="234"/>
        <v>0</v>
      </c>
      <c r="L557" s="455">
        <f t="shared" si="259"/>
        <v>0</v>
      </c>
      <c r="M557" s="389" t="str">
        <f>IFERROR(IF(AD557&lt;=VLOOKUP(D557,Tournaments!$A$1:$B$1772,2,FALSE),"TRUE","FALSE"),"")</f>
        <v/>
      </c>
      <c r="N557" s="389">
        <v>1</v>
      </c>
      <c r="O557" s="389">
        <f t="shared" si="235"/>
        <v>0</v>
      </c>
      <c r="Q557" s="389">
        <f t="shared" si="236"/>
        <v>0</v>
      </c>
      <c r="R557" s="389">
        <f t="shared" si="237"/>
        <v>0</v>
      </c>
      <c r="S557" s="389">
        <f t="shared" si="238"/>
        <v>0</v>
      </c>
      <c r="U557" s="389">
        <f t="shared" si="239"/>
        <v>0</v>
      </c>
      <c r="V557" s="389" t="b">
        <f t="shared" si="240"/>
        <v>0</v>
      </c>
      <c r="W557" s="389">
        <f t="shared" si="241"/>
        <v>0</v>
      </c>
      <c r="X557" s="389">
        <f t="shared" si="242"/>
        <v>0</v>
      </c>
      <c r="Y557" s="389">
        <f t="shared" si="260"/>
        <v>1.0999999999999999E-2</v>
      </c>
      <c r="Z557" s="389">
        <f t="shared" si="243"/>
        <v>1.0999999999999999E-2</v>
      </c>
      <c r="AA557" s="389">
        <f t="shared" si="244"/>
        <v>0</v>
      </c>
      <c r="AB557" s="389">
        <f t="shared" si="245"/>
        <v>1E-4</v>
      </c>
      <c r="AC557" s="389">
        <f t="shared" si="246"/>
        <v>1E-4</v>
      </c>
      <c r="AD557" s="389">
        <f t="shared" si="247"/>
        <v>0</v>
      </c>
      <c r="AE557" s="389">
        <f t="shared" si="248"/>
        <v>0</v>
      </c>
      <c r="AG557" s="311" t="str">
        <f t="shared" si="249"/>
        <v>-</v>
      </c>
      <c r="AH557" s="453" t="str">
        <f t="shared" si="250"/>
        <v/>
      </c>
      <c r="AI557" s="453" t="str">
        <f t="shared" si="251"/>
        <v/>
      </c>
      <c r="AJ557" t="str">
        <f t="array" ref="AJ557">IF(AND(AI557&gt;1,G557&lt;&gt;""),INDEX(FS_teams,MATCH(1,(FS_Keys=AG557)*(FS_Points=I557)*(FS_teams&lt;&gt;G557),0)),"")</f>
        <v/>
      </c>
      <c r="AK557" s="390" t="str">
        <f t="array" ref="AK557">IF(AJ557&lt;&gt;"",INDEX(TM_Score1,MATCH(1,(TM_Events=D557)*(TM_Participant1=G557)*(TM_Participant2=AJ557),0)),"")</f>
        <v/>
      </c>
      <c r="AL557" s="390" t="str">
        <f t="array" ref="AL557">IF(AJ557&lt;&gt;"",INDEX(TM_Score1,MATCH(1,(TM_Events=D557)*(TM_Participant1=AJ557)*(TM_Participant2=G557),0)),"")</f>
        <v/>
      </c>
      <c r="AM557" s="389" t="str">
        <f t="array" ref="AM557">IF(ISNUMBER(AK557),INDEX(TM_Score2,MATCH(1,(TM_Events=D557)*(TM_Participant1=G557)*(TM_Participant2=AJ557),0)),"")</f>
        <v/>
      </c>
      <c r="AN557" s="389" t="str">
        <f t="array" ref="AN557">IF(ISNUMBER(AL557),INDEX(TM_Score2,MATCH(1,(TM_Events=D557)*(TM_Participant1=AJ557)*(TM_Participant2=G557),0)),"")</f>
        <v/>
      </c>
      <c r="AO557" s="389" t="str">
        <f t="shared" si="252"/>
        <v/>
      </c>
      <c r="AP557" s="389">
        <f t="shared" si="253"/>
        <v>0</v>
      </c>
      <c r="AQ557" s="389">
        <f t="shared" si="254"/>
        <v>0</v>
      </c>
      <c r="AR557" s="389">
        <f t="shared" si="255"/>
        <v>0</v>
      </c>
      <c r="AS557" s="453">
        <f t="shared" si="256"/>
        <v>0</v>
      </c>
      <c r="AT557" s="452">
        <f t="shared" si="257"/>
        <v>0</v>
      </c>
    </row>
    <row r="558" spans="2:46" ht="16" x14ac:dyDescent="0.2">
      <c r="B558"/>
      <c r="H558" s="387" t="str">
        <f t="shared" si="232"/>
        <v>0-0-0</v>
      </c>
      <c r="I558" s="389">
        <f t="shared" si="233"/>
        <v>0</v>
      </c>
      <c r="J558" s="455" t="str">
        <f t="shared" si="258"/>
        <v/>
      </c>
      <c r="K558" s="455">
        <f t="shared" si="234"/>
        <v>0</v>
      </c>
      <c r="L558" s="455">
        <f t="shared" si="259"/>
        <v>0</v>
      </c>
      <c r="M558" s="389" t="str">
        <f>IFERROR(IF(AD558&lt;=VLOOKUP(D558,Tournaments!$A$1:$B$1772,2,FALSE),"TRUE","FALSE"),"")</f>
        <v/>
      </c>
      <c r="N558" s="389">
        <v>1</v>
      </c>
      <c r="O558" s="389">
        <f t="shared" si="235"/>
        <v>0</v>
      </c>
      <c r="Q558" s="389">
        <f t="shared" si="236"/>
        <v>0</v>
      </c>
      <c r="R558" s="389">
        <f t="shared" si="237"/>
        <v>0</v>
      </c>
      <c r="S558" s="389">
        <f t="shared" si="238"/>
        <v>0</v>
      </c>
      <c r="U558" s="389">
        <f t="shared" si="239"/>
        <v>0</v>
      </c>
      <c r="V558" s="389" t="b">
        <f t="shared" si="240"/>
        <v>0</v>
      </c>
      <c r="W558" s="389">
        <f t="shared" si="241"/>
        <v>0</v>
      </c>
      <c r="X558" s="389">
        <f t="shared" si="242"/>
        <v>0</v>
      </c>
      <c r="Y558" s="389">
        <f t="shared" si="260"/>
        <v>1.0999999999999999E-2</v>
      </c>
      <c r="Z558" s="389">
        <f t="shared" si="243"/>
        <v>1.0999999999999999E-2</v>
      </c>
      <c r="AA558" s="389">
        <f t="shared" si="244"/>
        <v>0</v>
      </c>
      <c r="AB558" s="389">
        <f t="shared" si="245"/>
        <v>1E-4</v>
      </c>
      <c r="AC558" s="389">
        <f t="shared" si="246"/>
        <v>1E-4</v>
      </c>
      <c r="AD558" s="389">
        <f t="shared" si="247"/>
        <v>0</v>
      </c>
      <c r="AE558" s="389">
        <f t="shared" si="248"/>
        <v>0</v>
      </c>
      <c r="AG558" s="311" t="str">
        <f t="shared" si="249"/>
        <v>-</v>
      </c>
      <c r="AH558" s="453" t="str">
        <f t="shared" si="250"/>
        <v/>
      </c>
      <c r="AI558" s="453" t="str">
        <f t="shared" si="251"/>
        <v/>
      </c>
      <c r="AJ558" t="str">
        <f t="array" ref="AJ558">IF(AND(AI558&gt;1,G558&lt;&gt;""),INDEX(FS_teams,MATCH(1,(FS_Keys=AG558)*(FS_Points=I558)*(FS_teams&lt;&gt;G558),0)),"")</f>
        <v/>
      </c>
      <c r="AK558" s="390" t="str">
        <f t="array" ref="AK558">IF(AJ558&lt;&gt;"",INDEX(TM_Score1,MATCH(1,(TM_Events=D558)*(TM_Participant1=G558)*(TM_Participant2=AJ558),0)),"")</f>
        <v/>
      </c>
      <c r="AL558" s="390" t="str">
        <f t="array" ref="AL558">IF(AJ558&lt;&gt;"",INDEX(TM_Score1,MATCH(1,(TM_Events=D558)*(TM_Participant1=AJ558)*(TM_Participant2=G558),0)),"")</f>
        <v/>
      </c>
      <c r="AM558" s="389" t="str">
        <f t="array" ref="AM558">IF(ISNUMBER(AK558),INDEX(TM_Score2,MATCH(1,(TM_Events=D558)*(TM_Participant1=G558)*(TM_Participant2=AJ558),0)),"")</f>
        <v/>
      </c>
      <c r="AN558" s="389" t="str">
        <f t="array" ref="AN558">IF(ISNUMBER(AL558),INDEX(TM_Score2,MATCH(1,(TM_Events=D558)*(TM_Participant1=AJ558)*(TM_Participant2=G558),0)),"")</f>
        <v/>
      </c>
      <c r="AO558" s="389" t="str">
        <f t="shared" si="252"/>
        <v/>
      </c>
      <c r="AP558" s="389">
        <f t="shared" si="253"/>
        <v>0</v>
      </c>
      <c r="AQ558" s="389">
        <f t="shared" si="254"/>
        <v>0</v>
      </c>
      <c r="AR558" s="389">
        <f t="shared" si="255"/>
        <v>0</v>
      </c>
      <c r="AS558" s="453">
        <f t="shared" si="256"/>
        <v>0</v>
      </c>
      <c r="AT558" s="452">
        <f t="shared" si="257"/>
        <v>0</v>
      </c>
    </row>
    <row r="559" spans="2:46" ht="16" x14ac:dyDescent="0.2">
      <c r="B559"/>
      <c r="H559" s="387" t="str">
        <f t="shared" si="232"/>
        <v>0-0-0</v>
      </c>
      <c r="I559" s="389">
        <f t="shared" si="233"/>
        <v>0</v>
      </c>
      <c r="J559" s="455" t="str">
        <f t="shared" si="258"/>
        <v/>
      </c>
      <c r="K559" s="455">
        <f t="shared" si="234"/>
        <v>0</v>
      </c>
      <c r="L559" s="455">
        <f t="shared" si="259"/>
        <v>0</v>
      </c>
      <c r="M559" s="389" t="str">
        <f>IFERROR(IF(AD559&lt;=VLOOKUP(D559,Tournaments!$A$1:$B$1772,2,FALSE),"TRUE","FALSE"),"")</f>
        <v/>
      </c>
      <c r="N559" s="389">
        <v>1</v>
      </c>
      <c r="O559" s="389">
        <f t="shared" si="235"/>
        <v>0</v>
      </c>
      <c r="Q559" s="389">
        <f t="shared" si="236"/>
        <v>0</v>
      </c>
      <c r="R559" s="389">
        <f t="shared" si="237"/>
        <v>0</v>
      </c>
      <c r="S559" s="389">
        <f t="shared" si="238"/>
        <v>0</v>
      </c>
      <c r="U559" s="389">
        <f t="shared" si="239"/>
        <v>0</v>
      </c>
      <c r="V559" s="389" t="b">
        <f t="shared" si="240"/>
        <v>0</v>
      </c>
      <c r="W559" s="389">
        <f t="shared" si="241"/>
        <v>0</v>
      </c>
      <c r="X559" s="389">
        <f t="shared" si="242"/>
        <v>0</v>
      </c>
      <c r="Y559" s="389">
        <f t="shared" si="260"/>
        <v>1.0999999999999999E-2</v>
      </c>
      <c r="Z559" s="389">
        <f t="shared" si="243"/>
        <v>1.0999999999999999E-2</v>
      </c>
      <c r="AA559" s="389">
        <f t="shared" si="244"/>
        <v>0</v>
      </c>
      <c r="AB559" s="389">
        <f t="shared" si="245"/>
        <v>1E-4</v>
      </c>
      <c r="AC559" s="389">
        <f t="shared" si="246"/>
        <v>1E-4</v>
      </c>
      <c r="AD559" s="389">
        <f t="shared" si="247"/>
        <v>0</v>
      </c>
      <c r="AE559" s="389">
        <f t="shared" si="248"/>
        <v>0</v>
      </c>
      <c r="AG559" s="311" t="str">
        <f t="shared" si="249"/>
        <v>-</v>
      </c>
      <c r="AH559" s="453" t="str">
        <f t="shared" si="250"/>
        <v/>
      </c>
      <c r="AI559" s="453" t="str">
        <f t="shared" si="251"/>
        <v/>
      </c>
      <c r="AJ559" t="str">
        <f t="array" ref="AJ559">IF(AND(AI559&gt;1,G559&lt;&gt;""),INDEX(FS_teams,MATCH(1,(FS_Keys=AG559)*(FS_Points=I559)*(FS_teams&lt;&gt;G559),0)),"")</f>
        <v/>
      </c>
      <c r="AK559" s="390" t="str">
        <f t="array" ref="AK559">IF(AJ559&lt;&gt;"",INDEX(TM_Score1,MATCH(1,(TM_Events=D559)*(TM_Participant1=G559)*(TM_Participant2=AJ559),0)),"")</f>
        <v/>
      </c>
      <c r="AL559" s="390" t="str">
        <f t="array" ref="AL559">IF(AJ559&lt;&gt;"",INDEX(TM_Score1,MATCH(1,(TM_Events=D559)*(TM_Participant1=AJ559)*(TM_Participant2=G559),0)),"")</f>
        <v/>
      </c>
      <c r="AM559" s="389" t="str">
        <f t="array" ref="AM559">IF(ISNUMBER(AK559),INDEX(TM_Score2,MATCH(1,(TM_Events=D559)*(TM_Participant1=G559)*(TM_Participant2=AJ559),0)),"")</f>
        <v/>
      </c>
      <c r="AN559" s="389" t="str">
        <f t="array" ref="AN559">IF(ISNUMBER(AL559),INDEX(TM_Score2,MATCH(1,(TM_Events=D559)*(TM_Participant1=AJ559)*(TM_Participant2=G559),0)),"")</f>
        <v/>
      </c>
      <c r="AO559" s="389" t="str">
        <f t="shared" si="252"/>
        <v/>
      </c>
      <c r="AP559" s="389">
        <f t="shared" si="253"/>
        <v>0</v>
      </c>
      <c r="AQ559" s="389">
        <f t="shared" si="254"/>
        <v>0</v>
      </c>
      <c r="AR559" s="389">
        <f t="shared" si="255"/>
        <v>0</v>
      </c>
      <c r="AS559" s="453">
        <f t="shared" si="256"/>
        <v>0</v>
      </c>
      <c r="AT559" s="452">
        <f t="shared" si="257"/>
        <v>0</v>
      </c>
    </row>
    <row r="560" spans="2:46" ht="16" x14ac:dyDescent="0.2">
      <c r="B560"/>
      <c r="H560" s="387" t="str">
        <f t="shared" si="232"/>
        <v>0-0-0</v>
      </c>
      <c r="I560" s="389">
        <f t="shared" si="233"/>
        <v>0</v>
      </c>
      <c r="J560" s="455" t="str">
        <f t="shared" si="258"/>
        <v/>
      </c>
      <c r="K560" s="455">
        <f t="shared" si="234"/>
        <v>0</v>
      </c>
      <c r="L560" s="455">
        <f t="shared" si="259"/>
        <v>0</v>
      </c>
      <c r="M560" s="389" t="str">
        <f>IFERROR(IF(AD560&lt;=VLOOKUP(D560,Tournaments!$A$1:$B$1772,2,FALSE),"TRUE","FALSE"),"")</f>
        <v/>
      </c>
      <c r="N560" s="389">
        <v>1</v>
      </c>
      <c r="O560" s="389">
        <f t="shared" si="235"/>
        <v>0</v>
      </c>
      <c r="Q560" s="389">
        <f t="shared" si="236"/>
        <v>0</v>
      </c>
      <c r="R560" s="389">
        <f t="shared" si="237"/>
        <v>0</v>
      </c>
      <c r="S560" s="389">
        <f t="shared" si="238"/>
        <v>0</v>
      </c>
      <c r="U560" s="389">
        <f t="shared" si="239"/>
        <v>0</v>
      </c>
      <c r="V560" s="389" t="b">
        <f t="shared" si="240"/>
        <v>0</v>
      </c>
      <c r="W560" s="389">
        <f t="shared" si="241"/>
        <v>0</v>
      </c>
      <c r="X560" s="389">
        <f t="shared" si="242"/>
        <v>0</v>
      </c>
      <c r="Y560" s="389">
        <f t="shared" si="260"/>
        <v>1.0999999999999999E-2</v>
      </c>
      <c r="Z560" s="389">
        <f t="shared" si="243"/>
        <v>1.0999999999999999E-2</v>
      </c>
      <c r="AA560" s="389">
        <f t="shared" si="244"/>
        <v>0</v>
      </c>
      <c r="AB560" s="389">
        <f t="shared" si="245"/>
        <v>1E-4</v>
      </c>
      <c r="AC560" s="389">
        <f t="shared" si="246"/>
        <v>1E-4</v>
      </c>
      <c r="AD560" s="389">
        <f t="shared" si="247"/>
        <v>0</v>
      </c>
      <c r="AE560" s="389">
        <f t="shared" si="248"/>
        <v>0</v>
      </c>
      <c r="AG560" s="311" t="str">
        <f t="shared" si="249"/>
        <v>-</v>
      </c>
      <c r="AH560" s="453" t="str">
        <f t="shared" si="250"/>
        <v/>
      </c>
      <c r="AI560" s="453" t="str">
        <f t="shared" si="251"/>
        <v/>
      </c>
      <c r="AJ560" t="str">
        <f t="array" ref="AJ560">IF(AND(AI560&gt;1,G560&lt;&gt;""),INDEX(FS_teams,MATCH(1,(FS_Keys=AG560)*(FS_Points=I560)*(FS_teams&lt;&gt;G560),0)),"")</f>
        <v/>
      </c>
      <c r="AK560" s="390" t="str">
        <f t="array" ref="AK560">IF(AJ560&lt;&gt;"",INDEX(TM_Score1,MATCH(1,(TM_Events=D560)*(TM_Participant1=G560)*(TM_Participant2=AJ560),0)),"")</f>
        <v/>
      </c>
      <c r="AL560" s="390" t="str">
        <f t="array" ref="AL560">IF(AJ560&lt;&gt;"",INDEX(TM_Score1,MATCH(1,(TM_Events=D560)*(TM_Participant1=AJ560)*(TM_Participant2=G560),0)),"")</f>
        <v/>
      </c>
      <c r="AM560" s="389" t="str">
        <f t="array" ref="AM560">IF(ISNUMBER(AK560),INDEX(TM_Score2,MATCH(1,(TM_Events=D560)*(TM_Participant1=G560)*(TM_Participant2=AJ560),0)),"")</f>
        <v/>
      </c>
      <c r="AN560" s="389" t="str">
        <f t="array" ref="AN560">IF(ISNUMBER(AL560),INDEX(TM_Score2,MATCH(1,(TM_Events=D560)*(TM_Participant1=AJ560)*(TM_Participant2=G560),0)),"")</f>
        <v/>
      </c>
      <c r="AO560" s="389" t="str">
        <f t="shared" si="252"/>
        <v/>
      </c>
      <c r="AP560" s="389">
        <f t="shared" si="253"/>
        <v>0</v>
      </c>
      <c r="AQ560" s="389">
        <f t="shared" si="254"/>
        <v>0</v>
      </c>
      <c r="AR560" s="389">
        <f t="shared" si="255"/>
        <v>0</v>
      </c>
      <c r="AS560" s="453">
        <f t="shared" si="256"/>
        <v>0</v>
      </c>
      <c r="AT560" s="452">
        <f t="shared" si="257"/>
        <v>0</v>
      </c>
    </row>
    <row r="561" spans="2:46" ht="16" x14ac:dyDescent="0.2">
      <c r="B561"/>
      <c r="H561" s="387" t="str">
        <f t="shared" si="232"/>
        <v>0-0-0</v>
      </c>
      <c r="I561" s="389">
        <f t="shared" si="233"/>
        <v>0</v>
      </c>
      <c r="J561" s="455" t="str">
        <f t="shared" si="258"/>
        <v/>
      </c>
      <c r="K561" s="455">
        <f t="shared" si="234"/>
        <v>0</v>
      </c>
      <c r="L561" s="455">
        <f t="shared" si="259"/>
        <v>0</v>
      </c>
      <c r="M561" s="389" t="str">
        <f>IFERROR(IF(AD561&lt;=VLOOKUP(D561,Tournaments!$A$1:$B$1772,2,FALSE),"TRUE","FALSE"),"")</f>
        <v/>
      </c>
      <c r="N561" s="389">
        <v>1</v>
      </c>
      <c r="O561" s="389">
        <f t="shared" si="235"/>
        <v>0</v>
      </c>
      <c r="Q561" s="389">
        <f t="shared" si="236"/>
        <v>0</v>
      </c>
      <c r="R561" s="389">
        <f t="shared" si="237"/>
        <v>0</v>
      </c>
      <c r="S561" s="389">
        <f t="shared" si="238"/>
        <v>0</v>
      </c>
      <c r="U561" s="389">
        <f t="shared" si="239"/>
        <v>0</v>
      </c>
      <c r="V561" s="389" t="b">
        <f t="shared" si="240"/>
        <v>0</v>
      </c>
      <c r="W561" s="389">
        <f t="shared" si="241"/>
        <v>0</v>
      </c>
      <c r="X561" s="389">
        <f t="shared" si="242"/>
        <v>0</v>
      </c>
      <c r="Y561" s="389">
        <f t="shared" si="260"/>
        <v>1.0999999999999999E-2</v>
      </c>
      <c r="Z561" s="389">
        <f t="shared" si="243"/>
        <v>1.0999999999999999E-2</v>
      </c>
      <c r="AA561" s="389">
        <f t="shared" si="244"/>
        <v>0</v>
      </c>
      <c r="AB561" s="389">
        <f t="shared" si="245"/>
        <v>1E-4</v>
      </c>
      <c r="AC561" s="389">
        <f t="shared" si="246"/>
        <v>1E-4</v>
      </c>
      <c r="AD561" s="389">
        <f t="shared" si="247"/>
        <v>0</v>
      </c>
      <c r="AE561" s="389">
        <f t="shared" si="248"/>
        <v>0</v>
      </c>
      <c r="AG561" s="311" t="str">
        <f t="shared" si="249"/>
        <v>-</v>
      </c>
      <c r="AH561" s="453" t="str">
        <f t="shared" si="250"/>
        <v/>
      </c>
      <c r="AI561" s="453" t="str">
        <f t="shared" si="251"/>
        <v/>
      </c>
      <c r="AJ561" t="str">
        <f t="array" ref="AJ561">IF(AND(AI561&gt;1,G561&lt;&gt;""),INDEX(FS_teams,MATCH(1,(FS_Keys=AG561)*(FS_Points=I561)*(FS_teams&lt;&gt;G561),0)),"")</f>
        <v/>
      </c>
      <c r="AK561" s="390" t="str">
        <f t="array" ref="AK561">IF(AJ561&lt;&gt;"",INDEX(TM_Score1,MATCH(1,(TM_Events=D561)*(TM_Participant1=G561)*(TM_Participant2=AJ561),0)),"")</f>
        <v/>
      </c>
      <c r="AL561" s="390" t="str">
        <f t="array" ref="AL561">IF(AJ561&lt;&gt;"",INDEX(TM_Score1,MATCH(1,(TM_Events=D561)*(TM_Participant1=AJ561)*(TM_Participant2=G561),0)),"")</f>
        <v/>
      </c>
      <c r="AM561" s="389" t="str">
        <f t="array" ref="AM561">IF(ISNUMBER(AK561),INDEX(TM_Score2,MATCH(1,(TM_Events=D561)*(TM_Participant1=G561)*(TM_Participant2=AJ561),0)),"")</f>
        <v/>
      </c>
      <c r="AN561" s="389" t="str">
        <f t="array" ref="AN561">IF(ISNUMBER(AL561),INDEX(TM_Score2,MATCH(1,(TM_Events=D561)*(TM_Participant1=AJ561)*(TM_Participant2=G561),0)),"")</f>
        <v/>
      </c>
      <c r="AO561" s="389" t="str">
        <f t="shared" si="252"/>
        <v/>
      </c>
      <c r="AP561" s="389">
        <f t="shared" si="253"/>
        <v>0</v>
      </c>
      <c r="AQ561" s="389">
        <f t="shared" si="254"/>
        <v>0</v>
      </c>
      <c r="AR561" s="389">
        <f t="shared" si="255"/>
        <v>0</v>
      </c>
      <c r="AS561" s="453">
        <f t="shared" si="256"/>
        <v>0</v>
      </c>
      <c r="AT561" s="452">
        <f t="shared" si="257"/>
        <v>0</v>
      </c>
    </row>
    <row r="562" spans="2:46" ht="16" x14ac:dyDescent="0.2">
      <c r="B562"/>
      <c r="H562" s="387" t="str">
        <f t="shared" si="232"/>
        <v>0-0-0</v>
      </c>
      <c r="I562" s="389">
        <f t="shared" si="233"/>
        <v>0</v>
      </c>
      <c r="J562" s="455" t="str">
        <f t="shared" si="258"/>
        <v/>
      </c>
      <c r="K562" s="455">
        <f t="shared" si="234"/>
        <v>0</v>
      </c>
      <c r="L562" s="455">
        <f t="shared" si="259"/>
        <v>0</v>
      </c>
      <c r="M562" s="389" t="str">
        <f>IFERROR(IF(AD562&lt;=VLOOKUP(D562,Tournaments!$A$1:$B$1772,2,FALSE),"TRUE","FALSE"),"")</f>
        <v/>
      </c>
      <c r="N562" s="389">
        <v>1</v>
      </c>
      <c r="O562" s="389">
        <f t="shared" si="235"/>
        <v>0</v>
      </c>
      <c r="Q562" s="389">
        <f t="shared" si="236"/>
        <v>0</v>
      </c>
      <c r="R562" s="389">
        <f t="shared" si="237"/>
        <v>0</v>
      </c>
      <c r="S562" s="389">
        <f t="shared" si="238"/>
        <v>0</v>
      </c>
      <c r="U562" s="389">
        <f t="shared" si="239"/>
        <v>0</v>
      </c>
      <c r="V562" s="389" t="b">
        <f t="shared" si="240"/>
        <v>0</v>
      </c>
      <c r="W562" s="389">
        <f t="shared" si="241"/>
        <v>0</v>
      </c>
      <c r="X562" s="389">
        <f t="shared" si="242"/>
        <v>0</v>
      </c>
      <c r="Y562" s="389">
        <f t="shared" si="260"/>
        <v>1.0999999999999999E-2</v>
      </c>
      <c r="Z562" s="389">
        <f t="shared" si="243"/>
        <v>1.0999999999999999E-2</v>
      </c>
      <c r="AA562" s="389">
        <f t="shared" si="244"/>
        <v>0</v>
      </c>
      <c r="AB562" s="389">
        <f t="shared" si="245"/>
        <v>1E-4</v>
      </c>
      <c r="AC562" s="389">
        <f t="shared" si="246"/>
        <v>1E-4</v>
      </c>
      <c r="AD562" s="389">
        <f t="shared" si="247"/>
        <v>0</v>
      </c>
      <c r="AE562" s="389">
        <f t="shared" si="248"/>
        <v>0</v>
      </c>
      <c r="AG562" s="311" t="str">
        <f t="shared" si="249"/>
        <v>-</v>
      </c>
      <c r="AH562" s="453" t="str">
        <f t="shared" si="250"/>
        <v/>
      </c>
      <c r="AI562" s="453" t="str">
        <f t="shared" si="251"/>
        <v/>
      </c>
      <c r="AJ562" t="str">
        <f t="array" ref="AJ562">IF(AND(AI562&gt;1,G562&lt;&gt;""),INDEX(FS_teams,MATCH(1,(FS_Keys=AG562)*(FS_Points=I562)*(FS_teams&lt;&gt;G562),0)),"")</f>
        <v/>
      </c>
      <c r="AK562" s="390" t="str">
        <f t="array" ref="AK562">IF(AJ562&lt;&gt;"",INDEX(TM_Score1,MATCH(1,(TM_Events=D562)*(TM_Participant1=G562)*(TM_Participant2=AJ562),0)),"")</f>
        <v/>
      </c>
      <c r="AL562" s="390" t="str">
        <f t="array" ref="AL562">IF(AJ562&lt;&gt;"",INDEX(TM_Score1,MATCH(1,(TM_Events=D562)*(TM_Participant1=AJ562)*(TM_Participant2=G562),0)),"")</f>
        <v/>
      </c>
      <c r="AM562" s="389" t="str">
        <f t="array" ref="AM562">IF(ISNUMBER(AK562),INDEX(TM_Score2,MATCH(1,(TM_Events=D562)*(TM_Participant1=G562)*(TM_Participant2=AJ562),0)),"")</f>
        <v/>
      </c>
      <c r="AN562" s="389" t="str">
        <f t="array" ref="AN562">IF(ISNUMBER(AL562),INDEX(TM_Score2,MATCH(1,(TM_Events=D562)*(TM_Participant1=AJ562)*(TM_Participant2=G562),0)),"")</f>
        <v/>
      </c>
      <c r="AO562" s="389" t="str">
        <f t="shared" si="252"/>
        <v/>
      </c>
      <c r="AP562" s="389">
        <f t="shared" si="253"/>
        <v>0</v>
      </c>
      <c r="AQ562" s="389">
        <f t="shared" si="254"/>
        <v>0</v>
      </c>
      <c r="AR562" s="389">
        <f t="shared" si="255"/>
        <v>0</v>
      </c>
      <c r="AS562" s="453">
        <f t="shared" si="256"/>
        <v>0</v>
      </c>
      <c r="AT562" s="452">
        <f t="shared" si="257"/>
        <v>0</v>
      </c>
    </row>
    <row r="563" spans="2:46" ht="16" x14ac:dyDescent="0.2">
      <c r="B563"/>
      <c r="H563" s="387" t="str">
        <f t="shared" si="232"/>
        <v>0-0-0</v>
      </c>
      <c r="I563" s="389">
        <f t="shared" si="233"/>
        <v>0</v>
      </c>
      <c r="J563" s="455" t="str">
        <f t="shared" si="258"/>
        <v/>
      </c>
      <c r="K563" s="455">
        <f t="shared" si="234"/>
        <v>0</v>
      </c>
      <c r="L563" s="455">
        <f t="shared" si="259"/>
        <v>0</v>
      </c>
      <c r="M563" s="389" t="str">
        <f>IFERROR(IF(AD563&lt;=VLOOKUP(D563,Tournaments!$A$1:$B$1772,2,FALSE),"TRUE","FALSE"),"")</f>
        <v/>
      </c>
      <c r="N563" s="389">
        <v>1</v>
      </c>
      <c r="O563" s="389">
        <f t="shared" si="235"/>
        <v>0</v>
      </c>
      <c r="Q563" s="389">
        <f t="shared" si="236"/>
        <v>0</v>
      </c>
      <c r="R563" s="389">
        <f t="shared" si="237"/>
        <v>0</v>
      </c>
      <c r="S563" s="389">
        <f t="shared" si="238"/>
        <v>0</v>
      </c>
      <c r="U563" s="389">
        <f t="shared" si="239"/>
        <v>0</v>
      </c>
      <c r="V563" s="389" t="b">
        <f t="shared" si="240"/>
        <v>0</v>
      </c>
      <c r="W563" s="389">
        <f t="shared" si="241"/>
        <v>0</v>
      </c>
      <c r="X563" s="389">
        <f t="shared" si="242"/>
        <v>0</v>
      </c>
      <c r="Y563" s="389">
        <f t="shared" si="260"/>
        <v>1.0999999999999999E-2</v>
      </c>
      <c r="Z563" s="389">
        <f t="shared" si="243"/>
        <v>1.0999999999999999E-2</v>
      </c>
      <c r="AA563" s="389">
        <f t="shared" si="244"/>
        <v>0</v>
      </c>
      <c r="AB563" s="389">
        <f t="shared" si="245"/>
        <v>1E-4</v>
      </c>
      <c r="AC563" s="389">
        <f t="shared" si="246"/>
        <v>1E-4</v>
      </c>
      <c r="AD563" s="389">
        <f t="shared" si="247"/>
        <v>0</v>
      </c>
      <c r="AE563" s="389">
        <f t="shared" si="248"/>
        <v>0</v>
      </c>
      <c r="AG563" s="311" t="str">
        <f t="shared" si="249"/>
        <v>-</v>
      </c>
      <c r="AH563" s="453" t="str">
        <f t="shared" si="250"/>
        <v/>
      </c>
      <c r="AI563" s="453" t="str">
        <f t="shared" si="251"/>
        <v/>
      </c>
      <c r="AJ563" t="str">
        <f t="array" ref="AJ563">IF(AND(AI563&gt;1,G563&lt;&gt;""),INDEX(FS_teams,MATCH(1,(FS_Keys=AG563)*(FS_Points=I563)*(FS_teams&lt;&gt;G563),0)),"")</f>
        <v/>
      </c>
      <c r="AK563" s="390" t="str">
        <f t="array" ref="AK563">IF(AJ563&lt;&gt;"",INDEX(TM_Score1,MATCH(1,(TM_Events=D563)*(TM_Participant1=G563)*(TM_Participant2=AJ563),0)),"")</f>
        <v/>
      </c>
      <c r="AL563" s="390" t="str">
        <f t="array" ref="AL563">IF(AJ563&lt;&gt;"",INDEX(TM_Score1,MATCH(1,(TM_Events=D563)*(TM_Participant1=AJ563)*(TM_Participant2=G563),0)),"")</f>
        <v/>
      </c>
      <c r="AM563" s="389" t="str">
        <f t="array" ref="AM563">IF(ISNUMBER(AK563),INDEX(TM_Score2,MATCH(1,(TM_Events=D563)*(TM_Participant1=G563)*(TM_Participant2=AJ563),0)),"")</f>
        <v/>
      </c>
      <c r="AN563" s="389" t="str">
        <f t="array" ref="AN563">IF(ISNUMBER(AL563),INDEX(TM_Score2,MATCH(1,(TM_Events=D563)*(TM_Participant1=AJ563)*(TM_Participant2=G563),0)),"")</f>
        <v/>
      </c>
      <c r="AO563" s="389" t="str">
        <f t="shared" si="252"/>
        <v/>
      </c>
      <c r="AP563" s="389">
        <f t="shared" si="253"/>
        <v>0</v>
      </c>
      <c r="AQ563" s="389">
        <f t="shared" si="254"/>
        <v>0</v>
      </c>
      <c r="AR563" s="389">
        <f t="shared" si="255"/>
        <v>0</v>
      </c>
      <c r="AS563" s="453">
        <f t="shared" si="256"/>
        <v>0</v>
      </c>
      <c r="AT563" s="452">
        <f t="shared" si="257"/>
        <v>0</v>
      </c>
    </row>
    <row r="564" spans="2:46" ht="16" x14ac:dyDescent="0.2">
      <c r="B564"/>
      <c r="H564" s="387" t="str">
        <f t="shared" si="232"/>
        <v>0-0-0</v>
      </c>
      <c r="I564" s="389">
        <f t="shared" si="233"/>
        <v>0</v>
      </c>
      <c r="J564" s="455" t="str">
        <f t="shared" si="258"/>
        <v/>
      </c>
      <c r="K564" s="455">
        <f t="shared" si="234"/>
        <v>0</v>
      </c>
      <c r="L564" s="455">
        <f t="shared" si="259"/>
        <v>0</v>
      </c>
      <c r="M564" s="389" t="str">
        <f>IFERROR(IF(AD564&lt;=VLOOKUP(D564,Tournaments!$A$1:$B$1772,2,FALSE),"TRUE","FALSE"),"")</f>
        <v/>
      </c>
      <c r="N564" s="389">
        <v>1</v>
      </c>
      <c r="O564" s="389">
        <f t="shared" si="235"/>
        <v>0</v>
      </c>
      <c r="Q564" s="389">
        <f t="shared" si="236"/>
        <v>0</v>
      </c>
      <c r="R564" s="389">
        <f t="shared" si="237"/>
        <v>0</v>
      </c>
      <c r="S564" s="389">
        <f t="shared" si="238"/>
        <v>0</v>
      </c>
      <c r="U564" s="389">
        <f t="shared" si="239"/>
        <v>0</v>
      </c>
      <c r="V564" s="389" t="b">
        <f t="shared" si="240"/>
        <v>0</v>
      </c>
      <c r="W564" s="389">
        <f t="shared" si="241"/>
        <v>0</v>
      </c>
      <c r="X564" s="389">
        <f t="shared" si="242"/>
        <v>0</v>
      </c>
      <c r="Y564" s="389">
        <f t="shared" si="260"/>
        <v>1.0999999999999999E-2</v>
      </c>
      <c r="Z564" s="389">
        <f t="shared" si="243"/>
        <v>1.0999999999999999E-2</v>
      </c>
      <c r="AA564" s="389">
        <f t="shared" si="244"/>
        <v>0</v>
      </c>
      <c r="AB564" s="389">
        <f t="shared" si="245"/>
        <v>1E-4</v>
      </c>
      <c r="AC564" s="389">
        <f t="shared" si="246"/>
        <v>1E-4</v>
      </c>
      <c r="AD564" s="389">
        <f t="shared" si="247"/>
        <v>0</v>
      </c>
      <c r="AE564" s="389">
        <f t="shared" si="248"/>
        <v>0</v>
      </c>
      <c r="AG564" s="311" t="str">
        <f t="shared" si="249"/>
        <v>-</v>
      </c>
      <c r="AH564" s="453" t="str">
        <f t="shared" si="250"/>
        <v/>
      </c>
      <c r="AI564" s="453" t="str">
        <f t="shared" si="251"/>
        <v/>
      </c>
      <c r="AJ564" t="str">
        <f t="array" ref="AJ564">IF(AND(AI564&gt;1,G564&lt;&gt;""),INDEX(FS_teams,MATCH(1,(FS_Keys=AG564)*(FS_Points=I564)*(FS_teams&lt;&gt;G564),0)),"")</f>
        <v/>
      </c>
      <c r="AK564" s="390" t="str">
        <f t="array" ref="AK564">IF(AJ564&lt;&gt;"",INDEX(TM_Score1,MATCH(1,(TM_Events=D564)*(TM_Participant1=G564)*(TM_Participant2=AJ564),0)),"")</f>
        <v/>
      </c>
      <c r="AL564" s="390" t="str">
        <f t="array" ref="AL564">IF(AJ564&lt;&gt;"",INDEX(TM_Score1,MATCH(1,(TM_Events=D564)*(TM_Participant1=AJ564)*(TM_Participant2=G564),0)),"")</f>
        <v/>
      </c>
      <c r="AM564" s="389" t="str">
        <f t="array" ref="AM564">IF(ISNUMBER(AK564),INDEX(TM_Score2,MATCH(1,(TM_Events=D564)*(TM_Participant1=G564)*(TM_Participant2=AJ564),0)),"")</f>
        <v/>
      </c>
      <c r="AN564" s="389" t="str">
        <f t="array" ref="AN564">IF(ISNUMBER(AL564),INDEX(TM_Score2,MATCH(1,(TM_Events=D564)*(TM_Participant1=AJ564)*(TM_Participant2=G564),0)),"")</f>
        <v/>
      </c>
      <c r="AO564" s="389" t="str">
        <f t="shared" si="252"/>
        <v/>
      </c>
      <c r="AP564" s="389">
        <f t="shared" si="253"/>
        <v>0</v>
      </c>
      <c r="AQ564" s="389">
        <f t="shared" si="254"/>
        <v>0</v>
      </c>
      <c r="AR564" s="389">
        <f t="shared" si="255"/>
        <v>0</v>
      </c>
      <c r="AS564" s="453">
        <f t="shared" si="256"/>
        <v>0</v>
      </c>
      <c r="AT564" s="452">
        <f t="shared" si="257"/>
        <v>0</v>
      </c>
    </row>
    <row r="565" spans="2:46" ht="16" x14ac:dyDescent="0.2">
      <c r="B565"/>
      <c r="H565" s="387" t="str">
        <f t="shared" si="232"/>
        <v>0-0-0</v>
      </c>
      <c r="I565" s="389">
        <f t="shared" si="233"/>
        <v>0</v>
      </c>
      <c r="J565" s="455" t="str">
        <f t="shared" si="258"/>
        <v/>
      </c>
      <c r="K565" s="455">
        <f t="shared" si="234"/>
        <v>0</v>
      </c>
      <c r="L565" s="455">
        <f t="shared" si="259"/>
        <v>0</v>
      </c>
      <c r="M565" s="389" t="str">
        <f>IFERROR(IF(AD565&lt;=VLOOKUP(D565,Tournaments!$A$1:$B$1772,2,FALSE),"TRUE","FALSE"),"")</f>
        <v/>
      </c>
      <c r="N565" s="389">
        <v>1</v>
      </c>
      <c r="O565" s="389">
        <f t="shared" si="235"/>
        <v>0</v>
      </c>
      <c r="Q565" s="389">
        <f t="shared" si="236"/>
        <v>0</v>
      </c>
      <c r="R565" s="389">
        <f t="shared" si="237"/>
        <v>0</v>
      </c>
      <c r="S565" s="389">
        <f t="shared" si="238"/>
        <v>0</v>
      </c>
      <c r="U565" s="389">
        <f t="shared" si="239"/>
        <v>0</v>
      </c>
      <c r="V565" s="389" t="b">
        <f t="shared" si="240"/>
        <v>0</v>
      </c>
      <c r="W565" s="389">
        <f t="shared" si="241"/>
        <v>0</v>
      </c>
      <c r="X565" s="389">
        <f t="shared" si="242"/>
        <v>0</v>
      </c>
      <c r="Y565" s="389">
        <f t="shared" si="260"/>
        <v>1.0999999999999999E-2</v>
      </c>
      <c r="Z565" s="389">
        <f t="shared" si="243"/>
        <v>1.0999999999999999E-2</v>
      </c>
      <c r="AA565" s="389">
        <f t="shared" si="244"/>
        <v>0</v>
      </c>
      <c r="AB565" s="389">
        <f t="shared" si="245"/>
        <v>1E-4</v>
      </c>
      <c r="AC565" s="389">
        <f t="shared" si="246"/>
        <v>1E-4</v>
      </c>
      <c r="AD565" s="389">
        <f t="shared" si="247"/>
        <v>0</v>
      </c>
      <c r="AE565" s="389">
        <f t="shared" si="248"/>
        <v>0</v>
      </c>
      <c r="AG565" s="311" t="str">
        <f t="shared" si="249"/>
        <v>-</v>
      </c>
      <c r="AH565" s="453" t="str">
        <f t="shared" si="250"/>
        <v/>
      </c>
      <c r="AI565" s="453" t="str">
        <f t="shared" si="251"/>
        <v/>
      </c>
      <c r="AJ565" t="str">
        <f t="array" ref="AJ565">IF(AND(AI565&gt;1,G565&lt;&gt;""),INDEX(FS_teams,MATCH(1,(FS_Keys=AG565)*(FS_Points=I565)*(FS_teams&lt;&gt;G565),0)),"")</f>
        <v/>
      </c>
      <c r="AK565" s="390" t="str">
        <f t="array" ref="AK565">IF(AJ565&lt;&gt;"",INDEX(TM_Score1,MATCH(1,(TM_Events=D565)*(TM_Participant1=G565)*(TM_Participant2=AJ565),0)),"")</f>
        <v/>
      </c>
      <c r="AL565" s="390" t="str">
        <f t="array" ref="AL565">IF(AJ565&lt;&gt;"",INDEX(TM_Score1,MATCH(1,(TM_Events=D565)*(TM_Participant1=AJ565)*(TM_Participant2=G565),0)),"")</f>
        <v/>
      </c>
      <c r="AM565" s="389" t="str">
        <f t="array" ref="AM565">IF(ISNUMBER(AK565),INDEX(TM_Score2,MATCH(1,(TM_Events=D565)*(TM_Participant1=G565)*(TM_Participant2=AJ565),0)),"")</f>
        <v/>
      </c>
      <c r="AN565" s="389" t="str">
        <f t="array" ref="AN565">IF(ISNUMBER(AL565),INDEX(TM_Score2,MATCH(1,(TM_Events=D565)*(TM_Participant1=AJ565)*(TM_Participant2=G565),0)),"")</f>
        <v/>
      </c>
      <c r="AO565" s="389" t="str">
        <f t="shared" si="252"/>
        <v/>
      </c>
      <c r="AP565" s="389">
        <f t="shared" si="253"/>
        <v>0</v>
      </c>
      <c r="AQ565" s="389">
        <f t="shared" si="254"/>
        <v>0</v>
      </c>
      <c r="AR565" s="389">
        <f t="shared" si="255"/>
        <v>0</v>
      </c>
      <c r="AS565" s="453">
        <f t="shared" si="256"/>
        <v>0</v>
      </c>
      <c r="AT565" s="452">
        <f t="shared" si="257"/>
        <v>0</v>
      </c>
    </row>
    <row r="566" spans="2:46" ht="16" x14ac:dyDescent="0.2">
      <c r="B566"/>
      <c r="H566" s="387" t="str">
        <f t="shared" si="232"/>
        <v>0-0-0</v>
      </c>
      <c r="I566" s="389">
        <f t="shared" si="233"/>
        <v>0</v>
      </c>
      <c r="J566" s="455" t="str">
        <f t="shared" si="258"/>
        <v/>
      </c>
      <c r="K566" s="455">
        <f t="shared" si="234"/>
        <v>0</v>
      </c>
      <c r="L566" s="455">
        <f t="shared" si="259"/>
        <v>0</v>
      </c>
      <c r="M566" s="389" t="str">
        <f>IFERROR(IF(AD566&lt;=VLOOKUP(D566,Tournaments!$A$1:$B$1772,2,FALSE),"TRUE","FALSE"),"")</f>
        <v/>
      </c>
      <c r="N566" s="389">
        <v>1</v>
      </c>
      <c r="O566" s="389">
        <f t="shared" si="235"/>
        <v>0</v>
      </c>
      <c r="Q566" s="389">
        <f t="shared" si="236"/>
        <v>0</v>
      </c>
      <c r="R566" s="389">
        <f t="shared" si="237"/>
        <v>0</v>
      </c>
      <c r="S566" s="389">
        <f t="shared" si="238"/>
        <v>0</v>
      </c>
      <c r="U566" s="389">
        <f t="shared" si="239"/>
        <v>0</v>
      </c>
      <c r="V566" s="389" t="b">
        <f t="shared" si="240"/>
        <v>0</v>
      </c>
      <c r="W566" s="389">
        <f t="shared" si="241"/>
        <v>0</v>
      </c>
      <c r="X566" s="389">
        <f t="shared" si="242"/>
        <v>0</v>
      </c>
      <c r="Y566" s="389">
        <f t="shared" si="260"/>
        <v>1.0999999999999999E-2</v>
      </c>
      <c r="Z566" s="389">
        <f t="shared" si="243"/>
        <v>1.0999999999999999E-2</v>
      </c>
      <c r="AA566" s="389">
        <f t="shared" si="244"/>
        <v>0</v>
      </c>
      <c r="AB566" s="389">
        <f t="shared" si="245"/>
        <v>1E-4</v>
      </c>
      <c r="AC566" s="389">
        <f t="shared" si="246"/>
        <v>1E-4</v>
      </c>
      <c r="AD566" s="389">
        <f t="shared" si="247"/>
        <v>0</v>
      </c>
      <c r="AE566" s="389">
        <f t="shared" si="248"/>
        <v>0</v>
      </c>
      <c r="AG566" s="311" t="str">
        <f t="shared" si="249"/>
        <v>-</v>
      </c>
      <c r="AH566" s="453" t="str">
        <f t="shared" si="250"/>
        <v/>
      </c>
      <c r="AI566" s="453" t="str">
        <f t="shared" si="251"/>
        <v/>
      </c>
      <c r="AJ566" t="str">
        <f t="array" ref="AJ566">IF(AND(AI566&gt;1,G566&lt;&gt;""),INDEX(FS_teams,MATCH(1,(FS_Keys=AG566)*(FS_Points=I566)*(FS_teams&lt;&gt;G566),0)),"")</f>
        <v/>
      </c>
      <c r="AK566" s="390" t="str">
        <f t="array" ref="AK566">IF(AJ566&lt;&gt;"",INDEX(TM_Score1,MATCH(1,(TM_Events=D566)*(TM_Participant1=G566)*(TM_Participant2=AJ566),0)),"")</f>
        <v/>
      </c>
      <c r="AL566" s="390" t="str">
        <f t="array" ref="AL566">IF(AJ566&lt;&gt;"",INDEX(TM_Score1,MATCH(1,(TM_Events=D566)*(TM_Participant1=AJ566)*(TM_Participant2=G566),0)),"")</f>
        <v/>
      </c>
      <c r="AM566" s="389" t="str">
        <f t="array" ref="AM566">IF(ISNUMBER(AK566),INDEX(TM_Score2,MATCH(1,(TM_Events=D566)*(TM_Participant1=G566)*(TM_Participant2=AJ566),0)),"")</f>
        <v/>
      </c>
      <c r="AN566" s="389" t="str">
        <f t="array" ref="AN566">IF(ISNUMBER(AL566),INDEX(TM_Score2,MATCH(1,(TM_Events=D566)*(TM_Participant1=AJ566)*(TM_Participant2=G566),0)),"")</f>
        <v/>
      </c>
      <c r="AO566" s="389" t="str">
        <f t="shared" si="252"/>
        <v/>
      </c>
      <c r="AP566" s="389">
        <f t="shared" si="253"/>
        <v>0</v>
      </c>
      <c r="AQ566" s="389">
        <f t="shared" si="254"/>
        <v>0</v>
      </c>
      <c r="AR566" s="389">
        <f t="shared" si="255"/>
        <v>0</v>
      </c>
      <c r="AS566" s="453">
        <f t="shared" si="256"/>
        <v>0</v>
      </c>
      <c r="AT566" s="452">
        <f t="shared" si="257"/>
        <v>0</v>
      </c>
    </row>
    <row r="567" spans="2:46" ht="16" x14ac:dyDescent="0.2">
      <c r="B567"/>
      <c r="H567" s="387" t="str">
        <f t="shared" si="232"/>
        <v>0-0-0</v>
      </c>
      <c r="I567" s="389">
        <f t="shared" si="233"/>
        <v>0</v>
      </c>
      <c r="J567" s="455" t="str">
        <f t="shared" si="258"/>
        <v/>
      </c>
      <c r="K567" s="455">
        <f t="shared" si="234"/>
        <v>0</v>
      </c>
      <c r="L567" s="455">
        <f t="shared" si="259"/>
        <v>0</v>
      </c>
      <c r="M567" s="389" t="str">
        <f>IFERROR(IF(AD567&lt;=VLOOKUP(D567,Tournaments!$A$1:$B$1772,2,FALSE),"TRUE","FALSE"),"")</f>
        <v/>
      </c>
      <c r="N567" s="389">
        <v>1</v>
      </c>
      <c r="O567" s="389">
        <f t="shared" si="235"/>
        <v>0</v>
      </c>
      <c r="Q567" s="389">
        <f t="shared" si="236"/>
        <v>0</v>
      </c>
      <c r="R567" s="389">
        <f t="shared" si="237"/>
        <v>0</v>
      </c>
      <c r="S567" s="389">
        <f t="shared" si="238"/>
        <v>0</v>
      </c>
      <c r="U567" s="389">
        <f t="shared" si="239"/>
        <v>0</v>
      </c>
      <c r="V567" s="389" t="b">
        <f t="shared" si="240"/>
        <v>0</v>
      </c>
      <c r="W567" s="389">
        <f t="shared" si="241"/>
        <v>0</v>
      </c>
      <c r="X567" s="389">
        <f t="shared" si="242"/>
        <v>0</v>
      </c>
      <c r="Y567" s="389">
        <f t="shared" si="260"/>
        <v>1.0999999999999999E-2</v>
      </c>
      <c r="Z567" s="389">
        <f t="shared" si="243"/>
        <v>1.0999999999999999E-2</v>
      </c>
      <c r="AA567" s="389">
        <f t="shared" si="244"/>
        <v>0</v>
      </c>
      <c r="AB567" s="389">
        <f t="shared" si="245"/>
        <v>1E-4</v>
      </c>
      <c r="AC567" s="389">
        <f t="shared" si="246"/>
        <v>1E-4</v>
      </c>
      <c r="AD567" s="389">
        <f t="shared" si="247"/>
        <v>0</v>
      </c>
      <c r="AE567" s="389">
        <f t="shared" si="248"/>
        <v>0</v>
      </c>
      <c r="AG567" s="311" t="str">
        <f t="shared" si="249"/>
        <v>-</v>
      </c>
      <c r="AH567" s="453" t="str">
        <f t="shared" si="250"/>
        <v/>
      </c>
      <c r="AI567" s="453" t="str">
        <f t="shared" si="251"/>
        <v/>
      </c>
      <c r="AJ567" t="str">
        <f t="array" ref="AJ567">IF(AND(AI567&gt;1,G567&lt;&gt;""),INDEX(FS_teams,MATCH(1,(FS_Keys=AG567)*(FS_Points=I567)*(FS_teams&lt;&gt;G567),0)),"")</f>
        <v/>
      </c>
      <c r="AK567" s="390" t="str">
        <f t="array" ref="AK567">IF(AJ567&lt;&gt;"",INDEX(TM_Score1,MATCH(1,(TM_Events=D567)*(TM_Participant1=G567)*(TM_Participant2=AJ567),0)),"")</f>
        <v/>
      </c>
      <c r="AL567" s="390" t="str">
        <f t="array" ref="AL567">IF(AJ567&lt;&gt;"",INDEX(TM_Score1,MATCH(1,(TM_Events=D567)*(TM_Participant1=AJ567)*(TM_Participant2=G567),0)),"")</f>
        <v/>
      </c>
      <c r="AM567" s="389" t="str">
        <f t="array" ref="AM567">IF(ISNUMBER(AK567),INDEX(TM_Score2,MATCH(1,(TM_Events=D567)*(TM_Participant1=G567)*(TM_Participant2=AJ567),0)),"")</f>
        <v/>
      </c>
      <c r="AN567" s="389" t="str">
        <f t="array" ref="AN567">IF(ISNUMBER(AL567),INDEX(TM_Score2,MATCH(1,(TM_Events=D567)*(TM_Participant1=AJ567)*(TM_Participant2=G567),0)),"")</f>
        <v/>
      </c>
      <c r="AO567" s="389" t="str">
        <f t="shared" si="252"/>
        <v/>
      </c>
      <c r="AP567" s="389">
        <f t="shared" si="253"/>
        <v>0</v>
      </c>
      <c r="AQ567" s="389">
        <f t="shared" si="254"/>
        <v>0</v>
      </c>
      <c r="AR567" s="389">
        <f t="shared" si="255"/>
        <v>0</v>
      </c>
      <c r="AS567" s="453">
        <f t="shared" si="256"/>
        <v>0</v>
      </c>
      <c r="AT567" s="452">
        <f t="shared" si="257"/>
        <v>0</v>
      </c>
    </row>
    <row r="568" spans="2:46" ht="16" x14ac:dyDescent="0.2">
      <c r="B568"/>
      <c r="H568" s="387" t="str">
        <f t="shared" si="232"/>
        <v>0-0-0</v>
      </c>
      <c r="I568" s="389">
        <f t="shared" si="233"/>
        <v>0</v>
      </c>
      <c r="J568" s="455" t="str">
        <f t="shared" si="258"/>
        <v/>
      </c>
      <c r="K568" s="455">
        <f t="shared" si="234"/>
        <v>0</v>
      </c>
      <c r="L568" s="455">
        <f t="shared" si="259"/>
        <v>0</v>
      </c>
      <c r="M568" s="389" t="str">
        <f>IFERROR(IF(AD568&lt;=VLOOKUP(D568,Tournaments!$A$1:$B$1772,2,FALSE),"TRUE","FALSE"),"")</f>
        <v/>
      </c>
      <c r="N568" s="389">
        <v>1</v>
      </c>
      <c r="O568" s="389">
        <f t="shared" si="235"/>
        <v>0</v>
      </c>
      <c r="Q568" s="389">
        <f t="shared" si="236"/>
        <v>0</v>
      </c>
      <c r="R568" s="389">
        <f t="shared" si="237"/>
        <v>0</v>
      </c>
      <c r="S568" s="389">
        <f t="shared" si="238"/>
        <v>0</v>
      </c>
      <c r="U568" s="389">
        <f t="shared" si="239"/>
        <v>0</v>
      </c>
      <c r="V568" s="389" t="b">
        <f t="shared" si="240"/>
        <v>0</v>
      </c>
      <c r="W568" s="389">
        <f t="shared" si="241"/>
        <v>0</v>
      </c>
      <c r="X568" s="389">
        <f t="shared" si="242"/>
        <v>0</v>
      </c>
      <c r="Y568" s="389">
        <f t="shared" si="260"/>
        <v>1.0999999999999999E-2</v>
      </c>
      <c r="Z568" s="389">
        <f t="shared" si="243"/>
        <v>1.0999999999999999E-2</v>
      </c>
      <c r="AA568" s="389">
        <f t="shared" si="244"/>
        <v>0</v>
      </c>
      <c r="AB568" s="389">
        <f t="shared" si="245"/>
        <v>1E-4</v>
      </c>
      <c r="AC568" s="389">
        <f t="shared" si="246"/>
        <v>1E-4</v>
      </c>
      <c r="AD568" s="389">
        <f t="shared" si="247"/>
        <v>0</v>
      </c>
      <c r="AE568" s="389">
        <f t="shared" si="248"/>
        <v>0</v>
      </c>
      <c r="AG568" s="311" t="str">
        <f t="shared" si="249"/>
        <v>-</v>
      </c>
      <c r="AH568" s="453" t="str">
        <f t="shared" si="250"/>
        <v/>
      </c>
      <c r="AI568" s="453" t="str">
        <f t="shared" si="251"/>
        <v/>
      </c>
      <c r="AJ568" t="str">
        <f t="array" ref="AJ568">IF(AND(AI568&gt;1,G568&lt;&gt;""),INDEX(FS_teams,MATCH(1,(FS_Keys=AG568)*(FS_Points=I568)*(FS_teams&lt;&gt;G568),0)),"")</f>
        <v/>
      </c>
      <c r="AK568" s="390" t="str">
        <f t="array" ref="AK568">IF(AJ568&lt;&gt;"",INDEX(TM_Score1,MATCH(1,(TM_Events=D568)*(TM_Participant1=G568)*(TM_Participant2=AJ568),0)),"")</f>
        <v/>
      </c>
      <c r="AL568" s="390" t="str">
        <f t="array" ref="AL568">IF(AJ568&lt;&gt;"",INDEX(TM_Score1,MATCH(1,(TM_Events=D568)*(TM_Participant1=AJ568)*(TM_Participant2=G568),0)),"")</f>
        <v/>
      </c>
      <c r="AM568" s="389" t="str">
        <f t="array" ref="AM568">IF(ISNUMBER(AK568),INDEX(TM_Score2,MATCH(1,(TM_Events=D568)*(TM_Participant1=G568)*(TM_Participant2=AJ568),0)),"")</f>
        <v/>
      </c>
      <c r="AN568" s="389" t="str">
        <f t="array" ref="AN568">IF(ISNUMBER(AL568),INDEX(TM_Score2,MATCH(1,(TM_Events=D568)*(TM_Participant1=AJ568)*(TM_Participant2=G568),0)),"")</f>
        <v/>
      </c>
      <c r="AO568" s="389" t="str">
        <f t="shared" si="252"/>
        <v/>
      </c>
      <c r="AP568" s="389">
        <f t="shared" si="253"/>
        <v>0</v>
      </c>
      <c r="AQ568" s="389">
        <f t="shared" si="254"/>
        <v>0</v>
      </c>
      <c r="AR568" s="389">
        <f t="shared" si="255"/>
        <v>0</v>
      </c>
      <c r="AS568" s="453">
        <f t="shared" si="256"/>
        <v>0</v>
      </c>
      <c r="AT568" s="452">
        <f t="shared" si="257"/>
        <v>0</v>
      </c>
    </row>
    <row r="569" spans="2:46" ht="16" x14ac:dyDescent="0.2">
      <c r="B569"/>
      <c r="H569" s="387" t="str">
        <f t="shared" si="232"/>
        <v>0-0-0</v>
      </c>
      <c r="I569" s="389">
        <f t="shared" si="233"/>
        <v>0</v>
      </c>
      <c r="J569" s="455" t="str">
        <f t="shared" si="258"/>
        <v/>
      </c>
      <c r="K569" s="455">
        <f t="shared" si="234"/>
        <v>0</v>
      </c>
      <c r="L569" s="455">
        <f t="shared" si="259"/>
        <v>0</v>
      </c>
      <c r="M569" s="389" t="str">
        <f>IFERROR(IF(AD569&lt;=VLOOKUP(D569,Tournaments!$A$1:$B$1772,2,FALSE),"TRUE","FALSE"),"")</f>
        <v/>
      </c>
      <c r="N569" s="389">
        <v>1</v>
      </c>
      <c r="O569" s="389">
        <f t="shared" si="235"/>
        <v>0</v>
      </c>
      <c r="Q569" s="389">
        <f t="shared" si="236"/>
        <v>0</v>
      </c>
      <c r="R569" s="389">
        <f t="shared" si="237"/>
        <v>0</v>
      </c>
      <c r="S569" s="389">
        <f t="shared" si="238"/>
        <v>0</v>
      </c>
      <c r="U569" s="389">
        <f t="shared" si="239"/>
        <v>0</v>
      </c>
      <c r="V569" s="389" t="b">
        <f t="shared" si="240"/>
        <v>0</v>
      </c>
      <c r="W569" s="389">
        <f t="shared" si="241"/>
        <v>0</v>
      </c>
      <c r="X569" s="389">
        <f t="shared" si="242"/>
        <v>0</v>
      </c>
      <c r="Y569" s="389">
        <f t="shared" si="260"/>
        <v>1.0999999999999999E-2</v>
      </c>
      <c r="Z569" s="389">
        <f t="shared" si="243"/>
        <v>1.0999999999999999E-2</v>
      </c>
      <c r="AA569" s="389">
        <f t="shared" si="244"/>
        <v>0</v>
      </c>
      <c r="AB569" s="389">
        <f t="shared" si="245"/>
        <v>1E-4</v>
      </c>
      <c r="AC569" s="389">
        <f t="shared" si="246"/>
        <v>1E-4</v>
      </c>
      <c r="AD569" s="389">
        <f t="shared" si="247"/>
        <v>0</v>
      </c>
      <c r="AE569" s="389">
        <f t="shared" si="248"/>
        <v>0</v>
      </c>
      <c r="AG569" s="311" t="str">
        <f t="shared" si="249"/>
        <v>-</v>
      </c>
      <c r="AH569" s="453" t="str">
        <f t="shared" si="250"/>
        <v/>
      </c>
      <c r="AI569" s="453" t="str">
        <f t="shared" si="251"/>
        <v/>
      </c>
      <c r="AJ569" t="str">
        <f t="array" ref="AJ569">IF(AND(AI569&gt;1,G569&lt;&gt;""),INDEX(FS_teams,MATCH(1,(FS_Keys=AG569)*(FS_Points=I569)*(FS_teams&lt;&gt;G569),0)),"")</f>
        <v/>
      </c>
      <c r="AK569" s="390" t="str">
        <f t="array" ref="AK569">IF(AJ569&lt;&gt;"",INDEX(TM_Score1,MATCH(1,(TM_Events=D569)*(TM_Participant1=G569)*(TM_Participant2=AJ569),0)),"")</f>
        <v/>
      </c>
      <c r="AL569" s="390" t="str">
        <f t="array" ref="AL569">IF(AJ569&lt;&gt;"",INDEX(TM_Score1,MATCH(1,(TM_Events=D569)*(TM_Participant1=AJ569)*(TM_Participant2=G569),0)),"")</f>
        <v/>
      </c>
      <c r="AM569" s="389" t="str">
        <f t="array" ref="AM569">IF(ISNUMBER(AK569),INDEX(TM_Score2,MATCH(1,(TM_Events=D569)*(TM_Participant1=G569)*(TM_Participant2=AJ569),0)),"")</f>
        <v/>
      </c>
      <c r="AN569" s="389" t="str">
        <f t="array" ref="AN569">IF(ISNUMBER(AL569),INDEX(TM_Score2,MATCH(1,(TM_Events=D569)*(TM_Participant1=AJ569)*(TM_Participant2=G569),0)),"")</f>
        <v/>
      </c>
      <c r="AO569" s="389" t="str">
        <f t="shared" si="252"/>
        <v/>
      </c>
      <c r="AP569" s="389">
        <f t="shared" si="253"/>
        <v>0</v>
      </c>
      <c r="AQ569" s="389">
        <f t="shared" si="254"/>
        <v>0</v>
      </c>
      <c r="AR569" s="389">
        <f t="shared" si="255"/>
        <v>0</v>
      </c>
      <c r="AS569" s="453">
        <f t="shared" si="256"/>
        <v>0</v>
      </c>
      <c r="AT569" s="452">
        <f t="shared" si="257"/>
        <v>0</v>
      </c>
    </row>
    <row r="570" spans="2:46" ht="16" x14ac:dyDescent="0.2">
      <c r="B570"/>
      <c r="H570" s="387" t="str">
        <f t="shared" si="232"/>
        <v>0-0-0</v>
      </c>
      <c r="I570" s="389">
        <f t="shared" si="233"/>
        <v>0</v>
      </c>
      <c r="J570" s="455" t="str">
        <f t="shared" si="258"/>
        <v/>
      </c>
      <c r="K570" s="455">
        <f t="shared" si="234"/>
        <v>0</v>
      </c>
      <c r="L570" s="455">
        <f t="shared" si="259"/>
        <v>0</v>
      </c>
      <c r="M570" s="389" t="str">
        <f>IFERROR(IF(AD570&lt;=VLOOKUP(D570,Tournaments!$A$1:$B$1772,2,FALSE),"TRUE","FALSE"),"")</f>
        <v/>
      </c>
      <c r="N570" s="389">
        <v>1</v>
      </c>
      <c r="O570" s="389">
        <f t="shared" si="235"/>
        <v>0</v>
      </c>
      <c r="Q570" s="389">
        <f t="shared" si="236"/>
        <v>0</v>
      </c>
      <c r="R570" s="389">
        <f t="shared" si="237"/>
        <v>0</v>
      </c>
      <c r="S570" s="389">
        <f t="shared" si="238"/>
        <v>0</v>
      </c>
      <c r="U570" s="389">
        <f t="shared" si="239"/>
        <v>0</v>
      </c>
      <c r="V570" s="389" t="b">
        <f t="shared" si="240"/>
        <v>0</v>
      </c>
      <c r="W570" s="389">
        <f t="shared" si="241"/>
        <v>0</v>
      </c>
      <c r="X570" s="389">
        <f t="shared" si="242"/>
        <v>0</v>
      </c>
      <c r="Y570" s="389">
        <f t="shared" si="260"/>
        <v>1.0999999999999999E-2</v>
      </c>
      <c r="Z570" s="389">
        <f t="shared" si="243"/>
        <v>1.0999999999999999E-2</v>
      </c>
      <c r="AA570" s="389">
        <f t="shared" si="244"/>
        <v>0</v>
      </c>
      <c r="AB570" s="389">
        <f t="shared" si="245"/>
        <v>1E-4</v>
      </c>
      <c r="AC570" s="389">
        <f t="shared" si="246"/>
        <v>1E-4</v>
      </c>
      <c r="AD570" s="389">
        <f t="shared" si="247"/>
        <v>0</v>
      </c>
      <c r="AE570" s="389">
        <f t="shared" si="248"/>
        <v>0</v>
      </c>
      <c r="AG570" s="311" t="str">
        <f t="shared" si="249"/>
        <v>-</v>
      </c>
      <c r="AH570" s="453" t="str">
        <f t="shared" si="250"/>
        <v/>
      </c>
      <c r="AI570" s="453" t="str">
        <f t="shared" si="251"/>
        <v/>
      </c>
      <c r="AJ570" t="str">
        <f t="array" ref="AJ570">IF(AND(AI570&gt;1,G570&lt;&gt;""),INDEX(FS_teams,MATCH(1,(FS_Keys=AG570)*(FS_Points=I570)*(FS_teams&lt;&gt;G570),0)),"")</f>
        <v/>
      </c>
      <c r="AK570" s="390" t="str">
        <f t="array" ref="AK570">IF(AJ570&lt;&gt;"",INDEX(TM_Score1,MATCH(1,(TM_Events=D570)*(TM_Participant1=G570)*(TM_Participant2=AJ570),0)),"")</f>
        <v/>
      </c>
      <c r="AL570" s="390" t="str">
        <f t="array" ref="AL570">IF(AJ570&lt;&gt;"",INDEX(TM_Score1,MATCH(1,(TM_Events=D570)*(TM_Participant1=AJ570)*(TM_Participant2=G570),0)),"")</f>
        <v/>
      </c>
      <c r="AM570" s="389" t="str">
        <f t="array" ref="AM570">IF(ISNUMBER(AK570),INDEX(TM_Score2,MATCH(1,(TM_Events=D570)*(TM_Participant1=G570)*(TM_Participant2=AJ570),0)),"")</f>
        <v/>
      </c>
      <c r="AN570" s="389" t="str">
        <f t="array" ref="AN570">IF(ISNUMBER(AL570),INDEX(TM_Score2,MATCH(1,(TM_Events=D570)*(TM_Participant1=AJ570)*(TM_Participant2=G570),0)),"")</f>
        <v/>
      </c>
      <c r="AO570" s="389" t="str">
        <f t="shared" si="252"/>
        <v/>
      </c>
      <c r="AP570" s="389">
        <f t="shared" si="253"/>
        <v>0</v>
      </c>
      <c r="AQ570" s="389">
        <f t="shared" si="254"/>
        <v>0</v>
      </c>
      <c r="AR570" s="389">
        <f t="shared" si="255"/>
        <v>0</v>
      </c>
      <c r="AS570" s="453">
        <f t="shared" si="256"/>
        <v>0</v>
      </c>
      <c r="AT570" s="452">
        <f t="shared" si="257"/>
        <v>0</v>
      </c>
    </row>
    <row r="571" spans="2:46" ht="16" x14ac:dyDescent="0.2">
      <c r="B571"/>
      <c r="H571" s="387" t="str">
        <f t="shared" si="232"/>
        <v>0-0-0</v>
      </c>
      <c r="I571" s="389">
        <f t="shared" si="233"/>
        <v>0</v>
      </c>
      <c r="J571" s="455" t="str">
        <f t="shared" si="258"/>
        <v/>
      </c>
      <c r="K571" s="455">
        <f t="shared" si="234"/>
        <v>0</v>
      </c>
      <c r="L571" s="455">
        <f t="shared" si="259"/>
        <v>0</v>
      </c>
      <c r="M571" s="389" t="str">
        <f>IFERROR(IF(AD571&lt;=VLOOKUP(D571,Tournaments!$A$1:$B$1772,2,FALSE),"TRUE","FALSE"),"")</f>
        <v/>
      </c>
      <c r="N571" s="389">
        <v>1</v>
      </c>
      <c r="O571" s="389">
        <f t="shared" si="235"/>
        <v>0</v>
      </c>
      <c r="Q571" s="389">
        <f t="shared" si="236"/>
        <v>0</v>
      </c>
      <c r="R571" s="389">
        <f t="shared" si="237"/>
        <v>0</v>
      </c>
      <c r="S571" s="389">
        <f t="shared" si="238"/>
        <v>0</v>
      </c>
      <c r="U571" s="389">
        <f t="shared" si="239"/>
        <v>0</v>
      </c>
      <c r="V571" s="389" t="b">
        <f t="shared" si="240"/>
        <v>0</v>
      </c>
      <c r="W571" s="389">
        <f t="shared" si="241"/>
        <v>0</v>
      </c>
      <c r="X571" s="389">
        <f t="shared" si="242"/>
        <v>0</v>
      </c>
      <c r="Y571" s="389">
        <f t="shared" si="260"/>
        <v>1.0999999999999999E-2</v>
      </c>
      <c r="Z571" s="389">
        <f t="shared" si="243"/>
        <v>1.0999999999999999E-2</v>
      </c>
      <c r="AA571" s="389">
        <f t="shared" si="244"/>
        <v>0</v>
      </c>
      <c r="AB571" s="389">
        <f t="shared" si="245"/>
        <v>1E-4</v>
      </c>
      <c r="AC571" s="389">
        <f t="shared" si="246"/>
        <v>1E-4</v>
      </c>
      <c r="AD571" s="389">
        <f t="shared" si="247"/>
        <v>0</v>
      </c>
      <c r="AE571" s="389">
        <f t="shared" si="248"/>
        <v>0</v>
      </c>
      <c r="AG571" s="311" t="str">
        <f t="shared" si="249"/>
        <v>-</v>
      </c>
      <c r="AH571" s="453" t="str">
        <f t="shared" si="250"/>
        <v/>
      </c>
      <c r="AI571" s="453" t="str">
        <f t="shared" si="251"/>
        <v/>
      </c>
      <c r="AJ571" t="str">
        <f t="array" ref="AJ571">IF(AND(AI571&gt;1,G571&lt;&gt;""),INDEX(FS_teams,MATCH(1,(FS_Keys=AG571)*(FS_Points=I571)*(FS_teams&lt;&gt;G571),0)),"")</f>
        <v/>
      </c>
      <c r="AK571" s="390" t="str">
        <f t="array" ref="AK571">IF(AJ571&lt;&gt;"",INDEX(TM_Score1,MATCH(1,(TM_Events=D571)*(TM_Participant1=G571)*(TM_Participant2=AJ571),0)),"")</f>
        <v/>
      </c>
      <c r="AL571" s="390" t="str">
        <f t="array" ref="AL571">IF(AJ571&lt;&gt;"",INDEX(TM_Score1,MATCH(1,(TM_Events=D571)*(TM_Participant1=AJ571)*(TM_Participant2=G571),0)),"")</f>
        <v/>
      </c>
      <c r="AM571" s="389" t="str">
        <f t="array" ref="AM571">IF(ISNUMBER(AK571),INDEX(TM_Score2,MATCH(1,(TM_Events=D571)*(TM_Participant1=G571)*(TM_Participant2=AJ571),0)),"")</f>
        <v/>
      </c>
      <c r="AN571" s="389" t="str">
        <f t="array" ref="AN571">IF(ISNUMBER(AL571),INDEX(TM_Score2,MATCH(1,(TM_Events=D571)*(TM_Participant1=AJ571)*(TM_Participant2=G571),0)),"")</f>
        <v/>
      </c>
      <c r="AO571" s="389" t="str">
        <f t="shared" si="252"/>
        <v/>
      </c>
      <c r="AP571" s="389">
        <f t="shared" si="253"/>
        <v>0</v>
      </c>
      <c r="AQ571" s="389">
        <f t="shared" si="254"/>
        <v>0</v>
      </c>
      <c r="AR571" s="389">
        <f t="shared" si="255"/>
        <v>0</v>
      </c>
      <c r="AS571" s="453">
        <f t="shared" si="256"/>
        <v>0</v>
      </c>
      <c r="AT571" s="452">
        <f t="shared" si="257"/>
        <v>0</v>
      </c>
    </row>
    <row r="572" spans="2:46" ht="16" x14ac:dyDescent="0.2">
      <c r="B572"/>
      <c r="H572" s="387" t="str">
        <f t="shared" si="232"/>
        <v>0-0-0</v>
      </c>
      <c r="I572" s="389">
        <f t="shared" si="233"/>
        <v>0</v>
      </c>
      <c r="J572" s="455" t="str">
        <f t="shared" si="258"/>
        <v/>
      </c>
      <c r="K572" s="455">
        <f t="shared" si="234"/>
        <v>0</v>
      </c>
      <c r="L572" s="455">
        <f t="shared" si="259"/>
        <v>0</v>
      </c>
      <c r="M572" s="389" t="str">
        <f>IFERROR(IF(AD572&lt;=VLOOKUP(D572,Tournaments!$A$1:$B$1772,2,FALSE),"TRUE","FALSE"),"")</f>
        <v/>
      </c>
      <c r="N572" s="389">
        <v>1</v>
      </c>
      <c r="O572" s="389">
        <f t="shared" si="235"/>
        <v>0</v>
      </c>
      <c r="Q572" s="389">
        <f t="shared" si="236"/>
        <v>0</v>
      </c>
      <c r="R572" s="389">
        <f t="shared" si="237"/>
        <v>0</v>
      </c>
      <c r="S572" s="389">
        <f t="shared" si="238"/>
        <v>0</v>
      </c>
      <c r="U572" s="389">
        <f t="shared" si="239"/>
        <v>0</v>
      </c>
      <c r="V572" s="389" t="b">
        <f t="shared" si="240"/>
        <v>0</v>
      </c>
      <c r="W572" s="389">
        <f t="shared" si="241"/>
        <v>0</v>
      </c>
      <c r="X572" s="389">
        <f t="shared" si="242"/>
        <v>0</v>
      </c>
      <c r="Y572" s="389">
        <f t="shared" si="260"/>
        <v>1.0999999999999999E-2</v>
      </c>
      <c r="Z572" s="389">
        <f t="shared" si="243"/>
        <v>1.0999999999999999E-2</v>
      </c>
      <c r="AA572" s="389">
        <f t="shared" si="244"/>
        <v>0</v>
      </c>
      <c r="AB572" s="389">
        <f t="shared" si="245"/>
        <v>1E-4</v>
      </c>
      <c r="AC572" s="389">
        <f t="shared" si="246"/>
        <v>1E-4</v>
      </c>
      <c r="AD572" s="389">
        <f t="shared" si="247"/>
        <v>0</v>
      </c>
      <c r="AE572" s="389">
        <f t="shared" si="248"/>
        <v>0</v>
      </c>
      <c r="AG572" s="311" t="str">
        <f t="shared" si="249"/>
        <v>-</v>
      </c>
      <c r="AH572" s="453" t="str">
        <f t="shared" si="250"/>
        <v/>
      </c>
      <c r="AI572" s="453" t="str">
        <f t="shared" si="251"/>
        <v/>
      </c>
      <c r="AJ572" t="str">
        <f t="array" ref="AJ572">IF(AND(AI572&gt;1,G572&lt;&gt;""),INDEX(FS_teams,MATCH(1,(FS_Keys=AG572)*(FS_Points=I572)*(FS_teams&lt;&gt;G572),0)),"")</f>
        <v/>
      </c>
      <c r="AK572" s="390" t="str">
        <f t="array" ref="AK572">IF(AJ572&lt;&gt;"",INDEX(TM_Score1,MATCH(1,(TM_Events=D572)*(TM_Participant1=G572)*(TM_Participant2=AJ572),0)),"")</f>
        <v/>
      </c>
      <c r="AL572" s="390" t="str">
        <f t="array" ref="AL572">IF(AJ572&lt;&gt;"",INDEX(TM_Score1,MATCH(1,(TM_Events=D572)*(TM_Participant1=AJ572)*(TM_Participant2=G572),0)),"")</f>
        <v/>
      </c>
      <c r="AM572" s="389" t="str">
        <f t="array" ref="AM572">IF(ISNUMBER(AK572),INDEX(TM_Score2,MATCH(1,(TM_Events=D572)*(TM_Participant1=G572)*(TM_Participant2=AJ572),0)),"")</f>
        <v/>
      </c>
      <c r="AN572" s="389" t="str">
        <f t="array" ref="AN572">IF(ISNUMBER(AL572),INDEX(TM_Score2,MATCH(1,(TM_Events=D572)*(TM_Participant1=AJ572)*(TM_Participant2=G572),0)),"")</f>
        <v/>
      </c>
      <c r="AO572" s="389" t="str">
        <f t="shared" si="252"/>
        <v/>
      </c>
      <c r="AP572" s="389">
        <f t="shared" si="253"/>
        <v>0</v>
      </c>
      <c r="AQ572" s="389">
        <f t="shared" si="254"/>
        <v>0</v>
      </c>
      <c r="AR572" s="389">
        <f t="shared" si="255"/>
        <v>0</v>
      </c>
      <c r="AS572" s="453">
        <f t="shared" si="256"/>
        <v>0</v>
      </c>
      <c r="AT572" s="452">
        <f t="shared" si="257"/>
        <v>0</v>
      </c>
    </row>
    <row r="573" spans="2:46" ht="16" x14ac:dyDescent="0.2">
      <c r="B573"/>
      <c r="H573" s="387" t="str">
        <f t="shared" si="232"/>
        <v>0-0-0</v>
      </c>
      <c r="I573" s="389">
        <f t="shared" si="233"/>
        <v>0</v>
      </c>
      <c r="J573" s="455" t="str">
        <f t="shared" si="258"/>
        <v/>
      </c>
      <c r="K573" s="455">
        <f t="shared" si="234"/>
        <v>0</v>
      </c>
      <c r="L573" s="455">
        <f t="shared" si="259"/>
        <v>0</v>
      </c>
      <c r="M573" s="389" t="str">
        <f>IFERROR(IF(AD573&lt;=VLOOKUP(D573,Tournaments!$A$1:$B$1772,2,FALSE),"TRUE","FALSE"),"")</f>
        <v/>
      </c>
      <c r="N573" s="389">
        <v>1</v>
      </c>
      <c r="O573" s="389">
        <f t="shared" si="235"/>
        <v>0</v>
      </c>
      <c r="Q573" s="389">
        <f t="shared" si="236"/>
        <v>0</v>
      </c>
      <c r="R573" s="389">
        <f t="shared" si="237"/>
        <v>0</v>
      </c>
      <c r="S573" s="389">
        <f t="shared" si="238"/>
        <v>0</v>
      </c>
      <c r="U573" s="389">
        <f t="shared" si="239"/>
        <v>0</v>
      </c>
      <c r="V573" s="389" t="b">
        <f t="shared" si="240"/>
        <v>0</v>
      </c>
      <c r="W573" s="389">
        <f t="shared" si="241"/>
        <v>0</v>
      </c>
      <c r="X573" s="389">
        <f t="shared" si="242"/>
        <v>0</v>
      </c>
      <c r="Y573" s="389">
        <f t="shared" si="260"/>
        <v>1.0999999999999999E-2</v>
      </c>
      <c r="Z573" s="389">
        <f t="shared" si="243"/>
        <v>1.0999999999999999E-2</v>
      </c>
      <c r="AA573" s="389">
        <f t="shared" si="244"/>
        <v>0</v>
      </c>
      <c r="AB573" s="389">
        <f t="shared" si="245"/>
        <v>1E-4</v>
      </c>
      <c r="AC573" s="389">
        <f t="shared" si="246"/>
        <v>1E-4</v>
      </c>
      <c r="AD573" s="389">
        <f t="shared" si="247"/>
        <v>0</v>
      </c>
      <c r="AE573" s="389">
        <f t="shared" si="248"/>
        <v>0</v>
      </c>
      <c r="AG573" s="311" t="str">
        <f t="shared" si="249"/>
        <v>-</v>
      </c>
      <c r="AH573" s="453" t="str">
        <f t="shared" si="250"/>
        <v/>
      </c>
      <c r="AI573" s="453" t="str">
        <f t="shared" si="251"/>
        <v/>
      </c>
      <c r="AJ573" t="str">
        <f t="array" ref="AJ573">IF(AND(AI573&gt;1,G573&lt;&gt;""),INDEX(FS_teams,MATCH(1,(FS_Keys=AG573)*(FS_Points=I573)*(FS_teams&lt;&gt;G573),0)),"")</f>
        <v/>
      </c>
      <c r="AK573" s="390" t="str">
        <f t="array" ref="AK573">IF(AJ573&lt;&gt;"",INDEX(TM_Score1,MATCH(1,(TM_Events=D573)*(TM_Participant1=G573)*(TM_Participant2=AJ573),0)),"")</f>
        <v/>
      </c>
      <c r="AL573" s="390" t="str">
        <f t="array" ref="AL573">IF(AJ573&lt;&gt;"",INDEX(TM_Score1,MATCH(1,(TM_Events=D573)*(TM_Participant1=AJ573)*(TM_Participant2=G573),0)),"")</f>
        <v/>
      </c>
      <c r="AM573" s="389" t="str">
        <f t="array" ref="AM573">IF(ISNUMBER(AK573),INDEX(TM_Score2,MATCH(1,(TM_Events=D573)*(TM_Participant1=G573)*(TM_Participant2=AJ573),0)),"")</f>
        <v/>
      </c>
      <c r="AN573" s="389" t="str">
        <f t="array" ref="AN573">IF(ISNUMBER(AL573),INDEX(TM_Score2,MATCH(1,(TM_Events=D573)*(TM_Participant1=AJ573)*(TM_Participant2=G573),0)),"")</f>
        <v/>
      </c>
      <c r="AO573" s="389" t="str">
        <f t="shared" si="252"/>
        <v/>
      </c>
      <c r="AP573" s="389">
        <f t="shared" si="253"/>
        <v>0</v>
      </c>
      <c r="AQ573" s="389">
        <f t="shared" si="254"/>
        <v>0</v>
      </c>
      <c r="AR573" s="389">
        <f t="shared" si="255"/>
        <v>0</v>
      </c>
      <c r="AS573" s="453">
        <f t="shared" si="256"/>
        <v>0</v>
      </c>
      <c r="AT573" s="452">
        <f t="shared" si="257"/>
        <v>0</v>
      </c>
    </row>
    <row r="574" spans="2:46" ht="16" x14ac:dyDescent="0.2">
      <c r="B574"/>
      <c r="H574" s="387" t="str">
        <f t="shared" si="232"/>
        <v>0-0-0</v>
      </c>
      <c r="I574" s="389">
        <f t="shared" si="233"/>
        <v>0</v>
      </c>
      <c r="J574" s="455" t="str">
        <f t="shared" si="258"/>
        <v/>
      </c>
      <c r="K574" s="455">
        <f t="shared" si="234"/>
        <v>0</v>
      </c>
      <c r="L574" s="455">
        <f t="shared" si="259"/>
        <v>0</v>
      </c>
      <c r="M574" s="389" t="str">
        <f>IFERROR(IF(AD574&lt;=VLOOKUP(D574,Tournaments!$A$1:$B$1772,2,FALSE),"TRUE","FALSE"),"")</f>
        <v/>
      </c>
      <c r="N574" s="389">
        <v>1</v>
      </c>
      <c r="O574" s="389">
        <f t="shared" si="235"/>
        <v>0</v>
      </c>
      <c r="Q574" s="389">
        <f t="shared" si="236"/>
        <v>0</v>
      </c>
      <c r="R574" s="389">
        <f t="shared" si="237"/>
        <v>0</v>
      </c>
      <c r="S574" s="389">
        <f t="shared" si="238"/>
        <v>0</v>
      </c>
      <c r="U574" s="389">
        <f t="shared" si="239"/>
        <v>0</v>
      </c>
      <c r="V574" s="389" t="b">
        <f t="shared" si="240"/>
        <v>0</v>
      </c>
      <c r="W574" s="389">
        <f t="shared" si="241"/>
        <v>0</v>
      </c>
      <c r="X574" s="389">
        <f t="shared" si="242"/>
        <v>0</v>
      </c>
      <c r="Y574" s="389">
        <f t="shared" si="260"/>
        <v>1.0999999999999999E-2</v>
      </c>
      <c r="Z574" s="389">
        <f t="shared" si="243"/>
        <v>1.0999999999999999E-2</v>
      </c>
      <c r="AA574" s="389">
        <f t="shared" si="244"/>
        <v>0</v>
      </c>
      <c r="AB574" s="389">
        <f t="shared" si="245"/>
        <v>1E-4</v>
      </c>
      <c r="AC574" s="389">
        <f t="shared" si="246"/>
        <v>1E-4</v>
      </c>
      <c r="AD574" s="389">
        <f t="shared" si="247"/>
        <v>0</v>
      </c>
      <c r="AE574" s="389">
        <f t="shared" si="248"/>
        <v>0</v>
      </c>
      <c r="AG574" s="311" t="str">
        <f t="shared" si="249"/>
        <v>-</v>
      </c>
      <c r="AH574" s="453" t="str">
        <f t="shared" si="250"/>
        <v/>
      </c>
      <c r="AI574" s="453" t="str">
        <f t="shared" si="251"/>
        <v/>
      </c>
      <c r="AJ574" t="str">
        <f t="array" ref="AJ574">IF(AND(AI574&gt;1,G574&lt;&gt;""),INDEX(FS_teams,MATCH(1,(FS_Keys=AG574)*(FS_Points=I574)*(FS_teams&lt;&gt;G574),0)),"")</f>
        <v/>
      </c>
      <c r="AK574" s="390" t="str">
        <f t="array" ref="AK574">IF(AJ574&lt;&gt;"",INDEX(TM_Score1,MATCH(1,(TM_Events=D574)*(TM_Participant1=G574)*(TM_Participant2=AJ574),0)),"")</f>
        <v/>
      </c>
      <c r="AL574" s="390" t="str">
        <f t="array" ref="AL574">IF(AJ574&lt;&gt;"",INDEX(TM_Score1,MATCH(1,(TM_Events=D574)*(TM_Participant1=AJ574)*(TM_Participant2=G574),0)),"")</f>
        <v/>
      </c>
      <c r="AM574" s="389" t="str">
        <f t="array" ref="AM574">IF(ISNUMBER(AK574),INDEX(TM_Score2,MATCH(1,(TM_Events=D574)*(TM_Participant1=G574)*(TM_Participant2=AJ574),0)),"")</f>
        <v/>
      </c>
      <c r="AN574" s="389" t="str">
        <f t="array" ref="AN574">IF(ISNUMBER(AL574),INDEX(TM_Score2,MATCH(1,(TM_Events=D574)*(TM_Participant1=AJ574)*(TM_Participant2=G574),0)),"")</f>
        <v/>
      </c>
      <c r="AO574" s="389" t="str">
        <f t="shared" si="252"/>
        <v/>
      </c>
      <c r="AP574" s="389">
        <f t="shared" si="253"/>
        <v>0</v>
      </c>
      <c r="AQ574" s="389">
        <f t="shared" si="254"/>
        <v>0</v>
      </c>
      <c r="AR574" s="389">
        <f t="shared" si="255"/>
        <v>0</v>
      </c>
      <c r="AS574" s="453">
        <f t="shared" si="256"/>
        <v>0</v>
      </c>
      <c r="AT574" s="452">
        <f t="shared" si="257"/>
        <v>0</v>
      </c>
    </row>
    <row r="575" spans="2:46" ht="16" x14ac:dyDescent="0.2">
      <c r="B575"/>
      <c r="H575" s="387" t="str">
        <f t="shared" si="232"/>
        <v>0-0-0</v>
      </c>
      <c r="I575" s="389">
        <f t="shared" si="233"/>
        <v>0</v>
      </c>
      <c r="J575" s="455" t="str">
        <f t="shared" si="258"/>
        <v/>
      </c>
      <c r="K575" s="455">
        <f t="shared" si="234"/>
        <v>0</v>
      </c>
      <c r="L575" s="455">
        <f t="shared" si="259"/>
        <v>0</v>
      </c>
      <c r="M575" s="389" t="str">
        <f>IFERROR(IF(AD575&lt;=VLOOKUP(D575,Tournaments!$A$1:$B$1772,2,FALSE),"TRUE","FALSE"),"")</f>
        <v/>
      </c>
      <c r="N575" s="389">
        <v>1</v>
      </c>
      <c r="O575" s="389">
        <f t="shared" si="235"/>
        <v>0</v>
      </c>
      <c r="Q575" s="389">
        <f t="shared" si="236"/>
        <v>0</v>
      </c>
      <c r="R575" s="389">
        <f t="shared" si="237"/>
        <v>0</v>
      </c>
      <c r="S575" s="389">
        <f t="shared" si="238"/>
        <v>0</v>
      </c>
      <c r="U575" s="389">
        <f t="shared" si="239"/>
        <v>0</v>
      </c>
      <c r="V575" s="389" t="b">
        <f t="shared" si="240"/>
        <v>0</v>
      </c>
      <c r="W575" s="389">
        <f t="shared" si="241"/>
        <v>0</v>
      </c>
      <c r="X575" s="389">
        <f t="shared" si="242"/>
        <v>0</v>
      </c>
      <c r="Y575" s="389">
        <f t="shared" si="260"/>
        <v>1.0999999999999999E-2</v>
      </c>
      <c r="Z575" s="389">
        <f t="shared" si="243"/>
        <v>1.0999999999999999E-2</v>
      </c>
      <c r="AA575" s="389">
        <f t="shared" si="244"/>
        <v>0</v>
      </c>
      <c r="AB575" s="389">
        <f t="shared" si="245"/>
        <v>1E-4</v>
      </c>
      <c r="AC575" s="389">
        <f t="shared" si="246"/>
        <v>1E-4</v>
      </c>
      <c r="AD575" s="389">
        <f t="shared" si="247"/>
        <v>0</v>
      </c>
      <c r="AE575" s="389">
        <f t="shared" si="248"/>
        <v>0</v>
      </c>
      <c r="AG575" s="311" t="str">
        <f t="shared" si="249"/>
        <v>-</v>
      </c>
      <c r="AH575" s="453" t="str">
        <f t="shared" si="250"/>
        <v/>
      </c>
      <c r="AI575" s="453" t="str">
        <f t="shared" si="251"/>
        <v/>
      </c>
      <c r="AJ575" t="str">
        <f t="array" ref="AJ575">IF(AND(AI575&gt;1,G575&lt;&gt;""),INDEX(FS_teams,MATCH(1,(FS_Keys=AG575)*(FS_Points=I575)*(FS_teams&lt;&gt;G575),0)),"")</f>
        <v/>
      </c>
      <c r="AK575" s="390" t="str">
        <f t="array" ref="AK575">IF(AJ575&lt;&gt;"",INDEX(TM_Score1,MATCH(1,(TM_Events=D575)*(TM_Participant1=G575)*(TM_Participant2=AJ575),0)),"")</f>
        <v/>
      </c>
      <c r="AL575" s="390" t="str">
        <f t="array" ref="AL575">IF(AJ575&lt;&gt;"",INDEX(TM_Score1,MATCH(1,(TM_Events=D575)*(TM_Participant1=AJ575)*(TM_Participant2=G575),0)),"")</f>
        <v/>
      </c>
      <c r="AM575" s="389" t="str">
        <f t="array" ref="AM575">IF(ISNUMBER(AK575),INDEX(TM_Score2,MATCH(1,(TM_Events=D575)*(TM_Participant1=G575)*(TM_Participant2=AJ575),0)),"")</f>
        <v/>
      </c>
      <c r="AN575" s="389" t="str">
        <f t="array" ref="AN575">IF(ISNUMBER(AL575),INDEX(TM_Score2,MATCH(1,(TM_Events=D575)*(TM_Participant1=AJ575)*(TM_Participant2=G575),0)),"")</f>
        <v/>
      </c>
      <c r="AO575" s="389" t="str">
        <f t="shared" si="252"/>
        <v/>
      </c>
      <c r="AP575" s="389">
        <f t="shared" si="253"/>
        <v>0</v>
      </c>
      <c r="AQ575" s="389">
        <f t="shared" si="254"/>
        <v>0</v>
      </c>
      <c r="AR575" s="389">
        <f t="shared" si="255"/>
        <v>0</v>
      </c>
      <c r="AS575" s="453">
        <f t="shared" si="256"/>
        <v>0</v>
      </c>
      <c r="AT575" s="452">
        <f t="shared" si="257"/>
        <v>0</v>
      </c>
    </row>
    <row r="576" spans="2:46" ht="16" x14ac:dyDescent="0.2">
      <c r="B576"/>
      <c r="H576" s="387" t="str">
        <f t="shared" si="232"/>
        <v>0-0-0</v>
      </c>
      <c r="I576" s="389">
        <f t="shared" si="233"/>
        <v>0</v>
      </c>
      <c r="J576" s="455" t="str">
        <f t="shared" si="258"/>
        <v/>
      </c>
      <c r="K576" s="455">
        <f t="shared" si="234"/>
        <v>0</v>
      </c>
      <c r="L576" s="455">
        <f t="shared" si="259"/>
        <v>0</v>
      </c>
      <c r="M576" s="389" t="str">
        <f>IFERROR(IF(AD576&lt;=VLOOKUP(D576,Tournaments!$A$1:$B$1772,2,FALSE),"TRUE","FALSE"),"")</f>
        <v/>
      </c>
      <c r="N576" s="389">
        <v>1</v>
      </c>
      <c r="O576" s="389">
        <f t="shared" si="235"/>
        <v>0</v>
      </c>
      <c r="Q576" s="389">
        <f t="shared" si="236"/>
        <v>0</v>
      </c>
      <c r="R576" s="389">
        <f t="shared" si="237"/>
        <v>0</v>
      </c>
      <c r="S576" s="389">
        <f t="shared" si="238"/>
        <v>0</v>
      </c>
      <c r="U576" s="389">
        <f t="shared" si="239"/>
        <v>0</v>
      </c>
      <c r="V576" s="389" t="b">
        <f t="shared" si="240"/>
        <v>0</v>
      </c>
      <c r="W576" s="389">
        <f t="shared" si="241"/>
        <v>0</v>
      </c>
      <c r="X576" s="389">
        <f t="shared" si="242"/>
        <v>0</v>
      </c>
      <c r="Y576" s="389">
        <f t="shared" si="260"/>
        <v>1.0999999999999999E-2</v>
      </c>
      <c r="Z576" s="389">
        <f t="shared" si="243"/>
        <v>1.0999999999999999E-2</v>
      </c>
      <c r="AA576" s="389">
        <f t="shared" si="244"/>
        <v>0</v>
      </c>
      <c r="AB576" s="389">
        <f t="shared" si="245"/>
        <v>1E-4</v>
      </c>
      <c r="AC576" s="389">
        <f t="shared" si="246"/>
        <v>1E-4</v>
      </c>
      <c r="AD576" s="389">
        <f t="shared" si="247"/>
        <v>0</v>
      </c>
      <c r="AE576" s="389">
        <f t="shared" si="248"/>
        <v>0</v>
      </c>
      <c r="AG576" s="311" t="str">
        <f t="shared" si="249"/>
        <v>-</v>
      </c>
      <c r="AH576" s="453" t="str">
        <f t="shared" si="250"/>
        <v/>
      </c>
      <c r="AI576" s="453" t="str">
        <f t="shared" si="251"/>
        <v/>
      </c>
      <c r="AJ576" t="str">
        <f t="array" ref="AJ576">IF(AND(AI576&gt;1,G576&lt;&gt;""),INDEX(FS_teams,MATCH(1,(FS_Keys=AG576)*(FS_Points=I576)*(FS_teams&lt;&gt;G576),0)),"")</f>
        <v/>
      </c>
      <c r="AK576" s="390" t="str">
        <f t="array" ref="AK576">IF(AJ576&lt;&gt;"",INDEX(TM_Score1,MATCH(1,(TM_Events=D576)*(TM_Participant1=G576)*(TM_Participant2=AJ576),0)),"")</f>
        <v/>
      </c>
      <c r="AL576" s="390" t="str">
        <f t="array" ref="AL576">IF(AJ576&lt;&gt;"",INDEX(TM_Score1,MATCH(1,(TM_Events=D576)*(TM_Participant1=AJ576)*(TM_Participant2=G576),0)),"")</f>
        <v/>
      </c>
      <c r="AM576" s="389" t="str">
        <f t="array" ref="AM576">IF(ISNUMBER(AK576),INDEX(TM_Score2,MATCH(1,(TM_Events=D576)*(TM_Participant1=G576)*(TM_Participant2=AJ576),0)),"")</f>
        <v/>
      </c>
      <c r="AN576" s="389" t="str">
        <f t="array" ref="AN576">IF(ISNUMBER(AL576),INDEX(TM_Score2,MATCH(1,(TM_Events=D576)*(TM_Participant1=AJ576)*(TM_Participant2=G576),0)),"")</f>
        <v/>
      </c>
      <c r="AO576" s="389" t="str">
        <f t="shared" si="252"/>
        <v/>
      </c>
      <c r="AP576" s="389">
        <f t="shared" si="253"/>
        <v>0</v>
      </c>
      <c r="AQ576" s="389">
        <f t="shared" si="254"/>
        <v>0</v>
      </c>
      <c r="AR576" s="389">
        <f t="shared" si="255"/>
        <v>0</v>
      </c>
      <c r="AS576" s="453">
        <f t="shared" si="256"/>
        <v>0</v>
      </c>
      <c r="AT576" s="452">
        <f t="shared" si="257"/>
        <v>0</v>
      </c>
    </row>
    <row r="577" spans="2:46" ht="16" x14ac:dyDescent="0.2">
      <c r="B577"/>
      <c r="H577" s="387" t="str">
        <f t="shared" si="232"/>
        <v>0-0-0</v>
      </c>
      <c r="I577" s="389">
        <f t="shared" si="233"/>
        <v>0</v>
      </c>
      <c r="J577" s="455" t="str">
        <f t="shared" si="258"/>
        <v/>
      </c>
      <c r="K577" s="455">
        <f t="shared" si="234"/>
        <v>0</v>
      </c>
      <c r="L577" s="455">
        <f t="shared" si="259"/>
        <v>0</v>
      </c>
      <c r="M577" s="389" t="str">
        <f>IFERROR(IF(AD577&lt;=VLOOKUP(D577,Tournaments!$A$1:$B$1772,2,FALSE),"TRUE","FALSE"),"")</f>
        <v/>
      </c>
      <c r="N577" s="389">
        <v>1</v>
      </c>
      <c r="O577" s="389">
        <f t="shared" si="235"/>
        <v>0</v>
      </c>
      <c r="Q577" s="389">
        <f t="shared" si="236"/>
        <v>0</v>
      </c>
      <c r="R577" s="389">
        <f t="shared" si="237"/>
        <v>0</v>
      </c>
      <c r="S577" s="389">
        <f t="shared" si="238"/>
        <v>0</v>
      </c>
      <c r="U577" s="389">
        <f t="shared" si="239"/>
        <v>0</v>
      </c>
      <c r="V577" s="389" t="b">
        <f t="shared" si="240"/>
        <v>0</v>
      </c>
      <c r="W577" s="389">
        <f t="shared" si="241"/>
        <v>0</v>
      </c>
      <c r="X577" s="389">
        <f t="shared" si="242"/>
        <v>0</v>
      </c>
      <c r="Y577" s="389">
        <f t="shared" si="260"/>
        <v>1.0999999999999999E-2</v>
      </c>
      <c r="Z577" s="389">
        <f t="shared" si="243"/>
        <v>1.0999999999999999E-2</v>
      </c>
      <c r="AA577" s="389">
        <f t="shared" si="244"/>
        <v>0</v>
      </c>
      <c r="AB577" s="389">
        <f t="shared" si="245"/>
        <v>1E-4</v>
      </c>
      <c r="AC577" s="389">
        <f t="shared" si="246"/>
        <v>1E-4</v>
      </c>
      <c r="AD577" s="389">
        <f t="shared" si="247"/>
        <v>0</v>
      </c>
      <c r="AE577" s="389">
        <f t="shared" si="248"/>
        <v>0</v>
      </c>
      <c r="AG577" s="311" t="str">
        <f t="shared" si="249"/>
        <v>-</v>
      </c>
      <c r="AH577" s="453" t="str">
        <f t="shared" si="250"/>
        <v/>
      </c>
      <c r="AI577" s="453" t="str">
        <f t="shared" si="251"/>
        <v/>
      </c>
      <c r="AJ577" t="str">
        <f t="array" ref="AJ577">IF(AND(AI577&gt;1,G577&lt;&gt;""),INDEX(FS_teams,MATCH(1,(FS_Keys=AG577)*(FS_Points=I577)*(FS_teams&lt;&gt;G577),0)),"")</f>
        <v/>
      </c>
      <c r="AK577" s="390" t="str">
        <f t="array" ref="AK577">IF(AJ577&lt;&gt;"",INDEX(TM_Score1,MATCH(1,(TM_Events=D577)*(TM_Participant1=G577)*(TM_Participant2=AJ577),0)),"")</f>
        <v/>
      </c>
      <c r="AL577" s="390" t="str">
        <f t="array" ref="AL577">IF(AJ577&lt;&gt;"",INDEX(TM_Score1,MATCH(1,(TM_Events=D577)*(TM_Participant1=AJ577)*(TM_Participant2=G577),0)),"")</f>
        <v/>
      </c>
      <c r="AM577" s="389" t="str">
        <f t="array" ref="AM577">IF(ISNUMBER(AK577),INDEX(TM_Score2,MATCH(1,(TM_Events=D577)*(TM_Participant1=G577)*(TM_Participant2=AJ577),0)),"")</f>
        <v/>
      </c>
      <c r="AN577" s="389" t="str">
        <f t="array" ref="AN577">IF(ISNUMBER(AL577),INDEX(TM_Score2,MATCH(1,(TM_Events=D577)*(TM_Participant1=AJ577)*(TM_Participant2=G577),0)),"")</f>
        <v/>
      </c>
      <c r="AO577" s="389" t="str">
        <f t="shared" si="252"/>
        <v/>
      </c>
      <c r="AP577" s="389">
        <f t="shared" si="253"/>
        <v>0</v>
      </c>
      <c r="AQ577" s="389">
        <f t="shared" si="254"/>
        <v>0</v>
      </c>
      <c r="AR577" s="389">
        <f t="shared" si="255"/>
        <v>0</v>
      </c>
      <c r="AS577" s="453">
        <f t="shared" si="256"/>
        <v>0</v>
      </c>
      <c r="AT577" s="452">
        <f t="shared" si="257"/>
        <v>0</v>
      </c>
    </row>
    <row r="578" spans="2:46" ht="16" x14ac:dyDescent="0.2">
      <c r="B578"/>
      <c r="H578" s="387" t="str">
        <f t="shared" si="232"/>
        <v>0-0-0</v>
      </c>
      <c r="I578" s="389">
        <f t="shared" si="233"/>
        <v>0</v>
      </c>
      <c r="J578" s="455" t="str">
        <f t="shared" si="258"/>
        <v/>
      </c>
      <c r="K578" s="455">
        <f t="shared" si="234"/>
        <v>0</v>
      </c>
      <c r="L578" s="455">
        <f t="shared" si="259"/>
        <v>0</v>
      </c>
      <c r="M578" s="389" t="str">
        <f>IFERROR(IF(AD578&lt;=VLOOKUP(D578,Tournaments!$A$1:$B$1772,2,FALSE),"TRUE","FALSE"),"")</f>
        <v/>
      </c>
      <c r="N578" s="389">
        <v>1</v>
      </c>
      <c r="O578" s="389">
        <f t="shared" si="235"/>
        <v>0</v>
      </c>
      <c r="Q578" s="389">
        <f t="shared" si="236"/>
        <v>0</v>
      </c>
      <c r="R578" s="389">
        <f t="shared" si="237"/>
        <v>0</v>
      </c>
      <c r="S578" s="389">
        <f t="shared" si="238"/>
        <v>0</v>
      </c>
      <c r="U578" s="389">
        <f t="shared" si="239"/>
        <v>0</v>
      </c>
      <c r="V578" s="389" t="b">
        <f t="shared" si="240"/>
        <v>0</v>
      </c>
      <c r="W578" s="389">
        <f t="shared" si="241"/>
        <v>0</v>
      </c>
      <c r="X578" s="389">
        <f t="shared" si="242"/>
        <v>0</v>
      </c>
      <c r="Y578" s="389">
        <f t="shared" si="260"/>
        <v>1.0999999999999999E-2</v>
      </c>
      <c r="Z578" s="389">
        <f t="shared" si="243"/>
        <v>1.0999999999999999E-2</v>
      </c>
      <c r="AA578" s="389">
        <f t="shared" si="244"/>
        <v>0</v>
      </c>
      <c r="AB578" s="389">
        <f t="shared" si="245"/>
        <v>1E-4</v>
      </c>
      <c r="AC578" s="389">
        <f t="shared" si="246"/>
        <v>1E-4</v>
      </c>
      <c r="AD578" s="389">
        <f t="shared" si="247"/>
        <v>0</v>
      </c>
      <c r="AE578" s="389">
        <f t="shared" si="248"/>
        <v>0</v>
      </c>
      <c r="AG578" s="311" t="str">
        <f t="shared" si="249"/>
        <v>-</v>
      </c>
      <c r="AH578" s="453" t="str">
        <f t="shared" si="250"/>
        <v/>
      </c>
      <c r="AI578" s="453" t="str">
        <f t="shared" si="251"/>
        <v/>
      </c>
      <c r="AJ578" t="str">
        <f t="array" ref="AJ578">IF(AND(AI578&gt;1,G578&lt;&gt;""),INDEX(FS_teams,MATCH(1,(FS_Keys=AG578)*(FS_Points=I578)*(FS_teams&lt;&gt;G578),0)),"")</f>
        <v/>
      </c>
      <c r="AK578" s="390" t="str">
        <f t="array" ref="AK578">IF(AJ578&lt;&gt;"",INDEX(TM_Score1,MATCH(1,(TM_Events=D578)*(TM_Participant1=G578)*(TM_Participant2=AJ578),0)),"")</f>
        <v/>
      </c>
      <c r="AL578" s="390" t="str">
        <f t="array" ref="AL578">IF(AJ578&lt;&gt;"",INDEX(TM_Score1,MATCH(1,(TM_Events=D578)*(TM_Participant1=AJ578)*(TM_Participant2=G578),0)),"")</f>
        <v/>
      </c>
      <c r="AM578" s="389" t="str">
        <f t="array" ref="AM578">IF(ISNUMBER(AK578),INDEX(TM_Score2,MATCH(1,(TM_Events=D578)*(TM_Participant1=G578)*(TM_Participant2=AJ578),0)),"")</f>
        <v/>
      </c>
      <c r="AN578" s="389" t="str">
        <f t="array" ref="AN578">IF(ISNUMBER(AL578),INDEX(TM_Score2,MATCH(1,(TM_Events=D578)*(TM_Participant1=AJ578)*(TM_Participant2=G578),0)),"")</f>
        <v/>
      </c>
      <c r="AO578" s="389" t="str">
        <f t="shared" si="252"/>
        <v/>
      </c>
      <c r="AP578" s="389">
        <f t="shared" si="253"/>
        <v>0</v>
      </c>
      <c r="AQ578" s="389">
        <f t="shared" si="254"/>
        <v>0</v>
      </c>
      <c r="AR578" s="389">
        <f t="shared" si="255"/>
        <v>0</v>
      </c>
      <c r="AS578" s="453">
        <f t="shared" si="256"/>
        <v>0</v>
      </c>
      <c r="AT578" s="452">
        <f t="shared" si="257"/>
        <v>0</v>
      </c>
    </row>
    <row r="579" spans="2:46" ht="16" x14ac:dyDescent="0.2">
      <c r="B579"/>
      <c r="H579" s="387" t="str">
        <f t="shared" ref="H579:H642" si="261">Q579&amp;"-"&amp;R579&amp;"-"&amp;S579</f>
        <v>0-0-0</v>
      </c>
      <c r="I579" s="389">
        <f t="shared" ref="I579:I642" si="262">IF(H579&lt;&gt;"0-0-0",Q579*2+S579,0)</f>
        <v>0</v>
      </c>
      <c r="J579" s="455" t="str">
        <f t="shared" si="258"/>
        <v/>
      </c>
      <c r="K579" s="455">
        <f t="shared" ref="K579:K642" si="263">IF(COUNTIFS(AG:AG,AG579,I:I,I579,J:J,J579)&gt;1,AS579,"")</f>
        <v>0</v>
      </c>
      <c r="L579" s="455">
        <f t="shared" si="259"/>
        <v>0</v>
      </c>
      <c r="M579" s="389" t="str">
        <f>IFERROR(IF(AD579&lt;=VLOOKUP(D579,Tournaments!$A$1:$B$1772,2,FALSE),"TRUE","FALSE"),"")</f>
        <v/>
      </c>
      <c r="N579" s="389">
        <v>1</v>
      </c>
      <c r="O579" s="389">
        <f t="shared" ref="O579:O642" si="264">AD579</f>
        <v>0</v>
      </c>
      <c r="Q579" s="389">
        <f t="shared" ref="Q579:Q642" si="265">AP579</f>
        <v>0</v>
      </c>
      <c r="R579" s="389">
        <f t="shared" ref="R579:R642" si="266">AR579</f>
        <v>0</v>
      </c>
      <c r="S579" s="389">
        <f t="shared" ref="S579:S642" si="267">AQ579</f>
        <v>0</v>
      </c>
      <c r="U579" s="389">
        <f t="shared" ref="U579:U642" si="268">IF(E579&lt;&gt;"",COUNTIFS($D$3:$D$1001,D579,$E$3:$E$1001,E579,$I$3:$I$1001,"&gt;"&amp;I579)+COUNTIFS($D$3:$D$1001,D579,$E$3:$E$1001,E579,$I$3:$I$1001,I579),COUNTIFS($D$3:$D$1001,D579,$I$3:$I$1001,"&gt;"&amp;I579)+COUNTIFS($D$3:$D$1001,D579,$I$3:$I$1001,I579))</f>
        <v>0</v>
      </c>
      <c r="V579" s="389" t="b">
        <f t="shared" ref="V579:V642" si="269">IFERROR(RANK(J579,$J:$J,1)/10000,FALSE)</f>
        <v>0</v>
      </c>
      <c r="W579" s="389">
        <f t="shared" ref="W579:W642" si="270">V579-U579</f>
        <v>0</v>
      </c>
      <c r="X579" s="389">
        <f t="shared" ref="X579:X642" si="271">IF(E579&lt;&gt;"",COUNTIFS($D:$D,$D579,$E:$E,$E579,$W:$W,"&gt;"&amp;W579)+COUNTIFS($D:$D,$D579,$E:$E,$E579,$W:$W,W579),COUNTIFS($D:$D,$D579,$W:$W,"&gt;"&amp;W579)+COUNTIFS($D:$D,$D579,$W:$W,W579))</f>
        <v>0</v>
      </c>
      <c r="Y579" s="389">
        <f t="shared" si="260"/>
        <v>1.0999999999999999E-2</v>
      </c>
      <c r="Z579" s="389">
        <f t="shared" ref="Z579:Z642" si="272">Y579-X579</f>
        <v>1.0999999999999999E-2</v>
      </c>
      <c r="AA579" s="389">
        <f t="shared" ref="AA579:AA642" si="273">IF(E579&lt;&gt;"",(COUNTIFS($D:$D,D579,$E:$E,E579,$Z:$Z,"&gt;"&amp;Z579)+COUNTIFS($D:$D,D579,$E:$E,E579,$Z:$Z,Z579)),(COUNTIFS($D:$D,D579,$Z:$Z,"&gt;"&amp;Z579)+COUNTIFS($D:$D,D579,$Z:$Z,Z579)))</f>
        <v>0</v>
      </c>
      <c r="AB579" s="389">
        <f t="shared" ref="AB579:AB642" si="274">IFERROR(RANK(L579,$L:$L,1)/10000,FALSE)</f>
        <v>1E-4</v>
      </c>
      <c r="AC579" s="389">
        <f t="shared" ref="AC579:AC642" si="275">AB579-AA579</f>
        <v>1E-4</v>
      </c>
      <c r="AD579" s="389">
        <f t="shared" ref="AD579:AD642" si="276">IF(E579&lt;&gt;"",COUNTIFS($D:$D,$D579,$E:$E,$E579,$AC:$AC,"&gt;"&amp;AC579)+COUNTIFS($D:$D,$D579,$E:$E,$E579,$AC:$AC,AC579),COUNTIFS($D:$D,$D579,$AC:$AC,"&gt;"&amp;AC579)+COUNTIFS($D:$D,$D579,$AC:$AC,AC579))</f>
        <v>0</v>
      </c>
      <c r="AE579" s="389">
        <f t="shared" ref="AE579:AE642" si="277">IF(E579&lt;&gt;"",COUNTIFS($D:$D,D579,$E:$E,E579,$I:$I,I579,$J:$J,J579),COUNTIFS($D:$D,D579,$I:$I,I579,$J:$J,J579))</f>
        <v>0</v>
      </c>
      <c r="AG579" s="311" t="str">
        <f t="shared" ref="AG579:AG642" si="278">D579&amp;"-"&amp;E579</f>
        <v>-</v>
      </c>
      <c r="AH579" s="453" t="str">
        <f t="shared" ref="AH579:AH642" si="279">IF(G579="","",COUNTIFS(FS_teams,"&lt;&gt;-1",FS_Keys,AG579,FS_Points,"&gt;"&amp;I579)+1)</f>
        <v/>
      </c>
      <c r="AI579" s="453" t="str">
        <f t="shared" ref="AI579:AI642" si="280">IF(G579="","",COUNTIFS(FS_Keys,AG579,FS_Rank_on_Points,AH579))</f>
        <v/>
      </c>
      <c r="AJ579" t="str">
        <f t="array" ref="AJ579">IF(AND(AI579&gt;1,G579&lt;&gt;""),INDEX(FS_teams,MATCH(1,(FS_Keys=AG579)*(FS_Points=I579)*(FS_teams&lt;&gt;G579),0)),"")</f>
        <v/>
      </c>
      <c r="AK579" s="390" t="str">
        <f t="array" ref="AK579">IF(AJ579&lt;&gt;"",INDEX(TM_Score1,MATCH(1,(TM_Events=D579)*(TM_Participant1=G579)*(TM_Participant2=AJ579),0)),"")</f>
        <v/>
      </c>
      <c r="AL579" s="390" t="str">
        <f t="array" ref="AL579">IF(AJ579&lt;&gt;"",INDEX(TM_Score1,MATCH(1,(TM_Events=D579)*(TM_Participant1=AJ579)*(TM_Participant2=G579),0)),"")</f>
        <v/>
      </c>
      <c r="AM579" s="389" t="str">
        <f t="array" ref="AM579">IF(ISNUMBER(AK579),INDEX(TM_Score2,MATCH(1,(TM_Events=D579)*(TM_Participant1=G579)*(TM_Participant2=AJ579),0)),"")</f>
        <v/>
      </c>
      <c r="AN579" s="389" t="str">
        <f t="array" ref="AN579">IF(ISNUMBER(AL579),INDEX(TM_Score2,MATCH(1,(TM_Events=D579)*(TM_Participant1=AJ579)*(TM_Participant2=G579),0)),"")</f>
        <v/>
      </c>
      <c r="AO579" s="389" t="str">
        <f t="shared" ref="AO579:AO642" si="281">IF(AJ579="","",IF(ISNUMBER(AK579),IF(AK579&gt;AM579,"Win",IF(AK579=AM579,"Tie",IF(AK579&lt;AM579,"Loss","check"))),IF(ISNUMBER(AL579),IF(AN579&gt;AL579,"Win",IF(AN579=AL579,"Tie",IF(AN579&lt;AL579,"Loss","check"))),IF(AND(ISNA(AK579),ISNA(AL579)),"did not play","check"))))</f>
        <v/>
      </c>
      <c r="AP579" s="389">
        <f t="shared" ref="AP579:AP642" si="282">SUMIFS(TM_W1,TM_Events,D579,TM_Participant1,G579)+SUMIFS(TM_w2,TM_Events,D579,TM_Participant2,G579)</f>
        <v>0</v>
      </c>
      <c r="AQ579" s="389">
        <f t="shared" ref="AQ579:AQ642" si="283">SUMIFS(TM_T1,TM_Events,D579,TM_Participant1,G579)+SUMIFS(TM_T2,TM_Events,D579,TM_Participant2,G579)</f>
        <v>0</v>
      </c>
      <c r="AR579" s="389">
        <f t="shared" ref="AR579:AR642" si="284">SUMIFS(TM_L1,TM_Events,D579,TM_Participant1,G579)+SUMIFS(TM_L2,TM_Events,D579,TM_Participant2,G579)</f>
        <v>0</v>
      </c>
      <c r="AS579" s="453">
        <f t="shared" ref="AS579:AS642" si="285">SUMIFS(Net_1,TM_Events,D579,TM_Participant1,G579)+SUMIFS(Net_2,TM_Events,D579,TM_Participant2,G579)</f>
        <v>0</v>
      </c>
      <c r="AT579" s="452">
        <f t="shared" ref="AT579:AT642" si="286">SUMIFS(Score_1,TM_Events,D579,TM_Participant1,G579)+SUMIFS(Score_2,TM_Events,D579,TM_Participant2,G579)</f>
        <v>0</v>
      </c>
    </row>
    <row r="580" spans="2:46" ht="16" x14ac:dyDescent="0.2">
      <c r="B580"/>
      <c r="H580" s="387" t="str">
        <f t="shared" si="261"/>
        <v>0-0-0</v>
      </c>
      <c r="I580" s="389">
        <f t="shared" si="262"/>
        <v>0</v>
      </c>
      <c r="J580" s="455" t="str">
        <f t="shared" ref="J580:J643" si="287">IF(E580&lt;&gt;"",IF(COUNTIFS($D:$D,D580,$E:$E,E580,$I:$I,I580)&lt;3,IFERROR(IF(H580&lt;&gt;"0-0-0",IF(AO580&lt;&gt;"",IF(AO580="Win",2,IF(AO580="Loss",0,1)),""),""),""),1),IF(COUNTIFS(D:D,D580,I:I,I580)&lt;3,IFERROR(IF(H580&lt;&gt;"0-0-0",IF(AO580&lt;&gt;"",IF(AO580="Win",2,IF(AO580="Loss",0,1)),""),""),""),1))</f>
        <v/>
      </c>
      <c r="K580" s="455">
        <f t="shared" si="263"/>
        <v>0</v>
      </c>
      <c r="L580" s="455">
        <f t="shared" ref="L580:L643" si="288">IF(COUNTIFS(AG:AG,AG580,I:I,I580,J:J,J580,K:K,K580)&gt;1,AT580,"")</f>
        <v>0</v>
      </c>
      <c r="M580" s="389" t="str">
        <f>IFERROR(IF(AD580&lt;=VLOOKUP(D580,Tournaments!$A$1:$B$1772,2,FALSE),"TRUE","FALSE"),"")</f>
        <v/>
      </c>
      <c r="N580" s="389">
        <v>1</v>
      </c>
      <c r="O580" s="389">
        <f t="shared" si="264"/>
        <v>0</v>
      </c>
      <c r="Q580" s="389">
        <f t="shared" si="265"/>
        <v>0</v>
      </c>
      <c r="R580" s="389">
        <f t="shared" si="266"/>
        <v>0</v>
      </c>
      <c r="S580" s="389">
        <f t="shared" si="267"/>
        <v>0</v>
      </c>
      <c r="U580" s="389">
        <f t="shared" si="268"/>
        <v>0</v>
      </c>
      <c r="V580" s="389" t="b">
        <f t="shared" si="269"/>
        <v>0</v>
      </c>
      <c r="W580" s="389">
        <f t="shared" si="270"/>
        <v>0</v>
      </c>
      <c r="X580" s="389">
        <f t="shared" si="271"/>
        <v>0</v>
      </c>
      <c r="Y580" s="389">
        <f t="shared" ref="Y580:Y643" si="289">IFERROR(IF(K580&gt;=0,RANK(K580,$K:$K,1)/10000,RANK(K580,$K:$K,1)/10000),FALSE)</f>
        <v>1.0999999999999999E-2</v>
      </c>
      <c r="Z580" s="389">
        <f t="shared" si="272"/>
        <v>1.0999999999999999E-2</v>
      </c>
      <c r="AA580" s="389">
        <f t="shared" si="273"/>
        <v>0</v>
      </c>
      <c r="AB580" s="389">
        <f t="shared" si="274"/>
        <v>1E-4</v>
      </c>
      <c r="AC580" s="389">
        <f t="shared" si="275"/>
        <v>1E-4</v>
      </c>
      <c r="AD580" s="389">
        <f t="shared" si="276"/>
        <v>0</v>
      </c>
      <c r="AE580" s="389">
        <f t="shared" si="277"/>
        <v>0</v>
      </c>
      <c r="AG580" s="311" t="str">
        <f t="shared" si="278"/>
        <v>-</v>
      </c>
      <c r="AH580" s="453" t="str">
        <f t="shared" si="279"/>
        <v/>
      </c>
      <c r="AI580" s="453" t="str">
        <f t="shared" si="280"/>
        <v/>
      </c>
      <c r="AJ580" t="str">
        <f t="array" ref="AJ580">IF(AND(AI580&gt;1,G580&lt;&gt;""),INDEX(FS_teams,MATCH(1,(FS_Keys=AG580)*(FS_Points=I580)*(FS_teams&lt;&gt;G580),0)),"")</f>
        <v/>
      </c>
      <c r="AK580" s="390" t="str">
        <f t="array" ref="AK580">IF(AJ580&lt;&gt;"",INDEX(TM_Score1,MATCH(1,(TM_Events=D580)*(TM_Participant1=G580)*(TM_Participant2=AJ580),0)),"")</f>
        <v/>
      </c>
      <c r="AL580" s="390" t="str">
        <f t="array" ref="AL580">IF(AJ580&lt;&gt;"",INDEX(TM_Score1,MATCH(1,(TM_Events=D580)*(TM_Participant1=AJ580)*(TM_Participant2=G580),0)),"")</f>
        <v/>
      </c>
      <c r="AM580" s="389" t="str">
        <f t="array" ref="AM580">IF(ISNUMBER(AK580),INDEX(TM_Score2,MATCH(1,(TM_Events=D580)*(TM_Participant1=G580)*(TM_Participant2=AJ580),0)),"")</f>
        <v/>
      </c>
      <c r="AN580" s="389" t="str">
        <f t="array" ref="AN580">IF(ISNUMBER(AL580),INDEX(TM_Score2,MATCH(1,(TM_Events=D580)*(TM_Participant1=AJ580)*(TM_Participant2=G580),0)),"")</f>
        <v/>
      </c>
      <c r="AO580" s="389" t="str">
        <f t="shared" si="281"/>
        <v/>
      </c>
      <c r="AP580" s="389">
        <f t="shared" si="282"/>
        <v>0</v>
      </c>
      <c r="AQ580" s="389">
        <f t="shared" si="283"/>
        <v>0</v>
      </c>
      <c r="AR580" s="389">
        <f t="shared" si="284"/>
        <v>0</v>
      </c>
      <c r="AS580" s="453">
        <f t="shared" si="285"/>
        <v>0</v>
      </c>
      <c r="AT580" s="452">
        <f t="shared" si="286"/>
        <v>0</v>
      </c>
    </row>
    <row r="581" spans="2:46" ht="16" x14ac:dyDescent="0.2">
      <c r="B581"/>
      <c r="H581" s="387" t="str">
        <f t="shared" si="261"/>
        <v>0-0-0</v>
      </c>
      <c r="I581" s="389">
        <f t="shared" si="262"/>
        <v>0</v>
      </c>
      <c r="J581" s="455" t="str">
        <f t="shared" si="287"/>
        <v/>
      </c>
      <c r="K581" s="455">
        <f t="shared" si="263"/>
        <v>0</v>
      </c>
      <c r="L581" s="455">
        <f t="shared" si="288"/>
        <v>0</v>
      </c>
      <c r="M581" s="389" t="str">
        <f>IFERROR(IF(AD581&lt;=VLOOKUP(D581,Tournaments!$A$1:$B$1772,2,FALSE),"TRUE","FALSE"),"")</f>
        <v/>
      </c>
      <c r="N581" s="389">
        <v>1</v>
      </c>
      <c r="O581" s="389">
        <f t="shared" si="264"/>
        <v>0</v>
      </c>
      <c r="Q581" s="389">
        <f t="shared" si="265"/>
        <v>0</v>
      </c>
      <c r="R581" s="389">
        <f t="shared" si="266"/>
        <v>0</v>
      </c>
      <c r="S581" s="389">
        <f t="shared" si="267"/>
        <v>0</v>
      </c>
      <c r="U581" s="389">
        <f t="shared" si="268"/>
        <v>0</v>
      </c>
      <c r="V581" s="389" t="b">
        <f t="shared" si="269"/>
        <v>0</v>
      </c>
      <c r="W581" s="389">
        <f t="shared" si="270"/>
        <v>0</v>
      </c>
      <c r="X581" s="389">
        <f t="shared" si="271"/>
        <v>0</v>
      </c>
      <c r="Y581" s="389">
        <f t="shared" si="289"/>
        <v>1.0999999999999999E-2</v>
      </c>
      <c r="Z581" s="389">
        <f t="shared" si="272"/>
        <v>1.0999999999999999E-2</v>
      </c>
      <c r="AA581" s="389">
        <f t="shared" si="273"/>
        <v>0</v>
      </c>
      <c r="AB581" s="389">
        <f t="shared" si="274"/>
        <v>1E-4</v>
      </c>
      <c r="AC581" s="389">
        <f t="shared" si="275"/>
        <v>1E-4</v>
      </c>
      <c r="AD581" s="389">
        <f t="shared" si="276"/>
        <v>0</v>
      </c>
      <c r="AE581" s="389">
        <f t="shared" si="277"/>
        <v>0</v>
      </c>
      <c r="AG581" s="311" t="str">
        <f t="shared" si="278"/>
        <v>-</v>
      </c>
      <c r="AH581" s="453" t="str">
        <f t="shared" si="279"/>
        <v/>
      </c>
      <c r="AI581" s="453" t="str">
        <f t="shared" si="280"/>
        <v/>
      </c>
      <c r="AJ581" t="str">
        <f t="array" ref="AJ581">IF(AND(AI581&gt;1,G581&lt;&gt;""),INDEX(FS_teams,MATCH(1,(FS_Keys=AG581)*(FS_Points=I581)*(FS_teams&lt;&gt;G581),0)),"")</f>
        <v/>
      </c>
      <c r="AK581" s="390" t="str">
        <f t="array" ref="AK581">IF(AJ581&lt;&gt;"",INDEX(TM_Score1,MATCH(1,(TM_Events=D581)*(TM_Participant1=G581)*(TM_Participant2=AJ581),0)),"")</f>
        <v/>
      </c>
      <c r="AL581" s="390" t="str">
        <f t="array" ref="AL581">IF(AJ581&lt;&gt;"",INDEX(TM_Score1,MATCH(1,(TM_Events=D581)*(TM_Participant1=AJ581)*(TM_Participant2=G581),0)),"")</f>
        <v/>
      </c>
      <c r="AM581" s="389" t="str">
        <f t="array" ref="AM581">IF(ISNUMBER(AK581),INDEX(TM_Score2,MATCH(1,(TM_Events=D581)*(TM_Participant1=G581)*(TM_Participant2=AJ581),0)),"")</f>
        <v/>
      </c>
      <c r="AN581" s="389" t="str">
        <f t="array" ref="AN581">IF(ISNUMBER(AL581),INDEX(TM_Score2,MATCH(1,(TM_Events=D581)*(TM_Participant1=AJ581)*(TM_Participant2=G581),0)),"")</f>
        <v/>
      </c>
      <c r="AO581" s="389" t="str">
        <f t="shared" si="281"/>
        <v/>
      </c>
      <c r="AP581" s="389">
        <f t="shared" si="282"/>
        <v>0</v>
      </c>
      <c r="AQ581" s="389">
        <f t="shared" si="283"/>
        <v>0</v>
      </c>
      <c r="AR581" s="389">
        <f t="shared" si="284"/>
        <v>0</v>
      </c>
      <c r="AS581" s="453">
        <f t="shared" si="285"/>
        <v>0</v>
      </c>
      <c r="AT581" s="452">
        <f t="shared" si="286"/>
        <v>0</v>
      </c>
    </row>
    <row r="582" spans="2:46" ht="16" x14ac:dyDescent="0.2">
      <c r="B582"/>
      <c r="H582" s="387" t="str">
        <f t="shared" si="261"/>
        <v>0-0-0</v>
      </c>
      <c r="I582" s="389">
        <f t="shared" si="262"/>
        <v>0</v>
      </c>
      <c r="J582" s="455" t="str">
        <f t="shared" si="287"/>
        <v/>
      </c>
      <c r="K582" s="455">
        <f t="shared" si="263"/>
        <v>0</v>
      </c>
      <c r="L582" s="455">
        <f t="shared" si="288"/>
        <v>0</v>
      </c>
      <c r="M582" s="389" t="str">
        <f>IFERROR(IF(AD582&lt;=VLOOKUP(D582,Tournaments!$A$1:$B$1772,2,FALSE),"TRUE","FALSE"),"")</f>
        <v/>
      </c>
      <c r="N582" s="389">
        <v>1</v>
      </c>
      <c r="O582" s="389">
        <f t="shared" si="264"/>
        <v>0</v>
      </c>
      <c r="Q582" s="389">
        <f t="shared" si="265"/>
        <v>0</v>
      </c>
      <c r="R582" s="389">
        <f t="shared" si="266"/>
        <v>0</v>
      </c>
      <c r="S582" s="389">
        <f t="shared" si="267"/>
        <v>0</v>
      </c>
      <c r="U582" s="389">
        <f t="shared" si="268"/>
        <v>0</v>
      </c>
      <c r="V582" s="389" t="b">
        <f t="shared" si="269"/>
        <v>0</v>
      </c>
      <c r="W582" s="389">
        <f t="shared" si="270"/>
        <v>0</v>
      </c>
      <c r="X582" s="389">
        <f t="shared" si="271"/>
        <v>0</v>
      </c>
      <c r="Y582" s="389">
        <f t="shared" si="289"/>
        <v>1.0999999999999999E-2</v>
      </c>
      <c r="Z582" s="389">
        <f t="shared" si="272"/>
        <v>1.0999999999999999E-2</v>
      </c>
      <c r="AA582" s="389">
        <f t="shared" si="273"/>
        <v>0</v>
      </c>
      <c r="AB582" s="389">
        <f t="shared" si="274"/>
        <v>1E-4</v>
      </c>
      <c r="AC582" s="389">
        <f t="shared" si="275"/>
        <v>1E-4</v>
      </c>
      <c r="AD582" s="389">
        <f t="shared" si="276"/>
        <v>0</v>
      </c>
      <c r="AE582" s="389">
        <f t="shared" si="277"/>
        <v>0</v>
      </c>
      <c r="AG582" s="311" t="str">
        <f t="shared" si="278"/>
        <v>-</v>
      </c>
      <c r="AH582" s="453" t="str">
        <f t="shared" si="279"/>
        <v/>
      </c>
      <c r="AI582" s="453" t="str">
        <f t="shared" si="280"/>
        <v/>
      </c>
      <c r="AJ582" t="str">
        <f t="array" ref="AJ582">IF(AND(AI582&gt;1,G582&lt;&gt;""),INDEX(FS_teams,MATCH(1,(FS_Keys=AG582)*(FS_Points=I582)*(FS_teams&lt;&gt;G582),0)),"")</f>
        <v/>
      </c>
      <c r="AK582" s="390" t="str">
        <f t="array" ref="AK582">IF(AJ582&lt;&gt;"",INDEX(TM_Score1,MATCH(1,(TM_Events=D582)*(TM_Participant1=G582)*(TM_Participant2=AJ582),0)),"")</f>
        <v/>
      </c>
      <c r="AL582" s="390" t="str">
        <f t="array" ref="AL582">IF(AJ582&lt;&gt;"",INDEX(TM_Score1,MATCH(1,(TM_Events=D582)*(TM_Participant1=AJ582)*(TM_Participant2=G582),0)),"")</f>
        <v/>
      </c>
      <c r="AM582" s="389" t="str">
        <f t="array" ref="AM582">IF(ISNUMBER(AK582),INDEX(TM_Score2,MATCH(1,(TM_Events=D582)*(TM_Participant1=G582)*(TM_Participant2=AJ582),0)),"")</f>
        <v/>
      </c>
      <c r="AN582" s="389" t="str">
        <f t="array" ref="AN582">IF(ISNUMBER(AL582),INDEX(TM_Score2,MATCH(1,(TM_Events=D582)*(TM_Participant1=AJ582)*(TM_Participant2=G582),0)),"")</f>
        <v/>
      </c>
      <c r="AO582" s="389" t="str">
        <f t="shared" si="281"/>
        <v/>
      </c>
      <c r="AP582" s="389">
        <f t="shared" si="282"/>
        <v>0</v>
      </c>
      <c r="AQ582" s="389">
        <f t="shared" si="283"/>
        <v>0</v>
      </c>
      <c r="AR582" s="389">
        <f t="shared" si="284"/>
        <v>0</v>
      </c>
      <c r="AS582" s="453">
        <f t="shared" si="285"/>
        <v>0</v>
      </c>
      <c r="AT582" s="452">
        <f t="shared" si="286"/>
        <v>0</v>
      </c>
    </row>
    <row r="583" spans="2:46" ht="16" x14ac:dyDescent="0.2">
      <c r="B583"/>
      <c r="H583" s="387" t="str">
        <f t="shared" si="261"/>
        <v>0-0-0</v>
      </c>
      <c r="I583" s="389">
        <f t="shared" si="262"/>
        <v>0</v>
      </c>
      <c r="J583" s="455" t="str">
        <f t="shared" si="287"/>
        <v/>
      </c>
      <c r="K583" s="455">
        <f t="shared" si="263"/>
        <v>0</v>
      </c>
      <c r="L583" s="455">
        <f t="shared" si="288"/>
        <v>0</v>
      </c>
      <c r="M583" s="389" t="str">
        <f>IFERROR(IF(AD583&lt;=VLOOKUP(D583,Tournaments!$A$1:$B$1772,2,FALSE),"TRUE","FALSE"),"")</f>
        <v/>
      </c>
      <c r="N583" s="389">
        <v>1</v>
      </c>
      <c r="O583" s="389">
        <f t="shared" si="264"/>
        <v>0</v>
      </c>
      <c r="Q583" s="389">
        <f t="shared" si="265"/>
        <v>0</v>
      </c>
      <c r="R583" s="389">
        <f t="shared" si="266"/>
        <v>0</v>
      </c>
      <c r="S583" s="389">
        <f t="shared" si="267"/>
        <v>0</v>
      </c>
      <c r="U583" s="389">
        <f t="shared" si="268"/>
        <v>0</v>
      </c>
      <c r="V583" s="389" t="b">
        <f t="shared" si="269"/>
        <v>0</v>
      </c>
      <c r="W583" s="389">
        <f t="shared" si="270"/>
        <v>0</v>
      </c>
      <c r="X583" s="389">
        <f t="shared" si="271"/>
        <v>0</v>
      </c>
      <c r="Y583" s="389">
        <f t="shared" si="289"/>
        <v>1.0999999999999999E-2</v>
      </c>
      <c r="Z583" s="389">
        <f t="shared" si="272"/>
        <v>1.0999999999999999E-2</v>
      </c>
      <c r="AA583" s="389">
        <f t="shared" si="273"/>
        <v>0</v>
      </c>
      <c r="AB583" s="389">
        <f t="shared" si="274"/>
        <v>1E-4</v>
      </c>
      <c r="AC583" s="389">
        <f t="shared" si="275"/>
        <v>1E-4</v>
      </c>
      <c r="AD583" s="389">
        <f t="shared" si="276"/>
        <v>0</v>
      </c>
      <c r="AE583" s="389">
        <f t="shared" si="277"/>
        <v>0</v>
      </c>
      <c r="AG583" s="311" t="str">
        <f t="shared" si="278"/>
        <v>-</v>
      </c>
      <c r="AH583" s="453" t="str">
        <f t="shared" si="279"/>
        <v/>
      </c>
      <c r="AI583" s="453" t="str">
        <f t="shared" si="280"/>
        <v/>
      </c>
      <c r="AJ583" t="str">
        <f t="array" ref="AJ583">IF(AND(AI583&gt;1,G583&lt;&gt;""),INDEX(FS_teams,MATCH(1,(FS_Keys=AG583)*(FS_Points=I583)*(FS_teams&lt;&gt;G583),0)),"")</f>
        <v/>
      </c>
      <c r="AK583" s="390" t="str">
        <f t="array" ref="AK583">IF(AJ583&lt;&gt;"",INDEX(TM_Score1,MATCH(1,(TM_Events=D583)*(TM_Participant1=G583)*(TM_Participant2=AJ583),0)),"")</f>
        <v/>
      </c>
      <c r="AL583" s="390" t="str">
        <f t="array" ref="AL583">IF(AJ583&lt;&gt;"",INDEX(TM_Score1,MATCH(1,(TM_Events=D583)*(TM_Participant1=AJ583)*(TM_Participant2=G583),0)),"")</f>
        <v/>
      </c>
      <c r="AM583" s="389" t="str">
        <f t="array" ref="AM583">IF(ISNUMBER(AK583),INDEX(TM_Score2,MATCH(1,(TM_Events=D583)*(TM_Participant1=G583)*(TM_Participant2=AJ583),0)),"")</f>
        <v/>
      </c>
      <c r="AN583" s="389" t="str">
        <f t="array" ref="AN583">IF(ISNUMBER(AL583),INDEX(TM_Score2,MATCH(1,(TM_Events=D583)*(TM_Participant1=AJ583)*(TM_Participant2=G583),0)),"")</f>
        <v/>
      </c>
      <c r="AO583" s="389" t="str">
        <f t="shared" si="281"/>
        <v/>
      </c>
      <c r="AP583" s="389">
        <f t="shared" si="282"/>
        <v>0</v>
      </c>
      <c r="AQ583" s="389">
        <f t="shared" si="283"/>
        <v>0</v>
      </c>
      <c r="AR583" s="389">
        <f t="shared" si="284"/>
        <v>0</v>
      </c>
      <c r="AS583" s="453">
        <f t="shared" si="285"/>
        <v>0</v>
      </c>
      <c r="AT583" s="452">
        <f t="shared" si="286"/>
        <v>0</v>
      </c>
    </row>
    <row r="584" spans="2:46" ht="16" x14ac:dyDescent="0.2">
      <c r="B584"/>
      <c r="H584" s="387" t="str">
        <f t="shared" si="261"/>
        <v>0-0-0</v>
      </c>
      <c r="I584" s="389">
        <f t="shared" si="262"/>
        <v>0</v>
      </c>
      <c r="J584" s="455" t="str">
        <f t="shared" si="287"/>
        <v/>
      </c>
      <c r="K584" s="455">
        <f t="shared" si="263"/>
        <v>0</v>
      </c>
      <c r="L584" s="455">
        <f t="shared" si="288"/>
        <v>0</v>
      </c>
      <c r="M584" s="389" t="str">
        <f>IFERROR(IF(AD584&lt;=VLOOKUP(D584,Tournaments!$A$1:$B$1772,2,FALSE),"TRUE","FALSE"),"")</f>
        <v/>
      </c>
      <c r="N584" s="389">
        <v>1</v>
      </c>
      <c r="O584" s="389">
        <f t="shared" si="264"/>
        <v>0</v>
      </c>
      <c r="Q584" s="389">
        <f t="shared" si="265"/>
        <v>0</v>
      </c>
      <c r="R584" s="389">
        <f t="shared" si="266"/>
        <v>0</v>
      </c>
      <c r="S584" s="389">
        <f t="shared" si="267"/>
        <v>0</v>
      </c>
      <c r="U584" s="389">
        <f t="shared" si="268"/>
        <v>0</v>
      </c>
      <c r="V584" s="389" t="b">
        <f t="shared" si="269"/>
        <v>0</v>
      </c>
      <c r="W584" s="389">
        <f t="shared" si="270"/>
        <v>0</v>
      </c>
      <c r="X584" s="389">
        <f t="shared" si="271"/>
        <v>0</v>
      </c>
      <c r="Y584" s="389">
        <f t="shared" si="289"/>
        <v>1.0999999999999999E-2</v>
      </c>
      <c r="Z584" s="389">
        <f t="shared" si="272"/>
        <v>1.0999999999999999E-2</v>
      </c>
      <c r="AA584" s="389">
        <f t="shared" si="273"/>
        <v>0</v>
      </c>
      <c r="AB584" s="389">
        <f t="shared" si="274"/>
        <v>1E-4</v>
      </c>
      <c r="AC584" s="389">
        <f t="shared" si="275"/>
        <v>1E-4</v>
      </c>
      <c r="AD584" s="389">
        <f t="shared" si="276"/>
        <v>0</v>
      </c>
      <c r="AE584" s="389">
        <f t="shared" si="277"/>
        <v>0</v>
      </c>
      <c r="AG584" s="311" t="str">
        <f t="shared" si="278"/>
        <v>-</v>
      </c>
      <c r="AH584" s="453" t="str">
        <f t="shared" si="279"/>
        <v/>
      </c>
      <c r="AI584" s="453" t="str">
        <f t="shared" si="280"/>
        <v/>
      </c>
      <c r="AJ584" t="str">
        <f t="array" ref="AJ584">IF(AND(AI584&gt;1,G584&lt;&gt;""),INDEX(FS_teams,MATCH(1,(FS_Keys=AG584)*(FS_Points=I584)*(FS_teams&lt;&gt;G584),0)),"")</f>
        <v/>
      </c>
      <c r="AK584" s="390" t="str">
        <f t="array" ref="AK584">IF(AJ584&lt;&gt;"",INDEX(TM_Score1,MATCH(1,(TM_Events=D584)*(TM_Participant1=G584)*(TM_Participant2=AJ584),0)),"")</f>
        <v/>
      </c>
      <c r="AL584" s="390" t="str">
        <f t="array" ref="AL584">IF(AJ584&lt;&gt;"",INDEX(TM_Score1,MATCH(1,(TM_Events=D584)*(TM_Participant1=AJ584)*(TM_Participant2=G584),0)),"")</f>
        <v/>
      </c>
      <c r="AM584" s="389" t="str">
        <f t="array" ref="AM584">IF(ISNUMBER(AK584),INDEX(TM_Score2,MATCH(1,(TM_Events=D584)*(TM_Participant1=G584)*(TM_Participant2=AJ584),0)),"")</f>
        <v/>
      </c>
      <c r="AN584" s="389" t="str">
        <f t="array" ref="AN584">IF(ISNUMBER(AL584),INDEX(TM_Score2,MATCH(1,(TM_Events=D584)*(TM_Participant1=AJ584)*(TM_Participant2=G584),0)),"")</f>
        <v/>
      </c>
      <c r="AO584" s="389" t="str">
        <f t="shared" si="281"/>
        <v/>
      </c>
      <c r="AP584" s="389">
        <f t="shared" si="282"/>
        <v>0</v>
      </c>
      <c r="AQ584" s="389">
        <f t="shared" si="283"/>
        <v>0</v>
      </c>
      <c r="AR584" s="389">
        <f t="shared" si="284"/>
        <v>0</v>
      </c>
      <c r="AS584" s="453">
        <f t="shared" si="285"/>
        <v>0</v>
      </c>
      <c r="AT584" s="452">
        <f t="shared" si="286"/>
        <v>0</v>
      </c>
    </row>
    <row r="585" spans="2:46" ht="16" x14ac:dyDescent="0.2">
      <c r="B585"/>
      <c r="H585" s="387" t="str">
        <f t="shared" si="261"/>
        <v>0-0-0</v>
      </c>
      <c r="I585" s="389">
        <f t="shared" si="262"/>
        <v>0</v>
      </c>
      <c r="J585" s="455" t="str">
        <f t="shared" si="287"/>
        <v/>
      </c>
      <c r="K585" s="455">
        <f t="shared" si="263"/>
        <v>0</v>
      </c>
      <c r="L585" s="455">
        <f t="shared" si="288"/>
        <v>0</v>
      </c>
      <c r="M585" s="389" t="str">
        <f>IFERROR(IF(AD585&lt;=VLOOKUP(D585,Tournaments!$A$1:$B$1772,2,FALSE),"TRUE","FALSE"),"")</f>
        <v/>
      </c>
      <c r="N585" s="389">
        <v>1</v>
      </c>
      <c r="O585" s="389">
        <f t="shared" si="264"/>
        <v>0</v>
      </c>
      <c r="Q585" s="389">
        <f t="shared" si="265"/>
        <v>0</v>
      </c>
      <c r="R585" s="389">
        <f t="shared" si="266"/>
        <v>0</v>
      </c>
      <c r="S585" s="389">
        <f t="shared" si="267"/>
        <v>0</v>
      </c>
      <c r="U585" s="389">
        <f t="shared" si="268"/>
        <v>0</v>
      </c>
      <c r="V585" s="389" t="b">
        <f t="shared" si="269"/>
        <v>0</v>
      </c>
      <c r="W585" s="389">
        <f t="shared" si="270"/>
        <v>0</v>
      </c>
      <c r="X585" s="389">
        <f t="shared" si="271"/>
        <v>0</v>
      </c>
      <c r="Y585" s="389">
        <f t="shared" si="289"/>
        <v>1.0999999999999999E-2</v>
      </c>
      <c r="Z585" s="389">
        <f t="shared" si="272"/>
        <v>1.0999999999999999E-2</v>
      </c>
      <c r="AA585" s="389">
        <f t="shared" si="273"/>
        <v>0</v>
      </c>
      <c r="AB585" s="389">
        <f t="shared" si="274"/>
        <v>1E-4</v>
      </c>
      <c r="AC585" s="389">
        <f t="shared" si="275"/>
        <v>1E-4</v>
      </c>
      <c r="AD585" s="389">
        <f t="shared" si="276"/>
        <v>0</v>
      </c>
      <c r="AE585" s="389">
        <f t="shared" si="277"/>
        <v>0</v>
      </c>
      <c r="AG585" s="311" t="str">
        <f t="shared" si="278"/>
        <v>-</v>
      </c>
      <c r="AH585" s="453" t="str">
        <f t="shared" si="279"/>
        <v/>
      </c>
      <c r="AI585" s="453" t="str">
        <f t="shared" si="280"/>
        <v/>
      </c>
      <c r="AJ585" t="str">
        <f t="array" ref="AJ585">IF(AND(AI585&gt;1,G585&lt;&gt;""),INDEX(FS_teams,MATCH(1,(FS_Keys=AG585)*(FS_Points=I585)*(FS_teams&lt;&gt;G585),0)),"")</f>
        <v/>
      </c>
      <c r="AK585" s="390" t="str">
        <f t="array" ref="AK585">IF(AJ585&lt;&gt;"",INDEX(TM_Score1,MATCH(1,(TM_Events=D585)*(TM_Participant1=G585)*(TM_Participant2=AJ585),0)),"")</f>
        <v/>
      </c>
      <c r="AL585" s="390" t="str">
        <f t="array" ref="AL585">IF(AJ585&lt;&gt;"",INDEX(TM_Score1,MATCH(1,(TM_Events=D585)*(TM_Participant1=AJ585)*(TM_Participant2=G585),0)),"")</f>
        <v/>
      </c>
      <c r="AM585" s="389" t="str">
        <f t="array" ref="AM585">IF(ISNUMBER(AK585),INDEX(TM_Score2,MATCH(1,(TM_Events=D585)*(TM_Participant1=G585)*(TM_Participant2=AJ585),0)),"")</f>
        <v/>
      </c>
      <c r="AN585" s="389" t="str">
        <f t="array" ref="AN585">IF(ISNUMBER(AL585),INDEX(TM_Score2,MATCH(1,(TM_Events=D585)*(TM_Participant1=AJ585)*(TM_Participant2=G585),0)),"")</f>
        <v/>
      </c>
      <c r="AO585" s="389" t="str">
        <f t="shared" si="281"/>
        <v/>
      </c>
      <c r="AP585" s="389">
        <f t="shared" si="282"/>
        <v>0</v>
      </c>
      <c r="AQ585" s="389">
        <f t="shared" si="283"/>
        <v>0</v>
      </c>
      <c r="AR585" s="389">
        <f t="shared" si="284"/>
        <v>0</v>
      </c>
      <c r="AS585" s="453">
        <f t="shared" si="285"/>
        <v>0</v>
      </c>
      <c r="AT585" s="452">
        <f t="shared" si="286"/>
        <v>0</v>
      </c>
    </row>
    <row r="586" spans="2:46" ht="16" x14ac:dyDescent="0.2">
      <c r="B586"/>
      <c r="H586" s="387" t="str">
        <f t="shared" si="261"/>
        <v>0-0-0</v>
      </c>
      <c r="I586" s="389">
        <f t="shared" si="262"/>
        <v>0</v>
      </c>
      <c r="J586" s="455" t="str">
        <f t="shared" si="287"/>
        <v/>
      </c>
      <c r="K586" s="455">
        <f t="shared" si="263"/>
        <v>0</v>
      </c>
      <c r="L586" s="455">
        <f t="shared" si="288"/>
        <v>0</v>
      </c>
      <c r="M586" s="389" t="str">
        <f>IFERROR(IF(AD586&lt;=VLOOKUP(D586,Tournaments!$A$1:$B$1772,2,FALSE),"TRUE","FALSE"),"")</f>
        <v/>
      </c>
      <c r="N586" s="389">
        <v>1</v>
      </c>
      <c r="O586" s="389">
        <f t="shared" si="264"/>
        <v>0</v>
      </c>
      <c r="Q586" s="389">
        <f t="shared" si="265"/>
        <v>0</v>
      </c>
      <c r="R586" s="389">
        <f t="shared" si="266"/>
        <v>0</v>
      </c>
      <c r="S586" s="389">
        <f t="shared" si="267"/>
        <v>0</v>
      </c>
      <c r="U586" s="389">
        <f t="shared" si="268"/>
        <v>0</v>
      </c>
      <c r="V586" s="389" t="b">
        <f t="shared" si="269"/>
        <v>0</v>
      </c>
      <c r="W586" s="389">
        <f t="shared" si="270"/>
        <v>0</v>
      </c>
      <c r="X586" s="389">
        <f t="shared" si="271"/>
        <v>0</v>
      </c>
      <c r="Y586" s="389">
        <f t="shared" si="289"/>
        <v>1.0999999999999999E-2</v>
      </c>
      <c r="Z586" s="389">
        <f t="shared" si="272"/>
        <v>1.0999999999999999E-2</v>
      </c>
      <c r="AA586" s="389">
        <f t="shared" si="273"/>
        <v>0</v>
      </c>
      <c r="AB586" s="389">
        <f t="shared" si="274"/>
        <v>1E-4</v>
      </c>
      <c r="AC586" s="389">
        <f t="shared" si="275"/>
        <v>1E-4</v>
      </c>
      <c r="AD586" s="389">
        <f t="shared" si="276"/>
        <v>0</v>
      </c>
      <c r="AE586" s="389">
        <f t="shared" si="277"/>
        <v>0</v>
      </c>
      <c r="AG586" s="311" t="str">
        <f t="shared" si="278"/>
        <v>-</v>
      </c>
      <c r="AH586" s="453" t="str">
        <f t="shared" si="279"/>
        <v/>
      </c>
      <c r="AI586" s="453" t="str">
        <f t="shared" si="280"/>
        <v/>
      </c>
      <c r="AJ586" t="str">
        <f t="array" ref="AJ586">IF(AND(AI586&gt;1,G586&lt;&gt;""),INDEX(FS_teams,MATCH(1,(FS_Keys=AG586)*(FS_Points=I586)*(FS_teams&lt;&gt;G586),0)),"")</f>
        <v/>
      </c>
      <c r="AK586" s="390" t="str">
        <f t="array" ref="AK586">IF(AJ586&lt;&gt;"",INDEX(TM_Score1,MATCH(1,(TM_Events=D586)*(TM_Participant1=G586)*(TM_Participant2=AJ586),0)),"")</f>
        <v/>
      </c>
      <c r="AL586" s="390" t="str">
        <f t="array" ref="AL586">IF(AJ586&lt;&gt;"",INDEX(TM_Score1,MATCH(1,(TM_Events=D586)*(TM_Participant1=AJ586)*(TM_Participant2=G586),0)),"")</f>
        <v/>
      </c>
      <c r="AM586" s="389" t="str">
        <f t="array" ref="AM586">IF(ISNUMBER(AK586),INDEX(TM_Score2,MATCH(1,(TM_Events=D586)*(TM_Participant1=G586)*(TM_Participant2=AJ586),0)),"")</f>
        <v/>
      </c>
      <c r="AN586" s="389" t="str">
        <f t="array" ref="AN586">IF(ISNUMBER(AL586),INDEX(TM_Score2,MATCH(1,(TM_Events=D586)*(TM_Participant1=AJ586)*(TM_Participant2=G586),0)),"")</f>
        <v/>
      </c>
      <c r="AO586" s="389" t="str">
        <f t="shared" si="281"/>
        <v/>
      </c>
      <c r="AP586" s="389">
        <f t="shared" si="282"/>
        <v>0</v>
      </c>
      <c r="AQ586" s="389">
        <f t="shared" si="283"/>
        <v>0</v>
      </c>
      <c r="AR586" s="389">
        <f t="shared" si="284"/>
        <v>0</v>
      </c>
      <c r="AS586" s="453">
        <f t="shared" si="285"/>
        <v>0</v>
      </c>
      <c r="AT586" s="452">
        <f t="shared" si="286"/>
        <v>0</v>
      </c>
    </row>
    <row r="587" spans="2:46" ht="16" x14ac:dyDescent="0.2">
      <c r="B587"/>
      <c r="H587" s="387" t="str">
        <f t="shared" si="261"/>
        <v>0-0-0</v>
      </c>
      <c r="I587" s="389">
        <f t="shared" si="262"/>
        <v>0</v>
      </c>
      <c r="J587" s="455" t="str">
        <f t="shared" si="287"/>
        <v/>
      </c>
      <c r="K587" s="455">
        <f t="shared" si="263"/>
        <v>0</v>
      </c>
      <c r="L587" s="455">
        <f t="shared" si="288"/>
        <v>0</v>
      </c>
      <c r="M587" s="389" t="str">
        <f>IFERROR(IF(AD587&lt;=VLOOKUP(D587,Tournaments!$A$1:$B$1772,2,FALSE),"TRUE","FALSE"),"")</f>
        <v/>
      </c>
      <c r="N587" s="389">
        <v>1</v>
      </c>
      <c r="O587" s="389">
        <f t="shared" si="264"/>
        <v>0</v>
      </c>
      <c r="Q587" s="389">
        <f t="shared" si="265"/>
        <v>0</v>
      </c>
      <c r="R587" s="389">
        <f t="shared" si="266"/>
        <v>0</v>
      </c>
      <c r="S587" s="389">
        <f t="shared" si="267"/>
        <v>0</v>
      </c>
      <c r="U587" s="389">
        <f t="shared" si="268"/>
        <v>0</v>
      </c>
      <c r="V587" s="389" t="b">
        <f t="shared" si="269"/>
        <v>0</v>
      </c>
      <c r="W587" s="389">
        <f t="shared" si="270"/>
        <v>0</v>
      </c>
      <c r="X587" s="389">
        <f t="shared" si="271"/>
        <v>0</v>
      </c>
      <c r="Y587" s="389">
        <f t="shared" si="289"/>
        <v>1.0999999999999999E-2</v>
      </c>
      <c r="Z587" s="389">
        <f t="shared" si="272"/>
        <v>1.0999999999999999E-2</v>
      </c>
      <c r="AA587" s="389">
        <f t="shared" si="273"/>
        <v>0</v>
      </c>
      <c r="AB587" s="389">
        <f t="shared" si="274"/>
        <v>1E-4</v>
      </c>
      <c r="AC587" s="389">
        <f t="shared" si="275"/>
        <v>1E-4</v>
      </c>
      <c r="AD587" s="389">
        <f t="shared" si="276"/>
        <v>0</v>
      </c>
      <c r="AE587" s="389">
        <f t="shared" si="277"/>
        <v>0</v>
      </c>
      <c r="AG587" s="311" t="str">
        <f t="shared" si="278"/>
        <v>-</v>
      </c>
      <c r="AH587" s="453" t="str">
        <f t="shared" si="279"/>
        <v/>
      </c>
      <c r="AI587" s="453" t="str">
        <f t="shared" si="280"/>
        <v/>
      </c>
      <c r="AJ587" t="str">
        <f t="array" ref="AJ587">IF(AND(AI587&gt;1,G587&lt;&gt;""),INDEX(FS_teams,MATCH(1,(FS_Keys=AG587)*(FS_Points=I587)*(FS_teams&lt;&gt;G587),0)),"")</f>
        <v/>
      </c>
      <c r="AK587" s="390" t="str">
        <f t="array" ref="AK587">IF(AJ587&lt;&gt;"",INDEX(TM_Score1,MATCH(1,(TM_Events=D587)*(TM_Participant1=G587)*(TM_Participant2=AJ587),0)),"")</f>
        <v/>
      </c>
      <c r="AL587" s="390" t="str">
        <f t="array" ref="AL587">IF(AJ587&lt;&gt;"",INDEX(TM_Score1,MATCH(1,(TM_Events=D587)*(TM_Participant1=AJ587)*(TM_Participant2=G587),0)),"")</f>
        <v/>
      </c>
      <c r="AM587" s="389" t="str">
        <f t="array" ref="AM587">IF(ISNUMBER(AK587),INDEX(TM_Score2,MATCH(1,(TM_Events=D587)*(TM_Participant1=G587)*(TM_Participant2=AJ587),0)),"")</f>
        <v/>
      </c>
      <c r="AN587" s="389" t="str">
        <f t="array" ref="AN587">IF(ISNUMBER(AL587),INDEX(TM_Score2,MATCH(1,(TM_Events=D587)*(TM_Participant1=AJ587)*(TM_Participant2=G587),0)),"")</f>
        <v/>
      </c>
      <c r="AO587" s="389" t="str">
        <f t="shared" si="281"/>
        <v/>
      </c>
      <c r="AP587" s="389">
        <f t="shared" si="282"/>
        <v>0</v>
      </c>
      <c r="AQ587" s="389">
        <f t="shared" si="283"/>
        <v>0</v>
      </c>
      <c r="AR587" s="389">
        <f t="shared" si="284"/>
        <v>0</v>
      </c>
      <c r="AS587" s="453">
        <f t="shared" si="285"/>
        <v>0</v>
      </c>
      <c r="AT587" s="452">
        <f t="shared" si="286"/>
        <v>0</v>
      </c>
    </row>
    <row r="588" spans="2:46" ht="16" x14ac:dyDescent="0.2">
      <c r="B588"/>
      <c r="H588" s="387" t="str">
        <f t="shared" si="261"/>
        <v>0-0-0</v>
      </c>
      <c r="I588" s="389">
        <f t="shared" si="262"/>
        <v>0</v>
      </c>
      <c r="J588" s="455" t="str">
        <f t="shared" si="287"/>
        <v/>
      </c>
      <c r="K588" s="455">
        <f t="shared" si="263"/>
        <v>0</v>
      </c>
      <c r="L588" s="455">
        <f t="shared" si="288"/>
        <v>0</v>
      </c>
      <c r="M588" s="389" t="str">
        <f>IFERROR(IF(AD588&lt;=VLOOKUP(D588,Tournaments!$A$1:$B$1772,2,FALSE),"TRUE","FALSE"),"")</f>
        <v/>
      </c>
      <c r="N588" s="389">
        <v>1</v>
      </c>
      <c r="O588" s="389">
        <f t="shared" si="264"/>
        <v>0</v>
      </c>
      <c r="Q588" s="389">
        <f t="shared" si="265"/>
        <v>0</v>
      </c>
      <c r="R588" s="389">
        <f t="shared" si="266"/>
        <v>0</v>
      </c>
      <c r="S588" s="389">
        <f t="shared" si="267"/>
        <v>0</v>
      </c>
      <c r="U588" s="389">
        <f t="shared" si="268"/>
        <v>0</v>
      </c>
      <c r="V588" s="389" t="b">
        <f t="shared" si="269"/>
        <v>0</v>
      </c>
      <c r="W588" s="389">
        <f t="shared" si="270"/>
        <v>0</v>
      </c>
      <c r="X588" s="389">
        <f t="shared" si="271"/>
        <v>0</v>
      </c>
      <c r="Y588" s="389">
        <f t="shared" si="289"/>
        <v>1.0999999999999999E-2</v>
      </c>
      <c r="Z588" s="389">
        <f t="shared" si="272"/>
        <v>1.0999999999999999E-2</v>
      </c>
      <c r="AA588" s="389">
        <f t="shared" si="273"/>
        <v>0</v>
      </c>
      <c r="AB588" s="389">
        <f t="shared" si="274"/>
        <v>1E-4</v>
      </c>
      <c r="AC588" s="389">
        <f t="shared" si="275"/>
        <v>1E-4</v>
      </c>
      <c r="AD588" s="389">
        <f t="shared" si="276"/>
        <v>0</v>
      </c>
      <c r="AE588" s="389">
        <f t="shared" si="277"/>
        <v>0</v>
      </c>
      <c r="AG588" s="311" t="str">
        <f t="shared" si="278"/>
        <v>-</v>
      </c>
      <c r="AH588" s="453" t="str">
        <f t="shared" si="279"/>
        <v/>
      </c>
      <c r="AI588" s="453" t="str">
        <f t="shared" si="280"/>
        <v/>
      </c>
      <c r="AJ588" t="str">
        <f t="array" ref="AJ588">IF(AND(AI588&gt;1,G588&lt;&gt;""),INDEX(FS_teams,MATCH(1,(FS_Keys=AG588)*(FS_Points=I588)*(FS_teams&lt;&gt;G588),0)),"")</f>
        <v/>
      </c>
      <c r="AK588" s="390" t="str">
        <f t="array" ref="AK588">IF(AJ588&lt;&gt;"",INDEX(TM_Score1,MATCH(1,(TM_Events=D588)*(TM_Participant1=G588)*(TM_Participant2=AJ588),0)),"")</f>
        <v/>
      </c>
      <c r="AL588" s="390" t="str">
        <f t="array" ref="AL588">IF(AJ588&lt;&gt;"",INDEX(TM_Score1,MATCH(1,(TM_Events=D588)*(TM_Participant1=AJ588)*(TM_Participant2=G588),0)),"")</f>
        <v/>
      </c>
      <c r="AM588" s="389" t="str">
        <f t="array" ref="AM588">IF(ISNUMBER(AK588),INDEX(TM_Score2,MATCH(1,(TM_Events=D588)*(TM_Participant1=G588)*(TM_Participant2=AJ588),0)),"")</f>
        <v/>
      </c>
      <c r="AN588" s="389" t="str">
        <f t="array" ref="AN588">IF(ISNUMBER(AL588),INDEX(TM_Score2,MATCH(1,(TM_Events=D588)*(TM_Participant1=AJ588)*(TM_Participant2=G588),0)),"")</f>
        <v/>
      </c>
      <c r="AO588" s="389" t="str">
        <f t="shared" si="281"/>
        <v/>
      </c>
      <c r="AP588" s="389">
        <f t="shared" si="282"/>
        <v>0</v>
      </c>
      <c r="AQ588" s="389">
        <f t="shared" si="283"/>
        <v>0</v>
      </c>
      <c r="AR588" s="389">
        <f t="shared" si="284"/>
        <v>0</v>
      </c>
      <c r="AS588" s="453">
        <f t="shared" si="285"/>
        <v>0</v>
      </c>
      <c r="AT588" s="452">
        <f t="shared" si="286"/>
        <v>0</v>
      </c>
    </row>
    <row r="589" spans="2:46" ht="16" x14ac:dyDescent="0.2">
      <c r="B589"/>
      <c r="H589" s="387" t="str">
        <f t="shared" si="261"/>
        <v>0-0-0</v>
      </c>
      <c r="I589" s="389">
        <f t="shared" si="262"/>
        <v>0</v>
      </c>
      <c r="J589" s="455" t="str">
        <f t="shared" si="287"/>
        <v/>
      </c>
      <c r="K589" s="455">
        <f t="shared" si="263"/>
        <v>0</v>
      </c>
      <c r="L589" s="455">
        <f t="shared" si="288"/>
        <v>0</v>
      </c>
      <c r="M589" s="389" t="str">
        <f>IFERROR(IF(AD589&lt;=VLOOKUP(D589,Tournaments!$A$1:$B$1772,2,FALSE),"TRUE","FALSE"),"")</f>
        <v/>
      </c>
      <c r="N589" s="389">
        <v>1</v>
      </c>
      <c r="O589" s="389">
        <f t="shared" si="264"/>
        <v>0</v>
      </c>
      <c r="Q589" s="389">
        <f t="shared" si="265"/>
        <v>0</v>
      </c>
      <c r="R589" s="389">
        <f t="shared" si="266"/>
        <v>0</v>
      </c>
      <c r="S589" s="389">
        <f t="shared" si="267"/>
        <v>0</v>
      </c>
      <c r="U589" s="389">
        <f t="shared" si="268"/>
        <v>0</v>
      </c>
      <c r="V589" s="389" t="b">
        <f t="shared" si="269"/>
        <v>0</v>
      </c>
      <c r="W589" s="389">
        <f t="shared" si="270"/>
        <v>0</v>
      </c>
      <c r="X589" s="389">
        <f t="shared" si="271"/>
        <v>0</v>
      </c>
      <c r="Y589" s="389">
        <f t="shared" si="289"/>
        <v>1.0999999999999999E-2</v>
      </c>
      <c r="Z589" s="389">
        <f t="shared" si="272"/>
        <v>1.0999999999999999E-2</v>
      </c>
      <c r="AA589" s="389">
        <f t="shared" si="273"/>
        <v>0</v>
      </c>
      <c r="AB589" s="389">
        <f t="shared" si="274"/>
        <v>1E-4</v>
      </c>
      <c r="AC589" s="389">
        <f t="shared" si="275"/>
        <v>1E-4</v>
      </c>
      <c r="AD589" s="389">
        <f t="shared" si="276"/>
        <v>0</v>
      </c>
      <c r="AE589" s="389">
        <f t="shared" si="277"/>
        <v>0</v>
      </c>
      <c r="AG589" s="311" t="str">
        <f t="shared" si="278"/>
        <v>-</v>
      </c>
      <c r="AH589" s="453" t="str">
        <f t="shared" si="279"/>
        <v/>
      </c>
      <c r="AI589" s="453" t="str">
        <f t="shared" si="280"/>
        <v/>
      </c>
      <c r="AJ589" t="str">
        <f t="array" ref="AJ589">IF(AND(AI589&gt;1,G589&lt;&gt;""),INDEX(FS_teams,MATCH(1,(FS_Keys=AG589)*(FS_Points=I589)*(FS_teams&lt;&gt;G589),0)),"")</f>
        <v/>
      </c>
      <c r="AK589" s="390" t="str">
        <f t="array" ref="AK589">IF(AJ589&lt;&gt;"",INDEX(TM_Score1,MATCH(1,(TM_Events=D589)*(TM_Participant1=G589)*(TM_Participant2=AJ589),0)),"")</f>
        <v/>
      </c>
      <c r="AL589" s="390" t="str">
        <f t="array" ref="AL589">IF(AJ589&lt;&gt;"",INDEX(TM_Score1,MATCH(1,(TM_Events=D589)*(TM_Participant1=AJ589)*(TM_Participant2=G589),0)),"")</f>
        <v/>
      </c>
      <c r="AM589" s="389" t="str">
        <f t="array" ref="AM589">IF(ISNUMBER(AK589),INDEX(TM_Score2,MATCH(1,(TM_Events=D589)*(TM_Participant1=G589)*(TM_Participant2=AJ589),0)),"")</f>
        <v/>
      </c>
      <c r="AN589" s="389" t="str">
        <f t="array" ref="AN589">IF(ISNUMBER(AL589),INDEX(TM_Score2,MATCH(1,(TM_Events=D589)*(TM_Participant1=AJ589)*(TM_Participant2=G589),0)),"")</f>
        <v/>
      </c>
      <c r="AO589" s="389" t="str">
        <f t="shared" si="281"/>
        <v/>
      </c>
      <c r="AP589" s="389">
        <f t="shared" si="282"/>
        <v>0</v>
      </c>
      <c r="AQ589" s="389">
        <f t="shared" si="283"/>
        <v>0</v>
      </c>
      <c r="AR589" s="389">
        <f t="shared" si="284"/>
        <v>0</v>
      </c>
      <c r="AS589" s="453">
        <f t="shared" si="285"/>
        <v>0</v>
      </c>
      <c r="AT589" s="452">
        <f t="shared" si="286"/>
        <v>0</v>
      </c>
    </row>
    <row r="590" spans="2:46" ht="16" x14ac:dyDescent="0.2">
      <c r="B590"/>
      <c r="H590" s="387" t="str">
        <f t="shared" si="261"/>
        <v>0-0-0</v>
      </c>
      <c r="I590" s="389">
        <f t="shared" si="262"/>
        <v>0</v>
      </c>
      <c r="J590" s="455" t="str">
        <f t="shared" si="287"/>
        <v/>
      </c>
      <c r="K590" s="455">
        <f t="shared" si="263"/>
        <v>0</v>
      </c>
      <c r="L590" s="455">
        <f t="shared" si="288"/>
        <v>0</v>
      </c>
      <c r="M590" s="389" t="str">
        <f>IFERROR(IF(AD590&lt;=VLOOKUP(D590,Tournaments!$A$1:$B$1772,2,FALSE),"TRUE","FALSE"),"")</f>
        <v/>
      </c>
      <c r="N590" s="389">
        <v>1</v>
      </c>
      <c r="O590" s="389">
        <f t="shared" si="264"/>
        <v>0</v>
      </c>
      <c r="Q590" s="389">
        <f t="shared" si="265"/>
        <v>0</v>
      </c>
      <c r="R590" s="389">
        <f t="shared" si="266"/>
        <v>0</v>
      </c>
      <c r="S590" s="389">
        <f t="shared" si="267"/>
        <v>0</v>
      </c>
      <c r="U590" s="389">
        <f t="shared" si="268"/>
        <v>0</v>
      </c>
      <c r="V590" s="389" t="b">
        <f t="shared" si="269"/>
        <v>0</v>
      </c>
      <c r="W590" s="389">
        <f t="shared" si="270"/>
        <v>0</v>
      </c>
      <c r="X590" s="389">
        <f t="shared" si="271"/>
        <v>0</v>
      </c>
      <c r="Y590" s="389">
        <f t="shared" si="289"/>
        <v>1.0999999999999999E-2</v>
      </c>
      <c r="Z590" s="389">
        <f t="shared" si="272"/>
        <v>1.0999999999999999E-2</v>
      </c>
      <c r="AA590" s="389">
        <f t="shared" si="273"/>
        <v>0</v>
      </c>
      <c r="AB590" s="389">
        <f t="shared" si="274"/>
        <v>1E-4</v>
      </c>
      <c r="AC590" s="389">
        <f t="shared" si="275"/>
        <v>1E-4</v>
      </c>
      <c r="AD590" s="389">
        <f t="shared" si="276"/>
        <v>0</v>
      </c>
      <c r="AE590" s="389">
        <f t="shared" si="277"/>
        <v>0</v>
      </c>
      <c r="AG590" s="311" t="str">
        <f t="shared" si="278"/>
        <v>-</v>
      </c>
      <c r="AH590" s="453" t="str">
        <f t="shared" si="279"/>
        <v/>
      </c>
      <c r="AI590" s="453" t="str">
        <f t="shared" si="280"/>
        <v/>
      </c>
      <c r="AJ590" t="str">
        <f t="array" ref="AJ590">IF(AND(AI590&gt;1,G590&lt;&gt;""),INDEX(FS_teams,MATCH(1,(FS_Keys=AG590)*(FS_Points=I590)*(FS_teams&lt;&gt;G590),0)),"")</f>
        <v/>
      </c>
      <c r="AK590" s="390" t="str">
        <f t="array" ref="AK590">IF(AJ590&lt;&gt;"",INDEX(TM_Score1,MATCH(1,(TM_Events=D590)*(TM_Participant1=G590)*(TM_Participant2=AJ590),0)),"")</f>
        <v/>
      </c>
      <c r="AL590" s="390" t="str">
        <f t="array" ref="AL590">IF(AJ590&lt;&gt;"",INDEX(TM_Score1,MATCH(1,(TM_Events=D590)*(TM_Participant1=AJ590)*(TM_Participant2=G590),0)),"")</f>
        <v/>
      </c>
      <c r="AM590" s="389" t="str">
        <f t="array" ref="AM590">IF(ISNUMBER(AK590),INDEX(TM_Score2,MATCH(1,(TM_Events=D590)*(TM_Participant1=G590)*(TM_Participant2=AJ590),0)),"")</f>
        <v/>
      </c>
      <c r="AN590" s="389" t="str">
        <f t="array" ref="AN590">IF(ISNUMBER(AL590),INDEX(TM_Score2,MATCH(1,(TM_Events=D590)*(TM_Participant1=AJ590)*(TM_Participant2=G590),0)),"")</f>
        <v/>
      </c>
      <c r="AO590" s="389" t="str">
        <f t="shared" si="281"/>
        <v/>
      </c>
      <c r="AP590" s="389">
        <f t="shared" si="282"/>
        <v>0</v>
      </c>
      <c r="AQ590" s="389">
        <f t="shared" si="283"/>
        <v>0</v>
      </c>
      <c r="AR590" s="389">
        <f t="shared" si="284"/>
        <v>0</v>
      </c>
      <c r="AS590" s="453">
        <f t="shared" si="285"/>
        <v>0</v>
      </c>
      <c r="AT590" s="452">
        <f t="shared" si="286"/>
        <v>0</v>
      </c>
    </row>
    <row r="591" spans="2:46" ht="16" x14ac:dyDescent="0.2">
      <c r="B591"/>
      <c r="H591" s="387" t="str">
        <f t="shared" si="261"/>
        <v>0-0-0</v>
      </c>
      <c r="I591" s="389">
        <f t="shared" si="262"/>
        <v>0</v>
      </c>
      <c r="J591" s="455" t="str">
        <f t="shared" si="287"/>
        <v/>
      </c>
      <c r="K591" s="455">
        <f t="shared" si="263"/>
        <v>0</v>
      </c>
      <c r="L591" s="455">
        <f t="shared" si="288"/>
        <v>0</v>
      </c>
      <c r="M591" s="389" t="str">
        <f>IFERROR(IF(AD591&lt;=VLOOKUP(D591,Tournaments!$A$1:$B$1772,2,FALSE),"TRUE","FALSE"),"")</f>
        <v/>
      </c>
      <c r="N591" s="389">
        <v>1</v>
      </c>
      <c r="O591" s="389">
        <f t="shared" si="264"/>
        <v>0</v>
      </c>
      <c r="Q591" s="389">
        <f t="shared" si="265"/>
        <v>0</v>
      </c>
      <c r="R591" s="389">
        <f t="shared" si="266"/>
        <v>0</v>
      </c>
      <c r="S591" s="389">
        <f t="shared" si="267"/>
        <v>0</v>
      </c>
      <c r="U591" s="389">
        <f t="shared" si="268"/>
        <v>0</v>
      </c>
      <c r="V591" s="389" t="b">
        <f t="shared" si="269"/>
        <v>0</v>
      </c>
      <c r="W591" s="389">
        <f t="shared" si="270"/>
        <v>0</v>
      </c>
      <c r="X591" s="389">
        <f t="shared" si="271"/>
        <v>0</v>
      </c>
      <c r="Y591" s="389">
        <f t="shared" si="289"/>
        <v>1.0999999999999999E-2</v>
      </c>
      <c r="Z591" s="389">
        <f t="shared" si="272"/>
        <v>1.0999999999999999E-2</v>
      </c>
      <c r="AA591" s="389">
        <f t="shared" si="273"/>
        <v>0</v>
      </c>
      <c r="AB591" s="389">
        <f t="shared" si="274"/>
        <v>1E-4</v>
      </c>
      <c r="AC591" s="389">
        <f t="shared" si="275"/>
        <v>1E-4</v>
      </c>
      <c r="AD591" s="389">
        <f t="shared" si="276"/>
        <v>0</v>
      </c>
      <c r="AE591" s="389">
        <f t="shared" si="277"/>
        <v>0</v>
      </c>
      <c r="AG591" s="311" t="str">
        <f t="shared" si="278"/>
        <v>-</v>
      </c>
      <c r="AH591" s="453" t="str">
        <f t="shared" si="279"/>
        <v/>
      </c>
      <c r="AI591" s="453" t="str">
        <f t="shared" si="280"/>
        <v/>
      </c>
      <c r="AJ591" t="str">
        <f t="array" ref="AJ591">IF(AND(AI591&gt;1,G591&lt;&gt;""),INDEX(FS_teams,MATCH(1,(FS_Keys=AG591)*(FS_Points=I591)*(FS_teams&lt;&gt;G591),0)),"")</f>
        <v/>
      </c>
      <c r="AK591" s="390" t="str">
        <f t="array" ref="AK591">IF(AJ591&lt;&gt;"",INDEX(TM_Score1,MATCH(1,(TM_Events=D591)*(TM_Participant1=G591)*(TM_Participant2=AJ591),0)),"")</f>
        <v/>
      </c>
      <c r="AL591" s="390" t="str">
        <f t="array" ref="AL591">IF(AJ591&lt;&gt;"",INDEX(TM_Score1,MATCH(1,(TM_Events=D591)*(TM_Participant1=AJ591)*(TM_Participant2=G591),0)),"")</f>
        <v/>
      </c>
      <c r="AM591" s="389" t="str">
        <f t="array" ref="AM591">IF(ISNUMBER(AK591),INDEX(TM_Score2,MATCH(1,(TM_Events=D591)*(TM_Participant1=G591)*(TM_Participant2=AJ591),0)),"")</f>
        <v/>
      </c>
      <c r="AN591" s="389" t="str">
        <f t="array" ref="AN591">IF(ISNUMBER(AL591),INDEX(TM_Score2,MATCH(1,(TM_Events=D591)*(TM_Participant1=AJ591)*(TM_Participant2=G591),0)),"")</f>
        <v/>
      </c>
      <c r="AO591" s="389" t="str">
        <f t="shared" si="281"/>
        <v/>
      </c>
      <c r="AP591" s="389">
        <f t="shared" si="282"/>
        <v>0</v>
      </c>
      <c r="AQ591" s="389">
        <f t="shared" si="283"/>
        <v>0</v>
      </c>
      <c r="AR591" s="389">
        <f t="shared" si="284"/>
        <v>0</v>
      </c>
      <c r="AS591" s="453">
        <f t="shared" si="285"/>
        <v>0</v>
      </c>
      <c r="AT591" s="452">
        <f t="shared" si="286"/>
        <v>0</v>
      </c>
    </row>
    <row r="592" spans="2:46" ht="16" x14ac:dyDescent="0.2">
      <c r="B592"/>
      <c r="H592" s="387" t="str">
        <f t="shared" si="261"/>
        <v>0-0-0</v>
      </c>
      <c r="I592" s="389">
        <f t="shared" si="262"/>
        <v>0</v>
      </c>
      <c r="J592" s="455" t="str">
        <f t="shared" si="287"/>
        <v/>
      </c>
      <c r="K592" s="455">
        <f t="shared" si="263"/>
        <v>0</v>
      </c>
      <c r="L592" s="455">
        <f t="shared" si="288"/>
        <v>0</v>
      </c>
      <c r="M592" s="389" t="str">
        <f>IFERROR(IF(AD592&lt;=VLOOKUP(D592,Tournaments!$A$1:$B$1772,2,FALSE),"TRUE","FALSE"),"")</f>
        <v/>
      </c>
      <c r="N592" s="389">
        <v>1</v>
      </c>
      <c r="O592" s="389">
        <f t="shared" si="264"/>
        <v>0</v>
      </c>
      <c r="Q592" s="389">
        <f t="shared" si="265"/>
        <v>0</v>
      </c>
      <c r="R592" s="389">
        <f t="shared" si="266"/>
        <v>0</v>
      </c>
      <c r="S592" s="389">
        <f t="shared" si="267"/>
        <v>0</v>
      </c>
      <c r="U592" s="389">
        <f t="shared" si="268"/>
        <v>0</v>
      </c>
      <c r="V592" s="389" t="b">
        <f t="shared" si="269"/>
        <v>0</v>
      </c>
      <c r="W592" s="389">
        <f t="shared" si="270"/>
        <v>0</v>
      </c>
      <c r="X592" s="389">
        <f t="shared" si="271"/>
        <v>0</v>
      </c>
      <c r="Y592" s="389">
        <f t="shared" si="289"/>
        <v>1.0999999999999999E-2</v>
      </c>
      <c r="Z592" s="389">
        <f t="shared" si="272"/>
        <v>1.0999999999999999E-2</v>
      </c>
      <c r="AA592" s="389">
        <f t="shared" si="273"/>
        <v>0</v>
      </c>
      <c r="AB592" s="389">
        <f t="shared" si="274"/>
        <v>1E-4</v>
      </c>
      <c r="AC592" s="389">
        <f t="shared" si="275"/>
        <v>1E-4</v>
      </c>
      <c r="AD592" s="389">
        <f t="shared" si="276"/>
        <v>0</v>
      </c>
      <c r="AE592" s="389">
        <f t="shared" si="277"/>
        <v>0</v>
      </c>
      <c r="AG592" s="311" t="str">
        <f t="shared" si="278"/>
        <v>-</v>
      </c>
      <c r="AH592" s="453" t="str">
        <f t="shared" si="279"/>
        <v/>
      </c>
      <c r="AI592" s="453" t="str">
        <f t="shared" si="280"/>
        <v/>
      </c>
      <c r="AJ592" t="str">
        <f t="array" ref="AJ592">IF(AND(AI592&gt;1,G592&lt;&gt;""),INDEX(FS_teams,MATCH(1,(FS_Keys=AG592)*(FS_Points=I592)*(FS_teams&lt;&gt;G592),0)),"")</f>
        <v/>
      </c>
      <c r="AK592" s="390" t="str">
        <f t="array" ref="AK592">IF(AJ592&lt;&gt;"",INDEX(TM_Score1,MATCH(1,(TM_Events=D592)*(TM_Participant1=G592)*(TM_Participant2=AJ592),0)),"")</f>
        <v/>
      </c>
      <c r="AL592" s="390" t="str">
        <f t="array" ref="AL592">IF(AJ592&lt;&gt;"",INDEX(TM_Score1,MATCH(1,(TM_Events=D592)*(TM_Participant1=AJ592)*(TM_Participant2=G592),0)),"")</f>
        <v/>
      </c>
      <c r="AM592" s="389" t="str">
        <f t="array" ref="AM592">IF(ISNUMBER(AK592),INDEX(TM_Score2,MATCH(1,(TM_Events=D592)*(TM_Participant1=G592)*(TM_Participant2=AJ592),0)),"")</f>
        <v/>
      </c>
      <c r="AN592" s="389" t="str">
        <f t="array" ref="AN592">IF(ISNUMBER(AL592),INDEX(TM_Score2,MATCH(1,(TM_Events=D592)*(TM_Participant1=AJ592)*(TM_Participant2=G592),0)),"")</f>
        <v/>
      </c>
      <c r="AO592" s="389" t="str">
        <f t="shared" si="281"/>
        <v/>
      </c>
      <c r="AP592" s="389">
        <f t="shared" si="282"/>
        <v>0</v>
      </c>
      <c r="AQ592" s="389">
        <f t="shared" si="283"/>
        <v>0</v>
      </c>
      <c r="AR592" s="389">
        <f t="shared" si="284"/>
        <v>0</v>
      </c>
      <c r="AS592" s="453">
        <f t="shared" si="285"/>
        <v>0</v>
      </c>
      <c r="AT592" s="452">
        <f t="shared" si="286"/>
        <v>0</v>
      </c>
    </row>
    <row r="593" spans="2:46" ht="16" x14ac:dyDescent="0.2">
      <c r="B593"/>
      <c r="H593" s="387" t="str">
        <f t="shared" si="261"/>
        <v>0-0-0</v>
      </c>
      <c r="I593" s="389">
        <f t="shared" si="262"/>
        <v>0</v>
      </c>
      <c r="J593" s="455" t="str">
        <f t="shared" si="287"/>
        <v/>
      </c>
      <c r="K593" s="455">
        <f t="shared" si="263"/>
        <v>0</v>
      </c>
      <c r="L593" s="455">
        <f t="shared" si="288"/>
        <v>0</v>
      </c>
      <c r="M593" s="389" t="str">
        <f>IFERROR(IF(AD593&lt;=VLOOKUP(D593,Tournaments!$A$1:$B$1772,2,FALSE),"TRUE","FALSE"),"")</f>
        <v/>
      </c>
      <c r="N593" s="389">
        <v>1</v>
      </c>
      <c r="O593" s="389">
        <f t="shared" si="264"/>
        <v>0</v>
      </c>
      <c r="Q593" s="389">
        <f t="shared" si="265"/>
        <v>0</v>
      </c>
      <c r="R593" s="389">
        <f t="shared" si="266"/>
        <v>0</v>
      </c>
      <c r="S593" s="389">
        <f t="shared" si="267"/>
        <v>0</v>
      </c>
      <c r="U593" s="389">
        <f t="shared" si="268"/>
        <v>0</v>
      </c>
      <c r="V593" s="389" t="b">
        <f t="shared" si="269"/>
        <v>0</v>
      </c>
      <c r="W593" s="389">
        <f t="shared" si="270"/>
        <v>0</v>
      </c>
      <c r="X593" s="389">
        <f t="shared" si="271"/>
        <v>0</v>
      </c>
      <c r="Y593" s="389">
        <f t="shared" si="289"/>
        <v>1.0999999999999999E-2</v>
      </c>
      <c r="Z593" s="389">
        <f t="shared" si="272"/>
        <v>1.0999999999999999E-2</v>
      </c>
      <c r="AA593" s="389">
        <f t="shared" si="273"/>
        <v>0</v>
      </c>
      <c r="AB593" s="389">
        <f t="shared" si="274"/>
        <v>1E-4</v>
      </c>
      <c r="AC593" s="389">
        <f t="shared" si="275"/>
        <v>1E-4</v>
      </c>
      <c r="AD593" s="389">
        <f t="shared" si="276"/>
        <v>0</v>
      </c>
      <c r="AE593" s="389">
        <f t="shared" si="277"/>
        <v>0</v>
      </c>
      <c r="AG593" s="311" t="str">
        <f t="shared" si="278"/>
        <v>-</v>
      </c>
      <c r="AH593" s="453" t="str">
        <f t="shared" si="279"/>
        <v/>
      </c>
      <c r="AI593" s="453" t="str">
        <f t="shared" si="280"/>
        <v/>
      </c>
      <c r="AJ593" t="str">
        <f t="array" ref="AJ593">IF(AND(AI593&gt;1,G593&lt;&gt;""),INDEX(FS_teams,MATCH(1,(FS_Keys=AG593)*(FS_Points=I593)*(FS_teams&lt;&gt;G593),0)),"")</f>
        <v/>
      </c>
      <c r="AK593" s="390" t="str">
        <f t="array" ref="AK593">IF(AJ593&lt;&gt;"",INDEX(TM_Score1,MATCH(1,(TM_Events=D593)*(TM_Participant1=G593)*(TM_Participant2=AJ593),0)),"")</f>
        <v/>
      </c>
      <c r="AL593" s="390" t="str">
        <f t="array" ref="AL593">IF(AJ593&lt;&gt;"",INDEX(TM_Score1,MATCH(1,(TM_Events=D593)*(TM_Participant1=AJ593)*(TM_Participant2=G593),0)),"")</f>
        <v/>
      </c>
      <c r="AM593" s="389" t="str">
        <f t="array" ref="AM593">IF(ISNUMBER(AK593),INDEX(TM_Score2,MATCH(1,(TM_Events=D593)*(TM_Participant1=G593)*(TM_Participant2=AJ593),0)),"")</f>
        <v/>
      </c>
      <c r="AN593" s="389" t="str">
        <f t="array" ref="AN593">IF(ISNUMBER(AL593),INDEX(TM_Score2,MATCH(1,(TM_Events=D593)*(TM_Participant1=AJ593)*(TM_Participant2=G593),0)),"")</f>
        <v/>
      </c>
      <c r="AO593" s="389" t="str">
        <f t="shared" si="281"/>
        <v/>
      </c>
      <c r="AP593" s="389">
        <f t="shared" si="282"/>
        <v>0</v>
      </c>
      <c r="AQ593" s="389">
        <f t="shared" si="283"/>
        <v>0</v>
      </c>
      <c r="AR593" s="389">
        <f t="shared" si="284"/>
        <v>0</v>
      </c>
      <c r="AS593" s="453">
        <f t="shared" si="285"/>
        <v>0</v>
      </c>
      <c r="AT593" s="452">
        <f t="shared" si="286"/>
        <v>0</v>
      </c>
    </row>
    <row r="594" spans="2:46" ht="16" x14ac:dyDescent="0.2">
      <c r="B594"/>
      <c r="H594" s="387" t="str">
        <f t="shared" si="261"/>
        <v>0-0-0</v>
      </c>
      <c r="I594" s="389">
        <f t="shared" si="262"/>
        <v>0</v>
      </c>
      <c r="J594" s="455" t="str">
        <f t="shared" si="287"/>
        <v/>
      </c>
      <c r="K594" s="455">
        <f t="shared" si="263"/>
        <v>0</v>
      </c>
      <c r="L594" s="455">
        <f t="shared" si="288"/>
        <v>0</v>
      </c>
      <c r="M594" s="389" t="str">
        <f>IFERROR(IF(AD594&lt;=VLOOKUP(D594,Tournaments!$A$1:$B$1772,2,FALSE),"TRUE","FALSE"),"")</f>
        <v/>
      </c>
      <c r="N594" s="389">
        <v>1</v>
      </c>
      <c r="O594" s="389">
        <f t="shared" si="264"/>
        <v>0</v>
      </c>
      <c r="Q594" s="389">
        <f t="shared" si="265"/>
        <v>0</v>
      </c>
      <c r="R594" s="389">
        <f t="shared" si="266"/>
        <v>0</v>
      </c>
      <c r="S594" s="389">
        <f t="shared" si="267"/>
        <v>0</v>
      </c>
      <c r="U594" s="389">
        <f t="shared" si="268"/>
        <v>0</v>
      </c>
      <c r="V594" s="389" t="b">
        <f t="shared" si="269"/>
        <v>0</v>
      </c>
      <c r="W594" s="389">
        <f t="shared" si="270"/>
        <v>0</v>
      </c>
      <c r="X594" s="389">
        <f t="shared" si="271"/>
        <v>0</v>
      </c>
      <c r="Y594" s="389">
        <f t="shared" si="289"/>
        <v>1.0999999999999999E-2</v>
      </c>
      <c r="Z594" s="389">
        <f t="shared" si="272"/>
        <v>1.0999999999999999E-2</v>
      </c>
      <c r="AA594" s="389">
        <f t="shared" si="273"/>
        <v>0</v>
      </c>
      <c r="AB594" s="389">
        <f t="shared" si="274"/>
        <v>1E-4</v>
      </c>
      <c r="AC594" s="389">
        <f t="shared" si="275"/>
        <v>1E-4</v>
      </c>
      <c r="AD594" s="389">
        <f t="shared" si="276"/>
        <v>0</v>
      </c>
      <c r="AE594" s="389">
        <f t="shared" si="277"/>
        <v>0</v>
      </c>
      <c r="AG594" s="311" t="str">
        <f t="shared" si="278"/>
        <v>-</v>
      </c>
      <c r="AH594" s="453" t="str">
        <f t="shared" si="279"/>
        <v/>
      </c>
      <c r="AI594" s="453" t="str">
        <f t="shared" si="280"/>
        <v/>
      </c>
      <c r="AJ594" t="str">
        <f t="array" ref="AJ594">IF(AND(AI594&gt;1,G594&lt;&gt;""),INDEX(FS_teams,MATCH(1,(FS_Keys=AG594)*(FS_Points=I594)*(FS_teams&lt;&gt;G594),0)),"")</f>
        <v/>
      </c>
      <c r="AK594" s="390" t="str">
        <f t="array" ref="AK594">IF(AJ594&lt;&gt;"",INDEX(TM_Score1,MATCH(1,(TM_Events=D594)*(TM_Participant1=G594)*(TM_Participant2=AJ594),0)),"")</f>
        <v/>
      </c>
      <c r="AL594" s="390" t="str">
        <f t="array" ref="AL594">IF(AJ594&lt;&gt;"",INDEX(TM_Score1,MATCH(1,(TM_Events=D594)*(TM_Participant1=AJ594)*(TM_Participant2=G594),0)),"")</f>
        <v/>
      </c>
      <c r="AM594" s="389" t="str">
        <f t="array" ref="AM594">IF(ISNUMBER(AK594),INDEX(TM_Score2,MATCH(1,(TM_Events=D594)*(TM_Participant1=G594)*(TM_Participant2=AJ594),0)),"")</f>
        <v/>
      </c>
      <c r="AN594" s="389" t="str">
        <f t="array" ref="AN594">IF(ISNUMBER(AL594),INDEX(TM_Score2,MATCH(1,(TM_Events=D594)*(TM_Participant1=AJ594)*(TM_Participant2=G594),0)),"")</f>
        <v/>
      </c>
      <c r="AO594" s="389" t="str">
        <f t="shared" si="281"/>
        <v/>
      </c>
      <c r="AP594" s="389">
        <f t="shared" si="282"/>
        <v>0</v>
      </c>
      <c r="AQ594" s="389">
        <f t="shared" si="283"/>
        <v>0</v>
      </c>
      <c r="AR594" s="389">
        <f t="shared" si="284"/>
        <v>0</v>
      </c>
      <c r="AS594" s="453">
        <f t="shared" si="285"/>
        <v>0</v>
      </c>
      <c r="AT594" s="452">
        <f t="shared" si="286"/>
        <v>0</v>
      </c>
    </row>
    <row r="595" spans="2:46" ht="16" x14ac:dyDescent="0.2">
      <c r="B595"/>
      <c r="H595" s="387" t="str">
        <f t="shared" si="261"/>
        <v>0-0-0</v>
      </c>
      <c r="I595" s="389">
        <f t="shared" si="262"/>
        <v>0</v>
      </c>
      <c r="J595" s="455" t="str">
        <f t="shared" si="287"/>
        <v/>
      </c>
      <c r="K595" s="455">
        <f t="shared" si="263"/>
        <v>0</v>
      </c>
      <c r="L595" s="455">
        <f t="shared" si="288"/>
        <v>0</v>
      </c>
      <c r="M595" s="389" t="str">
        <f>IFERROR(IF(AD595&lt;=VLOOKUP(D595,Tournaments!$A$1:$B$1772,2,FALSE),"TRUE","FALSE"),"")</f>
        <v/>
      </c>
      <c r="N595" s="389">
        <v>1</v>
      </c>
      <c r="O595" s="389">
        <f t="shared" si="264"/>
        <v>0</v>
      </c>
      <c r="Q595" s="389">
        <f t="shared" si="265"/>
        <v>0</v>
      </c>
      <c r="R595" s="389">
        <f t="shared" si="266"/>
        <v>0</v>
      </c>
      <c r="S595" s="389">
        <f t="shared" si="267"/>
        <v>0</v>
      </c>
      <c r="U595" s="389">
        <f t="shared" si="268"/>
        <v>0</v>
      </c>
      <c r="V595" s="389" t="b">
        <f t="shared" si="269"/>
        <v>0</v>
      </c>
      <c r="W595" s="389">
        <f t="shared" si="270"/>
        <v>0</v>
      </c>
      <c r="X595" s="389">
        <f t="shared" si="271"/>
        <v>0</v>
      </c>
      <c r="Y595" s="389">
        <f t="shared" si="289"/>
        <v>1.0999999999999999E-2</v>
      </c>
      <c r="Z595" s="389">
        <f t="shared" si="272"/>
        <v>1.0999999999999999E-2</v>
      </c>
      <c r="AA595" s="389">
        <f t="shared" si="273"/>
        <v>0</v>
      </c>
      <c r="AB595" s="389">
        <f t="shared" si="274"/>
        <v>1E-4</v>
      </c>
      <c r="AC595" s="389">
        <f t="shared" si="275"/>
        <v>1E-4</v>
      </c>
      <c r="AD595" s="389">
        <f t="shared" si="276"/>
        <v>0</v>
      </c>
      <c r="AE595" s="389">
        <f t="shared" si="277"/>
        <v>0</v>
      </c>
      <c r="AG595" s="311" t="str">
        <f t="shared" si="278"/>
        <v>-</v>
      </c>
      <c r="AH595" s="453" t="str">
        <f t="shared" si="279"/>
        <v/>
      </c>
      <c r="AI595" s="453" t="str">
        <f t="shared" si="280"/>
        <v/>
      </c>
      <c r="AJ595" t="str">
        <f t="array" ref="AJ595">IF(AND(AI595&gt;1,G595&lt;&gt;""),INDEX(FS_teams,MATCH(1,(FS_Keys=AG595)*(FS_Points=I595)*(FS_teams&lt;&gt;G595),0)),"")</f>
        <v/>
      </c>
      <c r="AK595" s="390" t="str">
        <f t="array" ref="AK595">IF(AJ595&lt;&gt;"",INDEX(TM_Score1,MATCH(1,(TM_Events=D595)*(TM_Participant1=G595)*(TM_Participant2=AJ595),0)),"")</f>
        <v/>
      </c>
      <c r="AL595" s="390" t="str">
        <f t="array" ref="AL595">IF(AJ595&lt;&gt;"",INDEX(TM_Score1,MATCH(1,(TM_Events=D595)*(TM_Participant1=AJ595)*(TM_Participant2=G595),0)),"")</f>
        <v/>
      </c>
      <c r="AM595" s="389" t="str">
        <f t="array" ref="AM595">IF(ISNUMBER(AK595),INDEX(TM_Score2,MATCH(1,(TM_Events=D595)*(TM_Participant1=G595)*(TM_Participant2=AJ595),0)),"")</f>
        <v/>
      </c>
      <c r="AN595" s="389" t="str">
        <f t="array" ref="AN595">IF(ISNUMBER(AL595),INDEX(TM_Score2,MATCH(1,(TM_Events=D595)*(TM_Participant1=AJ595)*(TM_Participant2=G595),0)),"")</f>
        <v/>
      </c>
      <c r="AO595" s="389" t="str">
        <f t="shared" si="281"/>
        <v/>
      </c>
      <c r="AP595" s="389">
        <f t="shared" si="282"/>
        <v>0</v>
      </c>
      <c r="AQ595" s="389">
        <f t="shared" si="283"/>
        <v>0</v>
      </c>
      <c r="AR595" s="389">
        <f t="shared" si="284"/>
        <v>0</v>
      </c>
      <c r="AS595" s="453">
        <f t="shared" si="285"/>
        <v>0</v>
      </c>
      <c r="AT595" s="452">
        <f t="shared" si="286"/>
        <v>0</v>
      </c>
    </row>
    <row r="596" spans="2:46" ht="16" x14ac:dyDescent="0.2">
      <c r="B596"/>
      <c r="H596" s="387" t="str">
        <f t="shared" si="261"/>
        <v>0-0-0</v>
      </c>
      <c r="I596" s="389">
        <f t="shared" si="262"/>
        <v>0</v>
      </c>
      <c r="J596" s="455" t="str">
        <f t="shared" si="287"/>
        <v/>
      </c>
      <c r="K596" s="455">
        <f t="shared" si="263"/>
        <v>0</v>
      </c>
      <c r="L596" s="455">
        <f t="shared" si="288"/>
        <v>0</v>
      </c>
      <c r="M596" s="389" t="str">
        <f>IFERROR(IF(AD596&lt;=VLOOKUP(D596,Tournaments!$A$1:$B$1772,2,FALSE),"TRUE","FALSE"),"")</f>
        <v/>
      </c>
      <c r="N596" s="389">
        <v>1</v>
      </c>
      <c r="O596" s="389">
        <f t="shared" si="264"/>
        <v>0</v>
      </c>
      <c r="Q596" s="389">
        <f t="shared" si="265"/>
        <v>0</v>
      </c>
      <c r="R596" s="389">
        <f t="shared" si="266"/>
        <v>0</v>
      </c>
      <c r="S596" s="389">
        <f t="shared" si="267"/>
        <v>0</v>
      </c>
      <c r="U596" s="389">
        <f t="shared" si="268"/>
        <v>0</v>
      </c>
      <c r="V596" s="389" t="b">
        <f t="shared" si="269"/>
        <v>0</v>
      </c>
      <c r="W596" s="389">
        <f t="shared" si="270"/>
        <v>0</v>
      </c>
      <c r="X596" s="389">
        <f t="shared" si="271"/>
        <v>0</v>
      </c>
      <c r="Y596" s="389">
        <f t="shared" si="289"/>
        <v>1.0999999999999999E-2</v>
      </c>
      <c r="Z596" s="389">
        <f t="shared" si="272"/>
        <v>1.0999999999999999E-2</v>
      </c>
      <c r="AA596" s="389">
        <f t="shared" si="273"/>
        <v>0</v>
      </c>
      <c r="AB596" s="389">
        <f t="shared" si="274"/>
        <v>1E-4</v>
      </c>
      <c r="AC596" s="389">
        <f t="shared" si="275"/>
        <v>1E-4</v>
      </c>
      <c r="AD596" s="389">
        <f t="shared" si="276"/>
        <v>0</v>
      </c>
      <c r="AE596" s="389">
        <f t="shared" si="277"/>
        <v>0</v>
      </c>
      <c r="AG596" s="311" t="str">
        <f t="shared" si="278"/>
        <v>-</v>
      </c>
      <c r="AH596" s="453" t="str">
        <f t="shared" si="279"/>
        <v/>
      </c>
      <c r="AI596" s="453" t="str">
        <f t="shared" si="280"/>
        <v/>
      </c>
      <c r="AJ596" t="str">
        <f t="array" ref="AJ596">IF(AND(AI596&gt;1,G596&lt;&gt;""),INDEX(FS_teams,MATCH(1,(FS_Keys=AG596)*(FS_Points=I596)*(FS_teams&lt;&gt;G596),0)),"")</f>
        <v/>
      </c>
      <c r="AK596" s="390" t="str">
        <f t="array" ref="AK596">IF(AJ596&lt;&gt;"",INDEX(TM_Score1,MATCH(1,(TM_Events=D596)*(TM_Participant1=G596)*(TM_Participant2=AJ596),0)),"")</f>
        <v/>
      </c>
      <c r="AL596" s="390" t="str">
        <f t="array" ref="AL596">IF(AJ596&lt;&gt;"",INDEX(TM_Score1,MATCH(1,(TM_Events=D596)*(TM_Participant1=AJ596)*(TM_Participant2=G596),0)),"")</f>
        <v/>
      </c>
      <c r="AM596" s="389" t="str">
        <f t="array" ref="AM596">IF(ISNUMBER(AK596),INDEX(TM_Score2,MATCH(1,(TM_Events=D596)*(TM_Participant1=G596)*(TM_Participant2=AJ596),0)),"")</f>
        <v/>
      </c>
      <c r="AN596" s="389" t="str">
        <f t="array" ref="AN596">IF(ISNUMBER(AL596),INDEX(TM_Score2,MATCH(1,(TM_Events=D596)*(TM_Participant1=AJ596)*(TM_Participant2=G596),0)),"")</f>
        <v/>
      </c>
      <c r="AO596" s="389" t="str">
        <f t="shared" si="281"/>
        <v/>
      </c>
      <c r="AP596" s="389">
        <f t="shared" si="282"/>
        <v>0</v>
      </c>
      <c r="AQ596" s="389">
        <f t="shared" si="283"/>
        <v>0</v>
      </c>
      <c r="AR596" s="389">
        <f t="shared" si="284"/>
        <v>0</v>
      </c>
      <c r="AS596" s="453">
        <f t="shared" si="285"/>
        <v>0</v>
      </c>
      <c r="AT596" s="452">
        <f t="shared" si="286"/>
        <v>0</v>
      </c>
    </row>
    <row r="597" spans="2:46" ht="16" x14ac:dyDescent="0.2">
      <c r="B597"/>
      <c r="H597" s="387" t="str">
        <f t="shared" si="261"/>
        <v>0-0-0</v>
      </c>
      <c r="I597" s="389">
        <f t="shared" si="262"/>
        <v>0</v>
      </c>
      <c r="J597" s="455" t="str">
        <f t="shared" si="287"/>
        <v/>
      </c>
      <c r="K597" s="455">
        <f t="shared" si="263"/>
        <v>0</v>
      </c>
      <c r="L597" s="455">
        <f t="shared" si="288"/>
        <v>0</v>
      </c>
      <c r="M597" s="389" t="str">
        <f>IFERROR(IF(AD597&lt;=VLOOKUP(D597,Tournaments!$A$1:$B$1772,2,FALSE),"TRUE","FALSE"),"")</f>
        <v/>
      </c>
      <c r="N597" s="389">
        <v>1</v>
      </c>
      <c r="O597" s="389">
        <f t="shared" si="264"/>
        <v>0</v>
      </c>
      <c r="Q597" s="389">
        <f t="shared" si="265"/>
        <v>0</v>
      </c>
      <c r="R597" s="389">
        <f t="shared" si="266"/>
        <v>0</v>
      </c>
      <c r="S597" s="389">
        <f t="shared" si="267"/>
        <v>0</v>
      </c>
      <c r="U597" s="389">
        <f t="shared" si="268"/>
        <v>0</v>
      </c>
      <c r="V597" s="389" t="b">
        <f t="shared" si="269"/>
        <v>0</v>
      </c>
      <c r="W597" s="389">
        <f t="shared" si="270"/>
        <v>0</v>
      </c>
      <c r="X597" s="389">
        <f t="shared" si="271"/>
        <v>0</v>
      </c>
      <c r="Y597" s="389">
        <f t="shared" si="289"/>
        <v>1.0999999999999999E-2</v>
      </c>
      <c r="Z597" s="389">
        <f t="shared" si="272"/>
        <v>1.0999999999999999E-2</v>
      </c>
      <c r="AA597" s="389">
        <f t="shared" si="273"/>
        <v>0</v>
      </c>
      <c r="AB597" s="389">
        <f t="shared" si="274"/>
        <v>1E-4</v>
      </c>
      <c r="AC597" s="389">
        <f t="shared" si="275"/>
        <v>1E-4</v>
      </c>
      <c r="AD597" s="389">
        <f t="shared" si="276"/>
        <v>0</v>
      </c>
      <c r="AE597" s="389">
        <f t="shared" si="277"/>
        <v>0</v>
      </c>
      <c r="AG597" s="311" t="str">
        <f t="shared" si="278"/>
        <v>-</v>
      </c>
      <c r="AH597" s="453" t="str">
        <f t="shared" si="279"/>
        <v/>
      </c>
      <c r="AI597" s="453" t="str">
        <f t="shared" si="280"/>
        <v/>
      </c>
      <c r="AJ597" t="str">
        <f t="array" ref="AJ597">IF(AND(AI597&gt;1,G597&lt;&gt;""),INDEX(FS_teams,MATCH(1,(FS_Keys=AG597)*(FS_Points=I597)*(FS_teams&lt;&gt;G597),0)),"")</f>
        <v/>
      </c>
      <c r="AK597" s="390" t="str">
        <f t="array" ref="AK597">IF(AJ597&lt;&gt;"",INDEX(TM_Score1,MATCH(1,(TM_Events=D597)*(TM_Participant1=G597)*(TM_Participant2=AJ597),0)),"")</f>
        <v/>
      </c>
      <c r="AL597" s="390" t="str">
        <f t="array" ref="AL597">IF(AJ597&lt;&gt;"",INDEX(TM_Score1,MATCH(1,(TM_Events=D597)*(TM_Participant1=AJ597)*(TM_Participant2=G597),0)),"")</f>
        <v/>
      </c>
      <c r="AM597" s="389" t="str">
        <f t="array" ref="AM597">IF(ISNUMBER(AK597),INDEX(TM_Score2,MATCH(1,(TM_Events=D597)*(TM_Participant1=G597)*(TM_Participant2=AJ597),0)),"")</f>
        <v/>
      </c>
      <c r="AN597" s="389" t="str">
        <f t="array" ref="AN597">IF(ISNUMBER(AL597),INDEX(TM_Score2,MATCH(1,(TM_Events=D597)*(TM_Participant1=AJ597)*(TM_Participant2=G597),0)),"")</f>
        <v/>
      </c>
      <c r="AO597" s="389" t="str">
        <f t="shared" si="281"/>
        <v/>
      </c>
      <c r="AP597" s="389">
        <f t="shared" si="282"/>
        <v>0</v>
      </c>
      <c r="AQ597" s="389">
        <f t="shared" si="283"/>
        <v>0</v>
      </c>
      <c r="AR597" s="389">
        <f t="shared" si="284"/>
        <v>0</v>
      </c>
      <c r="AS597" s="453">
        <f t="shared" si="285"/>
        <v>0</v>
      </c>
      <c r="AT597" s="452">
        <f t="shared" si="286"/>
        <v>0</v>
      </c>
    </row>
    <row r="598" spans="2:46" ht="16" x14ac:dyDescent="0.2">
      <c r="B598"/>
      <c r="H598" s="387" t="str">
        <f t="shared" si="261"/>
        <v>0-0-0</v>
      </c>
      <c r="I598" s="389">
        <f t="shared" si="262"/>
        <v>0</v>
      </c>
      <c r="J598" s="455" t="str">
        <f t="shared" si="287"/>
        <v/>
      </c>
      <c r="K598" s="455">
        <f t="shared" si="263"/>
        <v>0</v>
      </c>
      <c r="L598" s="455">
        <f t="shared" si="288"/>
        <v>0</v>
      </c>
      <c r="M598" s="389" t="str">
        <f>IFERROR(IF(AD598&lt;=VLOOKUP(D598,Tournaments!$A$1:$B$1772,2,FALSE),"TRUE","FALSE"),"")</f>
        <v/>
      </c>
      <c r="N598" s="389">
        <v>1</v>
      </c>
      <c r="O598" s="389">
        <f t="shared" si="264"/>
        <v>0</v>
      </c>
      <c r="Q598" s="389">
        <f t="shared" si="265"/>
        <v>0</v>
      </c>
      <c r="R598" s="389">
        <f t="shared" si="266"/>
        <v>0</v>
      </c>
      <c r="S598" s="389">
        <f t="shared" si="267"/>
        <v>0</v>
      </c>
      <c r="U598" s="389">
        <f t="shared" si="268"/>
        <v>0</v>
      </c>
      <c r="V598" s="389" t="b">
        <f t="shared" si="269"/>
        <v>0</v>
      </c>
      <c r="W598" s="389">
        <f t="shared" si="270"/>
        <v>0</v>
      </c>
      <c r="X598" s="389">
        <f t="shared" si="271"/>
        <v>0</v>
      </c>
      <c r="Y598" s="389">
        <f t="shared" si="289"/>
        <v>1.0999999999999999E-2</v>
      </c>
      <c r="Z598" s="389">
        <f t="shared" si="272"/>
        <v>1.0999999999999999E-2</v>
      </c>
      <c r="AA598" s="389">
        <f t="shared" si="273"/>
        <v>0</v>
      </c>
      <c r="AB598" s="389">
        <f t="shared" si="274"/>
        <v>1E-4</v>
      </c>
      <c r="AC598" s="389">
        <f t="shared" si="275"/>
        <v>1E-4</v>
      </c>
      <c r="AD598" s="389">
        <f t="shared" si="276"/>
        <v>0</v>
      </c>
      <c r="AE598" s="389">
        <f t="shared" si="277"/>
        <v>0</v>
      </c>
      <c r="AG598" s="311" t="str">
        <f t="shared" si="278"/>
        <v>-</v>
      </c>
      <c r="AH598" s="453" t="str">
        <f t="shared" si="279"/>
        <v/>
      </c>
      <c r="AI598" s="453" t="str">
        <f t="shared" si="280"/>
        <v/>
      </c>
      <c r="AJ598" t="str">
        <f t="array" ref="AJ598">IF(AND(AI598&gt;1,G598&lt;&gt;""),INDEX(FS_teams,MATCH(1,(FS_Keys=AG598)*(FS_Points=I598)*(FS_teams&lt;&gt;G598),0)),"")</f>
        <v/>
      </c>
      <c r="AK598" s="390" t="str">
        <f t="array" ref="AK598">IF(AJ598&lt;&gt;"",INDEX(TM_Score1,MATCH(1,(TM_Events=D598)*(TM_Participant1=G598)*(TM_Participant2=AJ598),0)),"")</f>
        <v/>
      </c>
      <c r="AL598" s="390" t="str">
        <f t="array" ref="AL598">IF(AJ598&lt;&gt;"",INDEX(TM_Score1,MATCH(1,(TM_Events=D598)*(TM_Participant1=AJ598)*(TM_Participant2=G598),0)),"")</f>
        <v/>
      </c>
      <c r="AM598" s="389" t="str">
        <f t="array" ref="AM598">IF(ISNUMBER(AK598),INDEX(TM_Score2,MATCH(1,(TM_Events=D598)*(TM_Participant1=G598)*(TM_Participant2=AJ598),0)),"")</f>
        <v/>
      </c>
      <c r="AN598" s="389" t="str">
        <f t="array" ref="AN598">IF(ISNUMBER(AL598),INDEX(TM_Score2,MATCH(1,(TM_Events=D598)*(TM_Participant1=AJ598)*(TM_Participant2=G598),0)),"")</f>
        <v/>
      </c>
      <c r="AO598" s="389" t="str">
        <f t="shared" si="281"/>
        <v/>
      </c>
      <c r="AP598" s="389">
        <f t="shared" si="282"/>
        <v>0</v>
      </c>
      <c r="AQ598" s="389">
        <f t="shared" si="283"/>
        <v>0</v>
      </c>
      <c r="AR598" s="389">
        <f t="shared" si="284"/>
        <v>0</v>
      </c>
      <c r="AS598" s="453">
        <f t="shared" si="285"/>
        <v>0</v>
      </c>
      <c r="AT598" s="452">
        <f t="shared" si="286"/>
        <v>0</v>
      </c>
    </row>
    <row r="599" spans="2:46" ht="16" x14ac:dyDescent="0.2">
      <c r="B599"/>
      <c r="H599" s="387" t="str">
        <f t="shared" si="261"/>
        <v>0-0-0</v>
      </c>
      <c r="I599" s="389">
        <f t="shared" si="262"/>
        <v>0</v>
      </c>
      <c r="J599" s="455" t="str">
        <f t="shared" si="287"/>
        <v/>
      </c>
      <c r="K599" s="455">
        <f t="shared" si="263"/>
        <v>0</v>
      </c>
      <c r="L599" s="455">
        <f t="shared" si="288"/>
        <v>0</v>
      </c>
      <c r="M599" s="389" t="str">
        <f>IFERROR(IF(AD599&lt;=VLOOKUP(D599,Tournaments!$A$1:$B$1772,2,FALSE),"TRUE","FALSE"),"")</f>
        <v/>
      </c>
      <c r="N599" s="389">
        <v>1</v>
      </c>
      <c r="O599" s="389">
        <f t="shared" si="264"/>
        <v>0</v>
      </c>
      <c r="Q599" s="389">
        <f t="shared" si="265"/>
        <v>0</v>
      </c>
      <c r="R599" s="389">
        <f t="shared" si="266"/>
        <v>0</v>
      </c>
      <c r="S599" s="389">
        <f t="shared" si="267"/>
        <v>0</v>
      </c>
      <c r="U599" s="389">
        <f t="shared" si="268"/>
        <v>0</v>
      </c>
      <c r="V599" s="389" t="b">
        <f t="shared" si="269"/>
        <v>0</v>
      </c>
      <c r="W599" s="389">
        <f t="shared" si="270"/>
        <v>0</v>
      </c>
      <c r="X599" s="389">
        <f t="shared" si="271"/>
        <v>0</v>
      </c>
      <c r="Y599" s="389">
        <f t="shared" si="289"/>
        <v>1.0999999999999999E-2</v>
      </c>
      <c r="Z599" s="389">
        <f t="shared" si="272"/>
        <v>1.0999999999999999E-2</v>
      </c>
      <c r="AA599" s="389">
        <f t="shared" si="273"/>
        <v>0</v>
      </c>
      <c r="AB599" s="389">
        <f t="shared" si="274"/>
        <v>1E-4</v>
      </c>
      <c r="AC599" s="389">
        <f t="shared" si="275"/>
        <v>1E-4</v>
      </c>
      <c r="AD599" s="389">
        <f t="shared" si="276"/>
        <v>0</v>
      </c>
      <c r="AE599" s="389">
        <f t="shared" si="277"/>
        <v>0</v>
      </c>
      <c r="AG599" s="311" t="str">
        <f t="shared" si="278"/>
        <v>-</v>
      </c>
      <c r="AH599" s="453" t="str">
        <f t="shared" si="279"/>
        <v/>
      </c>
      <c r="AI599" s="453" t="str">
        <f t="shared" si="280"/>
        <v/>
      </c>
      <c r="AJ599" t="str">
        <f t="array" ref="AJ599">IF(AND(AI599&gt;1,G599&lt;&gt;""),INDEX(FS_teams,MATCH(1,(FS_Keys=AG599)*(FS_Points=I599)*(FS_teams&lt;&gt;G599),0)),"")</f>
        <v/>
      </c>
      <c r="AK599" s="390" t="str">
        <f t="array" ref="AK599">IF(AJ599&lt;&gt;"",INDEX(TM_Score1,MATCH(1,(TM_Events=D599)*(TM_Participant1=G599)*(TM_Participant2=AJ599),0)),"")</f>
        <v/>
      </c>
      <c r="AL599" s="390" t="str">
        <f t="array" ref="AL599">IF(AJ599&lt;&gt;"",INDEX(TM_Score1,MATCH(1,(TM_Events=D599)*(TM_Participant1=AJ599)*(TM_Participant2=G599),0)),"")</f>
        <v/>
      </c>
      <c r="AM599" s="389" t="str">
        <f t="array" ref="AM599">IF(ISNUMBER(AK599),INDEX(TM_Score2,MATCH(1,(TM_Events=D599)*(TM_Participant1=G599)*(TM_Participant2=AJ599),0)),"")</f>
        <v/>
      </c>
      <c r="AN599" s="389" t="str">
        <f t="array" ref="AN599">IF(ISNUMBER(AL599),INDEX(TM_Score2,MATCH(1,(TM_Events=D599)*(TM_Participant1=AJ599)*(TM_Participant2=G599),0)),"")</f>
        <v/>
      </c>
      <c r="AO599" s="389" t="str">
        <f t="shared" si="281"/>
        <v/>
      </c>
      <c r="AP599" s="389">
        <f t="shared" si="282"/>
        <v>0</v>
      </c>
      <c r="AQ599" s="389">
        <f t="shared" si="283"/>
        <v>0</v>
      </c>
      <c r="AR599" s="389">
        <f t="shared" si="284"/>
        <v>0</v>
      </c>
      <c r="AS599" s="453">
        <f t="shared" si="285"/>
        <v>0</v>
      </c>
      <c r="AT599" s="452">
        <f t="shared" si="286"/>
        <v>0</v>
      </c>
    </row>
    <row r="600" spans="2:46" ht="16" x14ac:dyDescent="0.2">
      <c r="B600"/>
      <c r="H600" s="387" t="str">
        <f t="shared" si="261"/>
        <v>0-0-0</v>
      </c>
      <c r="I600" s="389">
        <f t="shared" si="262"/>
        <v>0</v>
      </c>
      <c r="J600" s="455" t="str">
        <f t="shared" si="287"/>
        <v/>
      </c>
      <c r="K600" s="455">
        <f t="shared" si="263"/>
        <v>0</v>
      </c>
      <c r="L600" s="455">
        <f t="shared" si="288"/>
        <v>0</v>
      </c>
      <c r="M600" s="389" t="str">
        <f>IFERROR(IF(AD600&lt;=VLOOKUP(D600,Tournaments!$A$1:$B$1772,2,FALSE),"TRUE","FALSE"),"")</f>
        <v/>
      </c>
      <c r="N600" s="389">
        <v>1</v>
      </c>
      <c r="O600" s="389">
        <f t="shared" si="264"/>
        <v>0</v>
      </c>
      <c r="Q600" s="389">
        <f t="shared" si="265"/>
        <v>0</v>
      </c>
      <c r="R600" s="389">
        <f t="shared" si="266"/>
        <v>0</v>
      </c>
      <c r="S600" s="389">
        <f t="shared" si="267"/>
        <v>0</v>
      </c>
      <c r="U600" s="389">
        <f t="shared" si="268"/>
        <v>0</v>
      </c>
      <c r="V600" s="389" t="b">
        <f t="shared" si="269"/>
        <v>0</v>
      </c>
      <c r="W600" s="389">
        <f t="shared" si="270"/>
        <v>0</v>
      </c>
      <c r="X600" s="389">
        <f t="shared" si="271"/>
        <v>0</v>
      </c>
      <c r="Y600" s="389">
        <f t="shared" si="289"/>
        <v>1.0999999999999999E-2</v>
      </c>
      <c r="Z600" s="389">
        <f t="shared" si="272"/>
        <v>1.0999999999999999E-2</v>
      </c>
      <c r="AA600" s="389">
        <f t="shared" si="273"/>
        <v>0</v>
      </c>
      <c r="AB600" s="389">
        <f t="shared" si="274"/>
        <v>1E-4</v>
      </c>
      <c r="AC600" s="389">
        <f t="shared" si="275"/>
        <v>1E-4</v>
      </c>
      <c r="AD600" s="389">
        <f t="shared" si="276"/>
        <v>0</v>
      </c>
      <c r="AE600" s="389">
        <f t="shared" si="277"/>
        <v>0</v>
      </c>
      <c r="AG600" s="311" t="str">
        <f t="shared" si="278"/>
        <v>-</v>
      </c>
      <c r="AH600" s="453" t="str">
        <f t="shared" si="279"/>
        <v/>
      </c>
      <c r="AI600" s="453" t="str">
        <f t="shared" si="280"/>
        <v/>
      </c>
      <c r="AJ600" t="str">
        <f t="array" ref="AJ600">IF(AND(AI600&gt;1,G600&lt;&gt;""),INDEX(FS_teams,MATCH(1,(FS_Keys=AG600)*(FS_Points=I600)*(FS_teams&lt;&gt;G600),0)),"")</f>
        <v/>
      </c>
      <c r="AK600" s="390" t="str">
        <f t="array" ref="AK600">IF(AJ600&lt;&gt;"",INDEX(TM_Score1,MATCH(1,(TM_Events=D600)*(TM_Participant1=G600)*(TM_Participant2=AJ600),0)),"")</f>
        <v/>
      </c>
      <c r="AL600" s="390" t="str">
        <f t="array" ref="AL600">IF(AJ600&lt;&gt;"",INDEX(TM_Score1,MATCH(1,(TM_Events=D600)*(TM_Participant1=AJ600)*(TM_Participant2=G600),0)),"")</f>
        <v/>
      </c>
      <c r="AM600" s="389" t="str">
        <f t="array" ref="AM600">IF(ISNUMBER(AK600),INDEX(TM_Score2,MATCH(1,(TM_Events=D600)*(TM_Participant1=G600)*(TM_Participant2=AJ600),0)),"")</f>
        <v/>
      </c>
      <c r="AN600" s="389" t="str">
        <f t="array" ref="AN600">IF(ISNUMBER(AL600),INDEX(TM_Score2,MATCH(1,(TM_Events=D600)*(TM_Participant1=AJ600)*(TM_Participant2=G600),0)),"")</f>
        <v/>
      </c>
      <c r="AO600" s="389" t="str">
        <f t="shared" si="281"/>
        <v/>
      </c>
      <c r="AP600" s="389">
        <f t="shared" si="282"/>
        <v>0</v>
      </c>
      <c r="AQ600" s="389">
        <f t="shared" si="283"/>
        <v>0</v>
      </c>
      <c r="AR600" s="389">
        <f t="shared" si="284"/>
        <v>0</v>
      </c>
      <c r="AS600" s="453">
        <f t="shared" si="285"/>
        <v>0</v>
      </c>
      <c r="AT600" s="452">
        <f t="shared" si="286"/>
        <v>0</v>
      </c>
    </row>
    <row r="601" spans="2:46" ht="16" x14ac:dyDescent="0.2">
      <c r="B601"/>
      <c r="H601" s="387" t="str">
        <f t="shared" si="261"/>
        <v>0-0-0</v>
      </c>
      <c r="I601" s="389">
        <f t="shared" si="262"/>
        <v>0</v>
      </c>
      <c r="J601" s="455" t="str">
        <f t="shared" si="287"/>
        <v/>
      </c>
      <c r="K601" s="455">
        <f t="shared" si="263"/>
        <v>0</v>
      </c>
      <c r="L601" s="455">
        <f t="shared" si="288"/>
        <v>0</v>
      </c>
      <c r="M601" s="389" t="str">
        <f>IFERROR(IF(AD601&lt;=VLOOKUP(D601,Tournaments!$A$1:$B$1772,2,FALSE),"TRUE","FALSE"),"")</f>
        <v/>
      </c>
      <c r="N601" s="389">
        <v>1</v>
      </c>
      <c r="O601" s="389">
        <f t="shared" si="264"/>
        <v>0</v>
      </c>
      <c r="Q601" s="389">
        <f t="shared" si="265"/>
        <v>0</v>
      </c>
      <c r="R601" s="389">
        <f t="shared" si="266"/>
        <v>0</v>
      </c>
      <c r="S601" s="389">
        <f t="shared" si="267"/>
        <v>0</v>
      </c>
      <c r="U601" s="389">
        <f t="shared" si="268"/>
        <v>0</v>
      </c>
      <c r="V601" s="389" t="b">
        <f t="shared" si="269"/>
        <v>0</v>
      </c>
      <c r="W601" s="389">
        <f t="shared" si="270"/>
        <v>0</v>
      </c>
      <c r="X601" s="389">
        <f t="shared" si="271"/>
        <v>0</v>
      </c>
      <c r="Y601" s="389">
        <f t="shared" si="289"/>
        <v>1.0999999999999999E-2</v>
      </c>
      <c r="Z601" s="389">
        <f t="shared" si="272"/>
        <v>1.0999999999999999E-2</v>
      </c>
      <c r="AA601" s="389">
        <f t="shared" si="273"/>
        <v>0</v>
      </c>
      <c r="AB601" s="389">
        <f t="shared" si="274"/>
        <v>1E-4</v>
      </c>
      <c r="AC601" s="389">
        <f t="shared" si="275"/>
        <v>1E-4</v>
      </c>
      <c r="AD601" s="389">
        <f t="shared" si="276"/>
        <v>0</v>
      </c>
      <c r="AE601" s="389">
        <f t="shared" si="277"/>
        <v>0</v>
      </c>
      <c r="AG601" s="311" t="str">
        <f t="shared" si="278"/>
        <v>-</v>
      </c>
      <c r="AH601" s="453" t="str">
        <f t="shared" si="279"/>
        <v/>
      </c>
      <c r="AI601" s="453" t="str">
        <f t="shared" si="280"/>
        <v/>
      </c>
      <c r="AJ601" t="str">
        <f t="array" ref="AJ601">IF(AND(AI601&gt;1,G601&lt;&gt;""),INDEX(FS_teams,MATCH(1,(FS_Keys=AG601)*(FS_Points=I601)*(FS_teams&lt;&gt;G601),0)),"")</f>
        <v/>
      </c>
      <c r="AK601" s="390" t="str">
        <f t="array" ref="AK601">IF(AJ601&lt;&gt;"",INDEX(TM_Score1,MATCH(1,(TM_Events=D601)*(TM_Participant1=G601)*(TM_Participant2=AJ601),0)),"")</f>
        <v/>
      </c>
      <c r="AL601" s="390" t="str">
        <f t="array" ref="AL601">IF(AJ601&lt;&gt;"",INDEX(TM_Score1,MATCH(1,(TM_Events=D601)*(TM_Participant1=AJ601)*(TM_Participant2=G601),0)),"")</f>
        <v/>
      </c>
      <c r="AM601" s="389" t="str">
        <f t="array" ref="AM601">IF(ISNUMBER(AK601),INDEX(TM_Score2,MATCH(1,(TM_Events=D601)*(TM_Participant1=G601)*(TM_Participant2=AJ601),0)),"")</f>
        <v/>
      </c>
      <c r="AN601" s="389" t="str">
        <f t="array" ref="AN601">IF(ISNUMBER(AL601),INDEX(TM_Score2,MATCH(1,(TM_Events=D601)*(TM_Participant1=AJ601)*(TM_Participant2=G601),0)),"")</f>
        <v/>
      </c>
      <c r="AO601" s="389" t="str">
        <f t="shared" si="281"/>
        <v/>
      </c>
      <c r="AP601" s="389">
        <f t="shared" si="282"/>
        <v>0</v>
      </c>
      <c r="AQ601" s="389">
        <f t="shared" si="283"/>
        <v>0</v>
      </c>
      <c r="AR601" s="389">
        <f t="shared" si="284"/>
        <v>0</v>
      </c>
      <c r="AS601" s="453">
        <f t="shared" si="285"/>
        <v>0</v>
      </c>
      <c r="AT601" s="452">
        <f t="shared" si="286"/>
        <v>0</v>
      </c>
    </row>
    <row r="602" spans="2:46" ht="16" x14ac:dyDescent="0.2">
      <c r="B602"/>
      <c r="H602" s="387" t="str">
        <f t="shared" si="261"/>
        <v>0-0-0</v>
      </c>
      <c r="I602" s="389">
        <f t="shared" si="262"/>
        <v>0</v>
      </c>
      <c r="J602" s="455" t="str">
        <f t="shared" si="287"/>
        <v/>
      </c>
      <c r="K602" s="455">
        <f t="shared" si="263"/>
        <v>0</v>
      </c>
      <c r="L602" s="455">
        <f t="shared" si="288"/>
        <v>0</v>
      </c>
      <c r="M602" s="389" t="str">
        <f>IFERROR(IF(AD602&lt;=VLOOKUP(D602,Tournaments!$A$1:$B$1772,2,FALSE),"TRUE","FALSE"),"")</f>
        <v/>
      </c>
      <c r="N602" s="389">
        <v>1</v>
      </c>
      <c r="O602" s="389">
        <f t="shared" si="264"/>
        <v>0</v>
      </c>
      <c r="Q602" s="389">
        <f t="shared" si="265"/>
        <v>0</v>
      </c>
      <c r="R602" s="389">
        <f t="shared" si="266"/>
        <v>0</v>
      </c>
      <c r="S602" s="389">
        <f t="shared" si="267"/>
        <v>0</v>
      </c>
      <c r="U602" s="389">
        <f t="shared" si="268"/>
        <v>0</v>
      </c>
      <c r="V602" s="389" t="b">
        <f t="shared" si="269"/>
        <v>0</v>
      </c>
      <c r="W602" s="389">
        <f t="shared" si="270"/>
        <v>0</v>
      </c>
      <c r="X602" s="389">
        <f t="shared" si="271"/>
        <v>0</v>
      </c>
      <c r="Y602" s="389">
        <f t="shared" si="289"/>
        <v>1.0999999999999999E-2</v>
      </c>
      <c r="Z602" s="389">
        <f t="shared" si="272"/>
        <v>1.0999999999999999E-2</v>
      </c>
      <c r="AA602" s="389">
        <f t="shared" si="273"/>
        <v>0</v>
      </c>
      <c r="AB602" s="389">
        <f t="shared" si="274"/>
        <v>1E-4</v>
      </c>
      <c r="AC602" s="389">
        <f t="shared" si="275"/>
        <v>1E-4</v>
      </c>
      <c r="AD602" s="389">
        <f t="shared" si="276"/>
        <v>0</v>
      </c>
      <c r="AE602" s="389">
        <f t="shared" si="277"/>
        <v>0</v>
      </c>
      <c r="AG602" s="311" t="str">
        <f t="shared" si="278"/>
        <v>-</v>
      </c>
      <c r="AH602" s="453" t="str">
        <f t="shared" si="279"/>
        <v/>
      </c>
      <c r="AI602" s="453" t="str">
        <f t="shared" si="280"/>
        <v/>
      </c>
      <c r="AJ602" t="str">
        <f t="array" ref="AJ602">IF(AND(AI602&gt;1,G602&lt;&gt;""),INDEX(FS_teams,MATCH(1,(FS_Keys=AG602)*(FS_Points=I602)*(FS_teams&lt;&gt;G602),0)),"")</f>
        <v/>
      </c>
      <c r="AK602" s="390" t="str">
        <f t="array" ref="AK602">IF(AJ602&lt;&gt;"",INDEX(TM_Score1,MATCH(1,(TM_Events=D602)*(TM_Participant1=G602)*(TM_Participant2=AJ602),0)),"")</f>
        <v/>
      </c>
      <c r="AL602" s="390" t="str">
        <f t="array" ref="AL602">IF(AJ602&lt;&gt;"",INDEX(TM_Score1,MATCH(1,(TM_Events=D602)*(TM_Participant1=AJ602)*(TM_Participant2=G602),0)),"")</f>
        <v/>
      </c>
      <c r="AM602" s="389" t="str">
        <f t="array" ref="AM602">IF(ISNUMBER(AK602),INDEX(TM_Score2,MATCH(1,(TM_Events=D602)*(TM_Participant1=G602)*(TM_Participant2=AJ602),0)),"")</f>
        <v/>
      </c>
      <c r="AN602" s="389" t="str">
        <f t="array" ref="AN602">IF(ISNUMBER(AL602),INDEX(TM_Score2,MATCH(1,(TM_Events=D602)*(TM_Participant1=AJ602)*(TM_Participant2=G602),0)),"")</f>
        <v/>
      </c>
      <c r="AO602" s="389" t="str">
        <f t="shared" si="281"/>
        <v/>
      </c>
      <c r="AP602" s="389">
        <f t="shared" si="282"/>
        <v>0</v>
      </c>
      <c r="AQ602" s="389">
        <f t="shared" si="283"/>
        <v>0</v>
      </c>
      <c r="AR602" s="389">
        <f t="shared" si="284"/>
        <v>0</v>
      </c>
      <c r="AS602" s="453">
        <f t="shared" si="285"/>
        <v>0</v>
      </c>
      <c r="AT602" s="452">
        <f t="shared" si="286"/>
        <v>0</v>
      </c>
    </row>
    <row r="603" spans="2:46" ht="16" x14ac:dyDescent="0.2">
      <c r="B603"/>
      <c r="H603" s="387" t="str">
        <f t="shared" si="261"/>
        <v>0-0-0</v>
      </c>
      <c r="I603" s="389">
        <f t="shared" si="262"/>
        <v>0</v>
      </c>
      <c r="J603" s="455" t="str">
        <f t="shared" si="287"/>
        <v/>
      </c>
      <c r="K603" s="455">
        <f t="shared" si="263"/>
        <v>0</v>
      </c>
      <c r="L603" s="455">
        <f t="shared" si="288"/>
        <v>0</v>
      </c>
      <c r="M603" s="389" t="str">
        <f>IFERROR(IF(AD603&lt;=VLOOKUP(D603,Tournaments!$A$1:$B$1772,2,FALSE),"TRUE","FALSE"),"")</f>
        <v/>
      </c>
      <c r="N603" s="389">
        <v>1</v>
      </c>
      <c r="O603" s="389">
        <f t="shared" si="264"/>
        <v>0</v>
      </c>
      <c r="Q603" s="389">
        <f t="shared" si="265"/>
        <v>0</v>
      </c>
      <c r="R603" s="389">
        <f t="shared" si="266"/>
        <v>0</v>
      </c>
      <c r="S603" s="389">
        <f t="shared" si="267"/>
        <v>0</v>
      </c>
      <c r="U603" s="389">
        <f t="shared" si="268"/>
        <v>0</v>
      </c>
      <c r="V603" s="389" t="b">
        <f t="shared" si="269"/>
        <v>0</v>
      </c>
      <c r="W603" s="389">
        <f t="shared" si="270"/>
        <v>0</v>
      </c>
      <c r="X603" s="389">
        <f t="shared" si="271"/>
        <v>0</v>
      </c>
      <c r="Y603" s="389">
        <f t="shared" si="289"/>
        <v>1.0999999999999999E-2</v>
      </c>
      <c r="Z603" s="389">
        <f t="shared" si="272"/>
        <v>1.0999999999999999E-2</v>
      </c>
      <c r="AA603" s="389">
        <f t="shared" si="273"/>
        <v>0</v>
      </c>
      <c r="AB603" s="389">
        <f t="shared" si="274"/>
        <v>1E-4</v>
      </c>
      <c r="AC603" s="389">
        <f t="shared" si="275"/>
        <v>1E-4</v>
      </c>
      <c r="AD603" s="389">
        <f t="shared" si="276"/>
        <v>0</v>
      </c>
      <c r="AE603" s="389">
        <f t="shared" si="277"/>
        <v>0</v>
      </c>
      <c r="AG603" s="311" t="str">
        <f t="shared" si="278"/>
        <v>-</v>
      </c>
      <c r="AH603" s="453" t="str">
        <f t="shared" si="279"/>
        <v/>
      </c>
      <c r="AI603" s="453" t="str">
        <f t="shared" si="280"/>
        <v/>
      </c>
      <c r="AJ603" t="str">
        <f t="array" ref="AJ603">IF(AND(AI603&gt;1,G603&lt;&gt;""),INDEX(FS_teams,MATCH(1,(FS_Keys=AG603)*(FS_Points=I603)*(FS_teams&lt;&gt;G603),0)),"")</f>
        <v/>
      </c>
      <c r="AK603" s="390" t="str">
        <f t="array" ref="AK603">IF(AJ603&lt;&gt;"",INDEX(TM_Score1,MATCH(1,(TM_Events=D603)*(TM_Participant1=G603)*(TM_Participant2=AJ603),0)),"")</f>
        <v/>
      </c>
      <c r="AL603" s="390" t="str">
        <f t="array" ref="AL603">IF(AJ603&lt;&gt;"",INDEX(TM_Score1,MATCH(1,(TM_Events=D603)*(TM_Participant1=AJ603)*(TM_Participant2=G603),0)),"")</f>
        <v/>
      </c>
      <c r="AM603" s="389" t="str">
        <f t="array" ref="AM603">IF(ISNUMBER(AK603),INDEX(TM_Score2,MATCH(1,(TM_Events=D603)*(TM_Participant1=G603)*(TM_Participant2=AJ603),0)),"")</f>
        <v/>
      </c>
      <c r="AN603" s="389" t="str">
        <f t="array" ref="AN603">IF(ISNUMBER(AL603),INDEX(TM_Score2,MATCH(1,(TM_Events=D603)*(TM_Participant1=AJ603)*(TM_Participant2=G603),0)),"")</f>
        <v/>
      </c>
      <c r="AO603" s="389" t="str">
        <f t="shared" si="281"/>
        <v/>
      </c>
      <c r="AP603" s="389">
        <f t="shared" si="282"/>
        <v>0</v>
      </c>
      <c r="AQ603" s="389">
        <f t="shared" si="283"/>
        <v>0</v>
      </c>
      <c r="AR603" s="389">
        <f t="shared" si="284"/>
        <v>0</v>
      </c>
      <c r="AS603" s="453">
        <f t="shared" si="285"/>
        <v>0</v>
      </c>
      <c r="AT603" s="452">
        <f t="shared" si="286"/>
        <v>0</v>
      </c>
    </row>
    <row r="604" spans="2:46" ht="16" x14ac:dyDescent="0.2">
      <c r="B604"/>
      <c r="H604" s="387" t="str">
        <f t="shared" si="261"/>
        <v>0-0-0</v>
      </c>
      <c r="I604" s="389">
        <f t="shared" si="262"/>
        <v>0</v>
      </c>
      <c r="J604" s="455" t="str">
        <f t="shared" si="287"/>
        <v/>
      </c>
      <c r="K604" s="455">
        <f t="shared" si="263"/>
        <v>0</v>
      </c>
      <c r="L604" s="455">
        <f t="shared" si="288"/>
        <v>0</v>
      </c>
      <c r="M604" s="389" t="str">
        <f>IFERROR(IF(AD604&lt;=VLOOKUP(D604,Tournaments!$A$1:$B$1772,2,FALSE),"TRUE","FALSE"),"")</f>
        <v/>
      </c>
      <c r="N604" s="389">
        <v>1</v>
      </c>
      <c r="O604" s="389">
        <f t="shared" si="264"/>
        <v>0</v>
      </c>
      <c r="Q604" s="389">
        <f t="shared" si="265"/>
        <v>0</v>
      </c>
      <c r="R604" s="389">
        <f t="shared" si="266"/>
        <v>0</v>
      </c>
      <c r="S604" s="389">
        <f t="shared" si="267"/>
        <v>0</v>
      </c>
      <c r="U604" s="389">
        <f t="shared" si="268"/>
        <v>0</v>
      </c>
      <c r="V604" s="389" t="b">
        <f t="shared" si="269"/>
        <v>0</v>
      </c>
      <c r="W604" s="389">
        <f t="shared" si="270"/>
        <v>0</v>
      </c>
      <c r="X604" s="389">
        <f t="shared" si="271"/>
        <v>0</v>
      </c>
      <c r="Y604" s="389">
        <f t="shared" si="289"/>
        <v>1.0999999999999999E-2</v>
      </c>
      <c r="Z604" s="389">
        <f t="shared" si="272"/>
        <v>1.0999999999999999E-2</v>
      </c>
      <c r="AA604" s="389">
        <f t="shared" si="273"/>
        <v>0</v>
      </c>
      <c r="AB604" s="389">
        <f t="shared" si="274"/>
        <v>1E-4</v>
      </c>
      <c r="AC604" s="389">
        <f t="shared" si="275"/>
        <v>1E-4</v>
      </c>
      <c r="AD604" s="389">
        <f t="shared" si="276"/>
        <v>0</v>
      </c>
      <c r="AE604" s="389">
        <f t="shared" si="277"/>
        <v>0</v>
      </c>
      <c r="AG604" s="311" t="str">
        <f t="shared" si="278"/>
        <v>-</v>
      </c>
      <c r="AH604" s="453" t="str">
        <f t="shared" si="279"/>
        <v/>
      </c>
      <c r="AI604" s="453" t="str">
        <f t="shared" si="280"/>
        <v/>
      </c>
      <c r="AJ604" t="str">
        <f t="array" ref="AJ604">IF(AND(AI604&gt;1,G604&lt;&gt;""),INDEX(FS_teams,MATCH(1,(FS_Keys=AG604)*(FS_Points=I604)*(FS_teams&lt;&gt;G604),0)),"")</f>
        <v/>
      </c>
      <c r="AK604" s="390" t="str">
        <f t="array" ref="AK604">IF(AJ604&lt;&gt;"",INDEX(TM_Score1,MATCH(1,(TM_Events=D604)*(TM_Participant1=G604)*(TM_Participant2=AJ604),0)),"")</f>
        <v/>
      </c>
      <c r="AL604" s="390" t="str">
        <f t="array" ref="AL604">IF(AJ604&lt;&gt;"",INDEX(TM_Score1,MATCH(1,(TM_Events=D604)*(TM_Participant1=AJ604)*(TM_Participant2=G604),0)),"")</f>
        <v/>
      </c>
      <c r="AM604" s="389" t="str">
        <f t="array" ref="AM604">IF(ISNUMBER(AK604),INDEX(TM_Score2,MATCH(1,(TM_Events=D604)*(TM_Participant1=G604)*(TM_Participant2=AJ604),0)),"")</f>
        <v/>
      </c>
      <c r="AN604" s="389" t="str">
        <f t="array" ref="AN604">IF(ISNUMBER(AL604),INDEX(TM_Score2,MATCH(1,(TM_Events=D604)*(TM_Participant1=AJ604)*(TM_Participant2=G604),0)),"")</f>
        <v/>
      </c>
      <c r="AO604" s="389" t="str">
        <f t="shared" si="281"/>
        <v/>
      </c>
      <c r="AP604" s="389">
        <f t="shared" si="282"/>
        <v>0</v>
      </c>
      <c r="AQ604" s="389">
        <f t="shared" si="283"/>
        <v>0</v>
      </c>
      <c r="AR604" s="389">
        <f t="shared" si="284"/>
        <v>0</v>
      </c>
      <c r="AS604" s="453">
        <f t="shared" si="285"/>
        <v>0</v>
      </c>
      <c r="AT604" s="452">
        <f t="shared" si="286"/>
        <v>0</v>
      </c>
    </row>
    <row r="605" spans="2:46" ht="16" x14ac:dyDescent="0.2">
      <c r="B605"/>
      <c r="H605" s="387" t="str">
        <f t="shared" si="261"/>
        <v>0-0-0</v>
      </c>
      <c r="I605" s="389">
        <f t="shared" si="262"/>
        <v>0</v>
      </c>
      <c r="J605" s="455" t="str">
        <f t="shared" si="287"/>
        <v/>
      </c>
      <c r="K605" s="455">
        <f t="shared" si="263"/>
        <v>0</v>
      </c>
      <c r="L605" s="455">
        <f t="shared" si="288"/>
        <v>0</v>
      </c>
      <c r="M605" s="389" t="str">
        <f>IFERROR(IF(AD605&lt;=VLOOKUP(D605,Tournaments!$A$1:$B$1772,2,FALSE),"TRUE","FALSE"),"")</f>
        <v/>
      </c>
      <c r="N605" s="389">
        <v>1</v>
      </c>
      <c r="O605" s="389">
        <f t="shared" si="264"/>
        <v>0</v>
      </c>
      <c r="Q605" s="389">
        <f t="shared" si="265"/>
        <v>0</v>
      </c>
      <c r="R605" s="389">
        <f t="shared" si="266"/>
        <v>0</v>
      </c>
      <c r="S605" s="389">
        <f t="shared" si="267"/>
        <v>0</v>
      </c>
      <c r="U605" s="389">
        <f t="shared" si="268"/>
        <v>0</v>
      </c>
      <c r="V605" s="389" t="b">
        <f t="shared" si="269"/>
        <v>0</v>
      </c>
      <c r="W605" s="389">
        <f t="shared" si="270"/>
        <v>0</v>
      </c>
      <c r="X605" s="389">
        <f t="shared" si="271"/>
        <v>0</v>
      </c>
      <c r="Y605" s="389">
        <f t="shared" si="289"/>
        <v>1.0999999999999999E-2</v>
      </c>
      <c r="Z605" s="389">
        <f t="shared" si="272"/>
        <v>1.0999999999999999E-2</v>
      </c>
      <c r="AA605" s="389">
        <f t="shared" si="273"/>
        <v>0</v>
      </c>
      <c r="AB605" s="389">
        <f t="shared" si="274"/>
        <v>1E-4</v>
      </c>
      <c r="AC605" s="389">
        <f t="shared" si="275"/>
        <v>1E-4</v>
      </c>
      <c r="AD605" s="389">
        <f t="shared" si="276"/>
        <v>0</v>
      </c>
      <c r="AE605" s="389">
        <f t="shared" si="277"/>
        <v>0</v>
      </c>
      <c r="AG605" s="311" t="str">
        <f t="shared" si="278"/>
        <v>-</v>
      </c>
      <c r="AH605" s="453" t="str">
        <f t="shared" si="279"/>
        <v/>
      </c>
      <c r="AI605" s="453" t="str">
        <f t="shared" si="280"/>
        <v/>
      </c>
      <c r="AJ605" t="str">
        <f t="array" ref="AJ605">IF(AND(AI605&gt;1,G605&lt;&gt;""),INDEX(FS_teams,MATCH(1,(FS_Keys=AG605)*(FS_Points=I605)*(FS_teams&lt;&gt;G605),0)),"")</f>
        <v/>
      </c>
      <c r="AK605" s="390" t="str">
        <f t="array" ref="AK605">IF(AJ605&lt;&gt;"",INDEX(TM_Score1,MATCH(1,(TM_Events=D605)*(TM_Participant1=G605)*(TM_Participant2=AJ605),0)),"")</f>
        <v/>
      </c>
      <c r="AL605" s="390" t="str">
        <f t="array" ref="AL605">IF(AJ605&lt;&gt;"",INDEX(TM_Score1,MATCH(1,(TM_Events=D605)*(TM_Participant1=AJ605)*(TM_Participant2=G605),0)),"")</f>
        <v/>
      </c>
      <c r="AM605" s="389" t="str">
        <f t="array" ref="AM605">IF(ISNUMBER(AK605),INDEX(TM_Score2,MATCH(1,(TM_Events=D605)*(TM_Participant1=G605)*(TM_Participant2=AJ605),0)),"")</f>
        <v/>
      </c>
      <c r="AN605" s="389" t="str">
        <f t="array" ref="AN605">IF(ISNUMBER(AL605),INDEX(TM_Score2,MATCH(1,(TM_Events=D605)*(TM_Participant1=AJ605)*(TM_Participant2=G605),0)),"")</f>
        <v/>
      </c>
      <c r="AO605" s="389" t="str">
        <f t="shared" si="281"/>
        <v/>
      </c>
      <c r="AP605" s="389">
        <f t="shared" si="282"/>
        <v>0</v>
      </c>
      <c r="AQ605" s="389">
        <f t="shared" si="283"/>
        <v>0</v>
      </c>
      <c r="AR605" s="389">
        <f t="shared" si="284"/>
        <v>0</v>
      </c>
      <c r="AS605" s="453">
        <f t="shared" si="285"/>
        <v>0</v>
      </c>
      <c r="AT605" s="452">
        <f t="shared" si="286"/>
        <v>0</v>
      </c>
    </row>
    <row r="606" spans="2:46" ht="16" x14ac:dyDescent="0.2">
      <c r="B606"/>
      <c r="H606" s="387" t="str">
        <f t="shared" si="261"/>
        <v>0-0-0</v>
      </c>
      <c r="I606" s="389">
        <f t="shared" si="262"/>
        <v>0</v>
      </c>
      <c r="J606" s="455" t="str">
        <f t="shared" si="287"/>
        <v/>
      </c>
      <c r="K606" s="455">
        <f t="shared" si="263"/>
        <v>0</v>
      </c>
      <c r="L606" s="455">
        <f t="shared" si="288"/>
        <v>0</v>
      </c>
      <c r="M606" s="389" t="str">
        <f>IFERROR(IF(AD606&lt;=VLOOKUP(D606,Tournaments!$A$1:$B$1772,2,FALSE),"TRUE","FALSE"),"")</f>
        <v/>
      </c>
      <c r="N606" s="389">
        <v>1</v>
      </c>
      <c r="O606" s="389">
        <f t="shared" si="264"/>
        <v>0</v>
      </c>
      <c r="Q606" s="389">
        <f t="shared" si="265"/>
        <v>0</v>
      </c>
      <c r="R606" s="389">
        <f t="shared" si="266"/>
        <v>0</v>
      </c>
      <c r="S606" s="389">
        <f t="shared" si="267"/>
        <v>0</v>
      </c>
      <c r="U606" s="389">
        <f t="shared" si="268"/>
        <v>0</v>
      </c>
      <c r="V606" s="389" t="b">
        <f t="shared" si="269"/>
        <v>0</v>
      </c>
      <c r="W606" s="389">
        <f t="shared" si="270"/>
        <v>0</v>
      </c>
      <c r="X606" s="389">
        <f t="shared" si="271"/>
        <v>0</v>
      </c>
      <c r="Y606" s="389">
        <f t="shared" si="289"/>
        <v>1.0999999999999999E-2</v>
      </c>
      <c r="Z606" s="389">
        <f t="shared" si="272"/>
        <v>1.0999999999999999E-2</v>
      </c>
      <c r="AA606" s="389">
        <f t="shared" si="273"/>
        <v>0</v>
      </c>
      <c r="AB606" s="389">
        <f t="shared" si="274"/>
        <v>1E-4</v>
      </c>
      <c r="AC606" s="389">
        <f t="shared" si="275"/>
        <v>1E-4</v>
      </c>
      <c r="AD606" s="389">
        <f t="shared" si="276"/>
        <v>0</v>
      </c>
      <c r="AE606" s="389">
        <f t="shared" si="277"/>
        <v>0</v>
      </c>
      <c r="AG606" s="311" t="str">
        <f t="shared" si="278"/>
        <v>-</v>
      </c>
      <c r="AH606" s="453" t="str">
        <f t="shared" si="279"/>
        <v/>
      </c>
      <c r="AI606" s="453" t="str">
        <f t="shared" si="280"/>
        <v/>
      </c>
      <c r="AJ606" t="str">
        <f t="array" ref="AJ606">IF(AND(AI606&gt;1,G606&lt;&gt;""),INDEX(FS_teams,MATCH(1,(FS_Keys=AG606)*(FS_Points=I606)*(FS_teams&lt;&gt;G606),0)),"")</f>
        <v/>
      </c>
      <c r="AK606" s="390" t="str">
        <f t="array" ref="AK606">IF(AJ606&lt;&gt;"",INDEX(TM_Score1,MATCH(1,(TM_Events=D606)*(TM_Participant1=G606)*(TM_Participant2=AJ606),0)),"")</f>
        <v/>
      </c>
      <c r="AL606" s="390" t="str">
        <f t="array" ref="AL606">IF(AJ606&lt;&gt;"",INDEX(TM_Score1,MATCH(1,(TM_Events=D606)*(TM_Participant1=AJ606)*(TM_Participant2=G606),0)),"")</f>
        <v/>
      </c>
      <c r="AM606" s="389" t="str">
        <f t="array" ref="AM606">IF(ISNUMBER(AK606),INDEX(TM_Score2,MATCH(1,(TM_Events=D606)*(TM_Participant1=G606)*(TM_Participant2=AJ606),0)),"")</f>
        <v/>
      </c>
      <c r="AN606" s="389" t="str">
        <f t="array" ref="AN606">IF(ISNUMBER(AL606),INDEX(TM_Score2,MATCH(1,(TM_Events=D606)*(TM_Participant1=AJ606)*(TM_Participant2=G606),0)),"")</f>
        <v/>
      </c>
      <c r="AO606" s="389" t="str">
        <f t="shared" si="281"/>
        <v/>
      </c>
      <c r="AP606" s="389">
        <f t="shared" si="282"/>
        <v>0</v>
      </c>
      <c r="AQ606" s="389">
        <f t="shared" si="283"/>
        <v>0</v>
      </c>
      <c r="AR606" s="389">
        <f t="shared" si="284"/>
        <v>0</v>
      </c>
      <c r="AS606" s="453">
        <f t="shared" si="285"/>
        <v>0</v>
      </c>
      <c r="AT606" s="452">
        <f t="shared" si="286"/>
        <v>0</v>
      </c>
    </row>
    <row r="607" spans="2:46" ht="16" x14ac:dyDescent="0.2">
      <c r="B607"/>
      <c r="H607" s="387" t="str">
        <f t="shared" si="261"/>
        <v>0-0-0</v>
      </c>
      <c r="I607" s="389">
        <f t="shared" si="262"/>
        <v>0</v>
      </c>
      <c r="J607" s="455" t="str">
        <f t="shared" si="287"/>
        <v/>
      </c>
      <c r="K607" s="455">
        <f t="shared" si="263"/>
        <v>0</v>
      </c>
      <c r="L607" s="455">
        <f t="shared" si="288"/>
        <v>0</v>
      </c>
      <c r="M607" s="389" t="str">
        <f>IFERROR(IF(AD607&lt;=VLOOKUP(D607,Tournaments!$A$1:$B$1772,2,FALSE),"TRUE","FALSE"),"")</f>
        <v/>
      </c>
      <c r="N607" s="389">
        <v>1</v>
      </c>
      <c r="O607" s="389">
        <f t="shared" si="264"/>
        <v>0</v>
      </c>
      <c r="Q607" s="389">
        <f t="shared" si="265"/>
        <v>0</v>
      </c>
      <c r="R607" s="389">
        <f t="shared" si="266"/>
        <v>0</v>
      </c>
      <c r="S607" s="389">
        <f t="shared" si="267"/>
        <v>0</v>
      </c>
      <c r="U607" s="389">
        <f t="shared" si="268"/>
        <v>0</v>
      </c>
      <c r="V607" s="389" t="b">
        <f t="shared" si="269"/>
        <v>0</v>
      </c>
      <c r="W607" s="389">
        <f t="shared" si="270"/>
        <v>0</v>
      </c>
      <c r="X607" s="389">
        <f t="shared" si="271"/>
        <v>0</v>
      </c>
      <c r="Y607" s="389">
        <f t="shared" si="289"/>
        <v>1.0999999999999999E-2</v>
      </c>
      <c r="Z607" s="389">
        <f t="shared" si="272"/>
        <v>1.0999999999999999E-2</v>
      </c>
      <c r="AA607" s="389">
        <f t="shared" si="273"/>
        <v>0</v>
      </c>
      <c r="AB607" s="389">
        <f t="shared" si="274"/>
        <v>1E-4</v>
      </c>
      <c r="AC607" s="389">
        <f t="shared" si="275"/>
        <v>1E-4</v>
      </c>
      <c r="AD607" s="389">
        <f t="shared" si="276"/>
        <v>0</v>
      </c>
      <c r="AE607" s="389">
        <f t="shared" si="277"/>
        <v>0</v>
      </c>
      <c r="AG607" s="311" t="str">
        <f t="shared" si="278"/>
        <v>-</v>
      </c>
      <c r="AH607" s="453" t="str">
        <f t="shared" si="279"/>
        <v/>
      </c>
      <c r="AI607" s="453" t="str">
        <f t="shared" si="280"/>
        <v/>
      </c>
      <c r="AJ607" t="str">
        <f t="array" ref="AJ607">IF(AND(AI607&gt;1,G607&lt;&gt;""),INDEX(FS_teams,MATCH(1,(FS_Keys=AG607)*(FS_Points=I607)*(FS_teams&lt;&gt;G607),0)),"")</f>
        <v/>
      </c>
      <c r="AK607" s="390" t="str">
        <f t="array" ref="AK607">IF(AJ607&lt;&gt;"",INDEX(TM_Score1,MATCH(1,(TM_Events=D607)*(TM_Participant1=G607)*(TM_Participant2=AJ607),0)),"")</f>
        <v/>
      </c>
      <c r="AL607" s="390" t="str">
        <f t="array" ref="AL607">IF(AJ607&lt;&gt;"",INDEX(TM_Score1,MATCH(1,(TM_Events=D607)*(TM_Participant1=AJ607)*(TM_Participant2=G607),0)),"")</f>
        <v/>
      </c>
      <c r="AM607" s="389" t="str">
        <f t="array" ref="AM607">IF(ISNUMBER(AK607),INDEX(TM_Score2,MATCH(1,(TM_Events=D607)*(TM_Participant1=G607)*(TM_Participant2=AJ607),0)),"")</f>
        <v/>
      </c>
      <c r="AN607" s="389" t="str">
        <f t="array" ref="AN607">IF(ISNUMBER(AL607),INDEX(TM_Score2,MATCH(1,(TM_Events=D607)*(TM_Participant1=AJ607)*(TM_Participant2=G607),0)),"")</f>
        <v/>
      </c>
      <c r="AO607" s="389" t="str">
        <f t="shared" si="281"/>
        <v/>
      </c>
      <c r="AP607" s="389">
        <f t="shared" si="282"/>
        <v>0</v>
      </c>
      <c r="AQ607" s="389">
        <f t="shared" si="283"/>
        <v>0</v>
      </c>
      <c r="AR607" s="389">
        <f t="shared" si="284"/>
        <v>0</v>
      </c>
      <c r="AS607" s="453">
        <f t="shared" si="285"/>
        <v>0</v>
      </c>
      <c r="AT607" s="452">
        <f t="shared" si="286"/>
        <v>0</v>
      </c>
    </row>
    <row r="608" spans="2:46" ht="16" x14ac:dyDescent="0.2">
      <c r="B608"/>
      <c r="H608" s="387" t="str">
        <f t="shared" si="261"/>
        <v>0-0-0</v>
      </c>
      <c r="I608" s="389">
        <f t="shared" si="262"/>
        <v>0</v>
      </c>
      <c r="J608" s="455" t="str">
        <f t="shared" si="287"/>
        <v/>
      </c>
      <c r="K608" s="455">
        <f t="shared" si="263"/>
        <v>0</v>
      </c>
      <c r="L608" s="455">
        <f t="shared" si="288"/>
        <v>0</v>
      </c>
      <c r="M608" s="389" t="str">
        <f>IFERROR(IF(AD608&lt;=VLOOKUP(D608,Tournaments!$A$1:$B$1772,2,FALSE),"TRUE","FALSE"),"")</f>
        <v/>
      </c>
      <c r="N608" s="389">
        <v>1</v>
      </c>
      <c r="O608" s="389">
        <f t="shared" si="264"/>
        <v>0</v>
      </c>
      <c r="Q608" s="389">
        <f t="shared" si="265"/>
        <v>0</v>
      </c>
      <c r="R608" s="389">
        <f t="shared" si="266"/>
        <v>0</v>
      </c>
      <c r="S608" s="389">
        <f t="shared" si="267"/>
        <v>0</v>
      </c>
      <c r="U608" s="389">
        <f t="shared" si="268"/>
        <v>0</v>
      </c>
      <c r="V608" s="389" t="b">
        <f t="shared" si="269"/>
        <v>0</v>
      </c>
      <c r="W608" s="389">
        <f t="shared" si="270"/>
        <v>0</v>
      </c>
      <c r="X608" s="389">
        <f t="shared" si="271"/>
        <v>0</v>
      </c>
      <c r="Y608" s="389">
        <f t="shared" si="289"/>
        <v>1.0999999999999999E-2</v>
      </c>
      <c r="Z608" s="389">
        <f t="shared" si="272"/>
        <v>1.0999999999999999E-2</v>
      </c>
      <c r="AA608" s="389">
        <f t="shared" si="273"/>
        <v>0</v>
      </c>
      <c r="AB608" s="389">
        <f t="shared" si="274"/>
        <v>1E-4</v>
      </c>
      <c r="AC608" s="389">
        <f t="shared" si="275"/>
        <v>1E-4</v>
      </c>
      <c r="AD608" s="389">
        <f t="shared" si="276"/>
        <v>0</v>
      </c>
      <c r="AE608" s="389">
        <f t="shared" si="277"/>
        <v>0</v>
      </c>
      <c r="AG608" s="311" t="str">
        <f t="shared" si="278"/>
        <v>-</v>
      </c>
      <c r="AH608" s="453" t="str">
        <f t="shared" si="279"/>
        <v/>
      </c>
      <c r="AI608" s="453" t="str">
        <f t="shared" si="280"/>
        <v/>
      </c>
      <c r="AJ608" t="str">
        <f t="array" ref="AJ608">IF(AND(AI608&gt;1,G608&lt;&gt;""),INDEX(FS_teams,MATCH(1,(FS_Keys=AG608)*(FS_Points=I608)*(FS_teams&lt;&gt;G608),0)),"")</f>
        <v/>
      </c>
      <c r="AK608" s="390" t="str">
        <f t="array" ref="AK608">IF(AJ608&lt;&gt;"",INDEX(TM_Score1,MATCH(1,(TM_Events=D608)*(TM_Participant1=G608)*(TM_Participant2=AJ608),0)),"")</f>
        <v/>
      </c>
      <c r="AL608" s="390" t="str">
        <f t="array" ref="AL608">IF(AJ608&lt;&gt;"",INDEX(TM_Score1,MATCH(1,(TM_Events=D608)*(TM_Participant1=AJ608)*(TM_Participant2=G608),0)),"")</f>
        <v/>
      </c>
      <c r="AM608" s="389" t="str">
        <f t="array" ref="AM608">IF(ISNUMBER(AK608),INDEX(TM_Score2,MATCH(1,(TM_Events=D608)*(TM_Participant1=G608)*(TM_Participant2=AJ608),0)),"")</f>
        <v/>
      </c>
      <c r="AN608" s="389" t="str">
        <f t="array" ref="AN608">IF(ISNUMBER(AL608),INDEX(TM_Score2,MATCH(1,(TM_Events=D608)*(TM_Participant1=AJ608)*(TM_Participant2=G608),0)),"")</f>
        <v/>
      </c>
      <c r="AO608" s="389" t="str">
        <f t="shared" si="281"/>
        <v/>
      </c>
      <c r="AP608" s="389">
        <f t="shared" si="282"/>
        <v>0</v>
      </c>
      <c r="AQ608" s="389">
        <f t="shared" si="283"/>
        <v>0</v>
      </c>
      <c r="AR608" s="389">
        <f t="shared" si="284"/>
        <v>0</v>
      </c>
      <c r="AS608" s="453">
        <f t="shared" si="285"/>
        <v>0</v>
      </c>
      <c r="AT608" s="452">
        <f t="shared" si="286"/>
        <v>0</v>
      </c>
    </row>
    <row r="609" spans="2:46" ht="16" x14ac:dyDescent="0.2">
      <c r="B609"/>
      <c r="H609" s="387" t="str">
        <f t="shared" si="261"/>
        <v>0-0-0</v>
      </c>
      <c r="I609" s="389">
        <f t="shared" si="262"/>
        <v>0</v>
      </c>
      <c r="J609" s="455" t="str">
        <f t="shared" si="287"/>
        <v/>
      </c>
      <c r="K609" s="455">
        <f t="shared" si="263"/>
        <v>0</v>
      </c>
      <c r="L609" s="455">
        <f t="shared" si="288"/>
        <v>0</v>
      </c>
      <c r="M609" s="389" t="str">
        <f>IFERROR(IF(AD609&lt;=VLOOKUP(D609,Tournaments!$A$1:$B$1772,2,FALSE),"TRUE","FALSE"),"")</f>
        <v/>
      </c>
      <c r="N609" s="389">
        <v>1</v>
      </c>
      <c r="O609" s="389">
        <f t="shared" si="264"/>
        <v>0</v>
      </c>
      <c r="Q609" s="389">
        <f t="shared" si="265"/>
        <v>0</v>
      </c>
      <c r="R609" s="389">
        <f t="shared" si="266"/>
        <v>0</v>
      </c>
      <c r="S609" s="389">
        <f t="shared" si="267"/>
        <v>0</v>
      </c>
      <c r="U609" s="389">
        <f t="shared" si="268"/>
        <v>0</v>
      </c>
      <c r="V609" s="389" t="b">
        <f t="shared" si="269"/>
        <v>0</v>
      </c>
      <c r="W609" s="389">
        <f t="shared" si="270"/>
        <v>0</v>
      </c>
      <c r="X609" s="389">
        <f t="shared" si="271"/>
        <v>0</v>
      </c>
      <c r="Y609" s="389">
        <f t="shared" si="289"/>
        <v>1.0999999999999999E-2</v>
      </c>
      <c r="Z609" s="389">
        <f t="shared" si="272"/>
        <v>1.0999999999999999E-2</v>
      </c>
      <c r="AA609" s="389">
        <f t="shared" si="273"/>
        <v>0</v>
      </c>
      <c r="AB609" s="389">
        <f t="shared" si="274"/>
        <v>1E-4</v>
      </c>
      <c r="AC609" s="389">
        <f t="shared" si="275"/>
        <v>1E-4</v>
      </c>
      <c r="AD609" s="389">
        <f t="shared" si="276"/>
        <v>0</v>
      </c>
      <c r="AE609" s="389">
        <f t="shared" si="277"/>
        <v>0</v>
      </c>
      <c r="AG609" s="311" t="str">
        <f t="shared" si="278"/>
        <v>-</v>
      </c>
      <c r="AH609" s="453" t="str">
        <f t="shared" si="279"/>
        <v/>
      </c>
      <c r="AI609" s="453" t="str">
        <f t="shared" si="280"/>
        <v/>
      </c>
      <c r="AJ609" t="str">
        <f t="array" ref="AJ609">IF(AND(AI609&gt;1,G609&lt;&gt;""),INDEX(FS_teams,MATCH(1,(FS_Keys=AG609)*(FS_Points=I609)*(FS_teams&lt;&gt;G609),0)),"")</f>
        <v/>
      </c>
      <c r="AK609" s="390" t="str">
        <f t="array" ref="AK609">IF(AJ609&lt;&gt;"",INDEX(TM_Score1,MATCH(1,(TM_Events=D609)*(TM_Participant1=G609)*(TM_Participant2=AJ609),0)),"")</f>
        <v/>
      </c>
      <c r="AL609" s="390" t="str">
        <f t="array" ref="AL609">IF(AJ609&lt;&gt;"",INDEX(TM_Score1,MATCH(1,(TM_Events=D609)*(TM_Participant1=AJ609)*(TM_Participant2=G609),0)),"")</f>
        <v/>
      </c>
      <c r="AM609" s="389" t="str">
        <f t="array" ref="AM609">IF(ISNUMBER(AK609),INDEX(TM_Score2,MATCH(1,(TM_Events=D609)*(TM_Participant1=G609)*(TM_Participant2=AJ609),0)),"")</f>
        <v/>
      </c>
      <c r="AN609" s="389" t="str">
        <f t="array" ref="AN609">IF(ISNUMBER(AL609),INDEX(TM_Score2,MATCH(1,(TM_Events=D609)*(TM_Participant1=AJ609)*(TM_Participant2=G609),0)),"")</f>
        <v/>
      </c>
      <c r="AO609" s="389" t="str">
        <f t="shared" si="281"/>
        <v/>
      </c>
      <c r="AP609" s="389">
        <f t="shared" si="282"/>
        <v>0</v>
      </c>
      <c r="AQ609" s="389">
        <f t="shared" si="283"/>
        <v>0</v>
      </c>
      <c r="AR609" s="389">
        <f t="shared" si="284"/>
        <v>0</v>
      </c>
      <c r="AS609" s="453">
        <f t="shared" si="285"/>
        <v>0</v>
      </c>
      <c r="AT609" s="452">
        <f t="shared" si="286"/>
        <v>0</v>
      </c>
    </row>
    <row r="610" spans="2:46" ht="16" x14ac:dyDescent="0.2">
      <c r="B610"/>
      <c r="H610" s="387" t="str">
        <f t="shared" si="261"/>
        <v>0-0-0</v>
      </c>
      <c r="I610" s="389">
        <f t="shared" si="262"/>
        <v>0</v>
      </c>
      <c r="J610" s="455" t="str">
        <f t="shared" si="287"/>
        <v/>
      </c>
      <c r="K610" s="455">
        <f t="shared" si="263"/>
        <v>0</v>
      </c>
      <c r="L610" s="455">
        <f t="shared" si="288"/>
        <v>0</v>
      </c>
      <c r="M610" s="389" t="str">
        <f>IFERROR(IF(AD610&lt;=VLOOKUP(D610,Tournaments!$A$1:$B$1772,2,FALSE),"TRUE","FALSE"),"")</f>
        <v/>
      </c>
      <c r="N610" s="389">
        <v>1</v>
      </c>
      <c r="O610" s="389">
        <f t="shared" si="264"/>
        <v>0</v>
      </c>
      <c r="Q610" s="389">
        <f t="shared" si="265"/>
        <v>0</v>
      </c>
      <c r="R610" s="389">
        <f t="shared" si="266"/>
        <v>0</v>
      </c>
      <c r="S610" s="389">
        <f t="shared" si="267"/>
        <v>0</v>
      </c>
      <c r="U610" s="389">
        <f t="shared" si="268"/>
        <v>0</v>
      </c>
      <c r="V610" s="389" t="b">
        <f t="shared" si="269"/>
        <v>0</v>
      </c>
      <c r="W610" s="389">
        <f t="shared" si="270"/>
        <v>0</v>
      </c>
      <c r="X610" s="389">
        <f t="shared" si="271"/>
        <v>0</v>
      </c>
      <c r="Y610" s="389">
        <f t="shared" si="289"/>
        <v>1.0999999999999999E-2</v>
      </c>
      <c r="Z610" s="389">
        <f t="shared" si="272"/>
        <v>1.0999999999999999E-2</v>
      </c>
      <c r="AA610" s="389">
        <f t="shared" si="273"/>
        <v>0</v>
      </c>
      <c r="AB610" s="389">
        <f t="shared" si="274"/>
        <v>1E-4</v>
      </c>
      <c r="AC610" s="389">
        <f t="shared" si="275"/>
        <v>1E-4</v>
      </c>
      <c r="AD610" s="389">
        <f t="shared" si="276"/>
        <v>0</v>
      </c>
      <c r="AE610" s="389">
        <f t="shared" si="277"/>
        <v>0</v>
      </c>
      <c r="AG610" s="311" t="str">
        <f t="shared" si="278"/>
        <v>-</v>
      </c>
      <c r="AH610" s="453" t="str">
        <f t="shared" si="279"/>
        <v/>
      </c>
      <c r="AI610" s="453" t="str">
        <f t="shared" si="280"/>
        <v/>
      </c>
      <c r="AJ610" t="str">
        <f t="array" ref="AJ610">IF(AND(AI610&gt;1,G610&lt;&gt;""),INDEX(FS_teams,MATCH(1,(FS_Keys=AG610)*(FS_Points=I610)*(FS_teams&lt;&gt;G610),0)),"")</f>
        <v/>
      </c>
      <c r="AK610" s="390" t="str">
        <f t="array" ref="AK610">IF(AJ610&lt;&gt;"",INDEX(TM_Score1,MATCH(1,(TM_Events=D610)*(TM_Participant1=G610)*(TM_Participant2=AJ610),0)),"")</f>
        <v/>
      </c>
      <c r="AL610" s="390" t="str">
        <f t="array" ref="AL610">IF(AJ610&lt;&gt;"",INDEX(TM_Score1,MATCH(1,(TM_Events=D610)*(TM_Participant1=AJ610)*(TM_Participant2=G610),0)),"")</f>
        <v/>
      </c>
      <c r="AM610" s="389" t="str">
        <f t="array" ref="AM610">IF(ISNUMBER(AK610),INDEX(TM_Score2,MATCH(1,(TM_Events=D610)*(TM_Participant1=G610)*(TM_Participant2=AJ610),0)),"")</f>
        <v/>
      </c>
      <c r="AN610" s="389" t="str">
        <f t="array" ref="AN610">IF(ISNUMBER(AL610),INDEX(TM_Score2,MATCH(1,(TM_Events=D610)*(TM_Participant1=AJ610)*(TM_Participant2=G610),0)),"")</f>
        <v/>
      </c>
      <c r="AO610" s="389" t="str">
        <f t="shared" si="281"/>
        <v/>
      </c>
      <c r="AP610" s="389">
        <f t="shared" si="282"/>
        <v>0</v>
      </c>
      <c r="AQ610" s="389">
        <f t="shared" si="283"/>
        <v>0</v>
      </c>
      <c r="AR610" s="389">
        <f t="shared" si="284"/>
        <v>0</v>
      </c>
      <c r="AS610" s="453">
        <f t="shared" si="285"/>
        <v>0</v>
      </c>
      <c r="AT610" s="452">
        <f t="shared" si="286"/>
        <v>0</v>
      </c>
    </row>
    <row r="611" spans="2:46" ht="16" x14ac:dyDescent="0.2">
      <c r="B611"/>
      <c r="H611" s="387" t="str">
        <f t="shared" si="261"/>
        <v>0-0-0</v>
      </c>
      <c r="I611" s="389">
        <f t="shared" si="262"/>
        <v>0</v>
      </c>
      <c r="J611" s="455" t="str">
        <f t="shared" si="287"/>
        <v/>
      </c>
      <c r="K611" s="455">
        <f t="shared" si="263"/>
        <v>0</v>
      </c>
      <c r="L611" s="455">
        <f t="shared" si="288"/>
        <v>0</v>
      </c>
      <c r="M611" s="389" t="str">
        <f>IFERROR(IF(AD611&lt;=VLOOKUP(D611,Tournaments!$A$1:$B$1772,2,FALSE),"TRUE","FALSE"),"")</f>
        <v/>
      </c>
      <c r="N611" s="389">
        <v>1</v>
      </c>
      <c r="O611" s="389">
        <f t="shared" si="264"/>
        <v>0</v>
      </c>
      <c r="Q611" s="389">
        <f t="shared" si="265"/>
        <v>0</v>
      </c>
      <c r="R611" s="389">
        <f t="shared" si="266"/>
        <v>0</v>
      </c>
      <c r="S611" s="389">
        <f t="shared" si="267"/>
        <v>0</v>
      </c>
      <c r="U611" s="389">
        <f t="shared" si="268"/>
        <v>0</v>
      </c>
      <c r="V611" s="389" t="b">
        <f t="shared" si="269"/>
        <v>0</v>
      </c>
      <c r="W611" s="389">
        <f t="shared" si="270"/>
        <v>0</v>
      </c>
      <c r="X611" s="389">
        <f t="shared" si="271"/>
        <v>0</v>
      </c>
      <c r="Y611" s="389">
        <f t="shared" si="289"/>
        <v>1.0999999999999999E-2</v>
      </c>
      <c r="Z611" s="389">
        <f t="shared" si="272"/>
        <v>1.0999999999999999E-2</v>
      </c>
      <c r="AA611" s="389">
        <f t="shared" si="273"/>
        <v>0</v>
      </c>
      <c r="AB611" s="389">
        <f t="shared" si="274"/>
        <v>1E-4</v>
      </c>
      <c r="AC611" s="389">
        <f t="shared" si="275"/>
        <v>1E-4</v>
      </c>
      <c r="AD611" s="389">
        <f t="shared" si="276"/>
        <v>0</v>
      </c>
      <c r="AE611" s="389">
        <f t="shared" si="277"/>
        <v>0</v>
      </c>
      <c r="AG611" s="311" t="str">
        <f t="shared" si="278"/>
        <v>-</v>
      </c>
      <c r="AH611" s="453" t="str">
        <f t="shared" si="279"/>
        <v/>
      </c>
      <c r="AI611" s="453" t="str">
        <f t="shared" si="280"/>
        <v/>
      </c>
      <c r="AJ611" t="str">
        <f t="array" ref="AJ611">IF(AND(AI611&gt;1,G611&lt;&gt;""),INDEX(FS_teams,MATCH(1,(FS_Keys=AG611)*(FS_Points=I611)*(FS_teams&lt;&gt;G611),0)),"")</f>
        <v/>
      </c>
      <c r="AK611" s="390" t="str">
        <f t="array" ref="AK611">IF(AJ611&lt;&gt;"",INDEX(TM_Score1,MATCH(1,(TM_Events=D611)*(TM_Participant1=G611)*(TM_Participant2=AJ611),0)),"")</f>
        <v/>
      </c>
      <c r="AL611" s="390" t="str">
        <f t="array" ref="AL611">IF(AJ611&lt;&gt;"",INDEX(TM_Score1,MATCH(1,(TM_Events=D611)*(TM_Participant1=AJ611)*(TM_Participant2=G611),0)),"")</f>
        <v/>
      </c>
      <c r="AM611" s="389" t="str">
        <f t="array" ref="AM611">IF(ISNUMBER(AK611),INDEX(TM_Score2,MATCH(1,(TM_Events=D611)*(TM_Participant1=G611)*(TM_Participant2=AJ611),0)),"")</f>
        <v/>
      </c>
      <c r="AN611" s="389" t="str">
        <f t="array" ref="AN611">IF(ISNUMBER(AL611),INDEX(TM_Score2,MATCH(1,(TM_Events=D611)*(TM_Participant1=AJ611)*(TM_Participant2=G611),0)),"")</f>
        <v/>
      </c>
      <c r="AO611" s="389" t="str">
        <f t="shared" si="281"/>
        <v/>
      </c>
      <c r="AP611" s="389">
        <f t="shared" si="282"/>
        <v>0</v>
      </c>
      <c r="AQ611" s="389">
        <f t="shared" si="283"/>
        <v>0</v>
      </c>
      <c r="AR611" s="389">
        <f t="shared" si="284"/>
        <v>0</v>
      </c>
      <c r="AS611" s="453">
        <f t="shared" si="285"/>
        <v>0</v>
      </c>
      <c r="AT611" s="452">
        <f t="shared" si="286"/>
        <v>0</v>
      </c>
    </row>
    <row r="612" spans="2:46" ht="16" x14ac:dyDescent="0.2">
      <c r="B612"/>
      <c r="H612" s="387" t="str">
        <f t="shared" si="261"/>
        <v>0-0-0</v>
      </c>
      <c r="I612" s="389">
        <f t="shared" si="262"/>
        <v>0</v>
      </c>
      <c r="J612" s="455" t="str">
        <f t="shared" si="287"/>
        <v/>
      </c>
      <c r="K612" s="455">
        <f t="shared" si="263"/>
        <v>0</v>
      </c>
      <c r="L612" s="455">
        <f t="shared" si="288"/>
        <v>0</v>
      </c>
      <c r="M612" s="389" t="str">
        <f>IFERROR(IF(AD612&lt;=VLOOKUP(D612,Tournaments!$A$1:$B$1772,2,FALSE),"TRUE","FALSE"),"")</f>
        <v/>
      </c>
      <c r="N612" s="389">
        <v>1</v>
      </c>
      <c r="O612" s="389">
        <f t="shared" si="264"/>
        <v>0</v>
      </c>
      <c r="Q612" s="389">
        <f t="shared" si="265"/>
        <v>0</v>
      </c>
      <c r="R612" s="389">
        <f t="shared" si="266"/>
        <v>0</v>
      </c>
      <c r="S612" s="389">
        <f t="shared" si="267"/>
        <v>0</v>
      </c>
      <c r="U612" s="389">
        <f t="shared" si="268"/>
        <v>0</v>
      </c>
      <c r="V612" s="389" t="b">
        <f t="shared" si="269"/>
        <v>0</v>
      </c>
      <c r="W612" s="389">
        <f t="shared" si="270"/>
        <v>0</v>
      </c>
      <c r="X612" s="389">
        <f t="shared" si="271"/>
        <v>0</v>
      </c>
      <c r="Y612" s="389">
        <f t="shared" si="289"/>
        <v>1.0999999999999999E-2</v>
      </c>
      <c r="Z612" s="389">
        <f t="shared" si="272"/>
        <v>1.0999999999999999E-2</v>
      </c>
      <c r="AA612" s="389">
        <f t="shared" si="273"/>
        <v>0</v>
      </c>
      <c r="AB612" s="389">
        <f t="shared" si="274"/>
        <v>1E-4</v>
      </c>
      <c r="AC612" s="389">
        <f t="shared" si="275"/>
        <v>1E-4</v>
      </c>
      <c r="AD612" s="389">
        <f t="shared" si="276"/>
        <v>0</v>
      </c>
      <c r="AE612" s="389">
        <f t="shared" si="277"/>
        <v>0</v>
      </c>
      <c r="AG612" s="311" t="str">
        <f t="shared" si="278"/>
        <v>-</v>
      </c>
      <c r="AH612" s="453" t="str">
        <f t="shared" si="279"/>
        <v/>
      </c>
      <c r="AI612" s="453" t="str">
        <f t="shared" si="280"/>
        <v/>
      </c>
      <c r="AJ612" t="str">
        <f t="array" ref="AJ612">IF(AND(AI612&gt;1,G612&lt;&gt;""),INDEX(FS_teams,MATCH(1,(FS_Keys=AG612)*(FS_Points=I612)*(FS_teams&lt;&gt;G612),0)),"")</f>
        <v/>
      </c>
      <c r="AK612" s="390" t="str">
        <f t="array" ref="AK612">IF(AJ612&lt;&gt;"",INDEX(TM_Score1,MATCH(1,(TM_Events=D612)*(TM_Participant1=G612)*(TM_Participant2=AJ612),0)),"")</f>
        <v/>
      </c>
      <c r="AL612" s="390" t="str">
        <f t="array" ref="AL612">IF(AJ612&lt;&gt;"",INDEX(TM_Score1,MATCH(1,(TM_Events=D612)*(TM_Participant1=AJ612)*(TM_Participant2=G612),0)),"")</f>
        <v/>
      </c>
      <c r="AM612" s="389" t="str">
        <f t="array" ref="AM612">IF(ISNUMBER(AK612),INDEX(TM_Score2,MATCH(1,(TM_Events=D612)*(TM_Participant1=G612)*(TM_Participant2=AJ612),0)),"")</f>
        <v/>
      </c>
      <c r="AN612" s="389" t="str">
        <f t="array" ref="AN612">IF(ISNUMBER(AL612),INDEX(TM_Score2,MATCH(1,(TM_Events=D612)*(TM_Participant1=AJ612)*(TM_Participant2=G612),0)),"")</f>
        <v/>
      </c>
      <c r="AO612" s="389" t="str">
        <f t="shared" si="281"/>
        <v/>
      </c>
      <c r="AP612" s="389">
        <f t="shared" si="282"/>
        <v>0</v>
      </c>
      <c r="AQ612" s="389">
        <f t="shared" si="283"/>
        <v>0</v>
      </c>
      <c r="AR612" s="389">
        <f t="shared" si="284"/>
        <v>0</v>
      </c>
      <c r="AS612" s="453">
        <f t="shared" si="285"/>
        <v>0</v>
      </c>
      <c r="AT612" s="452">
        <f t="shared" si="286"/>
        <v>0</v>
      </c>
    </row>
    <row r="613" spans="2:46" ht="16" x14ac:dyDescent="0.2">
      <c r="B613"/>
      <c r="H613" s="387" t="str">
        <f t="shared" si="261"/>
        <v>0-0-0</v>
      </c>
      <c r="I613" s="389">
        <f t="shared" si="262"/>
        <v>0</v>
      </c>
      <c r="J613" s="455" t="str">
        <f t="shared" si="287"/>
        <v/>
      </c>
      <c r="K613" s="455">
        <f t="shared" si="263"/>
        <v>0</v>
      </c>
      <c r="L613" s="455">
        <f t="shared" si="288"/>
        <v>0</v>
      </c>
      <c r="M613" s="389" t="str">
        <f>IFERROR(IF(AD613&lt;=VLOOKUP(D613,Tournaments!$A$1:$B$1772,2,FALSE),"TRUE","FALSE"),"")</f>
        <v/>
      </c>
      <c r="N613" s="389">
        <v>1</v>
      </c>
      <c r="O613" s="389">
        <f t="shared" si="264"/>
        <v>0</v>
      </c>
      <c r="Q613" s="389">
        <f t="shared" si="265"/>
        <v>0</v>
      </c>
      <c r="R613" s="389">
        <f t="shared" si="266"/>
        <v>0</v>
      </c>
      <c r="S613" s="389">
        <f t="shared" si="267"/>
        <v>0</v>
      </c>
      <c r="U613" s="389">
        <f t="shared" si="268"/>
        <v>0</v>
      </c>
      <c r="V613" s="389" t="b">
        <f t="shared" si="269"/>
        <v>0</v>
      </c>
      <c r="W613" s="389">
        <f t="shared" si="270"/>
        <v>0</v>
      </c>
      <c r="X613" s="389">
        <f t="shared" si="271"/>
        <v>0</v>
      </c>
      <c r="Y613" s="389">
        <f t="shared" si="289"/>
        <v>1.0999999999999999E-2</v>
      </c>
      <c r="Z613" s="389">
        <f t="shared" si="272"/>
        <v>1.0999999999999999E-2</v>
      </c>
      <c r="AA613" s="389">
        <f t="shared" si="273"/>
        <v>0</v>
      </c>
      <c r="AB613" s="389">
        <f t="shared" si="274"/>
        <v>1E-4</v>
      </c>
      <c r="AC613" s="389">
        <f t="shared" si="275"/>
        <v>1E-4</v>
      </c>
      <c r="AD613" s="389">
        <f t="shared" si="276"/>
        <v>0</v>
      </c>
      <c r="AE613" s="389">
        <f t="shared" si="277"/>
        <v>0</v>
      </c>
      <c r="AG613" s="311" t="str">
        <f t="shared" si="278"/>
        <v>-</v>
      </c>
      <c r="AH613" s="453" t="str">
        <f t="shared" si="279"/>
        <v/>
      </c>
      <c r="AI613" s="453" t="str">
        <f t="shared" si="280"/>
        <v/>
      </c>
      <c r="AJ613" t="str">
        <f t="array" ref="AJ613">IF(AND(AI613&gt;1,G613&lt;&gt;""),INDEX(FS_teams,MATCH(1,(FS_Keys=AG613)*(FS_Points=I613)*(FS_teams&lt;&gt;G613),0)),"")</f>
        <v/>
      </c>
      <c r="AK613" s="390" t="str">
        <f t="array" ref="AK613">IF(AJ613&lt;&gt;"",INDEX(TM_Score1,MATCH(1,(TM_Events=D613)*(TM_Participant1=G613)*(TM_Participant2=AJ613),0)),"")</f>
        <v/>
      </c>
      <c r="AL613" s="390" t="str">
        <f t="array" ref="AL613">IF(AJ613&lt;&gt;"",INDEX(TM_Score1,MATCH(1,(TM_Events=D613)*(TM_Participant1=AJ613)*(TM_Participant2=G613),0)),"")</f>
        <v/>
      </c>
      <c r="AM613" s="389" t="str">
        <f t="array" ref="AM613">IF(ISNUMBER(AK613),INDEX(TM_Score2,MATCH(1,(TM_Events=D613)*(TM_Participant1=G613)*(TM_Participant2=AJ613),0)),"")</f>
        <v/>
      </c>
      <c r="AN613" s="389" t="str">
        <f t="array" ref="AN613">IF(ISNUMBER(AL613),INDEX(TM_Score2,MATCH(1,(TM_Events=D613)*(TM_Participant1=AJ613)*(TM_Participant2=G613),0)),"")</f>
        <v/>
      </c>
      <c r="AO613" s="389" t="str">
        <f t="shared" si="281"/>
        <v/>
      </c>
      <c r="AP613" s="389">
        <f t="shared" si="282"/>
        <v>0</v>
      </c>
      <c r="AQ613" s="389">
        <f t="shared" si="283"/>
        <v>0</v>
      </c>
      <c r="AR613" s="389">
        <f t="shared" si="284"/>
        <v>0</v>
      </c>
      <c r="AS613" s="453">
        <f t="shared" si="285"/>
        <v>0</v>
      </c>
      <c r="AT613" s="452">
        <f t="shared" si="286"/>
        <v>0</v>
      </c>
    </row>
    <row r="614" spans="2:46" ht="16" x14ac:dyDescent="0.2">
      <c r="B614"/>
      <c r="H614" s="387" t="str">
        <f t="shared" si="261"/>
        <v>0-0-0</v>
      </c>
      <c r="I614" s="389">
        <f t="shared" si="262"/>
        <v>0</v>
      </c>
      <c r="J614" s="455" t="str">
        <f t="shared" si="287"/>
        <v/>
      </c>
      <c r="K614" s="455">
        <f t="shared" si="263"/>
        <v>0</v>
      </c>
      <c r="L614" s="455">
        <f t="shared" si="288"/>
        <v>0</v>
      </c>
      <c r="M614" s="389" t="str">
        <f>IFERROR(IF(AD614&lt;=VLOOKUP(D614,Tournaments!$A$1:$B$1772,2,FALSE),"TRUE","FALSE"),"")</f>
        <v/>
      </c>
      <c r="N614" s="389">
        <v>1</v>
      </c>
      <c r="O614" s="389">
        <f t="shared" si="264"/>
        <v>0</v>
      </c>
      <c r="Q614" s="389">
        <f t="shared" si="265"/>
        <v>0</v>
      </c>
      <c r="R614" s="389">
        <f t="shared" si="266"/>
        <v>0</v>
      </c>
      <c r="S614" s="389">
        <f t="shared" si="267"/>
        <v>0</v>
      </c>
      <c r="U614" s="389">
        <f t="shared" si="268"/>
        <v>0</v>
      </c>
      <c r="V614" s="389" t="b">
        <f t="shared" si="269"/>
        <v>0</v>
      </c>
      <c r="W614" s="389">
        <f t="shared" si="270"/>
        <v>0</v>
      </c>
      <c r="X614" s="389">
        <f t="shared" si="271"/>
        <v>0</v>
      </c>
      <c r="Y614" s="389">
        <f t="shared" si="289"/>
        <v>1.0999999999999999E-2</v>
      </c>
      <c r="Z614" s="389">
        <f t="shared" si="272"/>
        <v>1.0999999999999999E-2</v>
      </c>
      <c r="AA614" s="389">
        <f t="shared" si="273"/>
        <v>0</v>
      </c>
      <c r="AB614" s="389">
        <f t="shared" si="274"/>
        <v>1E-4</v>
      </c>
      <c r="AC614" s="389">
        <f t="shared" si="275"/>
        <v>1E-4</v>
      </c>
      <c r="AD614" s="389">
        <f t="shared" si="276"/>
        <v>0</v>
      </c>
      <c r="AE614" s="389">
        <f t="shared" si="277"/>
        <v>0</v>
      </c>
      <c r="AG614" s="311" t="str">
        <f t="shared" si="278"/>
        <v>-</v>
      </c>
      <c r="AH614" s="453" t="str">
        <f t="shared" si="279"/>
        <v/>
      </c>
      <c r="AI614" s="453" t="str">
        <f t="shared" si="280"/>
        <v/>
      </c>
      <c r="AJ614" t="str">
        <f t="array" ref="AJ614">IF(AND(AI614&gt;1,G614&lt;&gt;""),INDEX(FS_teams,MATCH(1,(FS_Keys=AG614)*(FS_Points=I614)*(FS_teams&lt;&gt;G614),0)),"")</f>
        <v/>
      </c>
      <c r="AK614" s="390" t="str">
        <f t="array" ref="AK614">IF(AJ614&lt;&gt;"",INDEX(TM_Score1,MATCH(1,(TM_Events=D614)*(TM_Participant1=G614)*(TM_Participant2=AJ614),0)),"")</f>
        <v/>
      </c>
      <c r="AL614" s="390" t="str">
        <f t="array" ref="AL614">IF(AJ614&lt;&gt;"",INDEX(TM_Score1,MATCH(1,(TM_Events=D614)*(TM_Participant1=AJ614)*(TM_Participant2=G614),0)),"")</f>
        <v/>
      </c>
      <c r="AM614" s="389" t="str">
        <f t="array" ref="AM614">IF(ISNUMBER(AK614),INDEX(TM_Score2,MATCH(1,(TM_Events=D614)*(TM_Participant1=G614)*(TM_Participant2=AJ614),0)),"")</f>
        <v/>
      </c>
      <c r="AN614" s="389" t="str">
        <f t="array" ref="AN614">IF(ISNUMBER(AL614),INDEX(TM_Score2,MATCH(1,(TM_Events=D614)*(TM_Participant1=AJ614)*(TM_Participant2=G614),0)),"")</f>
        <v/>
      </c>
      <c r="AO614" s="389" t="str">
        <f t="shared" si="281"/>
        <v/>
      </c>
      <c r="AP614" s="389">
        <f t="shared" si="282"/>
        <v>0</v>
      </c>
      <c r="AQ614" s="389">
        <f t="shared" si="283"/>
        <v>0</v>
      </c>
      <c r="AR614" s="389">
        <f t="shared" si="284"/>
        <v>0</v>
      </c>
      <c r="AS614" s="453">
        <f t="shared" si="285"/>
        <v>0</v>
      </c>
      <c r="AT614" s="452">
        <f t="shared" si="286"/>
        <v>0</v>
      </c>
    </row>
    <row r="615" spans="2:46" ht="16" x14ac:dyDescent="0.2">
      <c r="B615"/>
      <c r="H615" s="387" t="str">
        <f t="shared" si="261"/>
        <v>0-0-0</v>
      </c>
      <c r="I615" s="389">
        <f t="shared" si="262"/>
        <v>0</v>
      </c>
      <c r="J615" s="455" t="str">
        <f t="shared" si="287"/>
        <v/>
      </c>
      <c r="K615" s="455">
        <f t="shared" si="263"/>
        <v>0</v>
      </c>
      <c r="L615" s="455">
        <f t="shared" si="288"/>
        <v>0</v>
      </c>
      <c r="M615" s="389" t="str">
        <f>IFERROR(IF(AD615&lt;=VLOOKUP(D615,Tournaments!$A$1:$B$1772,2,FALSE),"TRUE","FALSE"),"")</f>
        <v/>
      </c>
      <c r="N615" s="389">
        <v>1</v>
      </c>
      <c r="O615" s="389">
        <f t="shared" si="264"/>
        <v>0</v>
      </c>
      <c r="Q615" s="389">
        <f t="shared" si="265"/>
        <v>0</v>
      </c>
      <c r="R615" s="389">
        <f t="shared" si="266"/>
        <v>0</v>
      </c>
      <c r="S615" s="389">
        <f t="shared" si="267"/>
        <v>0</v>
      </c>
      <c r="U615" s="389">
        <f t="shared" si="268"/>
        <v>0</v>
      </c>
      <c r="V615" s="389" t="b">
        <f t="shared" si="269"/>
        <v>0</v>
      </c>
      <c r="W615" s="389">
        <f t="shared" si="270"/>
        <v>0</v>
      </c>
      <c r="X615" s="389">
        <f t="shared" si="271"/>
        <v>0</v>
      </c>
      <c r="Y615" s="389">
        <f t="shared" si="289"/>
        <v>1.0999999999999999E-2</v>
      </c>
      <c r="Z615" s="389">
        <f t="shared" si="272"/>
        <v>1.0999999999999999E-2</v>
      </c>
      <c r="AA615" s="389">
        <f t="shared" si="273"/>
        <v>0</v>
      </c>
      <c r="AB615" s="389">
        <f t="shared" si="274"/>
        <v>1E-4</v>
      </c>
      <c r="AC615" s="389">
        <f t="shared" si="275"/>
        <v>1E-4</v>
      </c>
      <c r="AD615" s="389">
        <f t="shared" si="276"/>
        <v>0</v>
      </c>
      <c r="AE615" s="389">
        <f t="shared" si="277"/>
        <v>0</v>
      </c>
      <c r="AG615" s="311" t="str">
        <f t="shared" si="278"/>
        <v>-</v>
      </c>
      <c r="AH615" s="453" t="str">
        <f t="shared" si="279"/>
        <v/>
      </c>
      <c r="AI615" s="453" t="str">
        <f t="shared" si="280"/>
        <v/>
      </c>
      <c r="AJ615" t="str">
        <f t="array" ref="AJ615">IF(AND(AI615&gt;1,G615&lt;&gt;""),INDEX(FS_teams,MATCH(1,(FS_Keys=AG615)*(FS_Points=I615)*(FS_teams&lt;&gt;G615),0)),"")</f>
        <v/>
      </c>
      <c r="AK615" s="390" t="str">
        <f t="array" ref="AK615">IF(AJ615&lt;&gt;"",INDEX(TM_Score1,MATCH(1,(TM_Events=D615)*(TM_Participant1=G615)*(TM_Participant2=AJ615),0)),"")</f>
        <v/>
      </c>
      <c r="AL615" s="390" t="str">
        <f t="array" ref="AL615">IF(AJ615&lt;&gt;"",INDEX(TM_Score1,MATCH(1,(TM_Events=D615)*(TM_Participant1=AJ615)*(TM_Participant2=G615),0)),"")</f>
        <v/>
      </c>
      <c r="AM615" s="389" t="str">
        <f t="array" ref="AM615">IF(ISNUMBER(AK615),INDEX(TM_Score2,MATCH(1,(TM_Events=D615)*(TM_Participant1=G615)*(TM_Participant2=AJ615),0)),"")</f>
        <v/>
      </c>
      <c r="AN615" s="389" t="str">
        <f t="array" ref="AN615">IF(ISNUMBER(AL615),INDEX(TM_Score2,MATCH(1,(TM_Events=D615)*(TM_Participant1=AJ615)*(TM_Participant2=G615),0)),"")</f>
        <v/>
      </c>
      <c r="AO615" s="389" t="str">
        <f t="shared" si="281"/>
        <v/>
      </c>
      <c r="AP615" s="389">
        <f t="shared" si="282"/>
        <v>0</v>
      </c>
      <c r="AQ615" s="389">
        <f t="shared" si="283"/>
        <v>0</v>
      </c>
      <c r="AR615" s="389">
        <f t="shared" si="284"/>
        <v>0</v>
      </c>
      <c r="AS615" s="453">
        <f t="shared" si="285"/>
        <v>0</v>
      </c>
      <c r="AT615" s="452">
        <f t="shared" si="286"/>
        <v>0</v>
      </c>
    </row>
    <row r="616" spans="2:46" ht="16" x14ac:dyDescent="0.2">
      <c r="B616"/>
      <c r="H616" s="387" t="str">
        <f t="shared" si="261"/>
        <v>0-0-0</v>
      </c>
      <c r="I616" s="389">
        <f t="shared" si="262"/>
        <v>0</v>
      </c>
      <c r="J616" s="455" t="str">
        <f t="shared" si="287"/>
        <v/>
      </c>
      <c r="K616" s="455">
        <f t="shared" si="263"/>
        <v>0</v>
      </c>
      <c r="L616" s="455">
        <f t="shared" si="288"/>
        <v>0</v>
      </c>
      <c r="M616" s="389" t="str">
        <f>IFERROR(IF(AD616&lt;=VLOOKUP(D616,Tournaments!$A$1:$B$1772,2,FALSE),"TRUE","FALSE"),"")</f>
        <v/>
      </c>
      <c r="N616" s="389">
        <v>1</v>
      </c>
      <c r="O616" s="389">
        <f t="shared" si="264"/>
        <v>0</v>
      </c>
      <c r="Q616" s="389">
        <f t="shared" si="265"/>
        <v>0</v>
      </c>
      <c r="R616" s="389">
        <f t="shared" si="266"/>
        <v>0</v>
      </c>
      <c r="S616" s="389">
        <f t="shared" si="267"/>
        <v>0</v>
      </c>
      <c r="U616" s="389">
        <f t="shared" si="268"/>
        <v>0</v>
      </c>
      <c r="V616" s="389" t="b">
        <f t="shared" si="269"/>
        <v>0</v>
      </c>
      <c r="W616" s="389">
        <f t="shared" si="270"/>
        <v>0</v>
      </c>
      <c r="X616" s="389">
        <f t="shared" si="271"/>
        <v>0</v>
      </c>
      <c r="Y616" s="389">
        <f t="shared" si="289"/>
        <v>1.0999999999999999E-2</v>
      </c>
      <c r="Z616" s="389">
        <f t="shared" si="272"/>
        <v>1.0999999999999999E-2</v>
      </c>
      <c r="AA616" s="389">
        <f t="shared" si="273"/>
        <v>0</v>
      </c>
      <c r="AB616" s="389">
        <f t="shared" si="274"/>
        <v>1E-4</v>
      </c>
      <c r="AC616" s="389">
        <f t="shared" si="275"/>
        <v>1E-4</v>
      </c>
      <c r="AD616" s="389">
        <f t="shared" si="276"/>
        <v>0</v>
      </c>
      <c r="AE616" s="389">
        <f t="shared" si="277"/>
        <v>0</v>
      </c>
      <c r="AG616" s="311" t="str">
        <f t="shared" si="278"/>
        <v>-</v>
      </c>
      <c r="AH616" s="453" t="str">
        <f t="shared" si="279"/>
        <v/>
      </c>
      <c r="AI616" s="453" t="str">
        <f t="shared" si="280"/>
        <v/>
      </c>
      <c r="AJ616" t="str">
        <f t="array" ref="AJ616">IF(AND(AI616&gt;1,G616&lt;&gt;""),INDEX(FS_teams,MATCH(1,(FS_Keys=AG616)*(FS_Points=I616)*(FS_teams&lt;&gt;G616),0)),"")</f>
        <v/>
      </c>
      <c r="AK616" s="390" t="str">
        <f t="array" ref="AK616">IF(AJ616&lt;&gt;"",INDEX(TM_Score1,MATCH(1,(TM_Events=D616)*(TM_Participant1=G616)*(TM_Participant2=AJ616),0)),"")</f>
        <v/>
      </c>
      <c r="AL616" s="390" t="str">
        <f t="array" ref="AL616">IF(AJ616&lt;&gt;"",INDEX(TM_Score1,MATCH(1,(TM_Events=D616)*(TM_Participant1=AJ616)*(TM_Participant2=G616),0)),"")</f>
        <v/>
      </c>
      <c r="AM616" s="389" t="str">
        <f t="array" ref="AM616">IF(ISNUMBER(AK616),INDEX(TM_Score2,MATCH(1,(TM_Events=D616)*(TM_Participant1=G616)*(TM_Participant2=AJ616),0)),"")</f>
        <v/>
      </c>
      <c r="AN616" s="389" t="str">
        <f t="array" ref="AN616">IF(ISNUMBER(AL616),INDEX(TM_Score2,MATCH(1,(TM_Events=D616)*(TM_Participant1=AJ616)*(TM_Participant2=G616),0)),"")</f>
        <v/>
      </c>
      <c r="AO616" s="389" t="str">
        <f t="shared" si="281"/>
        <v/>
      </c>
      <c r="AP616" s="389">
        <f t="shared" si="282"/>
        <v>0</v>
      </c>
      <c r="AQ616" s="389">
        <f t="shared" si="283"/>
        <v>0</v>
      </c>
      <c r="AR616" s="389">
        <f t="shared" si="284"/>
        <v>0</v>
      </c>
      <c r="AS616" s="453">
        <f t="shared" si="285"/>
        <v>0</v>
      </c>
      <c r="AT616" s="452">
        <f t="shared" si="286"/>
        <v>0</v>
      </c>
    </row>
    <row r="617" spans="2:46" ht="16" x14ac:dyDescent="0.2">
      <c r="B617"/>
      <c r="H617" s="387" t="str">
        <f t="shared" si="261"/>
        <v>0-0-0</v>
      </c>
      <c r="I617" s="389">
        <f t="shared" si="262"/>
        <v>0</v>
      </c>
      <c r="J617" s="455" t="str">
        <f t="shared" si="287"/>
        <v/>
      </c>
      <c r="K617" s="455">
        <f t="shared" si="263"/>
        <v>0</v>
      </c>
      <c r="L617" s="455">
        <f t="shared" si="288"/>
        <v>0</v>
      </c>
      <c r="M617" s="389" t="str">
        <f>IFERROR(IF(AD617&lt;=VLOOKUP(D617,Tournaments!$A$1:$B$1772,2,FALSE),"TRUE","FALSE"),"")</f>
        <v/>
      </c>
      <c r="N617" s="389">
        <v>1</v>
      </c>
      <c r="O617" s="389">
        <f t="shared" si="264"/>
        <v>0</v>
      </c>
      <c r="Q617" s="389">
        <f t="shared" si="265"/>
        <v>0</v>
      </c>
      <c r="R617" s="389">
        <f t="shared" si="266"/>
        <v>0</v>
      </c>
      <c r="S617" s="389">
        <f t="shared" si="267"/>
        <v>0</v>
      </c>
      <c r="U617" s="389">
        <f t="shared" si="268"/>
        <v>0</v>
      </c>
      <c r="V617" s="389" t="b">
        <f t="shared" si="269"/>
        <v>0</v>
      </c>
      <c r="W617" s="389">
        <f t="shared" si="270"/>
        <v>0</v>
      </c>
      <c r="X617" s="389">
        <f t="shared" si="271"/>
        <v>0</v>
      </c>
      <c r="Y617" s="389">
        <f t="shared" si="289"/>
        <v>1.0999999999999999E-2</v>
      </c>
      <c r="Z617" s="389">
        <f t="shared" si="272"/>
        <v>1.0999999999999999E-2</v>
      </c>
      <c r="AA617" s="389">
        <f t="shared" si="273"/>
        <v>0</v>
      </c>
      <c r="AB617" s="389">
        <f t="shared" si="274"/>
        <v>1E-4</v>
      </c>
      <c r="AC617" s="389">
        <f t="shared" si="275"/>
        <v>1E-4</v>
      </c>
      <c r="AD617" s="389">
        <f t="shared" si="276"/>
        <v>0</v>
      </c>
      <c r="AE617" s="389">
        <f t="shared" si="277"/>
        <v>0</v>
      </c>
      <c r="AG617" s="311" t="str">
        <f t="shared" si="278"/>
        <v>-</v>
      </c>
      <c r="AH617" s="453" t="str">
        <f t="shared" si="279"/>
        <v/>
      </c>
      <c r="AI617" s="453" t="str">
        <f t="shared" si="280"/>
        <v/>
      </c>
      <c r="AJ617" t="str">
        <f t="array" ref="AJ617">IF(AND(AI617&gt;1,G617&lt;&gt;""),INDEX(FS_teams,MATCH(1,(FS_Keys=AG617)*(FS_Points=I617)*(FS_teams&lt;&gt;G617),0)),"")</f>
        <v/>
      </c>
      <c r="AK617" s="390" t="str">
        <f t="array" ref="AK617">IF(AJ617&lt;&gt;"",INDEX(TM_Score1,MATCH(1,(TM_Events=D617)*(TM_Participant1=G617)*(TM_Participant2=AJ617),0)),"")</f>
        <v/>
      </c>
      <c r="AL617" s="390" t="str">
        <f t="array" ref="AL617">IF(AJ617&lt;&gt;"",INDEX(TM_Score1,MATCH(1,(TM_Events=D617)*(TM_Participant1=AJ617)*(TM_Participant2=G617),0)),"")</f>
        <v/>
      </c>
      <c r="AM617" s="389" t="str">
        <f t="array" ref="AM617">IF(ISNUMBER(AK617),INDEX(TM_Score2,MATCH(1,(TM_Events=D617)*(TM_Participant1=G617)*(TM_Participant2=AJ617),0)),"")</f>
        <v/>
      </c>
      <c r="AN617" s="389" t="str">
        <f t="array" ref="AN617">IF(ISNUMBER(AL617),INDEX(TM_Score2,MATCH(1,(TM_Events=D617)*(TM_Participant1=AJ617)*(TM_Participant2=G617),0)),"")</f>
        <v/>
      </c>
      <c r="AO617" s="389" t="str">
        <f t="shared" si="281"/>
        <v/>
      </c>
      <c r="AP617" s="389">
        <f t="shared" si="282"/>
        <v>0</v>
      </c>
      <c r="AQ617" s="389">
        <f t="shared" si="283"/>
        <v>0</v>
      </c>
      <c r="AR617" s="389">
        <f t="shared" si="284"/>
        <v>0</v>
      </c>
      <c r="AS617" s="453">
        <f t="shared" si="285"/>
        <v>0</v>
      </c>
      <c r="AT617" s="452">
        <f t="shared" si="286"/>
        <v>0</v>
      </c>
    </row>
    <row r="618" spans="2:46" ht="16" x14ac:dyDescent="0.2">
      <c r="B618"/>
      <c r="H618" s="387" t="str">
        <f t="shared" si="261"/>
        <v>0-0-0</v>
      </c>
      <c r="I618" s="389">
        <f t="shared" si="262"/>
        <v>0</v>
      </c>
      <c r="J618" s="455" t="str">
        <f t="shared" si="287"/>
        <v/>
      </c>
      <c r="K618" s="455">
        <f t="shared" si="263"/>
        <v>0</v>
      </c>
      <c r="L618" s="455">
        <f t="shared" si="288"/>
        <v>0</v>
      </c>
      <c r="M618" s="389" t="str">
        <f>IFERROR(IF(AD618&lt;=VLOOKUP(D618,Tournaments!$A$1:$B$1772,2,FALSE),"TRUE","FALSE"),"")</f>
        <v/>
      </c>
      <c r="N618" s="389">
        <v>1</v>
      </c>
      <c r="O618" s="389">
        <f t="shared" si="264"/>
        <v>0</v>
      </c>
      <c r="Q618" s="389">
        <f t="shared" si="265"/>
        <v>0</v>
      </c>
      <c r="R618" s="389">
        <f t="shared" si="266"/>
        <v>0</v>
      </c>
      <c r="S618" s="389">
        <f t="shared" si="267"/>
        <v>0</v>
      </c>
      <c r="U618" s="389">
        <f t="shared" si="268"/>
        <v>0</v>
      </c>
      <c r="V618" s="389" t="b">
        <f t="shared" si="269"/>
        <v>0</v>
      </c>
      <c r="W618" s="389">
        <f t="shared" si="270"/>
        <v>0</v>
      </c>
      <c r="X618" s="389">
        <f t="shared" si="271"/>
        <v>0</v>
      </c>
      <c r="Y618" s="389">
        <f t="shared" si="289"/>
        <v>1.0999999999999999E-2</v>
      </c>
      <c r="Z618" s="389">
        <f t="shared" si="272"/>
        <v>1.0999999999999999E-2</v>
      </c>
      <c r="AA618" s="389">
        <f t="shared" si="273"/>
        <v>0</v>
      </c>
      <c r="AB618" s="389">
        <f t="shared" si="274"/>
        <v>1E-4</v>
      </c>
      <c r="AC618" s="389">
        <f t="shared" si="275"/>
        <v>1E-4</v>
      </c>
      <c r="AD618" s="389">
        <f t="shared" si="276"/>
        <v>0</v>
      </c>
      <c r="AE618" s="389">
        <f t="shared" si="277"/>
        <v>0</v>
      </c>
      <c r="AG618" s="311" t="str">
        <f t="shared" si="278"/>
        <v>-</v>
      </c>
      <c r="AH618" s="453" t="str">
        <f t="shared" si="279"/>
        <v/>
      </c>
      <c r="AI618" s="453" t="str">
        <f t="shared" si="280"/>
        <v/>
      </c>
      <c r="AJ618" t="str">
        <f t="array" ref="AJ618">IF(AND(AI618&gt;1,G618&lt;&gt;""),INDEX(FS_teams,MATCH(1,(FS_Keys=AG618)*(FS_Points=I618)*(FS_teams&lt;&gt;G618),0)),"")</f>
        <v/>
      </c>
      <c r="AK618" s="390" t="str">
        <f t="array" ref="AK618">IF(AJ618&lt;&gt;"",INDEX(TM_Score1,MATCH(1,(TM_Events=D618)*(TM_Participant1=G618)*(TM_Participant2=AJ618),0)),"")</f>
        <v/>
      </c>
      <c r="AL618" s="390" t="str">
        <f t="array" ref="AL618">IF(AJ618&lt;&gt;"",INDEX(TM_Score1,MATCH(1,(TM_Events=D618)*(TM_Participant1=AJ618)*(TM_Participant2=G618),0)),"")</f>
        <v/>
      </c>
      <c r="AM618" s="389" t="str">
        <f t="array" ref="AM618">IF(ISNUMBER(AK618),INDEX(TM_Score2,MATCH(1,(TM_Events=D618)*(TM_Participant1=G618)*(TM_Participant2=AJ618),0)),"")</f>
        <v/>
      </c>
      <c r="AN618" s="389" t="str">
        <f t="array" ref="AN618">IF(ISNUMBER(AL618),INDEX(TM_Score2,MATCH(1,(TM_Events=D618)*(TM_Participant1=AJ618)*(TM_Participant2=G618),0)),"")</f>
        <v/>
      </c>
      <c r="AO618" s="389" t="str">
        <f t="shared" si="281"/>
        <v/>
      </c>
      <c r="AP618" s="389">
        <f t="shared" si="282"/>
        <v>0</v>
      </c>
      <c r="AQ618" s="389">
        <f t="shared" si="283"/>
        <v>0</v>
      </c>
      <c r="AR618" s="389">
        <f t="shared" si="284"/>
        <v>0</v>
      </c>
      <c r="AS618" s="453">
        <f t="shared" si="285"/>
        <v>0</v>
      </c>
      <c r="AT618" s="452">
        <f t="shared" si="286"/>
        <v>0</v>
      </c>
    </row>
    <row r="619" spans="2:46" ht="16" x14ac:dyDescent="0.2">
      <c r="B619"/>
      <c r="H619" s="387" t="str">
        <f t="shared" si="261"/>
        <v>0-0-0</v>
      </c>
      <c r="I619" s="389">
        <f t="shared" si="262"/>
        <v>0</v>
      </c>
      <c r="J619" s="455" t="str">
        <f t="shared" si="287"/>
        <v/>
      </c>
      <c r="K619" s="455">
        <f t="shared" si="263"/>
        <v>0</v>
      </c>
      <c r="L619" s="455">
        <f t="shared" si="288"/>
        <v>0</v>
      </c>
      <c r="M619" s="389" t="str">
        <f>IFERROR(IF(AD619&lt;=VLOOKUP(D619,Tournaments!$A$1:$B$1772,2,FALSE),"TRUE","FALSE"),"")</f>
        <v/>
      </c>
      <c r="N619" s="389">
        <v>1</v>
      </c>
      <c r="O619" s="389">
        <f t="shared" si="264"/>
        <v>0</v>
      </c>
      <c r="Q619" s="389">
        <f t="shared" si="265"/>
        <v>0</v>
      </c>
      <c r="R619" s="389">
        <f t="shared" si="266"/>
        <v>0</v>
      </c>
      <c r="S619" s="389">
        <f t="shared" si="267"/>
        <v>0</v>
      </c>
      <c r="U619" s="389">
        <f t="shared" si="268"/>
        <v>0</v>
      </c>
      <c r="V619" s="389" t="b">
        <f t="shared" si="269"/>
        <v>0</v>
      </c>
      <c r="W619" s="389">
        <f t="shared" si="270"/>
        <v>0</v>
      </c>
      <c r="X619" s="389">
        <f t="shared" si="271"/>
        <v>0</v>
      </c>
      <c r="Y619" s="389">
        <f t="shared" si="289"/>
        <v>1.0999999999999999E-2</v>
      </c>
      <c r="Z619" s="389">
        <f t="shared" si="272"/>
        <v>1.0999999999999999E-2</v>
      </c>
      <c r="AA619" s="389">
        <f t="shared" si="273"/>
        <v>0</v>
      </c>
      <c r="AB619" s="389">
        <f t="shared" si="274"/>
        <v>1E-4</v>
      </c>
      <c r="AC619" s="389">
        <f t="shared" si="275"/>
        <v>1E-4</v>
      </c>
      <c r="AD619" s="389">
        <f t="shared" si="276"/>
        <v>0</v>
      </c>
      <c r="AE619" s="389">
        <f t="shared" si="277"/>
        <v>0</v>
      </c>
      <c r="AG619" s="311" t="str">
        <f t="shared" si="278"/>
        <v>-</v>
      </c>
      <c r="AH619" s="453" t="str">
        <f t="shared" si="279"/>
        <v/>
      </c>
      <c r="AI619" s="453" t="str">
        <f t="shared" si="280"/>
        <v/>
      </c>
      <c r="AJ619" t="str">
        <f t="array" ref="AJ619">IF(AND(AI619&gt;1,G619&lt;&gt;""),INDEX(FS_teams,MATCH(1,(FS_Keys=AG619)*(FS_Points=I619)*(FS_teams&lt;&gt;G619),0)),"")</f>
        <v/>
      </c>
      <c r="AK619" s="390" t="str">
        <f t="array" ref="AK619">IF(AJ619&lt;&gt;"",INDEX(TM_Score1,MATCH(1,(TM_Events=D619)*(TM_Participant1=G619)*(TM_Participant2=AJ619),0)),"")</f>
        <v/>
      </c>
      <c r="AL619" s="390" t="str">
        <f t="array" ref="AL619">IF(AJ619&lt;&gt;"",INDEX(TM_Score1,MATCH(1,(TM_Events=D619)*(TM_Participant1=AJ619)*(TM_Participant2=G619),0)),"")</f>
        <v/>
      </c>
      <c r="AM619" s="389" t="str">
        <f t="array" ref="AM619">IF(ISNUMBER(AK619),INDEX(TM_Score2,MATCH(1,(TM_Events=D619)*(TM_Participant1=G619)*(TM_Participant2=AJ619),0)),"")</f>
        <v/>
      </c>
      <c r="AN619" s="389" t="str">
        <f t="array" ref="AN619">IF(ISNUMBER(AL619),INDEX(TM_Score2,MATCH(1,(TM_Events=D619)*(TM_Participant1=AJ619)*(TM_Participant2=G619),0)),"")</f>
        <v/>
      </c>
      <c r="AO619" s="389" t="str">
        <f t="shared" si="281"/>
        <v/>
      </c>
      <c r="AP619" s="389">
        <f t="shared" si="282"/>
        <v>0</v>
      </c>
      <c r="AQ619" s="389">
        <f t="shared" si="283"/>
        <v>0</v>
      </c>
      <c r="AR619" s="389">
        <f t="shared" si="284"/>
        <v>0</v>
      </c>
      <c r="AS619" s="453">
        <f t="shared" si="285"/>
        <v>0</v>
      </c>
      <c r="AT619" s="452">
        <f t="shared" si="286"/>
        <v>0</v>
      </c>
    </row>
    <row r="620" spans="2:46" ht="16" x14ac:dyDescent="0.2">
      <c r="B620"/>
      <c r="H620" s="387" t="str">
        <f t="shared" si="261"/>
        <v>0-0-0</v>
      </c>
      <c r="I620" s="389">
        <f t="shared" si="262"/>
        <v>0</v>
      </c>
      <c r="J620" s="455" t="str">
        <f t="shared" si="287"/>
        <v/>
      </c>
      <c r="K620" s="455">
        <f t="shared" si="263"/>
        <v>0</v>
      </c>
      <c r="L620" s="455">
        <f t="shared" si="288"/>
        <v>0</v>
      </c>
      <c r="M620" s="389" t="str">
        <f>IFERROR(IF(AD620&lt;=VLOOKUP(D620,Tournaments!$A$1:$B$1772,2,FALSE),"TRUE","FALSE"),"")</f>
        <v/>
      </c>
      <c r="N620" s="389">
        <v>1</v>
      </c>
      <c r="O620" s="389">
        <f t="shared" si="264"/>
        <v>0</v>
      </c>
      <c r="Q620" s="389">
        <f t="shared" si="265"/>
        <v>0</v>
      </c>
      <c r="R620" s="389">
        <f t="shared" si="266"/>
        <v>0</v>
      </c>
      <c r="S620" s="389">
        <f t="shared" si="267"/>
        <v>0</v>
      </c>
      <c r="U620" s="389">
        <f t="shared" si="268"/>
        <v>0</v>
      </c>
      <c r="V620" s="389" t="b">
        <f t="shared" si="269"/>
        <v>0</v>
      </c>
      <c r="W620" s="389">
        <f t="shared" si="270"/>
        <v>0</v>
      </c>
      <c r="X620" s="389">
        <f t="shared" si="271"/>
        <v>0</v>
      </c>
      <c r="Y620" s="389">
        <f t="shared" si="289"/>
        <v>1.0999999999999999E-2</v>
      </c>
      <c r="Z620" s="389">
        <f t="shared" si="272"/>
        <v>1.0999999999999999E-2</v>
      </c>
      <c r="AA620" s="389">
        <f t="shared" si="273"/>
        <v>0</v>
      </c>
      <c r="AB620" s="389">
        <f t="shared" si="274"/>
        <v>1E-4</v>
      </c>
      <c r="AC620" s="389">
        <f t="shared" si="275"/>
        <v>1E-4</v>
      </c>
      <c r="AD620" s="389">
        <f t="shared" si="276"/>
        <v>0</v>
      </c>
      <c r="AE620" s="389">
        <f t="shared" si="277"/>
        <v>0</v>
      </c>
      <c r="AG620" s="311" t="str">
        <f t="shared" si="278"/>
        <v>-</v>
      </c>
      <c r="AH620" s="453" t="str">
        <f t="shared" si="279"/>
        <v/>
      </c>
      <c r="AI620" s="453" t="str">
        <f t="shared" si="280"/>
        <v/>
      </c>
      <c r="AJ620" t="str">
        <f t="array" ref="AJ620">IF(AND(AI620&gt;1,G620&lt;&gt;""),INDEX(FS_teams,MATCH(1,(FS_Keys=AG620)*(FS_Points=I620)*(FS_teams&lt;&gt;G620),0)),"")</f>
        <v/>
      </c>
      <c r="AK620" s="390" t="str">
        <f t="array" ref="AK620">IF(AJ620&lt;&gt;"",INDEX(TM_Score1,MATCH(1,(TM_Events=D620)*(TM_Participant1=G620)*(TM_Participant2=AJ620),0)),"")</f>
        <v/>
      </c>
      <c r="AL620" s="390" t="str">
        <f t="array" ref="AL620">IF(AJ620&lt;&gt;"",INDEX(TM_Score1,MATCH(1,(TM_Events=D620)*(TM_Participant1=AJ620)*(TM_Participant2=G620),0)),"")</f>
        <v/>
      </c>
      <c r="AM620" s="389" t="str">
        <f t="array" ref="AM620">IF(ISNUMBER(AK620),INDEX(TM_Score2,MATCH(1,(TM_Events=D620)*(TM_Participant1=G620)*(TM_Participant2=AJ620),0)),"")</f>
        <v/>
      </c>
      <c r="AN620" s="389" t="str">
        <f t="array" ref="AN620">IF(ISNUMBER(AL620),INDEX(TM_Score2,MATCH(1,(TM_Events=D620)*(TM_Participant1=AJ620)*(TM_Participant2=G620),0)),"")</f>
        <v/>
      </c>
      <c r="AO620" s="389" t="str">
        <f t="shared" si="281"/>
        <v/>
      </c>
      <c r="AP620" s="389">
        <f t="shared" si="282"/>
        <v>0</v>
      </c>
      <c r="AQ620" s="389">
        <f t="shared" si="283"/>
        <v>0</v>
      </c>
      <c r="AR620" s="389">
        <f t="shared" si="284"/>
        <v>0</v>
      </c>
      <c r="AS620" s="453">
        <f t="shared" si="285"/>
        <v>0</v>
      </c>
      <c r="AT620" s="452">
        <f t="shared" si="286"/>
        <v>0</v>
      </c>
    </row>
    <row r="621" spans="2:46" ht="16" x14ac:dyDescent="0.2">
      <c r="B621"/>
      <c r="H621" s="387" t="str">
        <f t="shared" si="261"/>
        <v>0-0-0</v>
      </c>
      <c r="I621" s="389">
        <f t="shared" si="262"/>
        <v>0</v>
      </c>
      <c r="J621" s="455" t="str">
        <f t="shared" si="287"/>
        <v/>
      </c>
      <c r="K621" s="455">
        <f t="shared" si="263"/>
        <v>0</v>
      </c>
      <c r="L621" s="455">
        <f t="shared" si="288"/>
        <v>0</v>
      </c>
      <c r="M621" s="389" t="str">
        <f>IFERROR(IF(AD621&lt;=VLOOKUP(D621,Tournaments!$A$1:$B$1772,2,FALSE),"TRUE","FALSE"),"")</f>
        <v/>
      </c>
      <c r="N621" s="389">
        <v>1</v>
      </c>
      <c r="O621" s="389">
        <f t="shared" si="264"/>
        <v>0</v>
      </c>
      <c r="Q621" s="389">
        <f t="shared" si="265"/>
        <v>0</v>
      </c>
      <c r="R621" s="389">
        <f t="shared" si="266"/>
        <v>0</v>
      </c>
      <c r="S621" s="389">
        <f t="shared" si="267"/>
        <v>0</v>
      </c>
      <c r="U621" s="389">
        <f t="shared" si="268"/>
        <v>0</v>
      </c>
      <c r="V621" s="389" t="b">
        <f t="shared" si="269"/>
        <v>0</v>
      </c>
      <c r="W621" s="389">
        <f t="shared" si="270"/>
        <v>0</v>
      </c>
      <c r="X621" s="389">
        <f t="shared" si="271"/>
        <v>0</v>
      </c>
      <c r="Y621" s="389">
        <f t="shared" si="289"/>
        <v>1.0999999999999999E-2</v>
      </c>
      <c r="Z621" s="389">
        <f t="shared" si="272"/>
        <v>1.0999999999999999E-2</v>
      </c>
      <c r="AA621" s="389">
        <f t="shared" si="273"/>
        <v>0</v>
      </c>
      <c r="AB621" s="389">
        <f t="shared" si="274"/>
        <v>1E-4</v>
      </c>
      <c r="AC621" s="389">
        <f t="shared" si="275"/>
        <v>1E-4</v>
      </c>
      <c r="AD621" s="389">
        <f t="shared" si="276"/>
        <v>0</v>
      </c>
      <c r="AE621" s="389">
        <f t="shared" si="277"/>
        <v>0</v>
      </c>
      <c r="AG621" s="311" t="str">
        <f t="shared" si="278"/>
        <v>-</v>
      </c>
      <c r="AH621" s="453" t="str">
        <f t="shared" si="279"/>
        <v/>
      </c>
      <c r="AI621" s="453" t="str">
        <f t="shared" si="280"/>
        <v/>
      </c>
      <c r="AJ621" t="str">
        <f t="array" ref="AJ621">IF(AND(AI621&gt;1,G621&lt;&gt;""),INDEX(FS_teams,MATCH(1,(FS_Keys=AG621)*(FS_Points=I621)*(FS_teams&lt;&gt;G621),0)),"")</f>
        <v/>
      </c>
      <c r="AK621" s="390" t="str">
        <f t="array" ref="AK621">IF(AJ621&lt;&gt;"",INDEX(TM_Score1,MATCH(1,(TM_Events=D621)*(TM_Participant1=G621)*(TM_Participant2=AJ621),0)),"")</f>
        <v/>
      </c>
      <c r="AL621" s="390" t="str">
        <f t="array" ref="AL621">IF(AJ621&lt;&gt;"",INDEX(TM_Score1,MATCH(1,(TM_Events=D621)*(TM_Participant1=AJ621)*(TM_Participant2=G621),0)),"")</f>
        <v/>
      </c>
      <c r="AM621" s="389" t="str">
        <f t="array" ref="AM621">IF(ISNUMBER(AK621),INDEX(TM_Score2,MATCH(1,(TM_Events=D621)*(TM_Participant1=G621)*(TM_Participant2=AJ621),0)),"")</f>
        <v/>
      </c>
      <c r="AN621" s="389" t="str">
        <f t="array" ref="AN621">IF(ISNUMBER(AL621),INDEX(TM_Score2,MATCH(1,(TM_Events=D621)*(TM_Participant1=AJ621)*(TM_Participant2=G621),0)),"")</f>
        <v/>
      </c>
      <c r="AO621" s="389" t="str">
        <f t="shared" si="281"/>
        <v/>
      </c>
      <c r="AP621" s="389">
        <f t="shared" si="282"/>
        <v>0</v>
      </c>
      <c r="AQ621" s="389">
        <f t="shared" si="283"/>
        <v>0</v>
      </c>
      <c r="AR621" s="389">
        <f t="shared" si="284"/>
        <v>0</v>
      </c>
      <c r="AS621" s="453">
        <f t="shared" si="285"/>
        <v>0</v>
      </c>
      <c r="AT621" s="452">
        <f t="shared" si="286"/>
        <v>0</v>
      </c>
    </row>
    <row r="622" spans="2:46" ht="16" x14ac:dyDescent="0.2">
      <c r="B622"/>
      <c r="H622" s="387" t="str">
        <f t="shared" si="261"/>
        <v>0-0-0</v>
      </c>
      <c r="I622" s="389">
        <f t="shared" si="262"/>
        <v>0</v>
      </c>
      <c r="J622" s="455" t="str">
        <f t="shared" si="287"/>
        <v/>
      </c>
      <c r="K622" s="455">
        <f t="shared" si="263"/>
        <v>0</v>
      </c>
      <c r="L622" s="455">
        <f t="shared" si="288"/>
        <v>0</v>
      </c>
      <c r="M622" s="389" t="str">
        <f>IFERROR(IF(AD622&lt;=VLOOKUP(D622,Tournaments!$A$1:$B$1772,2,FALSE),"TRUE","FALSE"),"")</f>
        <v/>
      </c>
      <c r="N622" s="389">
        <v>1</v>
      </c>
      <c r="O622" s="389">
        <f t="shared" si="264"/>
        <v>0</v>
      </c>
      <c r="Q622" s="389">
        <f t="shared" si="265"/>
        <v>0</v>
      </c>
      <c r="R622" s="389">
        <f t="shared" si="266"/>
        <v>0</v>
      </c>
      <c r="S622" s="389">
        <f t="shared" si="267"/>
        <v>0</v>
      </c>
      <c r="U622" s="389">
        <f t="shared" si="268"/>
        <v>0</v>
      </c>
      <c r="V622" s="389" t="b">
        <f t="shared" si="269"/>
        <v>0</v>
      </c>
      <c r="W622" s="389">
        <f t="shared" si="270"/>
        <v>0</v>
      </c>
      <c r="X622" s="389">
        <f t="shared" si="271"/>
        <v>0</v>
      </c>
      <c r="Y622" s="389">
        <f t="shared" si="289"/>
        <v>1.0999999999999999E-2</v>
      </c>
      <c r="Z622" s="389">
        <f t="shared" si="272"/>
        <v>1.0999999999999999E-2</v>
      </c>
      <c r="AA622" s="389">
        <f t="shared" si="273"/>
        <v>0</v>
      </c>
      <c r="AB622" s="389">
        <f t="shared" si="274"/>
        <v>1E-4</v>
      </c>
      <c r="AC622" s="389">
        <f t="shared" si="275"/>
        <v>1E-4</v>
      </c>
      <c r="AD622" s="389">
        <f t="shared" si="276"/>
        <v>0</v>
      </c>
      <c r="AE622" s="389">
        <f t="shared" si="277"/>
        <v>0</v>
      </c>
      <c r="AG622" s="311" t="str">
        <f t="shared" si="278"/>
        <v>-</v>
      </c>
      <c r="AH622" s="453" t="str">
        <f t="shared" si="279"/>
        <v/>
      </c>
      <c r="AI622" s="453" t="str">
        <f t="shared" si="280"/>
        <v/>
      </c>
      <c r="AJ622" t="str">
        <f t="array" ref="AJ622">IF(AND(AI622&gt;1,G622&lt;&gt;""),INDEX(FS_teams,MATCH(1,(FS_Keys=AG622)*(FS_Points=I622)*(FS_teams&lt;&gt;G622),0)),"")</f>
        <v/>
      </c>
      <c r="AK622" s="390" t="str">
        <f t="array" ref="AK622">IF(AJ622&lt;&gt;"",INDEX(TM_Score1,MATCH(1,(TM_Events=D622)*(TM_Participant1=G622)*(TM_Participant2=AJ622),0)),"")</f>
        <v/>
      </c>
      <c r="AL622" s="390" t="str">
        <f t="array" ref="AL622">IF(AJ622&lt;&gt;"",INDEX(TM_Score1,MATCH(1,(TM_Events=D622)*(TM_Participant1=AJ622)*(TM_Participant2=G622),0)),"")</f>
        <v/>
      </c>
      <c r="AM622" s="389" t="str">
        <f t="array" ref="AM622">IF(ISNUMBER(AK622),INDEX(TM_Score2,MATCH(1,(TM_Events=D622)*(TM_Participant1=G622)*(TM_Participant2=AJ622),0)),"")</f>
        <v/>
      </c>
      <c r="AN622" s="389" t="str">
        <f t="array" ref="AN622">IF(ISNUMBER(AL622),INDEX(TM_Score2,MATCH(1,(TM_Events=D622)*(TM_Participant1=AJ622)*(TM_Participant2=G622),0)),"")</f>
        <v/>
      </c>
      <c r="AO622" s="389" t="str">
        <f t="shared" si="281"/>
        <v/>
      </c>
      <c r="AP622" s="389">
        <f t="shared" si="282"/>
        <v>0</v>
      </c>
      <c r="AQ622" s="389">
        <f t="shared" si="283"/>
        <v>0</v>
      </c>
      <c r="AR622" s="389">
        <f t="shared" si="284"/>
        <v>0</v>
      </c>
      <c r="AS622" s="453">
        <f t="shared" si="285"/>
        <v>0</v>
      </c>
      <c r="AT622" s="452">
        <f t="shared" si="286"/>
        <v>0</v>
      </c>
    </row>
    <row r="623" spans="2:46" ht="16" x14ac:dyDescent="0.2">
      <c r="B623"/>
      <c r="H623" s="387" t="str">
        <f t="shared" si="261"/>
        <v>0-0-0</v>
      </c>
      <c r="I623" s="389">
        <f t="shared" si="262"/>
        <v>0</v>
      </c>
      <c r="J623" s="455" t="str">
        <f t="shared" si="287"/>
        <v/>
      </c>
      <c r="K623" s="455">
        <f t="shared" si="263"/>
        <v>0</v>
      </c>
      <c r="L623" s="455">
        <f t="shared" si="288"/>
        <v>0</v>
      </c>
      <c r="M623" s="389" t="str">
        <f>IFERROR(IF(AD623&lt;=VLOOKUP(D623,Tournaments!$A$1:$B$1772,2,FALSE),"TRUE","FALSE"),"")</f>
        <v/>
      </c>
      <c r="N623" s="389">
        <v>1</v>
      </c>
      <c r="O623" s="389">
        <f t="shared" si="264"/>
        <v>0</v>
      </c>
      <c r="Q623" s="389">
        <f t="shared" si="265"/>
        <v>0</v>
      </c>
      <c r="R623" s="389">
        <f t="shared" si="266"/>
        <v>0</v>
      </c>
      <c r="S623" s="389">
        <f t="shared" si="267"/>
        <v>0</v>
      </c>
      <c r="U623" s="389">
        <f t="shared" si="268"/>
        <v>0</v>
      </c>
      <c r="V623" s="389" t="b">
        <f t="shared" si="269"/>
        <v>0</v>
      </c>
      <c r="W623" s="389">
        <f t="shared" si="270"/>
        <v>0</v>
      </c>
      <c r="X623" s="389">
        <f t="shared" si="271"/>
        <v>0</v>
      </c>
      <c r="Y623" s="389">
        <f t="shared" si="289"/>
        <v>1.0999999999999999E-2</v>
      </c>
      <c r="Z623" s="389">
        <f t="shared" si="272"/>
        <v>1.0999999999999999E-2</v>
      </c>
      <c r="AA623" s="389">
        <f t="shared" si="273"/>
        <v>0</v>
      </c>
      <c r="AB623" s="389">
        <f t="shared" si="274"/>
        <v>1E-4</v>
      </c>
      <c r="AC623" s="389">
        <f t="shared" si="275"/>
        <v>1E-4</v>
      </c>
      <c r="AD623" s="389">
        <f t="shared" si="276"/>
        <v>0</v>
      </c>
      <c r="AE623" s="389">
        <f t="shared" si="277"/>
        <v>0</v>
      </c>
      <c r="AG623" s="311" t="str">
        <f t="shared" si="278"/>
        <v>-</v>
      </c>
      <c r="AH623" s="453" t="str">
        <f t="shared" si="279"/>
        <v/>
      </c>
      <c r="AI623" s="453" t="str">
        <f t="shared" si="280"/>
        <v/>
      </c>
      <c r="AJ623" t="str">
        <f t="array" ref="AJ623">IF(AND(AI623&gt;1,G623&lt;&gt;""),INDEX(FS_teams,MATCH(1,(FS_Keys=AG623)*(FS_Points=I623)*(FS_teams&lt;&gt;G623),0)),"")</f>
        <v/>
      </c>
      <c r="AK623" s="390" t="str">
        <f t="array" ref="AK623">IF(AJ623&lt;&gt;"",INDEX(TM_Score1,MATCH(1,(TM_Events=D623)*(TM_Participant1=G623)*(TM_Participant2=AJ623),0)),"")</f>
        <v/>
      </c>
      <c r="AL623" s="390" t="str">
        <f t="array" ref="AL623">IF(AJ623&lt;&gt;"",INDEX(TM_Score1,MATCH(1,(TM_Events=D623)*(TM_Participant1=AJ623)*(TM_Participant2=G623),0)),"")</f>
        <v/>
      </c>
      <c r="AM623" s="389" t="str">
        <f t="array" ref="AM623">IF(ISNUMBER(AK623),INDEX(TM_Score2,MATCH(1,(TM_Events=D623)*(TM_Participant1=G623)*(TM_Participant2=AJ623),0)),"")</f>
        <v/>
      </c>
      <c r="AN623" s="389" t="str">
        <f t="array" ref="AN623">IF(ISNUMBER(AL623),INDEX(TM_Score2,MATCH(1,(TM_Events=D623)*(TM_Participant1=AJ623)*(TM_Participant2=G623),0)),"")</f>
        <v/>
      </c>
      <c r="AO623" s="389" t="str">
        <f t="shared" si="281"/>
        <v/>
      </c>
      <c r="AP623" s="389">
        <f t="shared" si="282"/>
        <v>0</v>
      </c>
      <c r="AQ623" s="389">
        <f t="shared" si="283"/>
        <v>0</v>
      </c>
      <c r="AR623" s="389">
        <f t="shared" si="284"/>
        <v>0</v>
      </c>
      <c r="AS623" s="453">
        <f t="shared" si="285"/>
        <v>0</v>
      </c>
      <c r="AT623" s="452">
        <f t="shared" si="286"/>
        <v>0</v>
      </c>
    </row>
    <row r="624" spans="2:46" ht="16" x14ac:dyDescent="0.2">
      <c r="B624"/>
      <c r="H624" s="387" t="str">
        <f t="shared" si="261"/>
        <v>0-0-0</v>
      </c>
      <c r="I624" s="389">
        <f t="shared" si="262"/>
        <v>0</v>
      </c>
      <c r="J624" s="455" t="str">
        <f t="shared" si="287"/>
        <v/>
      </c>
      <c r="K624" s="455">
        <f t="shared" si="263"/>
        <v>0</v>
      </c>
      <c r="L624" s="455">
        <f t="shared" si="288"/>
        <v>0</v>
      </c>
      <c r="M624" s="389" t="str">
        <f>IFERROR(IF(AD624&lt;=VLOOKUP(D624,Tournaments!$A$1:$B$1772,2,FALSE),"TRUE","FALSE"),"")</f>
        <v/>
      </c>
      <c r="N624" s="389">
        <v>1</v>
      </c>
      <c r="O624" s="389">
        <f t="shared" si="264"/>
        <v>0</v>
      </c>
      <c r="Q624" s="389">
        <f t="shared" si="265"/>
        <v>0</v>
      </c>
      <c r="R624" s="389">
        <f t="shared" si="266"/>
        <v>0</v>
      </c>
      <c r="S624" s="389">
        <f t="shared" si="267"/>
        <v>0</v>
      </c>
      <c r="U624" s="389">
        <f t="shared" si="268"/>
        <v>0</v>
      </c>
      <c r="V624" s="389" t="b">
        <f t="shared" si="269"/>
        <v>0</v>
      </c>
      <c r="W624" s="389">
        <f t="shared" si="270"/>
        <v>0</v>
      </c>
      <c r="X624" s="389">
        <f t="shared" si="271"/>
        <v>0</v>
      </c>
      <c r="Y624" s="389">
        <f t="shared" si="289"/>
        <v>1.0999999999999999E-2</v>
      </c>
      <c r="Z624" s="389">
        <f t="shared" si="272"/>
        <v>1.0999999999999999E-2</v>
      </c>
      <c r="AA624" s="389">
        <f t="shared" si="273"/>
        <v>0</v>
      </c>
      <c r="AB624" s="389">
        <f t="shared" si="274"/>
        <v>1E-4</v>
      </c>
      <c r="AC624" s="389">
        <f t="shared" si="275"/>
        <v>1E-4</v>
      </c>
      <c r="AD624" s="389">
        <f t="shared" si="276"/>
        <v>0</v>
      </c>
      <c r="AE624" s="389">
        <f t="shared" si="277"/>
        <v>0</v>
      </c>
      <c r="AG624" s="311" t="str">
        <f t="shared" si="278"/>
        <v>-</v>
      </c>
      <c r="AH624" s="453" t="str">
        <f t="shared" si="279"/>
        <v/>
      </c>
      <c r="AI624" s="453" t="str">
        <f t="shared" si="280"/>
        <v/>
      </c>
      <c r="AJ624" t="str">
        <f t="array" ref="AJ624">IF(AND(AI624&gt;1,G624&lt;&gt;""),INDEX(FS_teams,MATCH(1,(FS_Keys=AG624)*(FS_Points=I624)*(FS_teams&lt;&gt;G624),0)),"")</f>
        <v/>
      </c>
      <c r="AK624" s="390" t="str">
        <f t="array" ref="AK624">IF(AJ624&lt;&gt;"",INDEX(TM_Score1,MATCH(1,(TM_Events=D624)*(TM_Participant1=G624)*(TM_Participant2=AJ624),0)),"")</f>
        <v/>
      </c>
      <c r="AL624" s="390" t="str">
        <f t="array" ref="AL624">IF(AJ624&lt;&gt;"",INDEX(TM_Score1,MATCH(1,(TM_Events=D624)*(TM_Participant1=AJ624)*(TM_Participant2=G624),0)),"")</f>
        <v/>
      </c>
      <c r="AM624" s="389" t="str">
        <f t="array" ref="AM624">IF(ISNUMBER(AK624),INDEX(TM_Score2,MATCH(1,(TM_Events=D624)*(TM_Participant1=G624)*(TM_Participant2=AJ624),0)),"")</f>
        <v/>
      </c>
      <c r="AN624" s="389" t="str">
        <f t="array" ref="AN624">IF(ISNUMBER(AL624),INDEX(TM_Score2,MATCH(1,(TM_Events=D624)*(TM_Participant1=AJ624)*(TM_Participant2=G624),0)),"")</f>
        <v/>
      </c>
      <c r="AO624" s="389" t="str">
        <f t="shared" si="281"/>
        <v/>
      </c>
      <c r="AP624" s="389">
        <f t="shared" si="282"/>
        <v>0</v>
      </c>
      <c r="AQ624" s="389">
        <f t="shared" si="283"/>
        <v>0</v>
      </c>
      <c r="AR624" s="389">
        <f t="shared" si="284"/>
        <v>0</v>
      </c>
      <c r="AS624" s="453">
        <f t="shared" si="285"/>
        <v>0</v>
      </c>
      <c r="AT624" s="452">
        <f t="shared" si="286"/>
        <v>0</v>
      </c>
    </row>
    <row r="625" spans="2:46" ht="16" x14ac:dyDescent="0.2">
      <c r="B625"/>
      <c r="H625" s="387" t="str">
        <f t="shared" si="261"/>
        <v>0-0-0</v>
      </c>
      <c r="I625" s="389">
        <f t="shared" si="262"/>
        <v>0</v>
      </c>
      <c r="J625" s="455" t="str">
        <f t="shared" si="287"/>
        <v/>
      </c>
      <c r="K625" s="455">
        <f t="shared" si="263"/>
        <v>0</v>
      </c>
      <c r="L625" s="455">
        <f t="shared" si="288"/>
        <v>0</v>
      </c>
      <c r="M625" s="389" t="str">
        <f>IFERROR(IF(AD625&lt;=VLOOKUP(D625,Tournaments!$A$1:$B$1772,2,FALSE),"TRUE","FALSE"),"")</f>
        <v/>
      </c>
      <c r="N625" s="389">
        <v>1</v>
      </c>
      <c r="O625" s="389">
        <f t="shared" si="264"/>
        <v>0</v>
      </c>
      <c r="Q625" s="389">
        <f t="shared" si="265"/>
        <v>0</v>
      </c>
      <c r="R625" s="389">
        <f t="shared" si="266"/>
        <v>0</v>
      </c>
      <c r="S625" s="389">
        <f t="shared" si="267"/>
        <v>0</v>
      </c>
      <c r="U625" s="389">
        <f t="shared" si="268"/>
        <v>0</v>
      </c>
      <c r="V625" s="389" t="b">
        <f t="shared" si="269"/>
        <v>0</v>
      </c>
      <c r="W625" s="389">
        <f t="shared" si="270"/>
        <v>0</v>
      </c>
      <c r="X625" s="389">
        <f t="shared" si="271"/>
        <v>0</v>
      </c>
      <c r="Y625" s="389">
        <f t="shared" si="289"/>
        <v>1.0999999999999999E-2</v>
      </c>
      <c r="Z625" s="389">
        <f t="shared" si="272"/>
        <v>1.0999999999999999E-2</v>
      </c>
      <c r="AA625" s="389">
        <f t="shared" si="273"/>
        <v>0</v>
      </c>
      <c r="AB625" s="389">
        <f t="shared" si="274"/>
        <v>1E-4</v>
      </c>
      <c r="AC625" s="389">
        <f t="shared" si="275"/>
        <v>1E-4</v>
      </c>
      <c r="AD625" s="389">
        <f t="shared" si="276"/>
        <v>0</v>
      </c>
      <c r="AE625" s="389">
        <f t="shared" si="277"/>
        <v>0</v>
      </c>
      <c r="AG625" s="311" t="str">
        <f t="shared" si="278"/>
        <v>-</v>
      </c>
      <c r="AH625" s="453" t="str">
        <f t="shared" si="279"/>
        <v/>
      </c>
      <c r="AI625" s="453" t="str">
        <f t="shared" si="280"/>
        <v/>
      </c>
      <c r="AJ625" t="str">
        <f t="array" ref="AJ625">IF(AND(AI625&gt;1,G625&lt;&gt;""),INDEX(FS_teams,MATCH(1,(FS_Keys=AG625)*(FS_Points=I625)*(FS_teams&lt;&gt;G625),0)),"")</f>
        <v/>
      </c>
      <c r="AK625" s="390" t="str">
        <f t="array" ref="AK625">IF(AJ625&lt;&gt;"",INDEX(TM_Score1,MATCH(1,(TM_Events=D625)*(TM_Participant1=G625)*(TM_Participant2=AJ625),0)),"")</f>
        <v/>
      </c>
      <c r="AL625" s="390" t="str">
        <f t="array" ref="AL625">IF(AJ625&lt;&gt;"",INDEX(TM_Score1,MATCH(1,(TM_Events=D625)*(TM_Participant1=AJ625)*(TM_Participant2=G625),0)),"")</f>
        <v/>
      </c>
      <c r="AM625" s="389" t="str">
        <f t="array" ref="AM625">IF(ISNUMBER(AK625),INDEX(TM_Score2,MATCH(1,(TM_Events=D625)*(TM_Participant1=G625)*(TM_Participant2=AJ625),0)),"")</f>
        <v/>
      </c>
      <c r="AN625" s="389" t="str">
        <f t="array" ref="AN625">IF(ISNUMBER(AL625),INDEX(TM_Score2,MATCH(1,(TM_Events=D625)*(TM_Participant1=AJ625)*(TM_Participant2=G625),0)),"")</f>
        <v/>
      </c>
      <c r="AO625" s="389" t="str">
        <f t="shared" si="281"/>
        <v/>
      </c>
      <c r="AP625" s="389">
        <f t="shared" si="282"/>
        <v>0</v>
      </c>
      <c r="AQ625" s="389">
        <f t="shared" si="283"/>
        <v>0</v>
      </c>
      <c r="AR625" s="389">
        <f t="shared" si="284"/>
        <v>0</v>
      </c>
      <c r="AS625" s="453">
        <f t="shared" si="285"/>
        <v>0</v>
      </c>
      <c r="AT625" s="452">
        <f t="shared" si="286"/>
        <v>0</v>
      </c>
    </row>
    <row r="626" spans="2:46" ht="16" x14ac:dyDescent="0.2">
      <c r="B626"/>
      <c r="H626" s="387" t="str">
        <f t="shared" si="261"/>
        <v>0-0-0</v>
      </c>
      <c r="I626" s="389">
        <f t="shared" si="262"/>
        <v>0</v>
      </c>
      <c r="J626" s="455" t="str">
        <f t="shared" si="287"/>
        <v/>
      </c>
      <c r="K626" s="455">
        <f t="shared" si="263"/>
        <v>0</v>
      </c>
      <c r="L626" s="455">
        <f t="shared" si="288"/>
        <v>0</v>
      </c>
      <c r="M626" s="389" t="str">
        <f>IFERROR(IF(AD626&lt;=VLOOKUP(D626,Tournaments!$A$1:$B$1772,2,FALSE),"TRUE","FALSE"),"")</f>
        <v/>
      </c>
      <c r="N626" s="389">
        <v>1</v>
      </c>
      <c r="O626" s="389">
        <f t="shared" si="264"/>
        <v>0</v>
      </c>
      <c r="Q626" s="389">
        <f t="shared" si="265"/>
        <v>0</v>
      </c>
      <c r="R626" s="389">
        <f t="shared" si="266"/>
        <v>0</v>
      </c>
      <c r="S626" s="389">
        <f t="shared" si="267"/>
        <v>0</v>
      </c>
      <c r="U626" s="389">
        <f t="shared" si="268"/>
        <v>0</v>
      </c>
      <c r="V626" s="389" t="b">
        <f t="shared" si="269"/>
        <v>0</v>
      </c>
      <c r="W626" s="389">
        <f t="shared" si="270"/>
        <v>0</v>
      </c>
      <c r="X626" s="389">
        <f t="shared" si="271"/>
        <v>0</v>
      </c>
      <c r="Y626" s="389">
        <f t="shared" si="289"/>
        <v>1.0999999999999999E-2</v>
      </c>
      <c r="Z626" s="389">
        <f t="shared" si="272"/>
        <v>1.0999999999999999E-2</v>
      </c>
      <c r="AA626" s="389">
        <f t="shared" si="273"/>
        <v>0</v>
      </c>
      <c r="AB626" s="389">
        <f t="shared" si="274"/>
        <v>1E-4</v>
      </c>
      <c r="AC626" s="389">
        <f t="shared" si="275"/>
        <v>1E-4</v>
      </c>
      <c r="AD626" s="389">
        <f t="shared" si="276"/>
        <v>0</v>
      </c>
      <c r="AE626" s="389">
        <f t="shared" si="277"/>
        <v>0</v>
      </c>
      <c r="AG626" s="311" t="str">
        <f t="shared" si="278"/>
        <v>-</v>
      </c>
      <c r="AH626" s="453" t="str">
        <f t="shared" si="279"/>
        <v/>
      </c>
      <c r="AI626" s="453" t="str">
        <f t="shared" si="280"/>
        <v/>
      </c>
      <c r="AJ626" t="str">
        <f t="array" ref="AJ626">IF(AND(AI626&gt;1,G626&lt;&gt;""),INDEX(FS_teams,MATCH(1,(FS_Keys=AG626)*(FS_Points=I626)*(FS_teams&lt;&gt;G626),0)),"")</f>
        <v/>
      </c>
      <c r="AK626" s="390" t="str">
        <f t="array" ref="AK626">IF(AJ626&lt;&gt;"",INDEX(TM_Score1,MATCH(1,(TM_Events=D626)*(TM_Participant1=G626)*(TM_Participant2=AJ626),0)),"")</f>
        <v/>
      </c>
      <c r="AL626" s="390" t="str">
        <f t="array" ref="AL626">IF(AJ626&lt;&gt;"",INDEX(TM_Score1,MATCH(1,(TM_Events=D626)*(TM_Participant1=AJ626)*(TM_Participant2=G626),0)),"")</f>
        <v/>
      </c>
      <c r="AM626" s="389" t="str">
        <f t="array" ref="AM626">IF(ISNUMBER(AK626),INDEX(TM_Score2,MATCH(1,(TM_Events=D626)*(TM_Participant1=G626)*(TM_Participant2=AJ626),0)),"")</f>
        <v/>
      </c>
      <c r="AN626" s="389" t="str">
        <f t="array" ref="AN626">IF(ISNUMBER(AL626),INDEX(TM_Score2,MATCH(1,(TM_Events=D626)*(TM_Participant1=AJ626)*(TM_Participant2=G626),0)),"")</f>
        <v/>
      </c>
      <c r="AO626" s="389" t="str">
        <f t="shared" si="281"/>
        <v/>
      </c>
      <c r="AP626" s="389">
        <f t="shared" si="282"/>
        <v>0</v>
      </c>
      <c r="AQ626" s="389">
        <f t="shared" si="283"/>
        <v>0</v>
      </c>
      <c r="AR626" s="389">
        <f t="shared" si="284"/>
        <v>0</v>
      </c>
      <c r="AS626" s="453">
        <f t="shared" si="285"/>
        <v>0</v>
      </c>
      <c r="AT626" s="452">
        <f t="shared" si="286"/>
        <v>0</v>
      </c>
    </row>
    <row r="627" spans="2:46" ht="16" x14ac:dyDescent="0.2">
      <c r="B627"/>
      <c r="H627" s="387" t="str">
        <f t="shared" si="261"/>
        <v>0-0-0</v>
      </c>
      <c r="I627" s="389">
        <f t="shared" si="262"/>
        <v>0</v>
      </c>
      <c r="J627" s="455" t="str">
        <f t="shared" si="287"/>
        <v/>
      </c>
      <c r="K627" s="455">
        <f t="shared" si="263"/>
        <v>0</v>
      </c>
      <c r="L627" s="455">
        <f t="shared" si="288"/>
        <v>0</v>
      </c>
      <c r="M627" s="389" t="str">
        <f>IFERROR(IF(AD627&lt;=VLOOKUP(D627,Tournaments!$A$1:$B$1772,2,FALSE),"TRUE","FALSE"),"")</f>
        <v/>
      </c>
      <c r="N627" s="389">
        <v>1</v>
      </c>
      <c r="O627" s="389">
        <f t="shared" si="264"/>
        <v>0</v>
      </c>
      <c r="Q627" s="389">
        <f t="shared" si="265"/>
        <v>0</v>
      </c>
      <c r="R627" s="389">
        <f t="shared" si="266"/>
        <v>0</v>
      </c>
      <c r="S627" s="389">
        <f t="shared" si="267"/>
        <v>0</v>
      </c>
      <c r="U627" s="389">
        <f t="shared" si="268"/>
        <v>0</v>
      </c>
      <c r="V627" s="389" t="b">
        <f t="shared" si="269"/>
        <v>0</v>
      </c>
      <c r="W627" s="389">
        <f t="shared" si="270"/>
        <v>0</v>
      </c>
      <c r="X627" s="389">
        <f t="shared" si="271"/>
        <v>0</v>
      </c>
      <c r="Y627" s="389">
        <f t="shared" si="289"/>
        <v>1.0999999999999999E-2</v>
      </c>
      <c r="Z627" s="389">
        <f t="shared" si="272"/>
        <v>1.0999999999999999E-2</v>
      </c>
      <c r="AA627" s="389">
        <f t="shared" si="273"/>
        <v>0</v>
      </c>
      <c r="AB627" s="389">
        <f t="shared" si="274"/>
        <v>1E-4</v>
      </c>
      <c r="AC627" s="389">
        <f t="shared" si="275"/>
        <v>1E-4</v>
      </c>
      <c r="AD627" s="389">
        <f t="shared" si="276"/>
        <v>0</v>
      </c>
      <c r="AE627" s="389">
        <f t="shared" si="277"/>
        <v>0</v>
      </c>
      <c r="AG627" s="311" t="str">
        <f t="shared" si="278"/>
        <v>-</v>
      </c>
      <c r="AH627" s="453" t="str">
        <f t="shared" si="279"/>
        <v/>
      </c>
      <c r="AI627" s="453" t="str">
        <f t="shared" si="280"/>
        <v/>
      </c>
      <c r="AJ627" t="str">
        <f t="array" ref="AJ627">IF(AND(AI627&gt;1,G627&lt;&gt;""),INDEX(FS_teams,MATCH(1,(FS_Keys=AG627)*(FS_Points=I627)*(FS_teams&lt;&gt;G627),0)),"")</f>
        <v/>
      </c>
      <c r="AK627" s="390" t="str">
        <f t="array" ref="AK627">IF(AJ627&lt;&gt;"",INDEX(TM_Score1,MATCH(1,(TM_Events=D627)*(TM_Participant1=G627)*(TM_Participant2=AJ627),0)),"")</f>
        <v/>
      </c>
      <c r="AL627" s="390" t="str">
        <f t="array" ref="AL627">IF(AJ627&lt;&gt;"",INDEX(TM_Score1,MATCH(1,(TM_Events=D627)*(TM_Participant1=AJ627)*(TM_Participant2=G627),0)),"")</f>
        <v/>
      </c>
      <c r="AM627" s="389" t="str">
        <f t="array" ref="AM627">IF(ISNUMBER(AK627),INDEX(TM_Score2,MATCH(1,(TM_Events=D627)*(TM_Participant1=G627)*(TM_Participant2=AJ627),0)),"")</f>
        <v/>
      </c>
      <c r="AN627" s="389" t="str">
        <f t="array" ref="AN627">IF(ISNUMBER(AL627),INDEX(TM_Score2,MATCH(1,(TM_Events=D627)*(TM_Participant1=AJ627)*(TM_Participant2=G627),0)),"")</f>
        <v/>
      </c>
      <c r="AO627" s="389" t="str">
        <f t="shared" si="281"/>
        <v/>
      </c>
      <c r="AP627" s="389">
        <f t="shared" si="282"/>
        <v>0</v>
      </c>
      <c r="AQ627" s="389">
        <f t="shared" si="283"/>
        <v>0</v>
      </c>
      <c r="AR627" s="389">
        <f t="shared" si="284"/>
        <v>0</v>
      </c>
      <c r="AS627" s="453">
        <f t="shared" si="285"/>
        <v>0</v>
      </c>
      <c r="AT627" s="452">
        <f t="shared" si="286"/>
        <v>0</v>
      </c>
    </row>
    <row r="628" spans="2:46" ht="16" x14ac:dyDescent="0.2">
      <c r="B628"/>
      <c r="H628" s="387" t="str">
        <f t="shared" si="261"/>
        <v>0-0-0</v>
      </c>
      <c r="I628" s="389">
        <f t="shared" si="262"/>
        <v>0</v>
      </c>
      <c r="J628" s="455" t="str">
        <f t="shared" si="287"/>
        <v/>
      </c>
      <c r="K628" s="455">
        <f t="shared" si="263"/>
        <v>0</v>
      </c>
      <c r="L628" s="455">
        <f t="shared" si="288"/>
        <v>0</v>
      </c>
      <c r="M628" s="389" t="str">
        <f>IFERROR(IF(AD628&lt;=VLOOKUP(D628,Tournaments!$A$1:$B$1772,2,FALSE),"TRUE","FALSE"),"")</f>
        <v/>
      </c>
      <c r="N628" s="389">
        <v>1</v>
      </c>
      <c r="O628" s="389">
        <f t="shared" si="264"/>
        <v>0</v>
      </c>
      <c r="Q628" s="389">
        <f t="shared" si="265"/>
        <v>0</v>
      </c>
      <c r="R628" s="389">
        <f t="shared" si="266"/>
        <v>0</v>
      </c>
      <c r="S628" s="389">
        <f t="shared" si="267"/>
        <v>0</v>
      </c>
      <c r="U628" s="389">
        <f t="shared" si="268"/>
        <v>0</v>
      </c>
      <c r="V628" s="389" t="b">
        <f t="shared" si="269"/>
        <v>0</v>
      </c>
      <c r="W628" s="389">
        <f t="shared" si="270"/>
        <v>0</v>
      </c>
      <c r="X628" s="389">
        <f t="shared" si="271"/>
        <v>0</v>
      </c>
      <c r="Y628" s="389">
        <f t="shared" si="289"/>
        <v>1.0999999999999999E-2</v>
      </c>
      <c r="Z628" s="389">
        <f t="shared" si="272"/>
        <v>1.0999999999999999E-2</v>
      </c>
      <c r="AA628" s="389">
        <f t="shared" si="273"/>
        <v>0</v>
      </c>
      <c r="AB628" s="389">
        <f t="shared" si="274"/>
        <v>1E-4</v>
      </c>
      <c r="AC628" s="389">
        <f t="shared" si="275"/>
        <v>1E-4</v>
      </c>
      <c r="AD628" s="389">
        <f t="shared" si="276"/>
        <v>0</v>
      </c>
      <c r="AE628" s="389">
        <f t="shared" si="277"/>
        <v>0</v>
      </c>
      <c r="AG628" s="311" t="str">
        <f t="shared" si="278"/>
        <v>-</v>
      </c>
      <c r="AH628" s="453" t="str">
        <f t="shared" si="279"/>
        <v/>
      </c>
      <c r="AI628" s="453" t="str">
        <f t="shared" si="280"/>
        <v/>
      </c>
      <c r="AJ628" t="str">
        <f t="array" ref="AJ628">IF(AND(AI628&gt;1,G628&lt;&gt;""),INDEX(FS_teams,MATCH(1,(FS_Keys=AG628)*(FS_Points=I628)*(FS_teams&lt;&gt;G628),0)),"")</f>
        <v/>
      </c>
      <c r="AK628" s="390" t="str">
        <f t="array" ref="AK628">IF(AJ628&lt;&gt;"",INDEX(TM_Score1,MATCH(1,(TM_Events=D628)*(TM_Participant1=G628)*(TM_Participant2=AJ628),0)),"")</f>
        <v/>
      </c>
      <c r="AL628" s="390" t="str">
        <f t="array" ref="AL628">IF(AJ628&lt;&gt;"",INDEX(TM_Score1,MATCH(1,(TM_Events=D628)*(TM_Participant1=AJ628)*(TM_Participant2=G628),0)),"")</f>
        <v/>
      </c>
      <c r="AM628" s="389" t="str">
        <f t="array" ref="AM628">IF(ISNUMBER(AK628),INDEX(TM_Score2,MATCH(1,(TM_Events=D628)*(TM_Participant1=G628)*(TM_Participant2=AJ628),0)),"")</f>
        <v/>
      </c>
      <c r="AN628" s="389" t="str">
        <f t="array" ref="AN628">IF(ISNUMBER(AL628),INDEX(TM_Score2,MATCH(1,(TM_Events=D628)*(TM_Participant1=AJ628)*(TM_Participant2=G628),0)),"")</f>
        <v/>
      </c>
      <c r="AO628" s="389" t="str">
        <f t="shared" si="281"/>
        <v/>
      </c>
      <c r="AP628" s="389">
        <f t="shared" si="282"/>
        <v>0</v>
      </c>
      <c r="AQ628" s="389">
        <f t="shared" si="283"/>
        <v>0</v>
      </c>
      <c r="AR628" s="389">
        <f t="shared" si="284"/>
        <v>0</v>
      </c>
      <c r="AS628" s="453">
        <f t="shared" si="285"/>
        <v>0</v>
      </c>
      <c r="AT628" s="452">
        <f t="shared" si="286"/>
        <v>0</v>
      </c>
    </row>
    <row r="629" spans="2:46" ht="16" x14ac:dyDescent="0.2">
      <c r="B629"/>
      <c r="H629" s="387" t="str">
        <f t="shared" si="261"/>
        <v>0-0-0</v>
      </c>
      <c r="I629" s="389">
        <f t="shared" si="262"/>
        <v>0</v>
      </c>
      <c r="J629" s="455" t="str">
        <f t="shared" si="287"/>
        <v/>
      </c>
      <c r="K629" s="455">
        <f t="shared" si="263"/>
        <v>0</v>
      </c>
      <c r="L629" s="455">
        <f t="shared" si="288"/>
        <v>0</v>
      </c>
      <c r="M629" s="389" t="str">
        <f>IFERROR(IF(AD629&lt;=VLOOKUP(D629,Tournaments!$A$1:$B$1772,2,FALSE),"TRUE","FALSE"),"")</f>
        <v/>
      </c>
      <c r="N629" s="389">
        <v>1</v>
      </c>
      <c r="O629" s="389">
        <f t="shared" si="264"/>
        <v>0</v>
      </c>
      <c r="Q629" s="389">
        <f t="shared" si="265"/>
        <v>0</v>
      </c>
      <c r="R629" s="389">
        <f t="shared" si="266"/>
        <v>0</v>
      </c>
      <c r="S629" s="389">
        <f t="shared" si="267"/>
        <v>0</v>
      </c>
      <c r="U629" s="389">
        <f t="shared" si="268"/>
        <v>0</v>
      </c>
      <c r="V629" s="389" t="b">
        <f t="shared" si="269"/>
        <v>0</v>
      </c>
      <c r="W629" s="389">
        <f t="shared" si="270"/>
        <v>0</v>
      </c>
      <c r="X629" s="389">
        <f t="shared" si="271"/>
        <v>0</v>
      </c>
      <c r="Y629" s="389">
        <f t="shared" si="289"/>
        <v>1.0999999999999999E-2</v>
      </c>
      <c r="Z629" s="389">
        <f t="shared" si="272"/>
        <v>1.0999999999999999E-2</v>
      </c>
      <c r="AA629" s="389">
        <f t="shared" si="273"/>
        <v>0</v>
      </c>
      <c r="AB629" s="389">
        <f t="shared" si="274"/>
        <v>1E-4</v>
      </c>
      <c r="AC629" s="389">
        <f t="shared" si="275"/>
        <v>1E-4</v>
      </c>
      <c r="AD629" s="389">
        <f t="shared" si="276"/>
        <v>0</v>
      </c>
      <c r="AE629" s="389">
        <f t="shared" si="277"/>
        <v>0</v>
      </c>
      <c r="AG629" s="311" t="str">
        <f t="shared" si="278"/>
        <v>-</v>
      </c>
      <c r="AH629" s="453" t="str">
        <f t="shared" si="279"/>
        <v/>
      </c>
      <c r="AI629" s="453" t="str">
        <f t="shared" si="280"/>
        <v/>
      </c>
      <c r="AJ629" t="str">
        <f t="array" ref="AJ629">IF(AND(AI629&gt;1,G629&lt;&gt;""),INDEX(FS_teams,MATCH(1,(FS_Keys=AG629)*(FS_Points=I629)*(FS_teams&lt;&gt;G629),0)),"")</f>
        <v/>
      </c>
      <c r="AK629" s="390" t="str">
        <f t="array" ref="AK629">IF(AJ629&lt;&gt;"",INDEX(TM_Score1,MATCH(1,(TM_Events=D629)*(TM_Participant1=G629)*(TM_Participant2=AJ629),0)),"")</f>
        <v/>
      </c>
      <c r="AL629" s="390" t="str">
        <f t="array" ref="AL629">IF(AJ629&lt;&gt;"",INDEX(TM_Score1,MATCH(1,(TM_Events=D629)*(TM_Participant1=AJ629)*(TM_Participant2=G629),0)),"")</f>
        <v/>
      </c>
      <c r="AM629" s="389" t="str">
        <f t="array" ref="AM629">IF(ISNUMBER(AK629),INDEX(TM_Score2,MATCH(1,(TM_Events=D629)*(TM_Participant1=G629)*(TM_Participant2=AJ629),0)),"")</f>
        <v/>
      </c>
      <c r="AN629" s="389" t="str">
        <f t="array" ref="AN629">IF(ISNUMBER(AL629),INDEX(TM_Score2,MATCH(1,(TM_Events=D629)*(TM_Participant1=AJ629)*(TM_Participant2=G629),0)),"")</f>
        <v/>
      </c>
      <c r="AO629" s="389" t="str">
        <f t="shared" si="281"/>
        <v/>
      </c>
      <c r="AP629" s="389">
        <f t="shared" si="282"/>
        <v>0</v>
      </c>
      <c r="AQ629" s="389">
        <f t="shared" si="283"/>
        <v>0</v>
      </c>
      <c r="AR629" s="389">
        <f t="shared" si="284"/>
        <v>0</v>
      </c>
      <c r="AS629" s="453">
        <f t="shared" si="285"/>
        <v>0</v>
      </c>
      <c r="AT629" s="452">
        <f t="shared" si="286"/>
        <v>0</v>
      </c>
    </row>
    <row r="630" spans="2:46" ht="16" x14ac:dyDescent="0.2">
      <c r="B630"/>
      <c r="H630" s="387" t="str">
        <f t="shared" si="261"/>
        <v>0-0-0</v>
      </c>
      <c r="I630" s="389">
        <f t="shared" si="262"/>
        <v>0</v>
      </c>
      <c r="J630" s="455" t="str">
        <f t="shared" si="287"/>
        <v/>
      </c>
      <c r="K630" s="455">
        <f t="shared" si="263"/>
        <v>0</v>
      </c>
      <c r="L630" s="455">
        <f t="shared" si="288"/>
        <v>0</v>
      </c>
      <c r="M630" s="389" t="str">
        <f>IFERROR(IF(AD630&lt;=VLOOKUP(D630,Tournaments!$A$1:$B$1772,2,FALSE),"TRUE","FALSE"),"")</f>
        <v/>
      </c>
      <c r="N630" s="389">
        <v>1</v>
      </c>
      <c r="O630" s="389">
        <f t="shared" si="264"/>
        <v>0</v>
      </c>
      <c r="Q630" s="389">
        <f t="shared" si="265"/>
        <v>0</v>
      </c>
      <c r="R630" s="389">
        <f t="shared" si="266"/>
        <v>0</v>
      </c>
      <c r="S630" s="389">
        <f t="shared" si="267"/>
        <v>0</v>
      </c>
      <c r="U630" s="389">
        <f t="shared" si="268"/>
        <v>0</v>
      </c>
      <c r="V630" s="389" t="b">
        <f t="shared" si="269"/>
        <v>0</v>
      </c>
      <c r="W630" s="389">
        <f t="shared" si="270"/>
        <v>0</v>
      </c>
      <c r="X630" s="389">
        <f t="shared" si="271"/>
        <v>0</v>
      </c>
      <c r="Y630" s="389">
        <f t="shared" si="289"/>
        <v>1.0999999999999999E-2</v>
      </c>
      <c r="Z630" s="389">
        <f t="shared" si="272"/>
        <v>1.0999999999999999E-2</v>
      </c>
      <c r="AA630" s="389">
        <f t="shared" si="273"/>
        <v>0</v>
      </c>
      <c r="AB630" s="389">
        <f t="shared" si="274"/>
        <v>1E-4</v>
      </c>
      <c r="AC630" s="389">
        <f t="shared" si="275"/>
        <v>1E-4</v>
      </c>
      <c r="AD630" s="389">
        <f t="shared" si="276"/>
        <v>0</v>
      </c>
      <c r="AE630" s="389">
        <f t="shared" si="277"/>
        <v>0</v>
      </c>
      <c r="AG630" s="311" t="str">
        <f t="shared" si="278"/>
        <v>-</v>
      </c>
      <c r="AH630" s="453" t="str">
        <f t="shared" si="279"/>
        <v/>
      </c>
      <c r="AI630" s="453" t="str">
        <f t="shared" si="280"/>
        <v/>
      </c>
      <c r="AJ630" t="str">
        <f t="array" ref="AJ630">IF(AND(AI630&gt;1,G630&lt;&gt;""),INDEX(FS_teams,MATCH(1,(FS_Keys=AG630)*(FS_Points=I630)*(FS_teams&lt;&gt;G630),0)),"")</f>
        <v/>
      </c>
      <c r="AK630" s="390" t="str">
        <f t="array" ref="AK630">IF(AJ630&lt;&gt;"",INDEX(TM_Score1,MATCH(1,(TM_Events=D630)*(TM_Participant1=G630)*(TM_Participant2=AJ630),0)),"")</f>
        <v/>
      </c>
      <c r="AL630" s="390" t="str">
        <f t="array" ref="AL630">IF(AJ630&lt;&gt;"",INDEX(TM_Score1,MATCH(1,(TM_Events=D630)*(TM_Participant1=AJ630)*(TM_Participant2=G630),0)),"")</f>
        <v/>
      </c>
      <c r="AM630" s="389" t="str">
        <f t="array" ref="AM630">IF(ISNUMBER(AK630),INDEX(TM_Score2,MATCH(1,(TM_Events=D630)*(TM_Participant1=G630)*(TM_Participant2=AJ630),0)),"")</f>
        <v/>
      </c>
      <c r="AN630" s="389" t="str">
        <f t="array" ref="AN630">IF(ISNUMBER(AL630),INDEX(TM_Score2,MATCH(1,(TM_Events=D630)*(TM_Participant1=AJ630)*(TM_Participant2=G630),0)),"")</f>
        <v/>
      </c>
      <c r="AO630" s="389" t="str">
        <f t="shared" si="281"/>
        <v/>
      </c>
      <c r="AP630" s="389">
        <f t="shared" si="282"/>
        <v>0</v>
      </c>
      <c r="AQ630" s="389">
        <f t="shared" si="283"/>
        <v>0</v>
      </c>
      <c r="AR630" s="389">
        <f t="shared" si="284"/>
        <v>0</v>
      </c>
      <c r="AS630" s="453">
        <f t="shared" si="285"/>
        <v>0</v>
      </c>
      <c r="AT630" s="452">
        <f t="shared" si="286"/>
        <v>0</v>
      </c>
    </row>
    <row r="631" spans="2:46" ht="16" x14ac:dyDescent="0.2">
      <c r="B631"/>
      <c r="H631" s="387" t="str">
        <f t="shared" si="261"/>
        <v>0-0-0</v>
      </c>
      <c r="I631" s="389">
        <f t="shared" si="262"/>
        <v>0</v>
      </c>
      <c r="J631" s="455" t="str">
        <f t="shared" si="287"/>
        <v/>
      </c>
      <c r="K631" s="455">
        <f t="shared" si="263"/>
        <v>0</v>
      </c>
      <c r="L631" s="455">
        <f t="shared" si="288"/>
        <v>0</v>
      </c>
      <c r="M631" s="389" t="str">
        <f>IFERROR(IF(AD631&lt;=VLOOKUP(D631,Tournaments!$A$1:$B$1772,2,FALSE),"TRUE","FALSE"),"")</f>
        <v/>
      </c>
      <c r="N631" s="389">
        <v>1</v>
      </c>
      <c r="O631" s="389">
        <f t="shared" si="264"/>
        <v>0</v>
      </c>
      <c r="Q631" s="389">
        <f t="shared" si="265"/>
        <v>0</v>
      </c>
      <c r="R631" s="389">
        <f t="shared" si="266"/>
        <v>0</v>
      </c>
      <c r="S631" s="389">
        <f t="shared" si="267"/>
        <v>0</v>
      </c>
      <c r="U631" s="389">
        <f t="shared" si="268"/>
        <v>0</v>
      </c>
      <c r="V631" s="389" t="b">
        <f t="shared" si="269"/>
        <v>0</v>
      </c>
      <c r="W631" s="389">
        <f t="shared" si="270"/>
        <v>0</v>
      </c>
      <c r="X631" s="389">
        <f t="shared" si="271"/>
        <v>0</v>
      </c>
      <c r="Y631" s="389">
        <f t="shared" si="289"/>
        <v>1.0999999999999999E-2</v>
      </c>
      <c r="Z631" s="389">
        <f t="shared" si="272"/>
        <v>1.0999999999999999E-2</v>
      </c>
      <c r="AA631" s="389">
        <f t="shared" si="273"/>
        <v>0</v>
      </c>
      <c r="AB631" s="389">
        <f t="shared" si="274"/>
        <v>1E-4</v>
      </c>
      <c r="AC631" s="389">
        <f t="shared" si="275"/>
        <v>1E-4</v>
      </c>
      <c r="AD631" s="389">
        <f t="shared" si="276"/>
        <v>0</v>
      </c>
      <c r="AE631" s="389">
        <f t="shared" si="277"/>
        <v>0</v>
      </c>
      <c r="AG631" s="311" t="str">
        <f t="shared" si="278"/>
        <v>-</v>
      </c>
      <c r="AH631" s="453" t="str">
        <f t="shared" si="279"/>
        <v/>
      </c>
      <c r="AI631" s="453" t="str">
        <f t="shared" si="280"/>
        <v/>
      </c>
      <c r="AJ631" t="str">
        <f t="array" ref="AJ631">IF(AND(AI631&gt;1,G631&lt;&gt;""),INDEX(FS_teams,MATCH(1,(FS_Keys=AG631)*(FS_Points=I631)*(FS_teams&lt;&gt;G631),0)),"")</f>
        <v/>
      </c>
      <c r="AK631" s="390" t="str">
        <f t="array" ref="AK631">IF(AJ631&lt;&gt;"",INDEX(TM_Score1,MATCH(1,(TM_Events=D631)*(TM_Participant1=G631)*(TM_Participant2=AJ631),0)),"")</f>
        <v/>
      </c>
      <c r="AL631" s="390" t="str">
        <f t="array" ref="AL631">IF(AJ631&lt;&gt;"",INDEX(TM_Score1,MATCH(1,(TM_Events=D631)*(TM_Participant1=AJ631)*(TM_Participant2=G631),0)),"")</f>
        <v/>
      </c>
      <c r="AM631" s="389" t="str">
        <f t="array" ref="AM631">IF(ISNUMBER(AK631),INDEX(TM_Score2,MATCH(1,(TM_Events=D631)*(TM_Participant1=G631)*(TM_Participant2=AJ631),0)),"")</f>
        <v/>
      </c>
      <c r="AN631" s="389" t="str">
        <f t="array" ref="AN631">IF(ISNUMBER(AL631),INDEX(TM_Score2,MATCH(1,(TM_Events=D631)*(TM_Participant1=AJ631)*(TM_Participant2=G631),0)),"")</f>
        <v/>
      </c>
      <c r="AO631" s="389" t="str">
        <f t="shared" si="281"/>
        <v/>
      </c>
      <c r="AP631" s="389">
        <f t="shared" si="282"/>
        <v>0</v>
      </c>
      <c r="AQ631" s="389">
        <f t="shared" si="283"/>
        <v>0</v>
      </c>
      <c r="AR631" s="389">
        <f t="shared" si="284"/>
        <v>0</v>
      </c>
      <c r="AS631" s="453">
        <f t="shared" si="285"/>
        <v>0</v>
      </c>
      <c r="AT631" s="452">
        <f t="shared" si="286"/>
        <v>0</v>
      </c>
    </row>
    <row r="632" spans="2:46" ht="16" x14ac:dyDescent="0.2">
      <c r="B632"/>
      <c r="H632" s="387" t="str">
        <f t="shared" si="261"/>
        <v>0-0-0</v>
      </c>
      <c r="I632" s="389">
        <f t="shared" si="262"/>
        <v>0</v>
      </c>
      <c r="J632" s="455" t="str">
        <f t="shared" si="287"/>
        <v/>
      </c>
      <c r="K632" s="455">
        <f t="shared" si="263"/>
        <v>0</v>
      </c>
      <c r="L632" s="455">
        <f t="shared" si="288"/>
        <v>0</v>
      </c>
      <c r="M632" s="389" t="str">
        <f>IFERROR(IF(AD632&lt;=VLOOKUP(D632,Tournaments!$A$1:$B$1772,2,FALSE),"TRUE","FALSE"),"")</f>
        <v/>
      </c>
      <c r="N632" s="389">
        <v>1</v>
      </c>
      <c r="O632" s="389">
        <f t="shared" si="264"/>
        <v>0</v>
      </c>
      <c r="Q632" s="389">
        <f t="shared" si="265"/>
        <v>0</v>
      </c>
      <c r="R632" s="389">
        <f t="shared" si="266"/>
        <v>0</v>
      </c>
      <c r="S632" s="389">
        <f t="shared" si="267"/>
        <v>0</v>
      </c>
      <c r="U632" s="389">
        <f t="shared" si="268"/>
        <v>0</v>
      </c>
      <c r="V632" s="389" t="b">
        <f t="shared" si="269"/>
        <v>0</v>
      </c>
      <c r="W632" s="389">
        <f t="shared" si="270"/>
        <v>0</v>
      </c>
      <c r="X632" s="389">
        <f t="shared" si="271"/>
        <v>0</v>
      </c>
      <c r="Y632" s="389">
        <f t="shared" si="289"/>
        <v>1.0999999999999999E-2</v>
      </c>
      <c r="Z632" s="389">
        <f t="shared" si="272"/>
        <v>1.0999999999999999E-2</v>
      </c>
      <c r="AA632" s="389">
        <f t="shared" si="273"/>
        <v>0</v>
      </c>
      <c r="AB632" s="389">
        <f t="shared" si="274"/>
        <v>1E-4</v>
      </c>
      <c r="AC632" s="389">
        <f t="shared" si="275"/>
        <v>1E-4</v>
      </c>
      <c r="AD632" s="389">
        <f t="shared" si="276"/>
        <v>0</v>
      </c>
      <c r="AE632" s="389">
        <f t="shared" si="277"/>
        <v>0</v>
      </c>
      <c r="AG632" s="311" t="str">
        <f t="shared" si="278"/>
        <v>-</v>
      </c>
      <c r="AH632" s="453" t="str">
        <f t="shared" si="279"/>
        <v/>
      </c>
      <c r="AI632" s="453" t="str">
        <f t="shared" si="280"/>
        <v/>
      </c>
      <c r="AJ632" t="str">
        <f t="array" ref="AJ632">IF(AND(AI632&gt;1,G632&lt;&gt;""),INDEX(FS_teams,MATCH(1,(FS_Keys=AG632)*(FS_Points=I632)*(FS_teams&lt;&gt;G632),0)),"")</f>
        <v/>
      </c>
      <c r="AK632" s="390" t="str">
        <f t="array" ref="AK632">IF(AJ632&lt;&gt;"",INDEX(TM_Score1,MATCH(1,(TM_Events=D632)*(TM_Participant1=G632)*(TM_Participant2=AJ632),0)),"")</f>
        <v/>
      </c>
      <c r="AL632" s="390" t="str">
        <f t="array" ref="AL632">IF(AJ632&lt;&gt;"",INDEX(TM_Score1,MATCH(1,(TM_Events=D632)*(TM_Participant1=AJ632)*(TM_Participant2=G632),0)),"")</f>
        <v/>
      </c>
      <c r="AM632" s="389" t="str">
        <f t="array" ref="AM632">IF(ISNUMBER(AK632),INDEX(TM_Score2,MATCH(1,(TM_Events=D632)*(TM_Participant1=G632)*(TM_Participant2=AJ632),0)),"")</f>
        <v/>
      </c>
      <c r="AN632" s="389" t="str">
        <f t="array" ref="AN632">IF(ISNUMBER(AL632),INDEX(TM_Score2,MATCH(1,(TM_Events=D632)*(TM_Participant1=AJ632)*(TM_Participant2=G632),0)),"")</f>
        <v/>
      </c>
      <c r="AO632" s="389" t="str">
        <f t="shared" si="281"/>
        <v/>
      </c>
      <c r="AP632" s="389">
        <f t="shared" si="282"/>
        <v>0</v>
      </c>
      <c r="AQ632" s="389">
        <f t="shared" si="283"/>
        <v>0</v>
      </c>
      <c r="AR632" s="389">
        <f t="shared" si="284"/>
        <v>0</v>
      </c>
      <c r="AS632" s="453">
        <f t="shared" si="285"/>
        <v>0</v>
      </c>
      <c r="AT632" s="452">
        <f t="shared" si="286"/>
        <v>0</v>
      </c>
    </row>
    <row r="633" spans="2:46" ht="16" x14ac:dyDescent="0.2">
      <c r="B633"/>
      <c r="H633" s="387" t="str">
        <f t="shared" si="261"/>
        <v>0-0-0</v>
      </c>
      <c r="I633" s="389">
        <f t="shared" si="262"/>
        <v>0</v>
      </c>
      <c r="J633" s="455" t="str">
        <f t="shared" si="287"/>
        <v/>
      </c>
      <c r="K633" s="455">
        <f t="shared" si="263"/>
        <v>0</v>
      </c>
      <c r="L633" s="455">
        <f t="shared" si="288"/>
        <v>0</v>
      </c>
      <c r="M633" s="389" t="str">
        <f>IFERROR(IF(AD633&lt;=VLOOKUP(D633,Tournaments!$A$1:$B$1772,2,FALSE),"TRUE","FALSE"),"")</f>
        <v/>
      </c>
      <c r="N633" s="389">
        <v>1</v>
      </c>
      <c r="O633" s="389">
        <f t="shared" si="264"/>
        <v>0</v>
      </c>
      <c r="Q633" s="389">
        <f t="shared" si="265"/>
        <v>0</v>
      </c>
      <c r="R633" s="389">
        <f t="shared" si="266"/>
        <v>0</v>
      </c>
      <c r="S633" s="389">
        <f t="shared" si="267"/>
        <v>0</v>
      </c>
      <c r="U633" s="389">
        <f t="shared" si="268"/>
        <v>0</v>
      </c>
      <c r="V633" s="389" t="b">
        <f t="shared" si="269"/>
        <v>0</v>
      </c>
      <c r="W633" s="389">
        <f t="shared" si="270"/>
        <v>0</v>
      </c>
      <c r="X633" s="389">
        <f t="shared" si="271"/>
        <v>0</v>
      </c>
      <c r="Y633" s="389">
        <f t="shared" si="289"/>
        <v>1.0999999999999999E-2</v>
      </c>
      <c r="Z633" s="389">
        <f t="shared" si="272"/>
        <v>1.0999999999999999E-2</v>
      </c>
      <c r="AA633" s="389">
        <f t="shared" si="273"/>
        <v>0</v>
      </c>
      <c r="AB633" s="389">
        <f t="shared" si="274"/>
        <v>1E-4</v>
      </c>
      <c r="AC633" s="389">
        <f t="shared" si="275"/>
        <v>1E-4</v>
      </c>
      <c r="AD633" s="389">
        <f t="shared" si="276"/>
        <v>0</v>
      </c>
      <c r="AE633" s="389">
        <f t="shared" si="277"/>
        <v>0</v>
      </c>
      <c r="AG633" s="311" t="str">
        <f t="shared" si="278"/>
        <v>-</v>
      </c>
      <c r="AH633" s="453" t="str">
        <f t="shared" si="279"/>
        <v/>
      </c>
      <c r="AI633" s="453" t="str">
        <f t="shared" si="280"/>
        <v/>
      </c>
      <c r="AJ633" t="str">
        <f t="array" ref="AJ633">IF(AND(AI633&gt;1,G633&lt;&gt;""),INDEX(FS_teams,MATCH(1,(FS_Keys=AG633)*(FS_Points=I633)*(FS_teams&lt;&gt;G633),0)),"")</f>
        <v/>
      </c>
      <c r="AK633" s="390" t="str">
        <f t="array" ref="AK633">IF(AJ633&lt;&gt;"",INDEX(TM_Score1,MATCH(1,(TM_Events=D633)*(TM_Participant1=G633)*(TM_Participant2=AJ633),0)),"")</f>
        <v/>
      </c>
      <c r="AL633" s="390" t="str">
        <f t="array" ref="AL633">IF(AJ633&lt;&gt;"",INDEX(TM_Score1,MATCH(1,(TM_Events=D633)*(TM_Participant1=AJ633)*(TM_Participant2=G633),0)),"")</f>
        <v/>
      </c>
      <c r="AM633" s="389" t="str">
        <f t="array" ref="AM633">IF(ISNUMBER(AK633),INDEX(TM_Score2,MATCH(1,(TM_Events=D633)*(TM_Participant1=G633)*(TM_Participant2=AJ633),0)),"")</f>
        <v/>
      </c>
      <c r="AN633" s="389" t="str">
        <f t="array" ref="AN633">IF(ISNUMBER(AL633),INDEX(TM_Score2,MATCH(1,(TM_Events=D633)*(TM_Participant1=AJ633)*(TM_Participant2=G633),0)),"")</f>
        <v/>
      </c>
      <c r="AO633" s="389" t="str">
        <f t="shared" si="281"/>
        <v/>
      </c>
      <c r="AP633" s="389">
        <f t="shared" si="282"/>
        <v>0</v>
      </c>
      <c r="AQ633" s="389">
        <f t="shared" si="283"/>
        <v>0</v>
      </c>
      <c r="AR633" s="389">
        <f t="shared" si="284"/>
        <v>0</v>
      </c>
      <c r="AS633" s="453">
        <f t="shared" si="285"/>
        <v>0</v>
      </c>
      <c r="AT633" s="452">
        <f t="shared" si="286"/>
        <v>0</v>
      </c>
    </row>
    <row r="634" spans="2:46" ht="16" x14ac:dyDescent="0.2">
      <c r="B634"/>
      <c r="H634" s="387" t="str">
        <f t="shared" si="261"/>
        <v>0-0-0</v>
      </c>
      <c r="I634" s="389">
        <f t="shared" si="262"/>
        <v>0</v>
      </c>
      <c r="J634" s="455" t="str">
        <f t="shared" si="287"/>
        <v/>
      </c>
      <c r="K634" s="455">
        <f t="shared" si="263"/>
        <v>0</v>
      </c>
      <c r="L634" s="455">
        <f t="shared" si="288"/>
        <v>0</v>
      </c>
      <c r="M634" s="389" t="str">
        <f>IFERROR(IF(AD634&lt;=VLOOKUP(D634,Tournaments!$A$1:$B$1772,2,FALSE),"TRUE","FALSE"),"")</f>
        <v/>
      </c>
      <c r="N634" s="389">
        <v>1</v>
      </c>
      <c r="O634" s="389">
        <f t="shared" si="264"/>
        <v>0</v>
      </c>
      <c r="Q634" s="389">
        <f t="shared" si="265"/>
        <v>0</v>
      </c>
      <c r="R634" s="389">
        <f t="shared" si="266"/>
        <v>0</v>
      </c>
      <c r="S634" s="389">
        <f t="shared" si="267"/>
        <v>0</v>
      </c>
      <c r="U634" s="389">
        <f t="shared" si="268"/>
        <v>0</v>
      </c>
      <c r="V634" s="389" t="b">
        <f t="shared" si="269"/>
        <v>0</v>
      </c>
      <c r="W634" s="389">
        <f t="shared" si="270"/>
        <v>0</v>
      </c>
      <c r="X634" s="389">
        <f t="shared" si="271"/>
        <v>0</v>
      </c>
      <c r="Y634" s="389">
        <f t="shared" si="289"/>
        <v>1.0999999999999999E-2</v>
      </c>
      <c r="Z634" s="389">
        <f t="shared" si="272"/>
        <v>1.0999999999999999E-2</v>
      </c>
      <c r="AA634" s="389">
        <f t="shared" si="273"/>
        <v>0</v>
      </c>
      <c r="AB634" s="389">
        <f t="shared" si="274"/>
        <v>1E-4</v>
      </c>
      <c r="AC634" s="389">
        <f t="shared" si="275"/>
        <v>1E-4</v>
      </c>
      <c r="AD634" s="389">
        <f t="shared" si="276"/>
        <v>0</v>
      </c>
      <c r="AE634" s="389">
        <f t="shared" si="277"/>
        <v>0</v>
      </c>
      <c r="AG634" s="311" t="str">
        <f t="shared" si="278"/>
        <v>-</v>
      </c>
      <c r="AH634" s="453" t="str">
        <f t="shared" si="279"/>
        <v/>
      </c>
      <c r="AI634" s="453" t="str">
        <f t="shared" si="280"/>
        <v/>
      </c>
      <c r="AJ634" t="str">
        <f t="array" ref="AJ634">IF(AND(AI634&gt;1,G634&lt;&gt;""),INDEX(FS_teams,MATCH(1,(FS_Keys=AG634)*(FS_Points=I634)*(FS_teams&lt;&gt;G634),0)),"")</f>
        <v/>
      </c>
      <c r="AK634" s="390" t="str">
        <f t="array" ref="AK634">IF(AJ634&lt;&gt;"",INDEX(TM_Score1,MATCH(1,(TM_Events=D634)*(TM_Participant1=G634)*(TM_Participant2=AJ634),0)),"")</f>
        <v/>
      </c>
      <c r="AL634" s="390" t="str">
        <f t="array" ref="AL634">IF(AJ634&lt;&gt;"",INDEX(TM_Score1,MATCH(1,(TM_Events=D634)*(TM_Participant1=AJ634)*(TM_Participant2=G634),0)),"")</f>
        <v/>
      </c>
      <c r="AM634" s="389" t="str">
        <f t="array" ref="AM634">IF(ISNUMBER(AK634),INDEX(TM_Score2,MATCH(1,(TM_Events=D634)*(TM_Participant1=G634)*(TM_Participant2=AJ634),0)),"")</f>
        <v/>
      </c>
      <c r="AN634" s="389" t="str">
        <f t="array" ref="AN634">IF(ISNUMBER(AL634),INDEX(TM_Score2,MATCH(1,(TM_Events=D634)*(TM_Participant1=AJ634)*(TM_Participant2=G634),0)),"")</f>
        <v/>
      </c>
      <c r="AO634" s="389" t="str">
        <f t="shared" si="281"/>
        <v/>
      </c>
      <c r="AP634" s="389">
        <f t="shared" si="282"/>
        <v>0</v>
      </c>
      <c r="AQ634" s="389">
        <f t="shared" si="283"/>
        <v>0</v>
      </c>
      <c r="AR634" s="389">
        <f t="shared" si="284"/>
        <v>0</v>
      </c>
      <c r="AS634" s="453">
        <f t="shared" si="285"/>
        <v>0</v>
      </c>
      <c r="AT634" s="452">
        <f t="shared" si="286"/>
        <v>0</v>
      </c>
    </row>
    <row r="635" spans="2:46" ht="16" x14ac:dyDescent="0.2">
      <c r="B635"/>
      <c r="H635" s="387" t="str">
        <f t="shared" si="261"/>
        <v>0-0-0</v>
      </c>
      <c r="I635" s="389">
        <f t="shared" si="262"/>
        <v>0</v>
      </c>
      <c r="J635" s="455" t="str">
        <f t="shared" si="287"/>
        <v/>
      </c>
      <c r="K635" s="455">
        <f t="shared" si="263"/>
        <v>0</v>
      </c>
      <c r="L635" s="455">
        <f t="shared" si="288"/>
        <v>0</v>
      </c>
      <c r="M635" s="389" t="str">
        <f>IFERROR(IF(AD635&lt;=VLOOKUP(D635,Tournaments!$A$1:$B$1772,2,FALSE),"TRUE","FALSE"),"")</f>
        <v/>
      </c>
      <c r="N635" s="389">
        <v>1</v>
      </c>
      <c r="O635" s="389">
        <f t="shared" si="264"/>
        <v>0</v>
      </c>
      <c r="Q635" s="389">
        <f t="shared" si="265"/>
        <v>0</v>
      </c>
      <c r="R635" s="389">
        <f t="shared" si="266"/>
        <v>0</v>
      </c>
      <c r="S635" s="389">
        <f t="shared" si="267"/>
        <v>0</v>
      </c>
      <c r="U635" s="389">
        <f t="shared" si="268"/>
        <v>0</v>
      </c>
      <c r="V635" s="389" t="b">
        <f t="shared" si="269"/>
        <v>0</v>
      </c>
      <c r="W635" s="389">
        <f t="shared" si="270"/>
        <v>0</v>
      </c>
      <c r="X635" s="389">
        <f t="shared" si="271"/>
        <v>0</v>
      </c>
      <c r="Y635" s="389">
        <f t="shared" si="289"/>
        <v>1.0999999999999999E-2</v>
      </c>
      <c r="Z635" s="389">
        <f t="shared" si="272"/>
        <v>1.0999999999999999E-2</v>
      </c>
      <c r="AA635" s="389">
        <f t="shared" si="273"/>
        <v>0</v>
      </c>
      <c r="AB635" s="389">
        <f t="shared" si="274"/>
        <v>1E-4</v>
      </c>
      <c r="AC635" s="389">
        <f t="shared" si="275"/>
        <v>1E-4</v>
      </c>
      <c r="AD635" s="389">
        <f t="shared" si="276"/>
        <v>0</v>
      </c>
      <c r="AE635" s="389">
        <f t="shared" si="277"/>
        <v>0</v>
      </c>
      <c r="AG635" s="311" t="str">
        <f t="shared" si="278"/>
        <v>-</v>
      </c>
      <c r="AH635" s="453" t="str">
        <f t="shared" si="279"/>
        <v/>
      </c>
      <c r="AI635" s="453" t="str">
        <f t="shared" si="280"/>
        <v/>
      </c>
      <c r="AJ635" t="str">
        <f t="array" ref="AJ635">IF(AND(AI635&gt;1,G635&lt;&gt;""),INDEX(FS_teams,MATCH(1,(FS_Keys=AG635)*(FS_Points=I635)*(FS_teams&lt;&gt;G635),0)),"")</f>
        <v/>
      </c>
      <c r="AK635" s="390" t="str">
        <f t="array" ref="AK635">IF(AJ635&lt;&gt;"",INDEX(TM_Score1,MATCH(1,(TM_Events=D635)*(TM_Participant1=G635)*(TM_Participant2=AJ635),0)),"")</f>
        <v/>
      </c>
      <c r="AL635" s="390" t="str">
        <f t="array" ref="AL635">IF(AJ635&lt;&gt;"",INDEX(TM_Score1,MATCH(1,(TM_Events=D635)*(TM_Participant1=AJ635)*(TM_Participant2=G635),0)),"")</f>
        <v/>
      </c>
      <c r="AM635" s="389" t="str">
        <f t="array" ref="AM635">IF(ISNUMBER(AK635),INDEX(TM_Score2,MATCH(1,(TM_Events=D635)*(TM_Participant1=G635)*(TM_Participant2=AJ635),0)),"")</f>
        <v/>
      </c>
      <c r="AN635" s="389" t="str">
        <f t="array" ref="AN635">IF(ISNUMBER(AL635),INDEX(TM_Score2,MATCH(1,(TM_Events=D635)*(TM_Participant1=AJ635)*(TM_Participant2=G635),0)),"")</f>
        <v/>
      </c>
      <c r="AO635" s="389" t="str">
        <f t="shared" si="281"/>
        <v/>
      </c>
      <c r="AP635" s="389">
        <f t="shared" si="282"/>
        <v>0</v>
      </c>
      <c r="AQ635" s="389">
        <f t="shared" si="283"/>
        <v>0</v>
      </c>
      <c r="AR635" s="389">
        <f t="shared" si="284"/>
        <v>0</v>
      </c>
      <c r="AS635" s="453">
        <f t="shared" si="285"/>
        <v>0</v>
      </c>
      <c r="AT635" s="452">
        <f t="shared" si="286"/>
        <v>0</v>
      </c>
    </row>
    <row r="636" spans="2:46" ht="16" x14ac:dyDescent="0.2">
      <c r="B636"/>
      <c r="H636" s="387" t="str">
        <f t="shared" si="261"/>
        <v>0-0-0</v>
      </c>
      <c r="I636" s="389">
        <f t="shared" si="262"/>
        <v>0</v>
      </c>
      <c r="J636" s="455" t="str">
        <f t="shared" si="287"/>
        <v/>
      </c>
      <c r="K636" s="455">
        <f t="shared" si="263"/>
        <v>0</v>
      </c>
      <c r="L636" s="455">
        <f t="shared" si="288"/>
        <v>0</v>
      </c>
      <c r="M636" s="389" t="str">
        <f>IFERROR(IF(AD636&lt;=VLOOKUP(D636,Tournaments!$A$1:$B$1772,2,FALSE),"TRUE","FALSE"),"")</f>
        <v/>
      </c>
      <c r="N636" s="389">
        <v>1</v>
      </c>
      <c r="O636" s="389">
        <f t="shared" si="264"/>
        <v>0</v>
      </c>
      <c r="Q636" s="389">
        <f t="shared" si="265"/>
        <v>0</v>
      </c>
      <c r="R636" s="389">
        <f t="shared" si="266"/>
        <v>0</v>
      </c>
      <c r="S636" s="389">
        <f t="shared" si="267"/>
        <v>0</v>
      </c>
      <c r="U636" s="389">
        <f t="shared" si="268"/>
        <v>0</v>
      </c>
      <c r="V636" s="389" t="b">
        <f t="shared" si="269"/>
        <v>0</v>
      </c>
      <c r="W636" s="389">
        <f t="shared" si="270"/>
        <v>0</v>
      </c>
      <c r="X636" s="389">
        <f t="shared" si="271"/>
        <v>0</v>
      </c>
      <c r="Y636" s="389">
        <f t="shared" si="289"/>
        <v>1.0999999999999999E-2</v>
      </c>
      <c r="Z636" s="389">
        <f t="shared" si="272"/>
        <v>1.0999999999999999E-2</v>
      </c>
      <c r="AA636" s="389">
        <f t="shared" si="273"/>
        <v>0</v>
      </c>
      <c r="AB636" s="389">
        <f t="shared" si="274"/>
        <v>1E-4</v>
      </c>
      <c r="AC636" s="389">
        <f t="shared" si="275"/>
        <v>1E-4</v>
      </c>
      <c r="AD636" s="389">
        <f t="shared" si="276"/>
        <v>0</v>
      </c>
      <c r="AE636" s="389">
        <f t="shared" si="277"/>
        <v>0</v>
      </c>
      <c r="AG636" s="311" t="str">
        <f t="shared" si="278"/>
        <v>-</v>
      </c>
      <c r="AH636" s="453" t="str">
        <f t="shared" si="279"/>
        <v/>
      </c>
      <c r="AI636" s="453" t="str">
        <f t="shared" si="280"/>
        <v/>
      </c>
      <c r="AJ636" t="str">
        <f t="array" ref="AJ636">IF(AND(AI636&gt;1,G636&lt;&gt;""),INDEX(FS_teams,MATCH(1,(FS_Keys=AG636)*(FS_Points=I636)*(FS_teams&lt;&gt;G636),0)),"")</f>
        <v/>
      </c>
      <c r="AK636" s="390" t="str">
        <f t="array" ref="AK636">IF(AJ636&lt;&gt;"",INDEX(TM_Score1,MATCH(1,(TM_Events=D636)*(TM_Participant1=G636)*(TM_Participant2=AJ636),0)),"")</f>
        <v/>
      </c>
      <c r="AL636" s="390" t="str">
        <f t="array" ref="AL636">IF(AJ636&lt;&gt;"",INDEX(TM_Score1,MATCH(1,(TM_Events=D636)*(TM_Participant1=AJ636)*(TM_Participant2=G636),0)),"")</f>
        <v/>
      </c>
      <c r="AM636" s="389" t="str">
        <f t="array" ref="AM636">IF(ISNUMBER(AK636),INDEX(TM_Score2,MATCH(1,(TM_Events=D636)*(TM_Participant1=G636)*(TM_Participant2=AJ636),0)),"")</f>
        <v/>
      </c>
      <c r="AN636" s="389" t="str">
        <f t="array" ref="AN636">IF(ISNUMBER(AL636),INDEX(TM_Score2,MATCH(1,(TM_Events=D636)*(TM_Participant1=AJ636)*(TM_Participant2=G636),0)),"")</f>
        <v/>
      </c>
      <c r="AO636" s="389" t="str">
        <f t="shared" si="281"/>
        <v/>
      </c>
      <c r="AP636" s="389">
        <f t="shared" si="282"/>
        <v>0</v>
      </c>
      <c r="AQ636" s="389">
        <f t="shared" si="283"/>
        <v>0</v>
      </c>
      <c r="AR636" s="389">
        <f t="shared" si="284"/>
        <v>0</v>
      </c>
      <c r="AS636" s="453">
        <f t="shared" si="285"/>
        <v>0</v>
      </c>
      <c r="AT636" s="452">
        <f t="shared" si="286"/>
        <v>0</v>
      </c>
    </row>
    <row r="637" spans="2:46" ht="16" x14ac:dyDescent="0.2">
      <c r="B637"/>
      <c r="H637" s="387" t="str">
        <f t="shared" si="261"/>
        <v>0-0-0</v>
      </c>
      <c r="I637" s="389">
        <f t="shared" si="262"/>
        <v>0</v>
      </c>
      <c r="J637" s="455" t="str">
        <f t="shared" si="287"/>
        <v/>
      </c>
      <c r="K637" s="455">
        <f t="shared" si="263"/>
        <v>0</v>
      </c>
      <c r="L637" s="455">
        <f t="shared" si="288"/>
        <v>0</v>
      </c>
      <c r="M637" s="389" t="str">
        <f>IFERROR(IF(AD637&lt;=VLOOKUP(D637,Tournaments!$A$1:$B$1772,2,FALSE),"TRUE","FALSE"),"")</f>
        <v/>
      </c>
      <c r="N637" s="389">
        <v>1</v>
      </c>
      <c r="O637" s="389">
        <f t="shared" si="264"/>
        <v>0</v>
      </c>
      <c r="Q637" s="389">
        <f t="shared" si="265"/>
        <v>0</v>
      </c>
      <c r="R637" s="389">
        <f t="shared" si="266"/>
        <v>0</v>
      </c>
      <c r="S637" s="389">
        <f t="shared" si="267"/>
        <v>0</v>
      </c>
      <c r="U637" s="389">
        <f t="shared" si="268"/>
        <v>0</v>
      </c>
      <c r="V637" s="389" t="b">
        <f t="shared" si="269"/>
        <v>0</v>
      </c>
      <c r="W637" s="389">
        <f t="shared" si="270"/>
        <v>0</v>
      </c>
      <c r="X637" s="389">
        <f t="shared" si="271"/>
        <v>0</v>
      </c>
      <c r="Y637" s="389">
        <f t="shared" si="289"/>
        <v>1.0999999999999999E-2</v>
      </c>
      <c r="Z637" s="389">
        <f t="shared" si="272"/>
        <v>1.0999999999999999E-2</v>
      </c>
      <c r="AA637" s="389">
        <f t="shared" si="273"/>
        <v>0</v>
      </c>
      <c r="AB637" s="389">
        <f t="shared" si="274"/>
        <v>1E-4</v>
      </c>
      <c r="AC637" s="389">
        <f t="shared" si="275"/>
        <v>1E-4</v>
      </c>
      <c r="AD637" s="389">
        <f t="shared" si="276"/>
        <v>0</v>
      </c>
      <c r="AE637" s="389">
        <f t="shared" si="277"/>
        <v>0</v>
      </c>
      <c r="AG637" s="311" t="str">
        <f t="shared" si="278"/>
        <v>-</v>
      </c>
      <c r="AH637" s="453" t="str">
        <f t="shared" si="279"/>
        <v/>
      </c>
      <c r="AI637" s="453" t="str">
        <f t="shared" si="280"/>
        <v/>
      </c>
      <c r="AJ637" t="str">
        <f t="array" ref="AJ637">IF(AND(AI637&gt;1,G637&lt;&gt;""),INDEX(FS_teams,MATCH(1,(FS_Keys=AG637)*(FS_Points=I637)*(FS_teams&lt;&gt;G637),0)),"")</f>
        <v/>
      </c>
      <c r="AK637" s="390" t="str">
        <f t="array" ref="AK637">IF(AJ637&lt;&gt;"",INDEX(TM_Score1,MATCH(1,(TM_Events=D637)*(TM_Participant1=G637)*(TM_Participant2=AJ637),0)),"")</f>
        <v/>
      </c>
      <c r="AL637" s="390" t="str">
        <f t="array" ref="AL637">IF(AJ637&lt;&gt;"",INDEX(TM_Score1,MATCH(1,(TM_Events=D637)*(TM_Participant1=AJ637)*(TM_Participant2=G637),0)),"")</f>
        <v/>
      </c>
      <c r="AM637" s="389" t="str">
        <f t="array" ref="AM637">IF(ISNUMBER(AK637),INDEX(TM_Score2,MATCH(1,(TM_Events=D637)*(TM_Participant1=G637)*(TM_Participant2=AJ637),0)),"")</f>
        <v/>
      </c>
      <c r="AN637" s="389" t="str">
        <f t="array" ref="AN637">IF(ISNUMBER(AL637),INDEX(TM_Score2,MATCH(1,(TM_Events=D637)*(TM_Participant1=AJ637)*(TM_Participant2=G637),0)),"")</f>
        <v/>
      </c>
      <c r="AO637" s="389" t="str">
        <f t="shared" si="281"/>
        <v/>
      </c>
      <c r="AP637" s="389">
        <f t="shared" si="282"/>
        <v>0</v>
      </c>
      <c r="AQ637" s="389">
        <f t="shared" si="283"/>
        <v>0</v>
      </c>
      <c r="AR637" s="389">
        <f t="shared" si="284"/>
        <v>0</v>
      </c>
      <c r="AS637" s="453">
        <f t="shared" si="285"/>
        <v>0</v>
      </c>
      <c r="AT637" s="452">
        <f t="shared" si="286"/>
        <v>0</v>
      </c>
    </row>
    <row r="638" spans="2:46" ht="16" x14ac:dyDescent="0.2">
      <c r="B638"/>
      <c r="H638" s="387" t="str">
        <f t="shared" si="261"/>
        <v>0-0-0</v>
      </c>
      <c r="I638" s="389">
        <f t="shared" si="262"/>
        <v>0</v>
      </c>
      <c r="J638" s="455" t="str">
        <f t="shared" si="287"/>
        <v/>
      </c>
      <c r="K638" s="455">
        <f t="shared" si="263"/>
        <v>0</v>
      </c>
      <c r="L638" s="455">
        <f t="shared" si="288"/>
        <v>0</v>
      </c>
      <c r="M638" s="389" t="str">
        <f>IFERROR(IF(AD638&lt;=VLOOKUP(D638,Tournaments!$A$1:$B$1772,2,FALSE),"TRUE","FALSE"),"")</f>
        <v/>
      </c>
      <c r="N638" s="389">
        <v>1</v>
      </c>
      <c r="O638" s="389">
        <f t="shared" si="264"/>
        <v>0</v>
      </c>
      <c r="Q638" s="389">
        <f t="shared" si="265"/>
        <v>0</v>
      </c>
      <c r="R638" s="389">
        <f t="shared" si="266"/>
        <v>0</v>
      </c>
      <c r="S638" s="389">
        <f t="shared" si="267"/>
        <v>0</v>
      </c>
      <c r="U638" s="389">
        <f t="shared" si="268"/>
        <v>0</v>
      </c>
      <c r="V638" s="389" t="b">
        <f t="shared" si="269"/>
        <v>0</v>
      </c>
      <c r="W638" s="389">
        <f t="shared" si="270"/>
        <v>0</v>
      </c>
      <c r="X638" s="389">
        <f t="shared" si="271"/>
        <v>0</v>
      </c>
      <c r="Y638" s="389">
        <f t="shared" si="289"/>
        <v>1.0999999999999999E-2</v>
      </c>
      <c r="Z638" s="389">
        <f t="shared" si="272"/>
        <v>1.0999999999999999E-2</v>
      </c>
      <c r="AA638" s="389">
        <f t="shared" si="273"/>
        <v>0</v>
      </c>
      <c r="AB638" s="389">
        <f t="shared" si="274"/>
        <v>1E-4</v>
      </c>
      <c r="AC638" s="389">
        <f t="shared" si="275"/>
        <v>1E-4</v>
      </c>
      <c r="AD638" s="389">
        <f t="shared" si="276"/>
        <v>0</v>
      </c>
      <c r="AE638" s="389">
        <f t="shared" si="277"/>
        <v>0</v>
      </c>
      <c r="AG638" s="311" t="str">
        <f t="shared" si="278"/>
        <v>-</v>
      </c>
      <c r="AH638" s="453" t="str">
        <f t="shared" si="279"/>
        <v/>
      </c>
      <c r="AI638" s="453" t="str">
        <f t="shared" si="280"/>
        <v/>
      </c>
      <c r="AJ638" t="str">
        <f t="array" ref="AJ638">IF(AND(AI638&gt;1,G638&lt;&gt;""),INDEX(FS_teams,MATCH(1,(FS_Keys=AG638)*(FS_Points=I638)*(FS_teams&lt;&gt;G638),0)),"")</f>
        <v/>
      </c>
      <c r="AK638" s="390" t="str">
        <f t="array" ref="AK638">IF(AJ638&lt;&gt;"",INDEX(TM_Score1,MATCH(1,(TM_Events=D638)*(TM_Participant1=G638)*(TM_Participant2=AJ638),0)),"")</f>
        <v/>
      </c>
      <c r="AL638" s="390" t="str">
        <f t="array" ref="AL638">IF(AJ638&lt;&gt;"",INDEX(TM_Score1,MATCH(1,(TM_Events=D638)*(TM_Participant1=AJ638)*(TM_Participant2=G638),0)),"")</f>
        <v/>
      </c>
      <c r="AM638" s="389" t="str">
        <f t="array" ref="AM638">IF(ISNUMBER(AK638),INDEX(TM_Score2,MATCH(1,(TM_Events=D638)*(TM_Participant1=G638)*(TM_Participant2=AJ638),0)),"")</f>
        <v/>
      </c>
      <c r="AN638" s="389" t="str">
        <f t="array" ref="AN638">IF(ISNUMBER(AL638),INDEX(TM_Score2,MATCH(1,(TM_Events=D638)*(TM_Participant1=AJ638)*(TM_Participant2=G638),0)),"")</f>
        <v/>
      </c>
      <c r="AO638" s="389" t="str">
        <f t="shared" si="281"/>
        <v/>
      </c>
      <c r="AP638" s="389">
        <f t="shared" si="282"/>
        <v>0</v>
      </c>
      <c r="AQ638" s="389">
        <f t="shared" si="283"/>
        <v>0</v>
      </c>
      <c r="AR638" s="389">
        <f t="shared" si="284"/>
        <v>0</v>
      </c>
      <c r="AS638" s="453">
        <f t="shared" si="285"/>
        <v>0</v>
      </c>
      <c r="AT638" s="452">
        <f t="shared" si="286"/>
        <v>0</v>
      </c>
    </row>
    <row r="639" spans="2:46" ht="16" x14ac:dyDescent="0.2">
      <c r="B639"/>
      <c r="H639" s="387" t="str">
        <f t="shared" si="261"/>
        <v>0-0-0</v>
      </c>
      <c r="I639" s="389">
        <f t="shared" si="262"/>
        <v>0</v>
      </c>
      <c r="J639" s="455" t="str">
        <f t="shared" si="287"/>
        <v/>
      </c>
      <c r="K639" s="455">
        <f t="shared" si="263"/>
        <v>0</v>
      </c>
      <c r="L639" s="455">
        <f t="shared" si="288"/>
        <v>0</v>
      </c>
      <c r="M639" s="389" t="str">
        <f>IFERROR(IF(AD639&lt;=VLOOKUP(D639,Tournaments!$A$1:$B$1772,2,FALSE),"TRUE","FALSE"),"")</f>
        <v/>
      </c>
      <c r="N639" s="389">
        <v>1</v>
      </c>
      <c r="O639" s="389">
        <f t="shared" si="264"/>
        <v>0</v>
      </c>
      <c r="Q639" s="389">
        <f t="shared" si="265"/>
        <v>0</v>
      </c>
      <c r="R639" s="389">
        <f t="shared" si="266"/>
        <v>0</v>
      </c>
      <c r="S639" s="389">
        <f t="shared" si="267"/>
        <v>0</v>
      </c>
      <c r="U639" s="389">
        <f t="shared" si="268"/>
        <v>0</v>
      </c>
      <c r="V639" s="389" t="b">
        <f t="shared" si="269"/>
        <v>0</v>
      </c>
      <c r="W639" s="389">
        <f t="shared" si="270"/>
        <v>0</v>
      </c>
      <c r="X639" s="389">
        <f t="shared" si="271"/>
        <v>0</v>
      </c>
      <c r="Y639" s="389">
        <f t="shared" si="289"/>
        <v>1.0999999999999999E-2</v>
      </c>
      <c r="Z639" s="389">
        <f t="shared" si="272"/>
        <v>1.0999999999999999E-2</v>
      </c>
      <c r="AA639" s="389">
        <f t="shared" si="273"/>
        <v>0</v>
      </c>
      <c r="AB639" s="389">
        <f t="shared" si="274"/>
        <v>1E-4</v>
      </c>
      <c r="AC639" s="389">
        <f t="shared" si="275"/>
        <v>1E-4</v>
      </c>
      <c r="AD639" s="389">
        <f t="shared" si="276"/>
        <v>0</v>
      </c>
      <c r="AE639" s="389">
        <f t="shared" si="277"/>
        <v>0</v>
      </c>
      <c r="AG639" s="311" t="str">
        <f t="shared" si="278"/>
        <v>-</v>
      </c>
      <c r="AH639" s="453" t="str">
        <f t="shared" si="279"/>
        <v/>
      </c>
      <c r="AI639" s="453" t="str">
        <f t="shared" si="280"/>
        <v/>
      </c>
      <c r="AJ639" t="str">
        <f t="array" ref="AJ639">IF(AND(AI639&gt;1,G639&lt;&gt;""),INDEX(FS_teams,MATCH(1,(FS_Keys=AG639)*(FS_Points=I639)*(FS_teams&lt;&gt;G639),0)),"")</f>
        <v/>
      </c>
      <c r="AK639" s="390" t="str">
        <f t="array" ref="AK639">IF(AJ639&lt;&gt;"",INDEX(TM_Score1,MATCH(1,(TM_Events=D639)*(TM_Participant1=G639)*(TM_Participant2=AJ639),0)),"")</f>
        <v/>
      </c>
      <c r="AL639" s="390" t="str">
        <f t="array" ref="AL639">IF(AJ639&lt;&gt;"",INDEX(TM_Score1,MATCH(1,(TM_Events=D639)*(TM_Participant1=AJ639)*(TM_Participant2=G639),0)),"")</f>
        <v/>
      </c>
      <c r="AM639" s="389" t="str">
        <f t="array" ref="AM639">IF(ISNUMBER(AK639),INDEX(TM_Score2,MATCH(1,(TM_Events=D639)*(TM_Participant1=G639)*(TM_Participant2=AJ639),0)),"")</f>
        <v/>
      </c>
      <c r="AN639" s="389" t="str">
        <f t="array" ref="AN639">IF(ISNUMBER(AL639),INDEX(TM_Score2,MATCH(1,(TM_Events=D639)*(TM_Participant1=AJ639)*(TM_Participant2=G639),0)),"")</f>
        <v/>
      </c>
      <c r="AO639" s="389" t="str">
        <f t="shared" si="281"/>
        <v/>
      </c>
      <c r="AP639" s="389">
        <f t="shared" si="282"/>
        <v>0</v>
      </c>
      <c r="AQ639" s="389">
        <f t="shared" si="283"/>
        <v>0</v>
      </c>
      <c r="AR639" s="389">
        <f t="shared" si="284"/>
        <v>0</v>
      </c>
      <c r="AS639" s="453">
        <f t="shared" si="285"/>
        <v>0</v>
      </c>
      <c r="AT639" s="452">
        <f t="shared" si="286"/>
        <v>0</v>
      </c>
    </row>
    <row r="640" spans="2:46" ht="16" x14ac:dyDescent="0.2">
      <c r="B640"/>
      <c r="H640" s="387" t="str">
        <f t="shared" si="261"/>
        <v>0-0-0</v>
      </c>
      <c r="I640" s="389">
        <f t="shared" si="262"/>
        <v>0</v>
      </c>
      <c r="J640" s="455" t="str">
        <f t="shared" si="287"/>
        <v/>
      </c>
      <c r="K640" s="455">
        <f t="shared" si="263"/>
        <v>0</v>
      </c>
      <c r="L640" s="455">
        <f t="shared" si="288"/>
        <v>0</v>
      </c>
      <c r="M640" s="389" t="str">
        <f>IFERROR(IF(AD640&lt;=VLOOKUP(D640,Tournaments!$A$1:$B$1772,2,FALSE),"TRUE","FALSE"),"")</f>
        <v/>
      </c>
      <c r="N640" s="389">
        <v>1</v>
      </c>
      <c r="O640" s="389">
        <f t="shared" si="264"/>
        <v>0</v>
      </c>
      <c r="Q640" s="389">
        <f t="shared" si="265"/>
        <v>0</v>
      </c>
      <c r="R640" s="389">
        <f t="shared" si="266"/>
        <v>0</v>
      </c>
      <c r="S640" s="389">
        <f t="shared" si="267"/>
        <v>0</v>
      </c>
      <c r="U640" s="389">
        <f t="shared" si="268"/>
        <v>0</v>
      </c>
      <c r="V640" s="389" t="b">
        <f t="shared" si="269"/>
        <v>0</v>
      </c>
      <c r="W640" s="389">
        <f t="shared" si="270"/>
        <v>0</v>
      </c>
      <c r="X640" s="389">
        <f t="shared" si="271"/>
        <v>0</v>
      </c>
      <c r="Y640" s="389">
        <f t="shared" si="289"/>
        <v>1.0999999999999999E-2</v>
      </c>
      <c r="Z640" s="389">
        <f t="shared" si="272"/>
        <v>1.0999999999999999E-2</v>
      </c>
      <c r="AA640" s="389">
        <f t="shared" si="273"/>
        <v>0</v>
      </c>
      <c r="AB640" s="389">
        <f t="shared" si="274"/>
        <v>1E-4</v>
      </c>
      <c r="AC640" s="389">
        <f t="shared" si="275"/>
        <v>1E-4</v>
      </c>
      <c r="AD640" s="389">
        <f t="shared" si="276"/>
        <v>0</v>
      </c>
      <c r="AE640" s="389">
        <f t="shared" si="277"/>
        <v>0</v>
      </c>
      <c r="AG640" s="311" t="str">
        <f t="shared" si="278"/>
        <v>-</v>
      </c>
      <c r="AH640" s="453" t="str">
        <f t="shared" si="279"/>
        <v/>
      </c>
      <c r="AI640" s="453" t="str">
        <f t="shared" si="280"/>
        <v/>
      </c>
      <c r="AJ640" t="str">
        <f t="array" ref="AJ640">IF(AND(AI640&gt;1,G640&lt;&gt;""),INDEX(FS_teams,MATCH(1,(FS_Keys=AG640)*(FS_Points=I640)*(FS_teams&lt;&gt;G640),0)),"")</f>
        <v/>
      </c>
      <c r="AK640" s="390" t="str">
        <f t="array" ref="AK640">IF(AJ640&lt;&gt;"",INDEX(TM_Score1,MATCH(1,(TM_Events=D640)*(TM_Participant1=G640)*(TM_Participant2=AJ640),0)),"")</f>
        <v/>
      </c>
      <c r="AL640" s="390" t="str">
        <f t="array" ref="AL640">IF(AJ640&lt;&gt;"",INDEX(TM_Score1,MATCH(1,(TM_Events=D640)*(TM_Participant1=AJ640)*(TM_Participant2=G640),0)),"")</f>
        <v/>
      </c>
      <c r="AM640" s="389" t="str">
        <f t="array" ref="AM640">IF(ISNUMBER(AK640),INDEX(TM_Score2,MATCH(1,(TM_Events=D640)*(TM_Participant1=G640)*(TM_Participant2=AJ640),0)),"")</f>
        <v/>
      </c>
      <c r="AN640" s="389" t="str">
        <f t="array" ref="AN640">IF(ISNUMBER(AL640),INDEX(TM_Score2,MATCH(1,(TM_Events=D640)*(TM_Participant1=AJ640)*(TM_Participant2=G640),0)),"")</f>
        <v/>
      </c>
      <c r="AO640" s="389" t="str">
        <f t="shared" si="281"/>
        <v/>
      </c>
      <c r="AP640" s="389">
        <f t="shared" si="282"/>
        <v>0</v>
      </c>
      <c r="AQ640" s="389">
        <f t="shared" si="283"/>
        <v>0</v>
      </c>
      <c r="AR640" s="389">
        <f t="shared" si="284"/>
        <v>0</v>
      </c>
      <c r="AS640" s="453">
        <f t="shared" si="285"/>
        <v>0</v>
      </c>
      <c r="AT640" s="452">
        <f t="shared" si="286"/>
        <v>0</v>
      </c>
    </row>
    <row r="641" spans="2:46" ht="16" x14ac:dyDescent="0.2">
      <c r="B641"/>
      <c r="H641" s="387" t="str">
        <f t="shared" si="261"/>
        <v>0-0-0</v>
      </c>
      <c r="I641" s="389">
        <f t="shared" si="262"/>
        <v>0</v>
      </c>
      <c r="J641" s="455" t="str">
        <f t="shared" si="287"/>
        <v/>
      </c>
      <c r="K641" s="455">
        <f t="shared" si="263"/>
        <v>0</v>
      </c>
      <c r="L641" s="455">
        <f t="shared" si="288"/>
        <v>0</v>
      </c>
      <c r="M641" s="389" t="str">
        <f>IFERROR(IF(AD641&lt;=VLOOKUP(D641,Tournaments!$A$1:$B$1772,2,FALSE),"TRUE","FALSE"),"")</f>
        <v/>
      </c>
      <c r="N641" s="389">
        <v>1</v>
      </c>
      <c r="O641" s="389">
        <f t="shared" si="264"/>
        <v>0</v>
      </c>
      <c r="Q641" s="389">
        <f t="shared" si="265"/>
        <v>0</v>
      </c>
      <c r="R641" s="389">
        <f t="shared" si="266"/>
        <v>0</v>
      </c>
      <c r="S641" s="389">
        <f t="shared" si="267"/>
        <v>0</v>
      </c>
      <c r="U641" s="389">
        <f t="shared" si="268"/>
        <v>0</v>
      </c>
      <c r="V641" s="389" t="b">
        <f t="shared" si="269"/>
        <v>0</v>
      </c>
      <c r="W641" s="389">
        <f t="shared" si="270"/>
        <v>0</v>
      </c>
      <c r="X641" s="389">
        <f t="shared" si="271"/>
        <v>0</v>
      </c>
      <c r="Y641" s="389">
        <f t="shared" si="289"/>
        <v>1.0999999999999999E-2</v>
      </c>
      <c r="Z641" s="389">
        <f t="shared" si="272"/>
        <v>1.0999999999999999E-2</v>
      </c>
      <c r="AA641" s="389">
        <f t="shared" si="273"/>
        <v>0</v>
      </c>
      <c r="AB641" s="389">
        <f t="shared" si="274"/>
        <v>1E-4</v>
      </c>
      <c r="AC641" s="389">
        <f t="shared" si="275"/>
        <v>1E-4</v>
      </c>
      <c r="AD641" s="389">
        <f t="shared" si="276"/>
        <v>0</v>
      </c>
      <c r="AE641" s="389">
        <f t="shared" si="277"/>
        <v>0</v>
      </c>
      <c r="AG641" s="311" t="str">
        <f t="shared" si="278"/>
        <v>-</v>
      </c>
      <c r="AH641" s="453" t="str">
        <f t="shared" si="279"/>
        <v/>
      </c>
      <c r="AI641" s="453" t="str">
        <f t="shared" si="280"/>
        <v/>
      </c>
      <c r="AJ641" t="str">
        <f t="array" ref="AJ641">IF(AND(AI641&gt;1,G641&lt;&gt;""),INDEX(FS_teams,MATCH(1,(FS_Keys=AG641)*(FS_Points=I641)*(FS_teams&lt;&gt;G641),0)),"")</f>
        <v/>
      </c>
      <c r="AK641" s="390" t="str">
        <f t="array" ref="AK641">IF(AJ641&lt;&gt;"",INDEX(TM_Score1,MATCH(1,(TM_Events=D641)*(TM_Participant1=G641)*(TM_Participant2=AJ641),0)),"")</f>
        <v/>
      </c>
      <c r="AL641" s="390" t="str">
        <f t="array" ref="AL641">IF(AJ641&lt;&gt;"",INDEX(TM_Score1,MATCH(1,(TM_Events=D641)*(TM_Participant1=AJ641)*(TM_Participant2=G641),0)),"")</f>
        <v/>
      </c>
      <c r="AM641" s="389" t="str">
        <f t="array" ref="AM641">IF(ISNUMBER(AK641),INDEX(TM_Score2,MATCH(1,(TM_Events=D641)*(TM_Participant1=G641)*(TM_Participant2=AJ641),0)),"")</f>
        <v/>
      </c>
      <c r="AN641" s="389" t="str">
        <f t="array" ref="AN641">IF(ISNUMBER(AL641),INDEX(TM_Score2,MATCH(1,(TM_Events=D641)*(TM_Participant1=AJ641)*(TM_Participant2=G641),0)),"")</f>
        <v/>
      </c>
      <c r="AO641" s="389" t="str">
        <f t="shared" si="281"/>
        <v/>
      </c>
      <c r="AP641" s="389">
        <f t="shared" si="282"/>
        <v>0</v>
      </c>
      <c r="AQ641" s="389">
        <f t="shared" si="283"/>
        <v>0</v>
      </c>
      <c r="AR641" s="389">
        <f t="shared" si="284"/>
        <v>0</v>
      </c>
      <c r="AS641" s="453">
        <f t="shared" si="285"/>
        <v>0</v>
      </c>
      <c r="AT641" s="452">
        <f t="shared" si="286"/>
        <v>0</v>
      </c>
    </row>
    <row r="642" spans="2:46" ht="16" x14ac:dyDescent="0.2">
      <c r="B642"/>
      <c r="H642" s="387" t="str">
        <f t="shared" si="261"/>
        <v>0-0-0</v>
      </c>
      <c r="I642" s="389">
        <f t="shared" si="262"/>
        <v>0</v>
      </c>
      <c r="J642" s="455" t="str">
        <f t="shared" si="287"/>
        <v/>
      </c>
      <c r="K642" s="455">
        <f t="shared" si="263"/>
        <v>0</v>
      </c>
      <c r="L642" s="455">
        <f t="shared" si="288"/>
        <v>0</v>
      </c>
      <c r="M642" s="389" t="str">
        <f>IFERROR(IF(AD642&lt;=VLOOKUP(D642,Tournaments!$A$1:$B$1772,2,FALSE),"TRUE","FALSE"),"")</f>
        <v/>
      </c>
      <c r="N642" s="389">
        <v>1</v>
      </c>
      <c r="O642" s="389">
        <f t="shared" si="264"/>
        <v>0</v>
      </c>
      <c r="Q642" s="389">
        <f t="shared" si="265"/>
        <v>0</v>
      </c>
      <c r="R642" s="389">
        <f t="shared" si="266"/>
        <v>0</v>
      </c>
      <c r="S642" s="389">
        <f t="shared" si="267"/>
        <v>0</v>
      </c>
      <c r="U642" s="389">
        <f t="shared" si="268"/>
        <v>0</v>
      </c>
      <c r="V642" s="389" t="b">
        <f t="shared" si="269"/>
        <v>0</v>
      </c>
      <c r="W642" s="389">
        <f t="shared" si="270"/>
        <v>0</v>
      </c>
      <c r="X642" s="389">
        <f t="shared" si="271"/>
        <v>0</v>
      </c>
      <c r="Y642" s="389">
        <f t="shared" si="289"/>
        <v>1.0999999999999999E-2</v>
      </c>
      <c r="Z642" s="389">
        <f t="shared" si="272"/>
        <v>1.0999999999999999E-2</v>
      </c>
      <c r="AA642" s="389">
        <f t="shared" si="273"/>
        <v>0</v>
      </c>
      <c r="AB642" s="389">
        <f t="shared" si="274"/>
        <v>1E-4</v>
      </c>
      <c r="AC642" s="389">
        <f t="shared" si="275"/>
        <v>1E-4</v>
      </c>
      <c r="AD642" s="389">
        <f t="shared" si="276"/>
        <v>0</v>
      </c>
      <c r="AE642" s="389">
        <f t="shared" si="277"/>
        <v>0</v>
      </c>
      <c r="AG642" s="311" t="str">
        <f t="shared" si="278"/>
        <v>-</v>
      </c>
      <c r="AH642" s="453" t="str">
        <f t="shared" si="279"/>
        <v/>
      </c>
      <c r="AI642" s="453" t="str">
        <f t="shared" si="280"/>
        <v/>
      </c>
      <c r="AJ642" t="str">
        <f t="array" ref="AJ642">IF(AND(AI642&gt;1,G642&lt;&gt;""),INDEX(FS_teams,MATCH(1,(FS_Keys=AG642)*(FS_Points=I642)*(FS_teams&lt;&gt;G642),0)),"")</f>
        <v/>
      </c>
      <c r="AK642" s="390" t="str">
        <f t="array" ref="AK642">IF(AJ642&lt;&gt;"",INDEX(TM_Score1,MATCH(1,(TM_Events=D642)*(TM_Participant1=G642)*(TM_Participant2=AJ642),0)),"")</f>
        <v/>
      </c>
      <c r="AL642" s="390" t="str">
        <f t="array" ref="AL642">IF(AJ642&lt;&gt;"",INDEX(TM_Score1,MATCH(1,(TM_Events=D642)*(TM_Participant1=AJ642)*(TM_Participant2=G642),0)),"")</f>
        <v/>
      </c>
      <c r="AM642" s="389" t="str">
        <f t="array" ref="AM642">IF(ISNUMBER(AK642),INDEX(TM_Score2,MATCH(1,(TM_Events=D642)*(TM_Participant1=G642)*(TM_Participant2=AJ642),0)),"")</f>
        <v/>
      </c>
      <c r="AN642" s="389" t="str">
        <f t="array" ref="AN642">IF(ISNUMBER(AL642),INDEX(TM_Score2,MATCH(1,(TM_Events=D642)*(TM_Participant1=AJ642)*(TM_Participant2=G642),0)),"")</f>
        <v/>
      </c>
      <c r="AO642" s="389" t="str">
        <f t="shared" si="281"/>
        <v/>
      </c>
      <c r="AP642" s="389">
        <f t="shared" si="282"/>
        <v>0</v>
      </c>
      <c r="AQ642" s="389">
        <f t="shared" si="283"/>
        <v>0</v>
      </c>
      <c r="AR642" s="389">
        <f t="shared" si="284"/>
        <v>0</v>
      </c>
      <c r="AS642" s="453">
        <f t="shared" si="285"/>
        <v>0</v>
      </c>
      <c r="AT642" s="452">
        <f t="shared" si="286"/>
        <v>0</v>
      </c>
    </row>
    <row r="643" spans="2:46" ht="16" x14ac:dyDescent="0.2">
      <c r="B643"/>
      <c r="H643" s="387" t="str">
        <f t="shared" ref="H643:H706" si="290">Q643&amp;"-"&amp;R643&amp;"-"&amp;S643</f>
        <v>0-0-0</v>
      </c>
      <c r="I643" s="389">
        <f t="shared" ref="I643:I706" si="291">IF(H643&lt;&gt;"0-0-0",Q643*2+S643,0)</f>
        <v>0</v>
      </c>
      <c r="J643" s="455" t="str">
        <f t="shared" si="287"/>
        <v/>
      </c>
      <c r="K643" s="455">
        <f t="shared" ref="K643:K706" si="292">IF(COUNTIFS(AG:AG,AG643,I:I,I643,J:J,J643)&gt;1,AS643,"")</f>
        <v>0</v>
      </c>
      <c r="L643" s="455">
        <f t="shared" si="288"/>
        <v>0</v>
      </c>
      <c r="M643" s="389" t="str">
        <f>IFERROR(IF(AD643&lt;=VLOOKUP(D643,Tournaments!$A$1:$B$1772,2,FALSE),"TRUE","FALSE"),"")</f>
        <v/>
      </c>
      <c r="N643" s="389">
        <v>1</v>
      </c>
      <c r="O643" s="389">
        <f t="shared" ref="O643:O706" si="293">AD643</f>
        <v>0</v>
      </c>
      <c r="Q643" s="389">
        <f t="shared" ref="Q643:Q706" si="294">AP643</f>
        <v>0</v>
      </c>
      <c r="R643" s="389">
        <f t="shared" ref="R643:R706" si="295">AR643</f>
        <v>0</v>
      </c>
      <c r="S643" s="389">
        <f t="shared" ref="S643:S706" si="296">AQ643</f>
        <v>0</v>
      </c>
      <c r="U643" s="389">
        <f t="shared" ref="U643:U706" si="297">IF(E643&lt;&gt;"",COUNTIFS($D$3:$D$1001,D643,$E$3:$E$1001,E643,$I$3:$I$1001,"&gt;"&amp;I643)+COUNTIFS($D$3:$D$1001,D643,$E$3:$E$1001,E643,$I$3:$I$1001,I643),COUNTIFS($D$3:$D$1001,D643,$I$3:$I$1001,"&gt;"&amp;I643)+COUNTIFS($D$3:$D$1001,D643,$I$3:$I$1001,I643))</f>
        <v>0</v>
      </c>
      <c r="V643" s="389" t="b">
        <f t="shared" ref="V643:V706" si="298">IFERROR(RANK(J643,$J:$J,1)/10000,FALSE)</f>
        <v>0</v>
      </c>
      <c r="W643" s="389">
        <f t="shared" ref="W643:W706" si="299">V643-U643</f>
        <v>0</v>
      </c>
      <c r="X643" s="389">
        <f t="shared" ref="X643:X706" si="300">IF(E643&lt;&gt;"",COUNTIFS($D:$D,$D643,$E:$E,$E643,$W:$W,"&gt;"&amp;W643)+COUNTIFS($D:$D,$D643,$E:$E,$E643,$W:$W,W643),COUNTIFS($D:$D,$D643,$W:$W,"&gt;"&amp;W643)+COUNTIFS($D:$D,$D643,$W:$W,W643))</f>
        <v>0</v>
      </c>
      <c r="Y643" s="389">
        <f t="shared" si="289"/>
        <v>1.0999999999999999E-2</v>
      </c>
      <c r="Z643" s="389">
        <f t="shared" ref="Z643:Z706" si="301">Y643-X643</f>
        <v>1.0999999999999999E-2</v>
      </c>
      <c r="AA643" s="389">
        <f t="shared" ref="AA643:AA706" si="302">IF(E643&lt;&gt;"",(COUNTIFS($D:$D,D643,$E:$E,E643,$Z:$Z,"&gt;"&amp;Z643)+COUNTIFS($D:$D,D643,$E:$E,E643,$Z:$Z,Z643)),(COUNTIFS($D:$D,D643,$Z:$Z,"&gt;"&amp;Z643)+COUNTIFS($D:$D,D643,$Z:$Z,Z643)))</f>
        <v>0</v>
      </c>
      <c r="AB643" s="389">
        <f t="shared" ref="AB643:AB706" si="303">IFERROR(RANK(L643,$L:$L,1)/10000,FALSE)</f>
        <v>1E-4</v>
      </c>
      <c r="AC643" s="389">
        <f t="shared" ref="AC643:AC706" si="304">AB643-AA643</f>
        <v>1E-4</v>
      </c>
      <c r="AD643" s="389">
        <f t="shared" ref="AD643:AD706" si="305">IF(E643&lt;&gt;"",COUNTIFS($D:$D,$D643,$E:$E,$E643,$AC:$AC,"&gt;"&amp;AC643)+COUNTIFS($D:$D,$D643,$E:$E,$E643,$AC:$AC,AC643),COUNTIFS($D:$D,$D643,$AC:$AC,"&gt;"&amp;AC643)+COUNTIFS($D:$D,$D643,$AC:$AC,AC643))</f>
        <v>0</v>
      </c>
      <c r="AE643" s="389">
        <f t="shared" ref="AE643:AE706" si="306">IF(E643&lt;&gt;"",COUNTIFS($D:$D,D643,$E:$E,E643,$I:$I,I643,$J:$J,J643),COUNTIFS($D:$D,D643,$I:$I,I643,$J:$J,J643))</f>
        <v>0</v>
      </c>
      <c r="AG643" s="311" t="str">
        <f t="shared" ref="AG643:AG706" si="307">D643&amp;"-"&amp;E643</f>
        <v>-</v>
      </c>
      <c r="AH643" s="453" t="str">
        <f t="shared" ref="AH643:AH706" si="308">IF(G643="","",COUNTIFS(FS_teams,"&lt;&gt;-1",FS_Keys,AG643,FS_Points,"&gt;"&amp;I643)+1)</f>
        <v/>
      </c>
      <c r="AI643" s="453" t="str">
        <f t="shared" ref="AI643:AI706" si="309">IF(G643="","",COUNTIFS(FS_Keys,AG643,FS_Rank_on_Points,AH643))</f>
        <v/>
      </c>
      <c r="AJ643" t="str">
        <f t="array" ref="AJ643">IF(AND(AI643&gt;1,G643&lt;&gt;""),INDEX(FS_teams,MATCH(1,(FS_Keys=AG643)*(FS_Points=I643)*(FS_teams&lt;&gt;G643),0)),"")</f>
        <v/>
      </c>
      <c r="AK643" s="390" t="str">
        <f t="array" ref="AK643">IF(AJ643&lt;&gt;"",INDEX(TM_Score1,MATCH(1,(TM_Events=D643)*(TM_Participant1=G643)*(TM_Participant2=AJ643),0)),"")</f>
        <v/>
      </c>
      <c r="AL643" s="390" t="str">
        <f t="array" ref="AL643">IF(AJ643&lt;&gt;"",INDEX(TM_Score1,MATCH(1,(TM_Events=D643)*(TM_Participant1=AJ643)*(TM_Participant2=G643),0)),"")</f>
        <v/>
      </c>
      <c r="AM643" s="389" t="str">
        <f t="array" ref="AM643">IF(ISNUMBER(AK643),INDEX(TM_Score2,MATCH(1,(TM_Events=D643)*(TM_Participant1=G643)*(TM_Participant2=AJ643),0)),"")</f>
        <v/>
      </c>
      <c r="AN643" s="389" t="str">
        <f t="array" ref="AN643">IF(ISNUMBER(AL643),INDEX(TM_Score2,MATCH(1,(TM_Events=D643)*(TM_Participant1=AJ643)*(TM_Participant2=G643),0)),"")</f>
        <v/>
      </c>
      <c r="AO643" s="389" t="str">
        <f t="shared" ref="AO643:AO706" si="310">IF(AJ643="","",IF(ISNUMBER(AK643),IF(AK643&gt;AM643,"Win",IF(AK643=AM643,"Tie",IF(AK643&lt;AM643,"Loss","check"))),IF(ISNUMBER(AL643),IF(AN643&gt;AL643,"Win",IF(AN643=AL643,"Tie",IF(AN643&lt;AL643,"Loss","check"))),IF(AND(ISNA(AK643),ISNA(AL643)),"did not play","check"))))</f>
        <v/>
      </c>
      <c r="AP643" s="389">
        <f t="shared" ref="AP643:AP706" si="311">SUMIFS(TM_W1,TM_Events,D643,TM_Participant1,G643)+SUMIFS(TM_w2,TM_Events,D643,TM_Participant2,G643)</f>
        <v>0</v>
      </c>
      <c r="AQ643" s="389">
        <f t="shared" ref="AQ643:AQ706" si="312">SUMIFS(TM_T1,TM_Events,D643,TM_Participant1,G643)+SUMIFS(TM_T2,TM_Events,D643,TM_Participant2,G643)</f>
        <v>0</v>
      </c>
      <c r="AR643" s="389">
        <f t="shared" ref="AR643:AR706" si="313">SUMIFS(TM_L1,TM_Events,D643,TM_Participant1,G643)+SUMIFS(TM_L2,TM_Events,D643,TM_Participant2,G643)</f>
        <v>0</v>
      </c>
      <c r="AS643" s="453">
        <f t="shared" ref="AS643:AS706" si="314">SUMIFS(Net_1,TM_Events,D643,TM_Participant1,G643)+SUMIFS(Net_2,TM_Events,D643,TM_Participant2,G643)</f>
        <v>0</v>
      </c>
      <c r="AT643" s="452">
        <f t="shared" ref="AT643:AT706" si="315">SUMIFS(Score_1,TM_Events,D643,TM_Participant1,G643)+SUMIFS(Score_2,TM_Events,D643,TM_Participant2,G643)</f>
        <v>0</v>
      </c>
    </row>
    <row r="644" spans="2:46" ht="16" x14ac:dyDescent="0.2">
      <c r="B644"/>
      <c r="H644" s="387" t="str">
        <f t="shared" si="290"/>
        <v>0-0-0</v>
      </c>
      <c r="I644" s="389">
        <f t="shared" si="291"/>
        <v>0</v>
      </c>
      <c r="J644" s="455" t="str">
        <f t="shared" ref="J644:J707" si="316">IF(E644&lt;&gt;"",IF(COUNTIFS($D:$D,D644,$E:$E,E644,$I:$I,I644)&lt;3,IFERROR(IF(H644&lt;&gt;"0-0-0",IF(AO644&lt;&gt;"",IF(AO644="Win",2,IF(AO644="Loss",0,1)),""),""),""),1),IF(COUNTIFS(D:D,D644,I:I,I644)&lt;3,IFERROR(IF(H644&lt;&gt;"0-0-0",IF(AO644&lt;&gt;"",IF(AO644="Win",2,IF(AO644="Loss",0,1)),""),""),""),1))</f>
        <v/>
      </c>
      <c r="K644" s="455">
        <f t="shared" si="292"/>
        <v>0</v>
      </c>
      <c r="L644" s="455">
        <f t="shared" ref="L644:L707" si="317">IF(COUNTIFS(AG:AG,AG644,I:I,I644,J:J,J644,K:K,K644)&gt;1,AT644,"")</f>
        <v>0</v>
      </c>
      <c r="M644" s="389" t="str">
        <f>IFERROR(IF(AD644&lt;=VLOOKUP(D644,Tournaments!$A$1:$B$1772,2,FALSE),"TRUE","FALSE"),"")</f>
        <v/>
      </c>
      <c r="N644" s="389">
        <v>1</v>
      </c>
      <c r="O644" s="389">
        <f t="shared" si="293"/>
        <v>0</v>
      </c>
      <c r="Q644" s="389">
        <f t="shared" si="294"/>
        <v>0</v>
      </c>
      <c r="R644" s="389">
        <f t="shared" si="295"/>
        <v>0</v>
      </c>
      <c r="S644" s="389">
        <f t="shared" si="296"/>
        <v>0</v>
      </c>
      <c r="U644" s="389">
        <f t="shared" si="297"/>
        <v>0</v>
      </c>
      <c r="V644" s="389" t="b">
        <f t="shared" si="298"/>
        <v>0</v>
      </c>
      <c r="W644" s="389">
        <f t="shared" si="299"/>
        <v>0</v>
      </c>
      <c r="X644" s="389">
        <f t="shared" si="300"/>
        <v>0</v>
      </c>
      <c r="Y644" s="389">
        <f t="shared" ref="Y644:Y707" si="318">IFERROR(IF(K644&gt;=0,RANK(K644,$K:$K,1)/10000,RANK(K644,$K:$K,1)/10000),FALSE)</f>
        <v>1.0999999999999999E-2</v>
      </c>
      <c r="Z644" s="389">
        <f t="shared" si="301"/>
        <v>1.0999999999999999E-2</v>
      </c>
      <c r="AA644" s="389">
        <f t="shared" si="302"/>
        <v>0</v>
      </c>
      <c r="AB644" s="389">
        <f t="shared" si="303"/>
        <v>1E-4</v>
      </c>
      <c r="AC644" s="389">
        <f t="shared" si="304"/>
        <v>1E-4</v>
      </c>
      <c r="AD644" s="389">
        <f t="shared" si="305"/>
        <v>0</v>
      </c>
      <c r="AE644" s="389">
        <f t="shared" si="306"/>
        <v>0</v>
      </c>
      <c r="AG644" s="311" t="str">
        <f t="shared" si="307"/>
        <v>-</v>
      </c>
      <c r="AH644" s="453" t="str">
        <f t="shared" si="308"/>
        <v/>
      </c>
      <c r="AI644" s="453" t="str">
        <f t="shared" si="309"/>
        <v/>
      </c>
      <c r="AJ644" t="str">
        <f t="array" ref="AJ644">IF(AND(AI644&gt;1,G644&lt;&gt;""),INDEX(FS_teams,MATCH(1,(FS_Keys=AG644)*(FS_Points=I644)*(FS_teams&lt;&gt;G644),0)),"")</f>
        <v/>
      </c>
      <c r="AK644" s="390" t="str">
        <f t="array" ref="AK644">IF(AJ644&lt;&gt;"",INDEX(TM_Score1,MATCH(1,(TM_Events=D644)*(TM_Participant1=G644)*(TM_Participant2=AJ644),0)),"")</f>
        <v/>
      </c>
      <c r="AL644" s="390" t="str">
        <f t="array" ref="AL644">IF(AJ644&lt;&gt;"",INDEX(TM_Score1,MATCH(1,(TM_Events=D644)*(TM_Participant1=AJ644)*(TM_Participant2=G644),0)),"")</f>
        <v/>
      </c>
      <c r="AM644" s="389" t="str">
        <f t="array" ref="AM644">IF(ISNUMBER(AK644),INDEX(TM_Score2,MATCH(1,(TM_Events=D644)*(TM_Participant1=G644)*(TM_Participant2=AJ644),0)),"")</f>
        <v/>
      </c>
      <c r="AN644" s="389" t="str">
        <f t="array" ref="AN644">IF(ISNUMBER(AL644),INDEX(TM_Score2,MATCH(1,(TM_Events=D644)*(TM_Participant1=AJ644)*(TM_Participant2=G644),0)),"")</f>
        <v/>
      </c>
      <c r="AO644" s="389" t="str">
        <f t="shared" si="310"/>
        <v/>
      </c>
      <c r="AP644" s="389">
        <f t="shared" si="311"/>
        <v>0</v>
      </c>
      <c r="AQ644" s="389">
        <f t="shared" si="312"/>
        <v>0</v>
      </c>
      <c r="AR644" s="389">
        <f t="shared" si="313"/>
        <v>0</v>
      </c>
      <c r="AS644" s="453">
        <f t="shared" si="314"/>
        <v>0</v>
      </c>
      <c r="AT644" s="452">
        <f t="shared" si="315"/>
        <v>0</v>
      </c>
    </row>
    <row r="645" spans="2:46" ht="16" x14ac:dyDescent="0.2">
      <c r="B645"/>
      <c r="H645" s="387" t="str">
        <f t="shared" si="290"/>
        <v>0-0-0</v>
      </c>
      <c r="I645" s="389">
        <f t="shared" si="291"/>
        <v>0</v>
      </c>
      <c r="J645" s="455" t="str">
        <f t="shared" si="316"/>
        <v/>
      </c>
      <c r="K645" s="455">
        <f t="shared" si="292"/>
        <v>0</v>
      </c>
      <c r="L645" s="455">
        <f t="shared" si="317"/>
        <v>0</v>
      </c>
      <c r="M645" s="389" t="str">
        <f>IFERROR(IF(AD645&lt;=VLOOKUP(D645,Tournaments!$A$1:$B$1772,2,FALSE),"TRUE","FALSE"),"")</f>
        <v/>
      </c>
      <c r="N645" s="389">
        <v>1</v>
      </c>
      <c r="O645" s="389">
        <f t="shared" si="293"/>
        <v>0</v>
      </c>
      <c r="Q645" s="389">
        <f t="shared" si="294"/>
        <v>0</v>
      </c>
      <c r="R645" s="389">
        <f t="shared" si="295"/>
        <v>0</v>
      </c>
      <c r="S645" s="389">
        <f t="shared" si="296"/>
        <v>0</v>
      </c>
      <c r="U645" s="389">
        <f t="shared" si="297"/>
        <v>0</v>
      </c>
      <c r="V645" s="389" t="b">
        <f t="shared" si="298"/>
        <v>0</v>
      </c>
      <c r="W645" s="389">
        <f t="shared" si="299"/>
        <v>0</v>
      </c>
      <c r="X645" s="389">
        <f t="shared" si="300"/>
        <v>0</v>
      </c>
      <c r="Y645" s="389">
        <f t="shared" si="318"/>
        <v>1.0999999999999999E-2</v>
      </c>
      <c r="Z645" s="389">
        <f t="shared" si="301"/>
        <v>1.0999999999999999E-2</v>
      </c>
      <c r="AA645" s="389">
        <f t="shared" si="302"/>
        <v>0</v>
      </c>
      <c r="AB645" s="389">
        <f t="shared" si="303"/>
        <v>1E-4</v>
      </c>
      <c r="AC645" s="389">
        <f t="shared" si="304"/>
        <v>1E-4</v>
      </c>
      <c r="AD645" s="389">
        <f t="shared" si="305"/>
        <v>0</v>
      </c>
      <c r="AE645" s="389">
        <f t="shared" si="306"/>
        <v>0</v>
      </c>
      <c r="AG645" s="311" t="str">
        <f t="shared" si="307"/>
        <v>-</v>
      </c>
      <c r="AH645" s="453" t="str">
        <f t="shared" si="308"/>
        <v/>
      </c>
      <c r="AI645" s="453" t="str">
        <f t="shared" si="309"/>
        <v/>
      </c>
      <c r="AJ645" t="str">
        <f t="array" ref="AJ645">IF(AND(AI645&gt;1,G645&lt;&gt;""),INDEX(FS_teams,MATCH(1,(FS_Keys=AG645)*(FS_Points=I645)*(FS_teams&lt;&gt;G645),0)),"")</f>
        <v/>
      </c>
      <c r="AK645" s="390" t="str">
        <f t="array" ref="AK645">IF(AJ645&lt;&gt;"",INDEX(TM_Score1,MATCH(1,(TM_Events=D645)*(TM_Participant1=G645)*(TM_Participant2=AJ645),0)),"")</f>
        <v/>
      </c>
      <c r="AL645" s="390" t="str">
        <f t="array" ref="AL645">IF(AJ645&lt;&gt;"",INDEX(TM_Score1,MATCH(1,(TM_Events=D645)*(TM_Participant1=AJ645)*(TM_Participant2=G645),0)),"")</f>
        <v/>
      </c>
      <c r="AM645" s="389" t="str">
        <f t="array" ref="AM645">IF(ISNUMBER(AK645),INDEX(TM_Score2,MATCH(1,(TM_Events=D645)*(TM_Participant1=G645)*(TM_Participant2=AJ645),0)),"")</f>
        <v/>
      </c>
      <c r="AN645" s="389" t="str">
        <f t="array" ref="AN645">IF(ISNUMBER(AL645),INDEX(TM_Score2,MATCH(1,(TM_Events=D645)*(TM_Participant1=AJ645)*(TM_Participant2=G645),0)),"")</f>
        <v/>
      </c>
      <c r="AO645" s="389" t="str">
        <f t="shared" si="310"/>
        <v/>
      </c>
      <c r="AP645" s="389">
        <f t="shared" si="311"/>
        <v>0</v>
      </c>
      <c r="AQ645" s="389">
        <f t="shared" si="312"/>
        <v>0</v>
      </c>
      <c r="AR645" s="389">
        <f t="shared" si="313"/>
        <v>0</v>
      </c>
      <c r="AS645" s="453">
        <f t="shared" si="314"/>
        <v>0</v>
      </c>
      <c r="AT645" s="452">
        <f t="shared" si="315"/>
        <v>0</v>
      </c>
    </row>
    <row r="646" spans="2:46" ht="16" x14ac:dyDescent="0.2">
      <c r="B646"/>
      <c r="H646" s="387" t="str">
        <f t="shared" si="290"/>
        <v>0-0-0</v>
      </c>
      <c r="I646" s="389">
        <f t="shared" si="291"/>
        <v>0</v>
      </c>
      <c r="J646" s="455" t="str">
        <f t="shared" si="316"/>
        <v/>
      </c>
      <c r="K646" s="455">
        <f t="shared" si="292"/>
        <v>0</v>
      </c>
      <c r="L646" s="455">
        <f t="shared" si="317"/>
        <v>0</v>
      </c>
      <c r="M646" s="389" t="str">
        <f>IFERROR(IF(AD646&lt;=VLOOKUP(D646,Tournaments!$A$1:$B$1772,2,FALSE),"TRUE","FALSE"),"")</f>
        <v/>
      </c>
      <c r="N646" s="389">
        <v>1</v>
      </c>
      <c r="O646" s="389">
        <f t="shared" si="293"/>
        <v>0</v>
      </c>
      <c r="Q646" s="389">
        <f t="shared" si="294"/>
        <v>0</v>
      </c>
      <c r="R646" s="389">
        <f t="shared" si="295"/>
        <v>0</v>
      </c>
      <c r="S646" s="389">
        <f t="shared" si="296"/>
        <v>0</v>
      </c>
      <c r="U646" s="389">
        <f t="shared" si="297"/>
        <v>0</v>
      </c>
      <c r="V646" s="389" t="b">
        <f t="shared" si="298"/>
        <v>0</v>
      </c>
      <c r="W646" s="389">
        <f t="shared" si="299"/>
        <v>0</v>
      </c>
      <c r="X646" s="389">
        <f t="shared" si="300"/>
        <v>0</v>
      </c>
      <c r="Y646" s="389">
        <f t="shared" si="318"/>
        <v>1.0999999999999999E-2</v>
      </c>
      <c r="Z646" s="389">
        <f t="shared" si="301"/>
        <v>1.0999999999999999E-2</v>
      </c>
      <c r="AA646" s="389">
        <f t="shared" si="302"/>
        <v>0</v>
      </c>
      <c r="AB646" s="389">
        <f t="shared" si="303"/>
        <v>1E-4</v>
      </c>
      <c r="AC646" s="389">
        <f t="shared" si="304"/>
        <v>1E-4</v>
      </c>
      <c r="AD646" s="389">
        <f t="shared" si="305"/>
        <v>0</v>
      </c>
      <c r="AE646" s="389">
        <f t="shared" si="306"/>
        <v>0</v>
      </c>
      <c r="AG646" s="311" t="str">
        <f t="shared" si="307"/>
        <v>-</v>
      </c>
      <c r="AH646" s="453" t="str">
        <f t="shared" si="308"/>
        <v/>
      </c>
      <c r="AI646" s="453" t="str">
        <f t="shared" si="309"/>
        <v/>
      </c>
      <c r="AJ646" t="str">
        <f t="array" ref="AJ646">IF(AND(AI646&gt;1,G646&lt;&gt;""),INDEX(FS_teams,MATCH(1,(FS_Keys=AG646)*(FS_Points=I646)*(FS_teams&lt;&gt;G646),0)),"")</f>
        <v/>
      </c>
      <c r="AK646" s="390" t="str">
        <f t="array" ref="AK646">IF(AJ646&lt;&gt;"",INDEX(TM_Score1,MATCH(1,(TM_Events=D646)*(TM_Participant1=G646)*(TM_Participant2=AJ646),0)),"")</f>
        <v/>
      </c>
      <c r="AL646" s="390" t="str">
        <f t="array" ref="AL646">IF(AJ646&lt;&gt;"",INDEX(TM_Score1,MATCH(1,(TM_Events=D646)*(TM_Participant1=AJ646)*(TM_Participant2=G646),0)),"")</f>
        <v/>
      </c>
      <c r="AM646" s="389" t="str">
        <f t="array" ref="AM646">IF(ISNUMBER(AK646),INDEX(TM_Score2,MATCH(1,(TM_Events=D646)*(TM_Participant1=G646)*(TM_Participant2=AJ646),0)),"")</f>
        <v/>
      </c>
      <c r="AN646" s="389" t="str">
        <f t="array" ref="AN646">IF(ISNUMBER(AL646),INDEX(TM_Score2,MATCH(1,(TM_Events=D646)*(TM_Participant1=AJ646)*(TM_Participant2=G646),0)),"")</f>
        <v/>
      </c>
      <c r="AO646" s="389" t="str">
        <f t="shared" si="310"/>
        <v/>
      </c>
      <c r="AP646" s="389">
        <f t="shared" si="311"/>
        <v>0</v>
      </c>
      <c r="AQ646" s="389">
        <f t="shared" si="312"/>
        <v>0</v>
      </c>
      <c r="AR646" s="389">
        <f t="shared" si="313"/>
        <v>0</v>
      </c>
      <c r="AS646" s="453">
        <f t="shared" si="314"/>
        <v>0</v>
      </c>
      <c r="AT646" s="452">
        <f t="shared" si="315"/>
        <v>0</v>
      </c>
    </row>
    <row r="647" spans="2:46" ht="16" x14ac:dyDescent="0.2">
      <c r="B647"/>
      <c r="H647" s="387" t="str">
        <f t="shared" si="290"/>
        <v>0-0-0</v>
      </c>
      <c r="I647" s="389">
        <f t="shared" si="291"/>
        <v>0</v>
      </c>
      <c r="J647" s="455" t="str">
        <f t="shared" si="316"/>
        <v/>
      </c>
      <c r="K647" s="455">
        <f t="shared" si="292"/>
        <v>0</v>
      </c>
      <c r="L647" s="455">
        <f t="shared" si="317"/>
        <v>0</v>
      </c>
      <c r="M647" s="389" t="str">
        <f>IFERROR(IF(AD647&lt;=VLOOKUP(D647,Tournaments!$A$1:$B$1772,2,FALSE),"TRUE","FALSE"),"")</f>
        <v/>
      </c>
      <c r="N647" s="389">
        <v>1</v>
      </c>
      <c r="O647" s="389">
        <f t="shared" si="293"/>
        <v>0</v>
      </c>
      <c r="Q647" s="389">
        <f t="shared" si="294"/>
        <v>0</v>
      </c>
      <c r="R647" s="389">
        <f t="shared" si="295"/>
        <v>0</v>
      </c>
      <c r="S647" s="389">
        <f t="shared" si="296"/>
        <v>0</v>
      </c>
      <c r="U647" s="389">
        <f t="shared" si="297"/>
        <v>0</v>
      </c>
      <c r="V647" s="389" t="b">
        <f t="shared" si="298"/>
        <v>0</v>
      </c>
      <c r="W647" s="389">
        <f t="shared" si="299"/>
        <v>0</v>
      </c>
      <c r="X647" s="389">
        <f t="shared" si="300"/>
        <v>0</v>
      </c>
      <c r="Y647" s="389">
        <f t="shared" si="318"/>
        <v>1.0999999999999999E-2</v>
      </c>
      <c r="Z647" s="389">
        <f t="shared" si="301"/>
        <v>1.0999999999999999E-2</v>
      </c>
      <c r="AA647" s="389">
        <f t="shared" si="302"/>
        <v>0</v>
      </c>
      <c r="AB647" s="389">
        <f t="shared" si="303"/>
        <v>1E-4</v>
      </c>
      <c r="AC647" s="389">
        <f t="shared" si="304"/>
        <v>1E-4</v>
      </c>
      <c r="AD647" s="389">
        <f t="shared" si="305"/>
        <v>0</v>
      </c>
      <c r="AE647" s="389">
        <f t="shared" si="306"/>
        <v>0</v>
      </c>
      <c r="AG647" s="311" t="str">
        <f t="shared" si="307"/>
        <v>-</v>
      </c>
      <c r="AH647" s="453" t="str">
        <f t="shared" si="308"/>
        <v/>
      </c>
      <c r="AI647" s="453" t="str">
        <f t="shared" si="309"/>
        <v/>
      </c>
      <c r="AJ647" t="str">
        <f t="array" ref="AJ647">IF(AND(AI647&gt;1,G647&lt;&gt;""),INDEX(FS_teams,MATCH(1,(FS_Keys=AG647)*(FS_Points=I647)*(FS_teams&lt;&gt;G647),0)),"")</f>
        <v/>
      </c>
      <c r="AK647" s="390" t="str">
        <f t="array" ref="AK647">IF(AJ647&lt;&gt;"",INDEX(TM_Score1,MATCH(1,(TM_Events=D647)*(TM_Participant1=G647)*(TM_Participant2=AJ647),0)),"")</f>
        <v/>
      </c>
      <c r="AL647" s="390" t="str">
        <f t="array" ref="AL647">IF(AJ647&lt;&gt;"",INDEX(TM_Score1,MATCH(1,(TM_Events=D647)*(TM_Participant1=AJ647)*(TM_Participant2=G647),0)),"")</f>
        <v/>
      </c>
      <c r="AM647" s="389" t="str">
        <f t="array" ref="AM647">IF(ISNUMBER(AK647),INDEX(TM_Score2,MATCH(1,(TM_Events=D647)*(TM_Participant1=G647)*(TM_Participant2=AJ647),0)),"")</f>
        <v/>
      </c>
      <c r="AN647" s="389" t="str">
        <f t="array" ref="AN647">IF(ISNUMBER(AL647),INDEX(TM_Score2,MATCH(1,(TM_Events=D647)*(TM_Participant1=AJ647)*(TM_Participant2=G647),0)),"")</f>
        <v/>
      </c>
      <c r="AO647" s="389" t="str">
        <f t="shared" si="310"/>
        <v/>
      </c>
      <c r="AP647" s="389">
        <f t="shared" si="311"/>
        <v>0</v>
      </c>
      <c r="AQ647" s="389">
        <f t="shared" si="312"/>
        <v>0</v>
      </c>
      <c r="AR647" s="389">
        <f t="shared" si="313"/>
        <v>0</v>
      </c>
      <c r="AS647" s="453">
        <f t="shared" si="314"/>
        <v>0</v>
      </c>
      <c r="AT647" s="452">
        <f t="shared" si="315"/>
        <v>0</v>
      </c>
    </row>
    <row r="648" spans="2:46" ht="16" x14ac:dyDescent="0.2">
      <c r="B648"/>
      <c r="H648" s="387" t="str">
        <f t="shared" si="290"/>
        <v>0-0-0</v>
      </c>
      <c r="I648" s="389">
        <f t="shared" si="291"/>
        <v>0</v>
      </c>
      <c r="J648" s="455" t="str">
        <f t="shared" si="316"/>
        <v/>
      </c>
      <c r="K648" s="455">
        <f t="shared" si="292"/>
        <v>0</v>
      </c>
      <c r="L648" s="455">
        <f t="shared" si="317"/>
        <v>0</v>
      </c>
      <c r="M648" s="389" t="str">
        <f>IFERROR(IF(AD648&lt;=VLOOKUP(D648,Tournaments!$A$1:$B$1772,2,FALSE),"TRUE","FALSE"),"")</f>
        <v/>
      </c>
      <c r="N648" s="389">
        <v>1</v>
      </c>
      <c r="O648" s="389">
        <f t="shared" si="293"/>
        <v>0</v>
      </c>
      <c r="Q648" s="389">
        <f t="shared" si="294"/>
        <v>0</v>
      </c>
      <c r="R648" s="389">
        <f t="shared" si="295"/>
        <v>0</v>
      </c>
      <c r="S648" s="389">
        <f t="shared" si="296"/>
        <v>0</v>
      </c>
      <c r="U648" s="389">
        <f t="shared" si="297"/>
        <v>0</v>
      </c>
      <c r="V648" s="389" t="b">
        <f t="shared" si="298"/>
        <v>0</v>
      </c>
      <c r="W648" s="389">
        <f t="shared" si="299"/>
        <v>0</v>
      </c>
      <c r="X648" s="389">
        <f t="shared" si="300"/>
        <v>0</v>
      </c>
      <c r="Y648" s="389">
        <f t="shared" si="318"/>
        <v>1.0999999999999999E-2</v>
      </c>
      <c r="Z648" s="389">
        <f t="shared" si="301"/>
        <v>1.0999999999999999E-2</v>
      </c>
      <c r="AA648" s="389">
        <f t="shared" si="302"/>
        <v>0</v>
      </c>
      <c r="AB648" s="389">
        <f t="shared" si="303"/>
        <v>1E-4</v>
      </c>
      <c r="AC648" s="389">
        <f t="shared" si="304"/>
        <v>1E-4</v>
      </c>
      <c r="AD648" s="389">
        <f t="shared" si="305"/>
        <v>0</v>
      </c>
      <c r="AE648" s="389">
        <f t="shared" si="306"/>
        <v>0</v>
      </c>
      <c r="AG648" s="311" t="str">
        <f t="shared" si="307"/>
        <v>-</v>
      </c>
      <c r="AH648" s="453" t="str">
        <f t="shared" si="308"/>
        <v/>
      </c>
      <c r="AI648" s="453" t="str">
        <f t="shared" si="309"/>
        <v/>
      </c>
      <c r="AJ648" t="str">
        <f t="array" ref="AJ648">IF(AND(AI648&gt;1,G648&lt;&gt;""),INDEX(FS_teams,MATCH(1,(FS_Keys=AG648)*(FS_Points=I648)*(FS_teams&lt;&gt;G648),0)),"")</f>
        <v/>
      </c>
      <c r="AK648" s="390" t="str">
        <f t="array" ref="AK648">IF(AJ648&lt;&gt;"",INDEX(TM_Score1,MATCH(1,(TM_Events=D648)*(TM_Participant1=G648)*(TM_Participant2=AJ648),0)),"")</f>
        <v/>
      </c>
      <c r="AL648" s="390" t="str">
        <f t="array" ref="AL648">IF(AJ648&lt;&gt;"",INDEX(TM_Score1,MATCH(1,(TM_Events=D648)*(TM_Participant1=AJ648)*(TM_Participant2=G648),0)),"")</f>
        <v/>
      </c>
      <c r="AM648" s="389" t="str">
        <f t="array" ref="AM648">IF(ISNUMBER(AK648),INDEX(TM_Score2,MATCH(1,(TM_Events=D648)*(TM_Participant1=G648)*(TM_Participant2=AJ648),0)),"")</f>
        <v/>
      </c>
      <c r="AN648" s="389" t="str">
        <f t="array" ref="AN648">IF(ISNUMBER(AL648),INDEX(TM_Score2,MATCH(1,(TM_Events=D648)*(TM_Participant1=AJ648)*(TM_Participant2=G648),0)),"")</f>
        <v/>
      </c>
      <c r="AO648" s="389" t="str">
        <f t="shared" si="310"/>
        <v/>
      </c>
      <c r="AP648" s="389">
        <f t="shared" si="311"/>
        <v>0</v>
      </c>
      <c r="AQ648" s="389">
        <f t="shared" si="312"/>
        <v>0</v>
      </c>
      <c r="AR648" s="389">
        <f t="shared" si="313"/>
        <v>0</v>
      </c>
      <c r="AS648" s="453">
        <f t="shared" si="314"/>
        <v>0</v>
      </c>
      <c r="AT648" s="452">
        <f t="shared" si="315"/>
        <v>0</v>
      </c>
    </row>
    <row r="649" spans="2:46" ht="16" x14ac:dyDescent="0.2">
      <c r="B649"/>
      <c r="H649" s="387" t="str">
        <f t="shared" si="290"/>
        <v>0-0-0</v>
      </c>
      <c r="I649" s="389">
        <f t="shared" si="291"/>
        <v>0</v>
      </c>
      <c r="J649" s="455" t="str">
        <f t="shared" si="316"/>
        <v/>
      </c>
      <c r="K649" s="455">
        <f t="shared" si="292"/>
        <v>0</v>
      </c>
      <c r="L649" s="455">
        <f t="shared" si="317"/>
        <v>0</v>
      </c>
      <c r="M649" s="389" t="str">
        <f>IFERROR(IF(AD649&lt;=VLOOKUP(D649,Tournaments!$A$1:$B$1772,2,FALSE),"TRUE","FALSE"),"")</f>
        <v/>
      </c>
      <c r="N649" s="389">
        <v>1</v>
      </c>
      <c r="O649" s="389">
        <f t="shared" si="293"/>
        <v>0</v>
      </c>
      <c r="Q649" s="389">
        <f t="shared" si="294"/>
        <v>0</v>
      </c>
      <c r="R649" s="389">
        <f t="shared" si="295"/>
        <v>0</v>
      </c>
      <c r="S649" s="389">
        <f t="shared" si="296"/>
        <v>0</v>
      </c>
      <c r="U649" s="389">
        <f t="shared" si="297"/>
        <v>0</v>
      </c>
      <c r="V649" s="389" t="b">
        <f t="shared" si="298"/>
        <v>0</v>
      </c>
      <c r="W649" s="389">
        <f t="shared" si="299"/>
        <v>0</v>
      </c>
      <c r="X649" s="389">
        <f t="shared" si="300"/>
        <v>0</v>
      </c>
      <c r="Y649" s="389">
        <f t="shared" si="318"/>
        <v>1.0999999999999999E-2</v>
      </c>
      <c r="Z649" s="389">
        <f t="shared" si="301"/>
        <v>1.0999999999999999E-2</v>
      </c>
      <c r="AA649" s="389">
        <f t="shared" si="302"/>
        <v>0</v>
      </c>
      <c r="AB649" s="389">
        <f t="shared" si="303"/>
        <v>1E-4</v>
      </c>
      <c r="AC649" s="389">
        <f t="shared" si="304"/>
        <v>1E-4</v>
      </c>
      <c r="AD649" s="389">
        <f t="shared" si="305"/>
        <v>0</v>
      </c>
      <c r="AE649" s="389">
        <f t="shared" si="306"/>
        <v>0</v>
      </c>
      <c r="AG649" s="311" t="str">
        <f t="shared" si="307"/>
        <v>-</v>
      </c>
      <c r="AH649" s="453" t="str">
        <f t="shared" si="308"/>
        <v/>
      </c>
      <c r="AI649" s="453" t="str">
        <f t="shared" si="309"/>
        <v/>
      </c>
      <c r="AJ649" t="str">
        <f t="array" ref="AJ649">IF(AND(AI649&gt;1,G649&lt;&gt;""),INDEX(FS_teams,MATCH(1,(FS_Keys=AG649)*(FS_Points=I649)*(FS_teams&lt;&gt;G649),0)),"")</f>
        <v/>
      </c>
      <c r="AK649" s="390" t="str">
        <f t="array" ref="AK649">IF(AJ649&lt;&gt;"",INDEX(TM_Score1,MATCH(1,(TM_Events=D649)*(TM_Participant1=G649)*(TM_Participant2=AJ649),0)),"")</f>
        <v/>
      </c>
      <c r="AL649" s="390" t="str">
        <f t="array" ref="AL649">IF(AJ649&lt;&gt;"",INDEX(TM_Score1,MATCH(1,(TM_Events=D649)*(TM_Participant1=AJ649)*(TM_Participant2=G649),0)),"")</f>
        <v/>
      </c>
      <c r="AM649" s="389" t="str">
        <f t="array" ref="AM649">IF(ISNUMBER(AK649),INDEX(TM_Score2,MATCH(1,(TM_Events=D649)*(TM_Participant1=G649)*(TM_Participant2=AJ649),0)),"")</f>
        <v/>
      </c>
      <c r="AN649" s="389" t="str">
        <f t="array" ref="AN649">IF(ISNUMBER(AL649),INDEX(TM_Score2,MATCH(1,(TM_Events=D649)*(TM_Participant1=AJ649)*(TM_Participant2=G649),0)),"")</f>
        <v/>
      </c>
      <c r="AO649" s="389" t="str">
        <f t="shared" si="310"/>
        <v/>
      </c>
      <c r="AP649" s="389">
        <f t="shared" si="311"/>
        <v>0</v>
      </c>
      <c r="AQ649" s="389">
        <f t="shared" si="312"/>
        <v>0</v>
      </c>
      <c r="AR649" s="389">
        <f t="shared" si="313"/>
        <v>0</v>
      </c>
      <c r="AS649" s="453">
        <f t="shared" si="314"/>
        <v>0</v>
      </c>
      <c r="AT649" s="452">
        <f t="shared" si="315"/>
        <v>0</v>
      </c>
    </row>
    <row r="650" spans="2:46" ht="16" x14ac:dyDescent="0.2">
      <c r="B650"/>
      <c r="H650" s="387" t="str">
        <f t="shared" si="290"/>
        <v>0-0-0</v>
      </c>
      <c r="I650" s="389">
        <f t="shared" si="291"/>
        <v>0</v>
      </c>
      <c r="J650" s="455" t="str">
        <f t="shared" si="316"/>
        <v/>
      </c>
      <c r="K650" s="455">
        <f t="shared" si="292"/>
        <v>0</v>
      </c>
      <c r="L650" s="455">
        <f t="shared" si="317"/>
        <v>0</v>
      </c>
      <c r="M650" s="389" t="str">
        <f>IFERROR(IF(AD650&lt;=VLOOKUP(D650,Tournaments!$A$1:$B$1772,2,FALSE),"TRUE","FALSE"),"")</f>
        <v/>
      </c>
      <c r="N650" s="389">
        <v>1</v>
      </c>
      <c r="O650" s="389">
        <f t="shared" si="293"/>
        <v>0</v>
      </c>
      <c r="Q650" s="389">
        <f t="shared" si="294"/>
        <v>0</v>
      </c>
      <c r="R650" s="389">
        <f t="shared" si="295"/>
        <v>0</v>
      </c>
      <c r="S650" s="389">
        <f t="shared" si="296"/>
        <v>0</v>
      </c>
      <c r="U650" s="389">
        <f t="shared" si="297"/>
        <v>0</v>
      </c>
      <c r="V650" s="389" t="b">
        <f t="shared" si="298"/>
        <v>0</v>
      </c>
      <c r="W650" s="389">
        <f t="shared" si="299"/>
        <v>0</v>
      </c>
      <c r="X650" s="389">
        <f t="shared" si="300"/>
        <v>0</v>
      </c>
      <c r="Y650" s="389">
        <f t="shared" si="318"/>
        <v>1.0999999999999999E-2</v>
      </c>
      <c r="Z650" s="389">
        <f t="shared" si="301"/>
        <v>1.0999999999999999E-2</v>
      </c>
      <c r="AA650" s="389">
        <f t="shared" si="302"/>
        <v>0</v>
      </c>
      <c r="AB650" s="389">
        <f t="shared" si="303"/>
        <v>1E-4</v>
      </c>
      <c r="AC650" s="389">
        <f t="shared" si="304"/>
        <v>1E-4</v>
      </c>
      <c r="AD650" s="389">
        <f t="shared" si="305"/>
        <v>0</v>
      </c>
      <c r="AE650" s="389">
        <f t="shared" si="306"/>
        <v>0</v>
      </c>
      <c r="AG650" s="311" t="str">
        <f t="shared" si="307"/>
        <v>-</v>
      </c>
      <c r="AH650" s="453" t="str">
        <f t="shared" si="308"/>
        <v/>
      </c>
      <c r="AI650" s="453" t="str">
        <f t="shared" si="309"/>
        <v/>
      </c>
      <c r="AJ650" t="str">
        <f t="array" ref="AJ650">IF(AND(AI650&gt;1,G650&lt;&gt;""),INDEX(FS_teams,MATCH(1,(FS_Keys=AG650)*(FS_Points=I650)*(FS_teams&lt;&gt;G650),0)),"")</f>
        <v/>
      </c>
      <c r="AK650" s="390" t="str">
        <f t="array" ref="AK650">IF(AJ650&lt;&gt;"",INDEX(TM_Score1,MATCH(1,(TM_Events=D650)*(TM_Participant1=G650)*(TM_Participant2=AJ650),0)),"")</f>
        <v/>
      </c>
      <c r="AL650" s="390" t="str">
        <f t="array" ref="AL650">IF(AJ650&lt;&gt;"",INDEX(TM_Score1,MATCH(1,(TM_Events=D650)*(TM_Participant1=AJ650)*(TM_Participant2=G650),0)),"")</f>
        <v/>
      </c>
      <c r="AM650" s="389" t="str">
        <f t="array" ref="AM650">IF(ISNUMBER(AK650),INDEX(TM_Score2,MATCH(1,(TM_Events=D650)*(TM_Participant1=G650)*(TM_Participant2=AJ650),0)),"")</f>
        <v/>
      </c>
      <c r="AN650" s="389" t="str">
        <f t="array" ref="AN650">IF(ISNUMBER(AL650),INDEX(TM_Score2,MATCH(1,(TM_Events=D650)*(TM_Participant1=AJ650)*(TM_Participant2=G650),0)),"")</f>
        <v/>
      </c>
      <c r="AO650" s="389" t="str">
        <f t="shared" si="310"/>
        <v/>
      </c>
      <c r="AP650" s="389">
        <f t="shared" si="311"/>
        <v>0</v>
      </c>
      <c r="AQ650" s="389">
        <f t="shared" si="312"/>
        <v>0</v>
      </c>
      <c r="AR650" s="389">
        <f t="shared" si="313"/>
        <v>0</v>
      </c>
      <c r="AS650" s="453">
        <f t="shared" si="314"/>
        <v>0</v>
      </c>
      <c r="AT650" s="452">
        <f t="shared" si="315"/>
        <v>0</v>
      </c>
    </row>
    <row r="651" spans="2:46" ht="16" x14ac:dyDescent="0.2">
      <c r="B651"/>
      <c r="H651" s="387" t="str">
        <f t="shared" si="290"/>
        <v>0-0-0</v>
      </c>
      <c r="I651" s="389">
        <f t="shared" si="291"/>
        <v>0</v>
      </c>
      <c r="J651" s="455" t="str">
        <f t="shared" si="316"/>
        <v/>
      </c>
      <c r="K651" s="455">
        <f t="shared" si="292"/>
        <v>0</v>
      </c>
      <c r="L651" s="455">
        <f t="shared" si="317"/>
        <v>0</v>
      </c>
      <c r="M651" s="389" t="str">
        <f>IFERROR(IF(AD651&lt;=VLOOKUP(D651,Tournaments!$A$1:$B$1772,2,FALSE),"TRUE","FALSE"),"")</f>
        <v/>
      </c>
      <c r="N651" s="389">
        <v>1</v>
      </c>
      <c r="O651" s="389">
        <f t="shared" si="293"/>
        <v>0</v>
      </c>
      <c r="Q651" s="389">
        <f t="shared" si="294"/>
        <v>0</v>
      </c>
      <c r="R651" s="389">
        <f t="shared" si="295"/>
        <v>0</v>
      </c>
      <c r="S651" s="389">
        <f t="shared" si="296"/>
        <v>0</v>
      </c>
      <c r="U651" s="389">
        <f t="shared" si="297"/>
        <v>0</v>
      </c>
      <c r="V651" s="389" t="b">
        <f t="shared" si="298"/>
        <v>0</v>
      </c>
      <c r="W651" s="389">
        <f t="shared" si="299"/>
        <v>0</v>
      </c>
      <c r="X651" s="389">
        <f t="shared" si="300"/>
        <v>0</v>
      </c>
      <c r="Y651" s="389">
        <f t="shared" si="318"/>
        <v>1.0999999999999999E-2</v>
      </c>
      <c r="Z651" s="389">
        <f t="shared" si="301"/>
        <v>1.0999999999999999E-2</v>
      </c>
      <c r="AA651" s="389">
        <f t="shared" si="302"/>
        <v>0</v>
      </c>
      <c r="AB651" s="389">
        <f t="shared" si="303"/>
        <v>1E-4</v>
      </c>
      <c r="AC651" s="389">
        <f t="shared" si="304"/>
        <v>1E-4</v>
      </c>
      <c r="AD651" s="389">
        <f t="shared" si="305"/>
        <v>0</v>
      </c>
      <c r="AE651" s="389">
        <f t="shared" si="306"/>
        <v>0</v>
      </c>
      <c r="AG651" s="311" t="str">
        <f t="shared" si="307"/>
        <v>-</v>
      </c>
      <c r="AH651" s="453" t="str">
        <f t="shared" si="308"/>
        <v/>
      </c>
      <c r="AI651" s="453" t="str">
        <f t="shared" si="309"/>
        <v/>
      </c>
      <c r="AJ651" t="str">
        <f t="array" ref="AJ651">IF(AND(AI651&gt;1,G651&lt;&gt;""),INDEX(FS_teams,MATCH(1,(FS_Keys=AG651)*(FS_Points=I651)*(FS_teams&lt;&gt;G651),0)),"")</f>
        <v/>
      </c>
      <c r="AK651" s="390" t="str">
        <f t="array" ref="AK651">IF(AJ651&lt;&gt;"",INDEX(TM_Score1,MATCH(1,(TM_Events=D651)*(TM_Participant1=G651)*(TM_Participant2=AJ651),0)),"")</f>
        <v/>
      </c>
      <c r="AL651" s="390" t="str">
        <f t="array" ref="AL651">IF(AJ651&lt;&gt;"",INDEX(TM_Score1,MATCH(1,(TM_Events=D651)*(TM_Participant1=AJ651)*(TM_Participant2=G651),0)),"")</f>
        <v/>
      </c>
      <c r="AM651" s="389" t="str">
        <f t="array" ref="AM651">IF(ISNUMBER(AK651),INDEX(TM_Score2,MATCH(1,(TM_Events=D651)*(TM_Participant1=G651)*(TM_Participant2=AJ651),0)),"")</f>
        <v/>
      </c>
      <c r="AN651" s="389" t="str">
        <f t="array" ref="AN651">IF(ISNUMBER(AL651),INDEX(TM_Score2,MATCH(1,(TM_Events=D651)*(TM_Participant1=AJ651)*(TM_Participant2=G651),0)),"")</f>
        <v/>
      </c>
      <c r="AO651" s="389" t="str">
        <f t="shared" si="310"/>
        <v/>
      </c>
      <c r="AP651" s="389">
        <f t="shared" si="311"/>
        <v>0</v>
      </c>
      <c r="AQ651" s="389">
        <f t="shared" si="312"/>
        <v>0</v>
      </c>
      <c r="AR651" s="389">
        <f t="shared" si="313"/>
        <v>0</v>
      </c>
      <c r="AS651" s="453">
        <f t="shared" si="314"/>
        <v>0</v>
      </c>
      <c r="AT651" s="452">
        <f t="shared" si="315"/>
        <v>0</v>
      </c>
    </row>
    <row r="652" spans="2:46" ht="16" x14ac:dyDescent="0.2">
      <c r="B652"/>
      <c r="H652" s="387" t="str">
        <f t="shared" si="290"/>
        <v>0-0-0</v>
      </c>
      <c r="I652" s="389">
        <f t="shared" si="291"/>
        <v>0</v>
      </c>
      <c r="J652" s="455" t="str">
        <f t="shared" si="316"/>
        <v/>
      </c>
      <c r="K652" s="455">
        <f t="shared" si="292"/>
        <v>0</v>
      </c>
      <c r="L652" s="455">
        <f t="shared" si="317"/>
        <v>0</v>
      </c>
      <c r="M652" s="389" t="str">
        <f>IFERROR(IF(AD652&lt;=VLOOKUP(D652,Tournaments!$A$1:$B$1772,2,FALSE),"TRUE","FALSE"),"")</f>
        <v/>
      </c>
      <c r="N652" s="389">
        <v>1</v>
      </c>
      <c r="O652" s="389">
        <f t="shared" si="293"/>
        <v>0</v>
      </c>
      <c r="Q652" s="389">
        <f t="shared" si="294"/>
        <v>0</v>
      </c>
      <c r="R652" s="389">
        <f t="shared" si="295"/>
        <v>0</v>
      </c>
      <c r="S652" s="389">
        <f t="shared" si="296"/>
        <v>0</v>
      </c>
      <c r="U652" s="389">
        <f t="shared" si="297"/>
        <v>0</v>
      </c>
      <c r="V652" s="389" t="b">
        <f t="shared" si="298"/>
        <v>0</v>
      </c>
      <c r="W652" s="389">
        <f t="shared" si="299"/>
        <v>0</v>
      </c>
      <c r="X652" s="389">
        <f t="shared" si="300"/>
        <v>0</v>
      </c>
      <c r="Y652" s="389">
        <f t="shared" si="318"/>
        <v>1.0999999999999999E-2</v>
      </c>
      <c r="Z652" s="389">
        <f t="shared" si="301"/>
        <v>1.0999999999999999E-2</v>
      </c>
      <c r="AA652" s="389">
        <f t="shared" si="302"/>
        <v>0</v>
      </c>
      <c r="AB652" s="389">
        <f t="shared" si="303"/>
        <v>1E-4</v>
      </c>
      <c r="AC652" s="389">
        <f t="shared" si="304"/>
        <v>1E-4</v>
      </c>
      <c r="AD652" s="389">
        <f t="shared" si="305"/>
        <v>0</v>
      </c>
      <c r="AE652" s="389">
        <f t="shared" si="306"/>
        <v>0</v>
      </c>
      <c r="AG652" s="311" t="str">
        <f t="shared" si="307"/>
        <v>-</v>
      </c>
      <c r="AH652" s="453" t="str">
        <f t="shared" si="308"/>
        <v/>
      </c>
      <c r="AI652" s="453" t="str">
        <f t="shared" si="309"/>
        <v/>
      </c>
      <c r="AJ652" t="str">
        <f t="array" ref="AJ652">IF(AND(AI652&gt;1,G652&lt;&gt;""),INDEX(FS_teams,MATCH(1,(FS_Keys=AG652)*(FS_Points=I652)*(FS_teams&lt;&gt;G652),0)),"")</f>
        <v/>
      </c>
      <c r="AK652" s="390" t="str">
        <f t="array" ref="AK652">IF(AJ652&lt;&gt;"",INDEX(TM_Score1,MATCH(1,(TM_Events=D652)*(TM_Participant1=G652)*(TM_Participant2=AJ652),0)),"")</f>
        <v/>
      </c>
      <c r="AL652" s="390" t="str">
        <f t="array" ref="AL652">IF(AJ652&lt;&gt;"",INDEX(TM_Score1,MATCH(1,(TM_Events=D652)*(TM_Participant1=AJ652)*(TM_Participant2=G652),0)),"")</f>
        <v/>
      </c>
      <c r="AM652" s="389" t="str">
        <f t="array" ref="AM652">IF(ISNUMBER(AK652),INDEX(TM_Score2,MATCH(1,(TM_Events=D652)*(TM_Participant1=G652)*(TM_Participant2=AJ652),0)),"")</f>
        <v/>
      </c>
      <c r="AN652" s="389" t="str">
        <f t="array" ref="AN652">IF(ISNUMBER(AL652),INDEX(TM_Score2,MATCH(1,(TM_Events=D652)*(TM_Participant1=AJ652)*(TM_Participant2=G652),0)),"")</f>
        <v/>
      </c>
      <c r="AO652" s="389" t="str">
        <f t="shared" si="310"/>
        <v/>
      </c>
      <c r="AP652" s="389">
        <f t="shared" si="311"/>
        <v>0</v>
      </c>
      <c r="AQ652" s="389">
        <f t="shared" si="312"/>
        <v>0</v>
      </c>
      <c r="AR652" s="389">
        <f t="shared" si="313"/>
        <v>0</v>
      </c>
      <c r="AS652" s="453">
        <f t="shared" si="314"/>
        <v>0</v>
      </c>
      <c r="AT652" s="452">
        <f t="shared" si="315"/>
        <v>0</v>
      </c>
    </row>
    <row r="653" spans="2:46" ht="16" x14ac:dyDescent="0.2">
      <c r="B653"/>
      <c r="H653" s="387" t="str">
        <f t="shared" si="290"/>
        <v>0-0-0</v>
      </c>
      <c r="I653" s="389">
        <f t="shared" si="291"/>
        <v>0</v>
      </c>
      <c r="J653" s="455" t="str">
        <f t="shared" si="316"/>
        <v/>
      </c>
      <c r="K653" s="455">
        <f t="shared" si="292"/>
        <v>0</v>
      </c>
      <c r="L653" s="455">
        <f t="shared" si="317"/>
        <v>0</v>
      </c>
      <c r="M653" s="389" t="str">
        <f>IFERROR(IF(AD653&lt;=VLOOKUP(D653,Tournaments!$A$1:$B$1772,2,FALSE),"TRUE","FALSE"),"")</f>
        <v/>
      </c>
      <c r="N653" s="389">
        <v>1</v>
      </c>
      <c r="O653" s="389">
        <f t="shared" si="293"/>
        <v>0</v>
      </c>
      <c r="Q653" s="389">
        <f t="shared" si="294"/>
        <v>0</v>
      </c>
      <c r="R653" s="389">
        <f t="shared" si="295"/>
        <v>0</v>
      </c>
      <c r="S653" s="389">
        <f t="shared" si="296"/>
        <v>0</v>
      </c>
      <c r="U653" s="389">
        <f t="shared" si="297"/>
        <v>0</v>
      </c>
      <c r="V653" s="389" t="b">
        <f t="shared" si="298"/>
        <v>0</v>
      </c>
      <c r="W653" s="389">
        <f t="shared" si="299"/>
        <v>0</v>
      </c>
      <c r="X653" s="389">
        <f t="shared" si="300"/>
        <v>0</v>
      </c>
      <c r="Y653" s="389">
        <f t="shared" si="318"/>
        <v>1.0999999999999999E-2</v>
      </c>
      <c r="Z653" s="389">
        <f t="shared" si="301"/>
        <v>1.0999999999999999E-2</v>
      </c>
      <c r="AA653" s="389">
        <f t="shared" si="302"/>
        <v>0</v>
      </c>
      <c r="AB653" s="389">
        <f t="shared" si="303"/>
        <v>1E-4</v>
      </c>
      <c r="AC653" s="389">
        <f t="shared" si="304"/>
        <v>1E-4</v>
      </c>
      <c r="AD653" s="389">
        <f t="shared" si="305"/>
        <v>0</v>
      </c>
      <c r="AE653" s="389">
        <f t="shared" si="306"/>
        <v>0</v>
      </c>
      <c r="AG653" s="311" t="str">
        <f t="shared" si="307"/>
        <v>-</v>
      </c>
      <c r="AH653" s="453" t="str">
        <f t="shared" si="308"/>
        <v/>
      </c>
      <c r="AI653" s="453" t="str">
        <f t="shared" si="309"/>
        <v/>
      </c>
      <c r="AJ653" t="str">
        <f t="array" ref="AJ653">IF(AND(AI653&gt;1,G653&lt;&gt;""),INDEX(FS_teams,MATCH(1,(FS_Keys=AG653)*(FS_Points=I653)*(FS_teams&lt;&gt;G653),0)),"")</f>
        <v/>
      </c>
      <c r="AK653" s="390" t="str">
        <f t="array" ref="AK653">IF(AJ653&lt;&gt;"",INDEX(TM_Score1,MATCH(1,(TM_Events=D653)*(TM_Participant1=G653)*(TM_Participant2=AJ653),0)),"")</f>
        <v/>
      </c>
      <c r="AL653" s="390" t="str">
        <f t="array" ref="AL653">IF(AJ653&lt;&gt;"",INDEX(TM_Score1,MATCH(1,(TM_Events=D653)*(TM_Participant1=AJ653)*(TM_Participant2=G653),0)),"")</f>
        <v/>
      </c>
      <c r="AM653" s="389" t="str">
        <f t="array" ref="AM653">IF(ISNUMBER(AK653),INDEX(TM_Score2,MATCH(1,(TM_Events=D653)*(TM_Participant1=G653)*(TM_Participant2=AJ653),0)),"")</f>
        <v/>
      </c>
      <c r="AN653" s="389" t="str">
        <f t="array" ref="AN653">IF(ISNUMBER(AL653),INDEX(TM_Score2,MATCH(1,(TM_Events=D653)*(TM_Participant1=AJ653)*(TM_Participant2=G653),0)),"")</f>
        <v/>
      </c>
      <c r="AO653" s="389" t="str">
        <f t="shared" si="310"/>
        <v/>
      </c>
      <c r="AP653" s="389">
        <f t="shared" si="311"/>
        <v>0</v>
      </c>
      <c r="AQ653" s="389">
        <f t="shared" si="312"/>
        <v>0</v>
      </c>
      <c r="AR653" s="389">
        <f t="shared" si="313"/>
        <v>0</v>
      </c>
      <c r="AS653" s="453">
        <f t="shared" si="314"/>
        <v>0</v>
      </c>
      <c r="AT653" s="452">
        <f t="shared" si="315"/>
        <v>0</v>
      </c>
    </row>
    <row r="654" spans="2:46" ht="16" x14ac:dyDescent="0.2">
      <c r="B654"/>
      <c r="H654" s="387" t="str">
        <f t="shared" si="290"/>
        <v>0-0-0</v>
      </c>
      <c r="I654" s="389">
        <f t="shared" si="291"/>
        <v>0</v>
      </c>
      <c r="J654" s="455" t="str">
        <f t="shared" si="316"/>
        <v/>
      </c>
      <c r="K654" s="455">
        <f t="shared" si="292"/>
        <v>0</v>
      </c>
      <c r="L654" s="455">
        <f t="shared" si="317"/>
        <v>0</v>
      </c>
      <c r="M654" s="389" t="str">
        <f>IFERROR(IF(AD654&lt;=VLOOKUP(D654,Tournaments!$A$1:$B$1772,2,FALSE),"TRUE","FALSE"),"")</f>
        <v/>
      </c>
      <c r="N654" s="389">
        <v>1</v>
      </c>
      <c r="O654" s="389">
        <f t="shared" si="293"/>
        <v>0</v>
      </c>
      <c r="Q654" s="389">
        <f t="shared" si="294"/>
        <v>0</v>
      </c>
      <c r="R654" s="389">
        <f t="shared" si="295"/>
        <v>0</v>
      </c>
      <c r="S654" s="389">
        <f t="shared" si="296"/>
        <v>0</v>
      </c>
      <c r="U654" s="389">
        <f t="shared" si="297"/>
        <v>0</v>
      </c>
      <c r="V654" s="389" t="b">
        <f t="shared" si="298"/>
        <v>0</v>
      </c>
      <c r="W654" s="389">
        <f t="shared" si="299"/>
        <v>0</v>
      </c>
      <c r="X654" s="389">
        <f t="shared" si="300"/>
        <v>0</v>
      </c>
      <c r="Y654" s="389">
        <f t="shared" si="318"/>
        <v>1.0999999999999999E-2</v>
      </c>
      <c r="Z654" s="389">
        <f t="shared" si="301"/>
        <v>1.0999999999999999E-2</v>
      </c>
      <c r="AA654" s="389">
        <f t="shared" si="302"/>
        <v>0</v>
      </c>
      <c r="AB654" s="389">
        <f t="shared" si="303"/>
        <v>1E-4</v>
      </c>
      <c r="AC654" s="389">
        <f t="shared" si="304"/>
        <v>1E-4</v>
      </c>
      <c r="AD654" s="389">
        <f t="shared" si="305"/>
        <v>0</v>
      </c>
      <c r="AE654" s="389">
        <f t="shared" si="306"/>
        <v>0</v>
      </c>
      <c r="AG654" s="311" t="str">
        <f t="shared" si="307"/>
        <v>-</v>
      </c>
      <c r="AH654" s="453" t="str">
        <f t="shared" si="308"/>
        <v/>
      </c>
      <c r="AI654" s="453" t="str">
        <f t="shared" si="309"/>
        <v/>
      </c>
      <c r="AJ654" t="str">
        <f t="array" ref="AJ654">IF(AND(AI654&gt;1,G654&lt;&gt;""),INDEX(FS_teams,MATCH(1,(FS_Keys=AG654)*(FS_Points=I654)*(FS_teams&lt;&gt;G654),0)),"")</f>
        <v/>
      </c>
      <c r="AK654" s="390" t="str">
        <f t="array" ref="AK654">IF(AJ654&lt;&gt;"",INDEX(TM_Score1,MATCH(1,(TM_Events=D654)*(TM_Participant1=G654)*(TM_Participant2=AJ654),0)),"")</f>
        <v/>
      </c>
      <c r="AL654" s="390" t="str">
        <f t="array" ref="AL654">IF(AJ654&lt;&gt;"",INDEX(TM_Score1,MATCH(1,(TM_Events=D654)*(TM_Participant1=AJ654)*(TM_Participant2=G654),0)),"")</f>
        <v/>
      </c>
      <c r="AM654" s="389" t="str">
        <f t="array" ref="AM654">IF(ISNUMBER(AK654),INDEX(TM_Score2,MATCH(1,(TM_Events=D654)*(TM_Participant1=G654)*(TM_Participant2=AJ654),0)),"")</f>
        <v/>
      </c>
      <c r="AN654" s="389" t="str">
        <f t="array" ref="AN654">IF(ISNUMBER(AL654),INDEX(TM_Score2,MATCH(1,(TM_Events=D654)*(TM_Participant1=AJ654)*(TM_Participant2=G654),0)),"")</f>
        <v/>
      </c>
      <c r="AO654" s="389" t="str">
        <f t="shared" si="310"/>
        <v/>
      </c>
      <c r="AP654" s="389">
        <f t="shared" si="311"/>
        <v>0</v>
      </c>
      <c r="AQ654" s="389">
        <f t="shared" si="312"/>
        <v>0</v>
      </c>
      <c r="AR654" s="389">
        <f t="shared" si="313"/>
        <v>0</v>
      </c>
      <c r="AS654" s="453">
        <f t="shared" si="314"/>
        <v>0</v>
      </c>
      <c r="AT654" s="452">
        <f t="shared" si="315"/>
        <v>0</v>
      </c>
    </row>
    <row r="655" spans="2:46" ht="16" x14ac:dyDescent="0.2">
      <c r="B655"/>
      <c r="H655" s="387" t="str">
        <f t="shared" si="290"/>
        <v>0-0-0</v>
      </c>
      <c r="I655" s="389">
        <f t="shared" si="291"/>
        <v>0</v>
      </c>
      <c r="J655" s="455" t="str">
        <f t="shared" si="316"/>
        <v/>
      </c>
      <c r="K655" s="455">
        <f t="shared" si="292"/>
        <v>0</v>
      </c>
      <c r="L655" s="455">
        <f t="shared" si="317"/>
        <v>0</v>
      </c>
      <c r="M655" s="389" t="str">
        <f>IFERROR(IF(AD655&lt;=VLOOKUP(D655,Tournaments!$A$1:$B$1772,2,FALSE),"TRUE","FALSE"),"")</f>
        <v/>
      </c>
      <c r="N655" s="389">
        <v>1</v>
      </c>
      <c r="O655" s="389">
        <f t="shared" si="293"/>
        <v>0</v>
      </c>
      <c r="Q655" s="389">
        <f t="shared" si="294"/>
        <v>0</v>
      </c>
      <c r="R655" s="389">
        <f t="shared" si="295"/>
        <v>0</v>
      </c>
      <c r="S655" s="389">
        <f t="shared" si="296"/>
        <v>0</v>
      </c>
      <c r="U655" s="389">
        <f t="shared" si="297"/>
        <v>0</v>
      </c>
      <c r="V655" s="389" t="b">
        <f t="shared" si="298"/>
        <v>0</v>
      </c>
      <c r="W655" s="389">
        <f t="shared" si="299"/>
        <v>0</v>
      </c>
      <c r="X655" s="389">
        <f t="shared" si="300"/>
        <v>0</v>
      </c>
      <c r="Y655" s="389">
        <f t="shared" si="318"/>
        <v>1.0999999999999999E-2</v>
      </c>
      <c r="Z655" s="389">
        <f t="shared" si="301"/>
        <v>1.0999999999999999E-2</v>
      </c>
      <c r="AA655" s="389">
        <f t="shared" si="302"/>
        <v>0</v>
      </c>
      <c r="AB655" s="389">
        <f t="shared" si="303"/>
        <v>1E-4</v>
      </c>
      <c r="AC655" s="389">
        <f t="shared" si="304"/>
        <v>1E-4</v>
      </c>
      <c r="AD655" s="389">
        <f t="shared" si="305"/>
        <v>0</v>
      </c>
      <c r="AE655" s="389">
        <f t="shared" si="306"/>
        <v>0</v>
      </c>
      <c r="AG655" s="311" t="str">
        <f t="shared" si="307"/>
        <v>-</v>
      </c>
      <c r="AH655" s="453" t="str">
        <f t="shared" si="308"/>
        <v/>
      </c>
      <c r="AI655" s="453" t="str">
        <f t="shared" si="309"/>
        <v/>
      </c>
      <c r="AJ655" t="str">
        <f t="array" ref="AJ655">IF(AND(AI655&gt;1,G655&lt;&gt;""),INDEX(FS_teams,MATCH(1,(FS_Keys=AG655)*(FS_Points=I655)*(FS_teams&lt;&gt;G655),0)),"")</f>
        <v/>
      </c>
      <c r="AK655" s="390" t="str">
        <f t="array" ref="AK655">IF(AJ655&lt;&gt;"",INDEX(TM_Score1,MATCH(1,(TM_Events=D655)*(TM_Participant1=G655)*(TM_Participant2=AJ655),0)),"")</f>
        <v/>
      </c>
      <c r="AL655" s="390" t="str">
        <f t="array" ref="AL655">IF(AJ655&lt;&gt;"",INDEX(TM_Score1,MATCH(1,(TM_Events=D655)*(TM_Participant1=AJ655)*(TM_Participant2=G655),0)),"")</f>
        <v/>
      </c>
      <c r="AM655" s="389" t="str">
        <f t="array" ref="AM655">IF(ISNUMBER(AK655),INDEX(TM_Score2,MATCH(1,(TM_Events=D655)*(TM_Participant1=G655)*(TM_Participant2=AJ655),0)),"")</f>
        <v/>
      </c>
      <c r="AN655" s="389" t="str">
        <f t="array" ref="AN655">IF(ISNUMBER(AL655),INDEX(TM_Score2,MATCH(1,(TM_Events=D655)*(TM_Participant1=AJ655)*(TM_Participant2=G655),0)),"")</f>
        <v/>
      </c>
      <c r="AO655" s="389" t="str">
        <f t="shared" si="310"/>
        <v/>
      </c>
      <c r="AP655" s="389">
        <f t="shared" si="311"/>
        <v>0</v>
      </c>
      <c r="AQ655" s="389">
        <f t="shared" si="312"/>
        <v>0</v>
      </c>
      <c r="AR655" s="389">
        <f t="shared" si="313"/>
        <v>0</v>
      </c>
      <c r="AS655" s="453">
        <f t="shared" si="314"/>
        <v>0</v>
      </c>
      <c r="AT655" s="452">
        <f t="shared" si="315"/>
        <v>0</v>
      </c>
    </row>
    <row r="656" spans="2:46" ht="16" x14ac:dyDescent="0.2">
      <c r="B656"/>
      <c r="H656" s="387" t="str">
        <f t="shared" si="290"/>
        <v>0-0-0</v>
      </c>
      <c r="I656" s="389">
        <f t="shared" si="291"/>
        <v>0</v>
      </c>
      <c r="J656" s="455" t="str">
        <f t="shared" si="316"/>
        <v/>
      </c>
      <c r="K656" s="455">
        <f t="shared" si="292"/>
        <v>0</v>
      </c>
      <c r="L656" s="455">
        <f t="shared" si="317"/>
        <v>0</v>
      </c>
      <c r="M656" s="389" t="str">
        <f>IFERROR(IF(AD656&lt;=VLOOKUP(D656,Tournaments!$A$1:$B$1772,2,FALSE),"TRUE","FALSE"),"")</f>
        <v/>
      </c>
      <c r="N656" s="389">
        <v>1</v>
      </c>
      <c r="O656" s="389">
        <f t="shared" si="293"/>
        <v>0</v>
      </c>
      <c r="Q656" s="389">
        <f t="shared" si="294"/>
        <v>0</v>
      </c>
      <c r="R656" s="389">
        <f t="shared" si="295"/>
        <v>0</v>
      </c>
      <c r="S656" s="389">
        <f t="shared" si="296"/>
        <v>0</v>
      </c>
      <c r="U656" s="389">
        <f t="shared" si="297"/>
        <v>0</v>
      </c>
      <c r="V656" s="389" t="b">
        <f t="shared" si="298"/>
        <v>0</v>
      </c>
      <c r="W656" s="389">
        <f t="shared" si="299"/>
        <v>0</v>
      </c>
      <c r="X656" s="389">
        <f t="shared" si="300"/>
        <v>0</v>
      </c>
      <c r="Y656" s="389">
        <f t="shared" si="318"/>
        <v>1.0999999999999999E-2</v>
      </c>
      <c r="Z656" s="389">
        <f t="shared" si="301"/>
        <v>1.0999999999999999E-2</v>
      </c>
      <c r="AA656" s="389">
        <f t="shared" si="302"/>
        <v>0</v>
      </c>
      <c r="AB656" s="389">
        <f t="shared" si="303"/>
        <v>1E-4</v>
      </c>
      <c r="AC656" s="389">
        <f t="shared" si="304"/>
        <v>1E-4</v>
      </c>
      <c r="AD656" s="389">
        <f t="shared" si="305"/>
        <v>0</v>
      </c>
      <c r="AE656" s="389">
        <f t="shared" si="306"/>
        <v>0</v>
      </c>
      <c r="AG656" s="311" t="str">
        <f t="shared" si="307"/>
        <v>-</v>
      </c>
      <c r="AH656" s="453" t="str">
        <f t="shared" si="308"/>
        <v/>
      </c>
      <c r="AI656" s="453" t="str">
        <f t="shared" si="309"/>
        <v/>
      </c>
      <c r="AJ656" t="str">
        <f t="array" ref="AJ656">IF(AND(AI656&gt;1,G656&lt;&gt;""),INDEX(FS_teams,MATCH(1,(FS_Keys=AG656)*(FS_Points=I656)*(FS_teams&lt;&gt;G656),0)),"")</f>
        <v/>
      </c>
      <c r="AK656" s="390" t="str">
        <f t="array" ref="AK656">IF(AJ656&lt;&gt;"",INDEX(TM_Score1,MATCH(1,(TM_Events=D656)*(TM_Participant1=G656)*(TM_Participant2=AJ656),0)),"")</f>
        <v/>
      </c>
      <c r="AL656" s="390" t="str">
        <f t="array" ref="AL656">IF(AJ656&lt;&gt;"",INDEX(TM_Score1,MATCH(1,(TM_Events=D656)*(TM_Participant1=AJ656)*(TM_Participant2=G656),0)),"")</f>
        <v/>
      </c>
      <c r="AM656" s="389" t="str">
        <f t="array" ref="AM656">IF(ISNUMBER(AK656),INDEX(TM_Score2,MATCH(1,(TM_Events=D656)*(TM_Participant1=G656)*(TM_Participant2=AJ656),0)),"")</f>
        <v/>
      </c>
      <c r="AN656" s="389" t="str">
        <f t="array" ref="AN656">IF(ISNUMBER(AL656),INDEX(TM_Score2,MATCH(1,(TM_Events=D656)*(TM_Participant1=AJ656)*(TM_Participant2=G656),0)),"")</f>
        <v/>
      </c>
      <c r="AO656" s="389" t="str">
        <f t="shared" si="310"/>
        <v/>
      </c>
      <c r="AP656" s="389">
        <f t="shared" si="311"/>
        <v>0</v>
      </c>
      <c r="AQ656" s="389">
        <f t="shared" si="312"/>
        <v>0</v>
      </c>
      <c r="AR656" s="389">
        <f t="shared" si="313"/>
        <v>0</v>
      </c>
      <c r="AS656" s="453">
        <f t="shared" si="314"/>
        <v>0</v>
      </c>
      <c r="AT656" s="452">
        <f t="shared" si="315"/>
        <v>0</v>
      </c>
    </row>
    <row r="657" spans="2:46" ht="16" x14ac:dyDescent="0.2">
      <c r="B657"/>
      <c r="H657" s="387" t="str">
        <f t="shared" si="290"/>
        <v>0-0-0</v>
      </c>
      <c r="I657" s="389">
        <f t="shared" si="291"/>
        <v>0</v>
      </c>
      <c r="J657" s="455" t="str">
        <f t="shared" si="316"/>
        <v/>
      </c>
      <c r="K657" s="455">
        <f t="shared" si="292"/>
        <v>0</v>
      </c>
      <c r="L657" s="455">
        <f t="shared" si="317"/>
        <v>0</v>
      </c>
      <c r="M657" s="389" t="str">
        <f>IFERROR(IF(AD657&lt;=VLOOKUP(D657,Tournaments!$A$1:$B$1772,2,FALSE),"TRUE","FALSE"),"")</f>
        <v/>
      </c>
      <c r="N657" s="389">
        <v>1</v>
      </c>
      <c r="O657" s="389">
        <f t="shared" si="293"/>
        <v>0</v>
      </c>
      <c r="Q657" s="389">
        <f t="shared" si="294"/>
        <v>0</v>
      </c>
      <c r="R657" s="389">
        <f t="shared" si="295"/>
        <v>0</v>
      </c>
      <c r="S657" s="389">
        <f t="shared" si="296"/>
        <v>0</v>
      </c>
      <c r="U657" s="389">
        <f t="shared" si="297"/>
        <v>0</v>
      </c>
      <c r="V657" s="389" t="b">
        <f t="shared" si="298"/>
        <v>0</v>
      </c>
      <c r="W657" s="389">
        <f t="shared" si="299"/>
        <v>0</v>
      </c>
      <c r="X657" s="389">
        <f t="shared" si="300"/>
        <v>0</v>
      </c>
      <c r="Y657" s="389">
        <f t="shared" si="318"/>
        <v>1.0999999999999999E-2</v>
      </c>
      <c r="Z657" s="389">
        <f t="shared" si="301"/>
        <v>1.0999999999999999E-2</v>
      </c>
      <c r="AA657" s="389">
        <f t="shared" si="302"/>
        <v>0</v>
      </c>
      <c r="AB657" s="389">
        <f t="shared" si="303"/>
        <v>1E-4</v>
      </c>
      <c r="AC657" s="389">
        <f t="shared" si="304"/>
        <v>1E-4</v>
      </c>
      <c r="AD657" s="389">
        <f t="shared" si="305"/>
        <v>0</v>
      </c>
      <c r="AE657" s="389">
        <f t="shared" si="306"/>
        <v>0</v>
      </c>
      <c r="AG657" s="311" t="str">
        <f t="shared" si="307"/>
        <v>-</v>
      </c>
      <c r="AH657" s="453" t="str">
        <f t="shared" si="308"/>
        <v/>
      </c>
      <c r="AI657" s="453" t="str">
        <f t="shared" si="309"/>
        <v/>
      </c>
      <c r="AJ657" t="str">
        <f t="array" ref="AJ657">IF(AND(AI657&gt;1,G657&lt;&gt;""),INDEX(FS_teams,MATCH(1,(FS_Keys=AG657)*(FS_Points=I657)*(FS_teams&lt;&gt;G657),0)),"")</f>
        <v/>
      </c>
      <c r="AK657" s="390" t="str">
        <f t="array" ref="AK657">IF(AJ657&lt;&gt;"",INDEX(TM_Score1,MATCH(1,(TM_Events=D657)*(TM_Participant1=G657)*(TM_Participant2=AJ657),0)),"")</f>
        <v/>
      </c>
      <c r="AL657" s="390" t="str">
        <f t="array" ref="AL657">IF(AJ657&lt;&gt;"",INDEX(TM_Score1,MATCH(1,(TM_Events=D657)*(TM_Participant1=AJ657)*(TM_Participant2=G657),0)),"")</f>
        <v/>
      </c>
      <c r="AM657" s="389" t="str">
        <f t="array" ref="AM657">IF(ISNUMBER(AK657),INDEX(TM_Score2,MATCH(1,(TM_Events=D657)*(TM_Participant1=G657)*(TM_Participant2=AJ657),0)),"")</f>
        <v/>
      </c>
      <c r="AN657" s="389" t="str">
        <f t="array" ref="AN657">IF(ISNUMBER(AL657),INDEX(TM_Score2,MATCH(1,(TM_Events=D657)*(TM_Participant1=AJ657)*(TM_Participant2=G657),0)),"")</f>
        <v/>
      </c>
      <c r="AO657" s="389" t="str">
        <f t="shared" si="310"/>
        <v/>
      </c>
      <c r="AP657" s="389">
        <f t="shared" si="311"/>
        <v>0</v>
      </c>
      <c r="AQ657" s="389">
        <f t="shared" si="312"/>
        <v>0</v>
      </c>
      <c r="AR657" s="389">
        <f t="shared" si="313"/>
        <v>0</v>
      </c>
      <c r="AS657" s="453">
        <f t="shared" si="314"/>
        <v>0</v>
      </c>
      <c r="AT657" s="452">
        <f t="shared" si="315"/>
        <v>0</v>
      </c>
    </row>
    <row r="658" spans="2:46" ht="16" x14ac:dyDescent="0.2">
      <c r="B658"/>
      <c r="H658" s="387" t="str">
        <f t="shared" si="290"/>
        <v>0-0-0</v>
      </c>
      <c r="I658" s="389">
        <f t="shared" si="291"/>
        <v>0</v>
      </c>
      <c r="J658" s="455" t="str">
        <f t="shared" si="316"/>
        <v/>
      </c>
      <c r="K658" s="455">
        <f t="shared" si="292"/>
        <v>0</v>
      </c>
      <c r="L658" s="455">
        <f t="shared" si="317"/>
        <v>0</v>
      </c>
      <c r="M658" s="389" t="str">
        <f>IFERROR(IF(AD658&lt;=VLOOKUP(D658,Tournaments!$A$1:$B$1772,2,FALSE),"TRUE","FALSE"),"")</f>
        <v/>
      </c>
      <c r="N658" s="389">
        <v>1</v>
      </c>
      <c r="O658" s="389">
        <f t="shared" si="293"/>
        <v>0</v>
      </c>
      <c r="Q658" s="389">
        <f t="shared" si="294"/>
        <v>0</v>
      </c>
      <c r="R658" s="389">
        <f t="shared" si="295"/>
        <v>0</v>
      </c>
      <c r="S658" s="389">
        <f t="shared" si="296"/>
        <v>0</v>
      </c>
      <c r="U658" s="389">
        <f t="shared" si="297"/>
        <v>0</v>
      </c>
      <c r="V658" s="389" t="b">
        <f t="shared" si="298"/>
        <v>0</v>
      </c>
      <c r="W658" s="389">
        <f t="shared" si="299"/>
        <v>0</v>
      </c>
      <c r="X658" s="389">
        <f t="shared" si="300"/>
        <v>0</v>
      </c>
      <c r="Y658" s="389">
        <f t="shared" si="318"/>
        <v>1.0999999999999999E-2</v>
      </c>
      <c r="Z658" s="389">
        <f t="shared" si="301"/>
        <v>1.0999999999999999E-2</v>
      </c>
      <c r="AA658" s="389">
        <f t="shared" si="302"/>
        <v>0</v>
      </c>
      <c r="AB658" s="389">
        <f t="shared" si="303"/>
        <v>1E-4</v>
      </c>
      <c r="AC658" s="389">
        <f t="shared" si="304"/>
        <v>1E-4</v>
      </c>
      <c r="AD658" s="389">
        <f t="shared" si="305"/>
        <v>0</v>
      </c>
      <c r="AE658" s="389">
        <f t="shared" si="306"/>
        <v>0</v>
      </c>
      <c r="AG658" s="311" t="str">
        <f t="shared" si="307"/>
        <v>-</v>
      </c>
      <c r="AH658" s="453" t="str">
        <f t="shared" si="308"/>
        <v/>
      </c>
      <c r="AI658" s="453" t="str">
        <f t="shared" si="309"/>
        <v/>
      </c>
      <c r="AJ658" t="str">
        <f t="array" ref="AJ658">IF(AND(AI658&gt;1,G658&lt;&gt;""),INDEX(FS_teams,MATCH(1,(FS_Keys=AG658)*(FS_Points=I658)*(FS_teams&lt;&gt;G658),0)),"")</f>
        <v/>
      </c>
      <c r="AK658" s="390" t="str">
        <f t="array" ref="AK658">IF(AJ658&lt;&gt;"",INDEX(TM_Score1,MATCH(1,(TM_Events=D658)*(TM_Participant1=G658)*(TM_Participant2=AJ658),0)),"")</f>
        <v/>
      </c>
      <c r="AL658" s="390" t="str">
        <f t="array" ref="AL658">IF(AJ658&lt;&gt;"",INDEX(TM_Score1,MATCH(1,(TM_Events=D658)*(TM_Participant1=AJ658)*(TM_Participant2=G658),0)),"")</f>
        <v/>
      </c>
      <c r="AM658" s="389" t="str">
        <f t="array" ref="AM658">IF(ISNUMBER(AK658),INDEX(TM_Score2,MATCH(1,(TM_Events=D658)*(TM_Participant1=G658)*(TM_Participant2=AJ658),0)),"")</f>
        <v/>
      </c>
      <c r="AN658" s="389" t="str">
        <f t="array" ref="AN658">IF(ISNUMBER(AL658),INDEX(TM_Score2,MATCH(1,(TM_Events=D658)*(TM_Participant1=AJ658)*(TM_Participant2=G658),0)),"")</f>
        <v/>
      </c>
      <c r="AO658" s="389" t="str">
        <f t="shared" si="310"/>
        <v/>
      </c>
      <c r="AP658" s="389">
        <f t="shared" si="311"/>
        <v>0</v>
      </c>
      <c r="AQ658" s="389">
        <f t="shared" si="312"/>
        <v>0</v>
      </c>
      <c r="AR658" s="389">
        <f t="shared" si="313"/>
        <v>0</v>
      </c>
      <c r="AS658" s="453">
        <f t="shared" si="314"/>
        <v>0</v>
      </c>
      <c r="AT658" s="452">
        <f t="shared" si="315"/>
        <v>0</v>
      </c>
    </row>
    <row r="659" spans="2:46" ht="16" x14ac:dyDescent="0.2">
      <c r="B659"/>
      <c r="H659" s="387" t="str">
        <f t="shared" si="290"/>
        <v>0-0-0</v>
      </c>
      <c r="I659" s="389">
        <f t="shared" si="291"/>
        <v>0</v>
      </c>
      <c r="J659" s="455" t="str">
        <f t="shared" si="316"/>
        <v/>
      </c>
      <c r="K659" s="455">
        <f t="shared" si="292"/>
        <v>0</v>
      </c>
      <c r="L659" s="455">
        <f t="shared" si="317"/>
        <v>0</v>
      </c>
      <c r="M659" s="389" t="str">
        <f>IFERROR(IF(AD659&lt;=VLOOKUP(D659,Tournaments!$A$1:$B$1772,2,FALSE),"TRUE","FALSE"),"")</f>
        <v/>
      </c>
      <c r="N659" s="389">
        <v>1</v>
      </c>
      <c r="O659" s="389">
        <f t="shared" si="293"/>
        <v>0</v>
      </c>
      <c r="Q659" s="389">
        <f t="shared" si="294"/>
        <v>0</v>
      </c>
      <c r="R659" s="389">
        <f t="shared" si="295"/>
        <v>0</v>
      </c>
      <c r="S659" s="389">
        <f t="shared" si="296"/>
        <v>0</v>
      </c>
      <c r="U659" s="389">
        <f t="shared" si="297"/>
        <v>0</v>
      </c>
      <c r="V659" s="389" t="b">
        <f t="shared" si="298"/>
        <v>0</v>
      </c>
      <c r="W659" s="389">
        <f t="shared" si="299"/>
        <v>0</v>
      </c>
      <c r="X659" s="389">
        <f t="shared" si="300"/>
        <v>0</v>
      </c>
      <c r="Y659" s="389">
        <f t="shared" si="318"/>
        <v>1.0999999999999999E-2</v>
      </c>
      <c r="Z659" s="389">
        <f t="shared" si="301"/>
        <v>1.0999999999999999E-2</v>
      </c>
      <c r="AA659" s="389">
        <f t="shared" si="302"/>
        <v>0</v>
      </c>
      <c r="AB659" s="389">
        <f t="shared" si="303"/>
        <v>1E-4</v>
      </c>
      <c r="AC659" s="389">
        <f t="shared" si="304"/>
        <v>1E-4</v>
      </c>
      <c r="AD659" s="389">
        <f t="shared" si="305"/>
        <v>0</v>
      </c>
      <c r="AE659" s="389">
        <f t="shared" si="306"/>
        <v>0</v>
      </c>
      <c r="AG659" s="311" t="str">
        <f t="shared" si="307"/>
        <v>-</v>
      </c>
      <c r="AH659" s="453" t="str">
        <f t="shared" si="308"/>
        <v/>
      </c>
      <c r="AI659" s="453" t="str">
        <f t="shared" si="309"/>
        <v/>
      </c>
      <c r="AJ659" t="str">
        <f t="array" ref="AJ659">IF(AND(AI659&gt;1,G659&lt;&gt;""),INDEX(FS_teams,MATCH(1,(FS_Keys=AG659)*(FS_Points=I659)*(FS_teams&lt;&gt;G659),0)),"")</f>
        <v/>
      </c>
      <c r="AK659" s="390" t="str">
        <f t="array" ref="AK659">IF(AJ659&lt;&gt;"",INDEX(TM_Score1,MATCH(1,(TM_Events=D659)*(TM_Participant1=G659)*(TM_Participant2=AJ659),0)),"")</f>
        <v/>
      </c>
      <c r="AL659" s="390" t="str">
        <f t="array" ref="AL659">IF(AJ659&lt;&gt;"",INDEX(TM_Score1,MATCH(1,(TM_Events=D659)*(TM_Participant1=AJ659)*(TM_Participant2=G659),0)),"")</f>
        <v/>
      </c>
      <c r="AM659" s="389" t="str">
        <f t="array" ref="AM659">IF(ISNUMBER(AK659),INDEX(TM_Score2,MATCH(1,(TM_Events=D659)*(TM_Participant1=G659)*(TM_Participant2=AJ659),0)),"")</f>
        <v/>
      </c>
      <c r="AN659" s="389" t="str">
        <f t="array" ref="AN659">IF(ISNUMBER(AL659),INDEX(TM_Score2,MATCH(1,(TM_Events=D659)*(TM_Participant1=AJ659)*(TM_Participant2=G659),0)),"")</f>
        <v/>
      </c>
      <c r="AO659" s="389" t="str">
        <f t="shared" si="310"/>
        <v/>
      </c>
      <c r="AP659" s="389">
        <f t="shared" si="311"/>
        <v>0</v>
      </c>
      <c r="AQ659" s="389">
        <f t="shared" si="312"/>
        <v>0</v>
      </c>
      <c r="AR659" s="389">
        <f t="shared" si="313"/>
        <v>0</v>
      </c>
      <c r="AS659" s="453">
        <f t="shared" si="314"/>
        <v>0</v>
      </c>
      <c r="AT659" s="452">
        <f t="shared" si="315"/>
        <v>0</v>
      </c>
    </row>
    <row r="660" spans="2:46" ht="16" x14ac:dyDescent="0.2">
      <c r="B660"/>
      <c r="H660" s="387" t="str">
        <f t="shared" si="290"/>
        <v>0-0-0</v>
      </c>
      <c r="I660" s="389">
        <f t="shared" si="291"/>
        <v>0</v>
      </c>
      <c r="J660" s="455" t="str">
        <f t="shared" si="316"/>
        <v/>
      </c>
      <c r="K660" s="455">
        <f t="shared" si="292"/>
        <v>0</v>
      </c>
      <c r="L660" s="455">
        <f t="shared" si="317"/>
        <v>0</v>
      </c>
      <c r="M660" s="389" t="str">
        <f>IFERROR(IF(AD660&lt;=VLOOKUP(D660,Tournaments!$A$1:$B$1772,2,FALSE),"TRUE","FALSE"),"")</f>
        <v/>
      </c>
      <c r="N660" s="389">
        <v>1</v>
      </c>
      <c r="O660" s="389">
        <f t="shared" si="293"/>
        <v>0</v>
      </c>
      <c r="Q660" s="389">
        <f t="shared" si="294"/>
        <v>0</v>
      </c>
      <c r="R660" s="389">
        <f t="shared" si="295"/>
        <v>0</v>
      </c>
      <c r="S660" s="389">
        <f t="shared" si="296"/>
        <v>0</v>
      </c>
      <c r="U660" s="389">
        <f t="shared" si="297"/>
        <v>0</v>
      </c>
      <c r="V660" s="389" t="b">
        <f t="shared" si="298"/>
        <v>0</v>
      </c>
      <c r="W660" s="389">
        <f t="shared" si="299"/>
        <v>0</v>
      </c>
      <c r="X660" s="389">
        <f t="shared" si="300"/>
        <v>0</v>
      </c>
      <c r="Y660" s="389">
        <f t="shared" si="318"/>
        <v>1.0999999999999999E-2</v>
      </c>
      <c r="Z660" s="389">
        <f t="shared" si="301"/>
        <v>1.0999999999999999E-2</v>
      </c>
      <c r="AA660" s="389">
        <f t="shared" si="302"/>
        <v>0</v>
      </c>
      <c r="AB660" s="389">
        <f t="shared" si="303"/>
        <v>1E-4</v>
      </c>
      <c r="AC660" s="389">
        <f t="shared" si="304"/>
        <v>1E-4</v>
      </c>
      <c r="AD660" s="389">
        <f t="shared" si="305"/>
        <v>0</v>
      </c>
      <c r="AE660" s="389">
        <f t="shared" si="306"/>
        <v>0</v>
      </c>
      <c r="AG660" s="311" t="str">
        <f t="shared" si="307"/>
        <v>-</v>
      </c>
      <c r="AH660" s="453" t="str">
        <f t="shared" si="308"/>
        <v/>
      </c>
      <c r="AI660" s="453" t="str">
        <f t="shared" si="309"/>
        <v/>
      </c>
      <c r="AJ660" t="str">
        <f t="array" ref="AJ660">IF(AND(AI660&gt;1,G660&lt;&gt;""),INDEX(FS_teams,MATCH(1,(FS_Keys=AG660)*(FS_Points=I660)*(FS_teams&lt;&gt;G660),0)),"")</f>
        <v/>
      </c>
      <c r="AK660" s="390" t="str">
        <f t="array" ref="AK660">IF(AJ660&lt;&gt;"",INDEX(TM_Score1,MATCH(1,(TM_Events=D660)*(TM_Participant1=G660)*(TM_Participant2=AJ660),0)),"")</f>
        <v/>
      </c>
      <c r="AL660" s="390" t="str">
        <f t="array" ref="AL660">IF(AJ660&lt;&gt;"",INDEX(TM_Score1,MATCH(1,(TM_Events=D660)*(TM_Participant1=AJ660)*(TM_Participant2=G660),0)),"")</f>
        <v/>
      </c>
      <c r="AM660" s="389" t="str">
        <f t="array" ref="AM660">IF(ISNUMBER(AK660),INDEX(TM_Score2,MATCH(1,(TM_Events=D660)*(TM_Participant1=G660)*(TM_Participant2=AJ660),0)),"")</f>
        <v/>
      </c>
      <c r="AN660" s="389" t="str">
        <f t="array" ref="AN660">IF(ISNUMBER(AL660),INDEX(TM_Score2,MATCH(1,(TM_Events=D660)*(TM_Participant1=AJ660)*(TM_Participant2=G660),0)),"")</f>
        <v/>
      </c>
      <c r="AO660" s="389" t="str">
        <f t="shared" si="310"/>
        <v/>
      </c>
      <c r="AP660" s="389">
        <f t="shared" si="311"/>
        <v>0</v>
      </c>
      <c r="AQ660" s="389">
        <f t="shared" si="312"/>
        <v>0</v>
      </c>
      <c r="AR660" s="389">
        <f t="shared" si="313"/>
        <v>0</v>
      </c>
      <c r="AS660" s="453">
        <f t="shared" si="314"/>
        <v>0</v>
      </c>
      <c r="AT660" s="452">
        <f t="shared" si="315"/>
        <v>0</v>
      </c>
    </row>
    <row r="661" spans="2:46" ht="16" x14ac:dyDescent="0.2">
      <c r="B661"/>
      <c r="H661" s="387" t="str">
        <f t="shared" si="290"/>
        <v>0-0-0</v>
      </c>
      <c r="I661" s="389">
        <f t="shared" si="291"/>
        <v>0</v>
      </c>
      <c r="J661" s="455" t="str">
        <f t="shared" si="316"/>
        <v/>
      </c>
      <c r="K661" s="455">
        <f t="shared" si="292"/>
        <v>0</v>
      </c>
      <c r="L661" s="455">
        <f t="shared" si="317"/>
        <v>0</v>
      </c>
      <c r="M661" s="389" t="str">
        <f>IFERROR(IF(AD661&lt;=VLOOKUP(D661,Tournaments!$A$1:$B$1772,2,FALSE),"TRUE","FALSE"),"")</f>
        <v/>
      </c>
      <c r="N661" s="389">
        <v>1</v>
      </c>
      <c r="O661" s="389">
        <f t="shared" si="293"/>
        <v>0</v>
      </c>
      <c r="Q661" s="389">
        <f t="shared" si="294"/>
        <v>0</v>
      </c>
      <c r="R661" s="389">
        <f t="shared" si="295"/>
        <v>0</v>
      </c>
      <c r="S661" s="389">
        <f t="shared" si="296"/>
        <v>0</v>
      </c>
      <c r="U661" s="389">
        <f t="shared" si="297"/>
        <v>0</v>
      </c>
      <c r="V661" s="389" t="b">
        <f t="shared" si="298"/>
        <v>0</v>
      </c>
      <c r="W661" s="389">
        <f t="shared" si="299"/>
        <v>0</v>
      </c>
      <c r="X661" s="389">
        <f t="shared" si="300"/>
        <v>0</v>
      </c>
      <c r="Y661" s="389">
        <f t="shared" si="318"/>
        <v>1.0999999999999999E-2</v>
      </c>
      <c r="Z661" s="389">
        <f t="shared" si="301"/>
        <v>1.0999999999999999E-2</v>
      </c>
      <c r="AA661" s="389">
        <f t="shared" si="302"/>
        <v>0</v>
      </c>
      <c r="AB661" s="389">
        <f t="shared" si="303"/>
        <v>1E-4</v>
      </c>
      <c r="AC661" s="389">
        <f t="shared" si="304"/>
        <v>1E-4</v>
      </c>
      <c r="AD661" s="389">
        <f t="shared" si="305"/>
        <v>0</v>
      </c>
      <c r="AE661" s="389">
        <f t="shared" si="306"/>
        <v>0</v>
      </c>
      <c r="AG661" s="311" t="str">
        <f t="shared" si="307"/>
        <v>-</v>
      </c>
      <c r="AH661" s="453" t="str">
        <f t="shared" si="308"/>
        <v/>
      </c>
      <c r="AI661" s="453" t="str">
        <f t="shared" si="309"/>
        <v/>
      </c>
      <c r="AJ661" t="str">
        <f t="array" ref="AJ661">IF(AND(AI661&gt;1,G661&lt;&gt;""),INDEX(FS_teams,MATCH(1,(FS_Keys=AG661)*(FS_Points=I661)*(FS_teams&lt;&gt;G661),0)),"")</f>
        <v/>
      </c>
      <c r="AK661" s="390" t="str">
        <f t="array" ref="AK661">IF(AJ661&lt;&gt;"",INDEX(TM_Score1,MATCH(1,(TM_Events=D661)*(TM_Participant1=G661)*(TM_Participant2=AJ661),0)),"")</f>
        <v/>
      </c>
      <c r="AL661" s="390" t="str">
        <f t="array" ref="AL661">IF(AJ661&lt;&gt;"",INDEX(TM_Score1,MATCH(1,(TM_Events=D661)*(TM_Participant1=AJ661)*(TM_Participant2=G661),0)),"")</f>
        <v/>
      </c>
      <c r="AM661" s="389" t="str">
        <f t="array" ref="AM661">IF(ISNUMBER(AK661),INDEX(TM_Score2,MATCH(1,(TM_Events=D661)*(TM_Participant1=G661)*(TM_Participant2=AJ661),0)),"")</f>
        <v/>
      </c>
      <c r="AN661" s="389" t="str">
        <f t="array" ref="AN661">IF(ISNUMBER(AL661),INDEX(TM_Score2,MATCH(1,(TM_Events=D661)*(TM_Participant1=AJ661)*(TM_Participant2=G661),0)),"")</f>
        <v/>
      </c>
      <c r="AO661" s="389" t="str">
        <f t="shared" si="310"/>
        <v/>
      </c>
      <c r="AP661" s="389">
        <f t="shared" si="311"/>
        <v>0</v>
      </c>
      <c r="AQ661" s="389">
        <f t="shared" si="312"/>
        <v>0</v>
      </c>
      <c r="AR661" s="389">
        <f t="shared" si="313"/>
        <v>0</v>
      </c>
      <c r="AS661" s="453">
        <f t="shared" si="314"/>
        <v>0</v>
      </c>
      <c r="AT661" s="452">
        <f t="shared" si="315"/>
        <v>0</v>
      </c>
    </row>
    <row r="662" spans="2:46" ht="16" x14ac:dyDescent="0.2">
      <c r="B662"/>
      <c r="H662" s="387" t="str">
        <f t="shared" si="290"/>
        <v>0-0-0</v>
      </c>
      <c r="I662" s="389">
        <f t="shared" si="291"/>
        <v>0</v>
      </c>
      <c r="J662" s="455" t="str">
        <f t="shared" si="316"/>
        <v/>
      </c>
      <c r="K662" s="455">
        <f t="shared" si="292"/>
        <v>0</v>
      </c>
      <c r="L662" s="455">
        <f t="shared" si="317"/>
        <v>0</v>
      </c>
      <c r="M662" s="389" t="str">
        <f>IFERROR(IF(AD662&lt;=VLOOKUP(D662,Tournaments!$A$1:$B$1772,2,FALSE),"TRUE","FALSE"),"")</f>
        <v/>
      </c>
      <c r="N662" s="389">
        <v>1</v>
      </c>
      <c r="O662" s="389">
        <f t="shared" si="293"/>
        <v>0</v>
      </c>
      <c r="Q662" s="389">
        <f t="shared" si="294"/>
        <v>0</v>
      </c>
      <c r="R662" s="389">
        <f t="shared" si="295"/>
        <v>0</v>
      </c>
      <c r="S662" s="389">
        <f t="shared" si="296"/>
        <v>0</v>
      </c>
      <c r="U662" s="389">
        <f t="shared" si="297"/>
        <v>0</v>
      </c>
      <c r="V662" s="389" t="b">
        <f t="shared" si="298"/>
        <v>0</v>
      </c>
      <c r="W662" s="389">
        <f t="shared" si="299"/>
        <v>0</v>
      </c>
      <c r="X662" s="389">
        <f t="shared" si="300"/>
        <v>0</v>
      </c>
      <c r="Y662" s="389">
        <f t="shared" si="318"/>
        <v>1.0999999999999999E-2</v>
      </c>
      <c r="Z662" s="389">
        <f t="shared" si="301"/>
        <v>1.0999999999999999E-2</v>
      </c>
      <c r="AA662" s="389">
        <f t="shared" si="302"/>
        <v>0</v>
      </c>
      <c r="AB662" s="389">
        <f t="shared" si="303"/>
        <v>1E-4</v>
      </c>
      <c r="AC662" s="389">
        <f t="shared" si="304"/>
        <v>1E-4</v>
      </c>
      <c r="AD662" s="389">
        <f t="shared" si="305"/>
        <v>0</v>
      </c>
      <c r="AE662" s="389">
        <f t="shared" si="306"/>
        <v>0</v>
      </c>
      <c r="AG662" s="311" t="str">
        <f t="shared" si="307"/>
        <v>-</v>
      </c>
      <c r="AH662" s="453" t="str">
        <f t="shared" si="308"/>
        <v/>
      </c>
      <c r="AI662" s="453" t="str">
        <f t="shared" si="309"/>
        <v/>
      </c>
      <c r="AJ662" t="str">
        <f t="array" ref="AJ662">IF(AND(AI662&gt;1,G662&lt;&gt;""),INDEX(FS_teams,MATCH(1,(FS_Keys=AG662)*(FS_Points=I662)*(FS_teams&lt;&gt;G662),0)),"")</f>
        <v/>
      </c>
      <c r="AK662" s="390" t="str">
        <f t="array" ref="AK662">IF(AJ662&lt;&gt;"",INDEX(TM_Score1,MATCH(1,(TM_Events=D662)*(TM_Participant1=G662)*(TM_Participant2=AJ662),0)),"")</f>
        <v/>
      </c>
      <c r="AL662" s="390" t="str">
        <f t="array" ref="AL662">IF(AJ662&lt;&gt;"",INDEX(TM_Score1,MATCH(1,(TM_Events=D662)*(TM_Participant1=AJ662)*(TM_Participant2=G662),0)),"")</f>
        <v/>
      </c>
      <c r="AM662" s="389" t="str">
        <f t="array" ref="AM662">IF(ISNUMBER(AK662),INDEX(TM_Score2,MATCH(1,(TM_Events=D662)*(TM_Participant1=G662)*(TM_Participant2=AJ662),0)),"")</f>
        <v/>
      </c>
      <c r="AN662" s="389" t="str">
        <f t="array" ref="AN662">IF(ISNUMBER(AL662),INDEX(TM_Score2,MATCH(1,(TM_Events=D662)*(TM_Participant1=AJ662)*(TM_Participant2=G662),0)),"")</f>
        <v/>
      </c>
      <c r="AO662" s="389" t="str">
        <f t="shared" si="310"/>
        <v/>
      </c>
      <c r="AP662" s="389">
        <f t="shared" si="311"/>
        <v>0</v>
      </c>
      <c r="AQ662" s="389">
        <f t="shared" si="312"/>
        <v>0</v>
      </c>
      <c r="AR662" s="389">
        <f t="shared" si="313"/>
        <v>0</v>
      </c>
      <c r="AS662" s="453">
        <f t="shared" si="314"/>
        <v>0</v>
      </c>
      <c r="AT662" s="452">
        <f t="shared" si="315"/>
        <v>0</v>
      </c>
    </row>
    <row r="663" spans="2:46" ht="16" x14ac:dyDescent="0.2">
      <c r="B663"/>
      <c r="H663" s="387" t="str">
        <f t="shared" si="290"/>
        <v>0-0-0</v>
      </c>
      <c r="I663" s="389">
        <f t="shared" si="291"/>
        <v>0</v>
      </c>
      <c r="J663" s="455" t="str">
        <f t="shared" si="316"/>
        <v/>
      </c>
      <c r="K663" s="455">
        <f t="shared" si="292"/>
        <v>0</v>
      </c>
      <c r="L663" s="455">
        <f t="shared" si="317"/>
        <v>0</v>
      </c>
      <c r="M663" s="389" t="str">
        <f>IFERROR(IF(AD663&lt;=VLOOKUP(D663,Tournaments!$A$1:$B$1772,2,FALSE),"TRUE","FALSE"),"")</f>
        <v/>
      </c>
      <c r="N663" s="389">
        <v>1</v>
      </c>
      <c r="O663" s="389">
        <f t="shared" si="293"/>
        <v>0</v>
      </c>
      <c r="Q663" s="389">
        <f t="shared" si="294"/>
        <v>0</v>
      </c>
      <c r="R663" s="389">
        <f t="shared" si="295"/>
        <v>0</v>
      </c>
      <c r="S663" s="389">
        <f t="shared" si="296"/>
        <v>0</v>
      </c>
      <c r="U663" s="389">
        <f t="shared" si="297"/>
        <v>0</v>
      </c>
      <c r="V663" s="389" t="b">
        <f t="shared" si="298"/>
        <v>0</v>
      </c>
      <c r="W663" s="389">
        <f t="shared" si="299"/>
        <v>0</v>
      </c>
      <c r="X663" s="389">
        <f t="shared" si="300"/>
        <v>0</v>
      </c>
      <c r="Y663" s="389">
        <f t="shared" si="318"/>
        <v>1.0999999999999999E-2</v>
      </c>
      <c r="Z663" s="389">
        <f t="shared" si="301"/>
        <v>1.0999999999999999E-2</v>
      </c>
      <c r="AA663" s="389">
        <f t="shared" si="302"/>
        <v>0</v>
      </c>
      <c r="AB663" s="389">
        <f t="shared" si="303"/>
        <v>1E-4</v>
      </c>
      <c r="AC663" s="389">
        <f t="shared" si="304"/>
        <v>1E-4</v>
      </c>
      <c r="AD663" s="389">
        <f t="shared" si="305"/>
        <v>0</v>
      </c>
      <c r="AE663" s="389">
        <f t="shared" si="306"/>
        <v>0</v>
      </c>
      <c r="AG663" s="311" t="str">
        <f t="shared" si="307"/>
        <v>-</v>
      </c>
      <c r="AH663" s="453" t="str">
        <f t="shared" si="308"/>
        <v/>
      </c>
      <c r="AI663" s="453" t="str">
        <f t="shared" si="309"/>
        <v/>
      </c>
      <c r="AJ663" t="str">
        <f t="array" ref="AJ663">IF(AND(AI663&gt;1,G663&lt;&gt;""),INDEX(FS_teams,MATCH(1,(FS_Keys=AG663)*(FS_Points=I663)*(FS_teams&lt;&gt;G663),0)),"")</f>
        <v/>
      </c>
      <c r="AK663" s="390" t="str">
        <f t="array" ref="AK663">IF(AJ663&lt;&gt;"",INDEX(TM_Score1,MATCH(1,(TM_Events=D663)*(TM_Participant1=G663)*(TM_Participant2=AJ663),0)),"")</f>
        <v/>
      </c>
      <c r="AL663" s="390" t="str">
        <f t="array" ref="AL663">IF(AJ663&lt;&gt;"",INDEX(TM_Score1,MATCH(1,(TM_Events=D663)*(TM_Participant1=AJ663)*(TM_Participant2=G663),0)),"")</f>
        <v/>
      </c>
      <c r="AM663" s="389" t="str">
        <f t="array" ref="AM663">IF(ISNUMBER(AK663),INDEX(TM_Score2,MATCH(1,(TM_Events=D663)*(TM_Participant1=G663)*(TM_Participant2=AJ663),0)),"")</f>
        <v/>
      </c>
      <c r="AN663" s="389" t="str">
        <f t="array" ref="AN663">IF(ISNUMBER(AL663),INDEX(TM_Score2,MATCH(1,(TM_Events=D663)*(TM_Participant1=AJ663)*(TM_Participant2=G663),0)),"")</f>
        <v/>
      </c>
      <c r="AO663" s="389" t="str">
        <f t="shared" si="310"/>
        <v/>
      </c>
      <c r="AP663" s="389">
        <f t="shared" si="311"/>
        <v>0</v>
      </c>
      <c r="AQ663" s="389">
        <f t="shared" si="312"/>
        <v>0</v>
      </c>
      <c r="AR663" s="389">
        <f t="shared" si="313"/>
        <v>0</v>
      </c>
      <c r="AS663" s="453">
        <f t="shared" si="314"/>
        <v>0</v>
      </c>
      <c r="AT663" s="452">
        <f t="shared" si="315"/>
        <v>0</v>
      </c>
    </row>
    <row r="664" spans="2:46" ht="16" x14ac:dyDescent="0.2">
      <c r="B664"/>
      <c r="H664" s="387" t="str">
        <f t="shared" si="290"/>
        <v>0-0-0</v>
      </c>
      <c r="I664" s="389">
        <f t="shared" si="291"/>
        <v>0</v>
      </c>
      <c r="J664" s="455" t="str">
        <f t="shared" si="316"/>
        <v/>
      </c>
      <c r="K664" s="455">
        <f t="shared" si="292"/>
        <v>0</v>
      </c>
      <c r="L664" s="455">
        <f t="shared" si="317"/>
        <v>0</v>
      </c>
      <c r="M664" s="389" t="str">
        <f>IFERROR(IF(AD664&lt;=VLOOKUP(D664,Tournaments!$A$1:$B$1772,2,FALSE),"TRUE","FALSE"),"")</f>
        <v/>
      </c>
      <c r="N664" s="389">
        <v>1</v>
      </c>
      <c r="O664" s="389">
        <f t="shared" si="293"/>
        <v>0</v>
      </c>
      <c r="Q664" s="389">
        <f t="shared" si="294"/>
        <v>0</v>
      </c>
      <c r="R664" s="389">
        <f t="shared" si="295"/>
        <v>0</v>
      </c>
      <c r="S664" s="389">
        <f t="shared" si="296"/>
        <v>0</v>
      </c>
      <c r="U664" s="389">
        <f t="shared" si="297"/>
        <v>0</v>
      </c>
      <c r="V664" s="389" t="b">
        <f t="shared" si="298"/>
        <v>0</v>
      </c>
      <c r="W664" s="389">
        <f t="shared" si="299"/>
        <v>0</v>
      </c>
      <c r="X664" s="389">
        <f t="shared" si="300"/>
        <v>0</v>
      </c>
      <c r="Y664" s="389">
        <f t="shared" si="318"/>
        <v>1.0999999999999999E-2</v>
      </c>
      <c r="Z664" s="389">
        <f t="shared" si="301"/>
        <v>1.0999999999999999E-2</v>
      </c>
      <c r="AA664" s="389">
        <f t="shared" si="302"/>
        <v>0</v>
      </c>
      <c r="AB664" s="389">
        <f t="shared" si="303"/>
        <v>1E-4</v>
      </c>
      <c r="AC664" s="389">
        <f t="shared" si="304"/>
        <v>1E-4</v>
      </c>
      <c r="AD664" s="389">
        <f t="shared" si="305"/>
        <v>0</v>
      </c>
      <c r="AE664" s="389">
        <f t="shared" si="306"/>
        <v>0</v>
      </c>
      <c r="AG664" s="311" t="str">
        <f t="shared" si="307"/>
        <v>-</v>
      </c>
      <c r="AH664" s="453" t="str">
        <f t="shared" si="308"/>
        <v/>
      </c>
      <c r="AI664" s="453" t="str">
        <f t="shared" si="309"/>
        <v/>
      </c>
      <c r="AJ664" t="str">
        <f t="array" ref="AJ664">IF(AND(AI664&gt;1,G664&lt;&gt;""),INDEX(FS_teams,MATCH(1,(FS_Keys=AG664)*(FS_Points=I664)*(FS_teams&lt;&gt;G664),0)),"")</f>
        <v/>
      </c>
      <c r="AK664" s="390" t="str">
        <f t="array" ref="AK664">IF(AJ664&lt;&gt;"",INDEX(TM_Score1,MATCH(1,(TM_Events=D664)*(TM_Participant1=G664)*(TM_Participant2=AJ664),0)),"")</f>
        <v/>
      </c>
      <c r="AL664" s="390" t="str">
        <f t="array" ref="AL664">IF(AJ664&lt;&gt;"",INDEX(TM_Score1,MATCH(1,(TM_Events=D664)*(TM_Participant1=AJ664)*(TM_Participant2=G664),0)),"")</f>
        <v/>
      </c>
      <c r="AM664" s="389" t="str">
        <f t="array" ref="AM664">IF(ISNUMBER(AK664),INDEX(TM_Score2,MATCH(1,(TM_Events=D664)*(TM_Participant1=G664)*(TM_Participant2=AJ664),0)),"")</f>
        <v/>
      </c>
      <c r="AN664" s="389" t="str">
        <f t="array" ref="AN664">IF(ISNUMBER(AL664),INDEX(TM_Score2,MATCH(1,(TM_Events=D664)*(TM_Participant1=AJ664)*(TM_Participant2=G664),0)),"")</f>
        <v/>
      </c>
      <c r="AO664" s="389" t="str">
        <f t="shared" si="310"/>
        <v/>
      </c>
      <c r="AP664" s="389">
        <f t="shared" si="311"/>
        <v>0</v>
      </c>
      <c r="AQ664" s="389">
        <f t="shared" si="312"/>
        <v>0</v>
      </c>
      <c r="AR664" s="389">
        <f t="shared" si="313"/>
        <v>0</v>
      </c>
      <c r="AS664" s="453">
        <f t="shared" si="314"/>
        <v>0</v>
      </c>
      <c r="AT664" s="452">
        <f t="shared" si="315"/>
        <v>0</v>
      </c>
    </row>
    <row r="665" spans="2:46" ht="16" x14ac:dyDescent="0.2">
      <c r="B665"/>
      <c r="H665" s="387" t="str">
        <f t="shared" si="290"/>
        <v>0-0-0</v>
      </c>
      <c r="I665" s="389">
        <f t="shared" si="291"/>
        <v>0</v>
      </c>
      <c r="J665" s="455" t="str">
        <f t="shared" si="316"/>
        <v/>
      </c>
      <c r="K665" s="455">
        <f t="shared" si="292"/>
        <v>0</v>
      </c>
      <c r="L665" s="455">
        <f t="shared" si="317"/>
        <v>0</v>
      </c>
      <c r="M665" s="389" t="str">
        <f>IFERROR(IF(AD665&lt;=VLOOKUP(D665,Tournaments!$A$1:$B$1772,2,FALSE),"TRUE","FALSE"),"")</f>
        <v/>
      </c>
      <c r="N665" s="389">
        <v>1</v>
      </c>
      <c r="O665" s="389">
        <f t="shared" si="293"/>
        <v>0</v>
      </c>
      <c r="Q665" s="389">
        <f t="shared" si="294"/>
        <v>0</v>
      </c>
      <c r="R665" s="389">
        <f t="shared" si="295"/>
        <v>0</v>
      </c>
      <c r="S665" s="389">
        <f t="shared" si="296"/>
        <v>0</v>
      </c>
      <c r="U665" s="389">
        <f t="shared" si="297"/>
        <v>0</v>
      </c>
      <c r="V665" s="389" t="b">
        <f t="shared" si="298"/>
        <v>0</v>
      </c>
      <c r="W665" s="389">
        <f t="shared" si="299"/>
        <v>0</v>
      </c>
      <c r="X665" s="389">
        <f t="shared" si="300"/>
        <v>0</v>
      </c>
      <c r="Y665" s="389">
        <f t="shared" si="318"/>
        <v>1.0999999999999999E-2</v>
      </c>
      <c r="Z665" s="389">
        <f t="shared" si="301"/>
        <v>1.0999999999999999E-2</v>
      </c>
      <c r="AA665" s="389">
        <f t="shared" si="302"/>
        <v>0</v>
      </c>
      <c r="AB665" s="389">
        <f t="shared" si="303"/>
        <v>1E-4</v>
      </c>
      <c r="AC665" s="389">
        <f t="shared" si="304"/>
        <v>1E-4</v>
      </c>
      <c r="AD665" s="389">
        <f t="shared" si="305"/>
        <v>0</v>
      </c>
      <c r="AE665" s="389">
        <f t="shared" si="306"/>
        <v>0</v>
      </c>
      <c r="AG665" s="311" t="str">
        <f t="shared" si="307"/>
        <v>-</v>
      </c>
      <c r="AH665" s="453" t="str">
        <f t="shared" si="308"/>
        <v/>
      </c>
      <c r="AI665" s="453" t="str">
        <f t="shared" si="309"/>
        <v/>
      </c>
      <c r="AJ665" t="str">
        <f t="array" ref="AJ665">IF(AND(AI665&gt;1,G665&lt;&gt;""),INDEX(FS_teams,MATCH(1,(FS_Keys=AG665)*(FS_Points=I665)*(FS_teams&lt;&gt;G665),0)),"")</f>
        <v/>
      </c>
      <c r="AK665" s="390" t="str">
        <f t="array" ref="AK665">IF(AJ665&lt;&gt;"",INDEX(TM_Score1,MATCH(1,(TM_Events=D665)*(TM_Participant1=G665)*(TM_Participant2=AJ665),0)),"")</f>
        <v/>
      </c>
      <c r="AL665" s="390" t="str">
        <f t="array" ref="AL665">IF(AJ665&lt;&gt;"",INDEX(TM_Score1,MATCH(1,(TM_Events=D665)*(TM_Participant1=AJ665)*(TM_Participant2=G665),0)),"")</f>
        <v/>
      </c>
      <c r="AM665" s="389" t="str">
        <f t="array" ref="AM665">IF(ISNUMBER(AK665),INDEX(TM_Score2,MATCH(1,(TM_Events=D665)*(TM_Participant1=G665)*(TM_Participant2=AJ665),0)),"")</f>
        <v/>
      </c>
      <c r="AN665" s="389" t="str">
        <f t="array" ref="AN665">IF(ISNUMBER(AL665),INDEX(TM_Score2,MATCH(1,(TM_Events=D665)*(TM_Participant1=AJ665)*(TM_Participant2=G665),0)),"")</f>
        <v/>
      </c>
      <c r="AO665" s="389" t="str">
        <f t="shared" si="310"/>
        <v/>
      </c>
      <c r="AP665" s="389">
        <f t="shared" si="311"/>
        <v>0</v>
      </c>
      <c r="AQ665" s="389">
        <f t="shared" si="312"/>
        <v>0</v>
      </c>
      <c r="AR665" s="389">
        <f t="shared" si="313"/>
        <v>0</v>
      </c>
      <c r="AS665" s="453">
        <f t="shared" si="314"/>
        <v>0</v>
      </c>
      <c r="AT665" s="452">
        <f t="shared" si="315"/>
        <v>0</v>
      </c>
    </row>
    <row r="666" spans="2:46" ht="16" x14ac:dyDescent="0.2">
      <c r="B666"/>
      <c r="H666" s="387" t="str">
        <f t="shared" si="290"/>
        <v>0-0-0</v>
      </c>
      <c r="I666" s="389">
        <f t="shared" si="291"/>
        <v>0</v>
      </c>
      <c r="J666" s="455" t="str">
        <f t="shared" si="316"/>
        <v/>
      </c>
      <c r="K666" s="455">
        <f t="shared" si="292"/>
        <v>0</v>
      </c>
      <c r="L666" s="455">
        <f t="shared" si="317"/>
        <v>0</v>
      </c>
      <c r="M666" s="389" t="str">
        <f>IFERROR(IF(AD666&lt;=VLOOKUP(D666,Tournaments!$A$1:$B$1772,2,FALSE),"TRUE","FALSE"),"")</f>
        <v/>
      </c>
      <c r="N666" s="389">
        <v>1</v>
      </c>
      <c r="O666" s="389">
        <f t="shared" si="293"/>
        <v>0</v>
      </c>
      <c r="Q666" s="389">
        <f t="shared" si="294"/>
        <v>0</v>
      </c>
      <c r="R666" s="389">
        <f t="shared" si="295"/>
        <v>0</v>
      </c>
      <c r="S666" s="389">
        <f t="shared" si="296"/>
        <v>0</v>
      </c>
      <c r="U666" s="389">
        <f t="shared" si="297"/>
        <v>0</v>
      </c>
      <c r="V666" s="389" t="b">
        <f t="shared" si="298"/>
        <v>0</v>
      </c>
      <c r="W666" s="389">
        <f t="shared" si="299"/>
        <v>0</v>
      </c>
      <c r="X666" s="389">
        <f t="shared" si="300"/>
        <v>0</v>
      </c>
      <c r="Y666" s="389">
        <f t="shared" si="318"/>
        <v>1.0999999999999999E-2</v>
      </c>
      <c r="Z666" s="389">
        <f t="shared" si="301"/>
        <v>1.0999999999999999E-2</v>
      </c>
      <c r="AA666" s="389">
        <f t="shared" si="302"/>
        <v>0</v>
      </c>
      <c r="AB666" s="389">
        <f t="shared" si="303"/>
        <v>1E-4</v>
      </c>
      <c r="AC666" s="389">
        <f t="shared" si="304"/>
        <v>1E-4</v>
      </c>
      <c r="AD666" s="389">
        <f t="shared" si="305"/>
        <v>0</v>
      </c>
      <c r="AE666" s="389">
        <f t="shared" si="306"/>
        <v>0</v>
      </c>
      <c r="AG666" s="311" t="str">
        <f t="shared" si="307"/>
        <v>-</v>
      </c>
      <c r="AH666" s="453" t="str">
        <f t="shared" si="308"/>
        <v/>
      </c>
      <c r="AI666" s="453" t="str">
        <f t="shared" si="309"/>
        <v/>
      </c>
      <c r="AJ666" t="str">
        <f t="array" ref="AJ666">IF(AND(AI666&gt;1,G666&lt;&gt;""),INDEX(FS_teams,MATCH(1,(FS_Keys=AG666)*(FS_Points=I666)*(FS_teams&lt;&gt;G666),0)),"")</f>
        <v/>
      </c>
      <c r="AK666" s="390" t="str">
        <f t="array" ref="AK666">IF(AJ666&lt;&gt;"",INDEX(TM_Score1,MATCH(1,(TM_Events=D666)*(TM_Participant1=G666)*(TM_Participant2=AJ666),0)),"")</f>
        <v/>
      </c>
      <c r="AL666" s="390" t="str">
        <f t="array" ref="AL666">IF(AJ666&lt;&gt;"",INDEX(TM_Score1,MATCH(1,(TM_Events=D666)*(TM_Participant1=AJ666)*(TM_Participant2=G666),0)),"")</f>
        <v/>
      </c>
      <c r="AM666" s="389" t="str">
        <f t="array" ref="AM666">IF(ISNUMBER(AK666),INDEX(TM_Score2,MATCH(1,(TM_Events=D666)*(TM_Participant1=G666)*(TM_Participant2=AJ666),0)),"")</f>
        <v/>
      </c>
      <c r="AN666" s="389" t="str">
        <f t="array" ref="AN666">IF(ISNUMBER(AL666),INDEX(TM_Score2,MATCH(1,(TM_Events=D666)*(TM_Participant1=AJ666)*(TM_Participant2=G666),0)),"")</f>
        <v/>
      </c>
      <c r="AO666" s="389" t="str">
        <f t="shared" si="310"/>
        <v/>
      </c>
      <c r="AP666" s="389">
        <f t="shared" si="311"/>
        <v>0</v>
      </c>
      <c r="AQ666" s="389">
        <f t="shared" si="312"/>
        <v>0</v>
      </c>
      <c r="AR666" s="389">
        <f t="shared" si="313"/>
        <v>0</v>
      </c>
      <c r="AS666" s="453">
        <f t="shared" si="314"/>
        <v>0</v>
      </c>
      <c r="AT666" s="452">
        <f t="shared" si="315"/>
        <v>0</v>
      </c>
    </row>
    <row r="667" spans="2:46" ht="16" x14ac:dyDescent="0.2">
      <c r="B667"/>
      <c r="H667" s="387" t="str">
        <f t="shared" si="290"/>
        <v>0-0-0</v>
      </c>
      <c r="I667" s="389">
        <f t="shared" si="291"/>
        <v>0</v>
      </c>
      <c r="J667" s="455" t="str">
        <f t="shared" si="316"/>
        <v/>
      </c>
      <c r="K667" s="455">
        <f t="shared" si="292"/>
        <v>0</v>
      </c>
      <c r="L667" s="455">
        <f t="shared" si="317"/>
        <v>0</v>
      </c>
      <c r="M667" s="389" t="str">
        <f>IFERROR(IF(AD667&lt;=VLOOKUP(D667,Tournaments!$A$1:$B$1772,2,FALSE),"TRUE","FALSE"),"")</f>
        <v/>
      </c>
      <c r="N667" s="389">
        <v>1</v>
      </c>
      <c r="O667" s="389">
        <f t="shared" si="293"/>
        <v>0</v>
      </c>
      <c r="Q667" s="389">
        <f t="shared" si="294"/>
        <v>0</v>
      </c>
      <c r="R667" s="389">
        <f t="shared" si="295"/>
        <v>0</v>
      </c>
      <c r="S667" s="389">
        <f t="shared" si="296"/>
        <v>0</v>
      </c>
      <c r="U667" s="389">
        <f t="shared" si="297"/>
        <v>0</v>
      </c>
      <c r="V667" s="389" t="b">
        <f t="shared" si="298"/>
        <v>0</v>
      </c>
      <c r="W667" s="389">
        <f t="shared" si="299"/>
        <v>0</v>
      </c>
      <c r="X667" s="389">
        <f t="shared" si="300"/>
        <v>0</v>
      </c>
      <c r="Y667" s="389">
        <f t="shared" si="318"/>
        <v>1.0999999999999999E-2</v>
      </c>
      <c r="Z667" s="389">
        <f t="shared" si="301"/>
        <v>1.0999999999999999E-2</v>
      </c>
      <c r="AA667" s="389">
        <f t="shared" si="302"/>
        <v>0</v>
      </c>
      <c r="AB667" s="389">
        <f t="shared" si="303"/>
        <v>1E-4</v>
      </c>
      <c r="AC667" s="389">
        <f t="shared" si="304"/>
        <v>1E-4</v>
      </c>
      <c r="AD667" s="389">
        <f t="shared" si="305"/>
        <v>0</v>
      </c>
      <c r="AE667" s="389">
        <f t="shared" si="306"/>
        <v>0</v>
      </c>
      <c r="AG667" s="311" t="str">
        <f t="shared" si="307"/>
        <v>-</v>
      </c>
      <c r="AH667" s="453" t="str">
        <f t="shared" si="308"/>
        <v/>
      </c>
      <c r="AI667" s="453" t="str">
        <f t="shared" si="309"/>
        <v/>
      </c>
      <c r="AJ667" t="str">
        <f t="array" ref="AJ667">IF(AND(AI667&gt;1,G667&lt;&gt;""),INDEX(FS_teams,MATCH(1,(FS_Keys=AG667)*(FS_Points=I667)*(FS_teams&lt;&gt;G667),0)),"")</f>
        <v/>
      </c>
      <c r="AK667" s="390" t="str">
        <f t="array" ref="AK667">IF(AJ667&lt;&gt;"",INDEX(TM_Score1,MATCH(1,(TM_Events=D667)*(TM_Participant1=G667)*(TM_Participant2=AJ667),0)),"")</f>
        <v/>
      </c>
      <c r="AL667" s="390" t="str">
        <f t="array" ref="AL667">IF(AJ667&lt;&gt;"",INDEX(TM_Score1,MATCH(1,(TM_Events=D667)*(TM_Participant1=AJ667)*(TM_Participant2=G667),0)),"")</f>
        <v/>
      </c>
      <c r="AM667" s="389" t="str">
        <f t="array" ref="AM667">IF(ISNUMBER(AK667),INDEX(TM_Score2,MATCH(1,(TM_Events=D667)*(TM_Participant1=G667)*(TM_Participant2=AJ667),0)),"")</f>
        <v/>
      </c>
      <c r="AN667" s="389" t="str">
        <f t="array" ref="AN667">IF(ISNUMBER(AL667),INDEX(TM_Score2,MATCH(1,(TM_Events=D667)*(TM_Participant1=AJ667)*(TM_Participant2=G667),0)),"")</f>
        <v/>
      </c>
      <c r="AO667" s="389" t="str">
        <f t="shared" si="310"/>
        <v/>
      </c>
      <c r="AP667" s="389">
        <f t="shared" si="311"/>
        <v>0</v>
      </c>
      <c r="AQ667" s="389">
        <f t="shared" si="312"/>
        <v>0</v>
      </c>
      <c r="AR667" s="389">
        <f t="shared" si="313"/>
        <v>0</v>
      </c>
      <c r="AS667" s="453">
        <f t="shared" si="314"/>
        <v>0</v>
      </c>
      <c r="AT667" s="452">
        <f t="shared" si="315"/>
        <v>0</v>
      </c>
    </row>
    <row r="668" spans="2:46" ht="16" x14ac:dyDescent="0.2">
      <c r="B668"/>
      <c r="H668" s="387" t="str">
        <f t="shared" si="290"/>
        <v>0-0-0</v>
      </c>
      <c r="I668" s="389">
        <f t="shared" si="291"/>
        <v>0</v>
      </c>
      <c r="J668" s="455" t="str">
        <f t="shared" si="316"/>
        <v/>
      </c>
      <c r="K668" s="455">
        <f t="shared" si="292"/>
        <v>0</v>
      </c>
      <c r="L668" s="455">
        <f t="shared" si="317"/>
        <v>0</v>
      </c>
      <c r="M668" s="389" t="str">
        <f>IFERROR(IF(AD668&lt;=VLOOKUP(D668,Tournaments!$A$1:$B$1772,2,FALSE),"TRUE","FALSE"),"")</f>
        <v/>
      </c>
      <c r="N668" s="389">
        <v>1</v>
      </c>
      <c r="O668" s="389">
        <f t="shared" si="293"/>
        <v>0</v>
      </c>
      <c r="Q668" s="389">
        <f t="shared" si="294"/>
        <v>0</v>
      </c>
      <c r="R668" s="389">
        <f t="shared" si="295"/>
        <v>0</v>
      </c>
      <c r="S668" s="389">
        <f t="shared" si="296"/>
        <v>0</v>
      </c>
      <c r="U668" s="389">
        <f t="shared" si="297"/>
        <v>0</v>
      </c>
      <c r="V668" s="389" t="b">
        <f t="shared" si="298"/>
        <v>0</v>
      </c>
      <c r="W668" s="389">
        <f t="shared" si="299"/>
        <v>0</v>
      </c>
      <c r="X668" s="389">
        <f t="shared" si="300"/>
        <v>0</v>
      </c>
      <c r="Y668" s="389">
        <f t="shared" si="318"/>
        <v>1.0999999999999999E-2</v>
      </c>
      <c r="Z668" s="389">
        <f t="shared" si="301"/>
        <v>1.0999999999999999E-2</v>
      </c>
      <c r="AA668" s="389">
        <f t="shared" si="302"/>
        <v>0</v>
      </c>
      <c r="AB668" s="389">
        <f t="shared" si="303"/>
        <v>1E-4</v>
      </c>
      <c r="AC668" s="389">
        <f t="shared" si="304"/>
        <v>1E-4</v>
      </c>
      <c r="AD668" s="389">
        <f t="shared" si="305"/>
        <v>0</v>
      </c>
      <c r="AE668" s="389">
        <f t="shared" si="306"/>
        <v>0</v>
      </c>
      <c r="AG668" s="311" t="str">
        <f t="shared" si="307"/>
        <v>-</v>
      </c>
      <c r="AH668" s="453" t="str">
        <f t="shared" si="308"/>
        <v/>
      </c>
      <c r="AI668" s="453" t="str">
        <f t="shared" si="309"/>
        <v/>
      </c>
      <c r="AJ668" t="str">
        <f t="array" ref="AJ668">IF(AND(AI668&gt;1,G668&lt;&gt;""),INDEX(FS_teams,MATCH(1,(FS_Keys=AG668)*(FS_Points=I668)*(FS_teams&lt;&gt;G668),0)),"")</f>
        <v/>
      </c>
      <c r="AK668" s="390" t="str">
        <f t="array" ref="AK668">IF(AJ668&lt;&gt;"",INDEX(TM_Score1,MATCH(1,(TM_Events=D668)*(TM_Participant1=G668)*(TM_Participant2=AJ668),0)),"")</f>
        <v/>
      </c>
      <c r="AL668" s="390" t="str">
        <f t="array" ref="AL668">IF(AJ668&lt;&gt;"",INDEX(TM_Score1,MATCH(1,(TM_Events=D668)*(TM_Participant1=AJ668)*(TM_Participant2=G668),0)),"")</f>
        <v/>
      </c>
      <c r="AM668" s="389" t="str">
        <f t="array" ref="AM668">IF(ISNUMBER(AK668),INDEX(TM_Score2,MATCH(1,(TM_Events=D668)*(TM_Participant1=G668)*(TM_Participant2=AJ668),0)),"")</f>
        <v/>
      </c>
      <c r="AN668" s="389" t="str">
        <f t="array" ref="AN668">IF(ISNUMBER(AL668),INDEX(TM_Score2,MATCH(1,(TM_Events=D668)*(TM_Participant1=AJ668)*(TM_Participant2=G668),0)),"")</f>
        <v/>
      </c>
      <c r="AO668" s="389" t="str">
        <f t="shared" si="310"/>
        <v/>
      </c>
      <c r="AP668" s="389">
        <f t="shared" si="311"/>
        <v>0</v>
      </c>
      <c r="AQ668" s="389">
        <f t="shared" si="312"/>
        <v>0</v>
      </c>
      <c r="AR668" s="389">
        <f t="shared" si="313"/>
        <v>0</v>
      </c>
      <c r="AS668" s="453">
        <f t="shared" si="314"/>
        <v>0</v>
      </c>
      <c r="AT668" s="452">
        <f t="shared" si="315"/>
        <v>0</v>
      </c>
    </row>
    <row r="669" spans="2:46" ht="16" x14ac:dyDescent="0.2">
      <c r="B669"/>
      <c r="H669" s="387" t="str">
        <f t="shared" si="290"/>
        <v>0-0-0</v>
      </c>
      <c r="I669" s="389">
        <f t="shared" si="291"/>
        <v>0</v>
      </c>
      <c r="J669" s="455" t="str">
        <f t="shared" si="316"/>
        <v/>
      </c>
      <c r="K669" s="455">
        <f t="shared" si="292"/>
        <v>0</v>
      </c>
      <c r="L669" s="455">
        <f t="shared" si="317"/>
        <v>0</v>
      </c>
      <c r="M669" s="389" t="str">
        <f>IFERROR(IF(AD669&lt;=VLOOKUP(D669,Tournaments!$A$1:$B$1772,2,FALSE),"TRUE","FALSE"),"")</f>
        <v/>
      </c>
      <c r="N669" s="389">
        <v>1</v>
      </c>
      <c r="O669" s="389">
        <f t="shared" si="293"/>
        <v>0</v>
      </c>
      <c r="Q669" s="389">
        <f t="shared" si="294"/>
        <v>0</v>
      </c>
      <c r="R669" s="389">
        <f t="shared" si="295"/>
        <v>0</v>
      </c>
      <c r="S669" s="389">
        <f t="shared" si="296"/>
        <v>0</v>
      </c>
      <c r="U669" s="389">
        <f t="shared" si="297"/>
        <v>0</v>
      </c>
      <c r="V669" s="389" t="b">
        <f t="shared" si="298"/>
        <v>0</v>
      </c>
      <c r="W669" s="389">
        <f t="shared" si="299"/>
        <v>0</v>
      </c>
      <c r="X669" s="389">
        <f t="shared" si="300"/>
        <v>0</v>
      </c>
      <c r="Y669" s="389">
        <f t="shared" si="318"/>
        <v>1.0999999999999999E-2</v>
      </c>
      <c r="Z669" s="389">
        <f t="shared" si="301"/>
        <v>1.0999999999999999E-2</v>
      </c>
      <c r="AA669" s="389">
        <f t="shared" si="302"/>
        <v>0</v>
      </c>
      <c r="AB669" s="389">
        <f t="shared" si="303"/>
        <v>1E-4</v>
      </c>
      <c r="AC669" s="389">
        <f t="shared" si="304"/>
        <v>1E-4</v>
      </c>
      <c r="AD669" s="389">
        <f t="shared" si="305"/>
        <v>0</v>
      </c>
      <c r="AE669" s="389">
        <f t="shared" si="306"/>
        <v>0</v>
      </c>
      <c r="AG669" s="311" t="str">
        <f t="shared" si="307"/>
        <v>-</v>
      </c>
      <c r="AH669" s="453" t="str">
        <f t="shared" si="308"/>
        <v/>
      </c>
      <c r="AI669" s="453" t="str">
        <f t="shared" si="309"/>
        <v/>
      </c>
      <c r="AJ669" t="str">
        <f t="array" ref="AJ669">IF(AND(AI669&gt;1,G669&lt;&gt;""),INDEX(FS_teams,MATCH(1,(FS_Keys=AG669)*(FS_Points=I669)*(FS_teams&lt;&gt;G669),0)),"")</f>
        <v/>
      </c>
      <c r="AK669" s="390" t="str">
        <f t="array" ref="AK669">IF(AJ669&lt;&gt;"",INDEX(TM_Score1,MATCH(1,(TM_Events=D669)*(TM_Participant1=G669)*(TM_Participant2=AJ669),0)),"")</f>
        <v/>
      </c>
      <c r="AL669" s="390" t="str">
        <f t="array" ref="AL669">IF(AJ669&lt;&gt;"",INDEX(TM_Score1,MATCH(1,(TM_Events=D669)*(TM_Participant1=AJ669)*(TM_Participant2=G669),0)),"")</f>
        <v/>
      </c>
      <c r="AM669" s="389" t="str">
        <f t="array" ref="AM669">IF(ISNUMBER(AK669),INDEX(TM_Score2,MATCH(1,(TM_Events=D669)*(TM_Participant1=G669)*(TM_Participant2=AJ669),0)),"")</f>
        <v/>
      </c>
      <c r="AN669" s="389" t="str">
        <f t="array" ref="AN669">IF(ISNUMBER(AL669),INDEX(TM_Score2,MATCH(1,(TM_Events=D669)*(TM_Participant1=AJ669)*(TM_Participant2=G669),0)),"")</f>
        <v/>
      </c>
      <c r="AO669" s="389" t="str">
        <f t="shared" si="310"/>
        <v/>
      </c>
      <c r="AP669" s="389">
        <f t="shared" si="311"/>
        <v>0</v>
      </c>
      <c r="AQ669" s="389">
        <f t="shared" si="312"/>
        <v>0</v>
      </c>
      <c r="AR669" s="389">
        <f t="shared" si="313"/>
        <v>0</v>
      </c>
      <c r="AS669" s="453">
        <f t="shared" si="314"/>
        <v>0</v>
      </c>
      <c r="AT669" s="452">
        <f t="shared" si="315"/>
        <v>0</v>
      </c>
    </row>
    <row r="670" spans="2:46" ht="16" x14ac:dyDescent="0.2">
      <c r="B670"/>
      <c r="H670" s="387" t="str">
        <f t="shared" si="290"/>
        <v>0-0-0</v>
      </c>
      <c r="I670" s="389">
        <f t="shared" si="291"/>
        <v>0</v>
      </c>
      <c r="J670" s="455" t="str">
        <f t="shared" si="316"/>
        <v/>
      </c>
      <c r="K670" s="455">
        <f t="shared" si="292"/>
        <v>0</v>
      </c>
      <c r="L670" s="455">
        <f t="shared" si="317"/>
        <v>0</v>
      </c>
      <c r="M670" s="389" t="str">
        <f>IFERROR(IF(AD670&lt;=VLOOKUP(D670,Tournaments!$A$1:$B$1772,2,FALSE),"TRUE","FALSE"),"")</f>
        <v/>
      </c>
      <c r="N670" s="389">
        <v>1</v>
      </c>
      <c r="O670" s="389">
        <f t="shared" si="293"/>
        <v>0</v>
      </c>
      <c r="Q670" s="389">
        <f t="shared" si="294"/>
        <v>0</v>
      </c>
      <c r="R670" s="389">
        <f t="shared" si="295"/>
        <v>0</v>
      </c>
      <c r="S670" s="389">
        <f t="shared" si="296"/>
        <v>0</v>
      </c>
      <c r="U670" s="389">
        <f t="shared" si="297"/>
        <v>0</v>
      </c>
      <c r="V670" s="389" t="b">
        <f t="shared" si="298"/>
        <v>0</v>
      </c>
      <c r="W670" s="389">
        <f t="shared" si="299"/>
        <v>0</v>
      </c>
      <c r="X670" s="389">
        <f t="shared" si="300"/>
        <v>0</v>
      </c>
      <c r="Y670" s="389">
        <f t="shared" si="318"/>
        <v>1.0999999999999999E-2</v>
      </c>
      <c r="Z670" s="389">
        <f t="shared" si="301"/>
        <v>1.0999999999999999E-2</v>
      </c>
      <c r="AA670" s="389">
        <f t="shared" si="302"/>
        <v>0</v>
      </c>
      <c r="AB670" s="389">
        <f t="shared" si="303"/>
        <v>1E-4</v>
      </c>
      <c r="AC670" s="389">
        <f t="shared" si="304"/>
        <v>1E-4</v>
      </c>
      <c r="AD670" s="389">
        <f t="shared" si="305"/>
        <v>0</v>
      </c>
      <c r="AE670" s="389">
        <f t="shared" si="306"/>
        <v>0</v>
      </c>
      <c r="AG670" s="311" t="str">
        <f t="shared" si="307"/>
        <v>-</v>
      </c>
      <c r="AH670" s="453" t="str">
        <f t="shared" si="308"/>
        <v/>
      </c>
      <c r="AI670" s="453" t="str">
        <f t="shared" si="309"/>
        <v/>
      </c>
      <c r="AJ670" t="str">
        <f t="array" ref="AJ670">IF(AND(AI670&gt;1,G670&lt;&gt;""),INDEX(FS_teams,MATCH(1,(FS_Keys=AG670)*(FS_Points=I670)*(FS_teams&lt;&gt;G670),0)),"")</f>
        <v/>
      </c>
      <c r="AK670" s="390" t="str">
        <f t="array" ref="AK670">IF(AJ670&lt;&gt;"",INDEX(TM_Score1,MATCH(1,(TM_Events=D670)*(TM_Participant1=G670)*(TM_Participant2=AJ670),0)),"")</f>
        <v/>
      </c>
      <c r="AL670" s="390" t="str">
        <f t="array" ref="AL670">IF(AJ670&lt;&gt;"",INDEX(TM_Score1,MATCH(1,(TM_Events=D670)*(TM_Participant1=AJ670)*(TM_Participant2=G670),0)),"")</f>
        <v/>
      </c>
      <c r="AM670" s="389" t="str">
        <f t="array" ref="AM670">IF(ISNUMBER(AK670),INDEX(TM_Score2,MATCH(1,(TM_Events=D670)*(TM_Participant1=G670)*(TM_Participant2=AJ670),0)),"")</f>
        <v/>
      </c>
      <c r="AN670" s="389" t="str">
        <f t="array" ref="AN670">IF(ISNUMBER(AL670),INDEX(TM_Score2,MATCH(1,(TM_Events=D670)*(TM_Participant1=AJ670)*(TM_Participant2=G670),0)),"")</f>
        <v/>
      </c>
      <c r="AO670" s="389" t="str">
        <f t="shared" si="310"/>
        <v/>
      </c>
      <c r="AP670" s="389">
        <f t="shared" si="311"/>
        <v>0</v>
      </c>
      <c r="AQ670" s="389">
        <f t="shared" si="312"/>
        <v>0</v>
      </c>
      <c r="AR670" s="389">
        <f t="shared" si="313"/>
        <v>0</v>
      </c>
      <c r="AS670" s="453">
        <f t="shared" si="314"/>
        <v>0</v>
      </c>
      <c r="AT670" s="452">
        <f t="shared" si="315"/>
        <v>0</v>
      </c>
    </row>
    <row r="671" spans="2:46" ht="16" x14ac:dyDescent="0.2">
      <c r="B671"/>
      <c r="H671" s="387" t="str">
        <f t="shared" si="290"/>
        <v>0-0-0</v>
      </c>
      <c r="I671" s="389">
        <f t="shared" si="291"/>
        <v>0</v>
      </c>
      <c r="J671" s="455" t="str">
        <f t="shared" si="316"/>
        <v/>
      </c>
      <c r="K671" s="455">
        <f t="shared" si="292"/>
        <v>0</v>
      </c>
      <c r="L671" s="455">
        <f t="shared" si="317"/>
        <v>0</v>
      </c>
      <c r="M671" s="389" t="str">
        <f>IFERROR(IF(AD671&lt;=VLOOKUP(D671,Tournaments!$A$1:$B$1772,2,FALSE),"TRUE","FALSE"),"")</f>
        <v/>
      </c>
      <c r="N671" s="389">
        <v>1</v>
      </c>
      <c r="O671" s="389">
        <f t="shared" si="293"/>
        <v>0</v>
      </c>
      <c r="Q671" s="389">
        <f t="shared" si="294"/>
        <v>0</v>
      </c>
      <c r="R671" s="389">
        <f t="shared" si="295"/>
        <v>0</v>
      </c>
      <c r="S671" s="389">
        <f t="shared" si="296"/>
        <v>0</v>
      </c>
      <c r="U671" s="389">
        <f t="shared" si="297"/>
        <v>0</v>
      </c>
      <c r="V671" s="389" t="b">
        <f t="shared" si="298"/>
        <v>0</v>
      </c>
      <c r="W671" s="389">
        <f t="shared" si="299"/>
        <v>0</v>
      </c>
      <c r="X671" s="389">
        <f t="shared" si="300"/>
        <v>0</v>
      </c>
      <c r="Y671" s="389">
        <f t="shared" si="318"/>
        <v>1.0999999999999999E-2</v>
      </c>
      <c r="Z671" s="389">
        <f t="shared" si="301"/>
        <v>1.0999999999999999E-2</v>
      </c>
      <c r="AA671" s="389">
        <f t="shared" si="302"/>
        <v>0</v>
      </c>
      <c r="AB671" s="389">
        <f t="shared" si="303"/>
        <v>1E-4</v>
      </c>
      <c r="AC671" s="389">
        <f t="shared" si="304"/>
        <v>1E-4</v>
      </c>
      <c r="AD671" s="389">
        <f t="shared" si="305"/>
        <v>0</v>
      </c>
      <c r="AE671" s="389">
        <f t="shared" si="306"/>
        <v>0</v>
      </c>
      <c r="AG671" s="311" t="str">
        <f t="shared" si="307"/>
        <v>-</v>
      </c>
      <c r="AH671" s="453" t="str">
        <f t="shared" si="308"/>
        <v/>
      </c>
      <c r="AI671" s="453" t="str">
        <f t="shared" si="309"/>
        <v/>
      </c>
      <c r="AJ671" t="str">
        <f t="array" ref="AJ671">IF(AND(AI671&gt;1,G671&lt;&gt;""),INDEX(FS_teams,MATCH(1,(FS_Keys=AG671)*(FS_Points=I671)*(FS_teams&lt;&gt;G671),0)),"")</f>
        <v/>
      </c>
      <c r="AK671" s="390" t="str">
        <f t="array" ref="AK671">IF(AJ671&lt;&gt;"",INDEX(TM_Score1,MATCH(1,(TM_Events=D671)*(TM_Participant1=G671)*(TM_Participant2=AJ671),0)),"")</f>
        <v/>
      </c>
      <c r="AL671" s="390" t="str">
        <f t="array" ref="AL671">IF(AJ671&lt;&gt;"",INDEX(TM_Score1,MATCH(1,(TM_Events=D671)*(TM_Participant1=AJ671)*(TM_Participant2=G671),0)),"")</f>
        <v/>
      </c>
      <c r="AM671" s="389" t="str">
        <f t="array" ref="AM671">IF(ISNUMBER(AK671),INDEX(TM_Score2,MATCH(1,(TM_Events=D671)*(TM_Participant1=G671)*(TM_Participant2=AJ671),0)),"")</f>
        <v/>
      </c>
      <c r="AN671" s="389" t="str">
        <f t="array" ref="AN671">IF(ISNUMBER(AL671),INDEX(TM_Score2,MATCH(1,(TM_Events=D671)*(TM_Participant1=AJ671)*(TM_Participant2=G671),0)),"")</f>
        <v/>
      </c>
      <c r="AO671" s="389" t="str">
        <f t="shared" si="310"/>
        <v/>
      </c>
      <c r="AP671" s="389">
        <f t="shared" si="311"/>
        <v>0</v>
      </c>
      <c r="AQ671" s="389">
        <f t="shared" si="312"/>
        <v>0</v>
      </c>
      <c r="AR671" s="389">
        <f t="shared" si="313"/>
        <v>0</v>
      </c>
      <c r="AS671" s="453">
        <f t="shared" si="314"/>
        <v>0</v>
      </c>
      <c r="AT671" s="452">
        <f t="shared" si="315"/>
        <v>0</v>
      </c>
    </row>
    <row r="672" spans="2:46" ht="16" x14ac:dyDescent="0.2">
      <c r="B672"/>
      <c r="H672" s="387" t="str">
        <f t="shared" si="290"/>
        <v>0-0-0</v>
      </c>
      <c r="I672" s="389">
        <f t="shared" si="291"/>
        <v>0</v>
      </c>
      <c r="J672" s="455" t="str">
        <f t="shared" si="316"/>
        <v/>
      </c>
      <c r="K672" s="455">
        <f t="shared" si="292"/>
        <v>0</v>
      </c>
      <c r="L672" s="455">
        <f t="shared" si="317"/>
        <v>0</v>
      </c>
      <c r="M672" s="389" t="str">
        <f>IFERROR(IF(AD672&lt;=VLOOKUP(D672,Tournaments!$A$1:$B$1772,2,FALSE),"TRUE","FALSE"),"")</f>
        <v/>
      </c>
      <c r="N672" s="389">
        <v>1</v>
      </c>
      <c r="O672" s="389">
        <f t="shared" si="293"/>
        <v>0</v>
      </c>
      <c r="Q672" s="389">
        <f t="shared" si="294"/>
        <v>0</v>
      </c>
      <c r="R672" s="389">
        <f t="shared" si="295"/>
        <v>0</v>
      </c>
      <c r="S672" s="389">
        <f t="shared" si="296"/>
        <v>0</v>
      </c>
      <c r="U672" s="389">
        <f t="shared" si="297"/>
        <v>0</v>
      </c>
      <c r="V672" s="389" t="b">
        <f t="shared" si="298"/>
        <v>0</v>
      </c>
      <c r="W672" s="389">
        <f t="shared" si="299"/>
        <v>0</v>
      </c>
      <c r="X672" s="389">
        <f t="shared" si="300"/>
        <v>0</v>
      </c>
      <c r="Y672" s="389">
        <f t="shared" si="318"/>
        <v>1.0999999999999999E-2</v>
      </c>
      <c r="Z672" s="389">
        <f t="shared" si="301"/>
        <v>1.0999999999999999E-2</v>
      </c>
      <c r="AA672" s="389">
        <f t="shared" si="302"/>
        <v>0</v>
      </c>
      <c r="AB672" s="389">
        <f t="shared" si="303"/>
        <v>1E-4</v>
      </c>
      <c r="AC672" s="389">
        <f t="shared" si="304"/>
        <v>1E-4</v>
      </c>
      <c r="AD672" s="389">
        <f t="shared" si="305"/>
        <v>0</v>
      </c>
      <c r="AE672" s="389">
        <f t="shared" si="306"/>
        <v>0</v>
      </c>
      <c r="AG672" s="311" t="str">
        <f t="shared" si="307"/>
        <v>-</v>
      </c>
      <c r="AH672" s="453" t="str">
        <f t="shared" si="308"/>
        <v/>
      </c>
      <c r="AI672" s="453" t="str">
        <f t="shared" si="309"/>
        <v/>
      </c>
      <c r="AJ672" t="str">
        <f t="array" ref="AJ672">IF(AND(AI672&gt;1,G672&lt;&gt;""),INDEX(FS_teams,MATCH(1,(FS_Keys=AG672)*(FS_Points=I672)*(FS_teams&lt;&gt;G672),0)),"")</f>
        <v/>
      </c>
      <c r="AK672" s="390" t="str">
        <f t="array" ref="AK672">IF(AJ672&lt;&gt;"",INDEX(TM_Score1,MATCH(1,(TM_Events=D672)*(TM_Participant1=G672)*(TM_Participant2=AJ672),0)),"")</f>
        <v/>
      </c>
      <c r="AL672" s="390" t="str">
        <f t="array" ref="AL672">IF(AJ672&lt;&gt;"",INDEX(TM_Score1,MATCH(1,(TM_Events=D672)*(TM_Participant1=AJ672)*(TM_Participant2=G672),0)),"")</f>
        <v/>
      </c>
      <c r="AM672" s="389" t="str">
        <f t="array" ref="AM672">IF(ISNUMBER(AK672),INDEX(TM_Score2,MATCH(1,(TM_Events=D672)*(TM_Participant1=G672)*(TM_Participant2=AJ672),0)),"")</f>
        <v/>
      </c>
      <c r="AN672" s="389" t="str">
        <f t="array" ref="AN672">IF(ISNUMBER(AL672),INDEX(TM_Score2,MATCH(1,(TM_Events=D672)*(TM_Participant1=AJ672)*(TM_Participant2=G672),0)),"")</f>
        <v/>
      </c>
      <c r="AO672" s="389" t="str">
        <f t="shared" si="310"/>
        <v/>
      </c>
      <c r="AP672" s="389">
        <f t="shared" si="311"/>
        <v>0</v>
      </c>
      <c r="AQ672" s="389">
        <f t="shared" si="312"/>
        <v>0</v>
      </c>
      <c r="AR672" s="389">
        <f t="shared" si="313"/>
        <v>0</v>
      </c>
      <c r="AS672" s="453">
        <f t="shared" si="314"/>
        <v>0</v>
      </c>
      <c r="AT672" s="452">
        <f t="shared" si="315"/>
        <v>0</v>
      </c>
    </row>
    <row r="673" spans="2:46" ht="16" x14ac:dyDescent="0.2">
      <c r="B673"/>
      <c r="H673" s="387" t="str">
        <f t="shared" si="290"/>
        <v>0-0-0</v>
      </c>
      <c r="I673" s="389">
        <f t="shared" si="291"/>
        <v>0</v>
      </c>
      <c r="J673" s="455" t="str">
        <f t="shared" si="316"/>
        <v/>
      </c>
      <c r="K673" s="455">
        <f t="shared" si="292"/>
        <v>0</v>
      </c>
      <c r="L673" s="455">
        <f t="shared" si="317"/>
        <v>0</v>
      </c>
      <c r="M673" s="389" t="str">
        <f>IFERROR(IF(AD673&lt;=VLOOKUP(D673,Tournaments!$A$1:$B$1772,2,FALSE),"TRUE","FALSE"),"")</f>
        <v/>
      </c>
      <c r="N673" s="389">
        <v>1</v>
      </c>
      <c r="O673" s="389">
        <f t="shared" si="293"/>
        <v>0</v>
      </c>
      <c r="Q673" s="389">
        <f t="shared" si="294"/>
        <v>0</v>
      </c>
      <c r="R673" s="389">
        <f t="shared" si="295"/>
        <v>0</v>
      </c>
      <c r="S673" s="389">
        <f t="shared" si="296"/>
        <v>0</v>
      </c>
      <c r="U673" s="389">
        <f t="shared" si="297"/>
        <v>0</v>
      </c>
      <c r="V673" s="389" t="b">
        <f t="shared" si="298"/>
        <v>0</v>
      </c>
      <c r="W673" s="389">
        <f t="shared" si="299"/>
        <v>0</v>
      </c>
      <c r="X673" s="389">
        <f t="shared" si="300"/>
        <v>0</v>
      </c>
      <c r="Y673" s="389">
        <f t="shared" si="318"/>
        <v>1.0999999999999999E-2</v>
      </c>
      <c r="Z673" s="389">
        <f t="shared" si="301"/>
        <v>1.0999999999999999E-2</v>
      </c>
      <c r="AA673" s="389">
        <f t="shared" si="302"/>
        <v>0</v>
      </c>
      <c r="AB673" s="389">
        <f t="shared" si="303"/>
        <v>1E-4</v>
      </c>
      <c r="AC673" s="389">
        <f t="shared" si="304"/>
        <v>1E-4</v>
      </c>
      <c r="AD673" s="389">
        <f t="shared" si="305"/>
        <v>0</v>
      </c>
      <c r="AE673" s="389">
        <f t="shared" si="306"/>
        <v>0</v>
      </c>
      <c r="AG673" s="311" t="str">
        <f t="shared" si="307"/>
        <v>-</v>
      </c>
      <c r="AH673" s="453" t="str">
        <f t="shared" si="308"/>
        <v/>
      </c>
      <c r="AI673" s="453" t="str">
        <f t="shared" si="309"/>
        <v/>
      </c>
      <c r="AJ673" t="str">
        <f t="array" ref="AJ673">IF(AND(AI673&gt;1,G673&lt;&gt;""),INDEX(FS_teams,MATCH(1,(FS_Keys=AG673)*(FS_Points=I673)*(FS_teams&lt;&gt;G673),0)),"")</f>
        <v/>
      </c>
      <c r="AK673" s="390" t="str">
        <f t="array" ref="AK673">IF(AJ673&lt;&gt;"",INDEX(TM_Score1,MATCH(1,(TM_Events=D673)*(TM_Participant1=G673)*(TM_Participant2=AJ673),0)),"")</f>
        <v/>
      </c>
      <c r="AL673" s="390" t="str">
        <f t="array" ref="AL673">IF(AJ673&lt;&gt;"",INDEX(TM_Score1,MATCH(1,(TM_Events=D673)*(TM_Participant1=AJ673)*(TM_Participant2=G673),0)),"")</f>
        <v/>
      </c>
      <c r="AM673" s="389" t="str">
        <f t="array" ref="AM673">IF(ISNUMBER(AK673),INDEX(TM_Score2,MATCH(1,(TM_Events=D673)*(TM_Participant1=G673)*(TM_Participant2=AJ673),0)),"")</f>
        <v/>
      </c>
      <c r="AN673" s="389" t="str">
        <f t="array" ref="AN673">IF(ISNUMBER(AL673),INDEX(TM_Score2,MATCH(1,(TM_Events=D673)*(TM_Participant1=AJ673)*(TM_Participant2=G673),0)),"")</f>
        <v/>
      </c>
      <c r="AO673" s="389" t="str">
        <f t="shared" si="310"/>
        <v/>
      </c>
      <c r="AP673" s="389">
        <f t="shared" si="311"/>
        <v>0</v>
      </c>
      <c r="AQ673" s="389">
        <f t="shared" si="312"/>
        <v>0</v>
      </c>
      <c r="AR673" s="389">
        <f t="shared" si="313"/>
        <v>0</v>
      </c>
      <c r="AS673" s="453">
        <f t="shared" si="314"/>
        <v>0</v>
      </c>
      <c r="AT673" s="452">
        <f t="shared" si="315"/>
        <v>0</v>
      </c>
    </row>
    <row r="674" spans="2:46" ht="16" x14ac:dyDescent="0.2">
      <c r="B674"/>
      <c r="H674" s="387" t="str">
        <f t="shared" si="290"/>
        <v>0-0-0</v>
      </c>
      <c r="I674" s="389">
        <f t="shared" si="291"/>
        <v>0</v>
      </c>
      <c r="J674" s="455" t="str">
        <f t="shared" si="316"/>
        <v/>
      </c>
      <c r="K674" s="455">
        <f t="shared" si="292"/>
        <v>0</v>
      </c>
      <c r="L674" s="455">
        <f t="shared" si="317"/>
        <v>0</v>
      </c>
      <c r="M674" s="389" t="str">
        <f>IFERROR(IF(AD674&lt;=VLOOKUP(D674,Tournaments!$A$1:$B$1772,2,FALSE),"TRUE","FALSE"),"")</f>
        <v/>
      </c>
      <c r="N674" s="389">
        <v>1</v>
      </c>
      <c r="O674" s="389">
        <f t="shared" si="293"/>
        <v>0</v>
      </c>
      <c r="Q674" s="389">
        <f t="shared" si="294"/>
        <v>0</v>
      </c>
      <c r="R674" s="389">
        <f t="shared" si="295"/>
        <v>0</v>
      </c>
      <c r="S674" s="389">
        <f t="shared" si="296"/>
        <v>0</v>
      </c>
      <c r="U674" s="389">
        <f t="shared" si="297"/>
        <v>0</v>
      </c>
      <c r="V674" s="389" t="b">
        <f t="shared" si="298"/>
        <v>0</v>
      </c>
      <c r="W674" s="389">
        <f t="shared" si="299"/>
        <v>0</v>
      </c>
      <c r="X674" s="389">
        <f t="shared" si="300"/>
        <v>0</v>
      </c>
      <c r="Y674" s="389">
        <f t="shared" si="318"/>
        <v>1.0999999999999999E-2</v>
      </c>
      <c r="Z674" s="389">
        <f t="shared" si="301"/>
        <v>1.0999999999999999E-2</v>
      </c>
      <c r="AA674" s="389">
        <f t="shared" si="302"/>
        <v>0</v>
      </c>
      <c r="AB674" s="389">
        <f t="shared" si="303"/>
        <v>1E-4</v>
      </c>
      <c r="AC674" s="389">
        <f t="shared" si="304"/>
        <v>1E-4</v>
      </c>
      <c r="AD674" s="389">
        <f t="shared" si="305"/>
        <v>0</v>
      </c>
      <c r="AE674" s="389">
        <f t="shared" si="306"/>
        <v>0</v>
      </c>
      <c r="AG674" s="311" t="str">
        <f t="shared" si="307"/>
        <v>-</v>
      </c>
      <c r="AH674" s="453" t="str">
        <f t="shared" si="308"/>
        <v/>
      </c>
      <c r="AI674" s="453" t="str">
        <f t="shared" si="309"/>
        <v/>
      </c>
      <c r="AJ674" t="str">
        <f t="array" ref="AJ674">IF(AND(AI674&gt;1,G674&lt;&gt;""),INDEX(FS_teams,MATCH(1,(FS_Keys=AG674)*(FS_Points=I674)*(FS_teams&lt;&gt;G674),0)),"")</f>
        <v/>
      </c>
      <c r="AK674" s="390" t="str">
        <f t="array" ref="AK674">IF(AJ674&lt;&gt;"",INDEX(TM_Score1,MATCH(1,(TM_Events=D674)*(TM_Participant1=G674)*(TM_Participant2=AJ674),0)),"")</f>
        <v/>
      </c>
      <c r="AL674" s="390" t="str">
        <f t="array" ref="AL674">IF(AJ674&lt;&gt;"",INDEX(TM_Score1,MATCH(1,(TM_Events=D674)*(TM_Participant1=AJ674)*(TM_Participant2=G674),0)),"")</f>
        <v/>
      </c>
      <c r="AM674" s="389" t="str">
        <f t="array" ref="AM674">IF(ISNUMBER(AK674),INDEX(TM_Score2,MATCH(1,(TM_Events=D674)*(TM_Participant1=G674)*(TM_Participant2=AJ674),0)),"")</f>
        <v/>
      </c>
      <c r="AN674" s="389" t="str">
        <f t="array" ref="AN674">IF(ISNUMBER(AL674),INDEX(TM_Score2,MATCH(1,(TM_Events=D674)*(TM_Participant1=AJ674)*(TM_Participant2=G674),0)),"")</f>
        <v/>
      </c>
      <c r="AO674" s="389" t="str">
        <f t="shared" si="310"/>
        <v/>
      </c>
      <c r="AP674" s="389">
        <f t="shared" si="311"/>
        <v>0</v>
      </c>
      <c r="AQ674" s="389">
        <f t="shared" si="312"/>
        <v>0</v>
      </c>
      <c r="AR674" s="389">
        <f t="shared" si="313"/>
        <v>0</v>
      </c>
      <c r="AS674" s="453">
        <f t="shared" si="314"/>
        <v>0</v>
      </c>
      <c r="AT674" s="452">
        <f t="shared" si="315"/>
        <v>0</v>
      </c>
    </row>
    <row r="675" spans="2:46" ht="16" x14ac:dyDescent="0.2">
      <c r="B675"/>
      <c r="H675" s="387" t="str">
        <f t="shared" si="290"/>
        <v>0-0-0</v>
      </c>
      <c r="I675" s="389">
        <f t="shared" si="291"/>
        <v>0</v>
      </c>
      <c r="J675" s="455" t="str">
        <f t="shared" si="316"/>
        <v/>
      </c>
      <c r="K675" s="455">
        <f t="shared" si="292"/>
        <v>0</v>
      </c>
      <c r="L675" s="455">
        <f t="shared" si="317"/>
        <v>0</v>
      </c>
      <c r="M675" s="389" t="str">
        <f>IFERROR(IF(AD675&lt;=VLOOKUP(D675,Tournaments!$A$1:$B$1772,2,FALSE),"TRUE","FALSE"),"")</f>
        <v/>
      </c>
      <c r="N675" s="389">
        <v>1</v>
      </c>
      <c r="O675" s="389">
        <f t="shared" si="293"/>
        <v>0</v>
      </c>
      <c r="Q675" s="389">
        <f t="shared" si="294"/>
        <v>0</v>
      </c>
      <c r="R675" s="389">
        <f t="shared" si="295"/>
        <v>0</v>
      </c>
      <c r="S675" s="389">
        <f t="shared" si="296"/>
        <v>0</v>
      </c>
      <c r="U675" s="389">
        <f t="shared" si="297"/>
        <v>0</v>
      </c>
      <c r="V675" s="389" t="b">
        <f t="shared" si="298"/>
        <v>0</v>
      </c>
      <c r="W675" s="389">
        <f t="shared" si="299"/>
        <v>0</v>
      </c>
      <c r="X675" s="389">
        <f t="shared" si="300"/>
        <v>0</v>
      </c>
      <c r="Y675" s="389">
        <f t="shared" si="318"/>
        <v>1.0999999999999999E-2</v>
      </c>
      <c r="Z675" s="389">
        <f t="shared" si="301"/>
        <v>1.0999999999999999E-2</v>
      </c>
      <c r="AA675" s="389">
        <f t="shared" si="302"/>
        <v>0</v>
      </c>
      <c r="AB675" s="389">
        <f t="shared" si="303"/>
        <v>1E-4</v>
      </c>
      <c r="AC675" s="389">
        <f t="shared" si="304"/>
        <v>1E-4</v>
      </c>
      <c r="AD675" s="389">
        <f t="shared" si="305"/>
        <v>0</v>
      </c>
      <c r="AE675" s="389">
        <f t="shared" si="306"/>
        <v>0</v>
      </c>
      <c r="AG675" s="311" t="str">
        <f t="shared" si="307"/>
        <v>-</v>
      </c>
      <c r="AH675" s="453" t="str">
        <f t="shared" si="308"/>
        <v/>
      </c>
      <c r="AI675" s="453" t="str">
        <f t="shared" si="309"/>
        <v/>
      </c>
      <c r="AJ675" t="str">
        <f t="array" ref="AJ675">IF(AND(AI675&gt;1,G675&lt;&gt;""),INDEX(FS_teams,MATCH(1,(FS_Keys=AG675)*(FS_Points=I675)*(FS_teams&lt;&gt;G675),0)),"")</f>
        <v/>
      </c>
      <c r="AK675" s="390" t="str">
        <f t="array" ref="AK675">IF(AJ675&lt;&gt;"",INDEX(TM_Score1,MATCH(1,(TM_Events=D675)*(TM_Participant1=G675)*(TM_Participant2=AJ675),0)),"")</f>
        <v/>
      </c>
      <c r="AL675" s="390" t="str">
        <f t="array" ref="AL675">IF(AJ675&lt;&gt;"",INDEX(TM_Score1,MATCH(1,(TM_Events=D675)*(TM_Participant1=AJ675)*(TM_Participant2=G675),0)),"")</f>
        <v/>
      </c>
      <c r="AM675" s="389" t="str">
        <f t="array" ref="AM675">IF(ISNUMBER(AK675),INDEX(TM_Score2,MATCH(1,(TM_Events=D675)*(TM_Participant1=G675)*(TM_Participant2=AJ675),0)),"")</f>
        <v/>
      </c>
      <c r="AN675" s="389" t="str">
        <f t="array" ref="AN675">IF(ISNUMBER(AL675),INDEX(TM_Score2,MATCH(1,(TM_Events=D675)*(TM_Participant1=AJ675)*(TM_Participant2=G675),0)),"")</f>
        <v/>
      </c>
      <c r="AO675" s="389" t="str">
        <f t="shared" si="310"/>
        <v/>
      </c>
      <c r="AP675" s="389">
        <f t="shared" si="311"/>
        <v>0</v>
      </c>
      <c r="AQ675" s="389">
        <f t="shared" si="312"/>
        <v>0</v>
      </c>
      <c r="AR675" s="389">
        <f t="shared" si="313"/>
        <v>0</v>
      </c>
      <c r="AS675" s="453">
        <f t="shared" si="314"/>
        <v>0</v>
      </c>
      <c r="AT675" s="452">
        <f t="shared" si="315"/>
        <v>0</v>
      </c>
    </row>
    <row r="676" spans="2:46" ht="16" x14ac:dyDescent="0.2">
      <c r="B676"/>
      <c r="H676" s="387" t="str">
        <f t="shared" si="290"/>
        <v>0-0-0</v>
      </c>
      <c r="I676" s="389">
        <f t="shared" si="291"/>
        <v>0</v>
      </c>
      <c r="J676" s="455" t="str">
        <f t="shared" si="316"/>
        <v/>
      </c>
      <c r="K676" s="455">
        <f t="shared" si="292"/>
        <v>0</v>
      </c>
      <c r="L676" s="455">
        <f t="shared" si="317"/>
        <v>0</v>
      </c>
      <c r="M676" s="389" t="str">
        <f>IFERROR(IF(AD676&lt;=VLOOKUP(D676,Tournaments!$A$1:$B$1772,2,FALSE),"TRUE","FALSE"),"")</f>
        <v/>
      </c>
      <c r="N676" s="389">
        <v>1</v>
      </c>
      <c r="O676" s="389">
        <f t="shared" si="293"/>
        <v>0</v>
      </c>
      <c r="Q676" s="389">
        <f t="shared" si="294"/>
        <v>0</v>
      </c>
      <c r="R676" s="389">
        <f t="shared" si="295"/>
        <v>0</v>
      </c>
      <c r="S676" s="389">
        <f t="shared" si="296"/>
        <v>0</v>
      </c>
      <c r="U676" s="389">
        <f t="shared" si="297"/>
        <v>0</v>
      </c>
      <c r="V676" s="389" t="b">
        <f t="shared" si="298"/>
        <v>0</v>
      </c>
      <c r="W676" s="389">
        <f t="shared" si="299"/>
        <v>0</v>
      </c>
      <c r="X676" s="389">
        <f t="shared" si="300"/>
        <v>0</v>
      </c>
      <c r="Y676" s="389">
        <f t="shared" si="318"/>
        <v>1.0999999999999999E-2</v>
      </c>
      <c r="Z676" s="389">
        <f t="shared" si="301"/>
        <v>1.0999999999999999E-2</v>
      </c>
      <c r="AA676" s="389">
        <f t="shared" si="302"/>
        <v>0</v>
      </c>
      <c r="AB676" s="389">
        <f t="shared" si="303"/>
        <v>1E-4</v>
      </c>
      <c r="AC676" s="389">
        <f t="shared" si="304"/>
        <v>1E-4</v>
      </c>
      <c r="AD676" s="389">
        <f t="shared" si="305"/>
        <v>0</v>
      </c>
      <c r="AE676" s="389">
        <f t="shared" si="306"/>
        <v>0</v>
      </c>
      <c r="AG676" s="311" t="str">
        <f t="shared" si="307"/>
        <v>-</v>
      </c>
      <c r="AH676" s="453" t="str">
        <f t="shared" si="308"/>
        <v/>
      </c>
      <c r="AI676" s="453" t="str">
        <f t="shared" si="309"/>
        <v/>
      </c>
      <c r="AJ676" t="str">
        <f t="array" ref="AJ676">IF(AND(AI676&gt;1,G676&lt;&gt;""),INDEX(FS_teams,MATCH(1,(FS_Keys=AG676)*(FS_Points=I676)*(FS_teams&lt;&gt;G676),0)),"")</f>
        <v/>
      </c>
      <c r="AK676" s="390" t="str">
        <f t="array" ref="AK676">IF(AJ676&lt;&gt;"",INDEX(TM_Score1,MATCH(1,(TM_Events=D676)*(TM_Participant1=G676)*(TM_Participant2=AJ676),0)),"")</f>
        <v/>
      </c>
      <c r="AL676" s="390" t="str">
        <f t="array" ref="AL676">IF(AJ676&lt;&gt;"",INDEX(TM_Score1,MATCH(1,(TM_Events=D676)*(TM_Participant1=AJ676)*(TM_Participant2=G676),0)),"")</f>
        <v/>
      </c>
      <c r="AM676" s="389" t="str">
        <f t="array" ref="AM676">IF(ISNUMBER(AK676),INDEX(TM_Score2,MATCH(1,(TM_Events=D676)*(TM_Participant1=G676)*(TM_Participant2=AJ676),0)),"")</f>
        <v/>
      </c>
      <c r="AN676" s="389" t="str">
        <f t="array" ref="AN676">IF(ISNUMBER(AL676),INDEX(TM_Score2,MATCH(1,(TM_Events=D676)*(TM_Participant1=AJ676)*(TM_Participant2=G676),0)),"")</f>
        <v/>
      </c>
      <c r="AO676" s="389" t="str">
        <f t="shared" si="310"/>
        <v/>
      </c>
      <c r="AP676" s="389">
        <f t="shared" si="311"/>
        <v>0</v>
      </c>
      <c r="AQ676" s="389">
        <f t="shared" si="312"/>
        <v>0</v>
      </c>
      <c r="AR676" s="389">
        <f t="shared" si="313"/>
        <v>0</v>
      </c>
      <c r="AS676" s="453">
        <f t="shared" si="314"/>
        <v>0</v>
      </c>
      <c r="AT676" s="452">
        <f t="shared" si="315"/>
        <v>0</v>
      </c>
    </row>
    <row r="677" spans="2:46" ht="16" x14ac:dyDescent="0.2">
      <c r="B677"/>
      <c r="H677" s="387" t="str">
        <f t="shared" si="290"/>
        <v>0-0-0</v>
      </c>
      <c r="I677" s="389">
        <f t="shared" si="291"/>
        <v>0</v>
      </c>
      <c r="J677" s="455" t="str">
        <f t="shared" si="316"/>
        <v/>
      </c>
      <c r="K677" s="455">
        <f t="shared" si="292"/>
        <v>0</v>
      </c>
      <c r="L677" s="455">
        <f t="shared" si="317"/>
        <v>0</v>
      </c>
      <c r="M677" s="389" t="str">
        <f>IFERROR(IF(AD677&lt;=VLOOKUP(D677,Tournaments!$A$1:$B$1772,2,FALSE),"TRUE","FALSE"),"")</f>
        <v/>
      </c>
      <c r="N677" s="389">
        <v>1</v>
      </c>
      <c r="O677" s="389">
        <f t="shared" si="293"/>
        <v>0</v>
      </c>
      <c r="Q677" s="389">
        <f t="shared" si="294"/>
        <v>0</v>
      </c>
      <c r="R677" s="389">
        <f t="shared" si="295"/>
        <v>0</v>
      </c>
      <c r="S677" s="389">
        <f t="shared" si="296"/>
        <v>0</v>
      </c>
      <c r="U677" s="389">
        <f t="shared" si="297"/>
        <v>0</v>
      </c>
      <c r="V677" s="389" t="b">
        <f t="shared" si="298"/>
        <v>0</v>
      </c>
      <c r="W677" s="389">
        <f t="shared" si="299"/>
        <v>0</v>
      </c>
      <c r="X677" s="389">
        <f t="shared" si="300"/>
        <v>0</v>
      </c>
      <c r="Y677" s="389">
        <f t="shared" si="318"/>
        <v>1.0999999999999999E-2</v>
      </c>
      <c r="Z677" s="389">
        <f t="shared" si="301"/>
        <v>1.0999999999999999E-2</v>
      </c>
      <c r="AA677" s="389">
        <f t="shared" si="302"/>
        <v>0</v>
      </c>
      <c r="AB677" s="389">
        <f t="shared" si="303"/>
        <v>1E-4</v>
      </c>
      <c r="AC677" s="389">
        <f t="shared" si="304"/>
        <v>1E-4</v>
      </c>
      <c r="AD677" s="389">
        <f t="shared" si="305"/>
        <v>0</v>
      </c>
      <c r="AE677" s="389">
        <f t="shared" si="306"/>
        <v>0</v>
      </c>
      <c r="AG677" s="311" t="str">
        <f t="shared" si="307"/>
        <v>-</v>
      </c>
      <c r="AH677" s="453" t="str">
        <f t="shared" si="308"/>
        <v/>
      </c>
      <c r="AI677" s="453" t="str">
        <f t="shared" si="309"/>
        <v/>
      </c>
      <c r="AJ677" t="str">
        <f t="array" ref="AJ677">IF(AND(AI677&gt;1,G677&lt;&gt;""),INDEX(FS_teams,MATCH(1,(FS_Keys=AG677)*(FS_Points=I677)*(FS_teams&lt;&gt;G677),0)),"")</f>
        <v/>
      </c>
      <c r="AK677" s="390" t="str">
        <f t="array" ref="AK677">IF(AJ677&lt;&gt;"",INDEX(TM_Score1,MATCH(1,(TM_Events=D677)*(TM_Participant1=G677)*(TM_Participant2=AJ677),0)),"")</f>
        <v/>
      </c>
      <c r="AL677" s="390" t="str">
        <f t="array" ref="AL677">IF(AJ677&lt;&gt;"",INDEX(TM_Score1,MATCH(1,(TM_Events=D677)*(TM_Participant1=AJ677)*(TM_Participant2=G677),0)),"")</f>
        <v/>
      </c>
      <c r="AM677" s="389" t="str">
        <f t="array" ref="AM677">IF(ISNUMBER(AK677),INDEX(TM_Score2,MATCH(1,(TM_Events=D677)*(TM_Participant1=G677)*(TM_Participant2=AJ677),0)),"")</f>
        <v/>
      </c>
      <c r="AN677" s="389" t="str">
        <f t="array" ref="AN677">IF(ISNUMBER(AL677),INDEX(TM_Score2,MATCH(1,(TM_Events=D677)*(TM_Participant1=AJ677)*(TM_Participant2=G677),0)),"")</f>
        <v/>
      </c>
      <c r="AO677" s="389" t="str">
        <f t="shared" si="310"/>
        <v/>
      </c>
      <c r="AP677" s="389">
        <f t="shared" si="311"/>
        <v>0</v>
      </c>
      <c r="AQ677" s="389">
        <f t="shared" si="312"/>
        <v>0</v>
      </c>
      <c r="AR677" s="389">
        <f t="shared" si="313"/>
        <v>0</v>
      </c>
      <c r="AS677" s="453">
        <f t="shared" si="314"/>
        <v>0</v>
      </c>
      <c r="AT677" s="452">
        <f t="shared" si="315"/>
        <v>0</v>
      </c>
    </row>
    <row r="678" spans="2:46" ht="16" x14ac:dyDescent="0.2">
      <c r="B678"/>
      <c r="H678" s="387" t="str">
        <f t="shared" si="290"/>
        <v>0-0-0</v>
      </c>
      <c r="I678" s="389">
        <f t="shared" si="291"/>
        <v>0</v>
      </c>
      <c r="J678" s="455" t="str">
        <f t="shared" si="316"/>
        <v/>
      </c>
      <c r="K678" s="455">
        <f t="shared" si="292"/>
        <v>0</v>
      </c>
      <c r="L678" s="455">
        <f t="shared" si="317"/>
        <v>0</v>
      </c>
      <c r="M678" s="389" t="str">
        <f>IFERROR(IF(AD678&lt;=VLOOKUP(D678,Tournaments!$A$1:$B$1772,2,FALSE),"TRUE","FALSE"),"")</f>
        <v/>
      </c>
      <c r="N678" s="389">
        <v>1</v>
      </c>
      <c r="O678" s="389">
        <f t="shared" si="293"/>
        <v>0</v>
      </c>
      <c r="Q678" s="389">
        <f t="shared" si="294"/>
        <v>0</v>
      </c>
      <c r="R678" s="389">
        <f t="shared" si="295"/>
        <v>0</v>
      </c>
      <c r="S678" s="389">
        <f t="shared" si="296"/>
        <v>0</v>
      </c>
      <c r="U678" s="389">
        <f t="shared" si="297"/>
        <v>0</v>
      </c>
      <c r="V678" s="389" t="b">
        <f t="shared" si="298"/>
        <v>0</v>
      </c>
      <c r="W678" s="389">
        <f t="shared" si="299"/>
        <v>0</v>
      </c>
      <c r="X678" s="389">
        <f t="shared" si="300"/>
        <v>0</v>
      </c>
      <c r="Y678" s="389">
        <f t="shared" si="318"/>
        <v>1.0999999999999999E-2</v>
      </c>
      <c r="Z678" s="389">
        <f t="shared" si="301"/>
        <v>1.0999999999999999E-2</v>
      </c>
      <c r="AA678" s="389">
        <f t="shared" si="302"/>
        <v>0</v>
      </c>
      <c r="AB678" s="389">
        <f t="shared" si="303"/>
        <v>1E-4</v>
      </c>
      <c r="AC678" s="389">
        <f t="shared" si="304"/>
        <v>1E-4</v>
      </c>
      <c r="AD678" s="389">
        <f t="shared" si="305"/>
        <v>0</v>
      </c>
      <c r="AE678" s="389">
        <f t="shared" si="306"/>
        <v>0</v>
      </c>
      <c r="AG678" s="311" t="str">
        <f t="shared" si="307"/>
        <v>-</v>
      </c>
      <c r="AH678" s="453" t="str">
        <f t="shared" si="308"/>
        <v/>
      </c>
      <c r="AI678" s="453" t="str">
        <f t="shared" si="309"/>
        <v/>
      </c>
      <c r="AJ678" t="str">
        <f t="array" ref="AJ678">IF(AND(AI678&gt;1,G678&lt;&gt;""),INDEX(FS_teams,MATCH(1,(FS_Keys=AG678)*(FS_Points=I678)*(FS_teams&lt;&gt;G678),0)),"")</f>
        <v/>
      </c>
      <c r="AK678" s="390" t="str">
        <f t="array" ref="AK678">IF(AJ678&lt;&gt;"",INDEX(TM_Score1,MATCH(1,(TM_Events=D678)*(TM_Participant1=G678)*(TM_Participant2=AJ678),0)),"")</f>
        <v/>
      </c>
      <c r="AL678" s="390" t="str">
        <f t="array" ref="AL678">IF(AJ678&lt;&gt;"",INDEX(TM_Score1,MATCH(1,(TM_Events=D678)*(TM_Participant1=AJ678)*(TM_Participant2=G678),0)),"")</f>
        <v/>
      </c>
      <c r="AM678" s="389" t="str">
        <f t="array" ref="AM678">IF(ISNUMBER(AK678),INDEX(TM_Score2,MATCH(1,(TM_Events=D678)*(TM_Participant1=G678)*(TM_Participant2=AJ678),0)),"")</f>
        <v/>
      </c>
      <c r="AN678" s="389" t="str">
        <f t="array" ref="AN678">IF(ISNUMBER(AL678),INDEX(TM_Score2,MATCH(1,(TM_Events=D678)*(TM_Participant1=AJ678)*(TM_Participant2=G678),0)),"")</f>
        <v/>
      </c>
      <c r="AO678" s="389" t="str">
        <f t="shared" si="310"/>
        <v/>
      </c>
      <c r="AP678" s="389">
        <f t="shared" si="311"/>
        <v>0</v>
      </c>
      <c r="AQ678" s="389">
        <f t="shared" si="312"/>
        <v>0</v>
      </c>
      <c r="AR678" s="389">
        <f t="shared" si="313"/>
        <v>0</v>
      </c>
      <c r="AS678" s="453">
        <f t="shared" si="314"/>
        <v>0</v>
      </c>
      <c r="AT678" s="452">
        <f t="shared" si="315"/>
        <v>0</v>
      </c>
    </row>
    <row r="679" spans="2:46" ht="16" x14ac:dyDescent="0.2">
      <c r="B679"/>
      <c r="H679" s="387" t="str">
        <f t="shared" si="290"/>
        <v>0-0-0</v>
      </c>
      <c r="I679" s="389">
        <f t="shared" si="291"/>
        <v>0</v>
      </c>
      <c r="J679" s="455" t="str">
        <f t="shared" si="316"/>
        <v/>
      </c>
      <c r="K679" s="455">
        <f t="shared" si="292"/>
        <v>0</v>
      </c>
      <c r="L679" s="455">
        <f t="shared" si="317"/>
        <v>0</v>
      </c>
      <c r="M679" s="389" t="str">
        <f>IFERROR(IF(AD679&lt;=VLOOKUP(D679,Tournaments!$A$1:$B$1772,2,FALSE),"TRUE","FALSE"),"")</f>
        <v/>
      </c>
      <c r="N679" s="389">
        <v>1</v>
      </c>
      <c r="O679" s="389">
        <f t="shared" si="293"/>
        <v>0</v>
      </c>
      <c r="Q679" s="389">
        <f t="shared" si="294"/>
        <v>0</v>
      </c>
      <c r="R679" s="389">
        <f t="shared" si="295"/>
        <v>0</v>
      </c>
      <c r="S679" s="389">
        <f t="shared" si="296"/>
        <v>0</v>
      </c>
      <c r="U679" s="389">
        <f t="shared" si="297"/>
        <v>0</v>
      </c>
      <c r="V679" s="389" t="b">
        <f t="shared" si="298"/>
        <v>0</v>
      </c>
      <c r="W679" s="389">
        <f t="shared" si="299"/>
        <v>0</v>
      </c>
      <c r="X679" s="389">
        <f t="shared" si="300"/>
        <v>0</v>
      </c>
      <c r="Y679" s="389">
        <f t="shared" si="318"/>
        <v>1.0999999999999999E-2</v>
      </c>
      <c r="Z679" s="389">
        <f t="shared" si="301"/>
        <v>1.0999999999999999E-2</v>
      </c>
      <c r="AA679" s="389">
        <f t="shared" si="302"/>
        <v>0</v>
      </c>
      <c r="AB679" s="389">
        <f t="shared" si="303"/>
        <v>1E-4</v>
      </c>
      <c r="AC679" s="389">
        <f t="shared" si="304"/>
        <v>1E-4</v>
      </c>
      <c r="AD679" s="389">
        <f t="shared" si="305"/>
        <v>0</v>
      </c>
      <c r="AE679" s="389">
        <f t="shared" si="306"/>
        <v>0</v>
      </c>
      <c r="AG679" s="311" t="str">
        <f t="shared" si="307"/>
        <v>-</v>
      </c>
      <c r="AH679" s="453" t="str">
        <f t="shared" si="308"/>
        <v/>
      </c>
      <c r="AI679" s="453" t="str">
        <f t="shared" si="309"/>
        <v/>
      </c>
      <c r="AJ679" t="str">
        <f t="array" ref="AJ679">IF(AND(AI679&gt;1,G679&lt;&gt;""),INDEX(FS_teams,MATCH(1,(FS_Keys=AG679)*(FS_Points=I679)*(FS_teams&lt;&gt;G679),0)),"")</f>
        <v/>
      </c>
      <c r="AK679" s="390" t="str">
        <f t="array" ref="AK679">IF(AJ679&lt;&gt;"",INDEX(TM_Score1,MATCH(1,(TM_Events=D679)*(TM_Participant1=G679)*(TM_Participant2=AJ679),0)),"")</f>
        <v/>
      </c>
      <c r="AL679" s="390" t="str">
        <f t="array" ref="AL679">IF(AJ679&lt;&gt;"",INDEX(TM_Score1,MATCH(1,(TM_Events=D679)*(TM_Participant1=AJ679)*(TM_Participant2=G679),0)),"")</f>
        <v/>
      </c>
      <c r="AM679" s="389" t="str">
        <f t="array" ref="AM679">IF(ISNUMBER(AK679),INDEX(TM_Score2,MATCH(1,(TM_Events=D679)*(TM_Participant1=G679)*(TM_Participant2=AJ679),0)),"")</f>
        <v/>
      </c>
      <c r="AN679" s="389" t="str">
        <f t="array" ref="AN679">IF(ISNUMBER(AL679),INDEX(TM_Score2,MATCH(1,(TM_Events=D679)*(TM_Participant1=AJ679)*(TM_Participant2=G679),0)),"")</f>
        <v/>
      </c>
      <c r="AO679" s="389" t="str">
        <f t="shared" si="310"/>
        <v/>
      </c>
      <c r="AP679" s="389">
        <f t="shared" si="311"/>
        <v>0</v>
      </c>
      <c r="AQ679" s="389">
        <f t="shared" si="312"/>
        <v>0</v>
      </c>
      <c r="AR679" s="389">
        <f t="shared" si="313"/>
        <v>0</v>
      </c>
      <c r="AS679" s="453">
        <f t="shared" si="314"/>
        <v>0</v>
      </c>
      <c r="AT679" s="452">
        <f t="shared" si="315"/>
        <v>0</v>
      </c>
    </row>
    <row r="680" spans="2:46" ht="16" x14ac:dyDescent="0.2">
      <c r="B680"/>
      <c r="H680" s="387" t="str">
        <f t="shared" si="290"/>
        <v>0-0-0</v>
      </c>
      <c r="I680" s="389">
        <f t="shared" si="291"/>
        <v>0</v>
      </c>
      <c r="J680" s="455" t="str">
        <f t="shared" si="316"/>
        <v/>
      </c>
      <c r="K680" s="455">
        <f t="shared" si="292"/>
        <v>0</v>
      </c>
      <c r="L680" s="455">
        <f t="shared" si="317"/>
        <v>0</v>
      </c>
      <c r="M680" s="389" t="str">
        <f>IFERROR(IF(AD680&lt;=VLOOKUP(D680,Tournaments!$A$1:$B$1772,2,FALSE),"TRUE","FALSE"),"")</f>
        <v/>
      </c>
      <c r="N680" s="389">
        <v>1</v>
      </c>
      <c r="O680" s="389">
        <f t="shared" si="293"/>
        <v>0</v>
      </c>
      <c r="Q680" s="389">
        <f t="shared" si="294"/>
        <v>0</v>
      </c>
      <c r="R680" s="389">
        <f t="shared" si="295"/>
        <v>0</v>
      </c>
      <c r="S680" s="389">
        <f t="shared" si="296"/>
        <v>0</v>
      </c>
      <c r="U680" s="389">
        <f t="shared" si="297"/>
        <v>0</v>
      </c>
      <c r="V680" s="389" t="b">
        <f t="shared" si="298"/>
        <v>0</v>
      </c>
      <c r="W680" s="389">
        <f t="shared" si="299"/>
        <v>0</v>
      </c>
      <c r="X680" s="389">
        <f t="shared" si="300"/>
        <v>0</v>
      </c>
      <c r="Y680" s="389">
        <f t="shared" si="318"/>
        <v>1.0999999999999999E-2</v>
      </c>
      <c r="Z680" s="389">
        <f t="shared" si="301"/>
        <v>1.0999999999999999E-2</v>
      </c>
      <c r="AA680" s="389">
        <f t="shared" si="302"/>
        <v>0</v>
      </c>
      <c r="AB680" s="389">
        <f t="shared" si="303"/>
        <v>1E-4</v>
      </c>
      <c r="AC680" s="389">
        <f t="shared" si="304"/>
        <v>1E-4</v>
      </c>
      <c r="AD680" s="389">
        <f t="shared" si="305"/>
        <v>0</v>
      </c>
      <c r="AE680" s="389">
        <f t="shared" si="306"/>
        <v>0</v>
      </c>
      <c r="AG680" s="311" t="str">
        <f t="shared" si="307"/>
        <v>-</v>
      </c>
      <c r="AH680" s="453" t="str">
        <f t="shared" si="308"/>
        <v/>
      </c>
      <c r="AI680" s="453" t="str">
        <f t="shared" si="309"/>
        <v/>
      </c>
      <c r="AJ680" t="str">
        <f t="array" ref="AJ680">IF(AND(AI680&gt;1,G680&lt;&gt;""),INDEX(FS_teams,MATCH(1,(FS_Keys=AG680)*(FS_Points=I680)*(FS_teams&lt;&gt;G680),0)),"")</f>
        <v/>
      </c>
      <c r="AK680" s="390" t="str">
        <f t="array" ref="AK680">IF(AJ680&lt;&gt;"",INDEX(TM_Score1,MATCH(1,(TM_Events=D680)*(TM_Participant1=G680)*(TM_Participant2=AJ680),0)),"")</f>
        <v/>
      </c>
      <c r="AL680" s="390" t="str">
        <f t="array" ref="AL680">IF(AJ680&lt;&gt;"",INDEX(TM_Score1,MATCH(1,(TM_Events=D680)*(TM_Participant1=AJ680)*(TM_Participant2=G680),0)),"")</f>
        <v/>
      </c>
      <c r="AM680" s="389" t="str">
        <f t="array" ref="AM680">IF(ISNUMBER(AK680),INDEX(TM_Score2,MATCH(1,(TM_Events=D680)*(TM_Participant1=G680)*(TM_Participant2=AJ680),0)),"")</f>
        <v/>
      </c>
      <c r="AN680" s="389" t="str">
        <f t="array" ref="AN680">IF(ISNUMBER(AL680),INDEX(TM_Score2,MATCH(1,(TM_Events=D680)*(TM_Participant1=AJ680)*(TM_Participant2=G680),0)),"")</f>
        <v/>
      </c>
      <c r="AO680" s="389" t="str">
        <f t="shared" si="310"/>
        <v/>
      </c>
      <c r="AP680" s="389">
        <f t="shared" si="311"/>
        <v>0</v>
      </c>
      <c r="AQ680" s="389">
        <f t="shared" si="312"/>
        <v>0</v>
      </c>
      <c r="AR680" s="389">
        <f t="shared" si="313"/>
        <v>0</v>
      </c>
      <c r="AS680" s="453">
        <f t="shared" si="314"/>
        <v>0</v>
      </c>
      <c r="AT680" s="452">
        <f t="shared" si="315"/>
        <v>0</v>
      </c>
    </row>
    <row r="681" spans="2:46" ht="16" x14ac:dyDescent="0.2">
      <c r="B681"/>
      <c r="H681" s="387" t="str">
        <f t="shared" si="290"/>
        <v>0-0-0</v>
      </c>
      <c r="I681" s="389">
        <f t="shared" si="291"/>
        <v>0</v>
      </c>
      <c r="J681" s="455" t="str">
        <f t="shared" si="316"/>
        <v/>
      </c>
      <c r="K681" s="455">
        <f t="shared" si="292"/>
        <v>0</v>
      </c>
      <c r="L681" s="455">
        <f t="shared" si="317"/>
        <v>0</v>
      </c>
      <c r="M681" s="389" t="str">
        <f>IFERROR(IF(AD681&lt;=VLOOKUP(D681,Tournaments!$A$1:$B$1772,2,FALSE),"TRUE","FALSE"),"")</f>
        <v/>
      </c>
      <c r="N681" s="389">
        <v>1</v>
      </c>
      <c r="O681" s="389">
        <f t="shared" si="293"/>
        <v>0</v>
      </c>
      <c r="Q681" s="389">
        <f t="shared" si="294"/>
        <v>0</v>
      </c>
      <c r="R681" s="389">
        <f t="shared" si="295"/>
        <v>0</v>
      </c>
      <c r="S681" s="389">
        <f t="shared" si="296"/>
        <v>0</v>
      </c>
      <c r="U681" s="389">
        <f t="shared" si="297"/>
        <v>0</v>
      </c>
      <c r="V681" s="389" t="b">
        <f t="shared" si="298"/>
        <v>0</v>
      </c>
      <c r="W681" s="389">
        <f t="shared" si="299"/>
        <v>0</v>
      </c>
      <c r="X681" s="389">
        <f t="shared" si="300"/>
        <v>0</v>
      </c>
      <c r="Y681" s="389">
        <f t="shared" si="318"/>
        <v>1.0999999999999999E-2</v>
      </c>
      <c r="Z681" s="389">
        <f t="shared" si="301"/>
        <v>1.0999999999999999E-2</v>
      </c>
      <c r="AA681" s="389">
        <f t="shared" si="302"/>
        <v>0</v>
      </c>
      <c r="AB681" s="389">
        <f t="shared" si="303"/>
        <v>1E-4</v>
      </c>
      <c r="AC681" s="389">
        <f t="shared" si="304"/>
        <v>1E-4</v>
      </c>
      <c r="AD681" s="389">
        <f t="shared" si="305"/>
        <v>0</v>
      </c>
      <c r="AE681" s="389">
        <f t="shared" si="306"/>
        <v>0</v>
      </c>
      <c r="AG681" s="311" t="str">
        <f t="shared" si="307"/>
        <v>-</v>
      </c>
      <c r="AH681" s="453" t="str">
        <f t="shared" si="308"/>
        <v/>
      </c>
      <c r="AI681" s="453" t="str">
        <f t="shared" si="309"/>
        <v/>
      </c>
      <c r="AJ681" t="str">
        <f t="array" ref="AJ681">IF(AND(AI681&gt;1,G681&lt;&gt;""),INDEX(FS_teams,MATCH(1,(FS_Keys=AG681)*(FS_Points=I681)*(FS_teams&lt;&gt;G681),0)),"")</f>
        <v/>
      </c>
      <c r="AK681" s="390" t="str">
        <f t="array" ref="AK681">IF(AJ681&lt;&gt;"",INDEX(TM_Score1,MATCH(1,(TM_Events=D681)*(TM_Participant1=G681)*(TM_Participant2=AJ681),0)),"")</f>
        <v/>
      </c>
      <c r="AL681" s="390" t="str">
        <f t="array" ref="AL681">IF(AJ681&lt;&gt;"",INDEX(TM_Score1,MATCH(1,(TM_Events=D681)*(TM_Participant1=AJ681)*(TM_Participant2=G681),0)),"")</f>
        <v/>
      </c>
      <c r="AM681" s="389" t="str">
        <f t="array" ref="AM681">IF(ISNUMBER(AK681),INDEX(TM_Score2,MATCH(1,(TM_Events=D681)*(TM_Participant1=G681)*(TM_Participant2=AJ681),0)),"")</f>
        <v/>
      </c>
      <c r="AN681" s="389" t="str">
        <f t="array" ref="AN681">IF(ISNUMBER(AL681),INDEX(TM_Score2,MATCH(1,(TM_Events=D681)*(TM_Participant1=AJ681)*(TM_Participant2=G681),0)),"")</f>
        <v/>
      </c>
      <c r="AO681" s="389" t="str">
        <f t="shared" si="310"/>
        <v/>
      </c>
      <c r="AP681" s="389">
        <f t="shared" si="311"/>
        <v>0</v>
      </c>
      <c r="AQ681" s="389">
        <f t="shared" si="312"/>
        <v>0</v>
      </c>
      <c r="AR681" s="389">
        <f t="shared" si="313"/>
        <v>0</v>
      </c>
      <c r="AS681" s="453">
        <f t="shared" si="314"/>
        <v>0</v>
      </c>
      <c r="AT681" s="452">
        <f t="shared" si="315"/>
        <v>0</v>
      </c>
    </row>
    <row r="682" spans="2:46" ht="16" x14ac:dyDescent="0.2">
      <c r="B682"/>
      <c r="H682" s="387" t="str">
        <f t="shared" si="290"/>
        <v>0-0-0</v>
      </c>
      <c r="I682" s="389">
        <f t="shared" si="291"/>
        <v>0</v>
      </c>
      <c r="J682" s="455" t="str">
        <f t="shared" si="316"/>
        <v/>
      </c>
      <c r="K682" s="455">
        <f t="shared" si="292"/>
        <v>0</v>
      </c>
      <c r="L682" s="455">
        <f t="shared" si="317"/>
        <v>0</v>
      </c>
      <c r="M682" s="389" t="str">
        <f>IFERROR(IF(AD682&lt;=VLOOKUP(D682,Tournaments!$A$1:$B$1772,2,FALSE),"TRUE","FALSE"),"")</f>
        <v/>
      </c>
      <c r="N682" s="389">
        <v>1</v>
      </c>
      <c r="O682" s="389">
        <f t="shared" si="293"/>
        <v>0</v>
      </c>
      <c r="Q682" s="389">
        <f t="shared" si="294"/>
        <v>0</v>
      </c>
      <c r="R682" s="389">
        <f t="shared" si="295"/>
        <v>0</v>
      </c>
      <c r="S682" s="389">
        <f t="shared" si="296"/>
        <v>0</v>
      </c>
      <c r="U682" s="389">
        <f t="shared" si="297"/>
        <v>0</v>
      </c>
      <c r="V682" s="389" t="b">
        <f t="shared" si="298"/>
        <v>0</v>
      </c>
      <c r="W682" s="389">
        <f t="shared" si="299"/>
        <v>0</v>
      </c>
      <c r="X682" s="389">
        <f t="shared" si="300"/>
        <v>0</v>
      </c>
      <c r="Y682" s="389">
        <f t="shared" si="318"/>
        <v>1.0999999999999999E-2</v>
      </c>
      <c r="Z682" s="389">
        <f t="shared" si="301"/>
        <v>1.0999999999999999E-2</v>
      </c>
      <c r="AA682" s="389">
        <f t="shared" si="302"/>
        <v>0</v>
      </c>
      <c r="AB682" s="389">
        <f t="shared" si="303"/>
        <v>1E-4</v>
      </c>
      <c r="AC682" s="389">
        <f t="shared" si="304"/>
        <v>1E-4</v>
      </c>
      <c r="AD682" s="389">
        <f t="shared" si="305"/>
        <v>0</v>
      </c>
      <c r="AE682" s="389">
        <f t="shared" si="306"/>
        <v>0</v>
      </c>
      <c r="AG682" s="311" t="str">
        <f t="shared" si="307"/>
        <v>-</v>
      </c>
      <c r="AH682" s="453" t="str">
        <f t="shared" si="308"/>
        <v/>
      </c>
      <c r="AI682" s="453" t="str">
        <f t="shared" si="309"/>
        <v/>
      </c>
      <c r="AJ682" t="str">
        <f t="array" ref="AJ682">IF(AND(AI682&gt;1,G682&lt;&gt;""),INDEX(FS_teams,MATCH(1,(FS_Keys=AG682)*(FS_Points=I682)*(FS_teams&lt;&gt;G682),0)),"")</f>
        <v/>
      </c>
      <c r="AK682" s="390" t="str">
        <f t="array" ref="AK682">IF(AJ682&lt;&gt;"",INDEX(TM_Score1,MATCH(1,(TM_Events=D682)*(TM_Participant1=G682)*(TM_Participant2=AJ682),0)),"")</f>
        <v/>
      </c>
      <c r="AL682" s="390" t="str">
        <f t="array" ref="AL682">IF(AJ682&lt;&gt;"",INDEX(TM_Score1,MATCH(1,(TM_Events=D682)*(TM_Participant1=AJ682)*(TM_Participant2=G682),0)),"")</f>
        <v/>
      </c>
      <c r="AM682" s="389" t="str">
        <f t="array" ref="AM682">IF(ISNUMBER(AK682),INDEX(TM_Score2,MATCH(1,(TM_Events=D682)*(TM_Participant1=G682)*(TM_Participant2=AJ682),0)),"")</f>
        <v/>
      </c>
      <c r="AN682" s="389" t="str">
        <f t="array" ref="AN682">IF(ISNUMBER(AL682),INDEX(TM_Score2,MATCH(1,(TM_Events=D682)*(TM_Participant1=AJ682)*(TM_Participant2=G682),0)),"")</f>
        <v/>
      </c>
      <c r="AO682" s="389" t="str">
        <f t="shared" si="310"/>
        <v/>
      </c>
      <c r="AP682" s="389">
        <f t="shared" si="311"/>
        <v>0</v>
      </c>
      <c r="AQ682" s="389">
        <f t="shared" si="312"/>
        <v>0</v>
      </c>
      <c r="AR682" s="389">
        <f t="shared" si="313"/>
        <v>0</v>
      </c>
      <c r="AS682" s="453">
        <f t="shared" si="314"/>
        <v>0</v>
      </c>
      <c r="AT682" s="452">
        <f t="shared" si="315"/>
        <v>0</v>
      </c>
    </row>
    <row r="683" spans="2:46" ht="16" x14ac:dyDescent="0.2">
      <c r="B683"/>
      <c r="H683" s="387" t="str">
        <f t="shared" si="290"/>
        <v>0-0-0</v>
      </c>
      <c r="I683" s="389">
        <f t="shared" si="291"/>
        <v>0</v>
      </c>
      <c r="J683" s="455" t="str">
        <f t="shared" si="316"/>
        <v/>
      </c>
      <c r="K683" s="455">
        <f t="shared" si="292"/>
        <v>0</v>
      </c>
      <c r="L683" s="455">
        <f t="shared" si="317"/>
        <v>0</v>
      </c>
      <c r="M683" s="389" t="str">
        <f>IFERROR(IF(AD683&lt;=VLOOKUP(D683,Tournaments!$A$1:$B$1772,2,FALSE),"TRUE","FALSE"),"")</f>
        <v/>
      </c>
      <c r="N683" s="389">
        <v>1</v>
      </c>
      <c r="O683" s="389">
        <f t="shared" si="293"/>
        <v>0</v>
      </c>
      <c r="Q683" s="389">
        <f t="shared" si="294"/>
        <v>0</v>
      </c>
      <c r="R683" s="389">
        <f t="shared" si="295"/>
        <v>0</v>
      </c>
      <c r="S683" s="389">
        <f t="shared" si="296"/>
        <v>0</v>
      </c>
      <c r="U683" s="389">
        <f t="shared" si="297"/>
        <v>0</v>
      </c>
      <c r="V683" s="389" t="b">
        <f t="shared" si="298"/>
        <v>0</v>
      </c>
      <c r="W683" s="389">
        <f t="shared" si="299"/>
        <v>0</v>
      </c>
      <c r="X683" s="389">
        <f t="shared" si="300"/>
        <v>0</v>
      </c>
      <c r="Y683" s="389">
        <f t="shared" si="318"/>
        <v>1.0999999999999999E-2</v>
      </c>
      <c r="Z683" s="389">
        <f t="shared" si="301"/>
        <v>1.0999999999999999E-2</v>
      </c>
      <c r="AA683" s="389">
        <f t="shared" si="302"/>
        <v>0</v>
      </c>
      <c r="AB683" s="389">
        <f t="shared" si="303"/>
        <v>1E-4</v>
      </c>
      <c r="AC683" s="389">
        <f t="shared" si="304"/>
        <v>1E-4</v>
      </c>
      <c r="AD683" s="389">
        <f t="shared" si="305"/>
        <v>0</v>
      </c>
      <c r="AE683" s="389">
        <f t="shared" si="306"/>
        <v>0</v>
      </c>
      <c r="AG683" s="311" t="str">
        <f t="shared" si="307"/>
        <v>-</v>
      </c>
      <c r="AH683" s="453" t="str">
        <f t="shared" si="308"/>
        <v/>
      </c>
      <c r="AI683" s="453" t="str">
        <f t="shared" si="309"/>
        <v/>
      </c>
      <c r="AJ683" t="str">
        <f t="array" ref="AJ683">IF(AND(AI683&gt;1,G683&lt;&gt;""),INDEX(FS_teams,MATCH(1,(FS_Keys=AG683)*(FS_Points=I683)*(FS_teams&lt;&gt;G683),0)),"")</f>
        <v/>
      </c>
      <c r="AK683" s="390" t="str">
        <f t="array" ref="AK683">IF(AJ683&lt;&gt;"",INDEX(TM_Score1,MATCH(1,(TM_Events=D683)*(TM_Participant1=G683)*(TM_Participant2=AJ683),0)),"")</f>
        <v/>
      </c>
      <c r="AL683" s="390" t="str">
        <f t="array" ref="AL683">IF(AJ683&lt;&gt;"",INDEX(TM_Score1,MATCH(1,(TM_Events=D683)*(TM_Participant1=AJ683)*(TM_Participant2=G683),0)),"")</f>
        <v/>
      </c>
      <c r="AM683" s="389" t="str">
        <f t="array" ref="AM683">IF(ISNUMBER(AK683),INDEX(TM_Score2,MATCH(1,(TM_Events=D683)*(TM_Participant1=G683)*(TM_Participant2=AJ683),0)),"")</f>
        <v/>
      </c>
      <c r="AN683" s="389" t="str">
        <f t="array" ref="AN683">IF(ISNUMBER(AL683),INDEX(TM_Score2,MATCH(1,(TM_Events=D683)*(TM_Participant1=AJ683)*(TM_Participant2=G683),0)),"")</f>
        <v/>
      </c>
      <c r="AO683" s="389" t="str">
        <f t="shared" si="310"/>
        <v/>
      </c>
      <c r="AP683" s="389">
        <f t="shared" si="311"/>
        <v>0</v>
      </c>
      <c r="AQ683" s="389">
        <f t="shared" si="312"/>
        <v>0</v>
      </c>
      <c r="AR683" s="389">
        <f t="shared" si="313"/>
        <v>0</v>
      </c>
      <c r="AS683" s="453">
        <f t="shared" si="314"/>
        <v>0</v>
      </c>
      <c r="AT683" s="452">
        <f t="shared" si="315"/>
        <v>0</v>
      </c>
    </row>
    <row r="684" spans="2:46" ht="16" x14ac:dyDescent="0.2">
      <c r="B684"/>
      <c r="H684" s="387" t="str">
        <f t="shared" si="290"/>
        <v>0-0-0</v>
      </c>
      <c r="I684" s="389">
        <f t="shared" si="291"/>
        <v>0</v>
      </c>
      <c r="J684" s="455" t="str">
        <f t="shared" si="316"/>
        <v/>
      </c>
      <c r="K684" s="455">
        <f t="shared" si="292"/>
        <v>0</v>
      </c>
      <c r="L684" s="455">
        <f t="shared" si="317"/>
        <v>0</v>
      </c>
      <c r="M684" s="389" t="str">
        <f>IFERROR(IF(AD684&lt;=VLOOKUP(D684,Tournaments!$A$1:$B$1772,2,FALSE),"TRUE","FALSE"),"")</f>
        <v/>
      </c>
      <c r="N684" s="389">
        <v>1</v>
      </c>
      <c r="O684" s="389">
        <f t="shared" si="293"/>
        <v>0</v>
      </c>
      <c r="Q684" s="389">
        <f t="shared" si="294"/>
        <v>0</v>
      </c>
      <c r="R684" s="389">
        <f t="shared" si="295"/>
        <v>0</v>
      </c>
      <c r="S684" s="389">
        <f t="shared" si="296"/>
        <v>0</v>
      </c>
      <c r="U684" s="389">
        <f t="shared" si="297"/>
        <v>0</v>
      </c>
      <c r="V684" s="389" t="b">
        <f t="shared" si="298"/>
        <v>0</v>
      </c>
      <c r="W684" s="389">
        <f t="shared" si="299"/>
        <v>0</v>
      </c>
      <c r="X684" s="389">
        <f t="shared" si="300"/>
        <v>0</v>
      </c>
      <c r="Y684" s="389">
        <f t="shared" si="318"/>
        <v>1.0999999999999999E-2</v>
      </c>
      <c r="Z684" s="389">
        <f t="shared" si="301"/>
        <v>1.0999999999999999E-2</v>
      </c>
      <c r="AA684" s="389">
        <f t="shared" si="302"/>
        <v>0</v>
      </c>
      <c r="AB684" s="389">
        <f t="shared" si="303"/>
        <v>1E-4</v>
      </c>
      <c r="AC684" s="389">
        <f t="shared" si="304"/>
        <v>1E-4</v>
      </c>
      <c r="AD684" s="389">
        <f t="shared" si="305"/>
        <v>0</v>
      </c>
      <c r="AE684" s="389">
        <f t="shared" si="306"/>
        <v>0</v>
      </c>
      <c r="AG684" s="311" t="str">
        <f t="shared" si="307"/>
        <v>-</v>
      </c>
      <c r="AH684" s="453" t="str">
        <f t="shared" si="308"/>
        <v/>
      </c>
      <c r="AI684" s="453" t="str">
        <f t="shared" si="309"/>
        <v/>
      </c>
      <c r="AJ684" t="str">
        <f t="array" ref="AJ684">IF(AND(AI684&gt;1,G684&lt;&gt;""),INDEX(FS_teams,MATCH(1,(FS_Keys=AG684)*(FS_Points=I684)*(FS_teams&lt;&gt;G684),0)),"")</f>
        <v/>
      </c>
      <c r="AK684" s="390" t="str">
        <f t="array" ref="AK684">IF(AJ684&lt;&gt;"",INDEX(TM_Score1,MATCH(1,(TM_Events=D684)*(TM_Participant1=G684)*(TM_Participant2=AJ684),0)),"")</f>
        <v/>
      </c>
      <c r="AL684" s="390" t="str">
        <f t="array" ref="AL684">IF(AJ684&lt;&gt;"",INDEX(TM_Score1,MATCH(1,(TM_Events=D684)*(TM_Participant1=AJ684)*(TM_Participant2=G684),0)),"")</f>
        <v/>
      </c>
      <c r="AM684" s="389" t="str">
        <f t="array" ref="AM684">IF(ISNUMBER(AK684),INDEX(TM_Score2,MATCH(1,(TM_Events=D684)*(TM_Participant1=G684)*(TM_Participant2=AJ684),0)),"")</f>
        <v/>
      </c>
      <c r="AN684" s="389" t="str">
        <f t="array" ref="AN684">IF(ISNUMBER(AL684),INDEX(TM_Score2,MATCH(1,(TM_Events=D684)*(TM_Participant1=AJ684)*(TM_Participant2=G684),0)),"")</f>
        <v/>
      </c>
      <c r="AO684" s="389" t="str">
        <f t="shared" si="310"/>
        <v/>
      </c>
      <c r="AP684" s="389">
        <f t="shared" si="311"/>
        <v>0</v>
      </c>
      <c r="AQ684" s="389">
        <f t="shared" si="312"/>
        <v>0</v>
      </c>
      <c r="AR684" s="389">
        <f t="shared" si="313"/>
        <v>0</v>
      </c>
      <c r="AS684" s="453">
        <f t="shared" si="314"/>
        <v>0</v>
      </c>
      <c r="AT684" s="452">
        <f t="shared" si="315"/>
        <v>0</v>
      </c>
    </row>
    <row r="685" spans="2:46" ht="16" x14ac:dyDescent="0.2">
      <c r="B685"/>
      <c r="H685" s="387" t="str">
        <f t="shared" si="290"/>
        <v>0-0-0</v>
      </c>
      <c r="I685" s="389">
        <f t="shared" si="291"/>
        <v>0</v>
      </c>
      <c r="J685" s="455" t="str">
        <f t="shared" si="316"/>
        <v/>
      </c>
      <c r="K685" s="455">
        <f t="shared" si="292"/>
        <v>0</v>
      </c>
      <c r="L685" s="455">
        <f t="shared" si="317"/>
        <v>0</v>
      </c>
      <c r="M685" s="389" t="str">
        <f>IFERROR(IF(AD685&lt;=VLOOKUP(D685,Tournaments!$A$1:$B$1772,2,FALSE),"TRUE","FALSE"),"")</f>
        <v/>
      </c>
      <c r="N685" s="389">
        <v>1</v>
      </c>
      <c r="O685" s="389">
        <f t="shared" si="293"/>
        <v>0</v>
      </c>
      <c r="Q685" s="389">
        <f t="shared" si="294"/>
        <v>0</v>
      </c>
      <c r="R685" s="389">
        <f t="shared" si="295"/>
        <v>0</v>
      </c>
      <c r="S685" s="389">
        <f t="shared" si="296"/>
        <v>0</v>
      </c>
      <c r="U685" s="389">
        <f t="shared" si="297"/>
        <v>0</v>
      </c>
      <c r="V685" s="389" t="b">
        <f t="shared" si="298"/>
        <v>0</v>
      </c>
      <c r="W685" s="389">
        <f t="shared" si="299"/>
        <v>0</v>
      </c>
      <c r="X685" s="389">
        <f t="shared" si="300"/>
        <v>0</v>
      </c>
      <c r="Y685" s="389">
        <f t="shared" si="318"/>
        <v>1.0999999999999999E-2</v>
      </c>
      <c r="Z685" s="389">
        <f t="shared" si="301"/>
        <v>1.0999999999999999E-2</v>
      </c>
      <c r="AA685" s="389">
        <f t="shared" si="302"/>
        <v>0</v>
      </c>
      <c r="AB685" s="389">
        <f t="shared" si="303"/>
        <v>1E-4</v>
      </c>
      <c r="AC685" s="389">
        <f t="shared" si="304"/>
        <v>1E-4</v>
      </c>
      <c r="AD685" s="389">
        <f t="shared" si="305"/>
        <v>0</v>
      </c>
      <c r="AE685" s="389">
        <f t="shared" si="306"/>
        <v>0</v>
      </c>
      <c r="AG685" s="311" t="str">
        <f t="shared" si="307"/>
        <v>-</v>
      </c>
      <c r="AH685" s="453" t="str">
        <f t="shared" si="308"/>
        <v/>
      </c>
      <c r="AI685" s="453" t="str">
        <f t="shared" si="309"/>
        <v/>
      </c>
      <c r="AJ685" t="str">
        <f t="array" ref="AJ685">IF(AND(AI685&gt;1,G685&lt;&gt;""),INDEX(FS_teams,MATCH(1,(FS_Keys=AG685)*(FS_Points=I685)*(FS_teams&lt;&gt;G685),0)),"")</f>
        <v/>
      </c>
      <c r="AK685" s="390" t="str">
        <f t="array" ref="AK685">IF(AJ685&lt;&gt;"",INDEX(TM_Score1,MATCH(1,(TM_Events=D685)*(TM_Participant1=G685)*(TM_Participant2=AJ685),0)),"")</f>
        <v/>
      </c>
      <c r="AL685" s="390" t="str">
        <f t="array" ref="AL685">IF(AJ685&lt;&gt;"",INDEX(TM_Score1,MATCH(1,(TM_Events=D685)*(TM_Participant1=AJ685)*(TM_Participant2=G685),0)),"")</f>
        <v/>
      </c>
      <c r="AM685" s="389" t="str">
        <f t="array" ref="AM685">IF(ISNUMBER(AK685),INDEX(TM_Score2,MATCH(1,(TM_Events=D685)*(TM_Participant1=G685)*(TM_Participant2=AJ685),0)),"")</f>
        <v/>
      </c>
      <c r="AN685" s="389" t="str">
        <f t="array" ref="AN685">IF(ISNUMBER(AL685),INDEX(TM_Score2,MATCH(1,(TM_Events=D685)*(TM_Participant1=AJ685)*(TM_Participant2=G685),0)),"")</f>
        <v/>
      </c>
      <c r="AO685" s="389" t="str">
        <f t="shared" si="310"/>
        <v/>
      </c>
      <c r="AP685" s="389">
        <f t="shared" si="311"/>
        <v>0</v>
      </c>
      <c r="AQ685" s="389">
        <f t="shared" si="312"/>
        <v>0</v>
      </c>
      <c r="AR685" s="389">
        <f t="shared" si="313"/>
        <v>0</v>
      </c>
      <c r="AS685" s="453">
        <f t="shared" si="314"/>
        <v>0</v>
      </c>
      <c r="AT685" s="452">
        <f t="shared" si="315"/>
        <v>0</v>
      </c>
    </row>
    <row r="686" spans="2:46" ht="16" x14ac:dyDescent="0.2">
      <c r="B686"/>
      <c r="H686" s="387" t="str">
        <f t="shared" si="290"/>
        <v>0-0-0</v>
      </c>
      <c r="I686" s="389">
        <f t="shared" si="291"/>
        <v>0</v>
      </c>
      <c r="J686" s="455" t="str">
        <f t="shared" si="316"/>
        <v/>
      </c>
      <c r="K686" s="455">
        <f t="shared" si="292"/>
        <v>0</v>
      </c>
      <c r="L686" s="455">
        <f t="shared" si="317"/>
        <v>0</v>
      </c>
      <c r="M686" s="389" t="str">
        <f>IFERROR(IF(AD686&lt;=VLOOKUP(D686,Tournaments!$A$1:$B$1772,2,FALSE),"TRUE","FALSE"),"")</f>
        <v/>
      </c>
      <c r="N686" s="389">
        <v>1</v>
      </c>
      <c r="O686" s="389">
        <f t="shared" si="293"/>
        <v>0</v>
      </c>
      <c r="Q686" s="389">
        <f t="shared" si="294"/>
        <v>0</v>
      </c>
      <c r="R686" s="389">
        <f t="shared" si="295"/>
        <v>0</v>
      </c>
      <c r="S686" s="389">
        <f t="shared" si="296"/>
        <v>0</v>
      </c>
      <c r="U686" s="389">
        <f t="shared" si="297"/>
        <v>0</v>
      </c>
      <c r="V686" s="389" t="b">
        <f t="shared" si="298"/>
        <v>0</v>
      </c>
      <c r="W686" s="389">
        <f t="shared" si="299"/>
        <v>0</v>
      </c>
      <c r="X686" s="389">
        <f t="shared" si="300"/>
        <v>0</v>
      </c>
      <c r="Y686" s="389">
        <f t="shared" si="318"/>
        <v>1.0999999999999999E-2</v>
      </c>
      <c r="Z686" s="389">
        <f t="shared" si="301"/>
        <v>1.0999999999999999E-2</v>
      </c>
      <c r="AA686" s="389">
        <f t="shared" si="302"/>
        <v>0</v>
      </c>
      <c r="AB686" s="389">
        <f t="shared" si="303"/>
        <v>1E-4</v>
      </c>
      <c r="AC686" s="389">
        <f t="shared" si="304"/>
        <v>1E-4</v>
      </c>
      <c r="AD686" s="389">
        <f t="shared" si="305"/>
        <v>0</v>
      </c>
      <c r="AE686" s="389">
        <f t="shared" si="306"/>
        <v>0</v>
      </c>
      <c r="AG686" s="311" t="str">
        <f t="shared" si="307"/>
        <v>-</v>
      </c>
      <c r="AH686" s="453" t="str">
        <f t="shared" si="308"/>
        <v/>
      </c>
      <c r="AI686" s="453" t="str">
        <f t="shared" si="309"/>
        <v/>
      </c>
      <c r="AJ686" t="str">
        <f t="array" ref="AJ686">IF(AND(AI686&gt;1,G686&lt;&gt;""),INDEX(FS_teams,MATCH(1,(FS_Keys=AG686)*(FS_Points=I686)*(FS_teams&lt;&gt;G686),0)),"")</f>
        <v/>
      </c>
      <c r="AK686" s="390" t="str">
        <f t="array" ref="AK686">IF(AJ686&lt;&gt;"",INDEX(TM_Score1,MATCH(1,(TM_Events=D686)*(TM_Participant1=G686)*(TM_Participant2=AJ686),0)),"")</f>
        <v/>
      </c>
      <c r="AL686" s="390" t="str">
        <f t="array" ref="AL686">IF(AJ686&lt;&gt;"",INDEX(TM_Score1,MATCH(1,(TM_Events=D686)*(TM_Participant1=AJ686)*(TM_Participant2=G686),0)),"")</f>
        <v/>
      </c>
      <c r="AM686" s="389" t="str">
        <f t="array" ref="AM686">IF(ISNUMBER(AK686),INDEX(TM_Score2,MATCH(1,(TM_Events=D686)*(TM_Participant1=G686)*(TM_Participant2=AJ686),0)),"")</f>
        <v/>
      </c>
      <c r="AN686" s="389" t="str">
        <f t="array" ref="AN686">IF(ISNUMBER(AL686),INDEX(TM_Score2,MATCH(1,(TM_Events=D686)*(TM_Participant1=AJ686)*(TM_Participant2=G686),0)),"")</f>
        <v/>
      </c>
      <c r="AO686" s="389" t="str">
        <f t="shared" si="310"/>
        <v/>
      </c>
      <c r="AP686" s="389">
        <f t="shared" si="311"/>
        <v>0</v>
      </c>
      <c r="AQ686" s="389">
        <f t="shared" si="312"/>
        <v>0</v>
      </c>
      <c r="AR686" s="389">
        <f t="shared" si="313"/>
        <v>0</v>
      </c>
      <c r="AS686" s="453">
        <f t="shared" si="314"/>
        <v>0</v>
      </c>
      <c r="AT686" s="452">
        <f t="shared" si="315"/>
        <v>0</v>
      </c>
    </row>
    <row r="687" spans="2:46" ht="16" x14ac:dyDescent="0.2">
      <c r="B687"/>
      <c r="H687" s="387" t="str">
        <f t="shared" si="290"/>
        <v>0-0-0</v>
      </c>
      <c r="I687" s="389">
        <f t="shared" si="291"/>
        <v>0</v>
      </c>
      <c r="J687" s="455" t="str">
        <f t="shared" si="316"/>
        <v/>
      </c>
      <c r="K687" s="455">
        <f t="shared" si="292"/>
        <v>0</v>
      </c>
      <c r="L687" s="455">
        <f t="shared" si="317"/>
        <v>0</v>
      </c>
      <c r="M687" s="389" t="str">
        <f>IFERROR(IF(AD687&lt;=VLOOKUP(D687,Tournaments!$A$1:$B$1772,2,FALSE),"TRUE","FALSE"),"")</f>
        <v/>
      </c>
      <c r="N687" s="389">
        <v>1</v>
      </c>
      <c r="O687" s="389">
        <f t="shared" si="293"/>
        <v>0</v>
      </c>
      <c r="Q687" s="389">
        <f t="shared" si="294"/>
        <v>0</v>
      </c>
      <c r="R687" s="389">
        <f t="shared" si="295"/>
        <v>0</v>
      </c>
      <c r="S687" s="389">
        <f t="shared" si="296"/>
        <v>0</v>
      </c>
      <c r="U687" s="389">
        <f t="shared" si="297"/>
        <v>0</v>
      </c>
      <c r="V687" s="389" t="b">
        <f t="shared" si="298"/>
        <v>0</v>
      </c>
      <c r="W687" s="389">
        <f t="shared" si="299"/>
        <v>0</v>
      </c>
      <c r="X687" s="389">
        <f t="shared" si="300"/>
        <v>0</v>
      </c>
      <c r="Y687" s="389">
        <f t="shared" si="318"/>
        <v>1.0999999999999999E-2</v>
      </c>
      <c r="Z687" s="389">
        <f t="shared" si="301"/>
        <v>1.0999999999999999E-2</v>
      </c>
      <c r="AA687" s="389">
        <f t="shared" si="302"/>
        <v>0</v>
      </c>
      <c r="AB687" s="389">
        <f t="shared" si="303"/>
        <v>1E-4</v>
      </c>
      <c r="AC687" s="389">
        <f t="shared" si="304"/>
        <v>1E-4</v>
      </c>
      <c r="AD687" s="389">
        <f t="shared" si="305"/>
        <v>0</v>
      </c>
      <c r="AE687" s="389">
        <f t="shared" si="306"/>
        <v>0</v>
      </c>
      <c r="AG687" s="311" t="str">
        <f t="shared" si="307"/>
        <v>-</v>
      </c>
      <c r="AH687" s="453" t="str">
        <f t="shared" si="308"/>
        <v/>
      </c>
      <c r="AI687" s="453" t="str">
        <f t="shared" si="309"/>
        <v/>
      </c>
      <c r="AJ687" t="str">
        <f t="array" ref="AJ687">IF(AND(AI687&gt;1,G687&lt;&gt;""),INDEX(FS_teams,MATCH(1,(FS_Keys=AG687)*(FS_Points=I687)*(FS_teams&lt;&gt;G687),0)),"")</f>
        <v/>
      </c>
      <c r="AK687" s="390" t="str">
        <f t="array" ref="AK687">IF(AJ687&lt;&gt;"",INDEX(TM_Score1,MATCH(1,(TM_Events=D687)*(TM_Participant1=G687)*(TM_Participant2=AJ687),0)),"")</f>
        <v/>
      </c>
      <c r="AL687" s="390" t="str">
        <f t="array" ref="AL687">IF(AJ687&lt;&gt;"",INDEX(TM_Score1,MATCH(1,(TM_Events=D687)*(TM_Participant1=AJ687)*(TM_Participant2=G687),0)),"")</f>
        <v/>
      </c>
      <c r="AM687" s="389" t="str">
        <f t="array" ref="AM687">IF(ISNUMBER(AK687),INDEX(TM_Score2,MATCH(1,(TM_Events=D687)*(TM_Participant1=G687)*(TM_Participant2=AJ687),0)),"")</f>
        <v/>
      </c>
      <c r="AN687" s="389" t="str">
        <f t="array" ref="AN687">IF(ISNUMBER(AL687),INDEX(TM_Score2,MATCH(1,(TM_Events=D687)*(TM_Participant1=AJ687)*(TM_Participant2=G687),0)),"")</f>
        <v/>
      </c>
      <c r="AO687" s="389" t="str">
        <f t="shared" si="310"/>
        <v/>
      </c>
      <c r="AP687" s="389">
        <f t="shared" si="311"/>
        <v>0</v>
      </c>
      <c r="AQ687" s="389">
        <f t="shared" si="312"/>
        <v>0</v>
      </c>
      <c r="AR687" s="389">
        <f t="shared" si="313"/>
        <v>0</v>
      </c>
      <c r="AS687" s="453">
        <f t="shared" si="314"/>
        <v>0</v>
      </c>
      <c r="AT687" s="452">
        <f t="shared" si="315"/>
        <v>0</v>
      </c>
    </row>
    <row r="688" spans="2:46" ht="16" x14ac:dyDescent="0.2">
      <c r="B688"/>
      <c r="H688" s="387" t="str">
        <f t="shared" si="290"/>
        <v>0-0-0</v>
      </c>
      <c r="I688" s="389">
        <f t="shared" si="291"/>
        <v>0</v>
      </c>
      <c r="J688" s="455" t="str">
        <f t="shared" si="316"/>
        <v/>
      </c>
      <c r="K688" s="455">
        <f t="shared" si="292"/>
        <v>0</v>
      </c>
      <c r="L688" s="455">
        <f t="shared" si="317"/>
        <v>0</v>
      </c>
      <c r="M688" s="389" t="str">
        <f>IFERROR(IF(AD688&lt;=VLOOKUP(D688,Tournaments!$A$1:$B$1772,2,FALSE),"TRUE","FALSE"),"")</f>
        <v/>
      </c>
      <c r="N688" s="389">
        <v>1</v>
      </c>
      <c r="O688" s="389">
        <f t="shared" si="293"/>
        <v>0</v>
      </c>
      <c r="Q688" s="389">
        <f t="shared" si="294"/>
        <v>0</v>
      </c>
      <c r="R688" s="389">
        <f t="shared" si="295"/>
        <v>0</v>
      </c>
      <c r="S688" s="389">
        <f t="shared" si="296"/>
        <v>0</v>
      </c>
      <c r="U688" s="389">
        <f t="shared" si="297"/>
        <v>0</v>
      </c>
      <c r="V688" s="389" t="b">
        <f t="shared" si="298"/>
        <v>0</v>
      </c>
      <c r="W688" s="389">
        <f t="shared" si="299"/>
        <v>0</v>
      </c>
      <c r="X688" s="389">
        <f t="shared" si="300"/>
        <v>0</v>
      </c>
      <c r="Y688" s="389">
        <f t="shared" si="318"/>
        <v>1.0999999999999999E-2</v>
      </c>
      <c r="Z688" s="389">
        <f t="shared" si="301"/>
        <v>1.0999999999999999E-2</v>
      </c>
      <c r="AA688" s="389">
        <f t="shared" si="302"/>
        <v>0</v>
      </c>
      <c r="AB688" s="389">
        <f t="shared" si="303"/>
        <v>1E-4</v>
      </c>
      <c r="AC688" s="389">
        <f t="shared" si="304"/>
        <v>1E-4</v>
      </c>
      <c r="AD688" s="389">
        <f t="shared" si="305"/>
        <v>0</v>
      </c>
      <c r="AE688" s="389">
        <f t="shared" si="306"/>
        <v>0</v>
      </c>
      <c r="AG688" s="311" t="str">
        <f t="shared" si="307"/>
        <v>-</v>
      </c>
      <c r="AH688" s="453" t="str">
        <f t="shared" si="308"/>
        <v/>
      </c>
      <c r="AI688" s="453" t="str">
        <f t="shared" si="309"/>
        <v/>
      </c>
      <c r="AJ688" t="str">
        <f t="array" ref="AJ688">IF(AND(AI688&gt;1,G688&lt;&gt;""),INDEX(FS_teams,MATCH(1,(FS_Keys=AG688)*(FS_Points=I688)*(FS_teams&lt;&gt;G688),0)),"")</f>
        <v/>
      </c>
      <c r="AK688" s="390" t="str">
        <f t="array" ref="AK688">IF(AJ688&lt;&gt;"",INDEX(TM_Score1,MATCH(1,(TM_Events=D688)*(TM_Participant1=G688)*(TM_Participant2=AJ688),0)),"")</f>
        <v/>
      </c>
      <c r="AL688" s="390" t="str">
        <f t="array" ref="AL688">IF(AJ688&lt;&gt;"",INDEX(TM_Score1,MATCH(1,(TM_Events=D688)*(TM_Participant1=AJ688)*(TM_Participant2=G688),0)),"")</f>
        <v/>
      </c>
      <c r="AM688" s="389" t="str">
        <f t="array" ref="AM688">IF(ISNUMBER(AK688),INDEX(TM_Score2,MATCH(1,(TM_Events=D688)*(TM_Participant1=G688)*(TM_Participant2=AJ688),0)),"")</f>
        <v/>
      </c>
      <c r="AN688" s="389" t="str">
        <f t="array" ref="AN688">IF(ISNUMBER(AL688),INDEX(TM_Score2,MATCH(1,(TM_Events=D688)*(TM_Participant1=AJ688)*(TM_Participant2=G688),0)),"")</f>
        <v/>
      </c>
      <c r="AO688" s="389" t="str">
        <f t="shared" si="310"/>
        <v/>
      </c>
      <c r="AP688" s="389">
        <f t="shared" si="311"/>
        <v>0</v>
      </c>
      <c r="AQ688" s="389">
        <f t="shared" si="312"/>
        <v>0</v>
      </c>
      <c r="AR688" s="389">
        <f t="shared" si="313"/>
        <v>0</v>
      </c>
      <c r="AS688" s="453">
        <f t="shared" si="314"/>
        <v>0</v>
      </c>
      <c r="AT688" s="452">
        <f t="shared" si="315"/>
        <v>0</v>
      </c>
    </row>
    <row r="689" spans="2:46" ht="16" x14ac:dyDescent="0.2">
      <c r="B689"/>
      <c r="H689" s="387" t="str">
        <f t="shared" si="290"/>
        <v>0-0-0</v>
      </c>
      <c r="I689" s="389">
        <f t="shared" si="291"/>
        <v>0</v>
      </c>
      <c r="J689" s="455" t="str">
        <f t="shared" si="316"/>
        <v/>
      </c>
      <c r="K689" s="455">
        <f t="shared" si="292"/>
        <v>0</v>
      </c>
      <c r="L689" s="455">
        <f t="shared" si="317"/>
        <v>0</v>
      </c>
      <c r="M689" s="389" t="str">
        <f>IFERROR(IF(AD689&lt;=VLOOKUP(D689,Tournaments!$A$1:$B$1772,2,FALSE),"TRUE","FALSE"),"")</f>
        <v/>
      </c>
      <c r="N689" s="389">
        <v>1</v>
      </c>
      <c r="O689" s="389">
        <f t="shared" si="293"/>
        <v>0</v>
      </c>
      <c r="Q689" s="389">
        <f t="shared" si="294"/>
        <v>0</v>
      </c>
      <c r="R689" s="389">
        <f t="shared" si="295"/>
        <v>0</v>
      </c>
      <c r="S689" s="389">
        <f t="shared" si="296"/>
        <v>0</v>
      </c>
      <c r="U689" s="389">
        <f t="shared" si="297"/>
        <v>0</v>
      </c>
      <c r="V689" s="389" t="b">
        <f t="shared" si="298"/>
        <v>0</v>
      </c>
      <c r="W689" s="389">
        <f t="shared" si="299"/>
        <v>0</v>
      </c>
      <c r="X689" s="389">
        <f t="shared" si="300"/>
        <v>0</v>
      </c>
      <c r="Y689" s="389">
        <f t="shared" si="318"/>
        <v>1.0999999999999999E-2</v>
      </c>
      <c r="Z689" s="389">
        <f t="shared" si="301"/>
        <v>1.0999999999999999E-2</v>
      </c>
      <c r="AA689" s="389">
        <f t="shared" si="302"/>
        <v>0</v>
      </c>
      <c r="AB689" s="389">
        <f t="shared" si="303"/>
        <v>1E-4</v>
      </c>
      <c r="AC689" s="389">
        <f t="shared" si="304"/>
        <v>1E-4</v>
      </c>
      <c r="AD689" s="389">
        <f t="shared" si="305"/>
        <v>0</v>
      </c>
      <c r="AE689" s="389">
        <f t="shared" si="306"/>
        <v>0</v>
      </c>
      <c r="AG689" s="311" t="str">
        <f t="shared" si="307"/>
        <v>-</v>
      </c>
      <c r="AH689" s="453" t="str">
        <f t="shared" si="308"/>
        <v/>
      </c>
      <c r="AI689" s="453" t="str">
        <f t="shared" si="309"/>
        <v/>
      </c>
      <c r="AJ689" t="str">
        <f t="array" ref="AJ689">IF(AND(AI689&gt;1,G689&lt;&gt;""),INDEX(FS_teams,MATCH(1,(FS_Keys=AG689)*(FS_Points=I689)*(FS_teams&lt;&gt;G689),0)),"")</f>
        <v/>
      </c>
      <c r="AK689" s="390" t="str">
        <f t="array" ref="AK689">IF(AJ689&lt;&gt;"",INDEX(TM_Score1,MATCH(1,(TM_Events=D689)*(TM_Participant1=G689)*(TM_Participant2=AJ689),0)),"")</f>
        <v/>
      </c>
      <c r="AL689" s="390" t="str">
        <f t="array" ref="AL689">IF(AJ689&lt;&gt;"",INDEX(TM_Score1,MATCH(1,(TM_Events=D689)*(TM_Participant1=AJ689)*(TM_Participant2=G689),0)),"")</f>
        <v/>
      </c>
      <c r="AM689" s="389" t="str">
        <f t="array" ref="AM689">IF(ISNUMBER(AK689),INDEX(TM_Score2,MATCH(1,(TM_Events=D689)*(TM_Participant1=G689)*(TM_Participant2=AJ689),0)),"")</f>
        <v/>
      </c>
      <c r="AN689" s="389" t="str">
        <f t="array" ref="AN689">IF(ISNUMBER(AL689),INDEX(TM_Score2,MATCH(1,(TM_Events=D689)*(TM_Participant1=AJ689)*(TM_Participant2=G689),0)),"")</f>
        <v/>
      </c>
      <c r="AO689" s="389" t="str">
        <f t="shared" si="310"/>
        <v/>
      </c>
      <c r="AP689" s="389">
        <f t="shared" si="311"/>
        <v>0</v>
      </c>
      <c r="AQ689" s="389">
        <f t="shared" si="312"/>
        <v>0</v>
      </c>
      <c r="AR689" s="389">
        <f t="shared" si="313"/>
        <v>0</v>
      </c>
      <c r="AS689" s="453">
        <f t="shared" si="314"/>
        <v>0</v>
      </c>
      <c r="AT689" s="452">
        <f t="shared" si="315"/>
        <v>0</v>
      </c>
    </row>
    <row r="690" spans="2:46" ht="16" x14ac:dyDescent="0.2">
      <c r="B690"/>
      <c r="H690" s="387" t="str">
        <f t="shared" si="290"/>
        <v>0-0-0</v>
      </c>
      <c r="I690" s="389">
        <f t="shared" si="291"/>
        <v>0</v>
      </c>
      <c r="J690" s="455" t="str">
        <f t="shared" si="316"/>
        <v/>
      </c>
      <c r="K690" s="455">
        <f t="shared" si="292"/>
        <v>0</v>
      </c>
      <c r="L690" s="455">
        <f t="shared" si="317"/>
        <v>0</v>
      </c>
      <c r="M690" s="389" t="str">
        <f>IFERROR(IF(AD690&lt;=VLOOKUP(D690,Tournaments!$A$1:$B$1772,2,FALSE),"TRUE","FALSE"),"")</f>
        <v/>
      </c>
      <c r="N690" s="389">
        <v>1</v>
      </c>
      <c r="O690" s="389">
        <f t="shared" si="293"/>
        <v>0</v>
      </c>
      <c r="Q690" s="389">
        <f t="shared" si="294"/>
        <v>0</v>
      </c>
      <c r="R690" s="389">
        <f t="shared" si="295"/>
        <v>0</v>
      </c>
      <c r="S690" s="389">
        <f t="shared" si="296"/>
        <v>0</v>
      </c>
      <c r="U690" s="389">
        <f t="shared" si="297"/>
        <v>0</v>
      </c>
      <c r="V690" s="389" t="b">
        <f t="shared" si="298"/>
        <v>0</v>
      </c>
      <c r="W690" s="389">
        <f t="shared" si="299"/>
        <v>0</v>
      </c>
      <c r="X690" s="389">
        <f t="shared" si="300"/>
        <v>0</v>
      </c>
      <c r="Y690" s="389">
        <f t="shared" si="318"/>
        <v>1.0999999999999999E-2</v>
      </c>
      <c r="Z690" s="389">
        <f t="shared" si="301"/>
        <v>1.0999999999999999E-2</v>
      </c>
      <c r="AA690" s="389">
        <f t="shared" si="302"/>
        <v>0</v>
      </c>
      <c r="AB690" s="389">
        <f t="shared" si="303"/>
        <v>1E-4</v>
      </c>
      <c r="AC690" s="389">
        <f t="shared" si="304"/>
        <v>1E-4</v>
      </c>
      <c r="AD690" s="389">
        <f t="shared" si="305"/>
        <v>0</v>
      </c>
      <c r="AE690" s="389">
        <f t="shared" si="306"/>
        <v>0</v>
      </c>
      <c r="AG690" s="311" t="str">
        <f t="shared" si="307"/>
        <v>-</v>
      </c>
      <c r="AH690" s="453" t="str">
        <f t="shared" si="308"/>
        <v/>
      </c>
      <c r="AI690" s="453" t="str">
        <f t="shared" si="309"/>
        <v/>
      </c>
      <c r="AJ690" t="str">
        <f t="array" ref="AJ690">IF(AND(AI690&gt;1,G690&lt;&gt;""),INDEX(FS_teams,MATCH(1,(FS_Keys=AG690)*(FS_Points=I690)*(FS_teams&lt;&gt;G690),0)),"")</f>
        <v/>
      </c>
      <c r="AK690" s="390" t="str">
        <f t="array" ref="AK690">IF(AJ690&lt;&gt;"",INDEX(TM_Score1,MATCH(1,(TM_Events=D690)*(TM_Participant1=G690)*(TM_Participant2=AJ690),0)),"")</f>
        <v/>
      </c>
      <c r="AL690" s="390" t="str">
        <f t="array" ref="AL690">IF(AJ690&lt;&gt;"",INDEX(TM_Score1,MATCH(1,(TM_Events=D690)*(TM_Participant1=AJ690)*(TM_Participant2=G690),0)),"")</f>
        <v/>
      </c>
      <c r="AM690" s="389" t="str">
        <f t="array" ref="AM690">IF(ISNUMBER(AK690),INDEX(TM_Score2,MATCH(1,(TM_Events=D690)*(TM_Participant1=G690)*(TM_Participant2=AJ690),0)),"")</f>
        <v/>
      </c>
      <c r="AN690" s="389" t="str">
        <f t="array" ref="AN690">IF(ISNUMBER(AL690),INDEX(TM_Score2,MATCH(1,(TM_Events=D690)*(TM_Participant1=AJ690)*(TM_Participant2=G690),0)),"")</f>
        <v/>
      </c>
      <c r="AO690" s="389" t="str">
        <f t="shared" si="310"/>
        <v/>
      </c>
      <c r="AP690" s="389">
        <f t="shared" si="311"/>
        <v>0</v>
      </c>
      <c r="AQ690" s="389">
        <f t="shared" si="312"/>
        <v>0</v>
      </c>
      <c r="AR690" s="389">
        <f t="shared" si="313"/>
        <v>0</v>
      </c>
      <c r="AS690" s="453">
        <f t="shared" si="314"/>
        <v>0</v>
      </c>
      <c r="AT690" s="452">
        <f t="shared" si="315"/>
        <v>0</v>
      </c>
    </row>
    <row r="691" spans="2:46" ht="16" x14ac:dyDescent="0.2">
      <c r="B691"/>
      <c r="H691" s="387" t="str">
        <f t="shared" si="290"/>
        <v>0-0-0</v>
      </c>
      <c r="I691" s="389">
        <f t="shared" si="291"/>
        <v>0</v>
      </c>
      <c r="J691" s="455" t="str">
        <f t="shared" si="316"/>
        <v/>
      </c>
      <c r="K691" s="455">
        <f t="shared" si="292"/>
        <v>0</v>
      </c>
      <c r="L691" s="455">
        <f t="shared" si="317"/>
        <v>0</v>
      </c>
      <c r="M691" s="389" t="str">
        <f>IFERROR(IF(AD691&lt;=VLOOKUP(D691,Tournaments!$A$1:$B$1772,2,FALSE),"TRUE","FALSE"),"")</f>
        <v/>
      </c>
      <c r="N691" s="389">
        <v>1</v>
      </c>
      <c r="O691" s="389">
        <f t="shared" si="293"/>
        <v>0</v>
      </c>
      <c r="Q691" s="389">
        <f t="shared" si="294"/>
        <v>0</v>
      </c>
      <c r="R691" s="389">
        <f t="shared" si="295"/>
        <v>0</v>
      </c>
      <c r="S691" s="389">
        <f t="shared" si="296"/>
        <v>0</v>
      </c>
      <c r="U691" s="389">
        <f t="shared" si="297"/>
        <v>0</v>
      </c>
      <c r="V691" s="389" t="b">
        <f t="shared" si="298"/>
        <v>0</v>
      </c>
      <c r="W691" s="389">
        <f t="shared" si="299"/>
        <v>0</v>
      </c>
      <c r="X691" s="389">
        <f t="shared" si="300"/>
        <v>0</v>
      </c>
      <c r="Y691" s="389">
        <f t="shared" si="318"/>
        <v>1.0999999999999999E-2</v>
      </c>
      <c r="Z691" s="389">
        <f t="shared" si="301"/>
        <v>1.0999999999999999E-2</v>
      </c>
      <c r="AA691" s="389">
        <f t="shared" si="302"/>
        <v>0</v>
      </c>
      <c r="AB691" s="389">
        <f t="shared" si="303"/>
        <v>1E-4</v>
      </c>
      <c r="AC691" s="389">
        <f t="shared" si="304"/>
        <v>1E-4</v>
      </c>
      <c r="AD691" s="389">
        <f t="shared" si="305"/>
        <v>0</v>
      </c>
      <c r="AE691" s="389">
        <f t="shared" si="306"/>
        <v>0</v>
      </c>
      <c r="AG691" s="311" t="str">
        <f t="shared" si="307"/>
        <v>-</v>
      </c>
      <c r="AH691" s="453" t="str">
        <f t="shared" si="308"/>
        <v/>
      </c>
      <c r="AI691" s="453" t="str">
        <f t="shared" si="309"/>
        <v/>
      </c>
      <c r="AJ691" t="str">
        <f t="array" ref="AJ691">IF(AND(AI691&gt;1,G691&lt;&gt;""),INDEX(FS_teams,MATCH(1,(FS_Keys=AG691)*(FS_Points=I691)*(FS_teams&lt;&gt;G691),0)),"")</f>
        <v/>
      </c>
      <c r="AK691" s="390" t="str">
        <f t="array" ref="AK691">IF(AJ691&lt;&gt;"",INDEX(TM_Score1,MATCH(1,(TM_Events=D691)*(TM_Participant1=G691)*(TM_Participant2=AJ691),0)),"")</f>
        <v/>
      </c>
      <c r="AL691" s="390" t="str">
        <f t="array" ref="AL691">IF(AJ691&lt;&gt;"",INDEX(TM_Score1,MATCH(1,(TM_Events=D691)*(TM_Participant1=AJ691)*(TM_Participant2=G691),0)),"")</f>
        <v/>
      </c>
      <c r="AM691" s="389" t="str">
        <f t="array" ref="AM691">IF(ISNUMBER(AK691),INDEX(TM_Score2,MATCH(1,(TM_Events=D691)*(TM_Participant1=G691)*(TM_Participant2=AJ691),0)),"")</f>
        <v/>
      </c>
      <c r="AN691" s="389" t="str">
        <f t="array" ref="AN691">IF(ISNUMBER(AL691),INDEX(TM_Score2,MATCH(1,(TM_Events=D691)*(TM_Participant1=AJ691)*(TM_Participant2=G691),0)),"")</f>
        <v/>
      </c>
      <c r="AO691" s="389" t="str">
        <f t="shared" si="310"/>
        <v/>
      </c>
      <c r="AP691" s="389">
        <f t="shared" si="311"/>
        <v>0</v>
      </c>
      <c r="AQ691" s="389">
        <f t="shared" si="312"/>
        <v>0</v>
      </c>
      <c r="AR691" s="389">
        <f t="shared" si="313"/>
        <v>0</v>
      </c>
      <c r="AS691" s="453">
        <f t="shared" si="314"/>
        <v>0</v>
      </c>
      <c r="AT691" s="452">
        <f t="shared" si="315"/>
        <v>0</v>
      </c>
    </row>
    <row r="692" spans="2:46" ht="16" x14ac:dyDescent="0.2">
      <c r="B692"/>
      <c r="H692" s="387" t="str">
        <f t="shared" si="290"/>
        <v>0-0-0</v>
      </c>
      <c r="I692" s="389">
        <f t="shared" si="291"/>
        <v>0</v>
      </c>
      <c r="J692" s="455" t="str">
        <f t="shared" si="316"/>
        <v/>
      </c>
      <c r="K692" s="455">
        <f t="shared" si="292"/>
        <v>0</v>
      </c>
      <c r="L692" s="455">
        <f t="shared" si="317"/>
        <v>0</v>
      </c>
      <c r="M692" s="389" t="str">
        <f>IFERROR(IF(AD692&lt;=VLOOKUP(D692,Tournaments!$A$1:$B$1772,2,FALSE),"TRUE","FALSE"),"")</f>
        <v/>
      </c>
      <c r="N692" s="389">
        <v>1</v>
      </c>
      <c r="O692" s="389">
        <f t="shared" si="293"/>
        <v>0</v>
      </c>
      <c r="Q692" s="389">
        <f t="shared" si="294"/>
        <v>0</v>
      </c>
      <c r="R692" s="389">
        <f t="shared" si="295"/>
        <v>0</v>
      </c>
      <c r="S692" s="389">
        <f t="shared" si="296"/>
        <v>0</v>
      </c>
      <c r="U692" s="389">
        <f t="shared" si="297"/>
        <v>0</v>
      </c>
      <c r="V692" s="389" t="b">
        <f t="shared" si="298"/>
        <v>0</v>
      </c>
      <c r="W692" s="389">
        <f t="shared" si="299"/>
        <v>0</v>
      </c>
      <c r="X692" s="389">
        <f t="shared" si="300"/>
        <v>0</v>
      </c>
      <c r="Y692" s="389">
        <f t="shared" si="318"/>
        <v>1.0999999999999999E-2</v>
      </c>
      <c r="Z692" s="389">
        <f t="shared" si="301"/>
        <v>1.0999999999999999E-2</v>
      </c>
      <c r="AA692" s="389">
        <f t="shared" si="302"/>
        <v>0</v>
      </c>
      <c r="AB692" s="389">
        <f t="shared" si="303"/>
        <v>1E-4</v>
      </c>
      <c r="AC692" s="389">
        <f t="shared" si="304"/>
        <v>1E-4</v>
      </c>
      <c r="AD692" s="389">
        <f t="shared" si="305"/>
        <v>0</v>
      </c>
      <c r="AE692" s="389">
        <f t="shared" si="306"/>
        <v>0</v>
      </c>
      <c r="AG692" s="311" t="str">
        <f t="shared" si="307"/>
        <v>-</v>
      </c>
      <c r="AH692" s="453" t="str">
        <f t="shared" si="308"/>
        <v/>
      </c>
      <c r="AI692" s="453" t="str">
        <f t="shared" si="309"/>
        <v/>
      </c>
      <c r="AJ692" t="str">
        <f t="array" ref="AJ692">IF(AND(AI692&gt;1,G692&lt;&gt;""),INDEX(FS_teams,MATCH(1,(FS_Keys=AG692)*(FS_Points=I692)*(FS_teams&lt;&gt;G692),0)),"")</f>
        <v/>
      </c>
      <c r="AK692" s="390" t="str">
        <f t="array" ref="AK692">IF(AJ692&lt;&gt;"",INDEX(TM_Score1,MATCH(1,(TM_Events=D692)*(TM_Participant1=G692)*(TM_Participant2=AJ692),0)),"")</f>
        <v/>
      </c>
      <c r="AL692" s="390" t="str">
        <f t="array" ref="AL692">IF(AJ692&lt;&gt;"",INDEX(TM_Score1,MATCH(1,(TM_Events=D692)*(TM_Participant1=AJ692)*(TM_Participant2=G692),0)),"")</f>
        <v/>
      </c>
      <c r="AM692" s="389" t="str">
        <f t="array" ref="AM692">IF(ISNUMBER(AK692),INDEX(TM_Score2,MATCH(1,(TM_Events=D692)*(TM_Participant1=G692)*(TM_Participant2=AJ692),0)),"")</f>
        <v/>
      </c>
      <c r="AN692" s="389" t="str">
        <f t="array" ref="AN692">IF(ISNUMBER(AL692),INDEX(TM_Score2,MATCH(1,(TM_Events=D692)*(TM_Participant1=AJ692)*(TM_Participant2=G692),0)),"")</f>
        <v/>
      </c>
      <c r="AO692" s="389" t="str">
        <f t="shared" si="310"/>
        <v/>
      </c>
      <c r="AP692" s="389">
        <f t="shared" si="311"/>
        <v>0</v>
      </c>
      <c r="AQ692" s="389">
        <f t="shared" si="312"/>
        <v>0</v>
      </c>
      <c r="AR692" s="389">
        <f t="shared" si="313"/>
        <v>0</v>
      </c>
      <c r="AS692" s="453">
        <f t="shared" si="314"/>
        <v>0</v>
      </c>
      <c r="AT692" s="452">
        <f t="shared" si="315"/>
        <v>0</v>
      </c>
    </row>
    <row r="693" spans="2:46" ht="16" x14ac:dyDescent="0.2">
      <c r="B693"/>
      <c r="H693" s="387" t="str">
        <f t="shared" si="290"/>
        <v>0-0-0</v>
      </c>
      <c r="I693" s="389">
        <f t="shared" si="291"/>
        <v>0</v>
      </c>
      <c r="J693" s="455" t="str">
        <f t="shared" si="316"/>
        <v/>
      </c>
      <c r="K693" s="455">
        <f t="shared" si="292"/>
        <v>0</v>
      </c>
      <c r="L693" s="455">
        <f t="shared" si="317"/>
        <v>0</v>
      </c>
      <c r="M693" s="389" t="str">
        <f>IFERROR(IF(AD693&lt;=VLOOKUP(D693,Tournaments!$A$1:$B$1772,2,FALSE),"TRUE","FALSE"),"")</f>
        <v/>
      </c>
      <c r="N693" s="389">
        <v>1</v>
      </c>
      <c r="O693" s="389">
        <f t="shared" si="293"/>
        <v>0</v>
      </c>
      <c r="Q693" s="389">
        <f t="shared" si="294"/>
        <v>0</v>
      </c>
      <c r="R693" s="389">
        <f t="shared" si="295"/>
        <v>0</v>
      </c>
      <c r="S693" s="389">
        <f t="shared" si="296"/>
        <v>0</v>
      </c>
      <c r="U693" s="389">
        <f t="shared" si="297"/>
        <v>0</v>
      </c>
      <c r="V693" s="389" t="b">
        <f t="shared" si="298"/>
        <v>0</v>
      </c>
      <c r="W693" s="389">
        <f t="shared" si="299"/>
        <v>0</v>
      </c>
      <c r="X693" s="389">
        <f t="shared" si="300"/>
        <v>0</v>
      </c>
      <c r="Y693" s="389">
        <f t="shared" si="318"/>
        <v>1.0999999999999999E-2</v>
      </c>
      <c r="Z693" s="389">
        <f t="shared" si="301"/>
        <v>1.0999999999999999E-2</v>
      </c>
      <c r="AA693" s="389">
        <f t="shared" si="302"/>
        <v>0</v>
      </c>
      <c r="AB693" s="389">
        <f t="shared" si="303"/>
        <v>1E-4</v>
      </c>
      <c r="AC693" s="389">
        <f t="shared" si="304"/>
        <v>1E-4</v>
      </c>
      <c r="AD693" s="389">
        <f t="shared" si="305"/>
        <v>0</v>
      </c>
      <c r="AE693" s="389">
        <f t="shared" si="306"/>
        <v>0</v>
      </c>
      <c r="AG693" s="311" t="str">
        <f t="shared" si="307"/>
        <v>-</v>
      </c>
      <c r="AH693" s="453" t="str">
        <f t="shared" si="308"/>
        <v/>
      </c>
      <c r="AI693" s="453" t="str">
        <f t="shared" si="309"/>
        <v/>
      </c>
      <c r="AJ693" t="str">
        <f t="array" ref="AJ693">IF(AND(AI693&gt;1,G693&lt;&gt;""),INDEX(FS_teams,MATCH(1,(FS_Keys=AG693)*(FS_Points=I693)*(FS_teams&lt;&gt;G693),0)),"")</f>
        <v/>
      </c>
      <c r="AK693" s="390" t="str">
        <f t="array" ref="AK693">IF(AJ693&lt;&gt;"",INDEX(TM_Score1,MATCH(1,(TM_Events=D693)*(TM_Participant1=G693)*(TM_Participant2=AJ693),0)),"")</f>
        <v/>
      </c>
      <c r="AL693" s="390" t="str">
        <f t="array" ref="AL693">IF(AJ693&lt;&gt;"",INDEX(TM_Score1,MATCH(1,(TM_Events=D693)*(TM_Participant1=AJ693)*(TM_Participant2=G693),0)),"")</f>
        <v/>
      </c>
      <c r="AM693" s="389" t="str">
        <f t="array" ref="AM693">IF(ISNUMBER(AK693),INDEX(TM_Score2,MATCH(1,(TM_Events=D693)*(TM_Participant1=G693)*(TM_Participant2=AJ693),0)),"")</f>
        <v/>
      </c>
      <c r="AN693" s="389" t="str">
        <f t="array" ref="AN693">IF(ISNUMBER(AL693),INDEX(TM_Score2,MATCH(1,(TM_Events=D693)*(TM_Participant1=AJ693)*(TM_Participant2=G693),0)),"")</f>
        <v/>
      </c>
      <c r="AO693" s="389" t="str">
        <f t="shared" si="310"/>
        <v/>
      </c>
      <c r="AP693" s="389">
        <f t="shared" si="311"/>
        <v>0</v>
      </c>
      <c r="AQ693" s="389">
        <f t="shared" si="312"/>
        <v>0</v>
      </c>
      <c r="AR693" s="389">
        <f t="shared" si="313"/>
        <v>0</v>
      </c>
      <c r="AS693" s="453">
        <f t="shared" si="314"/>
        <v>0</v>
      </c>
      <c r="AT693" s="452">
        <f t="shared" si="315"/>
        <v>0</v>
      </c>
    </row>
    <row r="694" spans="2:46" ht="16" x14ac:dyDescent="0.2">
      <c r="B694"/>
      <c r="H694" s="387" t="str">
        <f t="shared" si="290"/>
        <v>0-0-0</v>
      </c>
      <c r="I694" s="389">
        <f t="shared" si="291"/>
        <v>0</v>
      </c>
      <c r="J694" s="455" t="str">
        <f t="shared" si="316"/>
        <v/>
      </c>
      <c r="K694" s="455">
        <f t="shared" si="292"/>
        <v>0</v>
      </c>
      <c r="L694" s="455">
        <f t="shared" si="317"/>
        <v>0</v>
      </c>
      <c r="M694" s="389" t="str">
        <f>IFERROR(IF(AD694&lt;=VLOOKUP(D694,Tournaments!$A$1:$B$1772,2,FALSE),"TRUE","FALSE"),"")</f>
        <v/>
      </c>
      <c r="N694" s="389">
        <v>1</v>
      </c>
      <c r="O694" s="389">
        <f t="shared" si="293"/>
        <v>0</v>
      </c>
      <c r="Q694" s="389">
        <f t="shared" si="294"/>
        <v>0</v>
      </c>
      <c r="R694" s="389">
        <f t="shared" si="295"/>
        <v>0</v>
      </c>
      <c r="S694" s="389">
        <f t="shared" si="296"/>
        <v>0</v>
      </c>
      <c r="U694" s="389">
        <f t="shared" si="297"/>
        <v>0</v>
      </c>
      <c r="V694" s="389" t="b">
        <f t="shared" si="298"/>
        <v>0</v>
      </c>
      <c r="W694" s="389">
        <f t="shared" si="299"/>
        <v>0</v>
      </c>
      <c r="X694" s="389">
        <f t="shared" si="300"/>
        <v>0</v>
      </c>
      <c r="Y694" s="389">
        <f t="shared" si="318"/>
        <v>1.0999999999999999E-2</v>
      </c>
      <c r="Z694" s="389">
        <f t="shared" si="301"/>
        <v>1.0999999999999999E-2</v>
      </c>
      <c r="AA694" s="389">
        <f t="shared" si="302"/>
        <v>0</v>
      </c>
      <c r="AB694" s="389">
        <f t="shared" si="303"/>
        <v>1E-4</v>
      </c>
      <c r="AC694" s="389">
        <f t="shared" si="304"/>
        <v>1E-4</v>
      </c>
      <c r="AD694" s="389">
        <f t="shared" si="305"/>
        <v>0</v>
      </c>
      <c r="AE694" s="389">
        <f t="shared" si="306"/>
        <v>0</v>
      </c>
      <c r="AG694" s="311" t="str">
        <f t="shared" si="307"/>
        <v>-</v>
      </c>
      <c r="AH694" s="453" t="str">
        <f t="shared" si="308"/>
        <v/>
      </c>
      <c r="AI694" s="453" t="str">
        <f t="shared" si="309"/>
        <v/>
      </c>
      <c r="AJ694" t="str">
        <f t="array" ref="AJ694">IF(AND(AI694&gt;1,G694&lt;&gt;""),INDEX(FS_teams,MATCH(1,(FS_Keys=AG694)*(FS_Points=I694)*(FS_teams&lt;&gt;G694),0)),"")</f>
        <v/>
      </c>
      <c r="AK694" s="390" t="str">
        <f t="array" ref="AK694">IF(AJ694&lt;&gt;"",INDEX(TM_Score1,MATCH(1,(TM_Events=D694)*(TM_Participant1=G694)*(TM_Participant2=AJ694),0)),"")</f>
        <v/>
      </c>
      <c r="AL694" s="390" t="str">
        <f t="array" ref="AL694">IF(AJ694&lt;&gt;"",INDEX(TM_Score1,MATCH(1,(TM_Events=D694)*(TM_Participant1=AJ694)*(TM_Participant2=G694),0)),"")</f>
        <v/>
      </c>
      <c r="AM694" s="389" t="str">
        <f t="array" ref="AM694">IF(ISNUMBER(AK694),INDEX(TM_Score2,MATCH(1,(TM_Events=D694)*(TM_Participant1=G694)*(TM_Participant2=AJ694),0)),"")</f>
        <v/>
      </c>
      <c r="AN694" s="389" t="str">
        <f t="array" ref="AN694">IF(ISNUMBER(AL694),INDEX(TM_Score2,MATCH(1,(TM_Events=D694)*(TM_Participant1=AJ694)*(TM_Participant2=G694),0)),"")</f>
        <v/>
      </c>
      <c r="AO694" s="389" t="str">
        <f t="shared" si="310"/>
        <v/>
      </c>
      <c r="AP694" s="389">
        <f t="shared" si="311"/>
        <v>0</v>
      </c>
      <c r="AQ694" s="389">
        <f t="shared" si="312"/>
        <v>0</v>
      </c>
      <c r="AR694" s="389">
        <f t="shared" si="313"/>
        <v>0</v>
      </c>
      <c r="AS694" s="453">
        <f t="shared" si="314"/>
        <v>0</v>
      </c>
      <c r="AT694" s="452">
        <f t="shared" si="315"/>
        <v>0</v>
      </c>
    </row>
    <row r="695" spans="2:46" ht="16" x14ac:dyDescent="0.2">
      <c r="B695"/>
      <c r="H695" s="387" t="str">
        <f t="shared" si="290"/>
        <v>0-0-0</v>
      </c>
      <c r="I695" s="389">
        <f t="shared" si="291"/>
        <v>0</v>
      </c>
      <c r="J695" s="455" t="str">
        <f t="shared" si="316"/>
        <v/>
      </c>
      <c r="K695" s="455">
        <f t="shared" si="292"/>
        <v>0</v>
      </c>
      <c r="L695" s="455">
        <f t="shared" si="317"/>
        <v>0</v>
      </c>
      <c r="M695" s="389" t="str">
        <f>IFERROR(IF(AD695&lt;=VLOOKUP(D695,Tournaments!$A$1:$B$1772,2,FALSE),"TRUE","FALSE"),"")</f>
        <v/>
      </c>
      <c r="N695" s="389">
        <v>1</v>
      </c>
      <c r="O695" s="389">
        <f t="shared" si="293"/>
        <v>0</v>
      </c>
      <c r="Q695" s="389">
        <f t="shared" si="294"/>
        <v>0</v>
      </c>
      <c r="R695" s="389">
        <f t="shared" si="295"/>
        <v>0</v>
      </c>
      <c r="S695" s="389">
        <f t="shared" si="296"/>
        <v>0</v>
      </c>
      <c r="U695" s="389">
        <f t="shared" si="297"/>
        <v>0</v>
      </c>
      <c r="V695" s="389" t="b">
        <f t="shared" si="298"/>
        <v>0</v>
      </c>
      <c r="W695" s="389">
        <f t="shared" si="299"/>
        <v>0</v>
      </c>
      <c r="X695" s="389">
        <f t="shared" si="300"/>
        <v>0</v>
      </c>
      <c r="Y695" s="389">
        <f t="shared" si="318"/>
        <v>1.0999999999999999E-2</v>
      </c>
      <c r="Z695" s="389">
        <f t="shared" si="301"/>
        <v>1.0999999999999999E-2</v>
      </c>
      <c r="AA695" s="389">
        <f t="shared" si="302"/>
        <v>0</v>
      </c>
      <c r="AB695" s="389">
        <f t="shared" si="303"/>
        <v>1E-4</v>
      </c>
      <c r="AC695" s="389">
        <f t="shared" si="304"/>
        <v>1E-4</v>
      </c>
      <c r="AD695" s="389">
        <f t="shared" si="305"/>
        <v>0</v>
      </c>
      <c r="AE695" s="389">
        <f t="shared" si="306"/>
        <v>0</v>
      </c>
      <c r="AG695" s="311" t="str">
        <f t="shared" si="307"/>
        <v>-</v>
      </c>
      <c r="AH695" s="453" t="str">
        <f t="shared" si="308"/>
        <v/>
      </c>
      <c r="AI695" s="453" t="str">
        <f t="shared" si="309"/>
        <v/>
      </c>
      <c r="AJ695" t="str">
        <f t="array" ref="AJ695">IF(AND(AI695&gt;1,G695&lt;&gt;""),INDEX(FS_teams,MATCH(1,(FS_Keys=AG695)*(FS_Points=I695)*(FS_teams&lt;&gt;G695),0)),"")</f>
        <v/>
      </c>
      <c r="AK695" s="390" t="str">
        <f t="array" ref="AK695">IF(AJ695&lt;&gt;"",INDEX(TM_Score1,MATCH(1,(TM_Events=D695)*(TM_Participant1=G695)*(TM_Participant2=AJ695),0)),"")</f>
        <v/>
      </c>
      <c r="AL695" s="390" t="str">
        <f t="array" ref="AL695">IF(AJ695&lt;&gt;"",INDEX(TM_Score1,MATCH(1,(TM_Events=D695)*(TM_Participant1=AJ695)*(TM_Participant2=G695),0)),"")</f>
        <v/>
      </c>
      <c r="AM695" s="389" t="str">
        <f t="array" ref="AM695">IF(ISNUMBER(AK695),INDEX(TM_Score2,MATCH(1,(TM_Events=D695)*(TM_Participant1=G695)*(TM_Participant2=AJ695),0)),"")</f>
        <v/>
      </c>
      <c r="AN695" s="389" t="str">
        <f t="array" ref="AN695">IF(ISNUMBER(AL695),INDEX(TM_Score2,MATCH(1,(TM_Events=D695)*(TM_Participant1=AJ695)*(TM_Participant2=G695),0)),"")</f>
        <v/>
      </c>
      <c r="AO695" s="389" t="str">
        <f t="shared" si="310"/>
        <v/>
      </c>
      <c r="AP695" s="389">
        <f t="shared" si="311"/>
        <v>0</v>
      </c>
      <c r="AQ695" s="389">
        <f t="shared" si="312"/>
        <v>0</v>
      </c>
      <c r="AR695" s="389">
        <f t="shared" si="313"/>
        <v>0</v>
      </c>
      <c r="AS695" s="453">
        <f t="shared" si="314"/>
        <v>0</v>
      </c>
      <c r="AT695" s="452">
        <f t="shared" si="315"/>
        <v>0</v>
      </c>
    </row>
    <row r="696" spans="2:46" ht="16" x14ac:dyDescent="0.2">
      <c r="B696"/>
      <c r="H696" s="387" t="str">
        <f t="shared" si="290"/>
        <v>0-0-0</v>
      </c>
      <c r="I696" s="389">
        <f t="shared" si="291"/>
        <v>0</v>
      </c>
      <c r="J696" s="455" t="str">
        <f t="shared" si="316"/>
        <v/>
      </c>
      <c r="K696" s="455">
        <f t="shared" si="292"/>
        <v>0</v>
      </c>
      <c r="L696" s="455">
        <f t="shared" si="317"/>
        <v>0</v>
      </c>
      <c r="M696" s="389" t="str">
        <f>IFERROR(IF(AD696&lt;=VLOOKUP(D696,Tournaments!$A$1:$B$1772,2,FALSE),"TRUE","FALSE"),"")</f>
        <v/>
      </c>
      <c r="N696" s="389">
        <v>1</v>
      </c>
      <c r="O696" s="389">
        <f t="shared" si="293"/>
        <v>0</v>
      </c>
      <c r="Q696" s="389">
        <f t="shared" si="294"/>
        <v>0</v>
      </c>
      <c r="R696" s="389">
        <f t="shared" si="295"/>
        <v>0</v>
      </c>
      <c r="S696" s="389">
        <f t="shared" si="296"/>
        <v>0</v>
      </c>
      <c r="U696" s="389">
        <f t="shared" si="297"/>
        <v>0</v>
      </c>
      <c r="V696" s="389" t="b">
        <f t="shared" si="298"/>
        <v>0</v>
      </c>
      <c r="W696" s="389">
        <f t="shared" si="299"/>
        <v>0</v>
      </c>
      <c r="X696" s="389">
        <f t="shared" si="300"/>
        <v>0</v>
      </c>
      <c r="Y696" s="389">
        <f t="shared" si="318"/>
        <v>1.0999999999999999E-2</v>
      </c>
      <c r="Z696" s="389">
        <f t="shared" si="301"/>
        <v>1.0999999999999999E-2</v>
      </c>
      <c r="AA696" s="389">
        <f t="shared" si="302"/>
        <v>0</v>
      </c>
      <c r="AB696" s="389">
        <f t="shared" si="303"/>
        <v>1E-4</v>
      </c>
      <c r="AC696" s="389">
        <f t="shared" si="304"/>
        <v>1E-4</v>
      </c>
      <c r="AD696" s="389">
        <f t="shared" si="305"/>
        <v>0</v>
      </c>
      <c r="AE696" s="389">
        <f t="shared" si="306"/>
        <v>0</v>
      </c>
      <c r="AG696" s="311" t="str">
        <f t="shared" si="307"/>
        <v>-</v>
      </c>
      <c r="AH696" s="453" t="str">
        <f t="shared" si="308"/>
        <v/>
      </c>
      <c r="AI696" s="453" t="str">
        <f t="shared" si="309"/>
        <v/>
      </c>
      <c r="AJ696" t="str">
        <f t="array" ref="AJ696">IF(AND(AI696&gt;1,G696&lt;&gt;""),INDEX(FS_teams,MATCH(1,(FS_Keys=AG696)*(FS_Points=I696)*(FS_teams&lt;&gt;G696),0)),"")</f>
        <v/>
      </c>
      <c r="AK696" s="390" t="str">
        <f t="array" ref="AK696">IF(AJ696&lt;&gt;"",INDEX(TM_Score1,MATCH(1,(TM_Events=D696)*(TM_Participant1=G696)*(TM_Participant2=AJ696),0)),"")</f>
        <v/>
      </c>
      <c r="AL696" s="390" t="str">
        <f t="array" ref="AL696">IF(AJ696&lt;&gt;"",INDEX(TM_Score1,MATCH(1,(TM_Events=D696)*(TM_Participant1=AJ696)*(TM_Participant2=G696),0)),"")</f>
        <v/>
      </c>
      <c r="AM696" s="389" t="str">
        <f t="array" ref="AM696">IF(ISNUMBER(AK696),INDEX(TM_Score2,MATCH(1,(TM_Events=D696)*(TM_Participant1=G696)*(TM_Participant2=AJ696),0)),"")</f>
        <v/>
      </c>
      <c r="AN696" s="389" t="str">
        <f t="array" ref="AN696">IF(ISNUMBER(AL696),INDEX(TM_Score2,MATCH(1,(TM_Events=D696)*(TM_Participant1=AJ696)*(TM_Participant2=G696),0)),"")</f>
        <v/>
      </c>
      <c r="AO696" s="389" t="str">
        <f t="shared" si="310"/>
        <v/>
      </c>
      <c r="AP696" s="389">
        <f t="shared" si="311"/>
        <v>0</v>
      </c>
      <c r="AQ696" s="389">
        <f t="shared" si="312"/>
        <v>0</v>
      </c>
      <c r="AR696" s="389">
        <f t="shared" si="313"/>
        <v>0</v>
      </c>
      <c r="AS696" s="453">
        <f t="shared" si="314"/>
        <v>0</v>
      </c>
      <c r="AT696" s="452">
        <f t="shared" si="315"/>
        <v>0</v>
      </c>
    </row>
    <row r="697" spans="2:46" ht="16" x14ac:dyDescent="0.2">
      <c r="B697"/>
      <c r="H697" s="387" t="str">
        <f t="shared" si="290"/>
        <v>0-0-0</v>
      </c>
      <c r="I697" s="389">
        <f t="shared" si="291"/>
        <v>0</v>
      </c>
      <c r="J697" s="455" t="str">
        <f t="shared" si="316"/>
        <v/>
      </c>
      <c r="K697" s="455">
        <f t="shared" si="292"/>
        <v>0</v>
      </c>
      <c r="L697" s="455">
        <f t="shared" si="317"/>
        <v>0</v>
      </c>
      <c r="M697" s="389" t="str">
        <f>IFERROR(IF(AD697&lt;=VLOOKUP(D697,Tournaments!$A$1:$B$1772,2,FALSE),"TRUE","FALSE"),"")</f>
        <v/>
      </c>
      <c r="N697" s="389">
        <v>1</v>
      </c>
      <c r="O697" s="389">
        <f t="shared" si="293"/>
        <v>0</v>
      </c>
      <c r="Q697" s="389">
        <f t="shared" si="294"/>
        <v>0</v>
      </c>
      <c r="R697" s="389">
        <f t="shared" si="295"/>
        <v>0</v>
      </c>
      <c r="S697" s="389">
        <f t="shared" si="296"/>
        <v>0</v>
      </c>
      <c r="U697" s="389">
        <f t="shared" si="297"/>
        <v>0</v>
      </c>
      <c r="V697" s="389" t="b">
        <f t="shared" si="298"/>
        <v>0</v>
      </c>
      <c r="W697" s="389">
        <f t="shared" si="299"/>
        <v>0</v>
      </c>
      <c r="X697" s="389">
        <f t="shared" si="300"/>
        <v>0</v>
      </c>
      <c r="Y697" s="389">
        <f t="shared" si="318"/>
        <v>1.0999999999999999E-2</v>
      </c>
      <c r="Z697" s="389">
        <f t="shared" si="301"/>
        <v>1.0999999999999999E-2</v>
      </c>
      <c r="AA697" s="389">
        <f t="shared" si="302"/>
        <v>0</v>
      </c>
      <c r="AB697" s="389">
        <f t="shared" si="303"/>
        <v>1E-4</v>
      </c>
      <c r="AC697" s="389">
        <f t="shared" si="304"/>
        <v>1E-4</v>
      </c>
      <c r="AD697" s="389">
        <f t="shared" si="305"/>
        <v>0</v>
      </c>
      <c r="AE697" s="389">
        <f t="shared" si="306"/>
        <v>0</v>
      </c>
      <c r="AG697" s="311" t="str">
        <f t="shared" si="307"/>
        <v>-</v>
      </c>
      <c r="AH697" s="453" t="str">
        <f t="shared" si="308"/>
        <v/>
      </c>
      <c r="AI697" s="453" t="str">
        <f t="shared" si="309"/>
        <v/>
      </c>
      <c r="AJ697" t="str">
        <f t="array" ref="AJ697">IF(AND(AI697&gt;1,G697&lt;&gt;""),INDEX(FS_teams,MATCH(1,(FS_Keys=AG697)*(FS_Points=I697)*(FS_teams&lt;&gt;G697),0)),"")</f>
        <v/>
      </c>
      <c r="AK697" s="390" t="str">
        <f t="array" ref="AK697">IF(AJ697&lt;&gt;"",INDEX(TM_Score1,MATCH(1,(TM_Events=D697)*(TM_Participant1=G697)*(TM_Participant2=AJ697),0)),"")</f>
        <v/>
      </c>
      <c r="AL697" s="390" t="str">
        <f t="array" ref="AL697">IF(AJ697&lt;&gt;"",INDEX(TM_Score1,MATCH(1,(TM_Events=D697)*(TM_Participant1=AJ697)*(TM_Participant2=G697),0)),"")</f>
        <v/>
      </c>
      <c r="AM697" s="389" t="str">
        <f t="array" ref="AM697">IF(ISNUMBER(AK697),INDEX(TM_Score2,MATCH(1,(TM_Events=D697)*(TM_Participant1=G697)*(TM_Participant2=AJ697),0)),"")</f>
        <v/>
      </c>
      <c r="AN697" s="389" t="str">
        <f t="array" ref="AN697">IF(ISNUMBER(AL697),INDEX(TM_Score2,MATCH(1,(TM_Events=D697)*(TM_Participant1=AJ697)*(TM_Participant2=G697),0)),"")</f>
        <v/>
      </c>
      <c r="AO697" s="389" t="str">
        <f t="shared" si="310"/>
        <v/>
      </c>
      <c r="AP697" s="389">
        <f t="shared" si="311"/>
        <v>0</v>
      </c>
      <c r="AQ697" s="389">
        <f t="shared" si="312"/>
        <v>0</v>
      </c>
      <c r="AR697" s="389">
        <f t="shared" si="313"/>
        <v>0</v>
      </c>
      <c r="AS697" s="453">
        <f t="shared" si="314"/>
        <v>0</v>
      </c>
      <c r="AT697" s="452">
        <f t="shared" si="315"/>
        <v>0</v>
      </c>
    </row>
    <row r="698" spans="2:46" ht="16" x14ac:dyDescent="0.2">
      <c r="B698"/>
      <c r="H698" s="387" t="str">
        <f t="shared" si="290"/>
        <v>0-0-0</v>
      </c>
      <c r="I698" s="389">
        <f t="shared" si="291"/>
        <v>0</v>
      </c>
      <c r="J698" s="455" t="str">
        <f t="shared" si="316"/>
        <v/>
      </c>
      <c r="K698" s="455">
        <f t="shared" si="292"/>
        <v>0</v>
      </c>
      <c r="L698" s="455">
        <f t="shared" si="317"/>
        <v>0</v>
      </c>
      <c r="M698" s="389" t="str">
        <f>IFERROR(IF(AD698&lt;=VLOOKUP(D698,Tournaments!$A$1:$B$1772,2,FALSE),"TRUE","FALSE"),"")</f>
        <v/>
      </c>
      <c r="N698" s="389">
        <v>1</v>
      </c>
      <c r="O698" s="389">
        <f t="shared" si="293"/>
        <v>0</v>
      </c>
      <c r="Q698" s="389">
        <f t="shared" si="294"/>
        <v>0</v>
      </c>
      <c r="R698" s="389">
        <f t="shared" si="295"/>
        <v>0</v>
      </c>
      <c r="S698" s="389">
        <f t="shared" si="296"/>
        <v>0</v>
      </c>
      <c r="U698" s="389">
        <f t="shared" si="297"/>
        <v>0</v>
      </c>
      <c r="V698" s="389" t="b">
        <f t="shared" si="298"/>
        <v>0</v>
      </c>
      <c r="W698" s="389">
        <f t="shared" si="299"/>
        <v>0</v>
      </c>
      <c r="X698" s="389">
        <f t="shared" si="300"/>
        <v>0</v>
      </c>
      <c r="Y698" s="389">
        <f t="shared" si="318"/>
        <v>1.0999999999999999E-2</v>
      </c>
      <c r="Z698" s="389">
        <f t="shared" si="301"/>
        <v>1.0999999999999999E-2</v>
      </c>
      <c r="AA698" s="389">
        <f t="shared" si="302"/>
        <v>0</v>
      </c>
      <c r="AB698" s="389">
        <f t="shared" si="303"/>
        <v>1E-4</v>
      </c>
      <c r="AC698" s="389">
        <f t="shared" si="304"/>
        <v>1E-4</v>
      </c>
      <c r="AD698" s="389">
        <f t="shared" si="305"/>
        <v>0</v>
      </c>
      <c r="AE698" s="389">
        <f t="shared" si="306"/>
        <v>0</v>
      </c>
      <c r="AG698" s="311" t="str">
        <f t="shared" si="307"/>
        <v>-</v>
      </c>
      <c r="AH698" s="453" t="str">
        <f t="shared" si="308"/>
        <v/>
      </c>
      <c r="AI698" s="453" t="str">
        <f t="shared" si="309"/>
        <v/>
      </c>
      <c r="AJ698" t="str">
        <f t="array" ref="AJ698">IF(AND(AI698&gt;1,G698&lt;&gt;""),INDEX(FS_teams,MATCH(1,(FS_Keys=AG698)*(FS_Points=I698)*(FS_teams&lt;&gt;G698),0)),"")</f>
        <v/>
      </c>
      <c r="AK698" s="390" t="str">
        <f t="array" ref="AK698">IF(AJ698&lt;&gt;"",INDEX(TM_Score1,MATCH(1,(TM_Events=D698)*(TM_Participant1=G698)*(TM_Participant2=AJ698),0)),"")</f>
        <v/>
      </c>
      <c r="AL698" s="390" t="str">
        <f t="array" ref="AL698">IF(AJ698&lt;&gt;"",INDEX(TM_Score1,MATCH(1,(TM_Events=D698)*(TM_Participant1=AJ698)*(TM_Participant2=G698),0)),"")</f>
        <v/>
      </c>
      <c r="AM698" s="389" t="str">
        <f t="array" ref="AM698">IF(ISNUMBER(AK698),INDEX(TM_Score2,MATCH(1,(TM_Events=D698)*(TM_Participant1=G698)*(TM_Participant2=AJ698),0)),"")</f>
        <v/>
      </c>
      <c r="AN698" s="389" t="str">
        <f t="array" ref="AN698">IF(ISNUMBER(AL698),INDEX(TM_Score2,MATCH(1,(TM_Events=D698)*(TM_Participant1=AJ698)*(TM_Participant2=G698),0)),"")</f>
        <v/>
      </c>
      <c r="AO698" s="389" t="str">
        <f t="shared" si="310"/>
        <v/>
      </c>
      <c r="AP698" s="389">
        <f t="shared" si="311"/>
        <v>0</v>
      </c>
      <c r="AQ698" s="389">
        <f t="shared" si="312"/>
        <v>0</v>
      </c>
      <c r="AR698" s="389">
        <f t="shared" si="313"/>
        <v>0</v>
      </c>
      <c r="AS698" s="453">
        <f t="shared" si="314"/>
        <v>0</v>
      </c>
      <c r="AT698" s="452">
        <f t="shared" si="315"/>
        <v>0</v>
      </c>
    </row>
    <row r="699" spans="2:46" ht="16" x14ac:dyDescent="0.2">
      <c r="B699"/>
      <c r="H699" s="387" t="str">
        <f t="shared" si="290"/>
        <v>0-0-0</v>
      </c>
      <c r="I699" s="389">
        <f t="shared" si="291"/>
        <v>0</v>
      </c>
      <c r="J699" s="455" t="str">
        <f t="shared" si="316"/>
        <v/>
      </c>
      <c r="K699" s="455">
        <f t="shared" si="292"/>
        <v>0</v>
      </c>
      <c r="L699" s="455">
        <f t="shared" si="317"/>
        <v>0</v>
      </c>
      <c r="M699" s="389" t="str">
        <f>IFERROR(IF(AD699&lt;=VLOOKUP(D699,Tournaments!$A$1:$B$1772,2,FALSE),"TRUE","FALSE"),"")</f>
        <v/>
      </c>
      <c r="N699" s="389">
        <v>1</v>
      </c>
      <c r="O699" s="389">
        <f t="shared" si="293"/>
        <v>0</v>
      </c>
      <c r="Q699" s="389">
        <f t="shared" si="294"/>
        <v>0</v>
      </c>
      <c r="R699" s="389">
        <f t="shared" si="295"/>
        <v>0</v>
      </c>
      <c r="S699" s="389">
        <f t="shared" si="296"/>
        <v>0</v>
      </c>
      <c r="U699" s="389">
        <f t="shared" si="297"/>
        <v>0</v>
      </c>
      <c r="V699" s="389" t="b">
        <f t="shared" si="298"/>
        <v>0</v>
      </c>
      <c r="W699" s="389">
        <f t="shared" si="299"/>
        <v>0</v>
      </c>
      <c r="X699" s="389">
        <f t="shared" si="300"/>
        <v>0</v>
      </c>
      <c r="Y699" s="389">
        <f t="shared" si="318"/>
        <v>1.0999999999999999E-2</v>
      </c>
      <c r="Z699" s="389">
        <f t="shared" si="301"/>
        <v>1.0999999999999999E-2</v>
      </c>
      <c r="AA699" s="389">
        <f t="shared" si="302"/>
        <v>0</v>
      </c>
      <c r="AB699" s="389">
        <f t="shared" si="303"/>
        <v>1E-4</v>
      </c>
      <c r="AC699" s="389">
        <f t="shared" si="304"/>
        <v>1E-4</v>
      </c>
      <c r="AD699" s="389">
        <f t="shared" si="305"/>
        <v>0</v>
      </c>
      <c r="AE699" s="389">
        <f t="shared" si="306"/>
        <v>0</v>
      </c>
      <c r="AG699" s="311" t="str">
        <f t="shared" si="307"/>
        <v>-</v>
      </c>
      <c r="AH699" s="453" t="str">
        <f t="shared" si="308"/>
        <v/>
      </c>
      <c r="AI699" s="453" t="str">
        <f t="shared" si="309"/>
        <v/>
      </c>
      <c r="AJ699" t="str">
        <f t="array" ref="AJ699">IF(AND(AI699&gt;1,G699&lt;&gt;""),INDEX(FS_teams,MATCH(1,(FS_Keys=AG699)*(FS_Points=I699)*(FS_teams&lt;&gt;G699),0)),"")</f>
        <v/>
      </c>
      <c r="AK699" s="390" t="str">
        <f t="array" ref="AK699">IF(AJ699&lt;&gt;"",INDEX(TM_Score1,MATCH(1,(TM_Events=D699)*(TM_Participant1=G699)*(TM_Participant2=AJ699),0)),"")</f>
        <v/>
      </c>
      <c r="AL699" s="390" t="str">
        <f t="array" ref="AL699">IF(AJ699&lt;&gt;"",INDEX(TM_Score1,MATCH(1,(TM_Events=D699)*(TM_Participant1=AJ699)*(TM_Participant2=G699),0)),"")</f>
        <v/>
      </c>
      <c r="AM699" s="389" t="str">
        <f t="array" ref="AM699">IF(ISNUMBER(AK699),INDEX(TM_Score2,MATCH(1,(TM_Events=D699)*(TM_Participant1=G699)*(TM_Participant2=AJ699),0)),"")</f>
        <v/>
      </c>
      <c r="AN699" s="389" t="str">
        <f t="array" ref="AN699">IF(ISNUMBER(AL699),INDEX(TM_Score2,MATCH(1,(TM_Events=D699)*(TM_Participant1=AJ699)*(TM_Participant2=G699),0)),"")</f>
        <v/>
      </c>
      <c r="AO699" s="389" t="str">
        <f t="shared" si="310"/>
        <v/>
      </c>
      <c r="AP699" s="389">
        <f t="shared" si="311"/>
        <v>0</v>
      </c>
      <c r="AQ699" s="389">
        <f t="shared" si="312"/>
        <v>0</v>
      </c>
      <c r="AR699" s="389">
        <f t="shared" si="313"/>
        <v>0</v>
      </c>
      <c r="AS699" s="453">
        <f t="shared" si="314"/>
        <v>0</v>
      </c>
      <c r="AT699" s="452">
        <f t="shared" si="315"/>
        <v>0</v>
      </c>
    </row>
    <row r="700" spans="2:46" ht="16" x14ac:dyDescent="0.2">
      <c r="B700"/>
      <c r="H700" s="387" t="str">
        <f t="shared" si="290"/>
        <v>0-0-0</v>
      </c>
      <c r="I700" s="389">
        <f t="shared" si="291"/>
        <v>0</v>
      </c>
      <c r="J700" s="455" t="str">
        <f t="shared" si="316"/>
        <v/>
      </c>
      <c r="K700" s="455">
        <f t="shared" si="292"/>
        <v>0</v>
      </c>
      <c r="L700" s="455">
        <f t="shared" si="317"/>
        <v>0</v>
      </c>
      <c r="M700" s="389" t="str">
        <f>IFERROR(IF(AD700&lt;=VLOOKUP(D700,Tournaments!$A$1:$B$1772,2,FALSE),"TRUE","FALSE"),"")</f>
        <v/>
      </c>
      <c r="N700" s="389">
        <v>1</v>
      </c>
      <c r="O700" s="389">
        <f t="shared" si="293"/>
        <v>0</v>
      </c>
      <c r="Q700" s="389">
        <f t="shared" si="294"/>
        <v>0</v>
      </c>
      <c r="R700" s="389">
        <f t="shared" si="295"/>
        <v>0</v>
      </c>
      <c r="S700" s="389">
        <f t="shared" si="296"/>
        <v>0</v>
      </c>
      <c r="U700" s="389">
        <f t="shared" si="297"/>
        <v>0</v>
      </c>
      <c r="V700" s="389" t="b">
        <f t="shared" si="298"/>
        <v>0</v>
      </c>
      <c r="W700" s="389">
        <f t="shared" si="299"/>
        <v>0</v>
      </c>
      <c r="X700" s="389">
        <f t="shared" si="300"/>
        <v>0</v>
      </c>
      <c r="Y700" s="389">
        <f t="shared" si="318"/>
        <v>1.0999999999999999E-2</v>
      </c>
      <c r="Z700" s="389">
        <f t="shared" si="301"/>
        <v>1.0999999999999999E-2</v>
      </c>
      <c r="AA700" s="389">
        <f t="shared" si="302"/>
        <v>0</v>
      </c>
      <c r="AB700" s="389">
        <f t="shared" si="303"/>
        <v>1E-4</v>
      </c>
      <c r="AC700" s="389">
        <f t="shared" si="304"/>
        <v>1E-4</v>
      </c>
      <c r="AD700" s="389">
        <f t="shared" si="305"/>
        <v>0</v>
      </c>
      <c r="AE700" s="389">
        <f t="shared" si="306"/>
        <v>0</v>
      </c>
      <c r="AG700" s="311" t="str">
        <f t="shared" si="307"/>
        <v>-</v>
      </c>
      <c r="AH700" s="453" t="str">
        <f t="shared" si="308"/>
        <v/>
      </c>
      <c r="AI700" s="453" t="str">
        <f t="shared" si="309"/>
        <v/>
      </c>
      <c r="AJ700" t="str">
        <f t="array" ref="AJ700">IF(AND(AI700&gt;1,G700&lt;&gt;""),INDEX(FS_teams,MATCH(1,(FS_Keys=AG700)*(FS_Points=I700)*(FS_teams&lt;&gt;G700),0)),"")</f>
        <v/>
      </c>
      <c r="AK700" s="390" t="str">
        <f t="array" ref="AK700">IF(AJ700&lt;&gt;"",INDEX(TM_Score1,MATCH(1,(TM_Events=D700)*(TM_Participant1=G700)*(TM_Participant2=AJ700),0)),"")</f>
        <v/>
      </c>
      <c r="AL700" s="390" t="str">
        <f t="array" ref="AL700">IF(AJ700&lt;&gt;"",INDEX(TM_Score1,MATCH(1,(TM_Events=D700)*(TM_Participant1=AJ700)*(TM_Participant2=G700),0)),"")</f>
        <v/>
      </c>
      <c r="AM700" s="389" t="str">
        <f t="array" ref="AM700">IF(ISNUMBER(AK700),INDEX(TM_Score2,MATCH(1,(TM_Events=D700)*(TM_Participant1=G700)*(TM_Participant2=AJ700),0)),"")</f>
        <v/>
      </c>
      <c r="AN700" s="389" t="str">
        <f t="array" ref="AN700">IF(ISNUMBER(AL700),INDEX(TM_Score2,MATCH(1,(TM_Events=D700)*(TM_Participant1=AJ700)*(TM_Participant2=G700),0)),"")</f>
        <v/>
      </c>
      <c r="AO700" s="389" t="str">
        <f t="shared" si="310"/>
        <v/>
      </c>
      <c r="AP700" s="389">
        <f t="shared" si="311"/>
        <v>0</v>
      </c>
      <c r="AQ700" s="389">
        <f t="shared" si="312"/>
        <v>0</v>
      </c>
      <c r="AR700" s="389">
        <f t="shared" si="313"/>
        <v>0</v>
      </c>
      <c r="AS700" s="453">
        <f t="shared" si="314"/>
        <v>0</v>
      </c>
      <c r="AT700" s="452">
        <f t="shared" si="315"/>
        <v>0</v>
      </c>
    </row>
    <row r="701" spans="2:46" ht="16" x14ac:dyDescent="0.2">
      <c r="B701"/>
      <c r="H701" s="387" t="str">
        <f t="shared" si="290"/>
        <v>0-0-0</v>
      </c>
      <c r="I701" s="389">
        <f t="shared" si="291"/>
        <v>0</v>
      </c>
      <c r="J701" s="455" t="str">
        <f t="shared" si="316"/>
        <v/>
      </c>
      <c r="K701" s="455">
        <f t="shared" si="292"/>
        <v>0</v>
      </c>
      <c r="L701" s="455">
        <f t="shared" si="317"/>
        <v>0</v>
      </c>
      <c r="M701" s="389" t="str">
        <f>IFERROR(IF(AD701&lt;=VLOOKUP(D701,Tournaments!$A$1:$B$1772,2,FALSE),"TRUE","FALSE"),"")</f>
        <v/>
      </c>
      <c r="N701" s="389">
        <v>1</v>
      </c>
      <c r="O701" s="389">
        <f t="shared" si="293"/>
        <v>0</v>
      </c>
      <c r="Q701" s="389">
        <f t="shared" si="294"/>
        <v>0</v>
      </c>
      <c r="R701" s="389">
        <f t="shared" si="295"/>
        <v>0</v>
      </c>
      <c r="S701" s="389">
        <f t="shared" si="296"/>
        <v>0</v>
      </c>
      <c r="U701" s="389">
        <f t="shared" si="297"/>
        <v>0</v>
      </c>
      <c r="V701" s="389" t="b">
        <f t="shared" si="298"/>
        <v>0</v>
      </c>
      <c r="W701" s="389">
        <f t="shared" si="299"/>
        <v>0</v>
      </c>
      <c r="X701" s="389">
        <f t="shared" si="300"/>
        <v>0</v>
      </c>
      <c r="Y701" s="389">
        <f t="shared" si="318"/>
        <v>1.0999999999999999E-2</v>
      </c>
      <c r="Z701" s="389">
        <f t="shared" si="301"/>
        <v>1.0999999999999999E-2</v>
      </c>
      <c r="AA701" s="389">
        <f t="shared" si="302"/>
        <v>0</v>
      </c>
      <c r="AB701" s="389">
        <f t="shared" si="303"/>
        <v>1E-4</v>
      </c>
      <c r="AC701" s="389">
        <f t="shared" si="304"/>
        <v>1E-4</v>
      </c>
      <c r="AD701" s="389">
        <f t="shared" si="305"/>
        <v>0</v>
      </c>
      <c r="AE701" s="389">
        <f t="shared" si="306"/>
        <v>0</v>
      </c>
      <c r="AG701" s="311" t="str">
        <f t="shared" si="307"/>
        <v>-</v>
      </c>
      <c r="AH701" s="453" t="str">
        <f t="shared" si="308"/>
        <v/>
      </c>
      <c r="AI701" s="453" t="str">
        <f t="shared" si="309"/>
        <v/>
      </c>
      <c r="AJ701" t="str">
        <f t="array" ref="AJ701">IF(AND(AI701&gt;1,G701&lt;&gt;""),INDEX(FS_teams,MATCH(1,(FS_Keys=AG701)*(FS_Points=I701)*(FS_teams&lt;&gt;G701),0)),"")</f>
        <v/>
      </c>
      <c r="AK701" s="390" t="str">
        <f t="array" ref="AK701">IF(AJ701&lt;&gt;"",INDEX(TM_Score1,MATCH(1,(TM_Events=D701)*(TM_Participant1=G701)*(TM_Participant2=AJ701),0)),"")</f>
        <v/>
      </c>
      <c r="AL701" s="390" t="str">
        <f t="array" ref="AL701">IF(AJ701&lt;&gt;"",INDEX(TM_Score1,MATCH(1,(TM_Events=D701)*(TM_Participant1=AJ701)*(TM_Participant2=G701),0)),"")</f>
        <v/>
      </c>
      <c r="AM701" s="389" t="str">
        <f t="array" ref="AM701">IF(ISNUMBER(AK701),INDEX(TM_Score2,MATCH(1,(TM_Events=D701)*(TM_Participant1=G701)*(TM_Participant2=AJ701),0)),"")</f>
        <v/>
      </c>
      <c r="AN701" s="389" t="str">
        <f t="array" ref="AN701">IF(ISNUMBER(AL701),INDEX(TM_Score2,MATCH(1,(TM_Events=D701)*(TM_Participant1=AJ701)*(TM_Participant2=G701),0)),"")</f>
        <v/>
      </c>
      <c r="AO701" s="389" t="str">
        <f t="shared" si="310"/>
        <v/>
      </c>
      <c r="AP701" s="389">
        <f t="shared" si="311"/>
        <v>0</v>
      </c>
      <c r="AQ701" s="389">
        <f t="shared" si="312"/>
        <v>0</v>
      </c>
      <c r="AR701" s="389">
        <f t="shared" si="313"/>
        <v>0</v>
      </c>
      <c r="AS701" s="453">
        <f t="shared" si="314"/>
        <v>0</v>
      </c>
      <c r="AT701" s="452">
        <f t="shared" si="315"/>
        <v>0</v>
      </c>
    </row>
    <row r="702" spans="2:46" ht="16" x14ac:dyDescent="0.2">
      <c r="B702"/>
      <c r="H702" s="387" t="str">
        <f t="shared" si="290"/>
        <v>0-0-0</v>
      </c>
      <c r="I702" s="389">
        <f t="shared" si="291"/>
        <v>0</v>
      </c>
      <c r="J702" s="455" t="str">
        <f t="shared" si="316"/>
        <v/>
      </c>
      <c r="K702" s="455">
        <f t="shared" si="292"/>
        <v>0</v>
      </c>
      <c r="L702" s="455">
        <f t="shared" si="317"/>
        <v>0</v>
      </c>
      <c r="M702" s="389" t="str">
        <f>IFERROR(IF(AD702&lt;=VLOOKUP(D702,Tournaments!$A$1:$B$1772,2,FALSE),"TRUE","FALSE"),"")</f>
        <v/>
      </c>
      <c r="N702" s="389">
        <v>1</v>
      </c>
      <c r="O702" s="389">
        <f t="shared" si="293"/>
        <v>0</v>
      </c>
      <c r="Q702" s="389">
        <f t="shared" si="294"/>
        <v>0</v>
      </c>
      <c r="R702" s="389">
        <f t="shared" si="295"/>
        <v>0</v>
      </c>
      <c r="S702" s="389">
        <f t="shared" si="296"/>
        <v>0</v>
      </c>
      <c r="U702" s="389">
        <f t="shared" si="297"/>
        <v>0</v>
      </c>
      <c r="V702" s="389" t="b">
        <f t="shared" si="298"/>
        <v>0</v>
      </c>
      <c r="W702" s="389">
        <f t="shared" si="299"/>
        <v>0</v>
      </c>
      <c r="X702" s="389">
        <f t="shared" si="300"/>
        <v>0</v>
      </c>
      <c r="Y702" s="389">
        <f t="shared" si="318"/>
        <v>1.0999999999999999E-2</v>
      </c>
      <c r="Z702" s="389">
        <f t="shared" si="301"/>
        <v>1.0999999999999999E-2</v>
      </c>
      <c r="AA702" s="389">
        <f t="shared" si="302"/>
        <v>0</v>
      </c>
      <c r="AB702" s="389">
        <f t="shared" si="303"/>
        <v>1E-4</v>
      </c>
      <c r="AC702" s="389">
        <f t="shared" si="304"/>
        <v>1E-4</v>
      </c>
      <c r="AD702" s="389">
        <f t="shared" si="305"/>
        <v>0</v>
      </c>
      <c r="AE702" s="389">
        <f t="shared" si="306"/>
        <v>0</v>
      </c>
      <c r="AG702" s="311" t="str">
        <f t="shared" si="307"/>
        <v>-</v>
      </c>
      <c r="AH702" s="453" t="str">
        <f t="shared" si="308"/>
        <v/>
      </c>
      <c r="AI702" s="453" t="str">
        <f t="shared" si="309"/>
        <v/>
      </c>
      <c r="AJ702" t="str">
        <f t="array" ref="AJ702">IF(AND(AI702&gt;1,G702&lt;&gt;""),INDEX(FS_teams,MATCH(1,(FS_Keys=AG702)*(FS_Points=I702)*(FS_teams&lt;&gt;G702),0)),"")</f>
        <v/>
      </c>
      <c r="AK702" s="390" t="str">
        <f t="array" ref="AK702">IF(AJ702&lt;&gt;"",INDEX(TM_Score1,MATCH(1,(TM_Events=D702)*(TM_Participant1=G702)*(TM_Participant2=AJ702),0)),"")</f>
        <v/>
      </c>
      <c r="AL702" s="390" t="str">
        <f t="array" ref="AL702">IF(AJ702&lt;&gt;"",INDEX(TM_Score1,MATCH(1,(TM_Events=D702)*(TM_Participant1=AJ702)*(TM_Participant2=G702),0)),"")</f>
        <v/>
      </c>
      <c r="AM702" s="389" t="str">
        <f t="array" ref="AM702">IF(ISNUMBER(AK702),INDEX(TM_Score2,MATCH(1,(TM_Events=D702)*(TM_Participant1=G702)*(TM_Participant2=AJ702),0)),"")</f>
        <v/>
      </c>
      <c r="AN702" s="389" t="str">
        <f t="array" ref="AN702">IF(ISNUMBER(AL702),INDEX(TM_Score2,MATCH(1,(TM_Events=D702)*(TM_Participant1=AJ702)*(TM_Participant2=G702),0)),"")</f>
        <v/>
      </c>
      <c r="AO702" s="389" t="str">
        <f t="shared" si="310"/>
        <v/>
      </c>
      <c r="AP702" s="389">
        <f t="shared" si="311"/>
        <v>0</v>
      </c>
      <c r="AQ702" s="389">
        <f t="shared" si="312"/>
        <v>0</v>
      </c>
      <c r="AR702" s="389">
        <f t="shared" si="313"/>
        <v>0</v>
      </c>
      <c r="AS702" s="453">
        <f t="shared" si="314"/>
        <v>0</v>
      </c>
      <c r="AT702" s="452">
        <f t="shared" si="315"/>
        <v>0</v>
      </c>
    </row>
    <row r="703" spans="2:46" ht="16" x14ac:dyDescent="0.2">
      <c r="B703"/>
      <c r="H703" s="387" t="str">
        <f t="shared" si="290"/>
        <v>0-0-0</v>
      </c>
      <c r="I703" s="389">
        <f t="shared" si="291"/>
        <v>0</v>
      </c>
      <c r="J703" s="455" t="str">
        <f t="shared" si="316"/>
        <v/>
      </c>
      <c r="K703" s="455">
        <f t="shared" si="292"/>
        <v>0</v>
      </c>
      <c r="L703" s="455">
        <f t="shared" si="317"/>
        <v>0</v>
      </c>
      <c r="M703" s="389" t="str">
        <f>IFERROR(IF(AD703&lt;=VLOOKUP(D703,Tournaments!$A$1:$B$1772,2,FALSE),"TRUE","FALSE"),"")</f>
        <v/>
      </c>
      <c r="N703" s="389">
        <v>1</v>
      </c>
      <c r="O703" s="389">
        <f t="shared" si="293"/>
        <v>0</v>
      </c>
      <c r="Q703" s="389">
        <f t="shared" si="294"/>
        <v>0</v>
      </c>
      <c r="R703" s="389">
        <f t="shared" si="295"/>
        <v>0</v>
      </c>
      <c r="S703" s="389">
        <f t="shared" si="296"/>
        <v>0</v>
      </c>
      <c r="U703" s="389">
        <f t="shared" si="297"/>
        <v>0</v>
      </c>
      <c r="V703" s="389" t="b">
        <f t="shared" si="298"/>
        <v>0</v>
      </c>
      <c r="W703" s="389">
        <f t="shared" si="299"/>
        <v>0</v>
      </c>
      <c r="X703" s="389">
        <f t="shared" si="300"/>
        <v>0</v>
      </c>
      <c r="Y703" s="389">
        <f t="shared" si="318"/>
        <v>1.0999999999999999E-2</v>
      </c>
      <c r="Z703" s="389">
        <f t="shared" si="301"/>
        <v>1.0999999999999999E-2</v>
      </c>
      <c r="AA703" s="389">
        <f t="shared" si="302"/>
        <v>0</v>
      </c>
      <c r="AB703" s="389">
        <f t="shared" si="303"/>
        <v>1E-4</v>
      </c>
      <c r="AC703" s="389">
        <f t="shared" si="304"/>
        <v>1E-4</v>
      </c>
      <c r="AD703" s="389">
        <f t="shared" si="305"/>
        <v>0</v>
      </c>
      <c r="AE703" s="389">
        <f t="shared" si="306"/>
        <v>0</v>
      </c>
      <c r="AG703" s="311" t="str">
        <f t="shared" si="307"/>
        <v>-</v>
      </c>
      <c r="AH703" s="453" t="str">
        <f t="shared" si="308"/>
        <v/>
      </c>
      <c r="AI703" s="453" t="str">
        <f t="shared" si="309"/>
        <v/>
      </c>
      <c r="AJ703" t="str">
        <f t="array" ref="AJ703">IF(AND(AI703&gt;1,G703&lt;&gt;""),INDEX(FS_teams,MATCH(1,(FS_Keys=AG703)*(FS_Points=I703)*(FS_teams&lt;&gt;G703),0)),"")</f>
        <v/>
      </c>
      <c r="AK703" s="390" t="str">
        <f t="array" ref="AK703">IF(AJ703&lt;&gt;"",INDEX(TM_Score1,MATCH(1,(TM_Events=D703)*(TM_Participant1=G703)*(TM_Participant2=AJ703),0)),"")</f>
        <v/>
      </c>
      <c r="AL703" s="390" t="str">
        <f t="array" ref="AL703">IF(AJ703&lt;&gt;"",INDEX(TM_Score1,MATCH(1,(TM_Events=D703)*(TM_Participant1=AJ703)*(TM_Participant2=G703),0)),"")</f>
        <v/>
      </c>
      <c r="AM703" s="389" t="str">
        <f t="array" ref="AM703">IF(ISNUMBER(AK703),INDEX(TM_Score2,MATCH(1,(TM_Events=D703)*(TM_Participant1=G703)*(TM_Participant2=AJ703),0)),"")</f>
        <v/>
      </c>
      <c r="AN703" s="389" t="str">
        <f t="array" ref="AN703">IF(ISNUMBER(AL703),INDEX(TM_Score2,MATCH(1,(TM_Events=D703)*(TM_Participant1=AJ703)*(TM_Participant2=G703),0)),"")</f>
        <v/>
      </c>
      <c r="AO703" s="389" t="str">
        <f t="shared" si="310"/>
        <v/>
      </c>
      <c r="AP703" s="389">
        <f t="shared" si="311"/>
        <v>0</v>
      </c>
      <c r="AQ703" s="389">
        <f t="shared" si="312"/>
        <v>0</v>
      </c>
      <c r="AR703" s="389">
        <f t="shared" si="313"/>
        <v>0</v>
      </c>
      <c r="AS703" s="453">
        <f t="shared" si="314"/>
        <v>0</v>
      </c>
      <c r="AT703" s="452">
        <f t="shared" si="315"/>
        <v>0</v>
      </c>
    </row>
    <row r="704" spans="2:46" ht="16" x14ac:dyDescent="0.2">
      <c r="B704"/>
      <c r="H704" s="387" t="str">
        <f t="shared" si="290"/>
        <v>0-0-0</v>
      </c>
      <c r="I704" s="389">
        <f t="shared" si="291"/>
        <v>0</v>
      </c>
      <c r="J704" s="455" t="str">
        <f t="shared" si="316"/>
        <v/>
      </c>
      <c r="K704" s="455">
        <f t="shared" si="292"/>
        <v>0</v>
      </c>
      <c r="L704" s="455">
        <f t="shared" si="317"/>
        <v>0</v>
      </c>
      <c r="M704" s="389" t="str">
        <f>IFERROR(IF(AD704&lt;=VLOOKUP(D704,Tournaments!$A$1:$B$1772,2,FALSE),"TRUE","FALSE"),"")</f>
        <v/>
      </c>
      <c r="N704" s="389">
        <v>1</v>
      </c>
      <c r="O704" s="389">
        <f t="shared" si="293"/>
        <v>0</v>
      </c>
      <c r="Q704" s="389">
        <f t="shared" si="294"/>
        <v>0</v>
      </c>
      <c r="R704" s="389">
        <f t="shared" si="295"/>
        <v>0</v>
      </c>
      <c r="S704" s="389">
        <f t="shared" si="296"/>
        <v>0</v>
      </c>
      <c r="U704" s="389">
        <f t="shared" si="297"/>
        <v>0</v>
      </c>
      <c r="V704" s="389" t="b">
        <f t="shared" si="298"/>
        <v>0</v>
      </c>
      <c r="W704" s="389">
        <f t="shared" si="299"/>
        <v>0</v>
      </c>
      <c r="X704" s="389">
        <f t="shared" si="300"/>
        <v>0</v>
      </c>
      <c r="Y704" s="389">
        <f t="shared" si="318"/>
        <v>1.0999999999999999E-2</v>
      </c>
      <c r="Z704" s="389">
        <f t="shared" si="301"/>
        <v>1.0999999999999999E-2</v>
      </c>
      <c r="AA704" s="389">
        <f t="shared" si="302"/>
        <v>0</v>
      </c>
      <c r="AB704" s="389">
        <f t="shared" si="303"/>
        <v>1E-4</v>
      </c>
      <c r="AC704" s="389">
        <f t="shared" si="304"/>
        <v>1E-4</v>
      </c>
      <c r="AD704" s="389">
        <f t="shared" si="305"/>
        <v>0</v>
      </c>
      <c r="AE704" s="389">
        <f t="shared" si="306"/>
        <v>0</v>
      </c>
      <c r="AG704" s="311" t="str">
        <f t="shared" si="307"/>
        <v>-</v>
      </c>
      <c r="AH704" s="453" t="str">
        <f t="shared" si="308"/>
        <v/>
      </c>
      <c r="AI704" s="453" t="str">
        <f t="shared" si="309"/>
        <v/>
      </c>
      <c r="AJ704" t="str">
        <f t="array" ref="AJ704">IF(AND(AI704&gt;1,G704&lt;&gt;""),INDEX(FS_teams,MATCH(1,(FS_Keys=AG704)*(FS_Points=I704)*(FS_teams&lt;&gt;G704),0)),"")</f>
        <v/>
      </c>
      <c r="AK704" s="390" t="str">
        <f t="array" ref="AK704">IF(AJ704&lt;&gt;"",INDEX(TM_Score1,MATCH(1,(TM_Events=D704)*(TM_Participant1=G704)*(TM_Participant2=AJ704),0)),"")</f>
        <v/>
      </c>
      <c r="AL704" s="390" t="str">
        <f t="array" ref="AL704">IF(AJ704&lt;&gt;"",INDEX(TM_Score1,MATCH(1,(TM_Events=D704)*(TM_Participant1=AJ704)*(TM_Participant2=G704),0)),"")</f>
        <v/>
      </c>
      <c r="AM704" s="389" t="str">
        <f t="array" ref="AM704">IF(ISNUMBER(AK704),INDEX(TM_Score2,MATCH(1,(TM_Events=D704)*(TM_Participant1=G704)*(TM_Participant2=AJ704),0)),"")</f>
        <v/>
      </c>
      <c r="AN704" s="389" t="str">
        <f t="array" ref="AN704">IF(ISNUMBER(AL704),INDEX(TM_Score2,MATCH(1,(TM_Events=D704)*(TM_Participant1=AJ704)*(TM_Participant2=G704),0)),"")</f>
        <v/>
      </c>
      <c r="AO704" s="389" t="str">
        <f t="shared" si="310"/>
        <v/>
      </c>
      <c r="AP704" s="389">
        <f t="shared" si="311"/>
        <v>0</v>
      </c>
      <c r="AQ704" s="389">
        <f t="shared" si="312"/>
        <v>0</v>
      </c>
      <c r="AR704" s="389">
        <f t="shared" si="313"/>
        <v>0</v>
      </c>
      <c r="AS704" s="453">
        <f t="shared" si="314"/>
        <v>0</v>
      </c>
      <c r="AT704" s="452">
        <f t="shared" si="315"/>
        <v>0</v>
      </c>
    </row>
    <row r="705" spans="2:46" ht="16" x14ac:dyDescent="0.2">
      <c r="B705"/>
      <c r="H705" s="387" t="str">
        <f t="shared" si="290"/>
        <v>0-0-0</v>
      </c>
      <c r="I705" s="389">
        <f t="shared" si="291"/>
        <v>0</v>
      </c>
      <c r="J705" s="455" t="str">
        <f t="shared" si="316"/>
        <v/>
      </c>
      <c r="K705" s="455">
        <f t="shared" si="292"/>
        <v>0</v>
      </c>
      <c r="L705" s="455">
        <f t="shared" si="317"/>
        <v>0</v>
      </c>
      <c r="M705" s="389" t="str">
        <f>IFERROR(IF(AD705&lt;=VLOOKUP(D705,Tournaments!$A$1:$B$1772,2,FALSE),"TRUE","FALSE"),"")</f>
        <v/>
      </c>
      <c r="N705" s="389">
        <v>1</v>
      </c>
      <c r="O705" s="389">
        <f t="shared" si="293"/>
        <v>0</v>
      </c>
      <c r="Q705" s="389">
        <f t="shared" si="294"/>
        <v>0</v>
      </c>
      <c r="R705" s="389">
        <f t="shared" si="295"/>
        <v>0</v>
      </c>
      <c r="S705" s="389">
        <f t="shared" si="296"/>
        <v>0</v>
      </c>
      <c r="U705" s="389">
        <f t="shared" si="297"/>
        <v>0</v>
      </c>
      <c r="V705" s="389" t="b">
        <f t="shared" si="298"/>
        <v>0</v>
      </c>
      <c r="W705" s="389">
        <f t="shared" si="299"/>
        <v>0</v>
      </c>
      <c r="X705" s="389">
        <f t="shared" si="300"/>
        <v>0</v>
      </c>
      <c r="Y705" s="389">
        <f t="shared" si="318"/>
        <v>1.0999999999999999E-2</v>
      </c>
      <c r="Z705" s="389">
        <f t="shared" si="301"/>
        <v>1.0999999999999999E-2</v>
      </c>
      <c r="AA705" s="389">
        <f t="shared" si="302"/>
        <v>0</v>
      </c>
      <c r="AB705" s="389">
        <f t="shared" si="303"/>
        <v>1E-4</v>
      </c>
      <c r="AC705" s="389">
        <f t="shared" si="304"/>
        <v>1E-4</v>
      </c>
      <c r="AD705" s="389">
        <f t="shared" si="305"/>
        <v>0</v>
      </c>
      <c r="AE705" s="389">
        <f t="shared" si="306"/>
        <v>0</v>
      </c>
      <c r="AG705" s="311" t="str">
        <f t="shared" si="307"/>
        <v>-</v>
      </c>
      <c r="AH705" s="453" t="str">
        <f t="shared" si="308"/>
        <v/>
      </c>
      <c r="AI705" s="453" t="str">
        <f t="shared" si="309"/>
        <v/>
      </c>
      <c r="AJ705" t="str">
        <f t="array" ref="AJ705">IF(AND(AI705&gt;1,G705&lt;&gt;""),INDEX(FS_teams,MATCH(1,(FS_Keys=AG705)*(FS_Points=I705)*(FS_teams&lt;&gt;G705),0)),"")</f>
        <v/>
      </c>
      <c r="AK705" s="390" t="str">
        <f t="array" ref="AK705">IF(AJ705&lt;&gt;"",INDEX(TM_Score1,MATCH(1,(TM_Events=D705)*(TM_Participant1=G705)*(TM_Participant2=AJ705),0)),"")</f>
        <v/>
      </c>
      <c r="AL705" s="390" t="str">
        <f t="array" ref="AL705">IF(AJ705&lt;&gt;"",INDEX(TM_Score1,MATCH(1,(TM_Events=D705)*(TM_Participant1=AJ705)*(TM_Participant2=G705),0)),"")</f>
        <v/>
      </c>
      <c r="AM705" s="389" t="str">
        <f t="array" ref="AM705">IF(ISNUMBER(AK705),INDEX(TM_Score2,MATCH(1,(TM_Events=D705)*(TM_Participant1=G705)*(TM_Participant2=AJ705),0)),"")</f>
        <v/>
      </c>
      <c r="AN705" s="389" t="str">
        <f t="array" ref="AN705">IF(ISNUMBER(AL705),INDEX(TM_Score2,MATCH(1,(TM_Events=D705)*(TM_Participant1=AJ705)*(TM_Participant2=G705),0)),"")</f>
        <v/>
      </c>
      <c r="AO705" s="389" t="str">
        <f t="shared" si="310"/>
        <v/>
      </c>
      <c r="AP705" s="389">
        <f t="shared" si="311"/>
        <v>0</v>
      </c>
      <c r="AQ705" s="389">
        <f t="shared" si="312"/>
        <v>0</v>
      </c>
      <c r="AR705" s="389">
        <f t="shared" si="313"/>
        <v>0</v>
      </c>
      <c r="AS705" s="453">
        <f t="shared" si="314"/>
        <v>0</v>
      </c>
      <c r="AT705" s="452">
        <f t="shared" si="315"/>
        <v>0</v>
      </c>
    </row>
    <row r="706" spans="2:46" ht="16" x14ac:dyDescent="0.2">
      <c r="B706"/>
      <c r="H706" s="387" t="str">
        <f t="shared" si="290"/>
        <v>0-0-0</v>
      </c>
      <c r="I706" s="389">
        <f t="shared" si="291"/>
        <v>0</v>
      </c>
      <c r="J706" s="455" t="str">
        <f t="shared" si="316"/>
        <v/>
      </c>
      <c r="K706" s="455">
        <f t="shared" si="292"/>
        <v>0</v>
      </c>
      <c r="L706" s="455">
        <f t="shared" si="317"/>
        <v>0</v>
      </c>
      <c r="M706" s="389" t="str">
        <f>IFERROR(IF(AD706&lt;=VLOOKUP(D706,Tournaments!$A$1:$B$1772,2,FALSE),"TRUE","FALSE"),"")</f>
        <v/>
      </c>
      <c r="N706" s="389">
        <v>1</v>
      </c>
      <c r="O706" s="389">
        <f t="shared" si="293"/>
        <v>0</v>
      </c>
      <c r="Q706" s="389">
        <f t="shared" si="294"/>
        <v>0</v>
      </c>
      <c r="R706" s="389">
        <f t="shared" si="295"/>
        <v>0</v>
      </c>
      <c r="S706" s="389">
        <f t="shared" si="296"/>
        <v>0</v>
      </c>
      <c r="U706" s="389">
        <f t="shared" si="297"/>
        <v>0</v>
      </c>
      <c r="V706" s="389" t="b">
        <f t="shared" si="298"/>
        <v>0</v>
      </c>
      <c r="W706" s="389">
        <f t="shared" si="299"/>
        <v>0</v>
      </c>
      <c r="X706" s="389">
        <f t="shared" si="300"/>
        <v>0</v>
      </c>
      <c r="Y706" s="389">
        <f t="shared" si="318"/>
        <v>1.0999999999999999E-2</v>
      </c>
      <c r="Z706" s="389">
        <f t="shared" si="301"/>
        <v>1.0999999999999999E-2</v>
      </c>
      <c r="AA706" s="389">
        <f t="shared" si="302"/>
        <v>0</v>
      </c>
      <c r="AB706" s="389">
        <f t="shared" si="303"/>
        <v>1E-4</v>
      </c>
      <c r="AC706" s="389">
        <f t="shared" si="304"/>
        <v>1E-4</v>
      </c>
      <c r="AD706" s="389">
        <f t="shared" si="305"/>
        <v>0</v>
      </c>
      <c r="AE706" s="389">
        <f t="shared" si="306"/>
        <v>0</v>
      </c>
      <c r="AG706" s="311" t="str">
        <f t="shared" si="307"/>
        <v>-</v>
      </c>
      <c r="AH706" s="453" t="str">
        <f t="shared" si="308"/>
        <v/>
      </c>
      <c r="AI706" s="453" t="str">
        <f t="shared" si="309"/>
        <v/>
      </c>
      <c r="AJ706" t="str">
        <f t="array" ref="AJ706">IF(AND(AI706&gt;1,G706&lt;&gt;""),INDEX(FS_teams,MATCH(1,(FS_Keys=AG706)*(FS_Points=I706)*(FS_teams&lt;&gt;G706),0)),"")</f>
        <v/>
      </c>
      <c r="AK706" s="390" t="str">
        <f t="array" ref="AK706">IF(AJ706&lt;&gt;"",INDEX(TM_Score1,MATCH(1,(TM_Events=D706)*(TM_Participant1=G706)*(TM_Participant2=AJ706),0)),"")</f>
        <v/>
      </c>
      <c r="AL706" s="390" t="str">
        <f t="array" ref="AL706">IF(AJ706&lt;&gt;"",INDEX(TM_Score1,MATCH(1,(TM_Events=D706)*(TM_Participant1=AJ706)*(TM_Participant2=G706),0)),"")</f>
        <v/>
      </c>
      <c r="AM706" s="389" t="str">
        <f t="array" ref="AM706">IF(ISNUMBER(AK706),INDEX(TM_Score2,MATCH(1,(TM_Events=D706)*(TM_Participant1=G706)*(TM_Participant2=AJ706),0)),"")</f>
        <v/>
      </c>
      <c r="AN706" s="389" t="str">
        <f t="array" ref="AN706">IF(ISNUMBER(AL706),INDEX(TM_Score2,MATCH(1,(TM_Events=D706)*(TM_Participant1=AJ706)*(TM_Participant2=G706),0)),"")</f>
        <v/>
      </c>
      <c r="AO706" s="389" t="str">
        <f t="shared" si="310"/>
        <v/>
      </c>
      <c r="AP706" s="389">
        <f t="shared" si="311"/>
        <v>0</v>
      </c>
      <c r="AQ706" s="389">
        <f t="shared" si="312"/>
        <v>0</v>
      </c>
      <c r="AR706" s="389">
        <f t="shared" si="313"/>
        <v>0</v>
      </c>
      <c r="AS706" s="453">
        <f t="shared" si="314"/>
        <v>0</v>
      </c>
      <c r="AT706" s="452">
        <f t="shared" si="315"/>
        <v>0</v>
      </c>
    </row>
    <row r="707" spans="2:46" ht="16" x14ac:dyDescent="0.2">
      <c r="B707"/>
      <c r="H707" s="387" t="str">
        <f t="shared" ref="H707:H770" si="319">Q707&amp;"-"&amp;R707&amp;"-"&amp;S707</f>
        <v>0-0-0</v>
      </c>
      <c r="I707" s="389">
        <f t="shared" ref="I707:I770" si="320">IF(H707&lt;&gt;"0-0-0",Q707*2+S707,0)</f>
        <v>0</v>
      </c>
      <c r="J707" s="455" t="str">
        <f t="shared" si="316"/>
        <v/>
      </c>
      <c r="K707" s="455">
        <f t="shared" ref="K707:K770" si="321">IF(COUNTIFS(AG:AG,AG707,I:I,I707,J:J,J707)&gt;1,AS707,"")</f>
        <v>0</v>
      </c>
      <c r="L707" s="455">
        <f t="shared" si="317"/>
        <v>0</v>
      </c>
      <c r="M707" s="389" t="str">
        <f>IFERROR(IF(AD707&lt;=VLOOKUP(D707,Tournaments!$A$1:$B$1772,2,FALSE),"TRUE","FALSE"),"")</f>
        <v/>
      </c>
      <c r="N707" s="389">
        <v>1</v>
      </c>
      <c r="O707" s="389">
        <f t="shared" ref="O707:O770" si="322">AD707</f>
        <v>0</v>
      </c>
      <c r="Q707" s="389">
        <f t="shared" ref="Q707:Q770" si="323">AP707</f>
        <v>0</v>
      </c>
      <c r="R707" s="389">
        <f t="shared" ref="R707:R770" si="324">AR707</f>
        <v>0</v>
      </c>
      <c r="S707" s="389">
        <f t="shared" ref="S707:S770" si="325">AQ707</f>
        <v>0</v>
      </c>
      <c r="U707" s="389">
        <f t="shared" ref="U707:U770" si="326">IF(E707&lt;&gt;"",COUNTIFS($D$3:$D$1001,D707,$E$3:$E$1001,E707,$I$3:$I$1001,"&gt;"&amp;I707)+COUNTIFS($D$3:$D$1001,D707,$E$3:$E$1001,E707,$I$3:$I$1001,I707),COUNTIFS($D$3:$D$1001,D707,$I$3:$I$1001,"&gt;"&amp;I707)+COUNTIFS($D$3:$D$1001,D707,$I$3:$I$1001,I707))</f>
        <v>0</v>
      </c>
      <c r="V707" s="389" t="b">
        <f t="shared" ref="V707:V770" si="327">IFERROR(RANK(J707,$J:$J,1)/10000,FALSE)</f>
        <v>0</v>
      </c>
      <c r="W707" s="389">
        <f t="shared" ref="W707:W770" si="328">V707-U707</f>
        <v>0</v>
      </c>
      <c r="X707" s="389">
        <f t="shared" ref="X707:X770" si="329">IF(E707&lt;&gt;"",COUNTIFS($D:$D,$D707,$E:$E,$E707,$W:$W,"&gt;"&amp;W707)+COUNTIFS($D:$D,$D707,$E:$E,$E707,$W:$W,W707),COUNTIFS($D:$D,$D707,$W:$W,"&gt;"&amp;W707)+COUNTIFS($D:$D,$D707,$W:$W,W707))</f>
        <v>0</v>
      </c>
      <c r="Y707" s="389">
        <f t="shared" si="318"/>
        <v>1.0999999999999999E-2</v>
      </c>
      <c r="Z707" s="389">
        <f t="shared" ref="Z707:Z770" si="330">Y707-X707</f>
        <v>1.0999999999999999E-2</v>
      </c>
      <c r="AA707" s="389">
        <f t="shared" ref="AA707:AA770" si="331">IF(E707&lt;&gt;"",(COUNTIFS($D:$D,D707,$E:$E,E707,$Z:$Z,"&gt;"&amp;Z707)+COUNTIFS($D:$D,D707,$E:$E,E707,$Z:$Z,Z707)),(COUNTIFS($D:$D,D707,$Z:$Z,"&gt;"&amp;Z707)+COUNTIFS($D:$D,D707,$Z:$Z,Z707)))</f>
        <v>0</v>
      </c>
      <c r="AB707" s="389">
        <f t="shared" ref="AB707:AB770" si="332">IFERROR(RANK(L707,$L:$L,1)/10000,FALSE)</f>
        <v>1E-4</v>
      </c>
      <c r="AC707" s="389">
        <f t="shared" ref="AC707:AC770" si="333">AB707-AA707</f>
        <v>1E-4</v>
      </c>
      <c r="AD707" s="389">
        <f t="shared" ref="AD707:AD770" si="334">IF(E707&lt;&gt;"",COUNTIFS($D:$D,$D707,$E:$E,$E707,$AC:$AC,"&gt;"&amp;AC707)+COUNTIFS($D:$D,$D707,$E:$E,$E707,$AC:$AC,AC707),COUNTIFS($D:$D,$D707,$AC:$AC,"&gt;"&amp;AC707)+COUNTIFS($D:$D,$D707,$AC:$AC,AC707))</f>
        <v>0</v>
      </c>
      <c r="AE707" s="389">
        <f t="shared" ref="AE707:AE770" si="335">IF(E707&lt;&gt;"",COUNTIFS($D:$D,D707,$E:$E,E707,$I:$I,I707,$J:$J,J707),COUNTIFS($D:$D,D707,$I:$I,I707,$J:$J,J707))</f>
        <v>0</v>
      </c>
      <c r="AG707" s="311" t="str">
        <f t="shared" ref="AG707:AG770" si="336">D707&amp;"-"&amp;E707</f>
        <v>-</v>
      </c>
      <c r="AH707" s="453" t="str">
        <f t="shared" ref="AH707:AH770" si="337">IF(G707="","",COUNTIFS(FS_teams,"&lt;&gt;-1",FS_Keys,AG707,FS_Points,"&gt;"&amp;I707)+1)</f>
        <v/>
      </c>
      <c r="AI707" s="453" t="str">
        <f t="shared" ref="AI707:AI770" si="338">IF(G707="","",COUNTIFS(FS_Keys,AG707,FS_Rank_on_Points,AH707))</f>
        <v/>
      </c>
      <c r="AJ707" t="str">
        <f t="array" ref="AJ707">IF(AND(AI707&gt;1,G707&lt;&gt;""),INDEX(FS_teams,MATCH(1,(FS_Keys=AG707)*(FS_Points=I707)*(FS_teams&lt;&gt;G707),0)),"")</f>
        <v/>
      </c>
      <c r="AK707" s="390" t="str">
        <f t="array" ref="AK707">IF(AJ707&lt;&gt;"",INDEX(TM_Score1,MATCH(1,(TM_Events=D707)*(TM_Participant1=G707)*(TM_Participant2=AJ707),0)),"")</f>
        <v/>
      </c>
      <c r="AL707" s="390" t="str">
        <f t="array" ref="AL707">IF(AJ707&lt;&gt;"",INDEX(TM_Score1,MATCH(1,(TM_Events=D707)*(TM_Participant1=AJ707)*(TM_Participant2=G707),0)),"")</f>
        <v/>
      </c>
      <c r="AM707" s="389" t="str">
        <f t="array" ref="AM707">IF(ISNUMBER(AK707),INDEX(TM_Score2,MATCH(1,(TM_Events=D707)*(TM_Participant1=G707)*(TM_Participant2=AJ707),0)),"")</f>
        <v/>
      </c>
      <c r="AN707" s="389" t="str">
        <f t="array" ref="AN707">IF(ISNUMBER(AL707),INDEX(TM_Score2,MATCH(1,(TM_Events=D707)*(TM_Participant1=AJ707)*(TM_Participant2=G707),0)),"")</f>
        <v/>
      </c>
      <c r="AO707" s="389" t="str">
        <f t="shared" ref="AO707:AO770" si="339">IF(AJ707="","",IF(ISNUMBER(AK707),IF(AK707&gt;AM707,"Win",IF(AK707=AM707,"Tie",IF(AK707&lt;AM707,"Loss","check"))),IF(ISNUMBER(AL707),IF(AN707&gt;AL707,"Win",IF(AN707=AL707,"Tie",IF(AN707&lt;AL707,"Loss","check"))),IF(AND(ISNA(AK707),ISNA(AL707)),"did not play","check"))))</f>
        <v/>
      </c>
      <c r="AP707" s="389">
        <f t="shared" ref="AP707:AP770" si="340">SUMIFS(TM_W1,TM_Events,D707,TM_Participant1,G707)+SUMIFS(TM_w2,TM_Events,D707,TM_Participant2,G707)</f>
        <v>0</v>
      </c>
      <c r="AQ707" s="389">
        <f t="shared" ref="AQ707:AQ770" si="341">SUMIFS(TM_T1,TM_Events,D707,TM_Participant1,G707)+SUMIFS(TM_T2,TM_Events,D707,TM_Participant2,G707)</f>
        <v>0</v>
      </c>
      <c r="AR707" s="389">
        <f t="shared" ref="AR707:AR770" si="342">SUMIFS(TM_L1,TM_Events,D707,TM_Participant1,G707)+SUMIFS(TM_L2,TM_Events,D707,TM_Participant2,G707)</f>
        <v>0</v>
      </c>
      <c r="AS707" s="453">
        <f t="shared" ref="AS707:AS770" si="343">SUMIFS(Net_1,TM_Events,D707,TM_Participant1,G707)+SUMIFS(Net_2,TM_Events,D707,TM_Participant2,G707)</f>
        <v>0</v>
      </c>
      <c r="AT707" s="452">
        <f t="shared" ref="AT707:AT770" si="344">SUMIFS(Score_1,TM_Events,D707,TM_Participant1,G707)+SUMIFS(Score_2,TM_Events,D707,TM_Participant2,G707)</f>
        <v>0</v>
      </c>
    </row>
    <row r="708" spans="2:46" ht="16" x14ac:dyDescent="0.2">
      <c r="B708"/>
      <c r="H708" s="387" t="str">
        <f t="shared" si="319"/>
        <v>0-0-0</v>
      </c>
      <c r="I708" s="389">
        <f t="shared" si="320"/>
        <v>0</v>
      </c>
      <c r="J708" s="455" t="str">
        <f t="shared" ref="J708:J771" si="345">IF(E708&lt;&gt;"",IF(COUNTIFS($D:$D,D708,$E:$E,E708,$I:$I,I708)&lt;3,IFERROR(IF(H708&lt;&gt;"0-0-0",IF(AO708&lt;&gt;"",IF(AO708="Win",2,IF(AO708="Loss",0,1)),""),""),""),1),IF(COUNTIFS(D:D,D708,I:I,I708)&lt;3,IFERROR(IF(H708&lt;&gt;"0-0-0",IF(AO708&lt;&gt;"",IF(AO708="Win",2,IF(AO708="Loss",0,1)),""),""),""),1))</f>
        <v/>
      </c>
      <c r="K708" s="455">
        <f t="shared" si="321"/>
        <v>0</v>
      </c>
      <c r="L708" s="455">
        <f t="shared" ref="L708:L771" si="346">IF(COUNTIFS(AG:AG,AG708,I:I,I708,J:J,J708,K:K,K708)&gt;1,AT708,"")</f>
        <v>0</v>
      </c>
      <c r="M708" s="389" t="str">
        <f>IFERROR(IF(AD708&lt;=VLOOKUP(D708,Tournaments!$A$1:$B$1772,2,FALSE),"TRUE","FALSE"),"")</f>
        <v/>
      </c>
      <c r="N708" s="389">
        <v>1</v>
      </c>
      <c r="O708" s="389">
        <f t="shared" si="322"/>
        <v>0</v>
      </c>
      <c r="Q708" s="389">
        <f t="shared" si="323"/>
        <v>0</v>
      </c>
      <c r="R708" s="389">
        <f t="shared" si="324"/>
        <v>0</v>
      </c>
      <c r="S708" s="389">
        <f t="shared" si="325"/>
        <v>0</v>
      </c>
      <c r="U708" s="389">
        <f t="shared" si="326"/>
        <v>0</v>
      </c>
      <c r="V708" s="389" t="b">
        <f t="shared" si="327"/>
        <v>0</v>
      </c>
      <c r="W708" s="389">
        <f t="shared" si="328"/>
        <v>0</v>
      </c>
      <c r="X708" s="389">
        <f t="shared" si="329"/>
        <v>0</v>
      </c>
      <c r="Y708" s="389">
        <f t="shared" ref="Y708:Y771" si="347">IFERROR(IF(K708&gt;=0,RANK(K708,$K:$K,1)/10000,RANK(K708,$K:$K,1)/10000),FALSE)</f>
        <v>1.0999999999999999E-2</v>
      </c>
      <c r="Z708" s="389">
        <f t="shared" si="330"/>
        <v>1.0999999999999999E-2</v>
      </c>
      <c r="AA708" s="389">
        <f t="shared" si="331"/>
        <v>0</v>
      </c>
      <c r="AB708" s="389">
        <f t="shared" si="332"/>
        <v>1E-4</v>
      </c>
      <c r="AC708" s="389">
        <f t="shared" si="333"/>
        <v>1E-4</v>
      </c>
      <c r="AD708" s="389">
        <f t="shared" si="334"/>
        <v>0</v>
      </c>
      <c r="AE708" s="389">
        <f t="shared" si="335"/>
        <v>0</v>
      </c>
      <c r="AG708" s="311" t="str">
        <f t="shared" si="336"/>
        <v>-</v>
      </c>
      <c r="AH708" s="453" t="str">
        <f t="shared" si="337"/>
        <v/>
      </c>
      <c r="AI708" s="453" t="str">
        <f t="shared" si="338"/>
        <v/>
      </c>
      <c r="AJ708" t="str">
        <f t="array" ref="AJ708">IF(AND(AI708&gt;1,G708&lt;&gt;""),INDEX(FS_teams,MATCH(1,(FS_Keys=AG708)*(FS_Points=I708)*(FS_teams&lt;&gt;G708),0)),"")</f>
        <v/>
      </c>
      <c r="AK708" s="390" t="str">
        <f t="array" ref="AK708">IF(AJ708&lt;&gt;"",INDEX(TM_Score1,MATCH(1,(TM_Events=D708)*(TM_Participant1=G708)*(TM_Participant2=AJ708),0)),"")</f>
        <v/>
      </c>
      <c r="AL708" s="390" t="str">
        <f t="array" ref="AL708">IF(AJ708&lt;&gt;"",INDEX(TM_Score1,MATCH(1,(TM_Events=D708)*(TM_Participant1=AJ708)*(TM_Participant2=G708),0)),"")</f>
        <v/>
      </c>
      <c r="AM708" s="389" t="str">
        <f t="array" ref="AM708">IF(ISNUMBER(AK708),INDEX(TM_Score2,MATCH(1,(TM_Events=D708)*(TM_Participant1=G708)*(TM_Participant2=AJ708),0)),"")</f>
        <v/>
      </c>
      <c r="AN708" s="389" t="str">
        <f t="array" ref="AN708">IF(ISNUMBER(AL708),INDEX(TM_Score2,MATCH(1,(TM_Events=D708)*(TM_Participant1=AJ708)*(TM_Participant2=G708),0)),"")</f>
        <v/>
      </c>
      <c r="AO708" s="389" t="str">
        <f t="shared" si="339"/>
        <v/>
      </c>
      <c r="AP708" s="389">
        <f t="shared" si="340"/>
        <v>0</v>
      </c>
      <c r="AQ708" s="389">
        <f t="shared" si="341"/>
        <v>0</v>
      </c>
      <c r="AR708" s="389">
        <f t="shared" si="342"/>
        <v>0</v>
      </c>
      <c r="AS708" s="453">
        <f t="shared" si="343"/>
        <v>0</v>
      </c>
      <c r="AT708" s="452">
        <f t="shared" si="344"/>
        <v>0</v>
      </c>
    </row>
    <row r="709" spans="2:46" ht="16" x14ac:dyDescent="0.2">
      <c r="B709"/>
      <c r="H709" s="387" t="str">
        <f t="shared" si="319"/>
        <v>0-0-0</v>
      </c>
      <c r="I709" s="389">
        <f t="shared" si="320"/>
        <v>0</v>
      </c>
      <c r="J709" s="455" t="str">
        <f t="shared" si="345"/>
        <v/>
      </c>
      <c r="K709" s="455">
        <f t="shared" si="321"/>
        <v>0</v>
      </c>
      <c r="L709" s="455">
        <f t="shared" si="346"/>
        <v>0</v>
      </c>
      <c r="M709" s="389" t="str">
        <f>IFERROR(IF(AD709&lt;=VLOOKUP(D709,Tournaments!$A$1:$B$1772,2,FALSE),"TRUE","FALSE"),"")</f>
        <v/>
      </c>
      <c r="N709" s="389">
        <v>1</v>
      </c>
      <c r="O709" s="389">
        <f t="shared" si="322"/>
        <v>0</v>
      </c>
      <c r="Q709" s="389">
        <f t="shared" si="323"/>
        <v>0</v>
      </c>
      <c r="R709" s="389">
        <f t="shared" si="324"/>
        <v>0</v>
      </c>
      <c r="S709" s="389">
        <f t="shared" si="325"/>
        <v>0</v>
      </c>
      <c r="U709" s="389">
        <f t="shared" si="326"/>
        <v>0</v>
      </c>
      <c r="V709" s="389" t="b">
        <f t="shared" si="327"/>
        <v>0</v>
      </c>
      <c r="W709" s="389">
        <f t="shared" si="328"/>
        <v>0</v>
      </c>
      <c r="X709" s="389">
        <f t="shared" si="329"/>
        <v>0</v>
      </c>
      <c r="Y709" s="389">
        <f t="shared" si="347"/>
        <v>1.0999999999999999E-2</v>
      </c>
      <c r="Z709" s="389">
        <f t="shared" si="330"/>
        <v>1.0999999999999999E-2</v>
      </c>
      <c r="AA709" s="389">
        <f t="shared" si="331"/>
        <v>0</v>
      </c>
      <c r="AB709" s="389">
        <f t="shared" si="332"/>
        <v>1E-4</v>
      </c>
      <c r="AC709" s="389">
        <f t="shared" si="333"/>
        <v>1E-4</v>
      </c>
      <c r="AD709" s="389">
        <f t="shared" si="334"/>
        <v>0</v>
      </c>
      <c r="AE709" s="389">
        <f t="shared" si="335"/>
        <v>0</v>
      </c>
      <c r="AG709" s="311" t="str">
        <f t="shared" si="336"/>
        <v>-</v>
      </c>
      <c r="AH709" s="453" t="str">
        <f t="shared" si="337"/>
        <v/>
      </c>
      <c r="AI709" s="453" t="str">
        <f t="shared" si="338"/>
        <v/>
      </c>
      <c r="AJ709" t="str">
        <f t="array" ref="AJ709">IF(AND(AI709&gt;1,G709&lt;&gt;""),INDEX(FS_teams,MATCH(1,(FS_Keys=AG709)*(FS_Points=I709)*(FS_teams&lt;&gt;G709),0)),"")</f>
        <v/>
      </c>
      <c r="AK709" s="390" t="str">
        <f t="array" ref="AK709">IF(AJ709&lt;&gt;"",INDEX(TM_Score1,MATCH(1,(TM_Events=D709)*(TM_Participant1=G709)*(TM_Participant2=AJ709),0)),"")</f>
        <v/>
      </c>
      <c r="AL709" s="390" t="str">
        <f t="array" ref="AL709">IF(AJ709&lt;&gt;"",INDEX(TM_Score1,MATCH(1,(TM_Events=D709)*(TM_Participant1=AJ709)*(TM_Participant2=G709),0)),"")</f>
        <v/>
      </c>
      <c r="AM709" s="389" t="str">
        <f t="array" ref="AM709">IF(ISNUMBER(AK709),INDEX(TM_Score2,MATCH(1,(TM_Events=D709)*(TM_Participant1=G709)*(TM_Participant2=AJ709),0)),"")</f>
        <v/>
      </c>
      <c r="AN709" s="389" t="str">
        <f t="array" ref="AN709">IF(ISNUMBER(AL709),INDEX(TM_Score2,MATCH(1,(TM_Events=D709)*(TM_Participant1=AJ709)*(TM_Participant2=G709),0)),"")</f>
        <v/>
      </c>
      <c r="AO709" s="389" t="str">
        <f t="shared" si="339"/>
        <v/>
      </c>
      <c r="AP709" s="389">
        <f t="shared" si="340"/>
        <v>0</v>
      </c>
      <c r="AQ709" s="389">
        <f t="shared" si="341"/>
        <v>0</v>
      </c>
      <c r="AR709" s="389">
        <f t="shared" si="342"/>
        <v>0</v>
      </c>
      <c r="AS709" s="453">
        <f t="shared" si="343"/>
        <v>0</v>
      </c>
      <c r="AT709" s="452">
        <f t="shared" si="344"/>
        <v>0</v>
      </c>
    </row>
    <row r="710" spans="2:46" ht="16" x14ac:dyDescent="0.2">
      <c r="B710"/>
      <c r="H710" s="387" t="str">
        <f t="shared" si="319"/>
        <v>0-0-0</v>
      </c>
      <c r="I710" s="389">
        <f t="shared" si="320"/>
        <v>0</v>
      </c>
      <c r="J710" s="455" t="str">
        <f t="shared" si="345"/>
        <v/>
      </c>
      <c r="K710" s="455">
        <f t="shared" si="321"/>
        <v>0</v>
      </c>
      <c r="L710" s="455">
        <f t="shared" si="346"/>
        <v>0</v>
      </c>
      <c r="M710" s="389" t="str">
        <f>IFERROR(IF(AD710&lt;=VLOOKUP(D710,Tournaments!$A$1:$B$1772,2,FALSE),"TRUE","FALSE"),"")</f>
        <v/>
      </c>
      <c r="N710" s="389">
        <v>1</v>
      </c>
      <c r="O710" s="389">
        <f t="shared" si="322"/>
        <v>0</v>
      </c>
      <c r="Q710" s="389">
        <f t="shared" si="323"/>
        <v>0</v>
      </c>
      <c r="R710" s="389">
        <f t="shared" si="324"/>
        <v>0</v>
      </c>
      <c r="S710" s="389">
        <f t="shared" si="325"/>
        <v>0</v>
      </c>
      <c r="U710" s="389">
        <f t="shared" si="326"/>
        <v>0</v>
      </c>
      <c r="V710" s="389" t="b">
        <f t="shared" si="327"/>
        <v>0</v>
      </c>
      <c r="W710" s="389">
        <f t="shared" si="328"/>
        <v>0</v>
      </c>
      <c r="X710" s="389">
        <f t="shared" si="329"/>
        <v>0</v>
      </c>
      <c r="Y710" s="389">
        <f t="shared" si="347"/>
        <v>1.0999999999999999E-2</v>
      </c>
      <c r="Z710" s="389">
        <f t="shared" si="330"/>
        <v>1.0999999999999999E-2</v>
      </c>
      <c r="AA710" s="389">
        <f t="shared" si="331"/>
        <v>0</v>
      </c>
      <c r="AB710" s="389">
        <f t="shared" si="332"/>
        <v>1E-4</v>
      </c>
      <c r="AC710" s="389">
        <f t="shared" si="333"/>
        <v>1E-4</v>
      </c>
      <c r="AD710" s="389">
        <f t="shared" si="334"/>
        <v>0</v>
      </c>
      <c r="AE710" s="389">
        <f t="shared" si="335"/>
        <v>0</v>
      </c>
      <c r="AG710" s="311" t="str">
        <f t="shared" si="336"/>
        <v>-</v>
      </c>
      <c r="AH710" s="453" t="str">
        <f t="shared" si="337"/>
        <v/>
      </c>
      <c r="AI710" s="453" t="str">
        <f t="shared" si="338"/>
        <v/>
      </c>
      <c r="AJ710" t="str">
        <f t="array" ref="AJ710">IF(AND(AI710&gt;1,G710&lt;&gt;""),INDEX(FS_teams,MATCH(1,(FS_Keys=AG710)*(FS_Points=I710)*(FS_teams&lt;&gt;G710),0)),"")</f>
        <v/>
      </c>
      <c r="AK710" s="390" t="str">
        <f t="array" ref="AK710">IF(AJ710&lt;&gt;"",INDEX(TM_Score1,MATCH(1,(TM_Events=D710)*(TM_Participant1=G710)*(TM_Participant2=AJ710),0)),"")</f>
        <v/>
      </c>
      <c r="AL710" s="390" t="str">
        <f t="array" ref="AL710">IF(AJ710&lt;&gt;"",INDEX(TM_Score1,MATCH(1,(TM_Events=D710)*(TM_Participant1=AJ710)*(TM_Participant2=G710),0)),"")</f>
        <v/>
      </c>
      <c r="AM710" s="389" t="str">
        <f t="array" ref="AM710">IF(ISNUMBER(AK710),INDEX(TM_Score2,MATCH(1,(TM_Events=D710)*(TM_Participant1=G710)*(TM_Participant2=AJ710),0)),"")</f>
        <v/>
      </c>
      <c r="AN710" s="389" t="str">
        <f t="array" ref="AN710">IF(ISNUMBER(AL710),INDEX(TM_Score2,MATCH(1,(TM_Events=D710)*(TM_Participant1=AJ710)*(TM_Participant2=G710),0)),"")</f>
        <v/>
      </c>
      <c r="AO710" s="389" t="str">
        <f t="shared" si="339"/>
        <v/>
      </c>
      <c r="AP710" s="389">
        <f t="shared" si="340"/>
        <v>0</v>
      </c>
      <c r="AQ710" s="389">
        <f t="shared" si="341"/>
        <v>0</v>
      </c>
      <c r="AR710" s="389">
        <f t="shared" si="342"/>
        <v>0</v>
      </c>
      <c r="AS710" s="453">
        <f t="shared" si="343"/>
        <v>0</v>
      </c>
      <c r="AT710" s="452">
        <f t="shared" si="344"/>
        <v>0</v>
      </c>
    </row>
    <row r="711" spans="2:46" ht="16" x14ac:dyDescent="0.2">
      <c r="B711"/>
      <c r="H711" s="387" t="str">
        <f t="shared" si="319"/>
        <v>0-0-0</v>
      </c>
      <c r="I711" s="389">
        <f t="shared" si="320"/>
        <v>0</v>
      </c>
      <c r="J711" s="455" t="str">
        <f t="shared" si="345"/>
        <v/>
      </c>
      <c r="K711" s="455">
        <f t="shared" si="321"/>
        <v>0</v>
      </c>
      <c r="L711" s="455">
        <f t="shared" si="346"/>
        <v>0</v>
      </c>
      <c r="M711" s="389" t="str">
        <f>IFERROR(IF(AD711&lt;=VLOOKUP(D711,Tournaments!$A$1:$B$1772,2,FALSE),"TRUE","FALSE"),"")</f>
        <v/>
      </c>
      <c r="N711" s="389">
        <v>1</v>
      </c>
      <c r="O711" s="389">
        <f t="shared" si="322"/>
        <v>0</v>
      </c>
      <c r="Q711" s="389">
        <f t="shared" si="323"/>
        <v>0</v>
      </c>
      <c r="R711" s="389">
        <f t="shared" si="324"/>
        <v>0</v>
      </c>
      <c r="S711" s="389">
        <f t="shared" si="325"/>
        <v>0</v>
      </c>
      <c r="U711" s="389">
        <f t="shared" si="326"/>
        <v>0</v>
      </c>
      <c r="V711" s="389" t="b">
        <f t="shared" si="327"/>
        <v>0</v>
      </c>
      <c r="W711" s="389">
        <f t="shared" si="328"/>
        <v>0</v>
      </c>
      <c r="X711" s="389">
        <f t="shared" si="329"/>
        <v>0</v>
      </c>
      <c r="Y711" s="389">
        <f t="shared" si="347"/>
        <v>1.0999999999999999E-2</v>
      </c>
      <c r="Z711" s="389">
        <f t="shared" si="330"/>
        <v>1.0999999999999999E-2</v>
      </c>
      <c r="AA711" s="389">
        <f t="shared" si="331"/>
        <v>0</v>
      </c>
      <c r="AB711" s="389">
        <f t="shared" si="332"/>
        <v>1E-4</v>
      </c>
      <c r="AC711" s="389">
        <f t="shared" si="333"/>
        <v>1E-4</v>
      </c>
      <c r="AD711" s="389">
        <f t="shared" si="334"/>
        <v>0</v>
      </c>
      <c r="AE711" s="389">
        <f t="shared" si="335"/>
        <v>0</v>
      </c>
      <c r="AG711" s="311" t="str">
        <f t="shared" si="336"/>
        <v>-</v>
      </c>
      <c r="AH711" s="453" t="str">
        <f t="shared" si="337"/>
        <v/>
      </c>
      <c r="AI711" s="453" t="str">
        <f t="shared" si="338"/>
        <v/>
      </c>
      <c r="AJ711" t="str">
        <f t="array" ref="AJ711">IF(AND(AI711&gt;1,G711&lt;&gt;""),INDEX(FS_teams,MATCH(1,(FS_Keys=AG711)*(FS_Points=I711)*(FS_teams&lt;&gt;G711),0)),"")</f>
        <v/>
      </c>
      <c r="AK711" s="390" t="str">
        <f t="array" ref="AK711">IF(AJ711&lt;&gt;"",INDEX(TM_Score1,MATCH(1,(TM_Events=D711)*(TM_Participant1=G711)*(TM_Participant2=AJ711),0)),"")</f>
        <v/>
      </c>
      <c r="AL711" s="390" t="str">
        <f t="array" ref="AL711">IF(AJ711&lt;&gt;"",INDEX(TM_Score1,MATCH(1,(TM_Events=D711)*(TM_Participant1=AJ711)*(TM_Participant2=G711),0)),"")</f>
        <v/>
      </c>
      <c r="AM711" s="389" t="str">
        <f t="array" ref="AM711">IF(ISNUMBER(AK711),INDEX(TM_Score2,MATCH(1,(TM_Events=D711)*(TM_Participant1=G711)*(TM_Participant2=AJ711),0)),"")</f>
        <v/>
      </c>
      <c r="AN711" s="389" t="str">
        <f t="array" ref="AN711">IF(ISNUMBER(AL711),INDEX(TM_Score2,MATCH(1,(TM_Events=D711)*(TM_Participant1=AJ711)*(TM_Participant2=G711),0)),"")</f>
        <v/>
      </c>
      <c r="AO711" s="389" t="str">
        <f t="shared" si="339"/>
        <v/>
      </c>
      <c r="AP711" s="389">
        <f t="shared" si="340"/>
        <v>0</v>
      </c>
      <c r="AQ711" s="389">
        <f t="shared" si="341"/>
        <v>0</v>
      </c>
      <c r="AR711" s="389">
        <f t="shared" si="342"/>
        <v>0</v>
      </c>
      <c r="AS711" s="453">
        <f t="shared" si="343"/>
        <v>0</v>
      </c>
      <c r="AT711" s="452">
        <f t="shared" si="344"/>
        <v>0</v>
      </c>
    </row>
    <row r="712" spans="2:46" ht="16" x14ac:dyDescent="0.2">
      <c r="B712"/>
      <c r="H712" s="387" t="str">
        <f t="shared" si="319"/>
        <v>0-0-0</v>
      </c>
      <c r="I712" s="389">
        <f t="shared" si="320"/>
        <v>0</v>
      </c>
      <c r="J712" s="455" t="str">
        <f t="shared" si="345"/>
        <v/>
      </c>
      <c r="K712" s="455">
        <f t="shared" si="321"/>
        <v>0</v>
      </c>
      <c r="L712" s="455">
        <f t="shared" si="346"/>
        <v>0</v>
      </c>
      <c r="M712" s="389" t="str">
        <f>IFERROR(IF(AD712&lt;=VLOOKUP(D712,Tournaments!$A$1:$B$1772,2,FALSE),"TRUE","FALSE"),"")</f>
        <v/>
      </c>
      <c r="N712" s="389">
        <v>1</v>
      </c>
      <c r="O712" s="389">
        <f t="shared" si="322"/>
        <v>0</v>
      </c>
      <c r="Q712" s="389">
        <f t="shared" si="323"/>
        <v>0</v>
      </c>
      <c r="R712" s="389">
        <f t="shared" si="324"/>
        <v>0</v>
      </c>
      <c r="S712" s="389">
        <f t="shared" si="325"/>
        <v>0</v>
      </c>
      <c r="U712" s="389">
        <f t="shared" si="326"/>
        <v>0</v>
      </c>
      <c r="V712" s="389" t="b">
        <f t="shared" si="327"/>
        <v>0</v>
      </c>
      <c r="W712" s="389">
        <f t="shared" si="328"/>
        <v>0</v>
      </c>
      <c r="X712" s="389">
        <f t="shared" si="329"/>
        <v>0</v>
      </c>
      <c r="Y712" s="389">
        <f t="shared" si="347"/>
        <v>1.0999999999999999E-2</v>
      </c>
      <c r="Z712" s="389">
        <f t="shared" si="330"/>
        <v>1.0999999999999999E-2</v>
      </c>
      <c r="AA712" s="389">
        <f t="shared" si="331"/>
        <v>0</v>
      </c>
      <c r="AB712" s="389">
        <f t="shared" si="332"/>
        <v>1E-4</v>
      </c>
      <c r="AC712" s="389">
        <f t="shared" si="333"/>
        <v>1E-4</v>
      </c>
      <c r="AD712" s="389">
        <f t="shared" si="334"/>
        <v>0</v>
      </c>
      <c r="AE712" s="389">
        <f t="shared" si="335"/>
        <v>0</v>
      </c>
      <c r="AG712" s="311" t="str">
        <f t="shared" si="336"/>
        <v>-</v>
      </c>
      <c r="AH712" s="453" t="str">
        <f t="shared" si="337"/>
        <v/>
      </c>
      <c r="AI712" s="453" t="str">
        <f t="shared" si="338"/>
        <v/>
      </c>
      <c r="AJ712" t="str">
        <f t="array" ref="AJ712">IF(AND(AI712&gt;1,G712&lt;&gt;""),INDEX(FS_teams,MATCH(1,(FS_Keys=AG712)*(FS_Points=I712)*(FS_teams&lt;&gt;G712),0)),"")</f>
        <v/>
      </c>
      <c r="AK712" s="390" t="str">
        <f t="array" ref="AK712">IF(AJ712&lt;&gt;"",INDEX(TM_Score1,MATCH(1,(TM_Events=D712)*(TM_Participant1=G712)*(TM_Participant2=AJ712),0)),"")</f>
        <v/>
      </c>
      <c r="AL712" s="390" t="str">
        <f t="array" ref="AL712">IF(AJ712&lt;&gt;"",INDEX(TM_Score1,MATCH(1,(TM_Events=D712)*(TM_Participant1=AJ712)*(TM_Participant2=G712),0)),"")</f>
        <v/>
      </c>
      <c r="AM712" s="389" t="str">
        <f t="array" ref="AM712">IF(ISNUMBER(AK712),INDEX(TM_Score2,MATCH(1,(TM_Events=D712)*(TM_Participant1=G712)*(TM_Participant2=AJ712),0)),"")</f>
        <v/>
      </c>
      <c r="AN712" s="389" t="str">
        <f t="array" ref="AN712">IF(ISNUMBER(AL712),INDEX(TM_Score2,MATCH(1,(TM_Events=D712)*(TM_Participant1=AJ712)*(TM_Participant2=G712),0)),"")</f>
        <v/>
      </c>
      <c r="AO712" s="389" t="str">
        <f t="shared" si="339"/>
        <v/>
      </c>
      <c r="AP712" s="389">
        <f t="shared" si="340"/>
        <v>0</v>
      </c>
      <c r="AQ712" s="389">
        <f t="shared" si="341"/>
        <v>0</v>
      </c>
      <c r="AR712" s="389">
        <f t="shared" si="342"/>
        <v>0</v>
      </c>
      <c r="AS712" s="453">
        <f t="shared" si="343"/>
        <v>0</v>
      </c>
      <c r="AT712" s="452">
        <f t="shared" si="344"/>
        <v>0</v>
      </c>
    </row>
    <row r="713" spans="2:46" ht="16" x14ac:dyDescent="0.2">
      <c r="B713"/>
      <c r="H713" s="387" t="str">
        <f t="shared" si="319"/>
        <v>0-0-0</v>
      </c>
      <c r="I713" s="389">
        <f t="shared" si="320"/>
        <v>0</v>
      </c>
      <c r="J713" s="455" t="str">
        <f t="shared" si="345"/>
        <v/>
      </c>
      <c r="K713" s="455">
        <f t="shared" si="321"/>
        <v>0</v>
      </c>
      <c r="L713" s="455">
        <f t="shared" si="346"/>
        <v>0</v>
      </c>
      <c r="M713" s="389" t="str">
        <f>IFERROR(IF(AD713&lt;=VLOOKUP(D713,Tournaments!$A$1:$B$1772,2,FALSE),"TRUE","FALSE"),"")</f>
        <v/>
      </c>
      <c r="N713" s="389">
        <v>1</v>
      </c>
      <c r="O713" s="389">
        <f t="shared" si="322"/>
        <v>0</v>
      </c>
      <c r="Q713" s="389">
        <f t="shared" si="323"/>
        <v>0</v>
      </c>
      <c r="R713" s="389">
        <f t="shared" si="324"/>
        <v>0</v>
      </c>
      <c r="S713" s="389">
        <f t="shared" si="325"/>
        <v>0</v>
      </c>
      <c r="U713" s="389">
        <f t="shared" si="326"/>
        <v>0</v>
      </c>
      <c r="V713" s="389" t="b">
        <f t="shared" si="327"/>
        <v>0</v>
      </c>
      <c r="W713" s="389">
        <f t="shared" si="328"/>
        <v>0</v>
      </c>
      <c r="X713" s="389">
        <f t="shared" si="329"/>
        <v>0</v>
      </c>
      <c r="Y713" s="389">
        <f t="shared" si="347"/>
        <v>1.0999999999999999E-2</v>
      </c>
      <c r="Z713" s="389">
        <f t="shared" si="330"/>
        <v>1.0999999999999999E-2</v>
      </c>
      <c r="AA713" s="389">
        <f t="shared" si="331"/>
        <v>0</v>
      </c>
      <c r="AB713" s="389">
        <f t="shared" si="332"/>
        <v>1E-4</v>
      </c>
      <c r="AC713" s="389">
        <f t="shared" si="333"/>
        <v>1E-4</v>
      </c>
      <c r="AD713" s="389">
        <f t="shared" si="334"/>
        <v>0</v>
      </c>
      <c r="AE713" s="389">
        <f t="shared" si="335"/>
        <v>0</v>
      </c>
      <c r="AG713" s="311" t="str">
        <f t="shared" si="336"/>
        <v>-</v>
      </c>
      <c r="AH713" s="453" t="str">
        <f t="shared" si="337"/>
        <v/>
      </c>
      <c r="AI713" s="453" t="str">
        <f t="shared" si="338"/>
        <v/>
      </c>
      <c r="AJ713" t="str">
        <f t="array" ref="AJ713">IF(AND(AI713&gt;1,G713&lt;&gt;""),INDEX(FS_teams,MATCH(1,(FS_Keys=AG713)*(FS_Points=I713)*(FS_teams&lt;&gt;G713),0)),"")</f>
        <v/>
      </c>
      <c r="AK713" s="390" t="str">
        <f t="array" ref="AK713">IF(AJ713&lt;&gt;"",INDEX(TM_Score1,MATCH(1,(TM_Events=D713)*(TM_Participant1=G713)*(TM_Participant2=AJ713),0)),"")</f>
        <v/>
      </c>
      <c r="AL713" s="390" t="str">
        <f t="array" ref="AL713">IF(AJ713&lt;&gt;"",INDEX(TM_Score1,MATCH(1,(TM_Events=D713)*(TM_Participant1=AJ713)*(TM_Participant2=G713),0)),"")</f>
        <v/>
      </c>
      <c r="AM713" s="389" t="str">
        <f t="array" ref="AM713">IF(ISNUMBER(AK713),INDEX(TM_Score2,MATCH(1,(TM_Events=D713)*(TM_Participant1=G713)*(TM_Participant2=AJ713),0)),"")</f>
        <v/>
      </c>
      <c r="AN713" s="389" t="str">
        <f t="array" ref="AN713">IF(ISNUMBER(AL713),INDEX(TM_Score2,MATCH(1,(TM_Events=D713)*(TM_Participant1=AJ713)*(TM_Participant2=G713),0)),"")</f>
        <v/>
      </c>
      <c r="AO713" s="389" t="str">
        <f t="shared" si="339"/>
        <v/>
      </c>
      <c r="AP713" s="389">
        <f t="shared" si="340"/>
        <v>0</v>
      </c>
      <c r="AQ713" s="389">
        <f t="shared" si="341"/>
        <v>0</v>
      </c>
      <c r="AR713" s="389">
        <f t="shared" si="342"/>
        <v>0</v>
      </c>
      <c r="AS713" s="453">
        <f t="shared" si="343"/>
        <v>0</v>
      </c>
      <c r="AT713" s="452">
        <f t="shared" si="344"/>
        <v>0</v>
      </c>
    </row>
    <row r="714" spans="2:46" ht="16" x14ac:dyDescent="0.2">
      <c r="B714"/>
      <c r="H714" s="387" t="str">
        <f t="shared" si="319"/>
        <v>0-0-0</v>
      </c>
      <c r="I714" s="389">
        <f t="shared" si="320"/>
        <v>0</v>
      </c>
      <c r="J714" s="455" t="str">
        <f t="shared" si="345"/>
        <v/>
      </c>
      <c r="K714" s="455">
        <f t="shared" si="321"/>
        <v>0</v>
      </c>
      <c r="L714" s="455">
        <f t="shared" si="346"/>
        <v>0</v>
      </c>
      <c r="M714" s="389" t="str">
        <f>IFERROR(IF(AD714&lt;=VLOOKUP(D714,Tournaments!$A$1:$B$1772,2,FALSE),"TRUE","FALSE"),"")</f>
        <v/>
      </c>
      <c r="N714" s="389">
        <v>1</v>
      </c>
      <c r="O714" s="389">
        <f t="shared" si="322"/>
        <v>0</v>
      </c>
      <c r="Q714" s="389">
        <f t="shared" si="323"/>
        <v>0</v>
      </c>
      <c r="R714" s="389">
        <f t="shared" si="324"/>
        <v>0</v>
      </c>
      <c r="S714" s="389">
        <f t="shared" si="325"/>
        <v>0</v>
      </c>
      <c r="U714" s="389">
        <f t="shared" si="326"/>
        <v>0</v>
      </c>
      <c r="V714" s="389" t="b">
        <f t="shared" si="327"/>
        <v>0</v>
      </c>
      <c r="W714" s="389">
        <f t="shared" si="328"/>
        <v>0</v>
      </c>
      <c r="X714" s="389">
        <f t="shared" si="329"/>
        <v>0</v>
      </c>
      <c r="Y714" s="389">
        <f t="shared" si="347"/>
        <v>1.0999999999999999E-2</v>
      </c>
      <c r="Z714" s="389">
        <f t="shared" si="330"/>
        <v>1.0999999999999999E-2</v>
      </c>
      <c r="AA714" s="389">
        <f t="shared" si="331"/>
        <v>0</v>
      </c>
      <c r="AB714" s="389">
        <f t="shared" si="332"/>
        <v>1E-4</v>
      </c>
      <c r="AC714" s="389">
        <f t="shared" si="333"/>
        <v>1E-4</v>
      </c>
      <c r="AD714" s="389">
        <f t="shared" si="334"/>
        <v>0</v>
      </c>
      <c r="AE714" s="389">
        <f t="shared" si="335"/>
        <v>0</v>
      </c>
      <c r="AG714" s="311" t="str">
        <f t="shared" si="336"/>
        <v>-</v>
      </c>
      <c r="AH714" s="453" t="str">
        <f t="shared" si="337"/>
        <v/>
      </c>
      <c r="AI714" s="453" t="str">
        <f t="shared" si="338"/>
        <v/>
      </c>
      <c r="AJ714" t="str">
        <f t="array" ref="AJ714">IF(AND(AI714&gt;1,G714&lt;&gt;""),INDEX(FS_teams,MATCH(1,(FS_Keys=AG714)*(FS_Points=I714)*(FS_teams&lt;&gt;G714),0)),"")</f>
        <v/>
      </c>
      <c r="AK714" s="390" t="str">
        <f t="array" ref="AK714">IF(AJ714&lt;&gt;"",INDEX(TM_Score1,MATCH(1,(TM_Events=D714)*(TM_Participant1=G714)*(TM_Participant2=AJ714),0)),"")</f>
        <v/>
      </c>
      <c r="AL714" s="390" t="str">
        <f t="array" ref="AL714">IF(AJ714&lt;&gt;"",INDEX(TM_Score1,MATCH(1,(TM_Events=D714)*(TM_Participant1=AJ714)*(TM_Participant2=G714),0)),"")</f>
        <v/>
      </c>
      <c r="AM714" s="389" t="str">
        <f t="array" ref="AM714">IF(ISNUMBER(AK714),INDEX(TM_Score2,MATCH(1,(TM_Events=D714)*(TM_Participant1=G714)*(TM_Participant2=AJ714),0)),"")</f>
        <v/>
      </c>
      <c r="AN714" s="389" t="str">
        <f t="array" ref="AN714">IF(ISNUMBER(AL714),INDEX(TM_Score2,MATCH(1,(TM_Events=D714)*(TM_Participant1=AJ714)*(TM_Participant2=G714),0)),"")</f>
        <v/>
      </c>
      <c r="AO714" s="389" t="str">
        <f t="shared" si="339"/>
        <v/>
      </c>
      <c r="AP714" s="389">
        <f t="shared" si="340"/>
        <v>0</v>
      </c>
      <c r="AQ714" s="389">
        <f t="shared" si="341"/>
        <v>0</v>
      </c>
      <c r="AR714" s="389">
        <f t="shared" si="342"/>
        <v>0</v>
      </c>
      <c r="AS714" s="453">
        <f t="shared" si="343"/>
        <v>0</v>
      </c>
      <c r="AT714" s="452">
        <f t="shared" si="344"/>
        <v>0</v>
      </c>
    </row>
    <row r="715" spans="2:46" ht="16" x14ac:dyDescent="0.2">
      <c r="B715"/>
      <c r="H715" s="387" t="str">
        <f t="shared" si="319"/>
        <v>0-0-0</v>
      </c>
      <c r="I715" s="389">
        <f t="shared" si="320"/>
        <v>0</v>
      </c>
      <c r="J715" s="455" t="str">
        <f t="shared" si="345"/>
        <v/>
      </c>
      <c r="K715" s="455">
        <f t="shared" si="321"/>
        <v>0</v>
      </c>
      <c r="L715" s="455">
        <f t="shared" si="346"/>
        <v>0</v>
      </c>
      <c r="M715" s="389" t="str">
        <f>IFERROR(IF(AD715&lt;=VLOOKUP(D715,Tournaments!$A$1:$B$1772,2,FALSE),"TRUE","FALSE"),"")</f>
        <v/>
      </c>
      <c r="N715" s="389">
        <v>1</v>
      </c>
      <c r="O715" s="389">
        <f t="shared" si="322"/>
        <v>0</v>
      </c>
      <c r="Q715" s="389">
        <f t="shared" si="323"/>
        <v>0</v>
      </c>
      <c r="R715" s="389">
        <f t="shared" si="324"/>
        <v>0</v>
      </c>
      <c r="S715" s="389">
        <f t="shared" si="325"/>
        <v>0</v>
      </c>
      <c r="U715" s="389">
        <f t="shared" si="326"/>
        <v>0</v>
      </c>
      <c r="V715" s="389" t="b">
        <f t="shared" si="327"/>
        <v>0</v>
      </c>
      <c r="W715" s="389">
        <f t="shared" si="328"/>
        <v>0</v>
      </c>
      <c r="X715" s="389">
        <f t="shared" si="329"/>
        <v>0</v>
      </c>
      <c r="Y715" s="389">
        <f t="shared" si="347"/>
        <v>1.0999999999999999E-2</v>
      </c>
      <c r="Z715" s="389">
        <f t="shared" si="330"/>
        <v>1.0999999999999999E-2</v>
      </c>
      <c r="AA715" s="389">
        <f t="shared" si="331"/>
        <v>0</v>
      </c>
      <c r="AB715" s="389">
        <f t="shared" si="332"/>
        <v>1E-4</v>
      </c>
      <c r="AC715" s="389">
        <f t="shared" si="333"/>
        <v>1E-4</v>
      </c>
      <c r="AD715" s="389">
        <f t="shared" si="334"/>
        <v>0</v>
      </c>
      <c r="AE715" s="389">
        <f t="shared" si="335"/>
        <v>0</v>
      </c>
      <c r="AG715" s="311" t="str">
        <f t="shared" si="336"/>
        <v>-</v>
      </c>
      <c r="AH715" s="453" t="str">
        <f t="shared" si="337"/>
        <v/>
      </c>
      <c r="AI715" s="453" t="str">
        <f t="shared" si="338"/>
        <v/>
      </c>
      <c r="AJ715" t="str">
        <f t="array" ref="AJ715">IF(AND(AI715&gt;1,G715&lt;&gt;""),INDEX(FS_teams,MATCH(1,(FS_Keys=AG715)*(FS_Points=I715)*(FS_teams&lt;&gt;G715),0)),"")</f>
        <v/>
      </c>
      <c r="AK715" s="390" t="str">
        <f t="array" ref="AK715">IF(AJ715&lt;&gt;"",INDEX(TM_Score1,MATCH(1,(TM_Events=D715)*(TM_Participant1=G715)*(TM_Participant2=AJ715),0)),"")</f>
        <v/>
      </c>
      <c r="AL715" s="390" t="str">
        <f t="array" ref="AL715">IF(AJ715&lt;&gt;"",INDEX(TM_Score1,MATCH(1,(TM_Events=D715)*(TM_Participant1=AJ715)*(TM_Participant2=G715),0)),"")</f>
        <v/>
      </c>
      <c r="AM715" s="389" t="str">
        <f t="array" ref="AM715">IF(ISNUMBER(AK715),INDEX(TM_Score2,MATCH(1,(TM_Events=D715)*(TM_Participant1=G715)*(TM_Participant2=AJ715),0)),"")</f>
        <v/>
      </c>
      <c r="AN715" s="389" t="str">
        <f t="array" ref="AN715">IF(ISNUMBER(AL715),INDEX(TM_Score2,MATCH(1,(TM_Events=D715)*(TM_Participant1=AJ715)*(TM_Participant2=G715),0)),"")</f>
        <v/>
      </c>
      <c r="AO715" s="389" t="str">
        <f t="shared" si="339"/>
        <v/>
      </c>
      <c r="AP715" s="389">
        <f t="shared" si="340"/>
        <v>0</v>
      </c>
      <c r="AQ715" s="389">
        <f t="shared" si="341"/>
        <v>0</v>
      </c>
      <c r="AR715" s="389">
        <f t="shared" si="342"/>
        <v>0</v>
      </c>
      <c r="AS715" s="453">
        <f t="shared" si="343"/>
        <v>0</v>
      </c>
      <c r="AT715" s="452">
        <f t="shared" si="344"/>
        <v>0</v>
      </c>
    </row>
    <row r="716" spans="2:46" ht="16" x14ac:dyDescent="0.2">
      <c r="B716"/>
      <c r="H716" s="387" t="str">
        <f t="shared" si="319"/>
        <v>0-0-0</v>
      </c>
      <c r="I716" s="389">
        <f t="shared" si="320"/>
        <v>0</v>
      </c>
      <c r="J716" s="455" t="str">
        <f t="shared" si="345"/>
        <v/>
      </c>
      <c r="K716" s="455">
        <f t="shared" si="321"/>
        <v>0</v>
      </c>
      <c r="L716" s="455">
        <f t="shared" si="346"/>
        <v>0</v>
      </c>
      <c r="M716" s="389" t="str">
        <f>IFERROR(IF(AD716&lt;=VLOOKUP(D716,Tournaments!$A$1:$B$1772,2,FALSE),"TRUE","FALSE"),"")</f>
        <v/>
      </c>
      <c r="N716" s="389">
        <v>1</v>
      </c>
      <c r="O716" s="389">
        <f t="shared" si="322"/>
        <v>0</v>
      </c>
      <c r="Q716" s="389">
        <f t="shared" si="323"/>
        <v>0</v>
      </c>
      <c r="R716" s="389">
        <f t="shared" si="324"/>
        <v>0</v>
      </c>
      <c r="S716" s="389">
        <f t="shared" si="325"/>
        <v>0</v>
      </c>
      <c r="U716" s="389">
        <f t="shared" si="326"/>
        <v>0</v>
      </c>
      <c r="V716" s="389" t="b">
        <f t="shared" si="327"/>
        <v>0</v>
      </c>
      <c r="W716" s="389">
        <f t="shared" si="328"/>
        <v>0</v>
      </c>
      <c r="X716" s="389">
        <f t="shared" si="329"/>
        <v>0</v>
      </c>
      <c r="Y716" s="389">
        <f t="shared" si="347"/>
        <v>1.0999999999999999E-2</v>
      </c>
      <c r="Z716" s="389">
        <f t="shared" si="330"/>
        <v>1.0999999999999999E-2</v>
      </c>
      <c r="AA716" s="389">
        <f t="shared" si="331"/>
        <v>0</v>
      </c>
      <c r="AB716" s="389">
        <f t="shared" si="332"/>
        <v>1E-4</v>
      </c>
      <c r="AC716" s="389">
        <f t="shared" si="333"/>
        <v>1E-4</v>
      </c>
      <c r="AD716" s="389">
        <f t="shared" si="334"/>
        <v>0</v>
      </c>
      <c r="AE716" s="389">
        <f t="shared" si="335"/>
        <v>0</v>
      </c>
      <c r="AG716" s="311" t="str">
        <f t="shared" si="336"/>
        <v>-</v>
      </c>
      <c r="AH716" s="453" t="str">
        <f t="shared" si="337"/>
        <v/>
      </c>
      <c r="AI716" s="453" t="str">
        <f t="shared" si="338"/>
        <v/>
      </c>
      <c r="AJ716" t="str">
        <f t="array" ref="AJ716">IF(AND(AI716&gt;1,G716&lt;&gt;""),INDEX(FS_teams,MATCH(1,(FS_Keys=AG716)*(FS_Points=I716)*(FS_teams&lt;&gt;G716),0)),"")</f>
        <v/>
      </c>
      <c r="AK716" s="390" t="str">
        <f t="array" ref="AK716">IF(AJ716&lt;&gt;"",INDEX(TM_Score1,MATCH(1,(TM_Events=D716)*(TM_Participant1=G716)*(TM_Participant2=AJ716),0)),"")</f>
        <v/>
      </c>
      <c r="AL716" s="390" t="str">
        <f t="array" ref="AL716">IF(AJ716&lt;&gt;"",INDEX(TM_Score1,MATCH(1,(TM_Events=D716)*(TM_Participant1=AJ716)*(TM_Participant2=G716),0)),"")</f>
        <v/>
      </c>
      <c r="AM716" s="389" t="str">
        <f t="array" ref="AM716">IF(ISNUMBER(AK716),INDEX(TM_Score2,MATCH(1,(TM_Events=D716)*(TM_Participant1=G716)*(TM_Participant2=AJ716),0)),"")</f>
        <v/>
      </c>
      <c r="AN716" s="389" t="str">
        <f t="array" ref="AN716">IF(ISNUMBER(AL716),INDEX(TM_Score2,MATCH(1,(TM_Events=D716)*(TM_Participant1=AJ716)*(TM_Participant2=G716),0)),"")</f>
        <v/>
      </c>
      <c r="AO716" s="389" t="str">
        <f t="shared" si="339"/>
        <v/>
      </c>
      <c r="AP716" s="389">
        <f t="shared" si="340"/>
        <v>0</v>
      </c>
      <c r="AQ716" s="389">
        <f t="shared" si="341"/>
        <v>0</v>
      </c>
      <c r="AR716" s="389">
        <f t="shared" si="342"/>
        <v>0</v>
      </c>
      <c r="AS716" s="453">
        <f t="shared" si="343"/>
        <v>0</v>
      </c>
      <c r="AT716" s="452">
        <f t="shared" si="344"/>
        <v>0</v>
      </c>
    </row>
    <row r="717" spans="2:46" ht="16" x14ac:dyDescent="0.2">
      <c r="B717"/>
      <c r="H717" s="387" t="str">
        <f t="shared" si="319"/>
        <v>0-0-0</v>
      </c>
      <c r="I717" s="389">
        <f t="shared" si="320"/>
        <v>0</v>
      </c>
      <c r="J717" s="455" t="str">
        <f t="shared" si="345"/>
        <v/>
      </c>
      <c r="K717" s="455">
        <f t="shared" si="321"/>
        <v>0</v>
      </c>
      <c r="L717" s="455">
        <f t="shared" si="346"/>
        <v>0</v>
      </c>
      <c r="M717" s="389" t="str">
        <f>IFERROR(IF(AD717&lt;=VLOOKUP(D717,Tournaments!$A$1:$B$1772,2,FALSE),"TRUE","FALSE"),"")</f>
        <v/>
      </c>
      <c r="N717" s="389">
        <v>1</v>
      </c>
      <c r="O717" s="389">
        <f t="shared" si="322"/>
        <v>0</v>
      </c>
      <c r="Q717" s="389">
        <f t="shared" si="323"/>
        <v>0</v>
      </c>
      <c r="R717" s="389">
        <f t="shared" si="324"/>
        <v>0</v>
      </c>
      <c r="S717" s="389">
        <f t="shared" si="325"/>
        <v>0</v>
      </c>
      <c r="U717" s="389">
        <f t="shared" si="326"/>
        <v>0</v>
      </c>
      <c r="V717" s="389" t="b">
        <f t="shared" si="327"/>
        <v>0</v>
      </c>
      <c r="W717" s="389">
        <f t="shared" si="328"/>
        <v>0</v>
      </c>
      <c r="X717" s="389">
        <f t="shared" si="329"/>
        <v>0</v>
      </c>
      <c r="Y717" s="389">
        <f t="shared" si="347"/>
        <v>1.0999999999999999E-2</v>
      </c>
      <c r="Z717" s="389">
        <f t="shared" si="330"/>
        <v>1.0999999999999999E-2</v>
      </c>
      <c r="AA717" s="389">
        <f t="shared" si="331"/>
        <v>0</v>
      </c>
      <c r="AB717" s="389">
        <f t="shared" si="332"/>
        <v>1E-4</v>
      </c>
      <c r="AC717" s="389">
        <f t="shared" si="333"/>
        <v>1E-4</v>
      </c>
      <c r="AD717" s="389">
        <f t="shared" si="334"/>
        <v>0</v>
      </c>
      <c r="AE717" s="389">
        <f t="shared" si="335"/>
        <v>0</v>
      </c>
      <c r="AG717" s="311" t="str">
        <f t="shared" si="336"/>
        <v>-</v>
      </c>
      <c r="AH717" s="453" t="str">
        <f t="shared" si="337"/>
        <v/>
      </c>
      <c r="AI717" s="453" t="str">
        <f t="shared" si="338"/>
        <v/>
      </c>
      <c r="AJ717" t="str">
        <f t="array" ref="AJ717">IF(AND(AI717&gt;1,G717&lt;&gt;""),INDEX(FS_teams,MATCH(1,(FS_Keys=AG717)*(FS_Points=I717)*(FS_teams&lt;&gt;G717),0)),"")</f>
        <v/>
      </c>
      <c r="AK717" s="390" t="str">
        <f t="array" ref="AK717">IF(AJ717&lt;&gt;"",INDEX(TM_Score1,MATCH(1,(TM_Events=D717)*(TM_Participant1=G717)*(TM_Participant2=AJ717),0)),"")</f>
        <v/>
      </c>
      <c r="AL717" s="390" t="str">
        <f t="array" ref="AL717">IF(AJ717&lt;&gt;"",INDEX(TM_Score1,MATCH(1,(TM_Events=D717)*(TM_Participant1=AJ717)*(TM_Participant2=G717),0)),"")</f>
        <v/>
      </c>
      <c r="AM717" s="389" t="str">
        <f t="array" ref="AM717">IF(ISNUMBER(AK717),INDEX(TM_Score2,MATCH(1,(TM_Events=D717)*(TM_Participant1=G717)*(TM_Participant2=AJ717),0)),"")</f>
        <v/>
      </c>
      <c r="AN717" s="389" t="str">
        <f t="array" ref="AN717">IF(ISNUMBER(AL717),INDEX(TM_Score2,MATCH(1,(TM_Events=D717)*(TM_Participant1=AJ717)*(TM_Participant2=G717),0)),"")</f>
        <v/>
      </c>
      <c r="AO717" s="389" t="str">
        <f t="shared" si="339"/>
        <v/>
      </c>
      <c r="AP717" s="389">
        <f t="shared" si="340"/>
        <v>0</v>
      </c>
      <c r="AQ717" s="389">
        <f t="shared" si="341"/>
        <v>0</v>
      </c>
      <c r="AR717" s="389">
        <f t="shared" si="342"/>
        <v>0</v>
      </c>
      <c r="AS717" s="453">
        <f t="shared" si="343"/>
        <v>0</v>
      </c>
      <c r="AT717" s="452">
        <f t="shared" si="344"/>
        <v>0</v>
      </c>
    </row>
    <row r="718" spans="2:46" ht="16" x14ac:dyDescent="0.2">
      <c r="B718"/>
      <c r="H718" s="387" t="str">
        <f t="shared" si="319"/>
        <v>0-0-0</v>
      </c>
      <c r="I718" s="389">
        <f t="shared" si="320"/>
        <v>0</v>
      </c>
      <c r="J718" s="455" t="str">
        <f t="shared" si="345"/>
        <v/>
      </c>
      <c r="K718" s="455">
        <f t="shared" si="321"/>
        <v>0</v>
      </c>
      <c r="L718" s="455">
        <f t="shared" si="346"/>
        <v>0</v>
      </c>
      <c r="M718" s="389" t="str">
        <f>IFERROR(IF(AD718&lt;=VLOOKUP(D718,Tournaments!$A$1:$B$1772,2,FALSE),"TRUE","FALSE"),"")</f>
        <v/>
      </c>
      <c r="N718" s="389">
        <v>1</v>
      </c>
      <c r="O718" s="389">
        <f t="shared" si="322"/>
        <v>0</v>
      </c>
      <c r="Q718" s="389">
        <f t="shared" si="323"/>
        <v>0</v>
      </c>
      <c r="R718" s="389">
        <f t="shared" si="324"/>
        <v>0</v>
      </c>
      <c r="S718" s="389">
        <f t="shared" si="325"/>
        <v>0</v>
      </c>
      <c r="U718" s="389">
        <f t="shared" si="326"/>
        <v>0</v>
      </c>
      <c r="V718" s="389" t="b">
        <f t="shared" si="327"/>
        <v>0</v>
      </c>
      <c r="W718" s="389">
        <f t="shared" si="328"/>
        <v>0</v>
      </c>
      <c r="X718" s="389">
        <f t="shared" si="329"/>
        <v>0</v>
      </c>
      <c r="Y718" s="389">
        <f t="shared" si="347"/>
        <v>1.0999999999999999E-2</v>
      </c>
      <c r="Z718" s="389">
        <f t="shared" si="330"/>
        <v>1.0999999999999999E-2</v>
      </c>
      <c r="AA718" s="389">
        <f t="shared" si="331"/>
        <v>0</v>
      </c>
      <c r="AB718" s="389">
        <f t="shared" si="332"/>
        <v>1E-4</v>
      </c>
      <c r="AC718" s="389">
        <f t="shared" si="333"/>
        <v>1E-4</v>
      </c>
      <c r="AD718" s="389">
        <f t="shared" si="334"/>
        <v>0</v>
      </c>
      <c r="AE718" s="389">
        <f t="shared" si="335"/>
        <v>0</v>
      </c>
      <c r="AG718" s="311" t="str">
        <f t="shared" si="336"/>
        <v>-</v>
      </c>
      <c r="AH718" s="453" t="str">
        <f t="shared" si="337"/>
        <v/>
      </c>
      <c r="AI718" s="453" t="str">
        <f t="shared" si="338"/>
        <v/>
      </c>
      <c r="AJ718" t="str">
        <f t="array" ref="AJ718">IF(AND(AI718&gt;1,G718&lt;&gt;""),INDEX(FS_teams,MATCH(1,(FS_Keys=AG718)*(FS_Points=I718)*(FS_teams&lt;&gt;G718),0)),"")</f>
        <v/>
      </c>
      <c r="AK718" s="390" t="str">
        <f t="array" ref="AK718">IF(AJ718&lt;&gt;"",INDEX(TM_Score1,MATCH(1,(TM_Events=D718)*(TM_Participant1=G718)*(TM_Participant2=AJ718),0)),"")</f>
        <v/>
      </c>
      <c r="AL718" s="390" t="str">
        <f t="array" ref="AL718">IF(AJ718&lt;&gt;"",INDEX(TM_Score1,MATCH(1,(TM_Events=D718)*(TM_Participant1=AJ718)*(TM_Participant2=G718),0)),"")</f>
        <v/>
      </c>
      <c r="AM718" s="389" t="str">
        <f t="array" ref="AM718">IF(ISNUMBER(AK718),INDEX(TM_Score2,MATCH(1,(TM_Events=D718)*(TM_Participant1=G718)*(TM_Participant2=AJ718),0)),"")</f>
        <v/>
      </c>
      <c r="AN718" s="389" t="str">
        <f t="array" ref="AN718">IF(ISNUMBER(AL718),INDEX(TM_Score2,MATCH(1,(TM_Events=D718)*(TM_Participant1=AJ718)*(TM_Participant2=G718),0)),"")</f>
        <v/>
      </c>
      <c r="AO718" s="389" t="str">
        <f t="shared" si="339"/>
        <v/>
      </c>
      <c r="AP718" s="389">
        <f t="shared" si="340"/>
        <v>0</v>
      </c>
      <c r="AQ718" s="389">
        <f t="shared" si="341"/>
        <v>0</v>
      </c>
      <c r="AR718" s="389">
        <f t="shared" si="342"/>
        <v>0</v>
      </c>
      <c r="AS718" s="453">
        <f t="shared" si="343"/>
        <v>0</v>
      </c>
      <c r="AT718" s="452">
        <f t="shared" si="344"/>
        <v>0</v>
      </c>
    </row>
    <row r="719" spans="2:46" ht="16" x14ac:dyDescent="0.2">
      <c r="B719"/>
      <c r="H719" s="387" t="str">
        <f t="shared" si="319"/>
        <v>0-0-0</v>
      </c>
      <c r="I719" s="389">
        <f t="shared" si="320"/>
        <v>0</v>
      </c>
      <c r="J719" s="455" t="str">
        <f t="shared" si="345"/>
        <v/>
      </c>
      <c r="K719" s="455">
        <f t="shared" si="321"/>
        <v>0</v>
      </c>
      <c r="L719" s="455">
        <f t="shared" si="346"/>
        <v>0</v>
      </c>
      <c r="M719" s="389" t="str">
        <f>IFERROR(IF(AD719&lt;=VLOOKUP(D719,Tournaments!$A$1:$B$1772,2,FALSE),"TRUE","FALSE"),"")</f>
        <v/>
      </c>
      <c r="N719" s="389">
        <v>1</v>
      </c>
      <c r="O719" s="389">
        <f t="shared" si="322"/>
        <v>0</v>
      </c>
      <c r="Q719" s="389">
        <f t="shared" si="323"/>
        <v>0</v>
      </c>
      <c r="R719" s="389">
        <f t="shared" si="324"/>
        <v>0</v>
      </c>
      <c r="S719" s="389">
        <f t="shared" si="325"/>
        <v>0</v>
      </c>
      <c r="U719" s="389">
        <f t="shared" si="326"/>
        <v>0</v>
      </c>
      <c r="V719" s="389" t="b">
        <f t="shared" si="327"/>
        <v>0</v>
      </c>
      <c r="W719" s="389">
        <f t="shared" si="328"/>
        <v>0</v>
      </c>
      <c r="X719" s="389">
        <f t="shared" si="329"/>
        <v>0</v>
      </c>
      <c r="Y719" s="389">
        <f t="shared" si="347"/>
        <v>1.0999999999999999E-2</v>
      </c>
      <c r="Z719" s="389">
        <f t="shared" si="330"/>
        <v>1.0999999999999999E-2</v>
      </c>
      <c r="AA719" s="389">
        <f t="shared" si="331"/>
        <v>0</v>
      </c>
      <c r="AB719" s="389">
        <f t="shared" si="332"/>
        <v>1E-4</v>
      </c>
      <c r="AC719" s="389">
        <f t="shared" si="333"/>
        <v>1E-4</v>
      </c>
      <c r="AD719" s="389">
        <f t="shared" si="334"/>
        <v>0</v>
      </c>
      <c r="AE719" s="389">
        <f t="shared" si="335"/>
        <v>0</v>
      </c>
      <c r="AG719" s="311" t="str">
        <f t="shared" si="336"/>
        <v>-</v>
      </c>
      <c r="AH719" s="453" t="str">
        <f t="shared" si="337"/>
        <v/>
      </c>
      <c r="AI719" s="453" t="str">
        <f t="shared" si="338"/>
        <v/>
      </c>
      <c r="AJ719" t="str">
        <f t="array" ref="AJ719">IF(AND(AI719&gt;1,G719&lt;&gt;""),INDEX(FS_teams,MATCH(1,(FS_Keys=AG719)*(FS_Points=I719)*(FS_teams&lt;&gt;G719),0)),"")</f>
        <v/>
      </c>
      <c r="AK719" s="390" t="str">
        <f t="array" ref="AK719">IF(AJ719&lt;&gt;"",INDEX(TM_Score1,MATCH(1,(TM_Events=D719)*(TM_Participant1=G719)*(TM_Participant2=AJ719),0)),"")</f>
        <v/>
      </c>
      <c r="AL719" s="390" t="str">
        <f t="array" ref="AL719">IF(AJ719&lt;&gt;"",INDEX(TM_Score1,MATCH(1,(TM_Events=D719)*(TM_Participant1=AJ719)*(TM_Participant2=G719),0)),"")</f>
        <v/>
      </c>
      <c r="AM719" s="389" t="str">
        <f t="array" ref="AM719">IF(ISNUMBER(AK719),INDEX(TM_Score2,MATCH(1,(TM_Events=D719)*(TM_Participant1=G719)*(TM_Participant2=AJ719),0)),"")</f>
        <v/>
      </c>
      <c r="AN719" s="389" t="str">
        <f t="array" ref="AN719">IF(ISNUMBER(AL719),INDEX(TM_Score2,MATCH(1,(TM_Events=D719)*(TM_Participant1=AJ719)*(TM_Participant2=G719),0)),"")</f>
        <v/>
      </c>
      <c r="AO719" s="389" t="str">
        <f t="shared" si="339"/>
        <v/>
      </c>
      <c r="AP719" s="389">
        <f t="shared" si="340"/>
        <v>0</v>
      </c>
      <c r="AQ719" s="389">
        <f t="shared" si="341"/>
        <v>0</v>
      </c>
      <c r="AR719" s="389">
        <f t="shared" si="342"/>
        <v>0</v>
      </c>
      <c r="AS719" s="453">
        <f t="shared" si="343"/>
        <v>0</v>
      </c>
      <c r="AT719" s="452">
        <f t="shared" si="344"/>
        <v>0</v>
      </c>
    </row>
    <row r="720" spans="2:46" ht="16" x14ac:dyDescent="0.2">
      <c r="B720"/>
      <c r="H720" s="387" t="str">
        <f t="shared" si="319"/>
        <v>0-0-0</v>
      </c>
      <c r="I720" s="389">
        <f t="shared" si="320"/>
        <v>0</v>
      </c>
      <c r="J720" s="455" t="str">
        <f t="shared" si="345"/>
        <v/>
      </c>
      <c r="K720" s="455">
        <f t="shared" si="321"/>
        <v>0</v>
      </c>
      <c r="L720" s="455">
        <f t="shared" si="346"/>
        <v>0</v>
      </c>
      <c r="M720" s="389" t="str">
        <f>IFERROR(IF(AD720&lt;=VLOOKUP(D720,Tournaments!$A$1:$B$1772,2,FALSE),"TRUE","FALSE"),"")</f>
        <v/>
      </c>
      <c r="N720" s="389">
        <v>1</v>
      </c>
      <c r="O720" s="389">
        <f t="shared" si="322"/>
        <v>0</v>
      </c>
      <c r="Q720" s="389">
        <f t="shared" si="323"/>
        <v>0</v>
      </c>
      <c r="R720" s="389">
        <f t="shared" si="324"/>
        <v>0</v>
      </c>
      <c r="S720" s="389">
        <f t="shared" si="325"/>
        <v>0</v>
      </c>
      <c r="U720" s="389">
        <f t="shared" si="326"/>
        <v>0</v>
      </c>
      <c r="V720" s="389" t="b">
        <f t="shared" si="327"/>
        <v>0</v>
      </c>
      <c r="W720" s="389">
        <f t="shared" si="328"/>
        <v>0</v>
      </c>
      <c r="X720" s="389">
        <f t="shared" si="329"/>
        <v>0</v>
      </c>
      <c r="Y720" s="389">
        <f t="shared" si="347"/>
        <v>1.0999999999999999E-2</v>
      </c>
      <c r="Z720" s="389">
        <f t="shared" si="330"/>
        <v>1.0999999999999999E-2</v>
      </c>
      <c r="AA720" s="389">
        <f t="shared" si="331"/>
        <v>0</v>
      </c>
      <c r="AB720" s="389">
        <f t="shared" si="332"/>
        <v>1E-4</v>
      </c>
      <c r="AC720" s="389">
        <f t="shared" si="333"/>
        <v>1E-4</v>
      </c>
      <c r="AD720" s="389">
        <f t="shared" si="334"/>
        <v>0</v>
      </c>
      <c r="AE720" s="389">
        <f t="shared" si="335"/>
        <v>0</v>
      </c>
      <c r="AG720" s="311" t="str">
        <f t="shared" si="336"/>
        <v>-</v>
      </c>
      <c r="AH720" s="453" t="str">
        <f t="shared" si="337"/>
        <v/>
      </c>
      <c r="AI720" s="453" t="str">
        <f t="shared" si="338"/>
        <v/>
      </c>
      <c r="AJ720" t="str">
        <f t="array" ref="AJ720">IF(AND(AI720&gt;1,G720&lt;&gt;""),INDEX(FS_teams,MATCH(1,(FS_Keys=AG720)*(FS_Points=I720)*(FS_teams&lt;&gt;G720),0)),"")</f>
        <v/>
      </c>
      <c r="AK720" s="390" t="str">
        <f t="array" ref="AK720">IF(AJ720&lt;&gt;"",INDEX(TM_Score1,MATCH(1,(TM_Events=D720)*(TM_Participant1=G720)*(TM_Participant2=AJ720),0)),"")</f>
        <v/>
      </c>
      <c r="AL720" s="390" t="str">
        <f t="array" ref="AL720">IF(AJ720&lt;&gt;"",INDEX(TM_Score1,MATCH(1,(TM_Events=D720)*(TM_Participant1=AJ720)*(TM_Participant2=G720),0)),"")</f>
        <v/>
      </c>
      <c r="AM720" s="389" t="str">
        <f t="array" ref="AM720">IF(ISNUMBER(AK720),INDEX(TM_Score2,MATCH(1,(TM_Events=D720)*(TM_Participant1=G720)*(TM_Participant2=AJ720),0)),"")</f>
        <v/>
      </c>
      <c r="AN720" s="389" t="str">
        <f t="array" ref="AN720">IF(ISNUMBER(AL720),INDEX(TM_Score2,MATCH(1,(TM_Events=D720)*(TM_Participant1=AJ720)*(TM_Participant2=G720),0)),"")</f>
        <v/>
      </c>
      <c r="AO720" s="389" t="str">
        <f t="shared" si="339"/>
        <v/>
      </c>
      <c r="AP720" s="389">
        <f t="shared" si="340"/>
        <v>0</v>
      </c>
      <c r="AQ720" s="389">
        <f t="shared" si="341"/>
        <v>0</v>
      </c>
      <c r="AR720" s="389">
        <f t="shared" si="342"/>
        <v>0</v>
      </c>
      <c r="AS720" s="453">
        <f t="shared" si="343"/>
        <v>0</v>
      </c>
      <c r="AT720" s="452">
        <f t="shared" si="344"/>
        <v>0</v>
      </c>
    </row>
    <row r="721" spans="2:46" ht="16" x14ac:dyDescent="0.2">
      <c r="B721"/>
      <c r="H721" s="387" t="str">
        <f t="shared" si="319"/>
        <v>0-0-0</v>
      </c>
      <c r="I721" s="389">
        <f t="shared" si="320"/>
        <v>0</v>
      </c>
      <c r="J721" s="455" t="str">
        <f t="shared" si="345"/>
        <v/>
      </c>
      <c r="K721" s="455">
        <f t="shared" si="321"/>
        <v>0</v>
      </c>
      <c r="L721" s="455">
        <f t="shared" si="346"/>
        <v>0</v>
      </c>
      <c r="M721" s="389" t="str">
        <f>IFERROR(IF(AD721&lt;=VLOOKUP(D721,Tournaments!$A$1:$B$1772,2,FALSE),"TRUE","FALSE"),"")</f>
        <v/>
      </c>
      <c r="N721" s="389">
        <v>1</v>
      </c>
      <c r="O721" s="389">
        <f t="shared" si="322"/>
        <v>0</v>
      </c>
      <c r="Q721" s="389">
        <f t="shared" si="323"/>
        <v>0</v>
      </c>
      <c r="R721" s="389">
        <f t="shared" si="324"/>
        <v>0</v>
      </c>
      <c r="S721" s="389">
        <f t="shared" si="325"/>
        <v>0</v>
      </c>
      <c r="U721" s="389">
        <f t="shared" si="326"/>
        <v>0</v>
      </c>
      <c r="V721" s="389" t="b">
        <f t="shared" si="327"/>
        <v>0</v>
      </c>
      <c r="W721" s="389">
        <f t="shared" si="328"/>
        <v>0</v>
      </c>
      <c r="X721" s="389">
        <f t="shared" si="329"/>
        <v>0</v>
      </c>
      <c r="Y721" s="389">
        <f t="shared" si="347"/>
        <v>1.0999999999999999E-2</v>
      </c>
      <c r="Z721" s="389">
        <f t="shared" si="330"/>
        <v>1.0999999999999999E-2</v>
      </c>
      <c r="AA721" s="389">
        <f t="shared" si="331"/>
        <v>0</v>
      </c>
      <c r="AB721" s="389">
        <f t="shared" si="332"/>
        <v>1E-4</v>
      </c>
      <c r="AC721" s="389">
        <f t="shared" si="333"/>
        <v>1E-4</v>
      </c>
      <c r="AD721" s="389">
        <f t="shared" si="334"/>
        <v>0</v>
      </c>
      <c r="AE721" s="389">
        <f t="shared" si="335"/>
        <v>0</v>
      </c>
      <c r="AG721" s="311" t="str">
        <f t="shared" si="336"/>
        <v>-</v>
      </c>
      <c r="AH721" s="453" t="str">
        <f t="shared" si="337"/>
        <v/>
      </c>
      <c r="AI721" s="453" t="str">
        <f t="shared" si="338"/>
        <v/>
      </c>
      <c r="AJ721" t="str">
        <f t="array" ref="AJ721">IF(AND(AI721&gt;1,G721&lt;&gt;""),INDEX(FS_teams,MATCH(1,(FS_Keys=AG721)*(FS_Points=I721)*(FS_teams&lt;&gt;G721),0)),"")</f>
        <v/>
      </c>
      <c r="AK721" s="390" t="str">
        <f t="array" ref="AK721">IF(AJ721&lt;&gt;"",INDEX(TM_Score1,MATCH(1,(TM_Events=D721)*(TM_Participant1=G721)*(TM_Participant2=AJ721),0)),"")</f>
        <v/>
      </c>
      <c r="AL721" s="390" t="str">
        <f t="array" ref="AL721">IF(AJ721&lt;&gt;"",INDEX(TM_Score1,MATCH(1,(TM_Events=D721)*(TM_Participant1=AJ721)*(TM_Participant2=G721),0)),"")</f>
        <v/>
      </c>
      <c r="AM721" s="389" t="str">
        <f t="array" ref="AM721">IF(ISNUMBER(AK721),INDEX(TM_Score2,MATCH(1,(TM_Events=D721)*(TM_Participant1=G721)*(TM_Participant2=AJ721),0)),"")</f>
        <v/>
      </c>
      <c r="AN721" s="389" t="str">
        <f t="array" ref="AN721">IF(ISNUMBER(AL721),INDEX(TM_Score2,MATCH(1,(TM_Events=D721)*(TM_Participant1=AJ721)*(TM_Participant2=G721),0)),"")</f>
        <v/>
      </c>
      <c r="AO721" s="389" t="str">
        <f t="shared" si="339"/>
        <v/>
      </c>
      <c r="AP721" s="389">
        <f t="shared" si="340"/>
        <v>0</v>
      </c>
      <c r="AQ721" s="389">
        <f t="shared" si="341"/>
        <v>0</v>
      </c>
      <c r="AR721" s="389">
        <f t="shared" si="342"/>
        <v>0</v>
      </c>
      <c r="AS721" s="453">
        <f t="shared" si="343"/>
        <v>0</v>
      </c>
      <c r="AT721" s="452">
        <f t="shared" si="344"/>
        <v>0</v>
      </c>
    </row>
    <row r="722" spans="2:46" ht="16" x14ac:dyDescent="0.2">
      <c r="B722"/>
      <c r="H722" s="387" t="str">
        <f t="shared" si="319"/>
        <v>0-0-0</v>
      </c>
      <c r="I722" s="389">
        <f t="shared" si="320"/>
        <v>0</v>
      </c>
      <c r="J722" s="455" t="str">
        <f t="shared" si="345"/>
        <v/>
      </c>
      <c r="K722" s="455">
        <f t="shared" si="321"/>
        <v>0</v>
      </c>
      <c r="L722" s="455">
        <f t="shared" si="346"/>
        <v>0</v>
      </c>
      <c r="M722" s="389" t="str">
        <f>IFERROR(IF(AD722&lt;=VLOOKUP(D722,Tournaments!$A$1:$B$1772,2,FALSE),"TRUE","FALSE"),"")</f>
        <v/>
      </c>
      <c r="N722" s="389">
        <v>1</v>
      </c>
      <c r="O722" s="389">
        <f t="shared" si="322"/>
        <v>0</v>
      </c>
      <c r="Q722" s="389">
        <f t="shared" si="323"/>
        <v>0</v>
      </c>
      <c r="R722" s="389">
        <f t="shared" si="324"/>
        <v>0</v>
      </c>
      <c r="S722" s="389">
        <f t="shared" si="325"/>
        <v>0</v>
      </c>
      <c r="U722" s="389">
        <f t="shared" si="326"/>
        <v>0</v>
      </c>
      <c r="V722" s="389" t="b">
        <f t="shared" si="327"/>
        <v>0</v>
      </c>
      <c r="W722" s="389">
        <f t="shared" si="328"/>
        <v>0</v>
      </c>
      <c r="X722" s="389">
        <f t="shared" si="329"/>
        <v>0</v>
      </c>
      <c r="Y722" s="389">
        <f t="shared" si="347"/>
        <v>1.0999999999999999E-2</v>
      </c>
      <c r="Z722" s="389">
        <f t="shared" si="330"/>
        <v>1.0999999999999999E-2</v>
      </c>
      <c r="AA722" s="389">
        <f t="shared" si="331"/>
        <v>0</v>
      </c>
      <c r="AB722" s="389">
        <f t="shared" si="332"/>
        <v>1E-4</v>
      </c>
      <c r="AC722" s="389">
        <f t="shared" si="333"/>
        <v>1E-4</v>
      </c>
      <c r="AD722" s="389">
        <f t="shared" si="334"/>
        <v>0</v>
      </c>
      <c r="AE722" s="389">
        <f t="shared" si="335"/>
        <v>0</v>
      </c>
      <c r="AG722" s="311" t="str">
        <f t="shared" si="336"/>
        <v>-</v>
      </c>
      <c r="AH722" s="453" t="str">
        <f t="shared" si="337"/>
        <v/>
      </c>
      <c r="AI722" s="453" t="str">
        <f t="shared" si="338"/>
        <v/>
      </c>
      <c r="AJ722" t="str">
        <f t="array" ref="AJ722">IF(AND(AI722&gt;1,G722&lt;&gt;""),INDEX(FS_teams,MATCH(1,(FS_Keys=AG722)*(FS_Points=I722)*(FS_teams&lt;&gt;G722),0)),"")</f>
        <v/>
      </c>
      <c r="AK722" s="390" t="str">
        <f t="array" ref="AK722">IF(AJ722&lt;&gt;"",INDEX(TM_Score1,MATCH(1,(TM_Events=D722)*(TM_Participant1=G722)*(TM_Participant2=AJ722),0)),"")</f>
        <v/>
      </c>
      <c r="AL722" s="390" t="str">
        <f t="array" ref="AL722">IF(AJ722&lt;&gt;"",INDEX(TM_Score1,MATCH(1,(TM_Events=D722)*(TM_Participant1=AJ722)*(TM_Participant2=G722),0)),"")</f>
        <v/>
      </c>
      <c r="AM722" s="389" t="str">
        <f t="array" ref="AM722">IF(ISNUMBER(AK722),INDEX(TM_Score2,MATCH(1,(TM_Events=D722)*(TM_Participant1=G722)*(TM_Participant2=AJ722),0)),"")</f>
        <v/>
      </c>
      <c r="AN722" s="389" t="str">
        <f t="array" ref="AN722">IF(ISNUMBER(AL722),INDEX(TM_Score2,MATCH(1,(TM_Events=D722)*(TM_Participant1=AJ722)*(TM_Participant2=G722),0)),"")</f>
        <v/>
      </c>
      <c r="AO722" s="389" t="str">
        <f t="shared" si="339"/>
        <v/>
      </c>
      <c r="AP722" s="389">
        <f t="shared" si="340"/>
        <v>0</v>
      </c>
      <c r="AQ722" s="389">
        <f t="shared" si="341"/>
        <v>0</v>
      </c>
      <c r="AR722" s="389">
        <f t="shared" si="342"/>
        <v>0</v>
      </c>
      <c r="AS722" s="453">
        <f t="shared" si="343"/>
        <v>0</v>
      </c>
      <c r="AT722" s="452">
        <f t="shared" si="344"/>
        <v>0</v>
      </c>
    </row>
    <row r="723" spans="2:46" ht="16" x14ac:dyDescent="0.2">
      <c r="B723"/>
      <c r="H723" s="387" t="str">
        <f t="shared" si="319"/>
        <v>0-0-0</v>
      </c>
      <c r="I723" s="389">
        <f t="shared" si="320"/>
        <v>0</v>
      </c>
      <c r="J723" s="455" t="str">
        <f t="shared" si="345"/>
        <v/>
      </c>
      <c r="K723" s="455">
        <f t="shared" si="321"/>
        <v>0</v>
      </c>
      <c r="L723" s="455">
        <f t="shared" si="346"/>
        <v>0</v>
      </c>
      <c r="M723" s="389" t="str">
        <f>IFERROR(IF(AD723&lt;=VLOOKUP(D723,Tournaments!$A$1:$B$1772,2,FALSE),"TRUE","FALSE"),"")</f>
        <v/>
      </c>
      <c r="N723" s="389">
        <v>1</v>
      </c>
      <c r="O723" s="389">
        <f t="shared" si="322"/>
        <v>0</v>
      </c>
      <c r="Q723" s="389">
        <f t="shared" si="323"/>
        <v>0</v>
      </c>
      <c r="R723" s="389">
        <f t="shared" si="324"/>
        <v>0</v>
      </c>
      <c r="S723" s="389">
        <f t="shared" si="325"/>
        <v>0</v>
      </c>
      <c r="U723" s="389">
        <f t="shared" si="326"/>
        <v>0</v>
      </c>
      <c r="V723" s="389" t="b">
        <f t="shared" si="327"/>
        <v>0</v>
      </c>
      <c r="W723" s="389">
        <f t="shared" si="328"/>
        <v>0</v>
      </c>
      <c r="X723" s="389">
        <f t="shared" si="329"/>
        <v>0</v>
      </c>
      <c r="Y723" s="389">
        <f t="shared" si="347"/>
        <v>1.0999999999999999E-2</v>
      </c>
      <c r="Z723" s="389">
        <f t="shared" si="330"/>
        <v>1.0999999999999999E-2</v>
      </c>
      <c r="AA723" s="389">
        <f t="shared" si="331"/>
        <v>0</v>
      </c>
      <c r="AB723" s="389">
        <f t="shared" si="332"/>
        <v>1E-4</v>
      </c>
      <c r="AC723" s="389">
        <f t="shared" si="333"/>
        <v>1E-4</v>
      </c>
      <c r="AD723" s="389">
        <f t="shared" si="334"/>
        <v>0</v>
      </c>
      <c r="AE723" s="389">
        <f t="shared" si="335"/>
        <v>0</v>
      </c>
      <c r="AG723" s="311" t="str">
        <f t="shared" si="336"/>
        <v>-</v>
      </c>
      <c r="AH723" s="453" t="str">
        <f t="shared" si="337"/>
        <v/>
      </c>
      <c r="AI723" s="453" t="str">
        <f t="shared" si="338"/>
        <v/>
      </c>
      <c r="AJ723" t="str">
        <f t="array" ref="AJ723">IF(AND(AI723&gt;1,G723&lt;&gt;""),INDEX(FS_teams,MATCH(1,(FS_Keys=AG723)*(FS_Points=I723)*(FS_teams&lt;&gt;G723),0)),"")</f>
        <v/>
      </c>
      <c r="AK723" s="390" t="str">
        <f t="array" ref="AK723">IF(AJ723&lt;&gt;"",INDEX(TM_Score1,MATCH(1,(TM_Events=D723)*(TM_Participant1=G723)*(TM_Participant2=AJ723),0)),"")</f>
        <v/>
      </c>
      <c r="AL723" s="390" t="str">
        <f t="array" ref="AL723">IF(AJ723&lt;&gt;"",INDEX(TM_Score1,MATCH(1,(TM_Events=D723)*(TM_Participant1=AJ723)*(TM_Participant2=G723),0)),"")</f>
        <v/>
      </c>
      <c r="AM723" s="389" t="str">
        <f t="array" ref="AM723">IF(ISNUMBER(AK723),INDEX(TM_Score2,MATCH(1,(TM_Events=D723)*(TM_Participant1=G723)*(TM_Participant2=AJ723),0)),"")</f>
        <v/>
      </c>
      <c r="AN723" s="389" t="str">
        <f t="array" ref="AN723">IF(ISNUMBER(AL723),INDEX(TM_Score2,MATCH(1,(TM_Events=D723)*(TM_Participant1=AJ723)*(TM_Participant2=G723),0)),"")</f>
        <v/>
      </c>
      <c r="AO723" s="389" t="str">
        <f t="shared" si="339"/>
        <v/>
      </c>
      <c r="AP723" s="389">
        <f t="shared" si="340"/>
        <v>0</v>
      </c>
      <c r="AQ723" s="389">
        <f t="shared" si="341"/>
        <v>0</v>
      </c>
      <c r="AR723" s="389">
        <f t="shared" si="342"/>
        <v>0</v>
      </c>
      <c r="AS723" s="453">
        <f t="shared" si="343"/>
        <v>0</v>
      </c>
      <c r="AT723" s="452">
        <f t="shared" si="344"/>
        <v>0</v>
      </c>
    </row>
    <row r="724" spans="2:46" ht="16" x14ac:dyDescent="0.2">
      <c r="B724"/>
      <c r="H724" s="387" t="str">
        <f t="shared" si="319"/>
        <v>0-0-0</v>
      </c>
      <c r="I724" s="389">
        <f t="shared" si="320"/>
        <v>0</v>
      </c>
      <c r="J724" s="455" t="str">
        <f t="shared" si="345"/>
        <v/>
      </c>
      <c r="K724" s="455">
        <f t="shared" si="321"/>
        <v>0</v>
      </c>
      <c r="L724" s="455">
        <f t="shared" si="346"/>
        <v>0</v>
      </c>
      <c r="M724" s="389" t="str">
        <f>IFERROR(IF(AD724&lt;=VLOOKUP(D724,Tournaments!$A$1:$B$1772,2,FALSE),"TRUE","FALSE"),"")</f>
        <v/>
      </c>
      <c r="N724" s="389">
        <v>1</v>
      </c>
      <c r="O724" s="389">
        <f t="shared" si="322"/>
        <v>0</v>
      </c>
      <c r="Q724" s="389">
        <f t="shared" si="323"/>
        <v>0</v>
      </c>
      <c r="R724" s="389">
        <f t="shared" si="324"/>
        <v>0</v>
      </c>
      <c r="S724" s="389">
        <f t="shared" si="325"/>
        <v>0</v>
      </c>
      <c r="U724" s="389">
        <f t="shared" si="326"/>
        <v>0</v>
      </c>
      <c r="V724" s="389" t="b">
        <f t="shared" si="327"/>
        <v>0</v>
      </c>
      <c r="W724" s="389">
        <f t="shared" si="328"/>
        <v>0</v>
      </c>
      <c r="X724" s="389">
        <f t="shared" si="329"/>
        <v>0</v>
      </c>
      <c r="Y724" s="389">
        <f t="shared" si="347"/>
        <v>1.0999999999999999E-2</v>
      </c>
      <c r="Z724" s="389">
        <f t="shared" si="330"/>
        <v>1.0999999999999999E-2</v>
      </c>
      <c r="AA724" s="389">
        <f t="shared" si="331"/>
        <v>0</v>
      </c>
      <c r="AB724" s="389">
        <f t="shared" si="332"/>
        <v>1E-4</v>
      </c>
      <c r="AC724" s="389">
        <f t="shared" si="333"/>
        <v>1E-4</v>
      </c>
      <c r="AD724" s="389">
        <f t="shared" si="334"/>
        <v>0</v>
      </c>
      <c r="AE724" s="389">
        <f t="shared" si="335"/>
        <v>0</v>
      </c>
      <c r="AG724" s="311" t="str">
        <f t="shared" si="336"/>
        <v>-</v>
      </c>
      <c r="AH724" s="453" t="str">
        <f t="shared" si="337"/>
        <v/>
      </c>
      <c r="AI724" s="453" t="str">
        <f t="shared" si="338"/>
        <v/>
      </c>
      <c r="AJ724" t="str">
        <f t="array" ref="AJ724">IF(AND(AI724&gt;1,G724&lt;&gt;""),INDEX(FS_teams,MATCH(1,(FS_Keys=AG724)*(FS_Points=I724)*(FS_teams&lt;&gt;G724),0)),"")</f>
        <v/>
      </c>
      <c r="AK724" s="390" t="str">
        <f t="array" ref="AK724">IF(AJ724&lt;&gt;"",INDEX(TM_Score1,MATCH(1,(TM_Events=D724)*(TM_Participant1=G724)*(TM_Participant2=AJ724),0)),"")</f>
        <v/>
      </c>
      <c r="AL724" s="390" t="str">
        <f t="array" ref="AL724">IF(AJ724&lt;&gt;"",INDEX(TM_Score1,MATCH(1,(TM_Events=D724)*(TM_Participant1=AJ724)*(TM_Participant2=G724),0)),"")</f>
        <v/>
      </c>
      <c r="AM724" s="389" t="str">
        <f t="array" ref="AM724">IF(ISNUMBER(AK724),INDEX(TM_Score2,MATCH(1,(TM_Events=D724)*(TM_Participant1=G724)*(TM_Participant2=AJ724),0)),"")</f>
        <v/>
      </c>
      <c r="AN724" s="389" t="str">
        <f t="array" ref="AN724">IF(ISNUMBER(AL724),INDEX(TM_Score2,MATCH(1,(TM_Events=D724)*(TM_Participant1=AJ724)*(TM_Participant2=G724),0)),"")</f>
        <v/>
      </c>
      <c r="AO724" s="389" t="str">
        <f t="shared" si="339"/>
        <v/>
      </c>
      <c r="AP724" s="389">
        <f t="shared" si="340"/>
        <v>0</v>
      </c>
      <c r="AQ724" s="389">
        <f t="shared" si="341"/>
        <v>0</v>
      </c>
      <c r="AR724" s="389">
        <f t="shared" si="342"/>
        <v>0</v>
      </c>
      <c r="AS724" s="453">
        <f t="shared" si="343"/>
        <v>0</v>
      </c>
      <c r="AT724" s="452">
        <f t="shared" si="344"/>
        <v>0</v>
      </c>
    </row>
    <row r="725" spans="2:46" ht="16" x14ac:dyDescent="0.2">
      <c r="B725"/>
      <c r="H725" s="387" t="str">
        <f t="shared" si="319"/>
        <v>0-0-0</v>
      </c>
      <c r="I725" s="389">
        <f t="shared" si="320"/>
        <v>0</v>
      </c>
      <c r="J725" s="455" t="str">
        <f t="shared" si="345"/>
        <v/>
      </c>
      <c r="K725" s="455">
        <f t="shared" si="321"/>
        <v>0</v>
      </c>
      <c r="L725" s="455">
        <f t="shared" si="346"/>
        <v>0</v>
      </c>
      <c r="M725" s="389" t="str">
        <f>IFERROR(IF(AD725&lt;=VLOOKUP(D725,Tournaments!$A$1:$B$1772,2,FALSE),"TRUE","FALSE"),"")</f>
        <v/>
      </c>
      <c r="N725" s="389">
        <v>1</v>
      </c>
      <c r="O725" s="389">
        <f t="shared" si="322"/>
        <v>0</v>
      </c>
      <c r="Q725" s="389">
        <f t="shared" si="323"/>
        <v>0</v>
      </c>
      <c r="R725" s="389">
        <f t="shared" si="324"/>
        <v>0</v>
      </c>
      <c r="S725" s="389">
        <f t="shared" si="325"/>
        <v>0</v>
      </c>
      <c r="U725" s="389">
        <f t="shared" si="326"/>
        <v>0</v>
      </c>
      <c r="V725" s="389" t="b">
        <f t="shared" si="327"/>
        <v>0</v>
      </c>
      <c r="W725" s="389">
        <f t="shared" si="328"/>
        <v>0</v>
      </c>
      <c r="X725" s="389">
        <f t="shared" si="329"/>
        <v>0</v>
      </c>
      <c r="Y725" s="389">
        <f t="shared" si="347"/>
        <v>1.0999999999999999E-2</v>
      </c>
      <c r="Z725" s="389">
        <f t="shared" si="330"/>
        <v>1.0999999999999999E-2</v>
      </c>
      <c r="AA725" s="389">
        <f t="shared" si="331"/>
        <v>0</v>
      </c>
      <c r="AB725" s="389">
        <f t="shared" si="332"/>
        <v>1E-4</v>
      </c>
      <c r="AC725" s="389">
        <f t="shared" si="333"/>
        <v>1E-4</v>
      </c>
      <c r="AD725" s="389">
        <f t="shared" si="334"/>
        <v>0</v>
      </c>
      <c r="AE725" s="389">
        <f t="shared" si="335"/>
        <v>0</v>
      </c>
      <c r="AG725" s="311" t="str">
        <f t="shared" si="336"/>
        <v>-</v>
      </c>
      <c r="AH725" s="453" t="str">
        <f t="shared" si="337"/>
        <v/>
      </c>
      <c r="AI725" s="453" t="str">
        <f t="shared" si="338"/>
        <v/>
      </c>
      <c r="AJ725" t="str">
        <f t="array" ref="AJ725">IF(AND(AI725&gt;1,G725&lt;&gt;""),INDEX(FS_teams,MATCH(1,(FS_Keys=AG725)*(FS_Points=I725)*(FS_teams&lt;&gt;G725),0)),"")</f>
        <v/>
      </c>
      <c r="AK725" s="390" t="str">
        <f t="array" ref="AK725">IF(AJ725&lt;&gt;"",INDEX(TM_Score1,MATCH(1,(TM_Events=D725)*(TM_Participant1=G725)*(TM_Participant2=AJ725),0)),"")</f>
        <v/>
      </c>
      <c r="AL725" s="390" t="str">
        <f t="array" ref="AL725">IF(AJ725&lt;&gt;"",INDEX(TM_Score1,MATCH(1,(TM_Events=D725)*(TM_Participant1=AJ725)*(TM_Participant2=G725),0)),"")</f>
        <v/>
      </c>
      <c r="AM725" s="389" t="str">
        <f t="array" ref="AM725">IF(ISNUMBER(AK725),INDEX(TM_Score2,MATCH(1,(TM_Events=D725)*(TM_Participant1=G725)*(TM_Participant2=AJ725),0)),"")</f>
        <v/>
      </c>
      <c r="AN725" s="389" t="str">
        <f t="array" ref="AN725">IF(ISNUMBER(AL725),INDEX(TM_Score2,MATCH(1,(TM_Events=D725)*(TM_Participant1=AJ725)*(TM_Participant2=G725),0)),"")</f>
        <v/>
      </c>
      <c r="AO725" s="389" t="str">
        <f t="shared" si="339"/>
        <v/>
      </c>
      <c r="AP725" s="389">
        <f t="shared" si="340"/>
        <v>0</v>
      </c>
      <c r="AQ725" s="389">
        <f t="shared" si="341"/>
        <v>0</v>
      </c>
      <c r="AR725" s="389">
        <f t="shared" si="342"/>
        <v>0</v>
      </c>
      <c r="AS725" s="453">
        <f t="shared" si="343"/>
        <v>0</v>
      </c>
      <c r="AT725" s="452">
        <f t="shared" si="344"/>
        <v>0</v>
      </c>
    </row>
    <row r="726" spans="2:46" ht="16" x14ac:dyDescent="0.2">
      <c r="B726"/>
      <c r="H726" s="387" t="str">
        <f t="shared" si="319"/>
        <v>0-0-0</v>
      </c>
      <c r="I726" s="389">
        <f t="shared" si="320"/>
        <v>0</v>
      </c>
      <c r="J726" s="455" t="str">
        <f t="shared" si="345"/>
        <v/>
      </c>
      <c r="K726" s="455">
        <f t="shared" si="321"/>
        <v>0</v>
      </c>
      <c r="L726" s="455">
        <f t="shared" si="346"/>
        <v>0</v>
      </c>
      <c r="M726" s="389" t="str">
        <f>IFERROR(IF(AD726&lt;=VLOOKUP(D726,Tournaments!$A$1:$B$1772,2,FALSE),"TRUE","FALSE"),"")</f>
        <v/>
      </c>
      <c r="N726" s="389">
        <v>1</v>
      </c>
      <c r="O726" s="389">
        <f t="shared" si="322"/>
        <v>0</v>
      </c>
      <c r="Q726" s="389">
        <f t="shared" si="323"/>
        <v>0</v>
      </c>
      <c r="R726" s="389">
        <f t="shared" si="324"/>
        <v>0</v>
      </c>
      <c r="S726" s="389">
        <f t="shared" si="325"/>
        <v>0</v>
      </c>
      <c r="U726" s="389">
        <f t="shared" si="326"/>
        <v>0</v>
      </c>
      <c r="V726" s="389" t="b">
        <f t="shared" si="327"/>
        <v>0</v>
      </c>
      <c r="W726" s="389">
        <f t="shared" si="328"/>
        <v>0</v>
      </c>
      <c r="X726" s="389">
        <f t="shared" si="329"/>
        <v>0</v>
      </c>
      <c r="Y726" s="389">
        <f t="shared" si="347"/>
        <v>1.0999999999999999E-2</v>
      </c>
      <c r="Z726" s="389">
        <f t="shared" si="330"/>
        <v>1.0999999999999999E-2</v>
      </c>
      <c r="AA726" s="389">
        <f t="shared" si="331"/>
        <v>0</v>
      </c>
      <c r="AB726" s="389">
        <f t="shared" si="332"/>
        <v>1E-4</v>
      </c>
      <c r="AC726" s="389">
        <f t="shared" si="333"/>
        <v>1E-4</v>
      </c>
      <c r="AD726" s="389">
        <f t="shared" si="334"/>
        <v>0</v>
      </c>
      <c r="AE726" s="389">
        <f t="shared" si="335"/>
        <v>0</v>
      </c>
      <c r="AG726" s="311" t="str">
        <f t="shared" si="336"/>
        <v>-</v>
      </c>
      <c r="AH726" s="453" t="str">
        <f t="shared" si="337"/>
        <v/>
      </c>
      <c r="AI726" s="453" t="str">
        <f t="shared" si="338"/>
        <v/>
      </c>
      <c r="AJ726" t="str">
        <f t="array" ref="AJ726">IF(AND(AI726&gt;1,G726&lt;&gt;""),INDEX(FS_teams,MATCH(1,(FS_Keys=AG726)*(FS_Points=I726)*(FS_teams&lt;&gt;G726),0)),"")</f>
        <v/>
      </c>
      <c r="AK726" s="390" t="str">
        <f t="array" ref="AK726">IF(AJ726&lt;&gt;"",INDEX(TM_Score1,MATCH(1,(TM_Events=D726)*(TM_Participant1=G726)*(TM_Participant2=AJ726),0)),"")</f>
        <v/>
      </c>
      <c r="AL726" s="390" t="str">
        <f t="array" ref="AL726">IF(AJ726&lt;&gt;"",INDEX(TM_Score1,MATCH(1,(TM_Events=D726)*(TM_Participant1=AJ726)*(TM_Participant2=G726),0)),"")</f>
        <v/>
      </c>
      <c r="AM726" s="389" t="str">
        <f t="array" ref="AM726">IF(ISNUMBER(AK726),INDEX(TM_Score2,MATCH(1,(TM_Events=D726)*(TM_Participant1=G726)*(TM_Participant2=AJ726),0)),"")</f>
        <v/>
      </c>
      <c r="AN726" s="389" t="str">
        <f t="array" ref="AN726">IF(ISNUMBER(AL726),INDEX(TM_Score2,MATCH(1,(TM_Events=D726)*(TM_Participant1=AJ726)*(TM_Participant2=G726),0)),"")</f>
        <v/>
      </c>
      <c r="AO726" s="389" t="str">
        <f t="shared" si="339"/>
        <v/>
      </c>
      <c r="AP726" s="389">
        <f t="shared" si="340"/>
        <v>0</v>
      </c>
      <c r="AQ726" s="389">
        <f t="shared" si="341"/>
        <v>0</v>
      </c>
      <c r="AR726" s="389">
        <f t="shared" si="342"/>
        <v>0</v>
      </c>
      <c r="AS726" s="453">
        <f t="shared" si="343"/>
        <v>0</v>
      </c>
      <c r="AT726" s="452">
        <f t="shared" si="344"/>
        <v>0</v>
      </c>
    </row>
    <row r="727" spans="2:46" ht="16" x14ac:dyDescent="0.2">
      <c r="B727"/>
      <c r="H727" s="387" t="str">
        <f t="shared" si="319"/>
        <v>0-0-0</v>
      </c>
      <c r="I727" s="389">
        <f t="shared" si="320"/>
        <v>0</v>
      </c>
      <c r="J727" s="455" t="str">
        <f t="shared" si="345"/>
        <v/>
      </c>
      <c r="K727" s="455">
        <f t="shared" si="321"/>
        <v>0</v>
      </c>
      <c r="L727" s="455">
        <f t="shared" si="346"/>
        <v>0</v>
      </c>
      <c r="M727" s="389" t="str">
        <f>IFERROR(IF(AD727&lt;=VLOOKUP(D727,Tournaments!$A$1:$B$1772,2,FALSE),"TRUE","FALSE"),"")</f>
        <v/>
      </c>
      <c r="N727" s="389">
        <v>1</v>
      </c>
      <c r="O727" s="389">
        <f t="shared" si="322"/>
        <v>0</v>
      </c>
      <c r="Q727" s="389">
        <f t="shared" si="323"/>
        <v>0</v>
      </c>
      <c r="R727" s="389">
        <f t="shared" si="324"/>
        <v>0</v>
      </c>
      <c r="S727" s="389">
        <f t="shared" si="325"/>
        <v>0</v>
      </c>
      <c r="U727" s="389">
        <f t="shared" si="326"/>
        <v>0</v>
      </c>
      <c r="V727" s="389" t="b">
        <f t="shared" si="327"/>
        <v>0</v>
      </c>
      <c r="W727" s="389">
        <f t="shared" si="328"/>
        <v>0</v>
      </c>
      <c r="X727" s="389">
        <f t="shared" si="329"/>
        <v>0</v>
      </c>
      <c r="Y727" s="389">
        <f t="shared" si="347"/>
        <v>1.0999999999999999E-2</v>
      </c>
      <c r="Z727" s="389">
        <f t="shared" si="330"/>
        <v>1.0999999999999999E-2</v>
      </c>
      <c r="AA727" s="389">
        <f t="shared" si="331"/>
        <v>0</v>
      </c>
      <c r="AB727" s="389">
        <f t="shared" si="332"/>
        <v>1E-4</v>
      </c>
      <c r="AC727" s="389">
        <f t="shared" si="333"/>
        <v>1E-4</v>
      </c>
      <c r="AD727" s="389">
        <f t="shared" si="334"/>
        <v>0</v>
      </c>
      <c r="AE727" s="389">
        <f t="shared" si="335"/>
        <v>0</v>
      </c>
      <c r="AG727" s="311" t="str">
        <f t="shared" si="336"/>
        <v>-</v>
      </c>
      <c r="AH727" s="453" t="str">
        <f t="shared" si="337"/>
        <v/>
      </c>
      <c r="AI727" s="453" t="str">
        <f t="shared" si="338"/>
        <v/>
      </c>
      <c r="AJ727" t="str">
        <f t="array" ref="AJ727">IF(AND(AI727&gt;1,G727&lt;&gt;""),INDEX(FS_teams,MATCH(1,(FS_Keys=AG727)*(FS_Points=I727)*(FS_teams&lt;&gt;G727),0)),"")</f>
        <v/>
      </c>
      <c r="AK727" s="390" t="str">
        <f t="array" ref="AK727">IF(AJ727&lt;&gt;"",INDEX(TM_Score1,MATCH(1,(TM_Events=D727)*(TM_Participant1=G727)*(TM_Participant2=AJ727),0)),"")</f>
        <v/>
      </c>
      <c r="AL727" s="390" t="str">
        <f t="array" ref="AL727">IF(AJ727&lt;&gt;"",INDEX(TM_Score1,MATCH(1,(TM_Events=D727)*(TM_Participant1=AJ727)*(TM_Participant2=G727),0)),"")</f>
        <v/>
      </c>
      <c r="AM727" s="389" t="str">
        <f t="array" ref="AM727">IF(ISNUMBER(AK727),INDEX(TM_Score2,MATCH(1,(TM_Events=D727)*(TM_Participant1=G727)*(TM_Participant2=AJ727),0)),"")</f>
        <v/>
      </c>
      <c r="AN727" s="389" t="str">
        <f t="array" ref="AN727">IF(ISNUMBER(AL727),INDEX(TM_Score2,MATCH(1,(TM_Events=D727)*(TM_Participant1=AJ727)*(TM_Participant2=G727),0)),"")</f>
        <v/>
      </c>
      <c r="AO727" s="389" t="str">
        <f t="shared" si="339"/>
        <v/>
      </c>
      <c r="AP727" s="389">
        <f t="shared" si="340"/>
        <v>0</v>
      </c>
      <c r="AQ727" s="389">
        <f t="shared" si="341"/>
        <v>0</v>
      </c>
      <c r="AR727" s="389">
        <f t="shared" si="342"/>
        <v>0</v>
      </c>
      <c r="AS727" s="453">
        <f t="shared" si="343"/>
        <v>0</v>
      </c>
      <c r="AT727" s="452">
        <f t="shared" si="344"/>
        <v>0</v>
      </c>
    </row>
    <row r="728" spans="2:46" ht="16" x14ac:dyDescent="0.2">
      <c r="B728"/>
      <c r="H728" s="387" t="str">
        <f t="shared" si="319"/>
        <v>0-0-0</v>
      </c>
      <c r="I728" s="389">
        <f t="shared" si="320"/>
        <v>0</v>
      </c>
      <c r="J728" s="455" t="str">
        <f t="shared" si="345"/>
        <v/>
      </c>
      <c r="K728" s="455">
        <f t="shared" si="321"/>
        <v>0</v>
      </c>
      <c r="L728" s="455">
        <f t="shared" si="346"/>
        <v>0</v>
      </c>
      <c r="M728" s="389" t="str">
        <f>IFERROR(IF(AD728&lt;=VLOOKUP(D728,Tournaments!$A$1:$B$1772,2,FALSE),"TRUE","FALSE"),"")</f>
        <v/>
      </c>
      <c r="N728" s="389">
        <v>1</v>
      </c>
      <c r="O728" s="389">
        <f t="shared" si="322"/>
        <v>0</v>
      </c>
      <c r="Q728" s="389">
        <f t="shared" si="323"/>
        <v>0</v>
      </c>
      <c r="R728" s="389">
        <f t="shared" si="324"/>
        <v>0</v>
      </c>
      <c r="S728" s="389">
        <f t="shared" si="325"/>
        <v>0</v>
      </c>
      <c r="U728" s="389">
        <f t="shared" si="326"/>
        <v>0</v>
      </c>
      <c r="V728" s="389" t="b">
        <f t="shared" si="327"/>
        <v>0</v>
      </c>
      <c r="W728" s="389">
        <f t="shared" si="328"/>
        <v>0</v>
      </c>
      <c r="X728" s="389">
        <f t="shared" si="329"/>
        <v>0</v>
      </c>
      <c r="Y728" s="389">
        <f t="shared" si="347"/>
        <v>1.0999999999999999E-2</v>
      </c>
      <c r="Z728" s="389">
        <f t="shared" si="330"/>
        <v>1.0999999999999999E-2</v>
      </c>
      <c r="AA728" s="389">
        <f t="shared" si="331"/>
        <v>0</v>
      </c>
      <c r="AB728" s="389">
        <f t="shared" si="332"/>
        <v>1E-4</v>
      </c>
      <c r="AC728" s="389">
        <f t="shared" si="333"/>
        <v>1E-4</v>
      </c>
      <c r="AD728" s="389">
        <f t="shared" si="334"/>
        <v>0</v>
      </c>
      <c r="AE728" s="389">
        <f t="shared" si="335"/>
        <v>0</v>
      </c>
      <c r="AG728" s="311" t="str">
        <f t="shared" si="336"/>
        <v>-</v>
      </c>
      <c r="AH728" s="453" t="str">
        <f t="shared" si="337"/>
        <v/>
      </c>
      <c r="AI728" s="453" t="str">
        <f t="shared" si="338"/>
        <v/>
      </c>
      <c r="AJ728" t="str">
        <f t="array" ref="AJ728">IF(AND(AI728&gt;1,G728&lt;&gt;""),INDEX(FS_teams,MATCH(1,(FS_Keys=AG728)*(FS_Points=I728)*(FS_teams&lt;&gt;G728),0)),"")</f>
        <v/>
      </c>
      <c r="AK728" s="390" t="str">
        <f t="array" ref="AK728">IF(AJ728&lt;&gt;"",INDEX(TM_Score1,MATCH(1,(TM_Events=D728)*(TM_Participant1=G728)*(TM_Participant2=AJ728),0)),"")</f>
        <v/>
      </c>
      <c r="AL728" s="390" t="str">
        <f t="array" ref="AL728">IF(AJ728&lt;&gt;"",INDEX(TM_Score1,MATCH(1,(TM_Events=D728)*(TM_Participant1=AJ728)*(TM_Participant2=G728),0)),"")</f>
        <v/>
      </c>
      <c r="AM728" s="389" t="str">
        <f t="array" ref="AM728">IF(ISNUMBER(AK728),INDEX(TM_Score2,MATCH(1,(TM_Events=D728)*(TM_Participant1=G728)*(TM_Participant2=AJ728),0)),"")</f>
        <v/>
      </c>
      <c r="AN728" s="389" t="str">
        <f t="array" ref="AN728">IF(ISNUMBER(AL728),INDEX(TM_Score2,MATCH(1,(TM_Events=D728)*(TM_Participant1=AJ728)*(TM_Participant2=G728),0)),"")</f>
        <v/>
      </c>
      <c r="AO728" s="389" t="str">
        <f t="shared" si="339"/>
        <v/>
      </c>
      <c r="AP728" s="389">
        <f t="shared" si="340"/>
        <v>0</v>
      </c>
      <c r="AQ728" s="389">
        <f t="shared" si="341"/>
        <v>0</v>
      </c>
      <c r="AR728" s="389">
        <f t="shared" si="342"/>
        <v>0</v>
      </c>
      <c r="AS728" s="453">
        <f t="shared" si="343"/>
        <v>0</v>
      </c>
      <c r="AT728" s="452">
        <f t="shared" si="344"/>
        <v>0</v>
      </c>
    </row>
    <row r="729" spans="2:46" ht="16" x14ac:dyDescent="0.2">
      <c r="B729"/>
      <c r="H729" s="387" t="str">
        <f t="shared" si="319"/>
        <v>0-0-0</v>
      </c>
      <c r="I729" s="389">
        <f t="shared" si="320"/>
        <v>0</v>
      </c>
      <c r="J729" s="455" t="str">
        <f t="shared" si="345"/>
        <v/>
      </c>
      <c r="K729" s="455">
        <f t="shared" si="321"/>
        <v>0</v>
      </c>
      <c r="L729" s="455">
        <f t="shared" si="346"/>
        <v>0</v>
      </c>
      <c r="M729" s="389" t="str">
        <f>IFERROR(IF(AD729&lt;=VLOOKUP(D729,Tournaments!$A$1:$B$1772,2,FALSE),"TRUE","FALSE"),"")</f>
        <v/>
      </c>
      <c r="N729" s="389">
        <v>1</v>
      </c>
      <c r="O729" s="389">
        <f t="shared" si="322"/>
        <v>0</v>
      </c>
      <c r="Q729" s="389">
        <f t="shared" si="323"/>
        <v>0</v>
      </c>
      <c r="R729" s="389">
        <f t="shared" si="324"/>
        <v>0</v>
      </c>
      <c r="S729" s="389">
        <f t="shared" si="325"/>
        <v>0</v>
      </c>
      <c r="U729" s="389">
        <f t="shared" si="326"/>
        <v>0</v>
      </c>
      <c r="V729" s="389" t="b">
        <f t="shared" si="327"/>
        <v>0</v>
      </c>
      <c r="W729" s="389">
        <f t="shared" si="328"/>
        <v>0</v>
      </c>
      <c r="X729" s="389">
        <f t="shared" si="329"/>
        <v>0</v>
      </c>
      <c r="Y729" s="389">
        <f t="shared" si="347"/>
        <v>1.0999999999999999E-2</v>
      </c>
      <c r="Z729" s="389">
        <f t="shared" si="330"/>
        <v>1.0999999999999999E-2</v>
      </c>
      <c r="AA729" s="389">
        <f t="shared" si="331"/>
        <v>0</v>
      </c>
      <c r="AB729" s="389">
        <f t="shared" si="332"/>
        <v>1E-4</v>
      </c>
      <c r="AC729" s="389">
        <f t="shared" si="333"/>
        <v>1E-4</v>
      </c>
      <c r="AD729" s="389">
        <f t="shared" si="334"/>
        <v>0</v>
      </c>
      <c r="AE729" s="389">
        <f t="shared" si="335"/>
        <v>0</v>
      </c>
      <c r="AG729" s="311" t="str">
        <f t="shared" si="336"/>
        <v>-</v>
      </c>
      <c r="AH729" s="453" t="str">
        <f t="shared" si="337"/>
        <v/>
      </c>
      <c r="AI729" s="453" t="str">
        <f t="shared" si="338"/>
        <v/>
      </c>
      <c r="AJ729" t="str">
        <f t="array" ref="AJ729">IF(AND(AI729&gt;1,G729&lt;&gt;""),INDEX(FS_teams,MATCH(1,(FS_Keys=AG729)*(FS_Points=I729)*(FS_teams&lt;&gt;G729),0)),"")</f>
        <v/>
      </c>
      <c r="AK729" s="390" t="str">
        <f t="array" ref="AK729">IF(AJ729&lt;&gt;"",INDEX(TM_Score1,MATCH(1,(TM_Events=D729)*(TM_Participant1=G729)*(TM_Participant2=AJ729),0)),"")</f>
        <v/>
      </c>
      <c r="AL729" s="390" t="str">
        <f t="array" ref="AL729">IF(AJ729&lt;&gt;"",INDEX(TM_Score1,MATCH(1,(TM_Events=D729)*(TM_Participant1=AJ729)*(TM_Participant2=G729),0)),"")</f>
        <v/>
      </c>
      <c r="AM729" s="389" t="str">
        <f t="array" ref="AM729">IF(ISNUMBER(AK729),INDEX(TM_Score2,MATCH(1,(TM_Events=D729)*(TM_Participant1=G729)*(TM_Participant2=AJ729),0)),"")</f>
        <v/>
      </c>
      <c r="AN729" s="389" t="str">
        <f t="array" ref="AN729">IF(ISNUMBER(AL729),INDEX(TM_Score2,MATCH(1,(TM_Events=D729)*(TM_Participant1=AJ729)*(TM_Participant2=G729),0)),"")</f>
        <v/>
      </c>
      <c r="AO729" s="389" t="str">
        <f t="shared" si="339"/>
        <v/>
      </c>
      <c r="AP729" s="389">
        <f t="shared" si="340"/>
        <v>0</v>
      </c>
      <c r="AQ729" s="389">
        <f t="shared" si="341"/>
        <v>0</v>
      </c>
      <c r="AR729" s="389">
        <f t="shared" si="342"/>
        <v>0</v>
      </c>
      <c r="AS729" s="453">
        <f t="shared" si="343"/>
        <v>0</v>
      </c>
      <c r="AT729" s="452">
        <f t="shared" si="344"/>
        <v>0</v>
      </c>
    </row>
    <row r="730" spans="2:46" ht="16" x14ac:dyDescent="0.2">
      <c r="B730"/>
      <c r="H730" s="387" t="str">
        <f t="shared" si="319"/>
        <v>0-0-0</v>
      </c>
      <c r="I730" s="389">
        <f t="shared" si="320"/>
        <v>0</v>
      </c>
      <c r="J730" s="455" t="str">
        <f t="shared" si="345"/>
        <v/>
      </c>
      <c r="K730" s="455">
        <f t="shared" si="321"/>
        <v>0</v>
      </c>
      <c r="L730" s="455">
        <f t="shared" si="346"/>
        <v>0</v>
      </c>
      <c r="M730" s="389" t="str">
        <f>IFERROR(IF(AD730&lt;=VLOOKUP(D730,Tournaments!$A$1:$B$1772,2,FALSE),"TRUE","FALSE"),"")</f>
        <v/>
      </c>
      <c r="N730" s="389">
        <v>1</v>
      </c>
      <c r="O730" s="389">
        <f t="shared" si="322"/>
        <v>0</v>
      </c>
      <c r="Q730" s="389">
        <f t="shared" si="323"/>
        <v>0</v>
      </c>
      <c r="R730" s="389">
        <f t="shared" si="324"/>
        <v>0</v>
      </c>
      <c r="S730" s="389">
        <f t="shared" si="325"/>
        <v>0</v>
      </c>
      <c r="U730" s="389">
        <f t="shared" si="326"/>
        <v>0</v>
      </c>
      <c r="V730" s="389" t="b">
        <f t="shared" si="327"/>
        <v>0</v>
      </c>
      <c r="W730" s="389">
        <f t="shared" si="328"/>
        <v>0</v>
      </c>
      <c r="X730" s="389">
        <f t="shared" si="329"/>
        <v>0</v>
      </c>
      <c r="Y730" s="389">
        <f t="shared" si="347"/>
        <v>1.0999999999999999E-2</v>
      </c>
      <c r="Z730" s="389">
        <f t="shared" si="330"/>
        <v>1.0999999999999999E-2</v>
      </c>
      <c r="AA730" s="389">
        <f t="shared" si="331"/>
        <v>0</v>
      </c>
      <c r="AB730" s="389">
        <f t="shared" si="332"/>
        <v>1E-4</v>
      </c>
      <c r="AC730" s="389">
        <f t="shared" si="333"/>
        <v>1E-4</v>
      </c>
      <c r="AD730" s="389">
        <f t="shared" si="334"/>
        <v>0</v>
      </c>
      <c r="AE730" s="389">
        <f t="shared" si="335"/>
        <v>0</v>
      </c>
      <c r="AG730" s="311" t="str">
        <f t="shared" si="336"/>
        <v>-</v>
      </c>
      <c r="AH730" s="453" t="str">
        <f t="shared" si="337"/>
        <v/>
      </c>
      <c r="AI730" s="453" t="str">
        <f t="shared" si="338"/>
        <v/>
      </c>
      <c r="AJ730" t="str">
        <f t="array" ref="AJ730">IF(AND(AI730&gt;1,G730&lt;&gt;""),INDEX(FS_teams,MATCH(1,(FS_Keys=AG730)*(FS_Points=I730)*(FS_teams&lt;&gt;G730),0)),"")</f>
        <v/>
      </c>
      <c r="AK730" s="390" t="str">
        <f t="array" ref="AK730">IF(AJ730&lt;&gt;"",INDEX(TM_Score1,MATCH(1,(TM_Events=D730)*(TM_Participant1=G730)*(TM_Participant2=AJ730),0)),"")</f>
        <v/>
      </c>
      <c r="AL730" s="390" t="str">
        <f t="array" ref="AL730">IF(AJ730&lt;&gt;"",INDEX(TM_Score1,MATCH(1,(TM_Events=D730)*(TM_Participant1=AJ730)*(TM_Participant2=G730),0)),"")</f>
        <v/>
      </c>
      <c r="AM730" s="389" t="str">
        <f t="array" ref="AM730">IF(ISNUMBER(AK730),INDEX(TM_Score2,MATCH(1,(TM_Events=D730)*(TM_Participant1=G730)*(TM_Participant2=AJ730),0)),"")</f>
        <v/>
      </c>
      <c r="AN730" s="389" t="str">
        <f t="array" ref="AN730">IF(ISNUMBER(AL730),INDEX(TM_Score2,MATCH(1,(TM_Events=D730)*(TM_Participant1=AJ730)*(TM_Participant2=G730),0)),"")</f>
        <v/>
      </c>
      <c r="AO730" s="389" t="str">
        <f t="shared" si="339"/>
        <v/>
      </c>
      <c r="AP730" s="389">
        <f t="shared" si="340"/>
        <v>0</v>
      </c>
      <c r="AQ730" s="389">
        <f t="shared" si="341"/>
        <v>0</v>
      </c>
      <c r="AR730" s="389">
        <f t="shared" si="342"/>
        <v>0</v>
      </c>
      <c r="AS730" s="453">
        <f t="shared" si="343"/>
        <v>0</v>
      </c>
      <c r="AT730" s="452">
        <f t="shared" si="344"/>
        <v>0</v>
      </c>
    </row>
    <row r="731" spans="2:46" ht="16" x14ac:dyDescent="0.2">
      <c r="B731"/>
      <c r="H731" s="387" t="str">
        <f t="shared" si="319"/>
        <v>0-0-0</v>
      </c>
      <c r="I731" s="389">
        <f t="shared" si="320"/>
        <v>0</v>
      </c>
      <c r="J731" s="455" t="str">
        <f t="shared" si="345"/>
        <v/>
      </c>
      <c r="K731" s="455">
        <f t="shared" si="321"/>
        <v>0</v>
      </c>
      <c r="L731" s="455">
        <f t="shared" si="346"/>
        <v>0</v>
      </c>
      <c r="M731" s="389" t="str">
        <f>IFERROR(IF(AD731&lt;=VLOOKUP(D731,Tournaments!$A$1:$B$1772,2,FALSE),"TRUE","FALSE"),"")</f>
        <v/>
      </c>
      <c r="N731" s="389">
        <v>1</v>
      </c>
      <c r="O731" s="389">
        <f t="shared" si="322"/>
        <v>0</v>
      </c>
      <c r="Q731" s="389">
        <f t="shared" si="323"/>
        <v>0</v>
      </c>
      <c r="R731" s="389">
        <f t="shared" si="324"/>
        <v>0</v>
      </c>
      <c r="S731" s="389">
        <f t="shared" si="325"/>
        <v>0</v>
      </c>
      <c r="U731" s="389">
        <f t="shared" si="326"/>
        <v>0</v>
      </c>
      <c r="V731" s="389" t="b">
        <f t="shared" si="327"/>
        <v>0</v>
      </c>
      <c r="W731" s="389">
        <f t="shared" si="328"/>
        <v>0</v>
      </c>
      <c r="X731" s="389">
        <f t="shared" si="329"/>
        <v>0</v>
      </c>
      <c r="Y731" s="389">
        <f t="shared" si="347"/>
        <v>1.0999999999999999E-2</v>
      </c>
      <c r="Z731" s="389">
        <f t="shared" si="330"/>
        <v>1.0999999999999999E-2</v>
      </c>
      <c r="AA731" s="389">
        <f t="shared" si="331"/>
        <v>0</v>
      </c>
      <c r="AB731" s="389">
        <f t="shared" si="332"/>
        <v>1E-4</v>
      </c>
      <c r="AC731" s="389">
        <f t="shared" si="333"/>
        <v>1E-4</v>
      </c>
      <c r="AD731" s="389">
        <f t="shared" si="334"/>
        <v>0</v>
      </c>
      <c r="AE731" s="389">
        <f t="shared" si="335"/>
        <v>0</v>
      </c>
      <c r="AG731" s="311" t="str">
        <f t="shared" si="336"/>
        <v>-</v>
      </c>
      <c r="AH731" s="453" t="str">
        <f t="shared" si="337"/>
        <v/>
      </c>
      <c r="AI731" s="453" t="str">
        <f t="shared" si="338"/>
        <v/>
      </c>
      <c r="AJ731" t="str">
        <f t="array" ref="AJ731">IF(AND(AI731&gt;1,G731&lt;&gt;""),INDEX(FS_teams,MATCH(1,(FS_Keys=AG731)*(FS_Points=I731)*(FS_teams&lt;&gt;G731),0)),"")</f>
        <v/>
      </c>
      <c r="AK731" s="390" t="str">
        <f t="array" ref="AK731">IF(AJ731&lt;&gt;"",INDEX(TM_Score1,MATCH(1,(TM_Events=D731)*(TM_Participant1=G731)*(TM_Participant2=AJ731),0)),"")</f>
        <v/>
      </c>
      <c r="AL731" s="390" t="str">
        <f t="array" ref="AL731">IF(AJ731&lt;&gt;"",INDEX(TM_Score1,MATCH(1,(TM_Events=D731)*(TM_Participant1=AJ731)*(TM_Participant2=G731),0)),"")</f>
        <v/>
      </c>
      <c r="AM731" s="389" t="str">
        <f t="array" ref="AM731">IF(ISNUMBER(AK731),INDEX(TM_Score2,MATCH(1,(TM_Events=D731)*(TM_Participant1=G731)*(TM_Participant2=AJ731),0)),"")</f>
        <v/>
      </c>
      <c r="AN731" s="389" t="str">
        <f t="array" ref="AN731">IF(ISNUMBER(AL731),INDEX(TM_Score2,MATCH(1,(TM_Events=D731)*(TM_Participant1=AJ731)*(TM_Participant2=G731),0)),"")</f>
        <v/>
      </c>
      <c r="AO731" s="389" t="str">
        <f t="shared" si="339"/>
        <v/>
      </c>
      <c r="AP731" s="389">
        <f t="shared" si="340"/>
        <v>0</v>
      </c>
      <c r="AQ731" s="389">
        <f t="shared" si="341"/>
        <v>0</v>
      </c>
      <c r="AR731" s="389">
        <f t="shared" si="342"/>
        <v>0</v>
      </c>
      <c r="AS731" s="453">
        <f t="shared" si="343"/>
        <v>0</v>
      </c>
      <c r="AT731" s="452">
        <f t="shared" si="344"/>
        <v>0</v>
      </c>
    </row>
    <row r="732" spans="2:46" ht="16" x14ac:dyDescent="0.2">
      <c r="B732"/>
      <c r="H732" s="387" t="str">
        <f t="shared" si="319"/>
        <v>0-0-0</v>
      </c>
      <c r="I732" s="389">
        <f t="shared" si="320"/>
        <v>0</v>
      </c>
      <c r="J732" s="455" t="str">
        <f t="shared" si="345"/>
        <v/>
      </c>
      <c r="K732" s="455">
        <f t="shared" si="321"/>
        <v>0</v>
      </c>
      <c r="L732" s="455">
        <f t="shared" si="346"/>
        <v>0</v>
      </c>
      <c r="M732" s="389" t="str">
        <f>IFERROR(IF(AD732&lt;=VLOOKUP(D732,Tournaments!$A$1:$B$1772,2,FALSE),"TRUE","FALSE"),"")</f>
        <v/>
      </c>
      <c r="N732" s="389">
        <v>1</v>
      </c>
      <c r="O732" s="389">
        <f t="shared" si="322"/>
        <v>0</v>
      </c>
      <c r="Q732" s="389">
        <f t="shared" si="323"/>
        <v>0</v>
      </c>
      <c r="R732" s="389">
        <f t="shared" si="324"/>
        <v>0</v>
      </c>
      <c r="S732" s="389">
        <f t="shared" si="325"/>
        <v>0</v>
      </c>
      <c r="U732" s="389">
        <f t="shared" si="326"/>
        <v>0</v>
      </c>
      <c r="V732" s="389" t="b">
        <f t="shared" si="327"/>
        <v>0</v>
      </c>
      <c r="W732" s="389">
        <f t="shared" si="328"/>
        <v>0</v>
      </c>
      <c r="X732" s="389">
        <f t="shared" si="329"/>
        <v>0</v>
      </c>
      <c r="Y732" s="389">
        <f t="shared" si="347"/>
        <v>1.0999999999999999E-2</v>
      </c>
      <c r="Z732" s="389">
        <f t="shared" si="330"/>
        <v>1.0999999999999999E-2</v>
      </c>
      <c r="AA732" s="389">
        <f t="shared" si="331"/>
        <v>0</v>
      </c>
      <c r="AB732" s="389">
        <f t="shared" si="332"/>
        <v>1E-4</v>
      </c>
      <c r="AC732" s="389">
        <f t="shared" si="333"/>
        <v>1E-4</v>
      </c>
      <c r="AD732" s="389">
        <f t="shared" si="334"/>
        <v>0</v>
      </c>
      <c r="AE732" s="389">
        <f t="shared" si="335"/>
        <v>0</v>
      </c>
      <c r="AG732" s="311" t="str">
        <f t="shared" si="336"/>
        <v>-</v>
      </c>
      <c r="AH732" s="453" t="str">
        <f t="shared" si="337"/>
        <v/>
      </c>
      <c r="AI732" s="453" t="str">
        <f t="shared" si="338"/>
        <v/>
      </c>
      <c r="AJ732" t="str">
        <f t="array" ref="AJ732">IF(AND(AI732&gt;1,G732&lt;&gt;""),INDEX(FS_teams,MATCH(1,(FS_Keys=AG732)*(FS_Points=I732)*(FS_teams&lt;&gt;G732),0)),"")</f>
        <v/>
      </c>
      <c r="AK732" s="390" t="str">
        <f t="array" ref="AK732">IF(AJ732&lt;&gt;"",INDEX(TM_Score1,MATCH(1,(TM_Events=D732)*(TM_Participant1=G732)*(TM_Participant2=AJ732),0)),"")</f>
        <v/>
      </c>
      <c r="AL732" s="390" t="str">
        <f t="array" ref="AL732">IF(AJ732&lt;&gt;"",INDEX(TM_Score1,MATCH(1,(TM_Events=D732)*(TM_Participant1=AJ732)*(TM_Participant2=G732),0)),"")</f>
        <v/>
      </c>
      <c r="AM732" s="389" t="str">
        <f t="array" ref="AM732">IF(ISNUMBER(AK732),INDEX(TM_Score2,MATCH(1,(TM_Events=D732)*(TM_Participant1=G732)*(TM_Participant2=AJ732),0)),"")</f>
        <v/>
      </c>
      <c r="AN732" s="389" t="str">
        <f t="array" ref="AN732">IF(ISNUMBER(AL732),INDEX(TM_Score2,MATCH(1,(TM_Events=D732)*(TM_Participant1=AJ732)*(TM_Participant2=G732),0)),"")</f>
        <v/>
      </c>
      <c r="AO732" s="389" t="str">
        <f t="shared" si="339"/>
        <v/>
      </c>
      <c r="AP732" s="389">
        <f t="shared" si="340"/>
        <v>0</v>
      </c>
      <c r="AQ732" s="389">
        <f t="shared" si="341"/>
        <v>0</v>
      </c>
      <c r="AR732" s="389">
        <f t="shared" si="342"/>
        <v>0</v>
      </c>
      <c r="AS732" s="453">
        <f t="shared" si="343"/>
        <v>0</v>
      </c>
      <c r="AT732" s="452">
        <f t="shared" si="344"/>
        <v>0</v>
      </c>
    </row>
    <row r="733" spans="2:46" ht="16" x14ac:dyDescent="0.2">
      <c r="B733"/>
      <c r="H733" s="387" t="str">
        <f t="shared" si="319"/>
        <v>0-0-0</v>
      </c>
      <c r="I733" s="389">
        <f t="shared" si="320"/>
        <v>0</v>
      </c>
      <c r="J733" s="455" t="str">
        <f t="shared" si="345"/>
        <v/>
      </c>
      <c r="K733" s="455">
        <f t="shared" si="321"/>
        <v>0</v>
      </c>
      <c r="L733" s="455">
        <f t="shared" si="346"/>
        <v>0</v>
      </c>
      <c r="M733" s="389" t="str">
        <f>IFERROR(IF(AD733&lt;=VLOOKUP(D733,Tournaments!$A$1:$B$1772,2,FALSE),"TRUE","FALSE"),"")</f>
        <v/>
      </c>
      <c r="N733" s="389">
        <v>1</v>
      </c>
      <c r="O733" s="389">
        <f t="shared" si="322"/>
        <v>0</v>
      </c>
      <c r="Q733" s="389">
        <f t="shared" si="323"/>
        <v>0</v>
      </c>
      <c r="R733" s="389">
        <f t="shared" si="324"/>
        <v>0</v>
      </c>
      <c r="S733" s="389">
        <f t="shared" si="325"/>
        <v>0</v>
      </c>
      <c r="U733" s="389">
        <f t="shared" si="326"/>
        <v>0</v>
      </c>
      <c r="V733" s="389" t="b">
        <f t="shared" si="327"/>
        <v>0</v>
      </c>
      <c r="W733" s="389">
        <f t="shared" si="328"/>
        <v>0</v>
      </c>
      <c r="X733" s="389">
        <f t="shared" si="329"/>
        <v>0</v>
      </c>
      <c r="Y733" s="389">
        <f t="shared" si="347"/>
        <v>1.0999999999999999E-2</v>
      </c>
      <c r="Z733" s="389">
        <f t="shared" si="330"/>
        <v>1.0999999999999999E-2</v>
      </c>
      <c r="AA733" s="389">
        <f t="shared" si="331"/>
        <v>0</v>
      </c>
      <c r="AB733" s="389">
        <f t="shared" si="332"/>
        <v>1E-4</v>
      </c>
      <c r="AC733" s="389">
        <f t="shared" si="333"/>
        <v>1E-4</v>
      </c>
      <c r="AD733" s="389">
        <f t="shared" si="334"/>
        <v>0</v>
      </c>
      <c r="AE733" s="389">
        <f t="shared" si="335"/>
        <v>0</v>
      </c>
      <c r="AG733" s="311" t="str">
        <f t="shared" si="336"/>
        <v>-</v>
      </c>
      <c r="AH733" s="453" t="str">
        <f t="shared" si="337"/>
        <v/>
      </c>
      <c r="AI733" s="453" t="str">
        <f t="shared" si="338"/>
        <v/>
      </c>
      <c r="AJ733" t="str">
        <f t="array" ref="AJ733">IF(AND(AI733&gt;1,G733&lt;&gt;""),INDEX(FS_teams,MATCH(1,(FS_Keys=AG733)*(FS_Points=I733)*(FS_teams&lt;&gt;G733),0)),"")</f>
        <v/>
      </c>
      <c r="AK733" s="390" t="str">
        <f t="array" ref="AK733">IF(AJ733&lt;&gt;"",INDEX(TM_Score1,MATCH(1,(TM_Events=D733)*(TM_Participant1=G733)*(TM_Participant2=AJ733),0)),"")</f>
        <v/>
      </c>
      <c r="AL733" s="390" t="str">
        <f t="array" ref="AL733">IF(AJ733&lt;&gt;"",INDEX(TM_Score1,MATCH(1,(TM_Events=D733)*(TM_Participant1=AJ733)*(TM_Participant2=G733),0)),"")</f>
        <v/>
      </c>
      <c r="AM733" s="389" t="str">
        <f t="array" ref="AM733">IF(ISNUMBER(AK733),INDEX(TM_Score2,MATCH(1,(TM_Events=D733)*(TM_Participant1=G733)*(TM_Participant2=AJ733),0)),"")</f>
        <v/>
      </c>
      <c r="AN733" s="389" t="str">
        <f t="array" ref="AN733">IF(ISNUMBER(AL733),INDEX(TM_Score2,MATCH(1,(TM_Events=D733)*(TM_Participant1=AJ733)*(TM_Participant2=G733),0)),"")</f>
        <v/>
      </c>
      <c r="AO733" s="389" t="str">
        <f t="shared" si="339"/>
        <v/>
      </c>
      <c r="AP733" s="389">
        <f t="shared" si="340"/>
        <v>0</v>
      </c>
      <c r="AQ733" s="389">
        <f t="shared" si="341"/>
        <v>0</v>
      </c>
      <c r="AR733" s="389">
        <f t="shared" si="342"/>
        <v>0</v>
      </c>
      <c r="AS733" s="453">
        <f t="shared" si="343"/>
        <v>0</v>
      </c>
      <c r="AT733" s="452">
        <f t="shared" si="344"/>
        <v>0</v>
      </c>
    </row>
    <row r="734" spans="2:46" ht="16" x14ac:dyDescent="0.2">
      <c r="B734"/>
      <c r="H734" s="387" t="str">
        <f t="shared" si="319"/>
        <v>0-0-0</v>
      </c>
      <c r="I734" s="389">
        <f t="shared" si="320"/>
        <v>0</v>
      </c>
      <c r="J734" s="455" t="str">
        <f t="shared" si="345"/>
        <v/>
      </c>
      <c r="K734" s="455">
        <f t="shared" si="321"/>
        <v>0</v>
      </c>
      <c r="L734" s="455">
        <f t="shared" si="346"/>
        <v>0</v>
      </c>
      <c r="M734" s="389" t="str">
        <f>IFERROR(IF(AD734&lt;=VLOOKUP(D734,Tournaments!$A$1:$B$1772,2,FALSE),"TRUE","FALSE"),"")</f>
        <v/>
      </c>
      <c r="N734" s="389">
        <v>1</v>
      </c>
      <c r="O734" s="389">
        <f t="shared" si="322"/>
        <v>0</v>
      </c>
      <c r="Q734" s="389">
        <f t="shared" si="323"/>
        <v>0</v>
      </c>
      <c r="R734" s="389">
        <f t="shared" si="324"/>
        <v>0</v>
      </c>
      <c r="S734" s="389">
        <f t="shared" si="325"/>
        <v>0</v>
      </c>
      <c r="U734" s="389">
        <f t="shared" si="326"/>
        <v>0</v>
      </c>
      <c r="V734" s="389" t="b">
        <f t="shared" si="327"/>
        <v>0</v>
      </c>
      <c r="W734" s="389">
        <f t="shared" si="328"/>
        <v>0</v>
      </c>
      <c r="X734" s="389">
        <f t="shared" si="329"/>
        <v>0</v>
      </c>
      <c r="Y734" s="389">
        <f t="shared" si="347"/>
        <v>1.0999999999999999E-2</v>
      </c>
      <c r="Z734" s="389">
        <f t="shared" si="330"/>
        <v>1.0999999999999999E-2</v>
      </c>
      <c r="AA734" s="389">
        <f t="shared" si="331"/>
        <v>0</v>
      </c>
      <c r="AB734" s="389">
        <f t="shared" si="332"/>
        <v>1E-4</v>
      </c>
      <c r="AC734" s="389">
        <f t="shared" si="333"/>
        <v>1E-4</v>
      </c>
      <c r="AD734" s="389">
        <f t="shared" si="334"/>
        <v>0</v>
      </c>
      <c r="AE734" s="389">
        <f t="shared" si="335"/>
        <v>0</v>
      </c>
      <c r="AG734" s="311" t="str">
        <f t="shared" si="336"/>
        <v>-</v>
      </c>
      <c r="AH734" s="453" t="str">
        <f t="shared" si="337"/>
        <v/>
      </c>
      <c r="AI734" s="453" t="str">
        <f t="shared" si="338"/>
        <v/>
      </c>
      <c r="AJ734" t="str">
        <f t="array" ref="AJ734">IF(AND(AI734&gt;1,G734&lt;&gt;""),INDEX(FS_teams,MATCH(1,(FS_Keys=AG734)*(FS_Points=I734)*(FS_teams&lt;&gt;G734),0)),"")</f>
        <v/>
      </c>
      <c r="AK734" s="390" t="str">
        <f t="array" ref="AK734">IF(AJ734&lt;&gt;"",INDEX(TM_Score1,MATCH(1,(TM_Events=D734)*(TM_Participant1=G734)*(TM_Participant2=AJ734),0)),"")</f>
        <v/>
      </c>
      <c r="AL734" s="390" t="str">
        <f t="array" ref="AL734">IF(AJ734&lt;&gt;"",INDEX(TM_Score1,MATCH(1,(TM_Events=D734)*(TM_Participant1=AJ734)*(TM_Participant2=G734),0)),"")</f>
        <v/>
      </c>
      <c r="AM734" s="389" t="str">
        <f t="array" ref="AM734">IF(ISNUMBER(AK734),INDEX(TM_Score2,MATCH(1,(TM_Events=D734)*(TM_Participant1=G734)*(TM_Participant2=AJ734),0)),"")</f>
        <v/>
      </c>
      <c r="AN734" s="389" t="str">
        <f t="array" ref="AN734">IF(ISNUMBER(AL734),INDEX(TM_Score2,MATCH(1,(TM_Events=D734)*(TM_Participant1=AJ734)*(TM_Participant2=G734),0)),"")</f>
        <v/>
      </c>
      <c r="AO734" s="389" t="str">
        <f t="shared" si="339"/>
        <v/>
      </c>
      <c r="AP734" s="389">
        <f t="shared" si="340"/>
        <v>0</v>
      </c>
      <c r="AQ734" s="389">
        <f t="shared" si="341"/>
        <v>0</v>
      </c>
      <c r="AR734" s="389">
        <f t="shared" si="342"/>
        <v>0</v>
      </c>
      <c r="AS734" s="453">
        <f t="shared" si="343"/>
        <v>0</v>
      </c>
      <c r="AT734" s="452">
        <f t="shared" si="344"/>
        <v>0</v>
      </c>
    </row>
    <row r="735" spans="2:46" ht="16" x14ac:dyDescent="0.2">
      <c r="B735"/>
      <c r="H735" s="387" t="str">
        <f t="shared" si="319"/>
        <v>0-0-0</v>
      </c>
      <c r="I735" s="389">
        <f t="shared" si="320"/>
        <v>0</v>
      </c>
      <c r="J735" s="455" t="str">
        <f t="shared" si="345"/>
        <v/>
      </c>
      <c r="K735" s="455">
        <f t="shared" si="321"/>
        <v>0</v>
      </c>
      <c r="L735" s="455">
        <f t="shared" si="346"/>
        <v>0</v>
      </c>
      <c r="M735" s="389" t="str">
        <f>IFERROR(IF(AD735&lt;=VLOOKUP(D735,Tournaments!$A$1:$B$1772,2,FALSE),"TRUE","FALSE"),"")</f>
        <v/>
      </c>
      <c r="N735" s="389">
        <v>1</v>
      </c>
      <c r="O735" s="389">
        <f t="shared" si="322"/>
        <v>0</v>
      </c>
      <c r="Q735" s="389">
        <f t="shared" si="323"/>
        <v>0</v>
      </c>
      <c r="R735" s="389">
        <f t="shared" si="324"/>
        <v>0</v>
      </c>
      <c r="S735" s="389">
        <f t="shared" si="325"/>
        <v>0</v>
      </c>
      <c r="U735" s="389">
        <f t="shared" si="326"/>
        <v>0</v>
      </c>
      <c r="V735" s="389" t="b">
        <f t="shared" si="327"/>
        <v>0</v>
      </c>
      <c r="W735" s="389">
        <f t="shared" si="328"/>
        <v>0</v>
      </c>
      <c r="X735" s="389">
        <f t="shared" si="329"/>
        <v>0</v>
      </c>
      <c r="Y735" s="389">
        <f t="shared" si="347"/>
        <v>1.0999999999999999E-2</v>
      </c>
      <c r="Z735" s="389">
        <f t="shared" si="330"/>
        <v>1.0999999999999999E-2</v>
      </c>
      <c r="AA735" s="389">
        <f t="shared" si="331"/>
        <v>0</v>
      </c>
      <c r="AB735" s="389">
        <f t="shared" si="332"/>
        <v>1E-4</v>
      </c>
      <c r="AC735" s="389">
        <f t="shared" si="333"/>
        <v>1E-4</v>
      </c>
      <c r="AD735" s="389">
        <f t="shared" si="334"/>
        <v>0</v>
      </c>
      <c r="AE735" s="389">
        <f t="shared" si="335"/>
        <v>0</v>
      </c>
      <c r="AG735" s="311" t="str">
        <f t="shared" si="336"/>
        <v>-</v>
      </c>
      <c r="AH735" s="453" t="str">
        <f t="shared" si="337"/>
        <v/>
      </c>
      <c r="AI735" s="453" t="str">
        <f t="shared" si="338"/>
        <v/>
      </c>
      <c r="AJ735" t="str">
        <f t="array" ref="AJ735">IF(AND(AI735&gt;1,G735&lt;&gt;""),INDEX(FS_teams,MATCH(1,(FS_Keys=AG735)*(FS_Points=I735)*(FS_teams&lt;&gt;G735),0)),"")</f>
        <v/>
      </c>
      <c r="AK735" s="390" t="str">
        <f t="array" ref="AK735">IF(AJ735&lt;&gt;"",INDEX(TM_Score1,MATCH(1,(TM_Events=D735)*(TM_Participant1=G735)*(TM_Participant2=AJ735),0)),"")</f>
        <v/>
      </c>
      <c r="AL735" s="390" t="str">
        <f t="array" ref="AL735">IF(AJ735&lt;&gt;"",INDEX(TM_Score1,MATCH(1,(TM_Events=D735)*(TM_Participant1=AJ735)*(TM_Participant2=G735),0)),"")</f>
        <v/>
      </c>
      <c r="AM735" s="389" t="str">
        <f t="array" ref="AM735">IF(ISNUMBER(AK735),INDEX(TM_Score2,MATCH(1,(TM_Events=D735)*(TM_Participant1=G735)*(TM_Participant2=AJ735),0)),"")</f>
        <v/>
      </c>
      <c r="AN735" s="389" t="str">
        <f t="array" ref="AN735">IF(ISNUMBER(AL735),INDEX(TM_Score2,MATCH(1,(TM_Events=D735)*(TM_Participant1=AJ735)*(TM_Participant2=G735),0)),"")</f>
        <v/>
      </c>
      <c r="AO735" s="389" t="str">
        <f t="shared" si="339"/>
        <v/>
      </c>
      <c r="AP735" s="389">
        <f t="shared" si="340"/>
        <v>0</v>
      </c>
      <c r="AQ735" s="389">
        <f t="shared" si="341"/>
        <v>0</v>
      </c>
      <c r="AR735" s="389">
        <f t="shared" si="342"/>
        <v>0</v>
      </c>
      <c r="AS735" s="453">
        <f t="shared" si="343"/>
        <v>0</v>
      </c>
      <c r="AT735" s="452">
        <f t="shared" si="344"/>
        <v>0</v>
      </c>
    </row>
    <row r="736" spans="2:46" ht="16" x14ac:dyDescent="0.2">
      <c r="B736"/>
      <c r="H736" s="387" t="str">
        <f t="shared" si="319"/>
        <v>0-0-0</v>
      </c>
      <c r="I736" s="389">
        <f t="shared" si="320"/>
        <v>0</v>
      </c>
      <c r="J736" s="455" t="str">
        <f t="shared" si="345"/>
        <v/>
      </c>
      <c r="K736" s="455">
        <f t="shared" si="321"/>
        <v>0</v>
      </c>
      <c r="L736" s="455">
        <f t="shared" si="346"/>
        <v>0</v>
      </c>
      <c r="M736" s="389" t="str">
        <f>IFERROR(IF(AD736&lt;=VLOOKUP(D736,Tournaments!$A$1:$B$1772,2,FALSE),"TRUE","FALSE"),"")</f>
        <v/>
      </c>
      <c r="N736" s="389">
        <v>1</v>
      </c>
      <c r="O736" s="389">
        <f t="shared" si="322"/>
        <v>0</v>
      </c>
      <c r="Q736" s="389">
        <f t="shared" si="323"/>
        <v>0</v>
      </c>
      <c r="R736" s="389">
        <f t="shared" si="324"/>
        <v>0</v>
      </c>
      <c r="S736" s="389">
        <f t="shared" si="325"/>
        <v>0</v>
      </c>
      <c r="U736" s="389">
        <f t="shared" si="326"/>
        <v>0</v>
      </c>
      <c r="V736" s="389" t="b">
        <f t="shared" si="327"/>
        <v>0</v>
      </c>
      <c r="W736" s="389">
        <f t="shared" si="328"/>
        <v>0</v>
      </c>
      <c r="X736" s="389">
        <f t="shared" si="329"/>
        <v>0</v>
      </c>
      <c r="Y736" s="389">
        <f t="shared" si="347"/>
        <v>1.0999999999999999E-2</v>
      </c>
      <c r="Z736" s="389">
        <f t="shared" si="330"/>
        <v>1.0999999999999999E-2</v>
      </c>
      <c r="AA736" s="389">
        <f t="shared" si="331"/>
        <v>0</v>
      </c>
      <c r="AB736" s="389">
        <f t="shared" si="332"/>
        <v>1E-4</v>
      </c>
      <c r="AC736" s="389">
        <f t="shared" si="333"/>
        <v>1E-4</v>
      </c>
      <c r="AD736" s="389">
        <f t="shared" si="334"/>
        <v>0</v>
      </c>
      <c r="AE736" s="389">
        <f t="shared" si="335"/>
        <v>0</v>
      </c>
      <c r="AG736" s="311" t="str">
        <f t="shared" si="336"/>
        <v>-</v>
      </c>
      <c r="AH736" s="453" t="str">
        <f t="shared" si="337"/>
        <v/>
      </c>
      <c r="AI736" s="453" t="str">
        <f t="shared" si="338"/>
        <v/>
      </c>
      <c r="AJ736" t="str">
        <f t="array" ref="AJ736">IF(AND(AI736&gt;1,G736&lt;&gt;""),INDEX(FS_teams,MATCH(1,(FS_Keys=AG736)*(FS_Points=I736)*(FS_teams&lt;&gt;G736),0)),"")</f>
        <v/>
      </c>
      <c r="AK736" s="390" t="str">
        <f t="array" ref="AK736">IF(AJ736&lt;&gt;"",INDEX(TM_Score1,MATCH(1,(TM_Events=D736)*(TM_Participant1=G736)*(TM_Participant2=AJ736),0)),"")</f>
        <v/>
      </c>
      <c r="AL736" s="390" t="str">
        <f t="array" ref="AL736">IF(AJ736&lt;&gt;"",INDEX(TM_Score1,MATCH(1,(TM_Events=D736)*(TM_Participant1=AJ736)*(TM_Participant2=G736),0)),"")</f>
        <v/>
      </c>
      <c r="AM736" s="389" t="str">
        <f t="array" ref="AM736">IF(ISNUMBER(AK736),INDEX(TM_Score2,MATCH(1,(TM_Events=D736)*(TM_Participant1=G736)*(TM_Participant2=AJ736),0)),"")</f>
        <v/>
      </c>
      <c r="AN736" s="389" t="str">
        <f t="array" ref="AN736">IF(ISNUMBER(AL736),INDEX(TM_Score2,MATCH(1,(TM_Events=D736)*(TM_Participant1=AJ736)*(TM_Participant2=G736),0)),"")</f>
        <v/>
      </c>
      <c r="AO736" s="389" t="str">
        <f t="shared" si="339"/>
        <v/>
      </c>
      <c r="AP736" s="389">
        <f t="shared" si="340"/>
        <v>0</v>
      </c>
      <c r="AQ736" s="389">
        <f t="shared" si="341"/>
        <v>0</v>
      </c>
      <c r="AR736" s="389">
        <f t="shared" si="342"/>
        <v>0</v>
      </c>
      <c r="AS736" s="453">
        <f t="shared" si="343"/>
        <v>0</v>
      </c>
      <c r="AT736" s="452">
        <f t="shared" si="344"/>
        <v>0</v>
      </c>
    </row>
    <row r="737" spans="2:46" ht="16" x14ac:dyDescent="0.2">
      <c r="B737"/>
      <c r="H737" s="387" t="str">
        <f t="shared" si="319"/>
        <v>0-0-0</v>
      </c>
      <c r="I737" s="389">
        <f t="shared" si="320"/>
        <v>0</v>
      </c>
      <c r="J737" s="455" t="str">
        <f t="shared" si="345"/>
        <v/>
      </c>
      <c r="K737" s="455">
        <f t="shared" si="321"/>
        <v>0</v>
      </c>
      <c r="L737" s="455">
        <f t="shared" si="346"/>
        <v>0</v>
      </c>
      <c r="M737" s="389" t="str">
        <f>IFERROR(IF(AD737&lt;=VLOOKUP(D737,Tournaments!$A$1:$B$1772,2,FALSE),"TRUE","FALSE"),"")</f>
        <v/>
      </c>
      <c r="N737" s="389">
        <v>1</v>
      </c>
      <c r="O737" s="389">
        <f t="shared" si="322"/>
        <v>0</v>
      </c>
      <c r="Q737" s="389">
        <f t="shared" si="323"/>
        <v>0</v>
      </c>
      <c r="R737" s="389">
        <f t="shared" si="324"/>
        <v>0</v>
      </c>
      <c r="S737" s="389">
        <f t="shared" si="325"/>
        <v>0</v>
      </c>
      <c r="U737" s="389">
        <f t="shared" si="326"/>
        <v>0</v>
      </c>
      <c r="V737" s="389" t="b">
        <f t="shared" si="327"/>
        <v>0</v>
      </c>
      <c r="W737" s="389">
        <f t="shared" si="328"/>
        <v>0</v>
      </c>
      <c r="X737" s="389">
        <f t="shared" si="329"/>
        <v>0</v>
      </c>
      <c r="Y737" s="389">
        <f t="shared" si="347"/>
        <v>1.0999999999999999E-2</v>
      </c>
      <c r="Z737" s="389">
        <f t="shared" si="330"/>
        <v>1.0999999999999999E-2</v>
      </c>
      <c r="AA737" s="389">
        <f t="shared" si="331"/>
        <v>0</v>
      </c>
      <c r="AB737" s="389">
        <f t="shared" si="332"/>
        <v>1E-4</v>
      </c>
      <c r="AC737" s="389">
        <f t="shared" si="333"/>
        <v>1E-4</v>
      </c>
      <c r="AD737" s="389">
        <f t="shared" si="334"/>
        <v>0</v>
      </c>
      <c r="AE737" s="389">
        <f t="shared" si="335"/>
        <v>0</v>
      </c>
      <c r="AG737" s="311" t="str">
        <f t="shared" si="336"/>
        <v>-</v>
      </c>
      <c r="AH737" s="453" t="str">
        <f t="shared" si="337"/>
        <v/>
      </c>
      <c r="AI737" s="453" t="str">
        <f t="shared" si="338"/>
        <v/>
      </c>
      <c r="AJ737" t="str">
        <f t="array" ref="AJ737">IF(AND(AI737&gt;1,G737&lt;&gt;""),INDEX(FS_teams,MATCH(1,(FS_Keys=AG737)*(FS_Points=I737)*(FS_teams&lt;&gt;G737),0)),"")</f>
        <v/>
      </c>
      <c r="AK737" s="390" t="str">
        <f t="array" ref="AK737">IF(AJ737&lt;&gt;"",INDEX(TM_Score1,MATCH(1,(TM_Events=D737)*(TM_Participant1=G737)*(TM_Participant2=AJ737),0)),"")</f>
        <v/>
      </c>
      <c r="AL737" s="390" t="str">
        <f t="array" ref="AL737">IF(AJ737&lt;&gt;"",INDEX(TM_Score1,MATCH(1,(TM_Events=D737)*(TM_Participant1=AJ737)*(TM_Participant2=G737),0)),"")</f>
        <v/>
      </c>
      <c r="AM737" s="389" t="str">
        <f t="array" ref="AM737">IF(ISNUMBER(AK737),INDEX(TM_Score2,MATCH(1,(TM_Events=D737)*(TM_Participant1=G737)*(TM_Participant2=AJ737),0)),"")</f>
        <v/>
      </c>
      <c r="AN737" s="389" t="str">
        <f t="array" ref="AN737">IF(ISNUMBER(AL737),INDEX(TM_Score2,MATCH(1,(TM_Events=D737)*(TM_Participant1=AJ737)*(TM_Participant2=G737),0)),"")</f>
        <v/>
      </c>
      <c r="AO737" s="389" t="str">
        <f t="shared" si="339"/>
        <v/>
      </c>
      <c r="AP737" s="389">
        <f t="shared" si="340"/>
        <v>0</v>
      </c>
      <c r="AQ737" s="389">
        <f t="shared" si="341"/>
        <v>0</v>
      </c>
      <c r="AR737" s="389">
        <f t="shared" si="342"/>
        <v>0</v>
      </c>
      <c r="AS737" s="453">
        <f t="shared" si="343"/>
        <v>0</v>
      </c>
      <c r="AT737" s="452">
        <f t="shared" si="344"/>
        <v>0</v>
      </c>
    </row>
    <row r="738" spans="2:46" ht="16" x14ac:dyDescent="0.2">
      <c r="B738"/>
      <c r="H738" s="387" t="str">
        <f t="shared" si="319"/>
        <v>0-0-0</v>
      </c>
      <c r="I738" s="389">
        <f t="shared" si="320"/>
        <v>0</v>
      </c>
      <c r="J738" s="455" t="str">
        <f t="shared" si="345"/>
        <v/>
      </c>
      <c r="K738" s="455">
        <f t="shared" si="321"/>
        <v>0</v>
      </c>
      <c r="L738" s="455">
        <f t="shared" si="346"/>
        <v>0</v>
      </c>
      <c r="M738" s="389" t="str">
        <f>IFERROR(IF(AD738&lt;=VLOOKUP(D738,Tournaments!$A$1:$B$1772,2,FALSE),"TRUE","FALSE"),"")</f>
        <v/>
      </c>
      <c r="N738" s="389">
        <v>1</v>
      </c>
      <c r="O738" s="389">
        <f t="shared" si="322"/>
        <v>0</v>
      </c>
      <c r="Q738" s="389">
        <f t="shared" si="323"/>
        <v>0</v>
      </c>
      <c r="R738" s="389">
        <f t="shared" si="324"/>
        <v>0</v>
      </c>
      <c r="S738" s="389">
        <f t="shared" si="325"/>
        <v>0</v>
      </c>
      <c r="U738" s="389">
        <f t="shared" si="326"/>
        <v>0</v>
      </c>
      <c r="V738" s="389" t="b">
        <f t="shared" si="327"/>
        <v>0</v>
      </c>
      <c r="W738" s="389">
        <f t="shared" si="328"/>
        <v>0</v>
      </c>
      <c r="X738" s="389">
        <f t="shared" si="329"/>
        <v>0</v>
      </c>
      <c r="Y738" s="389">
        <f t="shared" si="347"/>
        <v>1.0999999999999999E-2</v>
      </c>
      <c r="Z738" s="389">
        <f t="shared" si="330"/>
        <v>1.0999999999999999E-2</v>
      </c>
      <c r="AA738" s="389">
        <f t="shared" si="331"/>
        <v>0</v>
      </c>
      <c r="AB738" s="389">
        <f t="shared" si="332"/>
        <v>1E-4</v>
      </c>
      <c r="AC738" s="389">
        <f t="shared" si="333"/>
        <v>1E-4</v>
      </c>
      <c r="AD738" s="389">
        <f t="shared" si="334"/>
        <v>0</v>
      </c>
      <c r="AE738" s="389">
        <f t="shared" si="335"/>
        <v>0</v>
      </c>
      <c r="AG738" s="311" t="str">
        <f t="shared" si="336"/>
        <v>-</v>
      </c>
      <c r="AH738" s="453" t="str">
        <f t="shared" si="337"/>
        <v/>
      </c>
      <c r="AI738" s="453" t="str">
        <f t="shared" si="338"/>
        <v/>
      </c>
      <c r="AJ738" t="str">
        <f t="array" ref="AJ738">IF(AND(AI738&gt;1,G738&lt;&gt;""),INDEX(FS_teams,MATCH(1,(FS_Keys=AG738)*(FS_Points=I738)*(FS_teams&lt;&gt;G738),0)),"")</f>
        <v/>
      </c>
      <c r="AK738" s="390" t="str">
        <f t="array" ref="AK738">IF(AJ738&lt;&gt;"",INDEX(TM_Score1,MATCH(1,(TM_Events=D738)*(TM_Participant1=G738)*(TM_Participant2=AJ738),0)),"")</f>
        <v/>
      </c>
      <c r="AL738" s="390" t="str">
        <f t="array" ref="AL738">IF(AJ738&lt;&gt;"",INDEX(TM_Score1,MATCH(1,(TM_Events=D738)*(TM_Participant1=AJ738)*(TM_Participant2=G738),0)),"")</f>
        <v/>
      </c>
      <c r="AM738" s="389" t="str">
        <f t="array" ref="AM738">IF(ISNUMBER(AK738),INDEX(TM_Score2,MATCH(1,(TM_Events=D738)*(TM_Participant1=G738)*(TM_Participant2=AJ738),0)),"")</f>
        <v/>
      </c>
      <c r="AN738" s="389" t="str">
        <f t="array" ref="AN738">IF(ISNUMBER(AL738),INDEX(TM_Score2,MATCH(1,(TM_Events=D738)*(TM_Participant1=AJ738)*(TM_Participant2=G738),0)),"")</f>
        <v/>
      </c>
      <c r="AO738" s="389" t="str">
        <f t="shared" si="339"/>
        <v/>
      </c>
      <c r="AP738" s="389">
        <f t="shared" si="340"/>
        <v>0</v>
      </c>
      <c r="AQ738" s="389">
        <f t="shared" si="341"/>
        <v>0</v>
      </c>
      <c r="AR738" s="389">
        <f t="shared" si="342"/>
        <v>0</v>
      </c>
      <c r="AS738" s="453">
        <f t="shared" si="343"/>
        <v>0</v>
      </c>
      <c r="AT738" s="452">
        <f t="shared" si="344"/>
        <v>0</v>
      </c>
    </row>
    <row r="739" spans="2:46" ht="16" x14ac:dyDescent="0.2">
      <c r="B739"/>
      <c r="H739" s="387" t="str">
        <f t="shared" si="319"/>
        <v>0-0-0</v>
      </c>
      <c r="I739" s="389">
        <f t="shared" si="320"/>
        <v>0</v>
      </c>
      <c r="J739" s="455" t="str">
        <f t="shared" si="345"/>
        <v/>
      </c>
      <c r="K739" s="455">
        <f t="shared" si="321"/>
        <v>0</v>
      </c>
      <c r="L739" s="455">
        <f t="shared" si="346"/>
        <v>0</v>
      </c>
      <c r="M739" s="389" t="str">
        <f>IFERROR(IF(AD739&lt;=VLOOKUP(D739,Tournaments!$A$1:$B$1772,2,FALSE),"TRUE","FALSE"),"")</f>
        <v/>
      </c>
      <c r="N739" s="389">
        <v>1</v>
      </c>
      <c r="O739" s="389">
        <f t="shared" si="322"/>
        <v>0</v>
      </c>
      <c r="Q739" s="389">
        <f t="shared" si="323"/>
        <v>0</v>
      </c>
      <c r="R739" s="389">
        <f t="shared" si="324"/>
        <v>0</v>
      </c>
      <c r="S739" s="389">
        <f t="shared" si="325"/>
        <v>0</v>
      </c>
      <c r="U739" s="389">
        <f t="shared" si="326"/>
        <v>0</v>
      </c>
      <c r="V739" s="389" t="b">
        <f t="shared" si="327"/>
        <v>0</v>
      </c>
      <c r="W739" s="389">
        <f t="shared" si="328"/>
        <v>0</v>
      </c>
      <c r="X739" s="389">
        <f t="shared" si="329"/>
        <v>0</v>
      </c>
      <c r="Y739" s="389">
        <f t="shared" si="347"/>
        <v>1.0999999999999999E-2</v>
      </c>
      <c r="Z739" s="389">
        <f t="shared" si="330"/>
        <v>1.0999999999999999E-2</v>
      </c>
      <c r="AA739" s="389">
        <f t="shared" si="331"/>
        <v>0</v>
      </c>
      <c r="AB739" s="389">
        <f t="shared" si="332"/>
        <v>1E-4</v>
      </c>
      <c r="AC739" s="389">
        <f t="shared" si="333"/>
        <v>1E-4</v>
      </c>
      <c r="AD739" s="389">
        <f t="shared" si="334"/>
        <v>0</v>
      </c>
      <c r="AE739" s="389">
        <f t="shared" si="335"/>
        <v>0</v>
      </c>
      <c r="AG739" s="311" t="str">
        <f t="shared" si="336"/>
        <v>-</v>
      </c>
      <c r="AH739" s="453" t="str">
        <f t="shared" si="337"/>
        <v/>
      </c>
      <c r="AI739" s="453" t="str">
        <f t="shared" si="338"/>
        <v/>
      </c>
      <c r="AJ739" t="str">
        <f t="array" ref="AJ739">IF(AND(AI739&gt;1,G739&lt;&gt;""),INDEX(FS_teams,MATCH(1,(FS_Keys=AG739)*(FS_Points=I739)*(FS_teams&lt;&gt;G739),0)),"")</f>
        <v/>
      </c>
      <c r="AK739" s="390" t="str">
        <f t="array" ref="AK739">IF(AJ739&lt;&gt;"",INDEX(TM_Score1,MATCH(1,(TM_Events=D739)*(TM_Participant1=G739)*(TM_Participant2=AJ739),0)),"")</f>
        <v/>
      </c>
      <c r="AL739" s="390" t="str">
        <f t="array" ref="AL739">IF(AJ739&lt;&gt;"",INDEX(TM_Score1,MATCH(1,(TM_Events=D739)*(TM_Participant1=AJ739)*(TM_Participant2=G739),0)),"")</f>
        <v/>
      </c>
      <c r="AM739" s="389" t="str">
        <f t="array" ref="AM739">IF(ISNUMBER(AK739),INDEX(TM_Score2,MATCH(1,(TM_Events=D739)*(TM_Participant1=G739)*(TM_Participant2=AJ739),0)),"")</f>
        <v/>
      </c>
      <c r="AN739" s="389" t="str">
        <f t="array" ref="AN739">IF(ISNUMBER(AL739),INDEX(TM_Score2,MATCH(1,(TM_Events=D739)*(TM_Participant1=AJ739)*(TM_Participant2=G739),0)),"")</f>
        <v/>
      </c>
      <c r="AO739" s="389" t="str">
        <f t="shared" si="339"/>
        <v/>
      </c>
      <c r="AP739" s="389">
        <f t="shared" si="340"/>
        <v>0</v>
      </c>
      <c r="AQ739" s="389">
        <f t="shared" si="341"/>
        <v>0</v>
      </c>
      <c r="AR739" s="389">
        <f t="shared" si="342"/>
        <v>0</v>
      </c>
      <c r="AS739" s="453">
        <f t="shared" si="343"/>
        <v>0</v>
      </c>
      <c r="AT739" s="452">
        <f t="shared" si="344"/>
        <v>0</v>
      </c>
    </row>
    <row r="740" spans="2:46" ht="16" x14ac:dyDescent="0.2">
      <c r="B740"/>
      <c r="H740" s="387" t="str">
        <f t="shared" si="319"/>
        <v>0-0-0</v>
      </c>
      <c r="I740" s="389">
        <f t="shared" si="320"/>
        <v>0</v>
      </c>
      <c r="J740" s="455" t="str">
        <f t="shared" si="345"/>
        <v/>
      </c>
      <c r="K740" s="455">
        <f t="shared" si="321"/>
        <v>0</v>
      </c>
      <c r="L740" s="455">
        <f t="shared" si="346"/>
        <v>0</v>
      </c>
      <c r="M740" s="389" t="str">
        <f>IFERROR(IF(AD740&lt;=VLOOKUP(D740,Tournaments!$A$1:$B$1772,2,FALSE),"TRUE","FALSE"),"")</f>
        <v/>
      </c>
      <c r="N740" s="389">
        <v>1</v>
      </c>
      <c r="O740" s="389">
        <f t="shared" si="322"/>
        <v>0</v>
      </c>
      <c r="Q740" s="389">
        <f t="shared" si="323"/>
        <v>0</v>
      </c>
      <c r="R740" s="389">
        <f t="shared" si="324"/>
        <v>0</v>
      </c>
      <c r="S740" s="389">
        <f t="shared" si="325"/>
        <v>0</v>
      </c>
      <c r="U740" s="389">
        <f t="shared" si="326"/>
        <v>0</v>
      </c>
      <c r="V740" s="389" t="b">
        <f t="shared" si="327"/>
        <v>0</v>
      </c>
      <c r="W740" s="389">
        <f t="shared" si="328"/>
        <v>0</v>
      </c>
      <c r="X740" s="389">
        <f t="shared" si="329"/>
        <v>0</v>
      </c>
      <c r="Y740" s="389">
        <f t="shared" si="347"/>
        <v>1.0999999999999999E-2</v>
      </c>
      <c r="Z740" s="389">
        <f t="shared" si="330"/>
        <v>1.0999999999999999E-2</v>
      </c>
      <c r="AA740" s="389">
        <f t="shared" si="331"/>
        <v>0</v>
      </c>
      <c r="AB740" s="389">
        <f t="shared" si="332"/>
        <v>1E-4</v>
      </c>
      <c r="AC740" s="389">
        <f t="shared" si="333"/>
        <v>1E-4</v>
      </c>
      <c r="AD740" s="389">
        <f t="shared" si="334"/>
        <v>0</v>
      </c>
      <c r="AE740" s="389">
        <f t="shared" si="335"/>
        <v>0</v>
      </c>
      <c r="AG740" s="311" t="str">
        <f t="shared" si="336"/>
        <v>-</v>
      </c>
      <c r="AH740" s="453" t="str">
        <f t="shared" si="337"/>
        <v/>
      </c>
      <c r="AI740" s="453" t="str">
        <f t="shared" si="338"/>
        <v/>
      </c>
      <c r="AJ740" t="str">
        <f t="array" ref="AJ740">IF(AND(AI740&gt;1,G740&lt;&gt;""),INDEX(FS_teams,MATCH(1,(FS_Keys=AG740)*(FS_Points=I740)*(FS_teams&lt;&gt;G740),0)),"")</f>
        <v/>
      </c>
      <c r="AK740" s="390" t="str">
        <f t="array" ref="AK740">IF(AJ740&lt;&gt;"",INDEX(TM_Score1,MATCH(1,(TM_Events=D740)*(TM_Participant1=G740)*(TM_Participant2=AJ740),0)),"")</f>
        <v/>
      </c>
      <c r="AL740" s="390" t="str">
        <f t="array" ref="AL740">IF(AJ740&lt;&gt;"",INDEX(TM_Score1,MATCH(1,(TM_Events=D740)*(TM_Participant1=AJ740)*(TM_Participant2=G740),0)),"")</f>
        <v/>
      </c>
      <c r="AM740" s="389" t="str">
        <f t="array" ref="AM740">IF(ISNUMBER(AK740),INDEX(TM_Score2,MATCH(1,(TM_Events=D740)*(TM_Participant1=G740)*(TM_Participant2=AJ740),0)),"")</f>
        <v/>
      </c>
      <c r="AN740" s="389" t="str">
        <f t="array" ref="AN740">IF(ISNUMBER(AL740),INDEX(TM_Score2,MATCH(1,(TM_Events=D740)*(TM_Participant1=AJ740)*(TM_Participant2=G740),0)),"")</f>
        <v/>
      </c>
      <c r="AO740" s="389" t="str">
        <f t="shared" si="339"/>
        <v/>
      </c>
      <c r="AP740" s="389">
        <f t="shared" si="340"/>
        <v>0</v>
      </c>
      <c r="AQ740" s="389">
        <f t="shared" si="341"/>
        <v>0</v>
      </c>
      <c r="AR740" s="389">
        <f t="shared" si="342"/>
        <v>0</v>
      </c>
      <c r="AS740" s="453">
        <f t="shared" si="343"/>
        <v>0</v>
      </c>
      <c r="AT740" s="452">
        <f t="shared" si="344"/>
        <v>0</v>
      </c>
    </row>
    <row r="741" spans="2:46" ht="16" x14ac:dyDescent="0.2">
      <c r="B741"/>
      <c r="H741" s="387" t="str">
        <f t="shared" si="319"/>
        <v>0-0-0</v>
      </c>
      <c r="I741" s="389">
        <f t="shared" si="320"/>
        <v>0</v>
      </c>
      <c r="J741" s="455" t="str">
        <f t="shared" si="345"/>
        <v/>
      </c>
      <c r="K741" s="455">
        <f t="shared" si="321"/>
        <v>0</v>
      </c>
      <c r="L741" s="455">
        <f t="shared" si="346"/>
        <v>0</v>
      </c>
      <c r="M741" s="389" t="str">
        <f>IFERROR(IF(AD741&lt;=VLOOKUP(D741,Tournaments!$A$1:$B$1772,2,FALSE),"TRUE","FALSE"),"")</f>
        <v/>
      </c>
      <c r="N741" s="389">
        <v>1</v>
      </c>
      <c r="O741" s="389">
        <f t="shared" si="322"/>
        <v>0</v>
      </c>
      <c r="Q741" s="389">
        <f t="shared" si="323"/>
        <v>0</v>
      </c>
      <c r="R741" s="389">
        <f t="shared" si="324"/>
        <v>0</v>
      </c>
      <c r="S741" s="389">
        <f t="shared" si="325"/>
        <v>0</v>
      </c>
      <c r="U741" s="389">
        <f t="shared" si="326"/>
        <v>0</v>
      </c>
      <c r="V741" s="389" t="b">
        <f t="shared" si="327"/>
        <v>0</v>
      </c>
      <c r="W741" s="389">
        <f t="shared" si="328"/>
        <v>0</v>
      </c>
      <c r="X741" s="389">
        <f t="shared" si="329"/>
        <v>0</v>
      </c>
      <c r="Y741" s="389">
        <f t="shared" si="347"/>
        <v>1.0999999999999999E-2</v>
      </c>
      <c r="Z741" s="389">
        <f t="shared" si="330"/>
        <v>1.0999999999999999E-2</v>
      </c>
      <c r="AA741" s="389">
        <f t="shared" si="331"/>
        <v>0</v>
      </c>
      <c r="AB741" s="389">
        <f t="shared" si="332"/>
        <v>1E-4</v>
      </c>
      <c r="AC741" s="389">
        <f t="shared" si="333"/>
        <v>1E-4</v>
      </c>
      <c r="AD741" s="389">
        <f t="shared" si="334"/>
        <v>0</v>
      </c>
      <c r="AE741" s="389">
        <f t="shared" si="335"/>
        <v>0</v>
      </c>
      <c r="AG741" s="311" t="str">
        <f t="shared" si="336"/>
        <v>-</v>
      </c>
      <c r="AH741" s="453" t="str">
        <f t="shared" si="337"/>
        <v/>
      </c>
      <c r="AI741" s="453" t="str">
        <f t="shared" si="338"/>
        <v/>
      </c>
      <c r="AJ741" t="str">
        <f t="array" ref="AJ741">IF(AND(AI741&gt;1,G741&lt;&gt;""),INDEX(FS_teams,MATCH(1,(FS_Keys=AG741)*(FS_Points=I741)*(FS_teams&lt;&gt;G741),0)),"")</f>
        <v/>
      </c>
      <c r="AK741" s="390" t="str">
        <f t="array" ref="AK741">IF(AJ741&lt;&gt;"",INDEX(TM_Score1,MATCH(1,(TM_Events=D741)*(TM_Participant1=G741)*(TM_Participant2=AJ741),0)),"")</f>
        <v/>
      </c>
      <c r="AL741" s="390" t="str">
        <f t="array" ref="AL741">IF(AJ741&lt;&gt;"",INDEX(TM_Score1,MATCH(1,(TM_Events=D741)*(TM_Participant1=AJ741)*(TM_Participant2=G741),0)),"")</f>
        <v/>
      </c>
      <c r="AM741" s="389" t="str">
        <f t="array" ref="AM741">IF(ISNUMBER(AK741),INDEX(TM_Score2,MATCH(1,(TM_Events=D741)*(TM_Participant1=G741)*(TM_Participant2=AJ741),0)),"")</f>
        <v/>
      </c>
      <c r="AN741" s="389" t="str">
        <f t="array" ref="AN741">IF(ISNUMBER(AL741),INDEX(TM_Score2,MATCH(1,(TM_Events=D741)*(TM_Participant1=AJ741)*(TM_Participant2=G741),0)),"")</f>
        <v/>
      </c>
      <c r="AO741" s="389" t="str">
        <f t="shared" si="339"/>
        <v/>
      </c>
      <c r="AP741" s="389">
        <f t="shared" si="340"/>
        <v>0</v>
      </c>
      <c r="AQ741" s="389">
        <f t="shared" si="341"/>
        <v>0</v>
      </c>
      <c r="AR741" s="389">
        <f t="shared" si="342"/>
        <v>0</v>
      </c>
      <c r="AS741" s="453">
        <f t="shared" si="343"/>
        <v>0</v>
      </c>
      <c r="AT741" s="452">
        <f t="shared" si="344"/>
        <v>0</v>
      </c>
    </row>
    <row r="742" spans="2:46" ht="16" x14ac:dyDescent="0.2">
      <c r="B742"/>
      <c r="H742" s="387" t="str">
        <f t="shared" si="319"/>
        <v>0-0-0</v>
      </c>
      <c r="I742" s="389">
        <f t="shared" si="320"/>
        <v>0</v>
      </c>
      <c r="J742" s="455" t="str">
        <f t="shared" si="345"/>
        <v/>
      </c>
      <c r="K742" s="455">
        <f t="shared" si="321"/>
        <v>0</v>
      </c>
      <c r="L742" s="455">
        <f t="shared" si="346"/>
        <v>0</v>
      </c>
      <c r="M742" s="389" t="str">
        <f>IFERROR(IF(AD742&lt;=VLOOKUP(D742,Tournaments!$A$1:$B$1772,2,FALSE),"TRUE","FALSE"),"")</f>
        <v/>
      </c>
      <c r="N742" s="389">
        <v>1</v>
      </c>
      <c r="O742" s="389">
        <f t="shared" si="322"/>
        <v>0</v>
      </c>
      <c r="Q742" s="389">
        <f t="shared" si="323"/>
        <v>0</v>
      </c>
      <c r="R742" s="389">
        <f t="shared" si="324"/>
        <v>0</v>
      </c>
      <c r="S742" s="389">
        <f t="shared" si="325"/>
        <v>0</v>
      </c>
      <c r="U742" s="389">
        <f t="shared" si="326"/>
        <v>0</v>
      </c>
      <c r="V742" s="389" t="b">
        <f t="shared" si="327"/>
        <v>0</v>
      </c>
      <c r="W742" s="389">
        <f t="shared" si="328"/>
        <v>0</v>
      </c>
      <c r="X742" s="389">
        <f t="shared" si="329"/>
        <v>0</v>
      </c>
      <c r="Y742" s="389">
        <f t="shared" si="347"/>
        <v>1.0999999999999999E-2</v>
      </c>
      <c r="Z742" s="389">
        <f t="shared" si="330"/>
        <v>1.0999999999999999E-2</v>
      </c>
      <c r="AA742" s="389">
        <f t="shared" si="331"/>
        <v>0</v>
      </c>
      <c r="AB742" s="389">
        <f t="shared" si="332"/>
        <v>1E-4</v>
      </c>
      <c r="AC742" s="389">
        <f t="shared" si="333"/>
        <v>1E-4</v>
      </c>
      <c r="AD742" s="389">
        <f t="shared" si="334"/>
        <v>0</v>
      </c>
      <c r="AE742" s="389">
        <f t="shared" si="335"/>
        <v>0</v>
      </c>
      <c r="AG742" s="311" t="str">
        <f t="shared" si="336"/>
        <v>-</v>
      </c>
      <c r="AH742" s="453" t="str">
        <f t="shared" si="337"/>
        <v/>
      </c>
      <c r="AI742" s="453" t="str">
        <f t="shared" si="338"/>
        <v/>
      </c>
      <c r="AJ742" t="str">
        <f t="array" ref="AJ742">IF(AND(AI742&gt;1,G742&lt;&gt;""),INDEX(FS_teams,MATCH(1,(FS_Keys=AG742)*(FS_Points=I742)*(FS_teams&lt;&gt;G742),0)),"")</f>
        <v/>
      </c>
      <c r="AK742" s="390" t="str">
        <f t="array" ref="AK742">IF(AJ742&lt;&gt;"",INDEX(TM_Score1,MATCH(1,(TM_Events=D742)*(TM_Participant1=G742)*(TM_Participant2=AJ742),0)),"")</f>
        <v/>
      </c>
      <c r="AL742" s="390" t="str">
        <f t="array" ref="AL742">IF(AJ742&lt;&gt;"",INDEX(TM_Score1,MATCH(1,(TM_Events=D742)*(TM_Participant1=AJ742)*(TM_Participant2=G742),0)),"")</f>
        <v/>
      </c>
      <c r="AM742" s="389" t="str">
        <f t="array" ref="AM742">IF(ISNUMBER(AK742),INDEX(TM_Score2,MATCH(1,(TM_Events=D742)*(TM_Participant1=G742)*(TM_Participant2=AJ742),0)),"")</f>
        <v/>
      </c>
      <c r="AN742" s="389" t="str">
        <f t="array" ref="AN742">IF(ISNUMBER(AL742),INDEX(TM_Score2,MATCH(1,(TM_Events=D742)*(TM_Participant1=AJ742)*(TM_Participant2=G742),0)),"")</f>
        <v/>
      </c>
      <c r="AO742" s="389" t="str">
        <f t="shared" si="339"/>
        <v/>
      </c>
      <c r="AP742" s="389">
        <f t="shared" si="340"/>
        <v>0</v>
      </c>
      <c r="AQ742" s="389">
        <f t="shared" si="341"/>
        <v>0</v>
      </c>
      <c r="AR742" s="389">
        <f t="shared" si="342"/>
        <v>0</v>
      </c>
      <c r="AS742" s="453">
        <f t="shared" si="343"/>
        <v>0</v>
      </c>
      <c r="AT742" s="452">
        <f t="shared" si="344"/>
        <v>0</v>
      </c>
    </row>
    <row r="743" spans="2:46" ht="16" x14ac:dyDescent="0.2">
      <c r="B743"/>
      <c r="H743" s="387" t="str">
        <f t="shared" si="319"/>
        <v>0-0-0</v>
      </c>
      <c r="I743" s="389">
        <f t="shared" si="320"/>
        <v>0</v>
      </c>
      <c r="J743" s="455" t="str">
        <f t="shared" si="345"/>
        <v/>
      </c>
      <c r="K743" s="455">
        <f t="shared" si="321"/>
        <v>0</v>
      </c>
      <c r="L743" s="455">
        <f t="shared" si="346"/>
        <v>0</v>
      </c>
      <c r="M743" s="389" t="str">
        <f>IFERROR(IF(AD743&lt;=VLOOKUP(D743,Tournaments!$A$1:$B$1772,2,FALSE),"TRUE","FALSE"),"")</f>
        <v/>
      </c>
      <c r="N743" s="389">
        <v>1</v>
      </c>
      <c r="O743" s="389">
        <f t="shared" si="322"/>
        <v>0</v>
      </c>
      <c r="Q743" s="389">
        <f t="shared" si="323"/>
        <v>0</v>
      </c>
      <c r="R743" s="389">
        <f t="shared" si="324"/>
        <v>0</v>
      </c>
      <c r="S743" s="389">
        <f t="shared" si="325"/>
        <v>0</v>
      </c>
      <c r="U743" s="389">
        <f t="shared" si="326"/>
        <v>0</v>
      </c>
      <c r="V743" s="389" t="b">
        <f t="shared" si="327"/>
        <v>0</v>
      </c>
      <c r="W743" s="389">
        <f t="shared" si="328"/>
        <v>0</v>
      </c>
      <c r="X743" s="389">
        <f t="shared" si="329"/>
        <v>0</v>
      </c>
      <c r="Y743" s="389">
        <f t="shared" si="347"/>
        <v>1.0999999999999999E-2</v>
      </c>
      <c r="Z743" s="389">
        <f t="shared" si="330"/>
        <v>1.0999999999999999E-2</v>
      </c>
      <c r="AA743" s="389">
        <f t="shared" si="331"/>
        <v>0</v>
      </c>
      <c r="AB743" s="389">
        <f t="shared" si="332"/>
        <v>1E-4</v>
      </c>
      <c r="AC743" s="389">
        <f t="shared" si="333"/>
        <v>1E-4</v>
      </c>
      <c r="AD743" s="389">
        <f t="shared" si="334"/>
        <v>0</v>
      </c>
      <c r="AE743" s="389">
        <f t="shared" si="335"/>
        <v>0</v>
      </c>
      <c r="AG743" s="311" t="str">
        <f t="shared" si="336"/>
        <v>-</v>
      </c>
      <c r="AH743" s="453" t="str">
        <f t="shared" si="337"/>
        <v/>
      </c>
      <c r="AI743" s="453" t="str">
        <f t="shared" si="338"/>
        <v/>
      </c>
      <c r="AJ743" t="str">
        <f t="array" ref="AJ743">IF(AND(AI743&gt;1,G743&lt;&gt;""),INDEX(FS_teams,MATCH(1,(FS_Keys=AG743)*(FS_Points=I743)*(FS_teams&lt;&gt;G743),0)),"")</f>
        <v/>
      </c>
      <c r="AK743" s="390" t="str">
        <f t="array" ref="AK743">IF(AJ743&lt;&gt;"",INDEX(TM_Score1,MATCH(1,(TM_Events=D743)*(TM_Participant1=G743)*(TM_Participant2=AJ743),0)),"")</f>
        <v/>
      </c>
      <c r="AL743" s="390" t="str">
        <f t="array" ref="AL743">IF(AJ743&lt;&gt;"",INDEX(TM_Score1,MATCH(1,(TM_Events=D743)*(TM_Participant1=AJ743)*(TM_Participant2=G743),0)),"")</f>
        <v/>
      </c>
      <c r="AM743" s="389" t="str">
        <f t="array" ref="AM743">IF(ISNUMBER(AK743),INDEX(TM_Score2,MATCH(1,(TM_Events=D743)*(TM_Participant1=G743)*(TM_Participant2=AJ743),0)),"")</f>
        <v/>
      </c>
      <c r="AN743" s="389" t="str">
        <f t="array" ref="AN743">IF(ISNUMBER(AL743),INDEX(TM_Score2,MATCH(1,(TM_Events=D743)*(TM_Participant1=AJ743)*(TM_Participant2=G743),0)),"")</f>
        <v/>
      </c>
      <c r="AO743" s="389" t="str">
        <f t="shared" si="339"/>
        <v/>
      </c>
      <c r="AP743" s="389">
        <f t="shared" si="340"/>
        <v>0</v>
      </c>
      <c r="AQ743" s="389">
        <f t="shared" si="341"/>
        <v>0</v>
      </c>
      <c r="AR743" s="389">
        <f t="shared" si="342"/>
        <v>0</v>
      </c>
      <c r="AS743" s="453">
        <f t="shared" si="343"/>
        <v>0</v>
      </c>
      <c r="AT743" s="452">
        <f t="shared" si="344"/>
        <v>0</v>
      </c>
    </row>
    <row r="744" spans="2:46" ht="16" x14ac:dyDescent="0.2">
      <c r="B744"/>
      <c r="H744" s="387" t="str">
        <f t="shared" si="319"/>
        <v>0-0-0</v>
      </c>
      <c r="I744" s="389">
        <f t="shared" si="320"/>
        <v>0</v>
      </c>
      <c r="J744" s="455" t="str">
        <f t="shared" si="345"/>
        <v/>
      </c>
      <c r="K744" s="455">
        <f t="shared" si="321"/>
        <v>0</v>
      </c>
      <c r="L744" s="455">
        <f t="shared" si="346"/>
        <v>0</v>
      </c>
      <c r="M744" s="389" t="str">
        <f>IFERROR(IF(AD744&lt;=VLOOKUP(D744,Tournaments!$A$1:$B$1772,2,FALSE),"TRUE","FALSE"),"")</f>
        <v/>
      </c>
      <c r="N744" s="389">
        <v>1</v>
      </c>
      <c r="O744" s="389">
        <f t="shared" si="322"/>
        <v>0</v>
      </c>
      <c r="Q744" s="389">
        <f t="shared" si="323"/>
        <v>0</v>
      </c>
      <c r="R744" s="389">
        <f t="shared" si="324"/>
        <v>0</v>
      </c>
      <c r="S744" s="389">
        <f t="shared" si="325"/>
        <v>0</v>
      </c>
      <c r="U744" s="389">
        <f t="shared" si="326"/>
        <v>0</v>
      </c>
      <c r="V744" s="389" t="b">
        <f t="shared" si="327"/>
        <v>0</v>
      </c>
      <c r="W744" s="389">
        <f t="shared" si="328"/>
        <v>0</v>
      </c>
      <c r="X744" s="389">
        <f t="shared" si="329"/>
        <v>0</v>
      </c>
      <c r="Y744" s="389">
        <f t="shared" si="347"/>
        <v>1.0999999999999999E-2</v>
      </c>
      <c r="Z744" s="389">
        <f t="shared" si="330"/>
        <v>1.0999999999999999E-2</v>
      </c>
      <c r="AA744" s="389">
        <f t="shared" si="331"/>
        <v>0</v>
      </c>
      <c r="AB744" s="389">
        <f t="shared" si="332"/>
        <v>1E-4</v>
      </c>
      <c r="AC744" s="389">
        <f t="shared" si="333"/>
        <v>1E-4</v>
      </c>
      <c r="AD744" s="389">
        <f t="shared" si="334"/>
        <v>0</v>
      </c>
      <c r="AE744" s="389">
        <f t="shared" si="335"/>
        <v>0</v>
      </c>
      <c r="AG744" s="311" t="str">
        <f t="shared" si="336"/>
        <v>-</v>
      </c>
      <c r="AH744" s="453" t="str">
        <f t="shared" si="337"/>
        <v/>
      </c>
      <c r="AI744" s="453" t="str">
        <f t="shared" si="338"/>
        <v/>
      </c>
      <c r="AJ744" t="str">
        <f t="array" ref="AJ744">IF(AND(AI744&gt;1,G744&lt;&gt;""),INDEX(FS_teams,MATCH(1,(FS_Keys=AG744)*(FS_Points=I744)*(FS_teams&lt;&gt;G744),0)),"")</f>
        <v/>
      </c>
      <c r="AK744" s="390" t="str">
        <f t="array" ref="AK744">IF(AJ744&lt;&gt;"",INDEX(TM_Score1,MATCH(1,(TM_Events=D744)*(TM_Participant1=G744)*(TM_Participant2=AJ744),0)),"")</f>
        <v/>
      </c>
      <c r="AL744" s="390" t="str">
        <f t="array" ref="AL744">IF(AJ744&lt;&gt;"",INDEX(TM_Score1,MATCH(1,(TM_Events=D744)*(TM_Participant1=AJ744)*(TM_Participant2=G744),0)),"")</f>
        <v/>
      </c>
      <c r="AM744" s="389" t="str">
        <f t="array" ref="AM744">IF(ISNUMBER(AK744),INDEX(TM_Score2,MATCH(1,(TM_Events=D744)*(TM_Participant1=G744)*(TM_Participant2=AJ744),0)),"")</f>
        <v/>
      </c>
      <c r="AN744" s="389" t="str">
        <f t="array" ref="AN744">IF(ISNUMBER(AL744),INDEX(TM_Score2,MATCH(1,(TM_Events=D744)*(TM_Participant1=AJ744)*(TM_Participant2=G744),0)),"")</f>
        <v/>
      </c>
      <c r="AO744" s="389" t="str">
        <f t="shared" si="339"/>
        <v/>
      </c>
      <c r="AP744" s="389">
        <f t="shared" si="340"/>
        <v>0</v>
      </c>
      <c r="AQ744" s="389">
        <f t="shared" si="341"/>
        <v>0</v>
      </c>
      <c r="AR744" s="389">
        <f t="shared" si="342"/>
        <v>0</v>
      </c>
      <c r="AS744" s="453">
        <f t="shared" si="343"/>
        <v>0</v>
      </c>
      <c r="AT744" s="452">
        <f t="shared" si="344"/>
        <v>0</v>
      </c>
    </row>
    <row r="745" spans="2:46" ht="16" x14ac:dyDescent="0.2">
      <c r="B745"/>
      <c r="H745" s="387" t="str">
        <f t="shared" si="319"/>
        <v>0-0-0</v>
      </c>
      <c r="I745" s="389">
        <f t="shared" si="320"/>
        <v>0</v>
      </c>
      <c r="J745" s="455" t="str">
        <f t="shared" si="345"/>
        <v/>
      </c>
      <c r="K745" s="455">
        <f t="shared" si="321"/>
        <v>0</v>
      </c>
      <c r="L745" s="455">
        <f t="shared" si="346"/>
        <v>0</v>
      </c>
      <c r="M745" s="389" t="str">
        <f>IFERROR(IF(AD745&lt;=VLOOKUP(D745,Tournaments!$A$1:$B$1772,2,FALSE),"TRUE","FALSE"),"")</f>
        <v/>
      </c>
      <c r="N745" s="389">
        <v>1</v>
      </c>
      <c r="O745" s="389">
        <f t="shared" si="322"/>
        <v>0</v>
      </c>
      <c r="Q745" s="389">
        <f t="shared" si="323"/>
        <v>0</v>
      </c>
      <c r="R745" s="389">
        <f t="shared" si="324"/>
        <v>0</v>
      </c>
      <c r="S745" s="389">
        <f t="shared" si="325"/>
        <v>0</v>
      </c>
      <c r="U745" s="389">
        <f t="shared" si="326"/>
        <v>0</v>
      </c>
      <c r="V745" s="389" t="b">
        <f t="shared" si="327"/>
        <v>0</v>
      </c>
      <c r="W745" s="389">
        <f t="shared" si="328"/>
        <v>0</v>
      </c>
      <c r="X745" s="389">
        <f t="shared" si="329"/>
        <v>0</v>
      </c>
      <c r="Y745" s="389">
        <f t="shared" si="347"/>
        <v>1.0999999999999999E-2</v>
      </c>
      <c r="Z745" s="389">
        <f t="shared" si="330"/>
        <v>1.0999999999999999E-2</v>
      </c>
      <c r="AA745" s="389">
        <f t="shared" si="331"/>
        <v>0</v>
      </c>
      <c r="AB745" s="389">
        <f t="shared" si="332"/>
        <v>1E-4</v>
      </c>
      <c r="AC745" s="389">
        <f t="shared" si="333"/>
        <v>1E-4</v>
      </c>
      <c r="AD745" s="389">
        <f t="shared" si="334"/>
        <v>0</v>
      </c>
      <c r="AE745" s="389">
        <f t="shared" si="335"/>
        <v>0</v>
      </c>
      <c r="AG745" s="311" t="str">
        <f t="shared" si="336"/>
        <v>-</v>
      </c>
      <c r="AH745" s="453" t="str">
        <f t="shared" si="337"/>
        <v/>
      </c>
      <c r="AI745" s="453" t="str">
        <f t="shared" si="338"/>
        <v/>
      </c>
      <c r="AJ745" t="str">
        <f t="array" ref="AJ745">IF(AND(AI745&gt;1,G745&lt;&gt;""),INDEX(FS_teams,MATCH(1,(FS_Keys=AG745)*(FS_Points=I745)*(FS_teams&lt;&gt;G745),0)),"")</f>
        <v/>
      </c>
      <c r="AK745" s="390" t="str">
        <f t="array" ref="AK745">IF(AJ745&lt;&gt;"",INDEX(TM_Score1,MATCH(1,(TM_Events=D745)*(TM_Participant1=G745)*(TM_Participant2=AJ745),0)),"")</f>
        <v/>
      </c>
      <c r="AL745" s="390" t="str">
        <f t="array" ref="AL745">IF(AJ745&lt;&gt;"",INDEX(TM_Score1,MATCH(1,(TM_Events=D745)*(TM_Participant1=AJ745)*(TM_Participant2=G745),0)),"")</f>
        <v/>
      </c>
      <c r="AM745" s="389" t="str">
        <f t="array" ref="AM745">IF(ISNUMBER(AK745),INDEX(TM_Score2,MATCH(1,(TM_Events=D745)*(TM_Participant1=G745)*(TM_Participant2=AJ745),0)),"")</f>
        <v/>
      </c>
      <c r="AN745" s="389" t="str">
        <f t="array" ref="AN745">IF(ISNUMBER(AL745),INDEX(TM_Score2,MATCH(1,(TM_Events=D745)*(TM_Participant1=AJ745)*(TM_Participant2=G745),0)),"")</f>
        <v/>
      </c>
      <c r="AO745" s="389" t="str">
        <f t="shared" si="339"/>
        <v/>
      </c>
      <c r="AP745" s="389">
        <f t="shared" si="340"/>
        <v>0</v>
      </c>
      <c r="AQ745" s="389">
        <f t="shared" si="341"/>
        <v>0</v>
      </c>
      <c r="AR745" s="389">
        <f t="shared" si="342"/>
        <v>0</v>
      </c>
      <c r="AS745" s="453">
        <f t="shared" si="343"/>
        <v>0</v>
      </c>
      <c r="AT745" s="452">
        <f t="shared" si="344"/>
        <v>0</v>
      </c>
    </row>
    <row r="746" spans="2:46" ht="16" x14ac:dyDescent="0.2">
      <c r="B746"/>
      <c r="H746" s="387" t="str">
        <f t="shared" si="319"/>
        <v>0-0-0</v>
      </c>
      <c r="I746" s="389">
        <f t="shared" si="320"/>
        <v>0</v>
      </c>
      <c r="J746" s="455" t="str">
        <f t="shared" si="345"/>
        <v/>
      </c>
      <c r="K746" s="455">
        <f t="shared" si="321"/>
        <v>0</v>
      </c>
      <c r="L746" s="455">
        <f t="shared" si="346"/>
        <v>0</v>
      </c>
      <c r="M746" s="389" t="str">
        <f>IFERROR(IF(AD746&lt;=VLOOKUP(D746,Tournaments!$A$1:$B$1772,2,FALSE),"TRUE","FALSE"),"")</f>
        <v/>
      </c>
      <c r="N746" s="389">
        <v>1</v>
      </c>
      <c r="O746" s="389">
        <f t="shared" si="322"/>
        <v>0</v>
      </c>
      <c r="Q746" s="389">
        <f t="shared" si="323"/>
        <v>0</v>
      </c>
      <c r="R746" s="389">
        <f t="shared" si="324"/>
        <v>0</v>
      </c>
      <c r="S746" s="389">
        <f t="shared" si="325"/>
        <v>0</v>
      </c>
      <c r="U746" s="389">
        <f t="shared" si="326"/>
        <v>0</v>
      </c>
      <c r="V746" s="389" t="b">
        <f t="shared" si="327"/>
        <v>0</v>
      </c>
      <c r="W746" s="389">
        <f t="shared" si="328"/>
        <v>0</v>
      </c>
      <c r="X746" s="389">
        <f t="shared" si="329"/>
        <v>0</v>
      </c>
      <c r="Y746" s="389">
        <f t="shared" si="347"/>
        <v>1.0999999999999999E-2</v>
      </c>
      <c r="Z746" s="389">
        <f t="shared" si="330"/>
        <v>1.0999999999999999E-2</v>
      </c>
      <c r="AA746" s="389">
        <f t="shared" si="331"/>
        <v>0</v>
      </c>
      <c r="AB746" s="389">
        <f t="shared" si="332"/>
        <v>1E-4</v>
      </c>
      <c r="AC746" s="389">
        <f t="shared" si="333"/>
        <v>1E-4</v>
      </c>
      <c r="AD746" s="389">
        <f t="shared" si="334"/>
        <v>0</v>
      </c>
      <c r="AE746" s="389">
        <f t="shared" si="335"/>
        <v>0</v>
      </c>
      <c r="AG746" s="311" t="str">
        <f t="shared" si="336"/>
        <v>-</v>
      </c>
      <c r="AH746" s="453" t="str">
        <f t="shared" si="337"/>
        <v/>
      </c>
      <c r="AI746" s="453" t="str">
        <f t="shared" si="338"/>
        <v/>
      </c>
      <c r="AJ746" t="str">
        <f t="array" ref="AJ746">IF(AND(AI746&gt;1,G746&lt;&gt;""),INDEX(FS_teams,MATCH(1,(FS_Keys=AG746)*(FS_Points=I746)*(FS_teams&lt;&gt;G746),0)),"")</f>
        <v/>
      </c>
      <c r="AK746" s="390" t="str">
        <f t="array" ref="AK746">IF(AJ746&lt;&gt;"",INDEX(TM_Score1,MATCH(1,(TM_Events=D746)*(TM_Participant1=G746)*(TM_Participant2=AJ746),0)),"")</f>
        <v/>
      </c>
      <c r="AL746" s="390" t="str">
        <f t="array" ref="AL746">IF(AJ746&lt;&gt;"",INDEX(TM_Score1,MATCH(1,(TM_Events=D746)*(TM_Participant1=AJ746)*(TM_Participant2=G746),0)),"")</f>
        <v/>
      </c>
      <c r="AM746" s="389" t="str">
        <f t="array" ref="AM746">IF(ISNUMBER(AK746),INDEX(TM_Score2,MATCH(1,(TM_Events=D746)*(TM_Participant1=G746)*(TM_Participant2=AJ746),0)),"")</f>
        <v/>
      </c>
      <c r="AN746" s="389" t="str">
        <f t="array" ref="AN746">IF(ISNUMBER(AL746),INDEX(TM_Score2,MATCH(1,(TM_Events=D746)*(TM_Participant1=AJ746)*(TM_Participant2=G746),0)),"")</f>
        <v/>
      </c>
      <c r="AO746" s="389" t="str">
        <f t="shared" si="339"/>
        <v/>
      </c>
      <c r="AP746" s="389">
        <f t="shared" si="340"/>
        <v>0</v>
      </c>
      <c r="AQ746" s="389">
        <f t="shared" si="341"/>
        <v>0</v>
      </c>
      <c r="AR746" s="389">
        <f t="shared" si="342"/>
        <v>0</v>
      </c>
      <c r="AS746" s="453">
        <f t="shared" si="343"/>
        <v>0</v>
      </c>
      <c r="AT746" s="452">
        <f t="shared" si="344"/>
        <v>0</v>
      </c>
    </row>
    <row r="747" spans="2:46" ht="16" x14ac:dyDescent="0.2">
      <c r="B747"/>
      <c r="H747" s="387" t="str">
        <f t="shared" si="319"/>
        <v>0-0-0</v>
      </c>
      <c r="I747" s="389">
        <f t="shared" si="320"/>
        <v>0</v>
      </c>
      <c r="J747" s="455" t="str">
        <f t="shared" si="345"/>
        <v/>
      </c>
      <c r="K747" s="455">
        <f t="shared" si="321"/>
        <v>0</v>
      </c>
      <c r="L747" s="455">
        <f t="shared" si="346"/>
        <v>0</v>
      </c>
      <c r="M747" s="389" t="str">
        <f>IFERROR(IF(AD747&lt;=VLOOKUP(D747,Tournaments!$A$1:$B$1772,2,FALSE),"TRUE","FALSE"),"")</f>
        <v/>
      </c>
      <c r="N747" s="389">
        <v>1</v>
      </c>
      <c r="O747" s="389">
        <f t="shared" si="322"/>
        <v>0</v>
      </c>
      <c r="Q747" s="389">
        <f t="shared" si="323"/>
        <v>0</v>
      </c>
      <c r="R747" s="389">
        <f t="shared" si="324"/>
        <v>0</v>
      </c>
      <c r="S747" s="389">
        <f t="shared" si="325"/>
        <v>0</v>
      </c>
      <c r="U747" s="389">
        <f t="shared" si="326"/>
        <v>0</v>
      </c>
      <c r="V747" s="389" t="b">
        <f t="shared" si="327"/>
        <v>0</v>
      </c>
      <c r="W747" s="389">
        <f t="shared" si="328"/>
        <v>0</v>
      </c>
      <c r="X747" s="389">
        <f t="shared" si="329"/>
        <v>0</v>
      </c>
      <c r="Y747" s="389">
        <f t="shared" si="347"/>
        <v>1.0999999999999999E-2</v>
      </c>
      <c r="Z747" s="389">
        <f t="shared" si="330"/>
        <v>1.0999999999999999E-2</v>
      </c>
      <c r="AA747" s="389">
        <f t="shared" si="331"/>
        <v>0</v>
      </c>
      <c r="AB747" s="389">
        <f t="shared" si="332"/>
        <v>1E-4</v>
      </c>
      <c r="AC747" s="389">
        <f t="shared" si="333"/>
        <v>1E-4</v>
      </c>
      <c r="AD747" s="389">
        <f t="shared" si="334"/>
        <v>0</v>
      </c>
      <c r="AE747" s="389">
        <f t="shared" si="335"/>
        <v>0</v>
      </c>
      <c r="AG747" s="311" t="str">
        <f t="shared" si="336"/>
        <v>-</v>
      </c>
      <c r="AH747" s="453" t="str">
        <f t="shared" si="337"/>
        <v/>
      </c>
      <c r="AI747" s="453" t="str">
        <f t="shared" si="338"/>
        <v/>
      </c>
      <c r="AJ747" t="str">
        <f t="array" ref="AJ747">IF(AND(AI747&gt;1,G747&lt;&gt;""),INDEX(FS_teams,MATCH(1,(FS_Keys=AG747)*(FS_Points=I747)*(FS_teams&lt;&gt;G747),0)),"")</f>
        <v/>
      </c>
      <c r="AK747" s="390" t="str">
        <f t="array" ref="AK747">IF(AJ747&lt;&gt;"",INDEX(TM_Score1,MATCH(1,(TM_Events=D747)*(TM_Participant1=G747)*(TM_Participant2=AJ747),0)),"")</f>
        <v/>
      </c>
      <c r="AL747" s="390" t="str">
        <f t="array" ref="AL747">IF(AJ747&lt;&gt;"",INDEX(TM_Score1,MATCH(1,(TM_Events=D747)*(TM_Participant1=AJ747)*(TM_Participant2=G747),0)),"")</f>
        <v/>
      </c>
      <c r="AM747" s="389" t="str">
        <f t="array" ref="AM747">IF(ISNUMBER(AK747),INDEX(TM_Score2,MATCH(1,(TM_Events=D747)*(TM_Participant1=G747)*(TM_Participant2=AJ747),0)),"")</f>
        <v/>
      </c>
      <c r="AN747" s="389" t="str">
        <f t="array" ref="AN747">IF(ISNUMBER(AL747),INDEX(TM_Score2,MATCH(1,(TM_Events=D747)*(TM_Participant1=AJ747)*(TM_Participant2=G747),0)),"")</f>
        <v/>
      </c>
      <c r="AO747" s="389" t="str">
        <f t="shared" si="339"/>
        <v/>
      </c>
      <c r="AP747" s="389">
        <f t="shared" si="340"/>
        <v>0</v>
      </c>
      <c r="AQ747" s="389">
        <f t="shared" si="341"/>
        <v>0</v>
      </c>
      <c r="AR747" s="389">
        <f t="shared" si="342"/>
        <v>0</v>
      </c>
      <c r="AS747" s="453">
        <f t="shared" si="343"/>
        <v>0</v>
      </c>
      <c r="AT747" s="452">
        <f t="shared" si="344"/>
        <v>0</v>
      </c>
    </row>
    <row r="748" spans="2:46" ht="16" x14ac:dyDescent="0.2">
      <c r="B748"/>
      <c r="H748" s="387" t="str">
        <f t="shared" si="319"/>
        <v>0-0-0</v>
      </c>
      <c r="I748" s="389">
        <f t="shared" si="320"/>
        <v>0</v>
      </c>
      <c r="J748" s="455" t="str">
        <f t="shared" si="345"/>
        <v/>
      </c>
      <c r="K748" s="455">
        <f t="shared" si="321"/>
        <v>0</v>
      </c>
      <c r="L748" s="455">
        <f t="shared" si="346"/>
        <v>0</v>
      </c>
      <c r="M748" s="389" t="str">
        <f>IFERROR(IF(AD748&lt;=VLOOKUP(D748,Tournaments!$A$1:$B$1772,2,FALSE),"TRUE","FALSE"),"")</f>
        <v/>
      </c>
      <c r="N748" s="389">
        <v>1</v>
      </c>
      <c r="O748" s="389">
        <f t="shared" si="322"/>
        <v>0</v>
      </c>
      <c r="Q748" s="389">
        <f t="shared" si="323"/>
        <v>0</v>
      </c>
      <c r="R748" s="389">
        <f t="shared" si="324"/>
        <v>0</v>
      </c>
      <c r="S748" s="389">
        <f t="shared" si="325"/>
        <v>0</v>
      </c>
      <c r="U748" s="389">
        <f t="shared" si="326"/>
        <v>0</v>
      </c>
      <c r="V748" s="389" t="b">
        <f t="shared" si="327"/>
        <v>0</v>
      </c>
      <c r="W748" s="389">
        <f t="shared" si="328"/>
        <v>0</v>
      </c>
      <c r="X748" s="389">
        <f t="shared" si="329"/>
        <v>0</v>
      </c>
      <c r="Y748" s="389">
        <f t="shared" si="347"/>
        <v>1.0999999999999999E-2</v>
      </c>
      <c r="Z748" s="389">
        <f t="shared" si="330"/>
        <v>1.0999999999999999E-2</v>
      </c>
      <c r="AA748" s="389">
        <f t="shared" si="331"/>
        <v>0</v>
      </c>
      <c r="AB748" s="389">
        <f t="shared" si="332"/>
        <v>1E-4</v>
      </c>
      <c r="AC748" s="389">
        <f t="shared" si="333"/>
        <v>1E-4</v>
      </c>
      <c r="AD748" s="389">
        <f t="shared" si="334"/>
        <v>0</v>
      </c>
      <c r="AE748" s="389">
        <f t="shared" si="335"/>
        <v>0</v>
      </c>
      <c r="AG748" s="311" t="str">
        <f t="shared" si="336"/>
        <v>-</v>
      </c>
      <c r="AH748" s="453" t="str">
        <f t="shared" si="337"/>
        <v/>
      </c>
      <c r="AI748" s="453" t="str">
        <f t="shared" si="338"/>
        <v/>
      </c>
      <c r="AJ748" t="str">
        <f t="array" ref="AJ748">IF(AND(AI748&gt;1,G748&lt;&gt;""),INDEX(FS_teams,MATCH(1,(FS_Keys=AG748)*(FS_Points=I748)*(FS_teams&lt;&gt;G748),0)),"")</f>
        <v/>
      </c>
      <c r="AK748" s="390" t="str">
        <f t="array" ref="AK748">IF(AJ748&lt;&gt;"",INDEX(TM_Score1,MATCH(1,(TM_Events=D748)*(TM_Participant1=G748)*(TM_Participant2=AJ748),0)),"")</f>
        <v/>
      </c>
      <c r="AL748" s="390" t="str">
        <f t="array" ref="AL748">IF(AJ748&lt;&gt;"",INDEX(TM_Score1,MATCH(1,(TM_Events=D748)*(TM_Participant1=AJ748)*(TM_Participant2=G748),0)),"")</f>
        <v/>
      </c>
      <c r="AM748" s="389" t="str">
        <f t="array" ref="AM748">IF(ISNUMBER(AK748),INDEX(TM_Score2,MATCH(1,(TM_Events=D748)*(TM_Participant1=G748)*(TM_Participant2=AJ748),0)),"")</f>
        <v/>
      </c>
      <c r="AN748" s="389" t="str">
        <f t="array" ref="AN748">IF(ISNUMBER(AL748),INDEX(TM_Score2,MATCH(1,(TM_Events=D748)*(TM_Participant1=AJ748)*(TM_Participant2=G748),0)),"")</f>
        <v/>
      </c>
      <c r="AO748" s="389" t="str">
        <f t="shared" si="339"/>
        <v/>
      </c>
      <c r="AP748" s="389">
        <f t="shared" si="340"/>
        <v>0</v>
      </c>
      <c r="AQ748" s="389">
        <f t="shared" si="341"/>
        <v>0</v>
      </c>
      <c r="AR748" s="389">
        <f t="shared" si="342"/>
        <v>0</v>
      </c>
      <c r="AS748" s="453">
        <f t="shared" si="343"/>
        <v>0</v>
      </c>
      <c r="AT748" s="452">
        <f t="shared" si="344"/>
        <v>0</v>
      </c>
    </row>
    <row r="749" spans="2:46" ht="16" x14ac:dyDescent="0.2">
      <c r="B749"/>
      <c r="H749" s="387" t="str">
        <f t="shared" si="319"/>
        <v>0-0-0</v>
      </c>
      <c r="I749" s="389">
        <f t="shared" si="320"/>
        <v>0</v>
      </c>
      <c r="J749" s="455" t="str">
        <f t="shared" si="345"/>
        <v/>
      </c>
      <c r="K749" s="455">
        <f t="shared" si="321"/>
        <v>0</v>
      </c>
      <c r="L749" s="455">
        <f t="shared" si="346"/>
        <v>0</v>
      </c>
      <c r="M749" s="389" t="str">
        <f>IFERROR(IF(AD749&lt;=VLOOKUP(D749,Tournaments!$A$1:$B$1772,2,FALSE),"TRUE","FALSE"),"")</f>
        <v/>
      </c>
      <c r="N749" s="389">
        <v>1</v>
      </c>
      <c r="O749" s="389">
        <f t="shared" si="322"/>
        <v>0</v>
      </c>
      <c r="Q749" s="389">
        <f t="shared" si="323"/>
        <v>0</v>
      </c>
      <c r="R749" s="389">
        <f t="shared" si="324"/>
        <v>0</v>
      </c>
      <c r="S749" s="389">
        <f t="shared" si="325"/>
        <v>0</v>
      </c>
      <c r="U749" s="389">
        <f t="shared" si="326"/>
        <v>0</v>
      </c>
      <c r="V749" s="389" t="b">
        <f t="shared" si="327"/>
        <v>0</v>
      </c>
      <c r="W749" s="389">
        <f t="shared" si="328"/>
        <v>0</v>
      </c>
      <c r="X749" s="389">
        <f t="shared" si="329"/>
        <v>0</v>
      </c>
      <c r="Y749" s="389">
        <f t="shared" si="347"/>
        <v>1.0999999999999999E-2</v>
      </c>
      <c r="Z749" s="389">
        <f t="shared" si="330"/>
        <v>1.0999999999999999E-2</v>
      </c>
      <c r="AA749" s="389">
        <f t="shared" si="331"/>
        <v>0</v>
      </c>
      <c r="AB749" s="389">
        <f t="shared" si="332"/>
        <v>1E-4</v>
      </c>
      <c r="AC749" s="389">
        <f t="shared" si="333"/>
        <v>1E-4</v>
      </c>
      <c r="AD749" s="389">
        <f t="shared" si="334"/>
        <v>0</v>
      </c>
      <c r="AE749" s="389">
        <f t="shared" si="335"/>
        <v>0</v>
      </c>
      <c r="AG749" s="311" t="str">
        <f t="shared" si="336"/>
        <v>-</v>
      </c>
      <c r="AH749" s="453" t="str">
        <f t="shared" si="337"/>
        <v/>
      </c>
      <c r="AI749" s="453" t="str">
        <f t="shared" si="338"/>
        <v/>
      </c>
      <c r="AJ749" t="str">
        <f t="array" ref="AJ749">IF(AND(AI749&gt;1,G749&lt;&gt;""),INDEX(FS_teams,MATCH(1,(FS_Keys=AG749)*(FS_Points=I749)*(FS_teams&lt;&gt;G749),0)),"")</f>
        <v/>
      </c>
      <c r="AK749" s="390" t="str">
        <f t="array" ref="AK749">IF(AJ749&lt;&gt;"",INDEX(TM_Score1,MATCH(1,(TM_Events=D749)*(TM_Participant1=G749)*(TM_Participant2=AJ749),0)),"")</f>
        <v/>
      </c>
      <c r="AL749" s="390" t="str">
        <f t="array" ref="AL749">IF(AJ749&lt;&gt;"",INDEX(TM_Score1,MATCH(1,(TM_Events=D749)*(TM_Participant1=AJ749)*(TM_Participant2=G749),0)),"")</f>
        <v/>
      </c>
      <c r="AM749" s="389" t="str">
        <f t="array" ref="AM749">IF(ISNUMBER(AK749),INDEX(TM_Score2,MATCH(1,(TM_Events=D749)*(TM_Participant1=G749)*(TM_Participant2=AJ749),0)),"")</f>
        <v/>
      </c>
      <c r="AN749" s="389" t="str">
        <f t="array" ref="AN749">IF(ISNUMBER(AL749),INDEX(TM_Score2,MATCH(1,(TM_Events=D749)*(TM_Participant1=AJ749)*(TM_Participant2=G749),0)),"")</f>
        <v/>
      </c>
      <c r="AO749" s="389" t="str">
        <f t="shared" si="339"/>
        <v/>
      </c>
      <c r="AP749" s="389">
        <f t="shared" si="340"/>
        <v>0</v>
      </c>
      <c r="AQ749" s="389">
        <f t="shared" si="341"/>
        <v>0</v>
      </c>
      <c r="AR749" s="389">
        <f t="shared" si="342"/>
        <v>0</v>
      </c>
      <c r="AS749" s="453">
        <f t="shared" si="343"/>
        <v>0</v>
      </c>
      <c r="AT749" s="452">
        <f t="shared" si="344"/>
        <v>0</v>
      </c>
    </row>
    <row r="750" spans="2:46" ht="16" x14ac:dyDescent="0.2">
      <c r="B750"/>
      <c r="H750" s="387" t="str">
        <f t="shared" si="319"/>
        <v>0-0-0</v>
      </c>
      <c r="I750" s="389">
        <f t="shared" si="320"/>
        <v>0</v>
      </c>
      <c r="J750" s="455" t="str">
        <f t="shared" si="345"/>
        <v/>
      </c>
      <c r="K750" s="455">
        <f t="shared" si="321"/>
        <v>0</v>
      </c>
      <c r="L750" s="455">
        <f t="shared" si="346"/>
        <v>0</v>
      </c>
      <c r="M750" s="389" t="str">
        <f>IFERROR(IF(AD750&lt;=VLOOKUP(D750,Tournaments!$A$1:$B$1772,2,FALSE),"TRUE","FALSE"),"")</f>
        <v/>
      </c>
      <c r="N750" s="389">
        <v>1</v>
      </c>
      <c r="O750" s="389">
        <f t="shared" si="322"/>
        <v>0</v>
      </c>
      <c r="Q750" s="389">
        <f t="shared" si="323"/>
        <v>0</v>
      </c>
      <c r="R750" s="389">
        <f t="shared" si="324"/>
        <v>0</v>
      </c>
      <c r="S750" s="389">
        <f t="shared" si="325"/>
        <v>0</v>
      </c>
      <c r="U750" s="389">
        <f t="shared" si="326"/>
        <v>0</v>
      </c>
      <c r="V750" s="389" t="b">
        <f t="shared" si="327"/>
        <v>0</v>
      </c>
      <c r="W750" s="389">
        <f t="shared" si="328"/>
        <v>0</v>
      </c>
      <c r="X750" s="389">
        <f t="shared" si="329"/>
        <v>0</v>
      </c>
      <c r="Y750" s="389">
        <f t="shared" si="347"/>
        <v>1.0999999999999999E-2</v>
      </c>
      <c r="Z750" s="389">
        <f t="shared" si="330"/>
        <v>1.0999999999999999E-2</v>
      </c>
      <c r="AA750" s="389">
        <f t="shared" si="331"/>
        <v>0</v>
      </c>
      <c r="AB750" s="389">
        <f t="shared" si="332"/>
        <v>1E-4</v>
      </c>
      <c r="AC750" s="389">
        <f t="shared" si="333"/>
        <v>1E-4</v>
      </c>
      <c r="AD750" s="389">
        <f t="shared" si="334"/>
        <v>0</v>
      </c>
      <c r="AE750" s="389">
        <f t="shared" si="335"/>
        <v>0</v>
      </c>
      <c r="AG750" s="311" t="str">
        <f t="shared" si="336"/>
        <v>-</v>
      </c>
      <c r="AH750" s="453" t="str">
        <f t="shared" si="337"/>
        <v/>
      </c>
      <c r="AI750" s="453" t="str">
        <f t="shared" si="338"/>
        <v/>
      </c>
      <c r="AJ750" t="str">
        <f t="array" ref="AJ750">IF(AND(AI750&gt;1,G750&lt;&gt;""),INDEX(FS_teams,MATCH(1,(FS_Keys=AG750)*(FS_Points=I750)*(FS_teams&lt;&gt;G750),0)),"")</f>
        <v/>
      </c>
      <c r="AK750" s="390" t="str">
        <f t="array" ref="AK750">IF(AJ750&lt;&gt;"",INDEX(TM_Score1,MATCH(1,(TM_Events=D750)*(TM_Participant1=G750)*(TM_Participant2=AJ750),0)),"")</f>
        <v/>
      </c>
      <c r="AL750" s="390" t="str">
        <f t="array" ref="AL750">IF(AJ750&lt;&gt;"",INDEX(TM_Score1,MATCH(1,(TM_Events=D750)*(TM_Participant1=AJ750)*(TM_Participant2=G750),0)),"")</f>
        <v/>
      </c>
      <c r="AM750" s="389" t="str">
        <f t="array" ref="AM750">IF(ISNUMBER(AK750),INDEX(TM_Score2,MATCH(1,(TM_Events=D750)*(TM_Participant1=G750)*(TM_Participant2=AJ750),0)),"")</f>
        <v/>
      </c>
      <c r="AN750" s="389" t="str">
        <f t="array" ref="AN750">IF(ISNUMBER(AL750),INDEX(TM_Score2,MATCH(1,(TM_Events=D750)*(TM_Participant1=AJ750)*(TM_Participant2=G750),0)),"")</f>
        <v/>
      </c>
      <c r="AO750" s="389" t="str">
        <f t="shared" si="339"/>
        <v/>
      </c>
      <c r="AP750" s="389">
        <f t="shared" si="340"/>
        <v>0</v>
      </c>
      <c r="AQ750" s="389">
        <f t="shared" si="341"/>
        <v>0</v>
      </c>
      <c r="AR750" s="389">
        <f t="shared" si="342"/>
        <v>0</v>
      </c>
      <c r="AS750" s="453">
        <f t="shared" si="343"/>
        <v>0</v>
      </c>
      <c r="AT750" s="452">
        <f t="shared" si="344"/>
        <v>0</v>
      </c>
    </row>
    <row r="751" spans="2:46" ht="16" x14ac:dyDescent="0.2">
      <c r="B751"/>
      <c r="H751" s="387" t="str">
        <f t="shared" si="319"/>
        <v>0-0-0</v>
      </c>
      <c r="I751" s="389">
        <f t="shared" si="320"/>
        <v>0</v>
      </c>
      <c r="J751" s="455" t="str">
        <f t="shared" si="345"/>
        <v/>
      </c>
      <c r="K751" s="455">
        <f t="shared" si="321"/>
        <v>0</v>
      </c>
      <c r="L751" s="455">
        <f t="shared" si="346"/>
        <v>0</v>
      </c>
      <c r="M751" s="389" t="str">
        <f>IFERROR(IF(AD751&lt;=VLOOKUP(D751,Tournaments!$A$1:$B$1772,2,FALSE),"TRUE","FALSE"),"")</f>
        <v/>
      </c>
      <c r="N751" s="389">
        <v>1</v>
      </c>
      <c r="O751" s="389">
        <f t="shared" si="322"/>
        <v>0</v>
      </c>
      <c r="Q751" s="389">
        <f t="shared" si="323"/>
        <v>0</v>
      </c>
      <c r="R751" s="389">
        <f t="shared" si="324"/>
        <v>0</v>
      </c>
      <c r="S751" s="389">
        <f t="shared" si="325"/>
        <v>0</v>
      </c>
      <c r="U751" s="389">
        <f t="shared" si="326"/>
        <v>0</v>
      </c>
      <c r="V751" s="389" t="b">
        <f t="shared" si="327"/>
        <v>0</v>
      </c>
      <c r="W751" s="389">
        <f t="shared" si="328"/>
        <v>0</v>
      </c>
      <c r="X751" s="389">
        <f t="shared" si="329"/>
        <v>0</v>
      </c>
      <c r="Y751" s="389">
        <f t="shared" si="347"/>
        <v>1.0999999999999999E-2</v>
      </c>
      <c r="Z751" s="389">
        <f t="shared" si="330"/>
        <v>1.0999999999999999E-2</v>
      </c>
      <c r="AA751" s="389">
        <f t="shared" si="331"/>
        <v>0</v>
      </c>
      <c r="AB751" s="389">
        <f t="shared" si="332"/>
        <v>1E-4</v>
      </c>
      <c r="AC751" s="389">
        <f t="shared" si="333"/>
        <v>1E-4</v>
      </c>
      <c r="AD751" s="389">
        <f t="shared" si="334"/>
        <v>0</v>
      </c>
      <c r="AE751" s="389">
        <f t="shared" si="335"/>
        <v>0</v>
      </c>
      <c r="AG751" s="311" t="str">
        <f t="shared" si="336"/>
        <v>-</v>
      </c>
      <c r="AH751" s="453" t="str">
        <f t="shared" si="337"/>
        <v/>
      </c>
      <c r="AI751" s="453" t="str">
        <f t="shared" si="338"/>
        <v/>
      </c>
      <c r="AJ751" t="str">
        <f t="array" ref="AJ751">IF(AND(AI751&gt;1,G751&lt;&gt;""),INDEX(FS_teams,MATCH(1,(FS_Keys=AG751)*(FS_Points=I751)*(FS_teams&lt;&gt;G751),0)),"")</f>
        <v/>
      </c>
      <c r="AK751" s="390" t="str">
        <f t="array" ref="AK751">IF(AJ751&lt;&gt;"",INDEX(TM_Score1,MATCH(1,(TM_Events=D751)*(TM_Participant1=G751)*(TM_Participant2=AJ751),0)),"")</f>
        <v/>
      </c>
      <c r="AL751" s="390" t="str">
        <f t="array" ref="AL751">IF(AJ751&lt;&gt;"",INDEX(TM_Score1,MATCH(1,(TM_Events=D751)*(TM_Participant1=AJ751)*(TM_Participant2=G751),0)),"")</f>
        <v/>
      </c>
      <c r="AM751" s="389" t="str">
        <f t="array" ref="AM751">IF(ISNUMBER(AK751),INDEX(TM_Score2,MATCH(1,(TM_Events=D751)*(TM_Participant1=G751)*(TM_Participant2=AJ751),0)),"")</f>
        <v/>
      </c>
      <c r="AN751" s="389" t="str">
        <f t="array" ref="AN751">IF(ISNUMBER(AL751),INDEX(TM_Score2,MATCH(1,(TM_Events=D751)*(TM_Participant1=AJ751)*(TM_Participant2=G751),0)),"")</f>
        <v/>
      </c>
      <c r="AO751" s="389" t="str">
        <f t="shared" si="339"/>
        <v/>
      </c>
      <c r="AP751" s="389">
        <f t="shared" si="340"/>
        <v>0</v>
      </c>
      <c r="AQ751" s="389">
        <f t="shared" si="341"/>
        <v>0</v>
      </c>
      <c r="AR751" s="389">
        <f t="shared" si="342"/>
        <v>0</v>
      </c>
      <c r="AS751" s="453">
        <f t="shared" si="343"/>
        <v>0</v>
      </c>
      <c r="AT751" s="452">
        <f t="shared" si="344"/>
        <v>0</v>
      </c>
    </row>
    <row r="752" spans="2:46" ht="16" x14ac:dyDescent="0.2">
      <c r="B752"/>
      <c r="H752" s="387" t="str">
        <f t="shared" si="319"/>
        <v>0-0-0</v>
      </c>
      <c r="I752" s="389">
        <f t="shared" si="320"/>
        <v>0</v>
      </c>
      <c r="J752" s="455" t="str">
        <f t="shared" si="345"/>
        <v/>
      </c>
      <c r="K752" s="455">
        <f t="shared" si="321"/>
        <v>0</v>
      </c>
      <c r="L752" s="455">
        <f t="shared" si="346"/>
        <v>0</v>
      </c>
      <c r="M752" s="389" t="str">
        <f>IFERROR(IF(AD752&lt;=VLOOKUP(D752,Tournaments!$A$1:$B$1772,2,FALSE),"TRUE","FALSE"),"")</f>
        <v/>
      </c>
      <c r="N752" s="389">
        <v>1</v>
      </c>
      <c r="O752" s="389">
        <f t="shared" si="322"/>
        <v>0</v>
      </c>
      <c r="Q752" s="389">
        <f t="shared" si="323"/>
        <v>0</v>
      </c>
      <c r="R752" s="389">
        <f t="shared" si="324"/>
        <v>0</v>
      </c>
      <c r="S752" s="389">
        <f t="shared" si="325"/>
        <v>0</v>
      </c>
      <c r="U752" s="389">
        <f t="shared" si="326"/>
        <v>0</v>
      </c>
      <c r="V752" s="389" t="b">
        <f t="shared" si="327"/>
        <v>0</v>
      </c>
      <c r="W752" s="389">
        <f t="shared" si="328"/>
        <v>0</v>
      </c>
      <c r="X752" s="389">
        <f t="shared" si="329"/>
        <v>0</v>
      </c>
      <c r="Y752" s="389">
        <f t="shared" si="347"/>
        <v>1.0999999999999999E-2</v>
      </c>
      <c r="Z752" s="389">
        <f t="shared" si="330"/>
        <v>1.0999999999999999E-2</v>
      </c>
      <c r="AA752" s="389">
        <f t="shared" si="331"/>
        <v>0</v>
      </c>
      <c r="AB752" s="389">
        <f t="shared" si="332"/>
        <v>1E-4</v>
      </c>
      <c r="AC752" s="389">
        <f t="shared" si="333"/>
        <v>1E-4</v>
      </c>
      <c r="AD752" s="389">
        <f t="shared" si="334"/>
        <v>0</v>
      </c>
      <c r="AE752" s="389">
        <f t="shared" si="335"/>
        <v>0</v>
      </c>
      <c r="AG752" s="311" t="str">
        <f t="shared" si="336"/>
        <v>-</v>
      </c>
      <c r="AH752" s="453" t="str">
        <f t="shared" si="337"/>
        <v/>
      </c>
      <c r="AI752" s="453" t="str">
        <f t="shared" si="338"/>
        <v/>
      </c>
      <c r="AJ752" t="str">
        <f t="array" ref="AJ752">IF(AND(AI752&gt;1,G752&lt;&gt;""),INDEX(FS_teams,MATCH(1,(FS_Keys=AG752)*(FS_Points=I752)*(FS_teams&lt;&gt;G752),0)),"")</f>
        <v/>
      </c>
      <c r="AK752" s="390" t="str">
        <f t="array" ref="AK752">IF(AJ752&lt;&gt;"",INDEX(TM_Score1,MATCH(1,(TM_Events=D752)*(TM_Participant1=G752)*(TM_Participant2=AJ752),0)),"")</f>
        <v/>
      </c>
      <c r="AL752" s="390" t="str">
        <f t="array" ref="AL752">IF(AJ752&lt;&gt;"",INDEX(TM_Score1,MATCH(1,(TM_Events=D752)*(TM_Participant1=AJ752)*(TM_Participant2=G752),0)),"")</f>
        <v/>
      </c>
      <c r="AM752" s="389" t="str">
        <f t="array" ref="AM752">IF(ISNUMBER(AK752),INDEX(TM_Score2,MATCH(1,(TM_Events=D752)*(TM_Participant1=G752)*(TM_Participant2=AJ752),0)),"")</f>
        <v/>
      </c>
      <c r="AN752" s="389" t="str">
        <f t="array" ref="AN752">IF(ISNUMBER(AL752),INDEX(TM_Score2,MATCH(1,(TM_Events=D752)*(TM_Participant1=AJ752)*(TM_Participant2=G752),0)),"")</f>
        <v/>
      </c>
      <c r="AO752" s="389" t="str">
        <f t="shared" si="339"/>
        <v/>
      </c>
      <c r="AP752" s="389">
        <f t="shared" si="340"/>
        <v>0</v>
      </c>
      <c r="AQ752" s="389">
        <f t="shared" si="341"/>
        <v>0</v>
      </c>
      <c r="AR752" s="389">
        <f t="shared" si="342"/>
        <v>0</v>
      </c>
      <c r="AS752" s="453">
        <f t="shared" si="343"/>
        <v>0</v>
      </c>
      <c r="AT752" s="452">
        <f t="shared" si="344"/>
        <v>0</v>
      </c>
    </row>
    <row r="753" spans="2:46" ht="16" x14ac:dyDescent="0.2">
      <c r="B753"/>
      <c r="H753" s="387" t="str">
        <f t="shared" si="319"/>
        <v>0-0-0</v>
      </c>
      <c r="I753" s="389">
        <f t="shared" si="320"/>
        <v>0</v>
      </c>
      <c r="J753" s="455" t="str">
        <f t="shared" si="345"/>
        <v/>
      </c>
      <c r="K753" s="455">
        <f t="shared" si="321"/>
        <v>0</v>
      </c>
      <c r="L753" s="455">
        <f t="shared" si="346"/>
        <v>0</v>
      </c>
      <c r="M753" s="389" t="str">
        <f>IFERROR(IF(AD753&lt;=VLOOKUP(D753,Tournaments!$A$1:$B$1772,2,FALSE),"TRUE","FALSE"),"")</f>
        <v/>
      </c>
      <c r="N753" s="389">
        <v>1</v>
      </c>
      <c r="O753" s="389">
        <f t="shared" si="322"/>
        <v>0</v>
      </c>
      <c r="Q753" s="389">
        <f t="shared" si="323"/>
        <v>0</v>
      </c>
      <c r="R753" s="389">
        <f t="shared" si="324"/>
        <v>0</v>
      </c>
      <c r="S753" s="389">
        <f t="shared" si="325"/>
        <v>0</v>
      </c>
      <c r="U753" s="389">
        <f t="shared" si="326"/>
        <v>0</v>
      </c>
      <c r="V753" s="389" t="b">
        <f t="shared" si="327"/>
        <v>0</v>
      </c>
      <c r="W753" s="389">
        <f t="shared" si="328"/>
        <v>0</v>
      </c>
      <c r="X753" s="389">
        <f t="shared" si="329"/>
        <v>0</v>
      </c>
      <c r="Y753" s="389">
        <f t="shared" si="347"/>
        <v>1.0999999999999999E-2</v>
      </c>
      <c r="Z753" s="389">
        <f t="shared" si="330"/>
        <v>1.0999999999999999E-2</v>
      </c>
      <c r="AA753" s="389">
        <f t="shared" si="331"/>
        <v>0</v>
      </c>
      <c r="AB753" s="389">
        <f t="shared" si="332"/>
        <v>1E-4</v>
      </c>
      <c r="AC753" s="389">
        <f t="shared" si="333"/>
        <v>1E-4</v>
      </c>
      <c r="AD753" s="389">
        <f t="shared" si="334"/>
        <v>0</v>
      </c>
      <c r="AE753" s="389">
        <f t="shared" si="335"/>
        <v>0</v>
      </c>
      <c r="AG753" s="311" t="str">
        <f t="shared" si="336"/>
        <v>-</v>
      </c>
      <c r="AH753" s="453" t="str">
        <f t="shared" si="337"/>
        <v/>
      </c>
      <c r="AI753" s="453" t="str">
        <f t="shared" si="338"/>
        <v/>
      </c>
      <c r="AJ753" t="str">
        <f t="array" ref="AJ753">IF(AND(AI753&gt;1,G753&lt;&gt;""),INDEX(FS_teams,MATCH(1,(FS_Keys=AG753)*(FS_Points=I753)*(FS_teams&lt;&gt;G753),0)),"")</f>
        <v/>
      </c>
      <c r="AK753" s="390" t="str">
        <f t="array" ref="AK753">IF(AJ753&lt;&gt;"",INDEX(TM_Score1,MATCH(1,(TM_Events=D753)*(TM_Participant1=G753)*(TM_Participant2=AJ753),0)),"")</f>
        <v/>
      </c>
      <c r="AL753" s="390" t="str">
        <f t="array" ref="AL753">IF(AJ753&lt;&gt;"",INDEX(TM_Score1,MATCH(1,(TM_Events=D753)*(TM_Participant1=AJ753)*(TM_Participant2=G753),0)),"")</f>
        <v/>
      </c>
      <c r="AM753" s="389" t="str">
        <f t="array" ref="AM753">IF(ISNUMBER(AK753),INDEX(TM_Score2,MATCH(1,(TM_Events=D753)*(TM_Participant1=G753)*(TM_Participant2=AJ753),0)),"")</f>
        <v/>
      </c>
      <c r="AN753" s="389" t="str">
        <f t="array" ref="AN753">IF(ISNUMBER(AL753),INDEX(TM_Score2,MATCH(1,(TM_Events=D753)*(TM_Participant1=AJ753)*(TM_Participant2=G753),0)),"")</f>
        <v/>
      </c>
      <c r="AO753" s="389" t="str">
        <f t="shared" si="339"/>
        <v/>
      </c>
      <c r="AP753" s="389">
        <f t="shared" si="340"/>
        <v>0</v>
      </c>
      <c r="AQ753" s="389">
        <f t="shared" si="341"/>
        <v>0</v>
      </c>
      <c r="AR753" s="389">
        <f t="shared" si="342"/>
        <v>0</v>
      </c>
      <c r="AS753" s="453">
        <f t="shared" si="343"/>
        <v>0</v>
      </c>
      <c r="AT753" s="452">
        <f t="shared" si="344"/>
        <v>0</v>
      </c>
    </row>
    <row r="754" spans="2:46" ht="16" x14ac:dyDescent="0.2">
      <c r="B754"/>
      <c r="H754" s="387" t="str">
        <f t="shared" si="319"/>
        <v>0-0-0</v>
      </c>
      <c r="I754" s="389">
        <f t="shared" si="320"/>
        <v>0</v>
      </c>
      <c r="J754" s="455" t="str">
        <f t="shared" si="345"/>
        <v/>
      </c>
      <c r="K754" s="455">
        <f t="shared" si="321"/>
        <v>0</v>
      </c>
      <c r="L754" s="455">
        <f t="shared" si="346"/>
        <v>0</v>
      </c>
      <c r="M754" s="389" t="str">
        <f>IFERROR(IF(AD754&lt;=VLOOKUP(D754,Tournaments!$A$1:$B$1772,2,FALSE),"TRUE","FALSE"),"")</f>
        <v/>
      </c>
      <c r="N754" s="389">
        <v>1</v>
      </c>
      <c r="O754" s="389">
        <f t="shared" si="322"/>
        <v>0</v>
      </c>
      <c r="Q754" s="389">
        <f t="shared" si="323"/>
        <v>0</v>
      </c>
      <c r="R754" s="389">
        <f t="shared" si="324"/>
        <v>0</v>
      </c>
      <c r="S754" s="389">
        <f t="shared" si="325"/>
        <v>0</v>
      </c>
      <c r="U754" s="389">
        <f t="shared" si="326"/>
        <v>0</v>
      </c>
      <c r="V754" s="389" t="b">
        <f t="shared" si="327"/>
        <v>0</v>
      </c>
      <c r="W754" s="389">
        <f t="shared" si="328"/>
        <v>0</v>
      </c>
      <c r="X754" s="389">
        <f t="shared" si="329"/>
        <v>0</v>
      </c>
      <c r="Y754" s="389">
        <f t="shared" si="347"/>
        <v>1.0999999999999999E-2</v>
      </c>
      <c r="Z754" s="389">
        <f t="shared" si="330"/>
        <v>1.0999999999999999E-2</v>
      </c>
      <c r="AA754" s="389">
        <f t="shared" si="331"/>
        <v>0</v>
      </c>
      <c r="AB754" s="389">
        <f t="shared" si="332"/>
        <v>1E-4</v>
      </c>
      <c r="AC754" s="389">
        <f t="shared" si="333"/>
        <v>1E-4</v>
      </c>
      <c r="AD754" s="389">
        <f t="shared" si="334"/>
        <v>0</v>
      </c>
      <c r="AE754" s="389">
        <f t="shared" si="335"/>
        <v>0</v>
      </c>
      <c r="AG754" s="311" t="str">
        <f t="shared" si="336"/>
        <v>-</v>
      </c>
      <c r="AH754" s="453" t="str">
        <f t="shared" si="337"/>
        <v/>
      </c>
      <c r="AI754" s="453" t="str">
        <f t="shared" si="338"/>
        <v/>
      </c>
      <c r="AJ754" t="str">
        <f t="array" ref="AJ754">IF(AND(AI754&gt;1,G754&lt;&gt;""),INDEX(FS_teams,MATCH(1,(FS_Keys=AG754)*(FS_Points=I754)*(FS_teams&lt;&gt;G754),0)),"")</f>
        <v/>
      </c>
      <c r="AK754" s="390" t="str">
        <f t="array" ref="AK754">IF(AJ754&lt;&gt;"",INDEX(TM_Score1,MATCH(1,(TM_Events=D754)*(TM_Participant1=G754)*(TM_Participant2=AJ754),0)),"")</f>
        <v/>
      </c>
      <c r="AL754" s="390" t="str">
        <f t="array" ref="AL754">IF(AJ754&lt;&gt;"",INDEX(TM_Score1,MATCH(1,(TM_Events=D754)*(TM_Participant1=AJ754)*(TM_Participant2=G754),0)),"")</f>
        <v/>
      </c>
      <c r="AM754" s="389" t="str">
        <f t="array" ref="AM754">IF(ISNUMBER(AK754),INDEX(TM_Score2,MATCH(1,(TM_Events=D754)*(TM_Participant1=G754)*(TM_Participant2=AJ754),0)),"")</f>
        <v/>
      </c>
      <c r="AN754" s="389" t="str">
        <f t="array" ref="AN754">IF(ISNUMBER(AL754),INDEX(TM_Score2,MATCH(1,(TM_Events=D754)*(TM_Participant1=AJ754)*(TM_Participant2=G754),0)),"")</f>
        <v/>
      </c>
      <c r="AO754" s="389" t="str">
        <f t="shared" si="339"/>
        <v/>
      </c>
      <c r="AP754" s="389">
        <f t="shared" si="340"/>
        <v>0</v>
      </c>
      <c r="AQ754" s="389">
        <f t="shared" si="341"/>
        <v>0</v>
      </c>
      <c r="AR754" s="389">
        <f t="shared" si="342"/>
        <v>0</v>
      </c>
      <c r="AS754" s="453">
        <f t="shared" si="343"/>
        <v>0</v>
      </c>
      <c r="AT754" s="452">
        <f t="shared" si="344"/>
        <v>0</v>
      </c>
    </row>
    <row r="755" spans="2:46" ht="16" x14ac:dyDescent="0.2">
      <c r="B755"/>
      <c r="H755" s="387" t="str">
        <f t="shared" si="319"/>
        <v>0-0-0</v>
      </c>
      <c r="I755" s="389">
        <f t="shared" si="320"/>
        <v>0</v>
      </c>
      <c r="J755" s="455" t="str">
        <f t="shared" si="345"/>
        <v/>
      </c>
      <c r="K755" s="455">
        <f t="shared" si="321"/>
        <v>0</v>
      </c>
      <c r="L755" s="455">
        <f t="shared" si="346"/>
        <v>0</v>
      </c>
      <c r="M755" s="389" t="str">
        <f>IFERROR(IF(AD755&lt;=VLOOKUP(D755,Tournaments!$A$1:$B$1772,2,FALSE),"TRUE","FALSE"),"")</f>
        <v/>
      </c>
      <c r="N755" s="389">
        <v>1</v>
      </c>
      <c r="O755" s="389">
        <f t="shared" si="322"/>
        <v>0</v>
      </c>
      <c r="Q755" s="389">
        <f t="shared" si="323"/>
        <v>0</v>
      </c>
      <c r="R755" s="389">
        <f t="shared" si="324"/>
        <v>0</v>
      </c>
      <c r="S755" s="389">
        <f t="shared" si="325"/>
        <v>0</v>
      </c>
      <c r="U755" s="389">
        <f t="shared" si="326"/>
        <v>0</v>
      </c>
      <c r="V755" s="389" t="b">
        <f t="shared" si="327"/>
        <v>0</v>
      </c>
      <c r="W755" s="389">
        <f t="shared" si="328"/>
        <v>0</v>
      </c>
      <c r="X755" s="389">
        <f t="shared" si="329"/>
        <v>0</v>
      </c>
      <c r="Y755" s="389">
        <f t="shared" si="347"/>
        <v>1.0999999999999999E-2</v>
      </c>
      <c r="Z755" s="389">
        <f t="shared" si="330"/>
        <v>1.0999999999999999E-2</v>
      </c>
      <c r="AA755" s="389">
        <f t="shared" si="331"/>
        <v>0</v>
      </c>
      <c r="AB755" s="389">
        <f t="shared" si="332"/>
        <v>1E-4</v>
      </c>
      <c r="AC755" s="389">
        <f t="shared" si="333"/>
        <v>1E-4</v>
      </c>
      <c r="AD755" s="389">
        <f t="shared" si="334"/>
        <v>0</v>
      </c>
      <c r="AE755" s="389">
        <f t="shared" si="335"/>
        <v>0</v>
      </c>
      <c r="AG755" s="311" t="str">
        <f t="shared" si="336"/>
        <v>-</v>
      </c>
      <c r="AH755" s="453" t="str">
        <f t="shared" si="337"/>
        <v/>
      </c>
      <c r="AI755" s="453" t="str">
        <f t="shared" si="338"/>
        <v/>
      </c>
      <c r="AJ755" t="str">
        <f t="array" ref="AJ755">IF(AND(AI755&gt;1,G755&lt;&gt;""),INDEX(FS_teams,MATCH(1,(FS_Keys=AG755)*(FS_Points=I755)*(FS_teams&lt;&gt;G755),0)),"")</f>
        <v/>
      </c>
      <c r="AK755" s="390" t="str">
        <f t="array" ref="AK755">IF(AJ755&lt;&gt;"",INDEX(TM_Score1,MATCH(1,(TM_Events=D755)*(TM_Participant1=G755)*(TM_Participant2=AJ755),0)),"")</f>
        <v/>
      </c>
      <c r="AL755" s="390" t="str">
        <f t="array" ref="AL755">IF(AJ755&lt;&gt;"",INDEX(TM_Score1,MATCH(1,(TM_Events=D755)*(TM_Participant1=AJ755)*(TM_Participant2=G755),0)),"")</f>
        <v/>
      </c>
      <c r="AM755" s="389" t="str">
        <f t="array" ref="AM755">IF(ISNUMBER(AK755),INDEX(TM_Score2,MATCH(1,(TM_Events=D755)*(TM_Participant1=G755)*(TM_Participant2=AJ755),0)),"")</f>
        <v/>
      </c>
      <c r="AN755" s="389" t="str">
        <f t="array" ref="AN755">IF(ISNUMBER(AL755),INDEX(TM_Score2,MATCH(1,(TM_Events=D755)*(TM_Participant1=AJ755)*(TM_Participant2=G755),0)),"")</f>
        <v/>
      </c>
      <c r="AO755" s="389" t="str">
        <f t="shared" si="339"/>
        <v/>
      </c>
      <c r="AP755" s="389">
        <f t="shared" si="340"/>
        <v>0</v>
      </c>
      <c r="AQ755" s="389">
        <f t="shared" si="341"/>
        <v>0</v>
      </c>
      <c r="AR755" s="389">
        <f t="shared" si="342"/>
        <v>0</v>
      </c>
      <c r="AS755" s="453">
        <f t="shared" si="343"/>
        <v>0</v>
      </c>
      <c r="AT755" s="452">
        <f t="shared" si="344"/>
        <v>0</v>
      </c>
    </row>
    <row r="756" spans="2:46" ht="16" x14ac:dyDescent="0.2">
      <c r="B756"/>
      <c r="H756" s="387" t="str">
        <f t="shared" si="319"/>
        <v>0-0-0</v>
      </c>
      <c r="I756" s="389">
        <f t="shared" si="320"/>
        <v>0</v>
      </c>
      <c r="J756" s="455" t="str">
        <f t="shared" si="345"/>
        <v/>
      </c>
      <c r="K756" s="455">
        <f t="shared" si="321"/>
        <v>0</v>
      </c>
      <c r="L756" s="455">
        <f t="shared" si="346"/>
        <v>0</v>
      </c>
      <c r="M756" s="389" t="str">
        <f>IFERROR(IF(AD756&lt;=VLOOKUP(D756,Tournaments!$A$1:$B$1772,2,FALSE),"TRUE","FALSE"),"")</f>
        <v/>
      </c>
      <c r="N756" s="389">
        <v>1</v>
      </c>
      <c r="O756" s="389">
        <f t="shared" si="322"/>
        <v>0</v>
      </c>
      <c r="Q756" s="389">
        <f t="shared" si="323"/>
        <v>0</v>
      </c>
      <c r="R756" s="389">
        <f t="shared" si="324"/>
        <v>0</v>
      </c>
      <c r="S756" s="389">
        <f t="shared" si="325"/>
        <v>0</v>
      </c>
      <c r="U756" s="389">
        <f t="shared" si="326"/>
        <v>0</v>
      </c>
      <c r="V756" s="389" t="b">
        <f t="shared" si="327"/>
        <v>0</v>
      </c>
      <c r="W756" s="389">
        <f t="shared" si="328"/>
        <v>0</v>
      </c>
      <c r="X756" s="389">
        <f t="shared" si="329"/>
        <v>0</v>
      </c>
      <c r="Y756" s="389">
        <f t="shared" si="347"/>
        <v>1.0999999999999999E-2</v>
      </c>
      <c r="Z756" s="389">
        <f t="shared" si="330"/>
        <v>1.0999999999999999E-2</v>
      </c>
      <c r="AA756" s="389">
        <f t="shared" si="331"/>
        <v>0</v>
      </c>
      <c r="AB756" s="389">
        <f t="shared" si="332"/>
        <v>1E-4</v>
      </c>
      <c r="AC756" s="389">
        <f t="shared" si="333"/>
        <v>1E-4</v>
      </c>
      <c r="AD756" s="389">
        <f t="shared" si="334"/>
        <v>0</v>
      </c>
      <c r="AE756" s="389">
        <f t="shared" si="335"/>
        <v>0</v>
      </c>
      <c r="AG756" s="311" t="str">
        <f t="shared" si="336"/>
        <v>-</v>
      </c>
      <c r="AH756" s="453" t="str">
        <f t="shared" si="337"/>
        <v/>
      </c>
      <c r="AI756" s="453" t="str">
        <f t="shared" si="338"/>
        <v/>
      </c>
      <c r="AJ756" t="str">
        <f t="array" ref="AJ756">IF(AND(AI756&gt;1,G756&lt;&gt;""),INDEX(FS_teams,MATCH(1,(FS_Keys=AG756)*(FS_Points=I756)*(FS_teams&lt;&gt;G756),0)),"")</f>
        <v/>
      </c>
      <c r="AK756" s="390" t="str">
        <f t="array" ref="AK756">IF(AJ756&lt;&gt;"",INDEX(TM_Score1,MATCH(1,(TM_Events=D756)*(TM_Participant1=G756)*(TM_Participant2=AJ756),0)),"")</f>
        <v/>
      </c>
      <c r="AL756" s="390" t="str">
        <f t="array" ref="AL756">IF(AJ756&lt;&gt;"",INDEX(TM_Score1,MATCH(1,(TM_Events=D756)*(TM_Participant1=AJ756)*(TM_Participant2=G756),0)),"")</f>
        <v/>
      </c>
      <c r="AM756" s="389" t="str">
        <f t="array" ref="AM756">IF(ISNUMBER(AK756),INDEX(TM_Score2,MATCH(1,(TM_Events=D756)*(TM_Participant1=G756)*(TM_Participant2=AJ756),0)),"")</f>
        <v/>
      </c>
      <c r="AN756" s="389" t="str">
        <f t="array" ref="AN756">IF(ISNUMBER(AL756),INDEX(TM_Score2,MATCH(1,(TM_Events=D756)*(TM_Participant1=AJ756)*(TM_Participant2=G756),0)),"")</f>
        <v/>
      </c>
      <c r="AO756" s="389" t="str">
        <f t="shared" si="339"/>
        <v/>
      </c>
      <c r="AP756" s="389">
        <f t="shared" si="340"/>
        <v>0</v>
      </c>
      <c r="AQ756" s="389">
        <f t="shared" si="341"/>
        <v>0</v>
      </c>
      <c r="AR756" s="389">
        <f t="shared" si="342"/>
        <v>0</v>
      </c>
      <c r="AS756" s="453">
        <f t="shared" si="343"/>
        <v>0</v>
      </c>
      <c r="AT756" s="452">
        <f t="shared" si="344"/>
        <v>0</v>
      </c>
    </row>
    <row r="757" spans="2:46" ht="16" x14ac:dyDescent="0.2">
      <c r="B757"/>
      <c r="H757" s="387" t="str">
        <f t="shared" si="319"/>
        <v>0-0-0</v>
      </c>
      <c r="I757" s="389">
        <f t="shared" si="320"/>
        <v>0</v>
      </c>
      <c r="J757" s="455" t="str">
        <f t="shared" si="345"/>
        <v/>
      </c>
      <c r="K757" s="455">
        <f t="shared" si="321"/>
        <v>0</v>
      </c>
      <c r="L757" s="455">
        <f t="shared" si="346"/>
        <v>0</v>
      </c>
      <c r="M757" s="389" t="str">
        <f>IFERROR(IF(AD757&lt;=VLOOKUP(D757,Tournaments!$A$1:$B$1772,2,FALSE),"TRUE","FALSE"),"")</f>
        <v/>
      </c>
      <c r="N757" s="389">
        <v>1</v>
      </c>
      <c r="O757" s="389">
        <f t="shared" si="322"/>
        <v>0</v>
      </c>
      <c r="Q757" s="389">
        <f t="shared" si="323"/>
        <v>0</v>
      </c>
      <c r="R757" s="389">
        <f t="shared" si="324"/>
        <v>0</v>
      </c>
      <c r="S757" s="389">
        <f t="shared" si="325"/>
        <v>0</v>
      </c>
      <c r="U757" s="389">
        <f t="shared" si="326"/>
        <v>0</v>
      </c>
      <c r="V757" s="389" t="b">
        <f t="shared" si="327"/>
        <v>0</v>
      </c>
      <c r="W757" s="389">
        <f t="shared" si="328"/>
        <v>0</v>
      </c>
      <c r="X757" s="389">
        <f t="shared" si="329"/>
        <v>0</v>
      </c>
      <c r="Y757" s="389">
        <f t="shared" si="347"/>
        <v>1.0999999999999999E-2</v>
      </c>
      <c r="Z757" s="389">
        <f t="shared" si="330"/>
        <v>1.0999999999999999E-2</v>
      </c>
      <c r="AA757" s="389">
        <f t="shared" si="331"/>
        <v>0</v>
      </c>
      <c r="AB757" s="389">
        <f t="shared" si="332"/>
        <v>1E-4</v>
      </c>
      <c r="AC757" s="389">
        <f t="shared" si="333"/>
        <v>1E-4</v>
      </c>
      <c r="AD757" s="389">
        <f t="shared" si="334"/>
        <v>0</v>
      </c>
      <c r="AE757" s="389">
        <f t="shared" si="335"/>
        <v>0</v>
      </c>
      <c r="AG757" s="311" t="str">
        <f t="shared" si="336"/>
        <v>-</v>
      </c>
      <c r="AH757" s="453" t="str">
        <f t="shared" si="337"/>
        <v/>
      </c>
      <c r="AI757" s="453" t="str">
        <f t="shared" si="338"/>
        <v/>
      </c>
      <c r="AJ757" t="str">
        <f t="array" ref="AJ757">IF(AND(AI757&gt;1,G757&lt;&gt;""),INDEX(FS_teams,MATCH(1,(FS_Keys=AG757)*(FS_Points=I757)*(FS_teams&lt;&gt;G757),0)),"")</f>
        <v/>
      </c>
      <c r="AK757" s="390" t="str">
        <f t="array" ref="AK757">IF(AJ757&lt;&gt;"",INDEX(TM_Score1,MATCH(1,(TM_Events=D757)*(TM_Participant1=G757)*(TM_Participant2=AJ757),0)),"")</f>
        <v/>
      </c>
      <c r="AL757" s="390" t="str">
        <f t="array" ref="AL757">IF(AJ757&lt;&gt;"",INDEX(TM_Score1,MATCH(1,(TM_Events=D757)*(TM_Participant1=AJ757)*(TM_Participant2=G757),0)),"")</f>
        <v/>
      </c>
      <c r="AM757" s="389" t="str">
        <f t="array" ref="AM757">IF(ISNUMBER(AK757),INDEX(TM_Score2,MATCH(1,(TM_Events=D757)*(TM_Participant1=G757)*(TM_Participant2=AJ757),0)),"")</f>
        <v/>
      </c>
      <c r="AN757" s="389" t="str">
        <f t="array" ref="AN757">IF(ISNUMBER(AL757),INDEX(TM_Score2,MATCH(1,(TM_Events=D757)*(TM_Participant1=AJ757)*(TM_Participant2=G757),0)),"")</f>
        <v/>
      </c>
      <c r="AO757" s="389" t="str">
        <f t="shared" si="339"/>
        <v/>
      </c>
      <c r="AP757" s="389">
        <f t="shared" si="340"/>
        <v>0</v>
      </c>
      <c r="AQ757" s="389">
        <f t="shared" si="341"/>
        <v>0</v>
      </c>
      <c r="AR757" s="389">
        <f t="shared" si="342"/>
        <v>0</v>
      </c>
      <c r="AS757" s="453">
        <f t="shared" si="343"/>
        <v>0</v>
      </c>
      <c r="AT757" s="452">
        <f t="shared" si="344"/>
        <v>0</v>
      </c>
    </row>
    <row r="758" spans="2:46" ht="16" x14ac:dyDescent="0.2">
      <c r="B758"/>
      <c r="H758" s="387" t="str">
        <f t="shared" si="319"/>
        <v>0-0-0</v>
      </c>
      <c r="I758" s="389">
        <f t="shared" si="320"/>
        <v>0</v>
      </c>
      <c r="J758" s="455" t="str">
        <f t="shared" si="345"/>
        <v/>
      </c>
      <c r="K758" s="455">
        <f t="shared" si="321"/>
        <v>0</v>
      </c>
      <c r="L758" s="455">
        <f t="shared" si="346"/>
        <v>0</v>
      </c>
      <c r="M758" s="389" t="str">
        <f>IFERROR(IF(AD758&lt;=VLOOKUP(D758,Tournaments!$A$1:$B$1772,2,FALSE),"TRUE","FALSE"),"")</f>
        <v/>
      </c>
      <c r="N758" s="389">
        <v>1</v>
      </c>
      <c r="O758" s="389">
        <f t="shared" si="322"/>
        <v>0</v>
      </c>
      <c r="Q758" s="389">
        <f t="shared" si="323"/>
        <v>0</v>
      </c>
      <c r="R758" s="389">
        <f t="shared" si="324"/>
        <v>0</v>
      </c>
      <c r="S758" s="389">
        <f t="shared" si="325"/>
        <v>0</v>
      </c>
      <c r="U758" s="389">
        <f t="shared" si="326"/>
        <v>0</v>
      </c>
      <c r="V758" s="389" t="b">
        <f t="shared" si="327"/>
        <v>0</v>
      </c>
      <c r="W758" s="389">
        <f t="shared" si="328"/>
        <v>0</v>
      </c>
      <c r="X758" s="389">
        <f t="shared" si="329"/>
        <v>0</v>
      </c>
      <c r="Y758" s="389">
        <f t="shared" si="347"/>
        <v>1.0999999999999999E-2</v>
      </c>
      <c r="Z758" s="389">
        <f t="shared" si="330"/>
        <v>1.0999999999999999E-2</v>
      </c>
      <c r="AA758" s="389">
        <f t="shared" si="331"/>
        <v>0</v>
      </c>
      <c r="AB758" s="389">
        <f t="shared" si="332"/>
        <v>1E-4</v>
      </c>
      <c r="AC758" s="389">
        <f t="shared" si="333"/>
        <v>1E-4</v>
      </c>
      <c r="AD758" s="389">
        <f t="shared" si="334"/>
        <v>0</v>
      </c>
      <c r="AE758" s="389">
        <f t="shared" si="335"/>
        <v>0</v>
      </c>
      <c r="AG758" s="311" t="str">
        <f t="shared" si="336"/>
        <v>-</v>
      </c>
      <c r="AH758" s="453" t="str">
        <f t="shared" si="337"/>
        <v/>
      </c>
      <c r="AI758" s="453" t="str">
        <f t="shared" si="338"/>
        <v/>
      </c>
      <c r="AJ758" t="str">
        <f t="array" ref="AJ758">IF(AND(AI758&gt;1,G758&lt;&gt;""),INDEX(FS_teams,MATCH(1,(FS_Keys=AG758)*(FS_Points=I758)*(FS_teams&lt;&gt;G758),0)),"")</f>
        <v/>
      </c>
      <c r="AK758" s="390" t="str">
        <f t="array" ref="AK758">IF(AJ758&lt;&gt;"",INDEX(TM_Score1,MATCH(1,(TM_Events=D758)*(TM_Participant1=G758)*(TM_Participant2=AJ758),0)),"")</f>
        <v/>
      </c>
      <c r="AL758" s="390" t="str">
        <f t="array" ref="AL758">IF(AJ758&lt;&gt;"",INDEX(TM_Score1,MATCH(1,(TM_Events=D758)*(TM_Participant1=AJ758)*(TM_Participant2=G758),0)),"")</f>
        <v/>
      </c>
      <c r="AM758" s="389" t="str">
        <f t="array" ref="AM758">IF(ISNUMBER(AK758),INDEX(TM_Score2,MATCH(1,(TM_Events=D758)*(TM_Participant1=G758)*(TM_Participant2=AJ758),0)),"")</f>
        <v/>
      </c>
      <c r="AN758" s="389" t="str">
        <f t="array" ref="AN758">IF(ISNUMBER(AL758),INDEX(TM_Score2,MATCH(1,(TM_Events=D758)*(TM_Participant1=AJ758)*(TM_Participant2=G758),0)),"")</f>
        <v/>
      </c>
      <c r="AO758" s="389" t="str">
        <f t="shared" si="339"/>
        <v/>
      </c>
      <c r="AP758" s="389">
        <f t="shared" si="340"/>
        <v>0</v>
      </c>
      <c r="AQ758" s="389">
        <f t="shared" si="341"/>
        <v>0</v>
      </c>
      <c r="AR758" s="389">
        <f t="shared" si="342"/>
        <v>0</v>
      </c>
      <c r="AS758" s="453">
        <f t="shared" si="343"/>
        <v>0</v>
      </c>
      <c r="AT758" s="452">
        <f t="shared" si="344"/>
        <v>0</v>
      </c>
    </row>
    <row r="759" spans="2:46" ht="16" x14ac:dyDescent="0.2">
      <c r="B759"/>
      <c r="H759" s="387" t="str">
        <f t="shared" si="319"/>
        <v>0-0-0</v>
      </c>
      <c r="I759" s="389">
        <f t="shared" si="320"/>
        <v>0</v>
      </c>
      <c r="J759" s="455" t="str">
        <f t="shared" si="345"/>
        <v/>
      </c>
      <c r="K759" s="455">
        <f t="shared" si="321"/>
        <v>0</v>
      </c>
      <c r="L759" s="455">
        <f t="shared" si="346"/>
        <v>0</v>
      </c>
      <c r="M759" s="389" t="str">
        <f>IFERROR(IF(AD759&lt;=VLOOKUP(D759,Tournaments!$A$1:$B$1772,2,FALSE),"TRUE","FALSE"),"")</f>
        <v/>
      </c>
      <c r="N759" s="389">
        <v>1</v>
      </c>
      <c r="O759" s="389">
        <f t="shared" si="322"/>
        <v>0</v>
      </c>
      <c r="Q759" s="389">
        <f t="shared" si="323"/>
        <v>0</v>
      </c>
      <c r="R759" s="389">
        <f t="shared" si="324"/>
        <v>0</v>
      </c>
      <c r="S759" s="389">
        <f t="shared" si="325"/>
        <v>0</v>
      </c>
      <c r="U759" s="389">
        <f t="shared" si="326"/>
        <v>0</v>
      </c>
      <c r="V759" s="389" t="b">
        <f t="shared" si="327"/>
        <v>0</v>
      </c>
      <c r="W759" s="389">
        <f t="shared" si="328"/>
        <v>0</v>
      </c>
      <c r="X759" s="389">
        <f t="shared" si="329"/>
        <v>0</v>
      </c>
      <c r="Y759" s="389">
        <f t="shared" si="347"/>
        <v>1.0999999999999999E-2</v>
      </c>
      <c r="Z759" s="389">
        <f t="shared" si="330"/>
        <v>1.0999999999999999E-2</v>
      </c>
      <c r="AA759" s="389">
        <f t="shared" si="331"/>
        <v>0</v>
      </c>
      <c r="AB759" s="389">
        <f t="shared" si="332"/>
        <v>1E-4</v>
      </c>
      <c r="AC759" s="389">
        <f t="shared" si="333"/>
        <v>1E-4</v>
      </c>
      <c r="AD759" s="389">
        <f t="shared" si="334"/>
        <v>0</v>
      </c>
      <c r="AE759" s="389">
        <f t="shared" si="335"/>
        <v>0</v>
      </c>
      <c r="AG759" s="311" t="str">
        <f t="shared" si="336"/>
        <v>-</v>
      </c>
      <c r="AH759" s="453" t="str">
        <f t="shared" si="337"/>
        <v/>
      </c>
      <c r="AI759" s="453" t="str">
        <f t="shared" si="338"/>
        <v/>
      </c>
      <c r="AJ759" t="str">
        <f t="array" ref="AJ759">IF(AND(AI759&gt;1,G759&lt;&gt;""),INDEX(FS_teams,MATCH(1,(FS_Keys=AG759)*(FS_Points=I759)*(FS_teams&lt;&gt;G759),0)),"")</f>
        <v/>
      </c>
      <c r="AK759" s="390" t="str">
        <f t="array" ref="AK759">IF(AJ759&lt;&gt;"",INDEX(TM_Score1,MATCH(1,(TM_Events=D759)*(TM_Participant1=G759)*(TM_Participant2=AJ759),0)),"")</f>
        <v/>
      </c>
      <c r="AL759" s="390" t="str">
        <f t="array" ref="AL759">IF(AJ759&lt;&gt;"",INDEX(TM_Score1,MATCH(1,(TM_Events=D759)*(TM_Participant1=AJ759)*(TM_Participant2=G759),0)),"")</f>
        <v/>
      </c>
      <c r="AM759" s="389" t="str">
        <f t="array" ref="AM759">IF(ISNUMBER(AK759),INDEX(TM_Score2,MATCH(1,(TM_Events=D759)*(TM_Participant1=G759)*(TM_Participant2=AJ759),0)),"")</f>
        <v/>
      </c>
      <c r="AN759" s="389" t="str">
        <f t="array" ref="AN759">IF(ISNUMBER(AL759),INDEX(TM_Score2,MATCH(1,(TM_Events=D759)*(TM_Participant1=AJ759)*(TM_Participant2=G759),0)),"")</f>
        <v/>
      </c>
      <c r="AO759" s="389" t="str">
        <f t="shared" si="339"/>
        <v/>
      </c>
      <c r="AP759" s="389">
        <f t="shared" si="340"/>
        <v>0</v>
      </c>
      <c r="AQ759" s="389">
        <f t="shared" si="341"/>
        <v>0</v>
      </c>
      <c r="AR759" s="389">
        <f t="shared" si="342"/>
        <v>0</v>
      </c>
      <c r="AS759" s="453">
        <f t="shared" si="343"/>
        <v>0</v>
      </c>
      <c r="AT759" s="452">
        <f t="shared" si="344"/>
        <v>0</v>
      </c>
    </row>
    <row r="760" spans="2:46" ht="16" x14ac:dyDescent="0.2">
      <c r="B760"/>
      <c r="H760" s="387" t="str">
        <f t="shared" si="319"/>
        <v>0-0-0</v>
      </c>
      <c r="I760" s="389">
        <f t="shared" si="320"/>
        <v>0</v>
      </c>
      <c r="J760" s="455" t="str">
        <f t="shared" si="345"/>
        <v/>
      </c>
      <c r="K760" s="455">
        <f t="shared" si="321"/>
        <v>0</v>
      </c>
      <c r="L760" s="455">
        <f t="shared" si="346"/>
        <v>0</v>
      </c>
      <c r="M760" s="389" t="str">
        <f>IFERROR(IF(AD760&lt;=VLOOKUP(D760,Tournaments!$A$1:$B$1772,2,FALSE),"TRUE","FALSE"),"")</f>
        <v/>
      </c>
      <c r="N760" s="389">
        <v>1</v>
      </c>
      <c r="O760" s="389">
        <f t="shared" si="322"/>
        <v>0</v>
      </c>
      <c r="Q760" s="389">
        <f t="shared" si="323"/>
        <v>0</v>
      </c>
      <c r="R760" s="389">
        <f t="shared" si="324"/>
        <v>0</v>
      </c>
      <c r="S760" s="389">
        <f t="shared" si="325"/>
        <v>0</v>
      </c>
      <c r="U760" s="389">
        <f t="shared" si="326"/>
        <v>0</v>
      </c>
      <c r="V760" s="389" t="b">
        <f t="shared" si="327"/>
        <v>0</v>
      </c>
      <c r="W760" s="389">
        <f t="shared" si="328"/>
        <v>0</v>
      </c>
      <c r="X760" s="389">
        <f t="shared" si="329"/>
        <v>0</v>
      </c>
      <c r="Y760" s="389">
        <f t="shared" si="347"/>
        <v>1.0999999999999999E-2</v>
      </c>
      <c r="Z760" s="389">
        <f t="shared" si="330"/>
        <v>1.0999999999999999E-2</v>
      </c>
      <c r="AA760" s="389">
        <f t="shared" si="331"/>
        <v>0</v>
      </c>
      <c r="AB760" s="389">
        <f t="shared" si="332"/>
        <v>1E-4</v>
      </c>
      <c r="AC760" s="389">
        <f t="shared" si="333"/>
        <v>1E-4</v>
      </c>
      <c r="AD760" s="389">
        <f t="shared" si="334"/>
        <v>0</v>
      </c>
      <c r="AE760" s="389">
        <f t="shared" si="335"/>
        <v>0</v>
      </c>
      <c r="AG760" s="311" t="str">
        <f t="shared" si="336"/>
        <v>-</v>
      </c>
      <c r="AH760" s="453" t="str">
        <f t="shared" si="337"/>
        <v/>
      </c>
      <c r="AI760" s="453" t="str">
        <f t="shared" si="338"/>
        <v/>
      </c>
      <c r="AJ760" t="str">
        <f t="array" ref="AJ760">IF(AND(AI760&gt;1,G760&lt;&gt;""),INDEX(FS_teams,MATCH(1,(FS_Keys=AG760)*(FS_Points=I760)*(FS_teams&lt;&gt;G760),0)),"")</f>
        <v/>
      </c>
      <c r="AK760" s="390" t="str">
        <f t="array" ref="AK760">IF(AJ760&lt;&gt;"",INDEX(TM_Score1,MATCH(1,(TM_Events=D760)*(TM_Participant1=G760)*(TM_Participant2=AJ760),0)),"")</f>
        <v/>
      </c>
      <c r="AL760" s="390" t="str">
        <f t="array" ref="AL760">IF(AJ760&lt;&gt;"",INDEX(TM_Score1,MATCH(1,(TM_Events=D760)*(TM_Participant1=AJ760)*(TM_Participant2=G760),0)),"")</f>
        <v/>
      </c>
      <c r="AM760" s="389" t="str">
        <f t="array" ref="AM760">IF(ISNUMBER(AK760),INDEX(TM_Score2,MATCH(1,(TM_Events=D760)*(TM_Participant1=G760)*(TM_Participant2=AJ760),0)),"")</f>
        <v/>
      </c>
      <c r="AN760" s="389" t="str">
        <f t="array" ref="AN760">IF(ISNUMBER(AL760),INDEX(TM_Score2,MATCH(1,(TM_Events=D760)*(TM_Participant1=AJ760)*(TM_Participant2=G760),0)),"")</f>
        <v/>
      </c>
      <c r="AO760" s="389" t="str">
        <f t="shared" si="339"/>
        <v/>
      </c>
      <c r="AP760" s="389">
        <f t="shared" si="340"/>
        <v>0</v>
      </c>
      <c r="AQ760" s="389">
        <f t="shared" si="341"/>
        <v>0</v>
      </c>
      <c r="AR760" s="389">
        <f t="shared" si="342"/>
        <v>0</v>
      </c>
      <c r="AS760" s="453">
        <f t="shared" si="343"/>
        <v>0</v>
      </c>
      <c r="AT760" s="452">
        <f t="shared" si="344"/>
        <v>0</v>
      </c>
    </row>
    <row r="761" spans="2:46" ht="16" x14ac:dyDescent="0.2">
      <c r="B761"/>
      <c r="H761" s="387" t="str">
        <f t="shared" si="319"/>
        <v>0-0-0</v>
      </c>
      <c r="I761" s="389">
        <f t="shared" si="320"/>
        <v>0</v>
      </c>
      <c r="J761" s="455" t="str">
        <f t="shared" si="345"/>
        <v/>
      </c>
      <c r="K761" s="455">
        <f t="shared" si="321"/>
        <v>0</v>
      </c>
      <c r="L761" s="455">
        <f t="shared" si="346"/>
        <v>0</v>
      </c>
      <c r="M761" s="389" t="str">
        <f>IFERROR(IF(AD761&lt;=VLOOKUP(D761,Tournaments!$A$1:$B$1772,2,FALSE),"TRUE","FALSE"),"")</f>
        <v/>
      </c>
      <c r="N761" s="389">
        <v>1</v>
      </c>
      <c r="O761" s="389">
        <f t="shared" si="322"/>
        <v>0</v>
      </c>
      <c r="Q761" s="389">
        <f t="shared" si="323"/>
        <v>0</v>
      </c>
      <c r="R761" s="389">
        <f t="shared" si="324"/>
        <v>0</v>
      </c>
      <c r="S761" s="389">
        <f t="shared" si="325"/>
        <v>0</v>
      </c>
      <c r="U761" s="389">
        <f t="shared" si="326"/>
        <v>0</v>
      </c>
      <c r="V761" s="389" t="b">
        <f t="shared" si="327"/>
        <v>0</v>
      </c>
      <c r="W761" s="389">
        <f t="shared" si="328"/>
        <v>0</v>
      </c>
      <c r="X761" s="389">
        <f t="shared" si="329"/>
        <v>0</v>
      </c>
      <c r="Y761" s="389">
        <f t="shared" si="347"/>
        <v>1.0999999999999999E-2</v>
      </c>
      <c r="Z761" s="389">
        <f t="shared" si="330"/>
        <v>1.0999999999999999E-2</v>
      </c>
      <c r="AA761" s="389">
        <f t="shared" si="331"/>
        <v>0</v>
      </c>
      <c r="AB761" s="389">
        <f t="shared" si="332"/>
        <v>1E-4</v>
      </c>
      <c r="AC761" s="389">
        <f t="shared" si="333"/>
        <v>1E-4</v>
      </c>
      <c r="AD761" s="389">
        <f t="shared" si="334"/>
        <v>0</v>
      </c>
      <c r="AE761" s="389">
        <f t="shared" si="335"/>
        <v>0</v>
      </c>
      <c r="AG761" s="311" t="str">
        <f t="shared" si="336"/>
        <v>-</v>
      </c>
      <c r="AH761" s="453" t="str">
        <f t="shared" si="337"/>
        <v/>
      </c>
      <c r="AI761" s="453" t="str">
        <f t="shared" si="338"/>
        <v/>
      </c>
      <c r="AJ761" t="str">
        <f t="array" ref="AJ761">IF(AND(AI761&gt;1,G761&lt;&gt;""),INDEX(FS_teams,MATCH(1,(FS_Keys=AG761)*(FS_Points=I761)*(FS_teams&lt;&gt;G761),0)),"")</f>
        <v/>
      </c>
      <c r="AK761" s="390" t="str">
        <f t="array" ref="AK761">IF(AJ761&lt;&gt;"",INDEX(TM_Score1,MATCH(1,(TM_Events=D761)*(TM_Participant1=G761)*(TM_Participant2=AJ761),0)),"")</f>
        <v/>
      </c>
      <c r="AL761" s="390" t="str">
        <f t="array" ref="AL761">IF(AJ761&lt;&gt;"",INDEX(TM_Score1,MATCH(1,(TM_Events=D761)*(TM_Participant1=AJ761)*(TM_Participant2=G761),0)),"")</f>
        <v/>
      </c>
      <c r="AM761" s="389" t="str">
        <f t="array" ref="AM761">IF(ISNUMBER(AK761),INDEX(TM_Score2,MATCH(1,(TM_Events=D761)*(TM_Participant1=G761)*(TM_Participant2=AJ761),0)),"")</f>
        <v/>
      </c>
      <c r="AN761" s="389" t="str">
        <f t="array" ref="AN761">IF(ISNUMBER(AL761),INDEX(TM_Score2,MATCH(1,(TM_Events=D761)*(TM_Participant1=AJ761)*(TM_Participant2=G761),0)),"")</f>
        <v/>
      </c>
      <c r="AO761" s="389" t="str">
        <f t="shared" si="339"/>
        <v/>
      </c>
      <c r="AP761" s="389">
        <f t="shared" si="340"/>
        <v>0</v>
      </c>
      <c r="AQ761" s="389">
        <f t="shared" si="341"/>
        <v>0</v>
      </c>
      <c r="AR761" s="389">
        <f t="shared" si="342"/>
        <v>0</v>
      </c>
      <c r="AS761" s="453">
        <f t="shared" si="343"/>
        <v>0</v>
      </c>
      <c r="AT761" s="452">
        <f t="shared" si="344"/>
        <v>0</v>
      </c>
    </row>
    <row r="762" spans="2:46" ht="16" x14ac:dyDescent="0.2">
      <c r="B762"/>
      <c r="H762" s="387" t="str">
        <f t="shared" si="319"/>
        <v>0-0-0</v>
      </c>
      <c r="I762" s="389">
        <f t="shared" si="320"/>
        <v>0</v>
      </c>
      <c r="J762" s="455" t="str">
        <f t="shared" si="345"/>
        <v/>
      </c>
      <c r="K762" s="455">
        <f t="shared" si="321"/>
        <v>0</v>
      </c>
      <c r="L762" s="455">
        <f t="shared" si="346"/>
        <v>0</v>
      </c>
      <c r="M762" s="389" t="str">
        <f>IFERROR(IF(AD762&lt;=VLOOKUP(D762,Tournaments!$A$1:$B$1772,2,FALSE),"TRUE","FALSE"),"")</f>
        <v/>
      </c>
      <c r="N762" s="389">
        <v>1</v>
      </c>
      <c r="O762" s="389">
        <f t="shared" si="322"/>
        <v>0</v>
      </c>
      <c r="Q762" s="389">
        <f t="shared" si="323"/>
        <v>0</v>
      </c>
      <c r="R762" s="389">
        <f t="shared" si="324"/>
        <v>0</v>
      </c>
      <c r="S762" s="389">
        <f t="shared" si="325"/>
        <v>0</v>
      </c>
      <c r="U762" s="389">
        <f t="shared" si="326"/>
        <v>0</v>
      </c>
      <c r="V762" s="389" t="b">
        <f t="shared" si="327"/>
        <v>0</v>
      </c>
      <c r="W762" s="389">
        <f t="shared" si="328"/>
        <v>0</v>
      </c>
      <c r="X762" s="389">
        <f t="shared" si="329"/>
        <v>0</v>
      </c>
      <c r="Y762" s="389">
        <f t="shared" si="347"/>
        <v>1.0999999999999999E-2</v>
      </c>
      <c r="Z762" s="389">
        <f t="shared" si="330"/>
        <v>1.0999999999999999E-2</v>
      </c>
      <c r="AA762" s="389">
        <f t="shared" si="331"/>
        <v>0</v>
      </c>
      <c r="AB762" s="389">
        <f t="shared" si="332"/>
        <v>1E-4</v>
      </c>
      <c r="AC762" s="389">
        <f t="shared" si="333"/>
        <v>1E-4</v>
      </c>
      <c r="AD762" s="389">
        <f t="shared" si="334"/>
        <v>0</v>
      </c>
      <c r="AE762" s="389">
        <f t="shared" si="335"/>
        <v>0</v>
      </c>
      <c r="AG762" s="311" t="str">
        <f t="shared" si="336"/>
        <v>-</v>
      </c>
      <c r="AH762" s="453" t="str">
        <f t="shared" si="337"/>
        <v/>
      </c>
      <c r="AI762" s="453" t="str">
        <f t="shared" si="338"/>
        <v/>
      </c>
      <c r="AJ762" t="str">
        <f t="array" ref="AJ762">IF(AND(AI762&gt;1,G762&lt;&gt;""),INDEX(FS_teams,MATCH(1,(FS_Keys=AG762)*(FS_Points=I762)*(FS_teams&lt;&gt;G762),0)),"")</f>
        <v/>
      </c>
      <c r="AK762" s="390" t="str">
        <f t="array" ref="AK762">IF(AJ762&lt;&gt;"",INDEX(TM_Score1,MATCH(1,(TM_Events=D762)*(TM_Participant1=G762)*(TM_Participant2=AJ762),0)),"")</f>
        <v/>
      </c>
      <c r="AL762" s="390" t="str">
        <f t="array" ref="AL762">IF(AJ762&lt;&gt;"",INDEX(TM_Score1,MATCH(1,(TM_Events=D762)*(TM_Participant1=AJ762)*(TM_Participant2=G762),0)),"")</f>
        <v/>
      </c>
      <c r="AM762" s="389" t="str">
        <f t="array" ref="AM762">IF(ISNUMBER(AK762),INDEX(TM_Score2,MATCH(1,(TM_Events=D762)*(TM_Participant1=G762)*(TM_Participant2=AJ762),0)),"")</f>
        <v/>
      </c>
      <c r="AN762" s="389" t="str">
        <f t="array" ref="AN762">IF(ISNUMBER(AL762),INDEX(TM_Score2,MATCH(1,(TM_Events=D762)*(TM_Participant1=AJ762)*(TM_Participant2=G762),0)),"")</f>
        <v/>
      </c>
      <c r="AO762" s="389" t="str">
        <f t="shared" si="339"/>
        <v/>
      </c>
      <c r="AP762" s="389">
        <f t="shared" si="340"/>
        <v>0</v>
      </c>
      <c r="AQ762" s="389">
        <f t="shared" si="341"/>
        <v>0</v>
      </c>
      <c r="AR762" s="389">
        <f t="shared" si="342"/>
        <v>0</v>
      </c>
      <c r="AS762" s="453">
        <f t="shared" si="343"/>
        <v>0</v>
      </c>
      <c r="AT762" s="452">
        <f t="shared" si="344"/>
        <v>0</v>
      </c>
    </row>
    <row r="763" spans="2:46" ht="16" x14ac:dyDescent="0.2">
      <c r="B763"/>
      <c r="H763" s="387" t="str">
        <f t="shared" si="319"/>
        <v>0-0-0</v>
      </c>
      <c r="I763" s="389">
        <f t="shared" si="320"/>
        <v>0</v>
      </c>
      <c r="J763" s="455" t="str">
        <f t="shared" si="345"/>
        <v/>
      </c>
      <c r="K763" s="455">
        <f t="shared" si="321"/>
        <v>0</v>
      </c>
      <c r="L763" s="455">
        <f t="shared" si="346"/>
        <v>0</v>
      </c>
      <c r="M763" s="389" t="str">
        <f>IFERROR(IF(AD763&lt;=VLOOKUP(D763,Tournaments!$A$1:$B$1772,2,FALSE),"TRUE","FALSE"),"")</f>
        <v/>
      </c>
      <c r="N763" s="389">
        <v>1</v>
      </c>
      <c r="O763" s="389">
        <f t="shared" si="322"/>
        <v>0</v>
      </c>
      <c r="Q763" s="389">
        <f t="shared" si="323"/>
        <v>0</v>
      </c>
      <c r="R763" s="389">
        <f t="shared" si="324"/>
        <v>0</v>
      </c>
      <c r="S763" s="389">
        <f t="shared" si="325"/>
        <v>0</v>
      </c>
      <c r="U763" s="389">
        <f t="shared" si="326"/>
        <v>0</v>
      </c>
      <c r="V763" s="389" t="b">
        <f t="shared" si="327"/>
        <v>0</v>
      </c>
      <c r="W763" s="389">
        <f t="shared" si="328"/>
        <v>0</v>
      </c>
      <c r="X763" s="389">
        <f t="shared" si="329"/>
        <v>0</v>
      </c>
      <c r="Y763" s="389">
        <f t="shared" si="347"/>
        <v>1.0999999999999999E-2</v>
      </c>
      <c r="Z763" s="389">
        <f t="shared" si="330"/>
        <v>1.0999999999999999E-2</v>
      </c>
      <c r="AA763" s="389">
        <f t="shared" si="331"/>
        <v>0</v>
      </c>
      <c r="AB763" s="389">
        <f t="shared" si="332"/>
        <v>1E-4</v>
      </c>
      <c r="AC763" s="389">
        <f t="shared" si="333"/>
        <v>1E-4</v>
      </c>
      <c r="AD763" s="389">
        <f t="shared" si="334"/>
        <v>0</v>
      </c>
      <c r="AE763" s="389">
        <f t="shared" si="335"/>
        <v>0</v>
      </c>
      <c r="AG763" s="311" t="str">
        <f t="shared" si="336"/>
        <v>-</v>
      </c>
      <c r="AH763" s="453" t="str">
        <f t="shared" si="337"/>
        <v/>
      </c>
      <c r="AI763" s="453" t="str">
        <f t="shared" si="338"/>
        <v/>
      </c>
      <c r="AJ763" t="str">
        <f t="array" ref="AJ763">IF(AND(AI763&gt;1,G763&lt;&gt;""),INDEX(FS_teams,MATCH(1,(FS_Keys=AG763)*(FS_Points=I763)*(FS_teams&lt;&gt;G763),0)),"")</f>
        <v/>
      </c>
      <c r="AK763" s="390" t="str">
        <f t="array" ref="AK763">IF(AJ763&lt;&gt;"",INDEX(TM_Score1,MATCH(1,(TM_Events=D763)*(TM_Participant1=G763)*(TM_Participant2=AJ763),0)),"")</f>
        <v/>
      </c>
      <c r="AL763" s="390" t="str">
        <f t="array" ref="AL763">IF(AJ763&lt;&gt;"",INDEX(TM_Score1,MATCH(1,(TM_Events=D763)*(TM_Participant1=AJ763)*(TM_Participant2=G763),0)),"")</f>
        <v/>
      </c>
      <c r="AM763" s="389" t="str">
        <f t="array" ref="AM763">IF(ISNUMBER(AK763),INDEX(TM_Score2,MATCH(1,(TM_Events=D763)*(TM_Participant1=G763)*(TM_Participant2=AJ763),0)),"")</f>
        <v/>
      </c>
      <c r="AN763" s="389" t="str">
        <f t="array" ref="AN763">IF(ISNUMBER(AL763),INDEX(TM_Score2,MATCH(1,(TM_Events=D763)*(TM_Participant1=AJ763)*(TM_Participant2=G763),0)),"")</f>
        <v/>
      </c>
      <c r="AO763" s="389" t="str">
        <f t="shared" si="339"/>
        <v/>
      </c>
      <c r="AP763" s="389">
        <f t="shared" si="340"/>
        <v>0</v>
      </c>
      <c r="AQ763" s="389">
        <f t="shared" si="341"/>
        <v>0</v>
      </c>
      <c r="AR763" s="389">
        <f t="shared" si="342"/>
        <v>0</v>
      </c>
      <c r="AS763" s="453">
        <f t="shared" si="343"/>
        <v>0</v>
      </c>
      <c r="AT763" s="452">
        <f t="shared" si="344"/>
        <v>0</v>
      </c>
    </row>
    <row r="764" spans="2:46" ht="16" x14ac:dyDescent="0.2">
      <c r="B764"/>
      <c r="H764" s="387" t="str">
        <f t="shared" si="319"/>
        <v>0-0-0</v>
      </c>
      <c r="I764" s="389">
        <f t="shared" si="320"/>
        <v>0</v>
      </c>
      <c r="J764" s="455" t="str">
        <f t="shared" si="345"/>
        <v/>
      </c>
      <c r="K764" s="455">
        <f t="shared" si="321"/>
        <v>0</v>
      </c>
      <c r="L764" s="455">
        <f t="shared" si="346"/>
        <v>0</v>
      </c>
      <c r="M764" s="389" t="str">
        <f>IFERROR(IF(AD764&lt;=VLOOKUP(D764,Tournaments!$A$1:$B$1772,2,FALSE),"TRUE","FALSE"),"")</f>
        <v/>
      </c>
      <c r="N764" s="389">
        <v>1</v>
      </c>
      <c r="O764" s="389">
        <f t="shared" si="322"/>
        <v>0</v>
      </c>
      <c r="Q764" s="389">
        <f t="shared" si="323"/>
        <v>0</v>
      </c>
      <c r="R764" s="389">
        <f t="shared" si="324"/>
        <v>0</v>
      </c>
      <c r="S764" s="389">
        <f t="shared" si="325"/>
        <v>0</v>
      </c>
      <c r="U764" s="389">
        <f t="shared" si="326"/>
        <v>0</v>
      </c>
      <c r="V764" s="389" t="b">
        <f t="shared" si="327"/>
        <v>0</v>
      </c>
      <c r="W764" s="389">
        <f t="shared" si="328"/>
        <v>0</v>
      </c>
      <c r="X764" s="389">
        <f t="shared" si="329"/>
        <v>0</v>
      </c>
      <c r="Y764" s="389">
        <f t="shared" si="347"/>
        <v>1.0999999999999999E-2</v>
      </c>
      <c r="Z764" s="389">
        <f t="shared" si="330"/>
        <v>1.0999999999999999E-2</v>
      </c>
      <c r="AA764" s="389">
        <f t="shared" si="331"/>
        <v>0</v>
      </c>
      <c r="AB764" s="389">
        <f t="shared" si="332"/>
        <v>1E-4</v>
      </c>
      <c r="AC764" s="389">
        <f t="shared" si="333"/>
        <v>1E-4</v>
      </c>
      <c r="AD764" s="389">
        <f t="shared" si="334"/>
        <v>0</v>
      </c>
      <c r="AE764" s="389">
        <f t="shared" si="335"/>
        <v>0</v>
      </c>
      <c r="AG764" s="311" t="str">
        <f t="shared" si="336"/>
        <v>-</v>
      </c>
      <c r="AH764" s="453" t="str">
        <f t="shared" si="337"/>
        <v/>
      </c>
      <c r="AI764" s="453" t="str">
        <f t="shared" si="338"/>
        <v/>
      </c>
      <c r="AJ764" t="str">
        <f t="array" ref="AJ764">IF(AND(AI764&gt;1,G764&lt;&gt;""),INDEX(FS_teams,MATCH(1,(FS_Keys=AG764)*(FS_Points=I764)*(FS_teams&lt;&gt;G764),0)),"")</f>
        <v/>
      </c>
      <c r="AK764" s="390" t="str">
        <f t="array" ref="AK764">IF(AJ764&lt;&gt;"",INDEX(TM_Score1,MATCH(1,(TM_Events=D764)*(TM_Participant1=G764)*(TM_Participant2=AJ764),0)),"")</f>
        <v/>
      </c>
      <c r="AL764" s="390" t="str">
        <f t="array" ref="AL764">IF(AJ764&lt;&gt;"",INDEX(TM_Score1,MATCH(1,(TM_Events=D764)*(TM_Participant1=AJ764)*(TM_Participant2=G764),0)),"")</f>
        <v/>
      </c>
      <c r="AM764" s="389" t="str">
        <f t="array" ref="AM764">IF(ISNUMBER(AK764),INDEX(TM_Score2,MATCH(1,(TM_Events=D764)*(TM_Participant1=G764)*(TM_Participant2=AJ764),0)),"")</f>
        <v/>
      </c>
      <c r="AN764" s="389" t="str">
        <f t="array" ref="AN764">IF(ISNUMBER(AL764),INDEX(TM_Score2,MATCH(1,(TM_Events=D764)*(TM_Participant1=AJ764)*(TM_Participant2=G764),0)),"")</f>
        <v/>
      </c>
      <c r="AO764" s="389" t="str">
        <f t="shared" si="339"/>
        <v/>
      </c>
      <c r="AP764" s="389">
        <f t="shared" si="340"/>
        <v>0</v>
      </c>
      <c r="AQ764" s="389">
        <f t="shared" si="341"/>
        <v>0</v>
      </c>
      <c r="AR764" s="389">
        <f t="shared" si="342"/>
        <v>0</v>
      </c>
      <c r="AS764" s="453">
        <f t="shared" si="343"/>
        <v>0</v>
      </c>
      <c r="AT764" s="452">
        <f t="shared" si="344"/>
        <v>0</v>
      </c>
    </row>
    <row r="765" spans="2:46" ht="16" x14ac:dyDescent="0.2">
      <c r="B765"/>
      <c r="H765" s="387" t="str">
        <f t="shared" si="319"/>
        <v>0-0-0</v>
      </c>
      <c r="I765" s="389">
        <f t="shared" si="320"/>
        <v>0</v>
      </c>
      <c r="J765" s="455" t="str">
        <f t="shared" si="345"/>
        <v/>
      </c>
      <c r="K765" s="455">
        <f t="shared" si="321"/>
        <v>0</v>
      </c>
      <c r="L765" s="455">
        <f t="shared" si="346"/>
        <v>0</v>
      </c>
      <c r="M765" s="389" t="str">
        <f>IFERROR(IF(AD765&lt;=VLOOKUP(D765,Tournaments!$A$1:$B$1772,2,FALSE),"TRUE","FALSE"),"")</f>
        <v/>
      </c>
      <c r="N765" s="389">
        <v>1</v>
      </c>
      <c r="O765" s="389">
        <f t="shared" si="322"/>
        <v>0</v>
      </c>
      <c r="Q765" s="389">
        <f t="shared" si="323"/>
        <v>0</v>
      </c>
      <c r="R765" s="389">
        <f t="shared" si="324"/>
        <v>0</v>
      </c>
      <c r="S765" s="389">
        <f t="shared" si="325"/>
        <v>0</v>
      </c>
      <c r="U765" s="389">
        <f t="shared" si="326"/>
        <v>0</v>
      </c>
      <c r="V765" s="389" t="b">
        <f t="shared" si="327"/>
        <v>0</v>
      </c>
      <c r="W765" s="389">
        <f t="shared" si="328"/>
        <v>0</v>
      </c>
      <c r="X765" s="389">
        <f t="shared" si="329"/>
        <v>0</v>
      </c>
      <c r="Y765" s="389">
        <f t="shared" si="347"/>
        <v>1.0999999999999999E-2</v>
      </c>
      <c r="Z765" s="389">
        <f t="shared" si="330"/>
        <v>1.0999999999999999E-2</v>
      </c>
      <c r="AA765" s="389">
        <f t="shared" si="331"/>
        <v>0</v>
      </c>
      <c r="AB765" s="389">
        <f t="shared" si="332"/>
        <v>1E-4</v>
      </c>
      <c r="AC765" s="389">
        <f t="shared" si="333"/>
        <v>1E-4</v>
      </c>
      <c r="AD765" s="389">
        <f t="shared" si="334"/>
        <v>0</v>
      </c>
      <c r="AE765" s="389">
        <f t="shared" si="335"/>
        <v>0</v>
      </c>
      <c r="AG765" s="311" t="str">
        <f t="shared" si="336"/>
        <v>-</v>
      </c>
      <c r="AH765" s="453" t="str">
        <f t="shared" si="337"/>
        <v/>
      </c>
      <c r="AI765" s="453" t="str">
        <f t="shared" si="338"/>
        <v/>
      </c>
      <c r="AJ765" t="str">
        <f t="array" ref="AJ765">IF(AND(AI765&gt;1,G765&lt;&gt;""),INDEX(FS_teams,MATCH(1,(FS_Keys=AG765)*(FS_Points=I765)*(FS_teams&lt;&gt;G765),0)),"")</f>
        <v/>
      </c>
      <c r="AK765" s="390" t="str">
        <f t="array" ref="AK765">IF(AJ765&lt;&gt;"",INDEX(TM_Score1,MATCH(1,(TM_Events=D765)*(TM_Participant1=G765)*(TM_Participant2=AJ765),0)),"")</f>
        <v/>
      </c>
      <c r="AL765" s="390" t="str">
        <f t="array" ref="AL765">IF(AJ765&lt;&gt;"",INDEX(TM_Score1,MATCH(1,(TM_Events=D765)*(TM_Participant1=AJ765)*(TM_Participant2=G765),0)),"")</f>
        <v/>
      </c>
      <c r="AM765" s="389" t="str">
        <f t="array" ref="AM765">IF(ISNUMBER(AK765),INDEX(TM_Score2,MATCH(1,(TM_Events=D765)*(TM_Participant1=G765)*(TM_Participant2=AJ765),0)),"")</f>
        <v/>
      </c>
      <c r="AN765" s="389" t="str">
        <f t="array" ref="AN765">IF(ISNUMBER(AL765),INDEX(TM_Score2,MATCH(1,(TM_Events=D765)*(TM_Participant1=AJ765)*(TM_Participant2=G765),0)),"")</f>
        <v/>
      </c>
      <c r="AO765" s="389" t="str">
        <f t="shared" si="339"/>
        <v/>
      </c>
      <c r="AP765" s="389">
        <f t="shared" si="340"/>
        <v>0</v>
      </c>
      <c r="AQ765" s="389">
        <f t="shared" si="341"/>
        <v>0</v>
      </c>
      <c r="AR765" s="389">
        <f t="shared" si="342"/>
        <v>0</v>
      </c>
      <c r="AS765" s="453">
        <f t="shared" si="343"/>
        <v>0</v>
      </c>
      <c r="AT765" s="452">
        <f t="shared" si="344"/>
        <v>0</v>
      </c>
    </row>
    <row r="766" spans="2:46" ht="16" x14ac:dyDescent="0.2">
      <c r="B766"/>
      <c r="H766" s="387" t="str">
        <f t="shared" si="319"/>
        <v>0-0-0</v>
      </c>
      <c r="I766" s="389">
        <f t="shared" si="320"/>
        <v>0</v>
      </c>
      <c r="J766" s="455" t="str">
        <f t="shared" si="345"/>
        <v/>
      </c>
      <c r="K766" s="455">
        <f t="shared" si="321"/>
        <v>0</v>
      </c>
      <c r="L766" s="455">
        <f t="shared" si="346"/>
        <v>0</v>
      </c>
      <c r="M766" s="389" t="str">
        <f>IFERROR(IF(AD766&lt;=VLOOKUP(D766,Tournaments!$A$1:$B$1772,2,FALSE),"TRUE","FALSE"),"")</f>
        <v/>
      </c>
      <c r="N766" s="389">
        <v>1</v>
      </c>
      <c r="O766" s="389">
        <f t="shared" si="322"/>
        <v>0</v>
      </c>
      <c r="Q766" s="389">
        <f t="shared" si="323"/>
        <v>0</v>
      </c>
      <c r="R766" s="389">
        <f t="shared" si="324"/>
        <v>0</v>
      </c>
      <c r="S766" s="389">
        <f t="shared" si="325"/>
        <v>0</v>
      </c>
      <c r="U766" s="389">
        <f t="shared" si="326"/>
        <v>0</v>
      </c>
      <c r="V766" s="389" t="b">
        <f t="shared" si="327"/>
        <v>0</v>
      </c>
      <c r="W766" s="389">
        <f t="shared" si="328"/>
        <v>0</v>
      </c>
      <c r="X766" s="389">
        <f t="shared" si="329"/>
        <v>0</v>
      </c>
      <c r="Y766" s="389">
        <f t="shared" si="347"/>
        <v>1.0999999999999999E-2</v>
      </c>
      <c r="Z766" s="389">
        <f t="shared" si="330"/>
        <v>1.0999999999999999E-2</v>
      </c>
      <c r="AA766" s="389">
        <f t="shared" si="331"/>
        <v>0</v>
      </c>
      <c r="AB766" s="389">
        <f t="shared" si="332"/>
        <v>1E-4</v>
      </c>
      <c r="AC766" s="389">
        <f t="shared" si="333"/>
        <v>1E-4</v>
      </c>
      <c r="AD766" s="389">
        <f t="shared" si="334"/>
        <v>0</v>
      </c>
      <c r="AE766" s="389">
        <f t="shared" si="335"/>
        <v>0</v>
      </c>
      <c r="AG766" s="311" t="str">
        <f t="shared" si="336"/>
        <v>-</v>
      </c>
      <c r="AH766" s="453" t="str">
        <f t="shared" si="337"/>
        <v/>
      </c>
      <c r="AI766" s="453" t="str">
        <f t="shared" si="338"/>
        <v/>
      </c>
      <c r="AJ766" t="str">
        <f t="array" ref="AJ766">IF(AND(AI766&gt;1,G766&lt;&gt;""),INDEX(FS_teams,MATCH(1,(FS_Keys=AG766)*(FS_Points=I766)*(FS_teams&lt;&gt;G766),0)),"")</f>
        <v/>
      </c>
      <c r="AK766" s="390" t="str">
        <f t="array" ref="AK766">IF(AJ766&lt;&gt;"",INDEX(TM_Score1,MATCH(1,(TM_Events=D766)*(TM_Participant1=G766)*(TM_Participant2=AJ766),0)),"")</f>
        <v/>
      </c>
      <c r="AL766" s="390" t="str">
        <f t="array" ref="AL766">IF(AJ766&lt;&gt;"",INDEX(TM_Score1,MATCH(1,(TM_Events=D766)*(TM_Participant1=AJ766)*(TM_Participant2=G766),0)),"")</f>
        <v/>
      </c>
      <c r="AM766" s="389" t="str">
        <f t="array" ref="AM766">IF(ISNUMBER(AK766),INDEX(TM_Score2,MATCH(1,(TM_Events=D766)*(TM_Participant1=G766)*(TM_Participant2=AJ766),0)),"")</f>
        <v/>
      </c>
      <c r="AN766" s="389" t="str">
        <f t="array" ref="AN766">IF(ISNUMBER(AL766),INDEX(TM_Score2,MATCH(1,(TM_Events=D766)*(TM_Participant1=AJ766)*(TM_Participant2=G766),0)),"")</f>
        <v/>
      </c>
      <c r="AO766" s="389" t="str">
        <f t="shared" si="339"/>
        <v/>
      </c>
      <c r="AP766" s="389">
        <f t="shared" si="340"/>
        <v>0</v>
      </c>
      <c r="AQ766" s="389">
        <f t="shared" si="341"/>
        <v>0</v>
      </c>
      <c r="AR766" s="389">
        <f t="shared" si="342"/>
        <v>0</v>
      </c>
      <c r="AS766" s="453">
        <f t="shared" si="343"/>
        <v>0</v>
      </c>
      <c r="AT766" s="452">
        <f t="shared" si="344"/>
        <v>0</v>
      </c>
    </row>
    <row r="767" spans="2:46" ht="16" x14ac:dyDescent="0.2">
      <c r="B767"/>
      <c r="H767" s="387" t="str">
        <f t="shared" si="319"/>
        <v>0-0-0</v>
      </c>
      <c r="I767" s="389">
        <f t="shared" si="320"/>
        <v>0</v>
      </c>
      <c r="J767" s="455" t="str">
        <f t="shared" si="345"/>
        <v/>
      </c>
      <c r="K767" s="455">
        <f t="shared" si="321"/>
        <v>0</v>
      </c>
      <c r="L767" s="455">
        <f t="shared" si="346"/>
        <v>0</v>
      </c>
      <c r="M767" s="389" t="str">
        <f>IFERROR(IF(AD767&lt;=VLOOKUP(D767,Tournaments!$A$1:$B$1772,2,FALSE),"TRUE","FALSE"),"")</f>
        <v/>
      </c>
      <c r="N767" s="389">
        <v>1</v>
      </c>
      <c r="O767" s="389">
        <f t="shared" si="322"/>
        <v>0</v>
      </c>
      <c r="Q767" s="389">
        <f t="shared" si="323"/>
        <v>0</v>
      </c>
      <c r="R767" s="389">
        <f t="shared" si="324"/>
        <v>0</v>
      </c>
      <c r="S767" s="389">
        <f t="shared" si="325"/>
        <v>0</v>
      </c>
      <c r="U767" s="389">
        <f t="shared" si="326"/>
        <v>0</v>
      </c>
      <c r="V767" s="389" t="b">
        <f t="shared" si="327"/>
        <v>0</v>
      </c>
      <c r="W767" s="389">
        <f t="shared" si="328"/>
        <v>0</v>
      </c>
      <c r="X767" s="389">
        <f t="shared" si="329"/>
        <v>0</v>
      </c>
      <c r="Y767" s="389">
        <f t="shared" si="347"/>
        <v>1.0999999999999999E-2</v>
      </c>
      <c r="Z767" s="389">
        <f t="shared" si="330"/>
        <v>1.0999999999999999E-2</v>
      </c>
      <c r="AA767" s="389">
        <f t="shared" si="331"/>
        <v>0</v>
      </c>
      <c r="AB767" s="389">
        <f t="shared" si="332"/>
        <v>1E-4</v>
      </c>
      <c r="AC767" s="389">
        <f t="shared" si="333"/>
        <v>1E-4</v>
      </c>
      <c r="AD767" s="389">
        <f t="shared" si="334"/>
        <v>0</v>
      </c>
      <c r="AE767" s="389">
        <f t="shared" si="335"/>
        <v>0</v>
      </c>
      <c r="AG767" s="311" t="str">
        <f t="shared" si="336"/>
        <v>-</v>
      </c>
      <c r="AH767" s="453" t="str">
        <f t="shared" si="337"/>
        <v/>
      </c>
      <c r="AI767" s="453" t="str">
        <f t="shared" si="338"/>
        <v/>
      </c>
      <c r="AJ767" t="str">
        <f t="array" ref="AJ767">IF(AND(AI767&gt;1,G767&lt;&gt;""),INDEX(FS_teams,MATCH(1,(FS_Keys=AG767)*(FS_Points=I767)*(FS_teams&lt;&gt;G767),0)),"")</f>
        <v/>
      </c>
      <c r="AK767" s="390" t="str">
        <f t="array" ref="AK767">IF(AJ767&lt;&gt;"",INDEX(TM_Score1,MATCH(1,(TM_Events=D767)*(TM_Participant1=G767)*(TM_Participant2=AJ767),0)),"")</f>
        <v/>
      </c>
      <c r="AL767" s="390" t="str">
        <f t="array" ref="AL767">IF(AJ767&lt;&gt;"",INDEX(TM_Score1,MATCH(1,(TM_Events=D767)*(TM_Participant1=AJ767)*(TM_Participant2=G767),0)),"")</f>
        <v/>
      </c>
      <c r="AM767" s="389" t="str">
        <f t="array" ref="AM767">IF(ISNUMBER(AK767),INDEX(TM_Score2,MATCH(1,(TM_Events=D767)*(TM_Participant1=G767)*(TM_Participant2=AJ767),0)),"")</f>
        <v/>
      </c>
      <c r="AN767" s="389" t="str">
        <f t="array" ref="AN767">IF(ISNUMBER(AL767),INDEX(TM_Score2,MATCH(1,(TM_Events=D767)*(TM_Participant1=AJ767)*(TM_Participant2=G767),0)),"")</f>
        <v/>
      </c>
      <c r="AO767" s="389" t="str">
        <f t="shared" si="339"/>
        <v/>
      </c>
      <c r="AP767" s="389">
        <f t="shared" si="340"/>
        <v>0</v>
      </c>
      <c r="AQ767" s="389">
        <f t="shared" si="341"/>
        <v>0</v>
      </c>
      <c r="AR767" s="389">
        <f t="shared" si="342"/>
        <v>0</v>
      </c>
      <c r="AS767" s="453">
        <f t="shared" si="343"/>
        <v>0</v>
      </c>
      <c r="AT767" s="452">
        <f t="shared" si="344"/>
        <v>0</v>
      </c>
    </row>
    <row r="768" spans="2:46" ht="16" x14ac:dyDescent="0.2">
      <c r="B768"/>
      <c r="H768" s="387" t="str">
        <f t="shared" si="319"/>
        <v>0-0-0</v>
      </c>
      <c r="I768" s="389">
        <f t="shared" si="320"/>
        <v>0</v>
      </c>
      <c r="J768" s="455" t="str">
        <f t="shared" si="345"/>
        <v/>
      </c>
      <c r="K768" s="455">
        <f t="shared" si="321"/>
        <v>0</v>
      </c>
      <c r="L768" s="455">
        <f t="shared" si="346"/>
        <v>0</v>
      </c>
      <c r="M768" s="389" t="str">
        <f>IFERROR(IF(AD768&lt;=VLOOKUP(D768,Tournaments!$A$1:$B$1772,2,FALSE),"TRUE","FALSE"),"")</f>
        <v/>
      </c>
      <c r="N768" s="389">
        <v>1</v>
      </c>
      <c r="O768" s="389">
        <f t="shared" si="322"/>
        <v>0</v>
      </c>
      <c r="Q768" s="389">
        <f t="shared" si="323"/>
        <v>0</v>
      </c>
      <c r="R768" s="389">
        <f t="shared" si="324"/>
        <v>0</v>
      </c>
      <c r="S768" s="389">
        <f t="shared" si="325"/>
        <v>0</v>
      </c>
      <c r="U768" s="389">
        <f t="shared" si="326"/>
        <v>0</v>
      </c>
      <c r="V768" s="389" t="b">
        <f t="shared" si="327"/>
        <v>0</v>
      </c>
      <c r="W768" s="389">
        <f t="shared" si="328"/>
        <v>0</v>
      </c>
      <c r="X768" s="389">
        <f t="shared" si="329"/>
        <v>0</v>
      </c>
      <c r="Y768" s="389">
        <f t="shared" si="347"/>
        <v>1.0999999999999999E-2</v>
      </c>
      <c r="Z768" s="389">
        <f t="shared" si="330"/>
        <v>1.0999999999999999E-2</v>
      </c>
      <c r="AA768" s="389">
        <f t="shared" si="331"/>
        <v>0</v>
      </c>
      <c r="AB768" s="389">
        <f t="shared" si="332"/>
        <v>1E-4</v>
      </c>
      <c r="AC768" s="389">
        <f t="shared" si="333"/>
        <v>1E-4</v>
      </c>
      <c r="AD768" s="389">
        <f t="shared" si="334"/>
        <v>0</v>
      </c>
      <c r="AE768" s="389">
        <f t="shared" si="335"/>
        <v>0</v>
      </c>
      <c r="AG768" s="311" t="str">
        <f t="shared" si="336"/>
        <v>-</v>
      </c>
      <c r="AH768" s="453" t="str">
        <f t="shared" si="337"/>
        <v/>
      </c>
      <c r="AI768" s="453" t="str">
        <f t="shared" si="338"/>
        <v/>
      </c>
      <c r="AJ768" t="str">
        <f t="array" ref="AJ768">IF(AND(AI768&gt;1,G768&lt;&gt;""),INDEX(FS_teams,MATCH(1,(FS_Keys=AG768)*(FS_Points=I768)*(FS_teams&lt;&gt;G768),0)),"")</f>
        <v/>
      </c>
      <c r="AK768" s="390" t="str">
        <f t="array" ref="AK768">IF(AJ768&lt;&gt;"",INDEX(TM_Score1,MATCH(1,(TM_Events=D768)*(TM_Participant1=G768)*(TM_Participant2=AJ768),0)),"")</f>
        <v/>
      </c>
      <c r="AL768" s="390" t="str">
        <f t="array" ref="AL768">IF(AJ768&lt;&gt;"",INDEX(TM_Score1,MATCH(1,(TM_Events=D768)*(TM_Participant1=AJ768)*(TM_Participant2=G768),0)),"")</f>
        <v/>
      </c>
      <c r="AM768" s="389" t="str">
        <f t="array" ref="AM768">IF(ISNUMBER(AK768),INDEX(TM_Score2,MATCH(1,(TM_Events=D768)*(TM_Participant1=G768)*(TM_Participant2=AJ768),0)),"")</f>
        <v/>
      </c>
      <c r="AN768" s="389" t="str">
        <f t="array" ref="AN768">IF(ISNUMBER(AL768),INDEX(TM_Score2,MATCH(1,(TM_Events=D768)*(TM_Participant1=AJ768)*(TM_Participant2=G768),0)),"")</f>
        <v/>
      </c>
      <c r="AO768" s="389" t="str">
        <f t="shared" si="339"/>
        <v/>
      </c>
      <c r="AP768" s="389">
        <f t="shared" si="340"/>
        <v>0</v>
      </c>
      <c r="AQ768" s="389">
        <f t="shared" si="341"/>
        <v>0</v>
      </c>
      <c r="AR768" s="389">
        <f t="shared" si="342"/>
        <v>0</v>
      </c>
      <c r="AS768" s="453">
        <f t="shared" si="343"/>
        <v>0</v>
      </c>
      <c r="AT768" s="452">
        <f t="shared" si="344"/>
        <v>0</v>
      </c>
    </row>
    <row r="769" spans="2:46" ht="16" x14ac:dyDescent="0.2">
      <c r="B769"/>
      <c r="H769" s="387" t="str">
        <f t="shared" si="319"/>
        <v>0-0-0</v>
      </c>
      <c r="I769" s="389">
        <f t="shared" si="320"/>
        <v>0</v>
      </c>
      <c r="J769" s="455" t="str">
        <f t="shared" si="345"/>
        <v/>
      </c>
      <c r="K769" s="455">
        <f t="shared" si="321"/>
        <v>0</v>
      </c>
      <c r="L769" s="455">
        <f t="shared" si="346"/>
        <v>0</v>
      </c>
      <c r="M769" s="389" t="str">
        <f>IFERROR(IF(AD769&lt;=VLOOKUP(D769,Tournaments!$A$1:$B$1772,2,FALSE),"TRUE","FALSE"),"")</f>
        <v/>
      </c>
      <c r="N769" s="389">
        <v>1</v>
      </c>
      <c r="O769" s="389">
        <f t="shared" si="322"/>
        <v>0</v>
      </c>
      <c r="Q769" s="389">
        <f t="shared" si="323"/>
        <v>0</v>
      </c>
      <c r="R769" s="389">
        <f t="shared" si="324"/>
        <v>0</v>
      </c>
      <c r="S769" s="389">
        <f t="shared" si="325"/>
        <v>0</v>
      </c>
      <c r="U769" s="389">
        <f t="shared" si="326"/>
        <v>0</v>
      </c>
      <c r="V769" s="389" t="b">
        <f t="shared" si="327"/>
        <v>0</v>
      </c>
      <c r="W769" s="389">
        <f t="shared" si="328"/>
        <v>0</v>
      </c>
      <c r="X769" s="389">
        <f t="shared" si="329"/>
        <v>0</v>
      </c>
      <c r="Y769" s="389">
        <f t="shared" si="347"/>
        <v>1.0999999999999999E-2</v>
      </c>
      <c r="Z769" s="389">
        <f t="shared" si="330"/>
        <v>1.0999999999999999E-2</v>
      </c>
      <c r="AA769" s="389">
        <f t="shared" si="331"/>
        <v>0</v>
      </c>
      <c r="AB769" s="389">
        <f t="shared" si="332"/>
        <v>1E-4</v>
      </c>
      <c r="AC769" s="389">
        <f t="shared" si="333"/>
        <v>1E-4</v>
      </c>
      <c r="AD769" s="389">
        <f t="shared" si="334"/>
        <v>0</v>
      </c>
      <c r="AE769" s="389">
        <f t="shared" si="335"/>
        <v>0</v>
      </c>
      <c r="AG769" s="311" t="str">
        <f t="shared" si="336"/>
        <v>-</v>
      </c>
      <c r="AH769" s="453" t="str">
        <f t="shared" si="337"/>
        <v/>
      </c>
      <c r="AI769" s="453" t="str">
        <f t="shared" si="338"/>
        <v/>
      </c>
      <c r="AJ769" t="str">
        <f t="array" ref="AJ769">IF(AND(AI769&gt;1,G769&lt;&gt;""),INDEX(FS_teams,MATCH(1,(FS_Keys=AG769)*(FS_Points=I769)*(FS_teams&lt;&gt;G769),0)),"")</f>
        <v/>
      </c>
      <c r="AK769" s="390" t="str">
        <f t="array" ref="AK769">IF(AJ769&lt;&gt;"",INDEX(TM_Score1,MATCH(1,(TM_Events=D769)*(TM_Participant1=G769)*(TM_Participant2=AJ769),0)),"")</f>
        <v/>
      </c>
      <c r="AL769" s="390" t="str">
        <f t="array" ref="AL769">IF(AJ769&lt;&gt;"",INDEX(TM_Score1,MATCH(1,(TM_Events=D769)*(TM_Participant1=AJ769)*(TM_Participant2=G769),0)),"")</f>
        <v/>
      </c>
      <c r="AM769" s="389" t="str">
        <f t="array" ref="AM769">IF(ISNUMBER(AK769),INDEX(TM_Score2,MATCH(1,(TM_Events=D769)*(TM_Participant1=G769)*(TM_Participant2=AJ769),0)),"")</f>
        <v/>
      </c>
      <c r="AN769" s="389" t="str">
        <f t="array" ref="AN769">IF(ISNUMBER(AL769),INDEX(TM_Score2,MATCH(1,(TM_Events=D769)*(TM_Participant1=AJ769)*(TM_Participant2=G769),0)),"")</f>
        <v/>
      </c>
      <c r="AO769" s="389" t="str">
        <f t="shared" si="339"/>
        <v/>
      </c>
      <c r="AP769" s="389">
        <f t="shared" si="340"/>
        <v>0</v>
      </c>
      <c r="AQ769" s="389">
        <f t="shared" si="341"/>
        <v>0</v>
      </c>
      <c r="AR769" s="389">
        <f t="shared" si="342"/>
        <v>0</v>
      </c>
      <c r="AS769" s="453">
        <f t="shared" si="343"/>
        <v>0</v>
      </c>
      <c r="AT769" s="452">
        <f t="shared" si="344"/>
        <v>0</v>
      </c>
    </row>
    <row r="770" spans="2:46" ht="16" x14ac:dyDescent="0.2">
      <c r="B770"/>
      <c r="H770" s="387" t="str">
        <f t="shared" si="319"/>
        <v>0-0-0</v>
      </c>
      <c r="I770" s="389">
        <f t="shared" si="320"/>
        <v>0</v>
      </c>
      <c r="J770" s="455" t="str">
        <f t="shared" si="345"/>
        <v/>
      </c>
      <c r="K770" s="455">
        <f t="shared" si="321"/>
        <v>0</v>
      </c>
      <c r="L770" s="455">
        <f t="shared" si="346"/>
        <v>0</v>
      </c>
      <c r="M770" s="389" t="str">
        <f>IFERROR(IF(AD770&lt;=VLOOKUP(D770,Tournaments!$A$1:$B$1772,2,FALSE),"TRUE","FALSE"),"")</f>
        <v/>
      </c>
      <c r="N770" s="389">
        <v>1</v>
      </c>
      <c r="O770" s="389">
        <f t="shared" si="322"/>
        <v>0</v>
      </c>
      <c r="Q770" s="389">
        <f t="shared" si="323"/>
        <v>0</v>
      </c>
      <c r="R770" s="389">
        <f t="shared" si="324"/>
        <v>0</v>
      </c>
      <c r="S770" s="389">
        <f t="shared" si="325"/>
        <v>0</v>
      </c>
      <c r="U770" s="389">
        <f t="shared" si="326"/>
        <v>0</v>
      </c>
      <c r="V770" s="389" t="b">
        <f t="shared" si="327"/>
        <v>0</v>
      </c>
      <c r="W770" s="389">
        <f t="shared" si="328"/>
        <v>0</v>
      </c>
      <c r="X770" s="389">
        <f t="shared" si="329"/>
        <v>0</v>
      </c>
      <c r="Y770" s="389">
        <f t="shared" si="347"/>
        <v>1.0999999999999999E-2</v>
      </c>
      <c r="Z770" s="389">
        <f t="shared" si="330"/>
        <v>1.0999999999999999E-2</v>
      </c>
      <c r="AA770" s="389">
        <f t="shared" si="331"/>
        <v>0</v>
      </c>
      <c r="AB770" s="389">
        <f t="shared" si="332"/>
        <v>1E-4</v>
      </c>
      <c r="AC770" s="389">
        <f t="shared" si="333"/>
        <v>1E-4</v>
      </c>
      <c r="AD770" s="389">
        <f t="shared" si="334"/>
        <v>0</v>
      </c>
      <c r="AE770" s="389">
        <f t="shared" si="335"/>
        <v>0</v>
      </c>
      <c r="AG770" s="311" t="str">
        <f t="shared" si="336"/>
        <v>-</v>
      </c>
      <c r="AH770" s="453" t="str">
        <f t="shared" si="337"/>
        <v/>
      </c>
      <c r="AI770" s="453" t="str">
        <f t="shared" si="338"/>
        <v/>
      </c>
      <c r="AJ770" t="str">
        <f t="array" ref="AJ770">IF(AND(AI770&gt;1,G770&lt;&gt;""),INDEX(FS_teams,MATCH(1,(FS_Keys=AG770)*(FS_Points=I770)*(FS_teams&lt;&gt;G770),0)),"")</f>
        <v/>
      </c>
      <c r="AK770" s="390" t="str">
        <f t="array" ref="AK770">IF(AJ770&lt;&gt;"",INDEX(TM_Score1,MATCH(1,(TM_Events=D770)*(TM_Participant1=G770)*(TM_Participant2=AJ770),0)),"")</f>
        <v/>
      </c>
      <c r="AL770" s="390" t="str">
        <f t="array" ref="AL770">IF(AJ770&lt;&gt;"",INDEX(TM_Score1,MATCH(1,(TM_Events=D770)*(TM_Participant1=AJ770)*(TM_Participant2=G770),0)),"")</f>
        <v/>
      </c>
      <c r="AM770" s="389" t="str">
        <f t="array" ref="AM770">IF(ISNUMBER(AK770),INDEX(TM_Score2,MATCH(1,(TM_Events=D770)*(TM_Participant1=G770)*(TM_Participant2=AJ770),0)),"")</f>
        <v/>
      </c>
      <c r="AN770" s="389" t="str">
        <f t="array" ref="AN770">IF(ISNUMBER(AL770),INDEX(TM_Score2,MATCH(1,(TM_Events=D770)*(TM_Participant1=AJ770)*(TM_Participant2=G770),0)),"")</f>
        <v/>
      </c>
      <c r="AO770" s="389" t="str">
        <f t="shared" si="339"/>
        <v/>
      </c>
      <c r="AP770" s="389">
        <f t="shared" si="340"/>
        <v>0</v>
      </c>
      <c r="AQ770" s="389">
        <f t="shared" si="341"/>
        <v>0</v>
      </c>
      <c r="AR770" s="389">
        <f t="shared" si="342"/>
        <v>0</v>
      </c>
      <c r="AS770" s="453">
        <f t="shared" si="343"/>
        <v>0</v>
      </c>
      <c r="AT770" s="452">
        <f t="shared" si="344"/>
        <v>0</v>
      </c>
    </row>
    <row r="771" spans="2:46" ht="16" x14ac:dyDescent="0.2">
      <c r="B771"/>
      <c r="H771" s="387" t="str">
        <f t="shared" ref="H771:H834" si="348">Q771&amp;"-"&amp;R771&amp;"-"&amp;S771</f>
        <v>0-0-0</v>
      </c>
      <c r="I771" s="389">
        <f t="shared" ref="I771:I834" si="349">IF(H771&lt;&gt;"0-0-0",Q771*2+S771,0)</f>
        <v>0</v>
      </c>
      <c r="J771" s="455" t="str">
        <f t="shared" si="345"/>
        <v/>
      </c>
      <c r="K771" s="455">
        <f t="shared" ref="K771:K834" si="350">IF(COUNTIFS(AG:AG,AG771,I:I,I771,J:J,J771)&gt;1,AS771,"")</f>
        <v>0</v>
      </c>
      <c r="L771" s="455">
        <f t="shared" si="346"/>
        <v>0</v>
      </c>
      <c r="M771" s="389" t="str">
        <f>IFERROR(IF(AD771&lt;=VLOOKUP(D771,Tournaments!$A$1:$B$1772,2,FALSE),"TRUE","FALSE"),"")</f>
        <v/>
      </c>
      <c r="N771" s="389">
        <v>1</v>
      </c>
      <c r="O771" s="389">
        <f t="shared" ref="O771:O834" si="351">AD771</f>
        <v>0</v>
      </c>
      <c r="Q771" s="389">
        <f t="shared" ref="Q771:Q834" si="352">AP771</f>
        <v>0</v>
      </c>
      <c r="R771" s="389">
        <f t="shared" ref="R771:R834" si="353">AR771</f>
        <v>0</v>
      </c>
      <c r="S771" s="389">
        <f t="shared" ref="S771:S834" si="354">AQ771</f>
        <v>0</v>
      </c>
      <c r="U771" s="389">
        <f t="shared" ref="U771:U834" si="355">IF(E771&lt;&gt;"",COUNTIFS($D$3:$D$1001,D771,$E$3:$E$1001,E771,$I$3:$I$1001,"&gt;"&amp;I771)+COUNTIFS($D$3:$D$1001,D771,$E$3:$E$1001,E771,$I$3:$I$1001,I771),COUNTIFS($D$3:$D$1001,D771,$I$3:$I$1001,"&gt;"&amp;I771)+COUNTIFS($D$3:$D$1001,D771,$I$3:$I$1001,I771))</f>
        <v>0</v>
      </c>
      <c r="V771" s="389" t="b">
        <f t="shared" ref="V771:V834" si="356">IFERROR(RANK(J771,$J:$J,1)/10000,FALSE)</f>
        <v>0</v>
      </c>
      <c r="W771" s="389">
        <f t="shared" ref="W771:W834" si="357">V771-U771</f>
        <v>0</v>
      </c>
      <c r="X771" s="389">
        <f t="shared" ref="X771:X834" si="358">IF(E771&lt;&gt;"",COUNTIFS($D:$D,$D771,$E:$E,$E771,$W:$W,"&gt;"&amp;W771)+COUNTIFS($D:$D,$D771,$E:$E,$E771,$W:$W,W771),COUNTIFS($D:$D,$D771,$W:$W,"&gt;"&amp;W771)+COUNTIFS($D:$D,$D771,$W:$W,W771))</f>
        <v>0</v>
      </c>
      <c r="Y771" s="389">
        <f t="shared" si="347"/>
        <v>1.0999999999999999E-2</v>
      </c>
      <c r="Z771" s="389">
        <f t="shared" ref="Z771:Z834" si="359">Y771-X771</f>
        <v>1.0999999999999999E-2</v>
      </c>
      <c r="AA771" s="389">
        <f t="shared" ref="AA771:AA834" si="360">IF(E771&lt;&gt;"",(COUNTIFS($D:$D,D771,$E:$E,E771,$Z:$Z,"&gt;"&amp;Z771)+COUNTIFS($D:$D,D771,$E:$E,E771,$Z:$Z,Z771)),(COUNTIFS($D:$D,D771,$Z:$Z,"&gt;"&amp;Z771)+COUNTIFS($D:$D,D771,$Z:$Z,Z771)))</f>
        <v>0</v>
      </c>
      <c r="AB771" s="389">
        <f t="shared" ref="AB771:AB834" si="361">IFERROR(RANK(L771,$L:$L,1)/10000,FALSE)</f>
        <v>1E-4</v>
      </c>
      <c r="AC771" s="389">
        <f t="shared" ref="AC771:AC834" si="362">AB771-AA771</f>
        <v>1E-4</v>
      </c>
      <c r="AD771" s="389">
        <f t="shared" ref="AD771:AD834" si="363">IF(E771&lt;&gt;"",COUNTIFS($D:$D,$D771,$E:$E,$E771,$AC:$AC,"&gt;"&amp;AC771)+COUNTIFS($D:$D,$D771,$E:$E,$E771,$AC:$AC,AC771),COUNTIFS($D:$D,$D771,$AC:$AC,"&gt;"&amp;AC771)+COUNTIFS($D:$D,$D771,$AC:$AC,AC771))</f>
        <v>0</v>
      </c>
      <c r="AE771" s="389">
        <f t="shared" ref="AE771:AE834" si="364">IF(E771&lt;&gt;"",COUNTIFS($D:$D,D771,$E:$E,E771,$I:$I,I771,$J:$J,J771),COUNTIFS($D:$D,D771,$I:$I,I771,$J:$J,J771))</f>
        <v>0</v>
      </c>
      <c r="AG771" s="311" t="str">
        <f t="shared" ref="AG771:AG834" si="365">D771&amp;"-"&amp;E771</f>
        <v>-</v>
      </c>
      <c r="AH771" s="453" t="str">
        <f t="shared" ref="AH771:AH834" si="366">IF(G771="","",COUNTIFS(FS_teams,"&lt;&gt;-1",FS_Keys,AG771,FS_Points,"&gt;"&amp;I771)+1)</f>
        <v/>
      </c>
      <c r="AI771" s="453" t="str">
        <f t="shared" ref="AI771:AI834" si="367">IF(G771="","",COUNTIFS(FS_Keys,AG771,FS_Rank_on_Points,AH771))</f>
        <v/>
      </c>
      <c r="AJ771" t="str">
        <f t="array" ref="AJ771">IF(AND(AI771&gt;1,G771&lt;&gt;""),INDEX(FS_teams,MATCH(1,(FS_Keys=AG771)*(FS_Points=I771)*(FS_teams&lt;&gt;G771),0)),"")</f>
        <v/>
      </c>
      <c r="AK771" s="390" t="str">
        <f t="array" ref="AK771">IF(AJ771&lt;&gt;"",INDEX(TM_Score1,MATCH(1,(TM_Events=D771)*(TM_Participant1=G771)*(TM_Participant2=AJ771),0)),"")</f>
        <v/>
      </c>
      <c r="AL771" s="390" t="str">
        <f t="array" ref="AL771">IF(AJ771&lt;&gt;"",INDEX(TM_Score1,MATCH(1,(TM_Events=D771)*(TM_Participant1=AJ771)*(TM_Participant2=G771),0)),"")</f>
        <v/>
      </c>
      <c r="AM771" s="389" t="str">
        <f t="array" ref="AM771">IF(ISNUMBER(AK771),INDEX(TM_Score2,MATCH(1,(TM_Events=D771)*(TM_Participant1=G771)*(TM_Participant2=AJ771),0)),"")</f>
        <v/>
      </c>
      <c r="AN771" s="389" t="str">
        <f t="array" ref="AN771">IF(ISNUMBER(AL771),INDEX(TM_Score2,MATCH(1,(TM_Events=D771)*(TM_Participant1=AJ771)*(TM_Participant2=G771),0)),"")</f>
        <v/>
      </c>
      <c r="AO771" s="389" t="str">
        <f t="shared" ref="AO771:AO834" si="368">IF(AJ771="","",IF(ISNUMBER(AK771),IF(AK771&gt;AM771,"Win",IF(AK771=AM771,"Tie",IF(AK771&lt;AM771,"Loss","check"))),IF(ISNUMBER(AL771),IF(AN771&gt;AL771,"Win",IF(AN771=AL771,"Tie",IF(AN771&lt;AL771,"Loss","check"))),IF(AND(ISNA(AK771),ISNA(AL771)),"did not play","check"))))</f>
        <v/>
      </c>
      <c r="AP771" s="389">
        <f t="shared" ref="AP771:AP834" si="369">SUMIFS(TM_W1,TM_Events,D771,TM_Participant1,G771)+SUMIFS(TM_w2,TM_Events,D771,TM_Participant2,G771)</f>
        <v>0</v>
      </c>
      <c r="AQ771" s="389">
        <f t="shared" ref="AQ771:AQ834" si="370">SUMIFS(TM_T1,TM_Events,D771,TM_Participant1,G771)+SUMIFS(TM_T2,TM_Events,D771,TM_Participant2,G771)</f>
        <v>0</v>
      </c>
      <c r="AR771" s="389">
        <f t="shared" ref="AR771:AR834" si="371">SUMIFS(TM_L1,TM_Events,D771,TM_Participant1,G771)+SUMIFS(TM_L2,TM_Events,D771,TM_Participant2,G771)</f>
        <v>0</v>
      </c>
      <c r="AS771" s="453">
        <f t="shared" ref="AS771:AS834" si="372">SUMIFS(Net_1,TM_Events,D771,TM_Participant1,G771)+SUMIFS(Net_2,TM_Events,D771,TM_Participant2,G771)</f>
        <v>0</v>
      </c>
      <c r="AT771" s="452">
        <f t="shared" ref="AT771:AT834" si="373">SUMIFS(Score_1,TM_Events,D771,TM_Participant1,G771)+SUMIFS(Score_2,TM_Events,D771,TM_Participant2,G771)</f>
        <v>0</v>
      </c>
    </row>
    <row r="772" spans="2:46" ht="16" x14ac:dyDescent="0.2">
      <c r="B772"/>
      <c r="H772" s="387" t="str">
        <f t="shared" si="348"/>
        <v>0-0-0</v>
      </c>
      <c r="I772" s="389">
        <f t="shared" si="349"/>
        <v>0</v>
      </c>
      <c r="J772" s="455" t="str">
        <f t="shared" ref="J772:J835" si="374">IF(E772&lt;&gt;"",IF(COUNTIFS($D:$D,D772,$E:$E,E772,$I:$I,I772)&lt;3,IFERROR(IF(H772&lt;&gt;"0-0-0",IF(AO772&lt;&gt;"",IF(AO772="Win",2,IF(AO772="Loss",0,1)),""),""),""),1),IF(COUNTIFS(D:D,D772,I:I,I772)&lt;3,IFERROR(IF(H772&lt;&gt;"0-0-0",IF(AO772&lt;&gt;"",IF(AO772="Win",2,IF(AO772="Loss",0,1)),""),""),""),1))</f>
        <v/>
      </c>
      <c r="K772" s="455">
        <f t="shared" si="350"/>
        <v>0</v>
      </c>
      <c r="L772" s="455">
        <f t="shared" ref="L772:L835" si="375">IF(COUNTIFS(AG:AG,AG772,I:I,I772,J:J,J772,K:K,K772)&gt;1,AT772,"")</f>
        <v>0</v>
      </c>
      <c r="M772" s="389" t="str">
        <f>IFERROR(IF(AD772&lt;=VLOOKUP(D772,Tournaments!$A$1:$B$1772,2,FALSE),"TRUE","FALSE"),"")</f>
        <v/>
      </c>
      <c r="N772" s="389">
        <v>1</v>
      </c>
      <c r="O772" s="389">
        <f t="shared" si="351"/>
        <v>0</v>
      </c>
      <c r="Q772" s="389">
        <f t="shared" si="352"/>
        <v>0</v>
      </c>
      <c r="R772" s="389">
        <f t="shared" si="353"/>
        <v>0</v>
      </c>
      <c r="S772" s="389">
        <f t="shared" si="354"/>
        <v>0</v>
      </c>
      <c r="U772" s="389">
        <f t="shared" si="355"/>
        <v>0</v>
      </c>
      <c r="V772" s="389" t="b">
        <f t="shared" si="356"/>
        <v>0</v>
      </c>
      <c r="W772" s="389">
        <f t="shared" si="357"/>
        <v>0</v>
      </c>
      <c r="X772" s="389">
        <f t="shared" si="358"/>
        <v>0</v>
      </c>
      <c r="Y772" s="389">
        <f t="shared" ref="Y772:Y835" si="376">IFERROR(IF(K772&gt;=0,RANK(K772,$K:$K,1)/10000,RANK(K772,$K:$K,1)/10000),FALSE)</f>
        <v>1.0999999999999999E-2</v>
      </c>
      <c r="Z772" s="389">
        <f t="shared" si="359"/>
        <v>1.0999999999999999E-2</v>
      </c>
      <c r="AA772" s="389">
        <f t="shared" si="360"/>
        <v>0</v>
      </c>
      <c r="AB772" s="389">
        <f t="shared" si="361"/>
        <v>1E-4</v>
      </c>
      <c r="AC772" s="389">
        <f t="shared" si="362"/>
        <v>1E-4</v>
      </c>
      <c r="AD772" s="389">
        <f t="shared" si="363"/>
        <v>0</v>
      </c>
      <c r="AE772" s="389">
        <f t="shared" si="364"/>
        <v>0</v>
      </c>
      <c r="AG772" s="311" t="str">
        <f t="shared" si="365"/>
        <v>-</v>
      </c>
      <c r="AH772" s="453" t="str">
        <f t="shared" si="366"/>
        <v/>
      </c>
      <c r="AI772" s="453" t="str">
        <f t="shared" si="367"/>
        <v/>
      </c>
      <c r="AJ772" t="str">
        <f t="array" ref="AJ772">IF(AND(AI772&gt;1,G772&lt;&gt;""),INDEX(FS_teams,MATCH(1,(FS_Keys=AG772)*(FS_Points=I772)*(FS_teams&lt;&gt;G772),0)),"")</f>
        <v/>
      </c>
      <c r="AK772" s="390" t="str">
        <f t="array" ref="AK772">IF(AJ772&lt;&gt;"",INDEX(TM_Score1,MATCH(1,(TM_Events=D772)*(TM_Participant1=G772)*(TM_Participant2=AJ772),0)),"")</f>
        <v/>
      </c>
      <c r="AL772" s="390" t="str">
        <f t="array" ref="AL772">IF(AJ772&lt;&gt;"",INDEX(TM_Score1,MATCH(1,(TM_Events=D772)*(TM_Participant1=AJ772)*(TM_Participant2=G772),0)),"")</f>
        <v/>
      </c>
      <c r="AM772" s="389" t="str">
        <f t="array" ref="AM772">IF(ISNUMBER(AK772),INDEX(TM_Score2,MATCH(1,(TM_Events=D772)*(TM_Participant1=G772)*(TM_Participant2=AJ772),0)),"")</f>
        <v/>
      </c>
      <c r="AN772" s="389" t="str">
        <f t="array" ref="AN772">IF(ISNUMBER(AL772),INDEX(TM_Score2,MATCH(1,(TM_Events=D772)*(TM_Participant1=AJ772)*(TM_Participant2=G772),0)),"")</f>
        <v/>
      </c>
      <c r="AO772" s="389" t="str">
        <f t="shared" si="368"/>
        <v/>
      </c>
      <c r="AP772" s="389">
        <f t="shared" si="369"/>
        <v>0</v>
      </c>
      <c r="AQ772" s="389">
        <f t="shared" si="370"/>
        <v>0</v>
      </c>
      <c r="AR772" s="389">
        <f t="shared" si="371"/>
        <v>0</v>
      </c>
      <c r="AS772" s="453">
        <f t="shared" si="372"/>
        <v>0</v>
      </c>
      <c r="AT772" s="452">
        <f t="shared" si="373"/>
        <v>0</v>
      </c>
    </row>
    <row r="773" spans="2:46" ht="16" x14ac:dyDescent="0.2">
      <c r="B773"/>
      <c r="H773" s="387" t="str">
        <f t="shared" si="348"/>
        <v>0-0-0</v>
      </c>
      <c r="I773" s="389">
        <f t="shared" si="349"/>
        <v>0</v>
      </c>
      <c r="J773" s="455" t="str">
        <f t="shared" si="374"/>
        <v/>
      </c>
      <c r="K773" s="455">
        <f t="shared" si="350"/>
        <v>0</v>
      </c>
      <c r="L773" s="455">
        <f t="shared" si="375"/>
        <v>0</v>
      </c>
      <c r="M773" s="389" t="str">
        <f>IFERROR(IF(AD773&lt;=VLOOKUP(D773,Tournaments!$A$1:$B$1772,2,FALSE),"TRUE","FALSE"),"")</f>
        <v/>
      </c>
      <c r="N773" s="389">
        <v>1</v>
      </c>
      <c r="O773" s="389">
        <f t="shared" si="351"/>
        <v>0</v>
      </c>
      <c r="Q773" s="389">
        <f t="shared" si="352"/>
        <v>0</v>
      </c>
      <c r="R773" s="389">
        <f t="shared" si="353"/>
        <v>0</v>
      </c>
      <c r="S773" s="389">
        <f t="shared" si="354"/>
        <v>0</v>
      </c>
      <c r="U773" s="389">
        <f t="shared" si="355"/>
        <v>0</v>
      </c>
      <c r="V773" s="389" t="b">
        <f t="shared" si="356"/>
        <v>0</v>
      </c>
      <c r="W773" s="389">
        <f t="shared" si="357"/>
        <v>0</v>
      </c>
      <c r="X773" s="389">
        <f t="shared" si="358"/>
        <v>0</v>
      </c>
      <c r="Y773" s="389">
        <f t="shared" si="376"/>
        <v>1.0999999999999999E-2</v>
      </c>
      <c r="Z773" s="389">
        <f t="shared" si="359"/>
        <v>1.0999999999999999E-2</v>
      </c>
      <c r="AA773" s="389">
        <f t="shared" si="360"/>
        <v>0</v>
      </c>
      <c r="AB773" s="389">
        <f t="shared" si="361"/>
        <v>1E-4</v>
      </c>
      <c r="AC773" s="389">
        <f t="shared" si="362"/>
        <v>1E-4</v>
      </c>
      <c r="AD773" s="389">
        <f t="shared" si="363"/>
        <v>0</v>
      </c>
      <c r="AE773" s="389">
        <f t="shared" si="364"/>
        <v>0</v>
      </c>
      <c r="AG773" s="311" t="str">
        <f t="shared" si="365"/>
        <v>-</v>
      </c>
      <c r="AH773" s="453" t="str">
        <f t="shared" si="366"/>
        <v/>
      </c>
      <c r="AI773" s="453" t="str">
        <f t="shared" si="367"/>
        <v/>
      </c>
      <c r="AJ773" t="str">
        <f t="array" ref="AJ773">IF(AND(AI773&gt;1,G773&lt;&gt;""),INDEX(FS_teams,MATCH(1,(FS_Keys=AG773)*(FS_Points=I773)*(FS_teams&lt;&gt;G773),0)),"")</f>
        <v/>
      </c>
      <c r="AK773" s="390" t="str">
        <f t="array" ref="AK773">IF(AJ773&lt;&gt;"",INDEX(TM_Score1,MATCH(1,(TM_Events=D773)*(TM_Participant1=G773)*(TM_Participant2=AJ773),0)),"")</f>
        <v/>
      </c>
      <c r="AL773" s="390" t="str">
        <f t="array" ref="AL773">IF(AJ773&lt;&gt;"",INDEX(TM_Score1,MATCH(1,(TM_Events=D773)*(TM_Participant1=AJ773)*(TM_Participant2=G773),0)),"")</f>
        <v/>
      </c>
      <c r="AM773" s="389" t="str">
        <f t="array" ref="AM773">IF(ISNUMBER(AK773),INDEX(TM_Score2,MATCH(1,(TM_Events=D773)*(TM_Participant1=G773)*(TM_Participant2=AJ773),0)),"")</f>
        <v/>
      </c>
      <c r="AN773" s="389" t="str">
        <f t="array" ref="AN773">IF(ISNUMBER(AL773),INDEX(TM_Score2,MATCH(1,(TM_Events=D773)*(TM_Participant1=AJ773)*(TM_Participant2=G773),0)),"")</f>
        <v/>
      </c>
      <c r="AO773" s="389" t="str">
        <f t="shared" si="368"/>
        <v/>
      </c>
      <c r="AP773" s="389">
        <f t="shared" si="369"/>
        <v>0</v>
      </c>
      <c r="AQ773" s="389">
        <f t="shared" si="370"/>
        <v>0</v>
      </c>
      <c r="AR773" s="389">
        <f t="shared" si="371"/>
        <v>0</v>
      </c>
      <c r="AS773" s="453">
        <f t="shared" si="372"/>
        <v>0</v>
      </c>
      <c r="AT773" s="452">
        <f t="shared" si="373"/>
        <v>0</v>
      </c>
    </row>
    <row r="774" spans="2:46" ht="16" x14ac:dyDescent="0.2">
      <c r="B774"/>
      <c r="H774" s="387" t="str">
        <f t="shared" si="348"/>
        <v>0-0-0</v>
      </c>
      <c r="I774" s="389">
        <f t="shared" si="349"/>
        <v>0</v>
      </c>
      <c r="J774" s="455" t="str">
        <f t="shared" si="374"/>
        <v/>
      </c>
      <c r="K774" s="455">
        <f t="shared" si="350"/>
        <v>0</v>
      </c>
      <c r="L774" s="455">
        <f t="shared" si="375"/>
        <v>0</v>
      </c>
      <c r="M774" s="389" t="str">
        <f>IFERROR(IF(AD774&lt;=VLOOKUP(D774,Tournaments!$A$1:$B$1772,2,FALSE),"TRUE","FALSE"),"")</f>
        <v/>
      </c>
      <c r="N774" s="389">
        <v>1</v>
      </c>
      <c r="O774" s="389">
        <f t="shared" si="351"/>
        <v>0</v>
      </c>
      <c r="Q774" s="389">
        <f t="shared" si="352"/>
        <v>0</v>
      </c>
      <c r="R774" s="389">
        <f t="shared" si="353"/>
        <v>0</v>
      </c>
      <c r="S774" s="389">
        <f t="shared" si="354"/>
        <v>0</v>
      </c>
      <c r="U774" s="389">
        <f t="shared" si="355"/>
        <v>0</v>
      </c>
      <c r="V774" s="389" t="b">
        <f t="shared" si="356"/>
        <v>0</v>
      </c>
      <c r="W774" s="389">
        <f t="shared" si="357"/>
        <v>0</v>
      </c>
      <c r="X774" s="389">
        <f t="shared" si="358"/>
        <v>0</v>
      </c>
      <c r="Y774" s="389">
        <f t="shared" si="376"/>
        <v>1.0999999999999999E-2</v>
      </c>
      <c r="Z774" s="389">
        <f t="shared" si="359"/>
        <v>1.0999999999999999E-2</v>
      </c>
      <c r="AA774" s="389">
        <f t="shared" si="360"/>
        <v>0</v>
      </c>
      <c r="AB774" s="389">
        <f t="shared" si="361"/>
        <v>1E-4</v>
      </c>
      <c r="AC774" s="389">
        <f t="shared" si="362"/>
        <v>1E-4</v>
      </c>
      <c r="AD774" s="389">
        <f t="shared" si="363"/>
        <v>0</v>
      </c>
      <c r="AE774" s="389">
        <f t="shared" si="364"/>
        <v>0</v>
      </c>
      <c r="AG774" s="311" t="str">
        <f t="shared" si="365"/>
        <v>-</v>
      </c>
      <c r="AH774" s="453" t="str">
        <f t="shared" si="366"/>
        <v/>
      </c>
      <c r="AI774" s="453" t="str">
        <f t="shared" si="367"/>
        <v/>
      </c>
      <c r="AJ774" t="str">
        <f t="array" ref="AJ774">IF(AND(AI774&gt;1,G774&lt;&gt;""),INDEX(FS_teams,MATCH(1,(FS_Keys=AG774)*(FS_Points=I774)*(FS_teams&lt;&gt;G774),0)),"")</f>
        <v/>
      </c>
      <c r="AK774" s="390" t="str">
        <f t="array" ref="AK774">IF(AJ774&lt;&gt;"",INDEX(TM_Score1,MATCH(1,(TM_Events=D774)*(TM_Participant1=G774)*(TM_Participant2=AJ774),0)),"")</f>
        <v/>
      </c>
      <c r="AL774" s="390" t="str">
        <f t="array" ref="AL774">IF(AJ774&lt;&gt;"",INDEX(TM_Score1,MATCH(1,(TM_Events=D774)*(TM_Participant1=AJ774)*(TM_Participant2=G774),0)),"")</f>
        <v/>
      </c>
      <c r="AM774" s="389" t="str">
        <f t="array" ref="AM774">IF(ISNUMBER(AK774),INDEX(TM_Score2,MATCH(1,(TM_Events=D774)*(TM_Participant1=G774)*(TM_Participant2=AJ774),0)),"")</f>
        <v/>
      </c>
      <c r="AN774" s="389" t="str">
        <f t="array" ref="AN774">IF(ISNUMBER(AL774),INDEX(TM_Score2,MATCH(1,(TM_Events=D774)*(TM_Participant1=AJ774)*(TM_Participant2=G774),0)),"")</f>
        <v/>
      </c>
      <c r="AO774" s="389" t="str">
        <f t="shared" si="368"/>
        <v/>
      </c>
      <c r="AP774" s="389">
        <f t="shared" si="369"/>
        <v>0</v>
      </c>
      <c r="AQ774" s="389">
        <f t="shared" si="370"/>
        <v>0</v>
      </c>
      <c r="AR774" s="389">
        <f t="shared" si="371"/>
        <v>0</v>
      </c>
      <c r="AS774" s="453">
        <f t="shared" si="372"/>
        <v>0</v>
      </c>
      <c r="AT774" s="452">
        <f t="shared" si="373"/>
        <v>0</v>
      </c>
    </row>
    <row r="775" spans="2:46" ht="16" x14ac:dyDescent="0.2">
      <c r="B775"/>
      <c r="H775" s="387" t="str">
        <f t="shared" si="348"/>
        <v>0-0-0</v>
      </c>
      <c r="I775" s="389">
        <f t="shared" si="349"/>
        <v>0</v>
      </c>
      <c r="J775" s="455" t="str">
        <f t="shared" si="374"/>
        <v/>
      </c>
      <c r="K775" s="455">
        <f t="shared" si="350"/>
        <v>0</v>
      </c>
      <c r="L775" s="455">
        <f t="shared" si="375"/>
        <v>0</v>
      </c>
      <c r="M775" s="389" t="str">
        <f>IFERROR(IF(AD775&lt;=VLOOKUP(D775,Tournaments!$A$1:$B$1772,2,FALSE),"TRUE","FALSE"),"")</f>
        <v/>
      </c>
      <c r="N775" s="389">
        <v>1</v>
      </c>
      <c r="O775" s="389">
        <f t="shared" si="351"/>
        <v>0</v>
      </c>
      <c r="Q775" s="389">
        <f t="shared" si="352"/>
        <v>0</v>
      </c>
      <c r="R775" s="389">
        <f t="shared" si="353"/>
        <v>0</v>
      </c>
      <c r="S775" s="389">
        <f t="shared" si="354"/>
        <v>0</v>
      </c>
      <c r="U775" s="389">
        <f t="shared" si="355"/>
        <v>0</v>
      </c>
      <c r="V775" s="389" t="b">
        <f t="shared" si="356"/>
        <v>0</v>
      </c>
      <c r="W775" s="389">
        <f t="shared" si="357"/>
        <v>0</v>
      </c>
      <c r="X775" s="389">
        <f t="shared" si="358"/>
        <v>0</v>
      </c>
      <c r="Y775" s="389">
        <f t="shared" si="376"/>
        <v>1.0999999999999999E-2</v>
      </c>
      <c r="Z775" s="389">
        <f t="shared" si="359"/>
        <v>1.0999999999999999E-2</v>
      </c>
      <c r="AA775" s="389">
        <f t="shared" si="360"/>
        <v>0</v>
      </c>
      <c r="AB775" s="389">
        <f t="shared" si="361"/>
        <v>1E-4</v>
      </c>
      <c r="AC775" s="389">
        <f t="shared" si="362"/>
        <v>1E-4</v>
      </c>
      <c r="AD775" s="389">
        <f t="shared" si="363"/>
        <v>0</v>
      </c>
      <c r="AE775" s="389">
        <f t="shared" si="364"/>
        <v>0</v>
      </c>
      <c r="AG775" s="311" t="str">
        <f t="shared" si="365"/>
        <v>-</v>
      </c>
      <c r="AH775" s="453" t="str">
        <f t="shared" si="366"/>
        <v/>
      </c>
      <c r="AI775" s="453" t="str">
        <f t="shared" si="367"/>
        <v/>
      </c>
      <c r="AJ775" t="str">
        <f t="array" ref="AJ775">IF(AND(AI775&gt;1,G775&lt;&gt;""),INDEX(FS_teams,MATCH(1,(FS_Keys=AG775)*(FS_Points=I775)*(FS_teams&lt;&gt;G775),0)),"")</f>
        <v/>
      </c>
      <c r="AK775" s="390" t="str">
        <f t="array" ref="AK775">IF(AJ775&lt;&gt;"",INDEX(TM_Score1,MATCH(1,(TM_Events=D775)*(TM_Participant1=G775)*(TM_Participant2=AJ775),0)),"")</f>
        <v/>
      </c>
      <c r="AL775" s="390" t="str">
        <f t="array" ref="AL775">IF(AJ775&lt;&gt;"",INDEX(TM_Score1,MATCH(1,(TM_Events=D775)*(TM_Participant1=AJ775)*(TM_Participant2=G775),0)),"")</f>
        <v/>
      </c>
      <c r="AM775" s="389" t="str">
        <f t="array" ref="AM775">IF(ISNUMBER(AK775),INDEX(TM_Score2,MATCH(1,(TM_Events=D775)*(TM_Participant1=G775)*(TM_Participant2=AJ775),0)),"")</f>
        <v/>
      </c>
      <c r="AN775" s="389" t="str">
        <f t="array" ref="AN775">IF(ISNUMBER(AL775),INDEX(TM_Score2,MATCH(1,(TM_Events=D775)*(TM_Participant1=AJ775)*(TM_Participant2=G775),0)),"")</f>
        <v/>
      </c>
      <c r="AO775" s="389" t="str">
        <f t="shared" si="368"/>
        <v/>
      </c>
      <c r="AP775" s="389">
        <f t="shared" si="369"/>
        <v>0</v>
      </c>
      <c r="AQ775" s="389">
        <f t="shared" si="370"/>
        <v>0</v>
      </c>
      <c r="AR775" s="389">
        <f t="shared" si="371"/>
        <v>0</v>
      </c>
      <c r="AS775" s="453">
        <f t="shared" si="372"/>
        <v>0</v>
      </c>
      <c r="AT775" s="452">
        <f t="shared" si="373"/>
        <v>0</v>
      </c>
    </row>
    <row r="776" spans="2:46" ht="16" x14ac:dyDescent="0.2">
      <c r="B776"/>
      <c r="H776" s="387" t="str">
        <f t="shared" si="348"/>
        <v>0-0-0</v>
      </c>
      <c r="I776" s="389">
        <f t="shared" si="349"/>
        <v>0</v>
      </c>
      <c r="J776" s="455" t="str">
        <f t="shared" si="374"/>
        <v/>
      </c>
      <c r="K776" s="455">
        <f t="shared" si="350"/>
        <v>0</v>
      </c>
      <c r="L776" s="455">
        <f t="shared" si="375"/>
        <v>0</v>
      </c>
      <c r="M776" s="389" t="str">
        <f>IFERROR(IF(AD776&lt;=VLOOKUP(D776,Tournaments!$A$1:$B$1772,2,FALSE),"TRUE","FALSE"),"")</f>
        <v/>
      </c>
      <c r="N776" s="389">
        <v>1</v>
      </c>
      <c r="O776" s="389">
        <f t="shared" si="351"/>
        <v>0</v>
      </c>
      <c r="Q776" s="389">
        <f t="shared" si="352"/>
        <v>0</v>
      </c>
      <c r="R776" s="389">
        <f t="shared" si="353"/>
        <v>0</v>
      </c>
      <c r="S776" s="389">
        <f t="shared" si="354"/>
        <v>0</v>
      </c>
      <c r="U776" s="389">
        <f t="shared" si="355"/>
        <v>0</v>
      </c>
      <c r="V776" s="389" t="b">
        <f t="shared" si="356"/>
        <v>0</v>
      </c>
      <c r="W776" s="389">
        <f t="shared" si="357"/>
        <v>0</v>
      </c>
      <c r="X776" s="389">
        <f t="shared" si="358"/>
        <v>0</v>
      </c>
      <c r="Y776" s="389">
        <f t="shared" si="376"/>
        <v>1.0999999999999999E-2</v>
      </c>
      <c r="Z776" s="389">
        <f t="shared" si="359"/>
        <v>1.0999999999999999E-2</v>
      </c>
      <c r="AA776" s="389">
        <f t="shared" si="360"/>
        <v>0</v>
      </c>
      <c r="AB776" s="389">
        <f t="shared" si="361"/>
        <v>1E-4</v>
      </c>
      <c r="AC776" s="389">
        <f t="shared" si="362"/>
        <v>1E-4</v>
      </c>
      <c r="AD776" s="389">
        <f t="shared" si="363"/>
        <v>0</v>
      </c>
      <c r="AE776" s="389">
        <f t="shared" si="364"/>
        <v>0</v>
      </c>
      <c r="AG776" s="311" t="str">
        <f t="shared" si="365"/>
        <v>-</v>
      </c>
      <c r="AH776" s="453" t="str">
        <f t="shared" si="366"/>
        <v/>
      </c>
      <c r="AI776" s="453" t="str">
        <f t="shared" si="367"/>
        <v/>
      </c>
      <c r="AJ776" t="str">
        <f t="array" ref="AJ776">IF(AND(AI776&gt;1,G776&lt;&gt;""),INDEX(FS_teams,MATCH(1,(FS_Keys=AG776)*(FS_Points=I776)*(FS_teams&lt;&gt;G776),0)),"")</f>
        <v/>
      </c>
      <c r="AK776" s="390" t="str">
        <f t="array" ref="AK776">IF(AJ776&lt;&gt;"",INDEX(TM_Score1,MATCH(1,(TM_Events=D776)*(TM_Participant1=G776)*(TM_Participant2=AJ776),0)),"")</f>
        <v/>
      </c>
      <c r="AL776" s="390" t="str">
        <f t="array" ref="AL776">IF(AJ776&lt;&gt;"",INDEX(TM_Score1,MATCH(1,(TM_Events=D776)*(TM_Participant1=AJ776)*(TM_Participant2=G776),0)),"")</f>
        <v/>
      </c>
      <c r="AM776" s="389" t="str">
        <f t="array" ref="AM776">IF(ISNUMBER(AK776),INDEX(TM_Score2,MATCH(1,(TM_Events=D776)*(TM_Participant1=G776)*(TM_Participant2=AJ776),0)),"")</f>
        <v/>
      </c>
      <c r="AN776" s="389" t="str">
        <f t="array" ref="AN776">IF(ISNUMBER(AL776),INDEX(TM_Score2,MATCH(1,(TM_Events=D776)*(TM_Participant1=AJ776)*(TM_Participant2=G776),0)),"")</f>
        <v/>
      </c>
      <c r="AO776" s="389" t="str">
        <f t="shared" si="368"/>
        <v/>
      </c>
      <c r="AP776" s="389">
        <f t="shared" si="369"/>
        <v>0</v>
      </c>
      <c r="AQ776" s="389">
        <f t="shared" si="370"/>
        <v>0</v>
      </c>
      <c r="AR776" s="389">
        <f t="shared" si="371"/>
        <v>0</v>
      </c>
      <c r="AS776" s="453">
        <f t="shared" si="372"/>
        <v>0</v>
      </c>
      <c r="AT776" s="452">
        <f t="shared" si="373"/>
        <v>0</v>
      </c>
    </row>
    <row r="777" spans="2:46" ht="16" x14ac:dyDescent="0.2">
      <c r="B777"/>
      <c r="H777" s="387" t="str">
        <f t="shared" si="348"/>
        <v>0-0-0</v>
      </c>
      <c r="I777" s="389">
        <f t="shared" si="349"/>
        <v>0</v>
      </c>
      <c r="J777" s="455" t="str">
        <f t="shared" si="374"/>
        <v/>
      </c>
      <c r="K777" s="455">
        <f t="shared" si="350"/>
        <v>0</v>
      </c>
      <c r="L777" s="455">
        <f t="shared" si="375"/>
        <v>0</v>
      </c>
      <c r="M777" s="389" t="str">
        <f>IFERROR(IF(AD777&lt;=VLOOKUP(D777,Tournaments!$A$1:$B$1772,2,FALSE),"TRUE","FALSE"),"")</f>
        <v/>
      </c>
      <c r="N777" s="389">
        <v>1</v>
      </c>
      <c r="O777" s="389">
        <f t="shared" si="351"/>
        <v>0</v>
      </c>
      <c r="Q777" s="389">
        <f t="shared" si="352"/>
        <v>0</v>
      </c>
      <c r="R777" s="389">
        <f t="shared" si="353"/>
        <v>0</v>
      </c>
      <c r="S777" s="389">
        <f t="shared" si="354"/>
        <v>0</v>
      </c>
      <c r="U777" s="389">
        <f t="shared" si="355"/>
        <v>0</v>
      </c>
      <c r="V777" s="389" t="b">
        <f t="shared" si="356"/>
        <v>0</v>
      </c>
      <c r="W777" s="389">
        <f t="shared" si="357"/>
        <v>0</v>
      </c>
      <c r="X777" s="389">
        <f t="shared" si="358"/>
        <v>0</v>
      </c>
      <c r="Y777" s="389">
        <f t="shared" si="376"/>
        <v>1.0999999999999999E-2</v>
      </c>
      <c r="Z777" s="389">
        <f t="shared" si="359"/>
        <v>1.0999999999999999E-2</v>
      </c>
      <c r="AA777" s="389">
        <f t="shared" si="360"/>
        <v>0</v>
      </c>
      <c r="AB777" s="389">
        <f t="shared" si="361"/>
        <v>1E-4</v>
      </c>
      <c r="AC777" s="389">
        <f t="shared" si="362"/>
        <v>1E-4</v>
      </c>
      <c r="AD777" s="389">
        <f t="shared" si="363"/>
        <v>0</v>
      </c>
      <c r="AE777" s="389">
        <f t="shared" si="364"/>
        <v>0</v>
      </c>
      <c r="AG777" s="311" t="str">
        <f t="shared" si="365"/>
        <v>-</v>
      </c>
      <c r="AH777" s="453" t="str">
        <f t="shared" si="366"/>
        <v/>
      </c>
      <c r="AI777" s="453" t="str">
        <f t="shared" si="367"/>
        <v/>
      </c>
      <c r="AJ777" t="str">
        <f t="array" ref="AJ777">IF(AND(AI777&gt;1,G777&lt;&gt;""),INDEX(FS_teams,MATCH(1,(FS_Keys=AG777)*(FS_Points=I777)*(FS_teams&lt;&gt;G777),0)),"")</f>
        <v/>
      </c>
      <c r="AK777" s="390" t="str">
        <f t="array" ref="AK777">IF(AJ777&lt;&gt;"",INDEX(TM_Score1,MATCH(1,(TM_Events=D777)*(TM_Participant1=G777)*(TM_Participant2=AJ777),0)),"")</f>
        <v/>
      </c>
      <c r="AL777" s="390" t="str">
        <f t="array" ref="AL777">IF(AJ777&lt;&gt;"",INDEX(TM_Score1,MATCH(1,(TM_Events=D777)*(TM_Participant1=AJ777)*(TM_Participant2=G777),0)),"")</f>
        <v/>
      </c>
      <c r="AM777" s="389" t="str">
        <f t="array" ref="AM777">IF(ISNUMBER(AK777),INDEX(TM_Score2,MATCH(1,(TM_Events=D777)*(TM_Participant1=G777)*(TM_Participant2=AJ777),0)),"")</f>
        <v/>
      </c>
      <c r="AN777" s="389" t="str">
        <f t="array" ref="AN777">IF(ISNUMBER(AL777),INDEX(TM_Score2,MATCH(1,(TM_Events=D777)*(TM_Participant1=AJ777)*(TM_Participant2=G777),0)),"")</f>
        <v/>
      </c>
      <c r="AO777" s="389" t="str">
        <f t="shared" si="368"/>
        <v/>
      </c>
      <c r="AP777" s="389">
        <f t="shared" si="369"/>
        <v>0</v>
      </c>
      <c r="AQ777" s="389">
        <f t="shared" si="370"/>
        <v>0</v>
      </c>
      <c r="AR777" s="389">
        <f t="shared" si="371"/>
        <v>0</v>
      </c>
      <c r="AS777" s="453">
        <f t="shared" si="372"/>
        <v>0</v>
      </c>
      <c r="AT777" s="452">
        <f t="shared" si="373"/>
        <v>0</v>
      </c>
    </row>
    <row r="778" spans="2:46" ht="16" x14ac:dyDescent="0.2">
      <c r="B778"/>
      <c r="H778" s="387" t="str">
        <f t="shared" si="348"/>
        <v>0-0-0</v>
      </c>
      <c r="I778" s="389">
        <f t="shared" si="349"/>
        <v>0</v>
      </c>
      <c r="J778" s="455" t="str">
        <f t="shared" si="374"/>
        <v/>
      </c>
      <c r="K778" s="455">
        <f t="shared" si="350"/>
        <v>0</v>
      </c>
      <c r="L778" s="455">
        <f t="shared" si="375"/>
        <v>0</v>
      </c>
      <c r="M778" s="389" t="str">
        <f>IFERROR(IF(AD778&lt;=VLOOKUP(D778,Tournaments!$A$1:$B$1772,2,FALSE),"TRUE","FALSE"),"")</f>
        <v/>
      </c>
      <c r="N778" s="389">
        <v>1</v>
      </c>
      <c r="O778" s="389">
        <f t="shared" si="351"/>
        <v>0</v>
      </c>
      <c r="Q778" s="389">
        <f t="shared" si="352"/>
        <v>0</v>
      </c>
      <c r="R778" s="389">
        <f t="shared" si="353"/>
        <v>0</v>
      </c>
      <c r="S778" s="389">
        <f t="shared" si="354"/>
        <v>0</v>
      </c>
      <c r="U778" s="389">
        <f t="shared" si="355"/>
        <v>0</v>
      </c>
      <c r="V778" s="389" t="b">
        <f t="shared" si="356"/>
        <v>0</v>
      </c>
      <c r="W778" s="389">
        <f t="shared" si="357"/>
        <v>0</v>
      </c>
      <c r="X778" s="389">
        <f t="shared" si="358"/>
        <v>0</v>
      </c>
      <c r="Y778" s="389">
        <f t="shared" si="376"/>
        <v>1.0999999999999999E-2</v>
      </c>
      <c r="Z778" s="389">
        <f t="shared" si="359"/>
        <v>1.0999999999999999E-2</v>
      </c>
      <c r="AA778" s="389">
        <f t="shared" si="360"/>
        <v>0</v>
      </c>
      <c r="AB778" s="389">
        <f t="shared" si="361"/>
        <v>1E-4</v>
      </c>
      <c r="AC778" s="389">
        <f t="shared" si="362"/>
        <v>1E-4</v>
      </c>
      <c r="AD778" s="389">
        <f t="shared" si="363"/>
        <v>0</v>
      </c>
      <c r="AE778" s="389">
        <f t="shared" si="364"/>
        <v>0</v>
      </c>
      <c r="AG778" s="311" t="str">
        <f t="shared" si="365"/>
        <v>-</v>
      </c>
      <c r="AH778" s="453" t="str">
        <f t="shared" si="366"/>
        <v/>
      </c>
      <c r="AI778" s="453" t="str">
        <f t="shared" si="367"/>
        <v/>
      </c>
      <c r="AJ778" t="str">
        <f t="array" ref="AJ778">IF(AND(AI778&gt;1,G778&lt;&gt;""),INDEX(FS_teams,MATCH(1,(FS_Keys=AG778)*(FS_Points=I778)*(FS_teams&lt;&gt;G778),0)),"")</f>
        <v/>
      </c>
      <c r="AK778" s="390" t="str">
        <f t="array" ref="AK778">IF(AJ778&lt;&gt;"",INDEX(TM_Score1,MATCH(1,(TM_Events=D778)*(TM_Participant1=G778)*(TM_Participant2=AJ778),0)),"")</f>
        <v/>
      </c>
      <c r="AL778" s="390" t="str">
        <f t="array" ref="AL778">IF(AJ778&lt;&gt;"",INDEX(TM_Score1,MATCH(1,(TM_Events=D778)*(TM_Participant1=AJ778)*(TM_Participant2=G778),0)),"")</f>
        <v/>
      </c>
      <c r="AM778" s="389" t="str">
        <f t="array" ref="AM778">IF(ISNUMBER(AK778),INDEX(TM_Score2,MATCH(1,(TM_Events=D778)*(TM_Participant1=G778)*(TM_Participant2=AJ778),0)),"")</f>
        <v/>
      </c>
      <c r="AN778" s="389" t="str">
        <f t="array" ref="AN778">IF(ISNUMBER(AL778),INDEX(TM_Score2,MATCH(1,(TM_Events=D778)*(TM_Participant1=AJ778)*(TM_Participant2=G778),0)),"")</f>
        <v/>
      </c>
      <c r="AO778" s="389" t="str">
        <f t="shared" si="368"/>
        <v/>
      </c>
      <c r="AP778" s="389">
        <f t="shared" si="369"/>
        <v>0</v>
      </c>
      <c r="AQ778" s="389">
        <f t="shared" si="370"/>
        <v>0</v>
      </c>
      <c r="AR778" s="389">
        <f t="shared" si="371"/>
        <v>0</v>
      </c>
      <c r="AS778" s="453">
        <f t="shared" si="372"/>
        <v>0</v>
      </c>
      <c r="AT778" s="452">
        <f t="shared" si="373"/>
        <v>0</v>
      </c>
    </row>
    <row r="779" spans="2:46" ht="16" x14ac:dyDescent="0.2">
      <c r="B779"/>
      <c r="H779" s="387" t="str">
        <f t="shared" si="348"/>
        <v>0-0-0</v>
      </c>
      <c r="I779" s="389">
        <f t="shared" si="349"/>
        <v>0</v>
      </c>
      <c r="J779" s="455" t="str">
        <f t="shared" si="374"/>
        <v/>
      </c>
      <c r="K779" s="455">
        <f t="shared" si="350"/>
        <v>0</v>
      </c>
      <c r="L779" s="455">
        <f t="shared" si="375"/>
        <v>0</v>
      </c>
      <c r="M779" s="389" t="str">
        <f>IFERROR(IF(AD779&lt;=VLOOKUP(D779,Tournaments!$A$1:$B$1772,2,FALSE),"TRUE","FALSE"),"")</f>
        <v/>
      </c>
      <c r="N779" s="389">
        <v>1</v>
      </c>
      <c r="O779" s="389">
        <f t="shared" si="351"/>
        <v>0</v>
      </c>
      <c r="Q779" s="389">
        <f t="shared" si="352"/>
        <v>0</v>
      </c>
      <c r="R779" s="389">
        <f t="shared" si="353"/>
        <v>0</v>
      </c>
      <c r="S779" s="389">
        <f t="shared" si="354"/>
        <v>0</v>
      </c>
      <c r="U779" s="389">
        <f t="shared" si="355"/>
        <v>0</v>
      </c>
      <c r="V779" s="389" t="b">
        <f t="shared" si="356"/>
        <v>0</v>
      </c>
      <c r="W779" s="389">
        <f t="shared" si="357"/>
        <v>0</v>
      </c>
      <c r="X779" s="389">
        <f t="shared" si="358"/>
        <v>0</v>
      </c>
      <c r="Y779" s="389">
        <f t="shared" si="376"/>
        <v>1.0999999999999999E-2</v>
      </c>
      <c r="Z779" s="389">
        <f t="shared" si="359"/>
        <v>1.0999999999999999E-2</v>
      </c>
      <c r="AA779" s="389">
        <f t="shared" si="360"/>
        <v>0</v>
      </c>
      <c r="AB779" s="389">
        <f t="shared" si="361"/>
        <v>1E-4</v>
      </c>
      <c r="AC779" s="389">
        <f t="shared" si="362"/>
        <v>1E-4</v>
      </c>
      <c r="AD779" s="389">
        <f t="shared" si="363"/>
        <v>0</v>
      </c>
      <c r="AE779" s="389">
        <f t="shared" si="364"/>
        <v>0</v>
      </c>
      <c r="AG779" s="311" t="str">
        <f t="shared" si="365"/>
        <v>-</v>
      </c>
      <c r="AH779" s="453" t="str">
        <f t="shared" si="366"/>
        <v/>
      </c>
      <c r="AI779" s="453" t="str">
        <f t="shared" si="367"/>
        <v/>
      </c>
      <c r="AJ779" t="str">
        <f t="array" ref="AJ779">IF(AND(AI779&gt;1,G779&lt;&gt;""),INDEX(FS_teams,MATCH(1,(FS_Keys=AG779)*(FS_Points=I779)*(FS_teams&lt;&gt;G779),0)),"")</f>
        <v/>
      </c>
      <c r="AK779" s="390" t="str">
        <f t="array" ref="AK779">IF(AJ779&lt;&gt;"",INDEX(TM_Score1,MATCH(1,(TM_Events=D779)*(TM_Participant1=G779)*(TM_Participant2=AJ779),0)),"")</f>
        <v/>
      </c>
      <c r="AL779" s="390" t="str">
        <f t="array" ref="AL779">IF(AJ779&lt;&gt;"",INDEX(TM_Score1,MATCH(1,(TM_Events=D779)*(TM_Participant1=AJ779)*(TM_Participant2=G779),0)),"")</f>
        <v/>
      </c>
      <c r="AM779" s="389" t="str">
        <f t="array" ref="AM779">IF(ISNUMBER(AK779),INDEX(TM_Score2,MATCH(1,(TM_Events=D779)*(TM_Participant1=G779)*(TM_Participant2=AJ779),0)),"")</f>
        <v/>
      </c>
      <c r="AN779" s="389" t="str">
        <f t="array" ref="AN779">IF(ISNUMBER(AL779),INDEX(TM_Score2,MATCH(1,(TM_Events=D779)*(TM_Participant1=AJ779)*(TM_Participant2=G779),0)),"")</f>
        <v/>
      </c>
      <c r="AO779" s="389" t="str">
        <f t="shared" si="368"/>
        <v/>
      </c>
      <c r="AP779" s="389">
        <f t="shared" si="369"/>
        <v>0</v>
      </c>
      <c r="AQ779" s="389">
        <f t="shared" si="370"/>
        <v>0</v>
      </c>
      <c r="AR779" s="389">
        <f t="shared" si="371"/>
        <v>0</v>
      </c>
      <c r="AS779" s="453">
        <f t="shared" si="372"/>
        <v>0</v>
      </c>
      <c r="AT779" s="452">
        <f t="shared" si="373"/>
        <v>0</v>
      </c>
    </row>
    <row r="780" spans="2:46" ht="16" x14ac:dyDescent="0.2">
      <c r="B780"/>
      <c r="H780" s="387" t="str">
        <f t="shared" si="348"/>
        <v>0-0-0</v>
      </c>
      <c r="I780" s="389">
        <f t="shared" si="349"/>
        <v>0</v>
      </c>
      <c r="J780" s="455" t="str">
        <f t="shared" si="374"/>
        <v/>
      </c>
      <c r="K780" s="455">
        <f t="shared" si="350"/>
        <v>0</v>
      </c>
      <c r="L780" s="455">
        <f t="shared" si="375"/>
        <v>0</v>
      </c>
      <c r="M780" s="389" t="str">
        <f>IFERROR(IF(AD780&lt;=VLOOKUP(D780,Tournaments!$A$1:$B$1772,2,FALSE),"TRUE","FALSE"),"")</f>
        <v/>
      </c>
      <c r="N780" s="389">
        <v>1</v>
      </c>
      <c r="O780" s="389">
        <f t="shared" si="351"/>
        <v>0</v>
      </c>
      <c r="Q780" s="389">
        <f t="shared" si="352"/>
        <v>0</v>
      </c>
      <c r="R780" s="389">
        <f t="shared" si="353"/>
        <v>0</v>
      </c>
      <c r="S780" s="389">
        <f t="shared" si="354"/>
        <v>0</v>
      </c>
      <c r="U780" s="389">
        <f t="shared" si="355"/>
        <v>0</v>
      </c>
      <c r="V780" s="389" t="b">
        <f t="shared" si="356"/>
        <v>0</v>
      </c>
      <c r="W780" s="389">
        <f t="shared" si="357"/>
        <v>0</v>
      </c>
      <c r="X780" s="389">
        <f t="shared" si="358"/>
        <v>0</v>
      </c>
      <c r="Y780" s="389">
        <f t="shared" si="376"/>
        <v>1.0999999999999999E-2</v>
      </c>
      <c r="Z780" s="389">
        <f t="shared" si="359"/>
        <v>1.0999999999999999E-2</v>
      </c>
      <c r="AA780" s="389">
        <f t="shared" si="360"/>
        <v>0</v>
      </c>
      <c r="AB780" s="389">
        <f t="shared" si="361"/>
        <v>1E-4</v>
      </c>
      <c r="AC780" s="389">
        <f t="shared" si="362"/>
        <v>1E-4</v>
      </c>
      <c r="AD780" s="389">
        <f t="shared" si="363"/>
        <v>0</v>
      </c>
      <c r="AE780" s="389">
        <f t="shared" si="364"/>
        <v>0</v>
      </c>
      <c r="AG780" s="311" t="str">
        <f t="shared" si="365"/>
        <v>-</v>
      </c>
      <c r="AH780" s="453" t="str">
        <f t="shared" si="366"/>
        <v/>
      </c>
      <c r="AI780" s="453" t="str">
        <f t="shared" si="367"/>
        <v/>
      </c>
      <c r="AJ780" t="str">
        <f t="array" ref="AJ780">IF(AND(AI780&gt;1,G780&lt;&gt;""),INDEX(FS_teams,MATCH(1,(FS_Keys=AG780)*(FS_Points=I780)*(FS_teams&lt;&gt;G780),0)),"")</f>
        <v/>
      </c>
      <c r="AK780" s="390" t="str">
        <f t="array" ref="AK780">IF(AJ780&lt;&gt;"",INDEX(TM_Score1,MATCH(1,(TM_Events=D780)*(TM_Participant1=G780)*(TM_Participant2=AJ780),0)),"")</f>
        <v/>
      </c>
      <c r="AL780" s="390" t="str">
        <f t="array" ref="AL780">IF(AJ780&lt;&gt;"",INDEX(TM_Score1,MATCH(1,(TM_Events=D780)*(TM_Participant1=AJ780)*(TM_Participant2=G780),0)),"")</f>
        <v/>
      </c>
      <c r="AM780" s="389" t="str">
        <f t="array" ref="AM780">IF(ISNUMBER(AK780),INDEX(TM_Score2,MATCH(1,(TM_Events=D780)*(TM_Participant1=G780)*(TM_Participant2=AJ780),0)),"")</f>
        <v/>
      </c>
      <c r="AN780" s="389" t="str">
        <f t="array" ref="AN780">IF(ISNUMBER(AL780),INDEX(TM_Score2,MATCH(1,(TM_Events=D780)*(TM_Participant1=AJ780)*(TM_Participant2=G780),0)),"")</f>
        <v/>
      </c>
      <c r="AO780" s="389" t="str">
        <f t="shared" si="368"/>
        <v/>
      </c>
      <c r="AP780" s="389">
        <f t="shared" si="369"/>
        <v>0</v>
      </c>
      <c r="AQ780" s="389">
        <f t="shared" si="370"/>
        <v>0</v>
      </c>
      <c r="AR780" s="389">
        <f t="shared" si="371"/>
        <v>0</v>
      </c>
      <c r="AS780" s="453">
        <f t="shared" si="372"/>
        <v>0</v>
      </c>
      <c r="AT780" s="452">
        <f t="shared" si="373"/>
        <v>0</v>
      </c>
    </row>
    <row r="781" spans="2:46" ht="16" x14ac:dyDescent="0.2">
      <c r="B781"/>
      <c r="H781" s="387" t="str">
        <f t="shared" si="348"/>
        <v>0-0-0</v>
      </c>
      <c r="I781" s="389">
        <f t="shared" si="349"/>
        <v>0</v>
      </c>
      <c r="J781" s="455" t="str">
        <f t="shared" si="374"/>
        <v/>
      </c>
      <c r="K781" s="455">
        <f t="shared" si="350"/>
        <v>0</v>
      </c>
      <c r="L781" s="455">
        <f t="shared" si="375"/>
        <v>0</v>
      </c>
      <c r="M781" s="389" t="str">
        <f>IFERROR(IF(AD781&lt;=VLOOKUP(D781,Tournaments!$A$1:$B$1772,2,FALSE),"TRUE","FALSE"),"")</f>
        <v/>
      </c>
      <c r="N781" s="389">
        <v>1</v>
      </c>
      <c r="O781" s="389">
        <f t="shared" si="351"/>
        <v>0</v>
      </c>
      <c r="Q781" s="389">
        <f t="shared" si="352"/>
        <v>0</v>
      </c>
      <c r="R781" s="389">
        <f t="shared" si="353"/>
        <v>0</v>
      </c>
      <c r="S781" s="389">
        <f t="shared" si="354"/>
        <v>0</v>
      </c>
      <c r="U781" s="389">
        <f t="shared" si="355"/>
        <v>0</v>
      </c>
      <c r="V781" s="389" t="b">
        <f t="shared" si="356"/>
        <v>0</v>
      </c>
      <c r="W781" s="389">
        <f t="shared" si="357"/>
        <v>0</v>
      </c>
      <c r="X781" s="389">
        <f t="shared" si="358"/>
        <v>0</v>
      </c>
      <c r="Y781" s="389">
        <f t="shared" si="376"/>
        <v>1.0999999999999999E-2</v>
      </c>
      <c r="Z781" s="389">
        <f t="shared" si="359"/>
        <v>1.0999999999999999E-2</v>
      </c>
      <c r="AA781" s="389">
        <f t="shared" si="360"/>
        <v>0</v>
      </c>
      <c r="AB781" s="389">
        <f t="shared" si="361"/>
        <v>1E-4</v>
      </c>
      <c r="AC781" s="389">
        <f t="shared" si="362"/>
        <v>1E-4</v>
      </c>
      <c r="AD781" s="389">
        <f t="shared" si="363"/>
        <v>0</v>
      </c>
      <c r="AE781" s="389">
        <f t="shared" si="364"/>
        <v>0</v>
      </c>
      <c r="AG781" s="311" t="str">
        <f t="shared" si="365"/>
        <v>-</v>
      </c>
      <c r="AH781" s="453" t="str">
        <f t="shared" si="366"/>
        <v/>
      </c>
      <c r="AI781" s="453" t="str">
        <f t="shared" si="367"/>
        <v/>
      </c>
      <c r="AJ781" t="str">
        <f t="array" ref="AJ781">IF(AND(AI781&gt;1,G781&lt;&gt;""),INDEX(FS_teams,MATCH(1,(FS_Keys=AG781)*(FS_Points=I781)*(FS_teams&lt;&gt;G781),0)),"")</f>
        <v/>
      </c>
      <c r="AK781" s="390" t="str">
        <f t="array" ref="AK781">IF(AJ781&lt;&gt;"",INDEX(TM_Score1,MATCH(1,(TM_Events=D781)*(TM_Participant1=G781)*(TM_Participant2=AJ781),0)),"")</f>
        <v/>
      </c>
      <c r="AL781" s="390" t="str">
        <f t="array" ref="AL781">IF(AJ781&lt;&gt;"",INDEX(TM_Score1,MATCH(1,(TM_Events=D781)*(TM_Participant1=AJ781)*(TM_Participant2=G781),0)),"")</f>
        <v/>
      </c>
      <c r="AM781" s="389" t="str">
        <f t="array" ref="AM781">IF(ISNUMBER(AK781),INDEX(TM_Score2,MATCH(1,(TM_Events=D781)*(TM_Participant1=G781)*(TM_Participant2=AJ781),0)),"")</f>
        <v/>
      </c>
      <c r="AN781" s="389" t="str">
        <f t="array" ref="AN781">IF(ISNUMBER(AL781),INDEX(TM_Score2,MATCH(1,(TM_Events=D781)*(TM_Participant1=AJ781)*(TM_Participant2=G781),0)),"")</f>
        <v/>
      </c>
      <c r="AO781" s="389" t="str">
        <f t="shared" si="368"/>
        <v/>
      </c>
      <c r="AP781" s="389">
        <f t="shared" si="369"/>
        <v>0</v>
      </c>
      <c r="AQ781" s="389">
        <f t="shared" si="370"/>
        <v>0</v>
      </c>
      <c r="AR781" s="389">
        <f t="shared" si="371"/>
        <v>0</v>
      </c>
      <c r="AS781" s="453">
        <f t="shared" si="372"/>
        <v>0</v>
      </c>
      <c r="AT781" s="452">
        <f t="shared" si="373"/>
        <v>0</v>
      </c>
    </row>
    <row r="782" spans="2:46" ht="16" x14ac:dyDescent="0.2">
      <c r="B782"/>
      <c r="H782" s="387" t="str">
        <f t="shared" si="348"/>
        <v>0-0-0</v>
      </c>
      <c r="I782" s="389">
        <f t="shared" si="349"/>
        <v>0</v>
      </c>
      <c r="J782" s="455" t="str">
        <f t="shared" si="374"/>
        <v/>
      </c>
      <c r="K782" s="455">
        <f t="shared" si="350"/>
        <v>0</v>
      </c>
      <c r="L782" s="455">
        <f t="shared" si="375"/>
        <v>0</v>
      </c>
      <c r="M782" s="389" t="str">
        <f>IFERROR(IF(AD782&lt;=VLOOKUP(D782,Tournaments!$A$1:$B$1772,2,FALSE),"TRUE","FALSE"),"")</f>
        <v/>
      </c>
      <c r="N782" s="389">
        <v>1</v>
      </c>
      <c r="O782" s="389">
        <f t="shared" si="351"/>
        <v>0</v>
      </c>
      <c r="Q782" s="389">
        <f t="shared" si="352"/>
        <v>0</v>
      </c>
      <c r="R782" s="389">
        <f t="shared" si="353"/>
        <v>0</v>
      </c>
      <c r="S782" s="389">
        <f t="shared" si="354"/>
        <v>0</v>
      </c>
      <c r="U782" s="389">
        <f t="shared" si="355"/>
        <v>0</v>
      </c>
      <c r="V782" s="389" t="b">
        <f t="shared" si="356"/>
        <v>0</v>
      </c>
      <c r="W782" s="389">
        <f t="shared" si="357"/>
        <v>0</v>
      </c>
      <c r="X782" s="389">
        <f t="shared" si="358"/>
        <v>0</v>
      </c>
      <c r="Y782" s="389">
        <f t="shared" si="376"/>
        <v>1.0999999999999999E-2</v>
      </c>
      <c r="Z782" s="389">
        <f t="shared" si="359"/>
        <v>1.0999999999999999E-2</v>
      </c>
      <c r="AA782" s="389">
        <f t="shared" si="360"/>
        <v>0</v>
      </c>
      <c r="AB782" s="389">
        <f t="shared" si="361"/>
        <v>1E-4</v>
      </c>
      <c r="AC782" s="389">
        <f t="shared" si="362"/>
        <v>1E-4</v>
      </c>
      <c r="AD782" s="389">
        <f t="shared" si="363"/>
        <v>0</v>
      </c>
      <c r="AE782" s="389">
        <f t="shared" si="364"/>
        <v>0</v>
      </c>
      <c r="AG782" s="311" t="str">
        <f t="shared" si="365"/>
        <v>-</v>
      </c>
      <c r="AH782" s="453" t="str">
        <f t="shared" si="366"/>
        <v/>
      </c>
      <c r="AI782" s="453" t="str">
        <f t="shared" si="367"/>
        <v/>
      </c>
      <c r="AJ782" t="str">
        <f t="array" ref="AJ782">IF(AND(AI782&gt;1,G782&lt;&gt;""),INDEX(FS_teams,MATCH(1,(FS_Keys=AG782)*(FS_Points=I782)*(FS_teams&lt;&gt;G782),0)),"")</f>
        <v/>
      </c>
      <c r="AK782" s="390" t="str">
        <f t="array" ref="AK782">IF(AJ782&lt;&gt;"",INDEX(TM_Score1,MATCH(1,(TM_Events=D782)*(TM_Participant1=G782)*(TM_Participant2=AJ782),0)),"")</f>
        <v/>
      </c>
      <c r="AL782" s="390" t="str">
        <f t="array" ref="AL782">IF(AJ782&lt;&gt;"",INDEX(TM_Score1,MATCH(1,(TM_Events=D782)*(TM_Participant1=AJ782)*(TM_Participant2=G782),0)),"")</f>
        <v/>
      </c>
      <c r="AM782" s="389" t="str">
        <f t="array" ref="AM782">IF(ISNUMBER(AK782),INDEX(TM_Score2,MATCH(1,(TM_Events=D782)*(TM_Participant1=G782)*(TM_Participant2=AJ782),0)),"")</f>
        <v/>
      </c>
      <c r="AN782" s="389" t="str">
        <f t="array" ref="AN782">IF(ISNUMBER(AL782),INDEX(TM_Score2,MATCH(1,(TM_Events=D782)*(TM_Participant1=AJ782)*(TM_Participant2=G782),0)),"")</f>
        <v/>
      </c>
      <c r="AO782" s="389" t="str">
        <f t="shared" si="368"/>
        <v/>
      </c>
      <c r="AP782" s="389">
        <f t="shared" si="369"/>
        <v>0</v>
      </c>
      <c r="AQ782" s="389">
        <f t="shared" si="370"/>
        <v>0</v>
      </c>
      <c r="AR782" s="389">
        <f t="shared" si="371"/>
        <v>0</v>
      </c>
      <c r="AS782" s="453">
        <f t="shared" si="372"/>
        <v>0</v>
      </c>
      <c r="AT782" s="452">
        <f t="shared" si="373"/>
        <v>0</v>
      </c>
    </row>
    <row r="783" spans="2:46" ht="16" x14ac:dyDescent="0.2">
      <c r="B783"/>
      <c r="H783" s="387" t="str">
        <f t="shared" si="348"/>
        <v>0-0-0</v>
      </c>
      <c r="I783" s="389">
        <f t="shared" si="349"/>
        <v>0</v>
      </c>
      <c r="J783" s="455" t="str">
        <f t="shared" si="374"/>
        <v/>
      </c>
      <c r="K783" s="455">
        <f t="shared" si="350"/>
        <v>0</v>
      </c>
      <c r="L783" s="455">
        <f t="shared" si="375"/>
        <v>0</v>
      </c>
      <c r="M783" s="389" t="str">
        <f>IFERROR(IF(AD783&lt;=VLOOKUP(D783,Tournaments!$A$1:$B$1772,2,FALSE),"TRUE","FALSE"),"")</f>
        <v/>
      </c>
      <c r="N783" s="389">
        <v>1</v>
      </c>
      <c r="O783" s="389">
        <f t="shared" si="351"/>
        <v>0</v>
      </c>
      <c r="Q783" s="389">
        <f t="shared" si="352"/>
        <v>0</v>
      </c>
      <c r="R783" s="389">
        <f t="shared" si="353"/>
        <v>0</v>
      </c>
      <c r="S783" s="389">
        <f t="shared" si="354"/>
        <v>0</v>
      </c>
      <c r="U783" s="389">
        <f t="shared" si="355"/>
        <v>0</v>
      </c>
      <c r="V783" s="389" t="b">
        <f t="shared" si="356"/>
        <v>0</v>
      </c>
      <c r="W783" s="389">
        <f t="shared" si="357"/>
        <v>0</v>
      </c>
      <c r="X783" s="389">
        <f t="shared" si="358"/>
        <v>0</v>
      </c>
      <c r="Y783" s="389">
        <f t="shared" si="376"/>
        <v>1.0999999999999999E-2</v>
      </c>
      <c r="Z783" s="389">
        <f t="shared" si="359"/>
        <v>1.0999999999999999E-2</v>
      </c>
      <c r="AA783" s="389">
        <f t="shared" si="360"/>
        <v>0</v>
      </c>
      <c r="AB783" s="389">
        <f t="shared" si="361"/>
        <v>1E-4</v>
      </c>
      <c r="AC783" s="389">
        <f t="shared" si="362"/>
        <v>1E-4</v>
      </c>
      <c r="AD783" s="389">
        <f t="shared" si="363"/>
        <v>0</v>
      </c>
      <c r="AE783" s="389">
        <f t="shared" si="364"/>
        <v>0</v>
      </c>
      <c r="AG783" s="311" t="str">
        <f t="shared" si="365"/>
        <v>-</v>
      </c>
      <c r="AH783" s="453" t="str">
        <f t="shared" si="366"/>
        <v/>
      </c>
      <c r="AI783" s="453" t="str">
        <f t="shared" si="367"/>
        <v/>
      </c>
      <c r="AJ783" t="str">
        <f t="array" ref="AJ783">IF(AND(AI783&gt;1,G783&lt;&gt;""),INDEX(FS_teams,MATCH(1,(FS_Keys=AG783)*(FS_Points=I783)*(FS_teams&lt;&gt;G783),0)),"")</f>
        <v/>
      </c>
      <c r="AK783" s="390" t="str">
        <f t="array" ref="AK783">IF(AJ783&lt;&gt;"",INDEX(TM_Score1,MATCH(1,(TM_Events=D783)*(TM_Participant1=G783)*(TM_Participant2=AJ783),0)),"")</f>
        <v/>
      </c>
      <c r="AL783" s="390" t="str">
        <f t="array" ref="AL783">IF(AJ783&lt;&gt;"",INDEX(TM_Score1,MATCH(1,(TM_Events=D783)*(TM_Participant1=AJ783)*(TM_Participant2=G783),0)),"")</f>
        <v/>
      </c>
      <c r="AM783" s="389" t="str">
        <f t="array" ref="AM783">IF(ISNUMBER(AK783),INDEX(TM_Score2,MATCH(1,(TM_Events=D783)*(TM_Participant1=G783)*(TM_Participant2=AJ783),0)),"")</f>
        <v/>
      </c>
      <c r="AN783" s="389" t="str">
        <f t="array" ref="AN783">IF(ISNUMBER(AL783),INDEX(TM_Score2,MATCH(1,(TM_Events=D783)*(TM_Participant1=AJ783)*(TM_Participant2=G783),0)),"")</f>
        <v/>
      </c>
      <c r="AO783" s="389" t="str">
        <f t="shared" si="368"/>
        <v/>
      </c>
      <c r="AP783" s="389">
        <f t="shared" si="369"/>
        <v>0</v>
      </c>
      <c r="AQ783" s="389">
        <f t="shared" si="370"/>
        <v>0</v>
      </c>
      <c r="AR783" s="389">
        <f t="shared" si="371"/>
        <v>0</v>
      </c>
      <c r="AS783" s="453">
        <f t="shared" si="372"/>
        <v>0</v>
      </c>
      <c r="AT783" s="452">
        <f t="shared" si="373"/>
        <v>0</v>
      </c>
    </row>
    <row r="784" spans="2:46" ht="16" x14ac:dyDescent="0.2">
      <c r="B784"/>
      <c r="H784" s="387" t="str">
        <f t="shared" si="348"/>
        <v>0-0-0</v>
      </c>
      <c r="I784" s="389">
        <f t="shared" si="349"/>
        <v>0</v>
      </c>
      <c r="J784" s="455" t="str">
        <f t="shared" si="374"/>
        <v/>
      </c>
      <c r="K784" s="455">
        <f t="shared" si="350"/>
        <v>0</v>
      </c>
      <c r="L784" s="455">
        <f t="shared" si="375"/>
        <v>0</v>
      </c>
      <c r="M784" s="389" t="str">
        <f>IFERROR(IF(AD784&lt;=VLOOKUP(D784,Tournaments!$A$1:$B$1772,2,FALSE),"TRUE","FALSE"),"")</f>
        <v/>
      </c>
      <c r="N784" s="389">
        <v>1</v>
      </c>
      <c r="O784" s="389">
        <f t="shared" si="351"/>
        <v>0</v>
      </c>
      <c r="Q784" s="389">
        <f t="shared" si="352"/>
        <v>0</v>
      </c>
      <c r="R784" s="389">
        <f t="shared" si="353"/>
        <v>0</v>
      </c>
      <c r="S784" s="389">
        <f t="shared" si="354"/>
        <v>0</v>
      </c>
      <c r="U784" s="389">
        <f t="shared" si="355"/>
        <v>0</v>
      </c>
      <c r="V784" s="389" t="b">
        <f t="shared" si="356"/>
        <v>0</v>
      </c>
      <c r="W784" s="389">
        <f t="shared" si="357"/>
        <v>0</v>
      </c>
      <c r="X784" s="389">
        <f t="shared" si="358"/>
        <v>0</v>
      </c>
      <c r="Y784" s="389">
        <f t="shared" si="376"/>
        <v>1.0999999999999999E-2</v>
      </c>
      <c r="Z784" s="389">
        <f t="shared" si="359"/>
        <v>1.0999999999999999E-2</v>
      </c>
      <c r="AA784" s="389">
        <f t="shared" si="360"/>
        <v>0</v>
      </c>
      <c r="AB784" s="389">
        <f t="shared" si="361"/>
        <v>1E-4</v>
      </c>
      <c r="AC784" s="389">
        <f t="shared" si="362"/>
        <v>1E-4</v>
      </c>
      <c r="AD784" s="389">
        <f t="shared" si="363"/>
        <v>0</v>
      </c>
      <c r="AE784" s="389">
        <f t="shared" si="364"/>
        <v>0</v>
      </c>
      <c r="AG784" s="311" t="str">
        <f t="shared" si="365"/>
        <v>-</v>
      </c>
      <c r="AH784" s="453" t="str">
        <f t="shared" si="366"/>
        <v/>
      </c>
      <c r="AI784" s="453" t="str">
        <f t="shared" si="367"/>
        <v/>
      </c>
      <c r="AJ784" t="str">
        <f t="array" ref="AJ784">IF(AND(AI784&gt;1,G784&lt;&gt;""),INDEX(FS_teams,MATCH(1,(FS_Keys=AG784)*(FS_Points=I784)*(FS_teams&lt;&gt;G784),0)),"")</f>
        <v/>
      </c>
      <c r="AK784" s="390" t="str">
        <f t="array" ref="AK784">IF(AJ784&lt;&gt;"",INDEX(TM_Score1,MATCH(1,(TM_Events=D784)*(TM_Participant1=G784)*(TM_Participant2=AJ784),0)),"")</f>
        <v/>
      </c>
      <c r="AL784" s="390" t="str">
        <f t="array" ref="AL784">IF(AJ784&lt;&gt;"",INDEX(TM_Score1,MATCH(1,(TM_Events=D784)*(TM_Participant1=AJ784)*(TM_Participant2=G784),0)),"")</f>
        <v/>
      </c>
      <c r="AM784" s="389" t="str">
        <f t="array" ref="AM784">IF(ISNUMBER(AK784),INDEX(TM_Score2,MATCH(1,(TM_Events=D784)*(TM_Participant1=G784)*(TM_Participant2=AJ784),0)),"")</f>
        <v/>
      </c>
      <c r="AN784" s="389" t="str">
        <f t="array" ref="AN784">IF(ISNUMBER(AL784),INDEX(TM_Score2,MATCH(1,(TM_Events=D784)*(TM_Participant1=AJ784)*(TM_Participant2=G784),0)),"")</f>
        <v/>
      </c>
      <c r="AO784" s="389" t="str">
        <f t="shared" si="368"/>
        <v/>
      </c>
      <c r="AP784" s="389">
        <f t="shared" si="369"/>
        <v>0</v>
      </c>
      <c r="AQ784" s="389">
        <f t="shared" si="370"/>
        <v>0</v>
      </c>
      <c r="AR784" s="389">
        <f t="shared" si="371"/>
        <v>0</v>
      </c>
      <c r="AS784" s="453">
        <f t="shared" si="372"/>
        <v>0</v>
      </c>
      <c r="AT784" s="452">
        <f t="shared" si="373"/>
        <v>0</v>
      </c>
    </row>
    <row r="785" spans="2:46" ht="16" x14ac:dyDescent="0.2">
      <c r="B785"/>
      <c r="H785" s="387" t="str">
        <f t="shared" si="348"/>
        <v>0-0-0</v>
      </c>
      <c r="I785" s="389">
        <f t="shared" si="349"/>
        <v>0</v>
      </c>
      <c r="J785" s="455" t="str">
        <f t="shared" si="374"/>
        <v/>
      </c>
      <c r="K785" s="455">
        <f t="shared" si="350"/>
        <v>0</v>
      </c>
      <c r="L785" s="455">
        <f t="shared" si="375"/>
        <v>0</v>
      </c>
      <c r="M785" s="389" t="str">
        <f>IFERROR(IF(AD785&lt;=VLOOKUP(D785,Tournaments!$A$1:$B$1772,2,FALSE),"TRUE","FALSE"),"")</f>
        <v/>
      </c>
      <c r="N785" s="389">
        <v>1</v>
      </c>
      <c r="O785" s="389">
        <f t="shared" si="351"/>
        <v>0</v>
      </c>
      <c r="Q785" s="389">
        <f t="shared" si="352"/>
        <v>0</v>
      </c>
      <c r="R785" s="389">
        <f t="shared" si="353"/>
        <v>0</v>
      </c>
      <c r="S785" s="389">
        <f t="shared" si="354"/>
        <v>0</v>
      </c>
      <c r="U785" s="389">
        <f t="shared" si="355"/>
        <v>0</v>
      </c>
      <c r="V785" s="389" t="b">
        <f t="shared" si="356"/>
        <v>0</v>
      </c>
      <c r="W785" s="389">
        <f t="shared" si="357"/>
        <v>0</v>
      </c>
      <c r="X785" s="389">
        <f t="shared" si="358"/>
        <v>0</v>
      </c>
      <c r="Y785" s="389">
        <f t="shared" si="376"/>
        <v>1.0999999999999999E-2</v>
      </c>
      <c r="Z785" s="389">
        <f t="shared" si="359"/>
        <v>1.0999999999999999E-2</v>
      </c>
      <c r="AA785" s="389">
        <f t="shared" si="360"/>
        <v>0</v>
      </c>
      <c r="AB785" s="389">
        <f t="shared" si="361"/>
        <v>1E-4</v>
      </c>
      <c r="AC785" s="389">
        <f t="shared" si="362"/>
        <v>1E-4</v>
      </c>
      <c r="AD785" s="389">
        <f t="shared" si="363"/>
        <v>0</v>
      </c>
      <c r="AE785" s="389">
        <f t="shared" si="364"/>
        <v>0</v>
      </c>
      <c r="AG785" s="311" t="str">
        <f t="shared" si="365"/>
        <v>-</v>
      </c>
      <c r="AH785" s="453" t="str">
        <f t="shared" si="366"/>
        <v/>
      </c>
      <c r="AI785" s="453" t="str">
        <f t="shared" si="367"/>
        <v/>
      </c>
      <c r="AJ785" t="str">
        <f t="array" ref="AJ785">IF(AND(AI785&gt;1,G785&lt;&gt;""),INDEX(FS_teams,MATCH(1,(FS_Keys=AG785)*(FS_Points=I785)*(FS_teams&lt;&gt;G785),0)),"")</f>
        <v/>
      </c>
      <c r="AK785" s="390" t="str">
        <f t="array" ref="AK785">IF(AJ785&lt;&gt;"",INDEX(TM_Score1,MATCH(1,(TM_Events=D785)*(TM_Participant1=G785)*(TM_Participant2=AJ785),0)),"")</f>
        <v/>
      </c>
      <c r="AL785" s="390" t="str">
        <f t="array" ref="AL785">IF(AJ785&lt;&gt;"",INDEX(TM_Score1,MATCH(1,(TM_Events=D785)*(TM_Participant1=AJ785)*(TM_Participant2=G785),0)),"")</f>
        <v/>
      </c>
      <c r="AM785" s="389" t="str">
        <f t="array" ref="AM785">IF(ISNUMBER(AK785),INDEX(TM_Score2,MATCH(1,(TM_Events=D785)*(TM_Participant1=G785)*(TM_Participant2=AJ785),0)),"")</f>
        <v/>
      </c>
      <c r="AN785" s="389" t="str">
        <f t="array" ref="AN785">IF(ISNUMBER(AL785),INDEX(TM_Score2,MATCH(1,(TM_Events=D785)*(TM_Participant1=AJ785)*(TM_Participant2=G785),0)),"")</f>
        <v/>
      </c>
      <c r="AO785" s="389" t="str">
        <f t="shared" si="368"/>
        <v/>
      </c>
      <c r="AP785" s="389">
        <f t="shared" si="369"/>
        <v>0</v>
      </c>
      <c r="AQ785" s="389">
        <f t="shared" si="370"/>
        <v>0</v>
      </c>
      <c r="AR785" s="389">
        <f t="shared" si="371"/>
        <v>0</v>
      </c>
      <c r="AS785" s="453">
        <f t="shared" si="372"/>
        <v>0</v>
      </c>
      <c r="AT785" s="452">
        <f t="shared" si="373"/>
        <v>0</v>
      </c>
    </row>
    <row r="786" spans="2:46" ht="16" x14ac:dyDescent="0.2">
      <c r="B786"/>
      <c r="H786" s="387" t="str">
        <f t="shared" si="348"/>
        <v>0-0-0</v>
      </c>
      <c r="I786" s="389">
        <f t="shared" si="349"/>
        <v>0</v>
      </c>
      <c r="J786" s="455" t="str">
        <f t="shared" si="374"/>
        <v/>
      </c>
      <c r="K786" s="455">
        <f t="shared" si="350"/>
        <v>0</v>
      </c>
      <c r="L786" s="455">
        <f t="shared" si="375"/>
        <v>0</v>
      </c>
      <c r="M786" s="389" t="str">
        <f>IFERROR(IF(AD786&lt;=VLOOKUP(D786,Tournaments!$A$1:$B$1772,2,FALSE),"TRUE","FALSE"),"")</f>
        <v/>
      </c>
      <c r="N786" s="389">
        <v>1</v>
      </c>
      <c r="O786" s="389">
        <f t="shared" si="351"/>
        <v>0</v>
      </c>
      <c r="Q786" s="389">
        <f t="shared" si="352"/>
        <v>0</v>
      </c>
      <c r="R786" s="389">
        <f t="shared" si="353"/>
        <v>0</v>
      </c>
      <c r="S786" s="389">
        <f t="shared" si="354"/>
        <v>0</v>
      </c>
      <c r="U786" s="389">
        <f t="shared" si="355"/>
        <v>0</v>
      </c>
      <c r="V786" s="389" t="b">
        <f t="shared" si="356"/>
        <v>0</v>
      </c>
      <c r="W786" s="389">
        <f t="shared" si="357"/>
        <v>0</v>
      </c>
      <c r="X786" s="389">
        <f t="shared" si="358"/>
        <v>0</v>
      </c>
      <c r="Y786" s="389">
        <f t="shared" si="376"/>
        <v>1.0999999999999999E-2</v>
      </c>
      <c r="Z786" s="389">
        <f t="shared" si="359"/>
        <v>1.0999999999999999E-2</v>
      </c>
      <c r="AA786" s="389">
        <f t="shared" si="360"/>
        <v>0</v>
      </c>
      <c r="AB786" s="389">
        <f t="shared" si="361"/>
        <v>1E-4</v>
      </c>
      <c r="AC786" s="389">
        <f t="shared" si="362"/>
        <v>1E-4</v>
      </c>
      <c r="AD786" s="389">
        <f t="shared" si="363"/>
        <v>0</v>
      </c>
      <c r="AE786" s="389">
        <f t="shared" si="364"/>
        <v>0</v>
      </c>
      <c r="AG786" s="311" t="str">
        <f t="shared" si="365"/>
        <v>-</v>
      </c>
      <c r="AH786" s="453" t="str">
        <f t="shared" si="366"/>
        <v/>
      </c>
      <c r="AI786" s="453" t="str">
        <f t="shared" si="367"/>
        <v/>
      </c>
      <c r="AJ786" t="str">
        <f t="array" ref="AJ786">IF(AND(AI786&gt;1,G786&lt;&gt;""),INDEX(FS_teams,MATCH(1,(FS_Keys=AG786)*(FS_Points=I786)*(FS_teams&lt;&gt;G786),0)),"")</f>
        <v/>
      </c>
      <c r="AK786" s="390" t="str">
        <f t="array" ref="AK786">IF(AJ786&lt;&gt;"",INDEX(TM_Score1,MATCH(1,(TM_Events=D786)*(TM_Participant1=G786)*(TM_Participant2=AJ786),0)),"")</f>
        <v/>
      </c>
      <c r="AL786" s="390" t="str">
        <f t="array" ref="AL786">IF(AJ786&lt;&gt;"",INDEX(TM_Score1,MATCH(1,(TM_Events=D786)*(TM_Participant1=AJ786)*(TM_Participant2=G786),0)),"")</f>
        <v/>
      </c>
      <c r="AM786" s="389" t="str">
        <f t="array" ref="AM786">IF(ISNUMBER(AK786),INDEX(TM_Score2,MATCH(1,(TM_Events=D786)*(TM_Participant1=G786)*(TM_Participant2=AJ786),0)),"")</f>
        <v/>
      </c>
      <c r="AN786" s="389" t="str">
        <f t="array" ref="AN786">IF(ISNUMBER(AL786),INDEX(TM_Score2,MATCH(1,(TM_Events=D786)*(TM_Participant1=AJ786)*(TM_Participant2=G786),0)),"")</f>
        <v/>
      </c>
      <c r="AO786" s="389" t="str">
        <f t="shared" si="368"/>
        <v/>
      </c>
      <c r="AP786" s="389">
        <f t="shared" si="369"/>
        <v>0</v>
      </c>
      <c r="AQ786" s="389">
        <f t="shared" si="370"/>
        <v>0</v>
      </c>
      <c r="AR786" s="389">
        <f t="shared" si="371"/>
        <v>0</v>
      </c>
      <c r="AS786" s="453">
        <f t="shared" si="372"/>
        <v>0</v>
      </c>
      <c r="AT786" s="452">
        <f t="shared" si="373"/>
        <v>0</v>
      </c>
    </row>
    <row r="787" spans="2:46" ht="16" x14ac:dyDescent="0.2">
      <c r="B787"/>
      <c r="H787" s="387" t="str">
        <f t="shared" si="348"/>
        <v>0-0-0</v>
      </c>
      <c r="I787" s="389">
        <f t="shared" si="349"/>
        <v>0</v>
      </c>
      <c r="J787" s="455" t="str">
        <f t="shared" si="374"/>
        <v/>
      </c>
      <c r="K787" s="455">
        <f t="shared" si="350"/>
        <v>0</v>
      </c>
      <c r="L787" s="455">
        <f t="shared" si="375"/>
        <v>0</v>
      </c>
      <c r="M787" s="389" t="str">
        <f>IFERROR(IF(AD787&lt;=VLOOKUP(D787,Tournaments!$A$1:$B$1772,2,FALSE),"TRUE","FALSE"),"")</f>
        <v/>
      </c>
      <c r="N787" s="389">
        <v>1</v>
      </c>
      <c r="O787" s="389">
        <f t="shared" si="351"/>
        <v>0</v>
      </c>
      <c r="Q787" s="389">
        <f t="shared" si="352"/>
        <v>0</v>
      </c>
      <c r="R787" s="389">
        <f t="shared" si="353"/>
        <v>0</v>
      </c>
      <c r="S787" s="389">
        <f t="shared" si="354"/>
        <v>0</v>
      </c>
      <c r="U787" s="389">
        <f t="shared" si="355"/>
        <v>0</v>
      </c>
      <c r="V787" s="389" t="b">
        <f t="shared" si="356"/>
        <v>0</v>
      </c>
      <c r="W787" s="389">
        <f t="shared" si="357"/>
        <v>0</v>
      </c>
      <c r="X787" s="389">
        <f t="shared" si="358"/>
        <v>0</v>
      </c>
      <c r="Y787" s="389">
        <f t="shared" si="376"/>
        <v>1.0999999999999999E-2</v>
      </c>
      <c r="Z787" s="389">
        <f t="shared" si="359"/>
        <v>1.0999999999999999E-2</v>
      </c>
      <c r="AA787" s="389">
        <f t="shared" si="360"/>
        <v>0</v>
      </c>
      <c r="AB787" s="389">
        <f t="shared" si="361"/>
        <v>1E-4</v>
      </c>
      <c r="AC787" s="389">
        <f t="shared" si="362"/>
        <v>1E-4</v>
      </c>
      <c r="AD787" s="389">
        <f t="shared" si="363"/>
        <v>0</v>
      </c>
      <c r="AE787" s="389">
        <f t="shared" si="364"/>
        <v>0</v>
      </c>
      <c r="AG787" s="311" t="str">
        <f t="shared" si="365"/>
        <v>-</v>
      </c>
      <c r="AH787" s="453" t="str">
        <f t="shared" si="366"/>
        <v/>
      </c>
      <c r="AI787" s="453" t="str">
        <f t="shared" si="367"/>
        <v/>
      </c>
      <c r="AJ787" t="str">
        <f t="array" ref="AJ787">IF(AND(AI787&gt;1,G787&lt;&gt;""),INDEX(FS_teams,MATCH(1,(FS_Keys=AG787)*(FS_Points=I787)*(FS_teams&lt;&gt;G787),0)),"")</f>
        <v/>
      </c>
      <c r="AK787" s="390" t="str">
        <f t="array" ref="AK787">IF(AJ787&lt;&gt;"",INDEX(TM_Score1,MATCH(1,(TM_Events=D787)*(TM_Participant1=G787)*(TM_Participant2=AJ787),0)),"")</f>
        <v/>
      </c>
      <c r="AL787" s="390" t="str">
        <f t="array" ref="AL787">IF(AJ787&lt;&gt;"",INDEX(TM_Score1,MATCH(1,(TM_Events=D787)*(TM_Participant1=AJ787)*(TM_Participant2=G787),0)),"")</f>
        <v/>
      </c>
      <c r="AM787" s="389" t="str">
        <f t="array" ref="AM787">IF(ISNUMBER(AK787),INDEX(TM_Score2,MATCH(1,(TM_Events=D787)*(TM_Participant1=G787)*(TM_Participant2=AJ787),0)),"")</f>
        <v/>
      </c>
      <c r="AN787" s="389" t="str">
        <f t="array" ref="AN787">IF(ISNUMBER(AL787),INDEX(TM_Score2,MATCH(1,(TM_Events=D787)*(TM_Participant1=AJ787)*(TM_Participant2=G787),0)),"")</f>
        <v/>
      </c>
      <c r="AO787" s="389" t="str">
        <f t="shared" si="368"/>
        <v/>
      </c>
      <c r="AP787" s="389">
        <f t="shared" si="369"/>
        <v>0</v>
      </c>
      <c r="AQ787" s="389">
        <f t="shared" si="370"/>
        <v>0</v>
      </c>
      <c r="AR787" s="389">
        <f t="shared" si="371"/>
        <v>0</v>
      </c>
      <c r="AS787" s="453">
        <f t="shared" si="372"/>
        <v>0</v>
      </c>
      <c r="AT787" s="452">
        <f t="shared" si="373"/>
        <v>0</v>
      </c>
    </row>
    <row r="788" spans="2:46" ht="16" x14ac:dyDescent="0.2">
      <c r="B788"/>
      <c r="H788" s="387" t="str">
        <f t="shared" si="348"/>
        <v>0-0-0</v>
      </c>
      <c r="I788" s="389">
        <f t="shared" si="349"/>
        <v>0</v>
      </c>
      <c r="J788" s="455" t="str">
        <f t="shared" si="374"/>
        <v/>
      </c>
      <c r="K788" s="455">
        <f t="shared" si="350"/>
        <v>0</v>
      </c>
      <c r="L788" s="455">
        <f t="shared" si="375"/>
        <v>0</v>
      </c>
      <c r="M788" s="389" t="str">
        <f>IFERROR(IF(AD788&lt;=VLOOKUP(D788,Tournaments!$A$1:$B$1772,2,FALSE),"TRUE","FALSE"),"")</f>
        <v/>
      </c>
      <c r="N788" s="389">
        <v>1</v>
      </c>
      <c r="O788" s="389">
        <f t="shared" si="351"/>
        <v>0</v>
      </c>
      <c r="Q788" s="389">
        <f t="shared" si="352"/>
        <v>0</v>
      </c>
      <c r="R788" s="389">
        <f t="shared" si="353"/>
        <v>0</v>
      </c>
      <c r="S788" s="389">
        <f t="shared" si="354"/>
        <v>0</v>
      </c>
      <c r="U788" s="389">
        <f t="shared" si="355"/>
        <v>0</v>
      </c>
      <c r="V788" s="389" t="b">
        <f t="shared" si="356"/>
        <v>0</v>
      </c>
      <c r="W788" s="389">
        <f t="shared" si="357"/>
        <v>0</v>
      </c>
      <c r="X788" s="389">
        <f t="shared" si="358"/>
        <v>0</v>
      </c>
      <c r="Y788" s="389">
        <f t="shared" si="376"/>
        <v>1.0999999999999999E-2</v>
      </c>
      <c r="Z788" s="389">
        <f t="shared" si="359"/>
        <v>1.0999999999999999E-2</v>
      </c>
      <c r="AA788" s="389">
        <f t="shared" si="360"/>
        <v>0</v>
      </c>
      <c r="AB788" s="389">
        <f t="shared" si="361"/>
        <v>1E-4</v>
      </c>
      <c r="AC788" s="389">
        <f t="shared" si="362"/>
        <v>1E-4</v>
      </c>
      <c r="AD788" s="389">
        <f t="shared" si="363"/>
        <v>0</v>
      </c>
      <c r="AE788" s="389">
        <f t="shared" si="364"/>
        <v>0</v>
      </c>
      <c r="AG788" s="311" t="str">
        <f t="shared" si="365"/>
        <v>-</v>
      </c>
      <c r="AH788" s="453" t="str">
        <f t="shared" si="366"/>
        <v/>
      </c>
      <c r="AI788" s="453" t="str">
        <f t="shared" si="367"/>
        <v/>
      </c>
      <c r="AJ788" t="str">
        <f t="array" ref="AJ788">IF(AND(AI788&gt;1,G788&lt;&gt;""),INDEX(FS_teams,MATCH(1,(FS_Keys=AG788)*(FS_Points=I788)*(FS_teams&lt;&gt;G788),0)),"")</f>
        <v/>
      </c>
      <c r="AK788" s="390" t="str">
        <f t="array" ref="AK788">IF(AJ788&lt;&gt;"",INDEX(TM_Score1,MATCH(1,(TM_Events=D788)*(TM_Participant1=G788)*(TM_Participant2=AJ788),0)),"")</f>
        <v/>
      </c>
      <c r="AL788" s="390" t="str">
        <f t="array" ref="AL788">IF(AJ788&lt;&gt;"",INDEX(TM_Score1,MATCH(1,(TM_Events=D788)*(TM_Participant1=AJ788)*(TM_Participant2=G788),0)),"")</f>
        <v/>
      </c>
      <c r="AM788" s="389" t="str">
        <f t="array" ref="AM788">IF(ISNUMBER(AK788),INDEX(TM_Score2,MATCH(1,(TM_Events=D788)*(TM_Participant1=G788)*(TM_Participant2=AJ788),0)),"")</f>
        <v/>
      </c>
      <c r="AN788" s="389" t="str">
        <f t="array" ref="AN788">IF(ISNUMBER(AL788),INDEX(TM_Score2,MATCH(1,(TM_Events=D788)*(TM_Participant1=AJ788)*(TM_Participant2=G788),0)),"")</f>
        <v/>
      </c>
      <c r="AO788" s="389" t="str">
        <f t="shared" si="368"/>
        <v/>
      </c>
      <c r="AP788" s="389">
        <f t="shared" si="369"/>
        <v>0</v>
      </c>
      <c r="AQ788" s="389">
        <f t="shared" si="370"/>
        <v>0</v>
      </c>
      <c r="AR788" s="389">
        <f t="shared" si="371"/>
        <v>0</v>
      </c>
      <c r="AS788" s="453">
        <f t="shared" si="372"/>
        <v>0</v>
      </c>
      <c r="AT788" s="452">
        <f t="shared" si="373"/>
        <v>0</v>
      </c>
    </row>
    <row r="789" spans="2:46" ht="16" x14ac:dyDescent="0.2">
      <c r="B789"/>
      <c r="H789" s="387" t="str">
        <f t="shared" si="348"/>
        <v>0-0-0</v>
      </c>
      <c r="I789" s="389">
        <f t="shared" si="349"/>
        <v>0</v>
      </c>
      <c r="J789" s="455" t="str">
        <f t="shared" si="374"/>
        <v/>
      </c>
      <c r="K789" s="455">
        <f t="shared" si="350"/>
        <v>0</v>
      </c>
      <c r="L789" s="455">
        <f t="shared" si="375"/>
        <v>0</v>
      </c>
      <c r="M789" s="389" t="str">
        <f>IFERROR(IF(AD789&lt;=VLOOKUP(D789,Tournaments!$A$1:$B$1772,2,FALSE),"TRUE","FALSE"),"")</f>
        <v/>
      </c>
      <c r="N789" s="389">
        <v>1</v>
      </c>
      <c r="O789" s="389">
        <f t="shared" si="351"/>
        <v>0</v>
      </c>
      <c r="Q789" s="389">
        <f t="shared" si="352"/>
        <v>0</v>
      </c>
      <c r="R789" s="389">
        <f t="shared" si="353"/>
        <v>0</v>
      </c>
      <c r="S789" s="389">
        <f t="shared" si="354"/>
        <v>0</v>
      </c>
      <c r="U789" s="389">
        <f t="shared" si="355"/>
        <v>0</v>
      </c>
      <c r="V789" s="389" t="b">
        <f t="shared" si="356"/>
        <v>0</v>
      </c>
      <c r="W789" s="389">
        <f t="shared" si="357"/>
        <v>0</v>
      </c>
      <c r="X789" s="389">
        <f t="shared" si="358"/>
        <v>0</v>
      </c>
      <c r="Y789" s="389">
        <f t="shared" si="376"/>
        <v>1.0999999999999999E-2</v>
      </c>
      <c r="Z789" s="389">
        <f t="shared" si="359"/>
        <v>1.0999999999999999E-2</v>
      </c>
      <c r="AA789" s="389">
        <f t="shared" si="360"/>
        <v>0</v>
      </c>
      <c r="AB789" s="389">
        <f t="shared" si="361"/>
        <v>1E-4</v>
      </c>
      <c r="AC789" s="389">
        <f t="shared" si="362"/>
        <v>1E-4</v>
      </c>
      <c r="AD789" s="389">
        <f t="shared" si="363"/>
        <v>0</v>
      </c>
      <c r="AE789" s="389">
        <f t="shared" si="364"/>
        <v>0</v>
      </c>
      <c r="AG789" s="311" t="str">
        <f t="shared" si="365"/>
        <v>-</v>
      </c>
      <c r="AH789" s="453" t="str">
        <f t="shared" si="366"/>
        <v/>
      </c>
      <c r="AI789" s="453" t="str">
        <f t="shared" si="367"/>
        <v/>
      </c>
      <c r="AJ789" t="str">
        <f t="array" ref="AJ789">IF(AND(AI789&gt;1,G789&lt;&gt;""),INDEX(FS_teams,MATCH(1,(FS_Keys=AG789)*(FS_Points=I789)*(FS_teams&lt;&gt;G789),0)),"")</f>
        <v/>
      </c>
      <c r="AK789" s="390" t="str">
        <f t="array" ref="AK789">IF(AJ789&lt;&gt;"",INDEX(TM_Score1,MATCH(1,(TM_Events=D789)*(TM_Participant1=G789)*(TM_Participant2=AJ789),0)),"")</f>
        <v/>
      </c>
      <c r="AL789" s="390" t="str">
        <f t="array" ref="AL789">IF(AJ789&lt;&gt;"",INDEX(TM_Score1,MATCH(1,(TM_Events=D789)*(TM_Participant1=AJ789)*(TM_Participant2=G789),0)),"")</f>
        <v/>
      </c>
      <c r="AM789" s="389" t="str">
        <f t="array" ref="AM789">IF(ISNUMBER(AK789),INDEX(TM_Score2,MATCH(1,(TM_Events=D789)*(TM_Participant1=G789)*(TM_Participant2=AJ789),0)),"")</f>
        <v/>
      </c>
      <c r="AN789" s="389" t="str">
        <f t="array" ref="AN789">IF(ISNUMBER(AL789),INDEX(TM_Score2,MATCH(1,(TM_Events=D789)*(TM_Participant1=AJ789)*(TM_Participant2=G789),0)),"")</f>
        <v/>
      </c>
      <c r="AO789" s="389" t="str">
        <f t="shared" si="368"/>
        <v/>
      </c>
      <c r="AP789" s="389">
        <f t="shared" si="369"/>
        <v>0</v>
      </c>
      <c r="AQ789" s="389">
        <f t="shared" si="370"/>
        <v>0</v>
      </c>
      <c r="AR789" s="389">
        <f t="shared" si="371"/>
        <v>0</v>
      </c>
      <c r="AS789" s="453">
        <f t="shared" si="372"/>
        <v>0</v>
      </c>
      <c r="AT789" s="452">
        <f t="shared" si="373"/>
        <v>0</v>
      </c>
    </row>
    <row r="790" spans="2:46" ht="16" x14ac:dyDescent="0.2">
      <c r="B790"/>
      <c r="H790" s="387" t="str">
        <f t="shared" si="348"/>
        <v>0-0-0</v>
      </c>
      <c r="I790" s="389">
        <f t="shared" si="349"/>
        <v>0</v>
      </c>
      <c r="J790" s="455" t="str">
        <f t="shared" si="374"/>
        <v/>
      </c>
      <c r="K790" s="455">
        <f t="shared" si="350"/>
        <v>0</v>
      </c>
      <c r="L790" s="455">
        <f t="shared" si="375"/>
        <v>0</v>
      </c>
      <c r="M790" s="389" t="str">
        <f>IFERROR(IF(AD790&lt;=VLOOKUP(D790,Tournaments!$A$1:$B$1772,2,FALSE),"TRUE","FALSE"),"")</f>
        <v/>
      </c>
      <c r="N790" s="389">
        <v>1</v>
      </c>
      <c r="O790" s="389">
        <f t="shared" si="351"/>
        <v>0</v>
      </c>
      <c r="Q790" s="389">
        <f t="shared" si="352"/>
        <v>0</v>
      </c>
      <c r="R790" s="389">
        <f t="shared" si="353"/>
        <v>0</v>
      </c>
      <c r="S790" s="389">
        <f t="shared" si="354"/>
        <v>0</v>
      </c>
      <c r="U790" s="389">
        <f t="shared" si="355"/>
        <v>0</v>
      </c>
      <c r="V790" s="389" t="b">
        <f t="shared" si="356"/>
        <v>0</v>
      </c>
      <c r="W790" s="389">
        <f t="shared" si="357"/>
        <v>0</v>
      </c>
      <c r="X790" s="389">
        <f t="shared" si="358"/>
        <v>0</v>
      </c>
      <c r="Y790" s="389">
        <f t="shared" si="376"/>
        <v>1.0999999999999999E-2</v>
      </c>
      <c r="Z790" s="389">
        <f t="shared" si="359"/>
        <v>1.0999999999999999E-2</v>
      </c>
      <c r="AA790" s="389">
        <f t="shared" si="360"/>
        <v>0</v>
      </c>
      <c r="AB790" s="389">
        <f t="shared" si="361"/>
        <v>1E-4</v>
      </c>
      <c r="AC790" s="389">
        <f t="shared" si="362"/>
        <v>1E-4</v>
      </c>
      <c r="AD790" s="389">
        <f t="shared" si="363"/>
        <v>0</v>
      </c>
      <c r="AE790" s="389">
        <f t="shared" si="364"/>
        <v>0</v>
      </c>
      <c r="AG790" s="311" t="str">
        <f t="shared" si="365"/>
        <v>-</v>
      </c>
      <c r="AH790" s="453" t="str">
        <f t="shared" si="366"/>
        <v/>
      </c>
      <c r="AI790" s="453" t="str">
        <f t="shared" si="367"/>
        <v/>
      </c>
      <c r="AJ790" t="str">
        <f t="array" ref="AJ790">IF(AND(AI790&gt;1,G790&lt;&gt;""),INDEX(FS_teams,MATCH(1,(FS_Keys=AG790)*(FS_Points=I790)*(FS_teams&lt;&gt;G790),0)),"")</f>
        <v/>
      </c>
      <c r="AK790" s="390" t="str">
        <f t="array" ref="AK790">IF(AJ790&lt;&gt;"",INDEX(TM_Score1,MATCH(1,(TM_Events=D790)*(TM_Participant1=G790)*(TM_Participant2=AJ790),0)),"")</f>
        <v/>
      </c>
      <c r="AL790" s="390" t="str">
        <f t="array" ref="AL790">IF(AJ790&lt;&gt;"",INDEX(TM_Score1,MATCH(1,(TM_Events=D790)*(TM_Participant1=AJ790)*(TM_Participant2=G790),0)),"")</f>
        <v/>
      </c>
      <c r="AM790" s="389" t="str">
        <f t="array" ref="AM790">IF(ISNUMBER(AK790),INDEX(TM_Score2,MATCH(1,(TM_Events=D790)*(TM_Participant1=G790)*(TM_Participant2=AJ790),0)),"")</f>
        <v/>
      </c>
      <c r="AN790" s="389" t="str">
        <f t="array" ref="AN790">IF(ISNUMBER(AL790),INDEX(TM_Score2,MATCH(1,(TM_Events=D790)*(TM_Participant1=AJ790)*(TM_Participant2=G790),0)),"")</f>
        <v/>
      </c>
      <c r="AO790" s="389" t="str">
        <f t="shared" si="368"/>
        <v/>
      </c>
      <c r="AP790" s="389">
        <f t="shared" si="369"/>
        <v>0</v>
      </c>
      <c r="AQ790" s="389">
        <f t="shared" si="370"/>
        <v>0</v>
      </c>
      <c r="AR790" s="389">
        <f t="shared" si="371"/>
        <v>0</v>
      </c>
      <c r="AS790" s="453">
        <f t="shared" si="372"/>
        <v>0</v>
      </c>
      <c r="AT790" s="452">
        <f t="shared" si="373"/>
        <v>0</v>
      </c>
    </row>
    <row r="791" spans="2:46" ht="16" x14ac:dyDescent="0.2">
      <c r="B791"/>
      <c r="H791" s="387" t="str">
        <f t="shared" si="348"/>
        <v>0-0-0</v>
      </c>
      <c r="I791" s="389">
        <f t="shared" si="349"/>
        <v>0</v>
      </c>
      <c r="J791" s="455" t="str">
        <f t="shared" si="374"/>
        <v/>
      </c>
      <c r="K791" s="455">
        <f t="shared" si="350"/>
        <v>0</v>
      </c>
      <c r="L791" s="455">
        <f t="shared" si="375"/>
        <v>0</v>
      </c>
      <c r="M791" s="389" t="str">
        <f>IFERROR(IF(AD791&lt;=VLOOKUP(D791,Tournaments!$A$1:$B$1772,2,FALSE),"TRUE","FALSE"),"")</f>
        <v/>
      </c>
      <c r="N791" s="389">
        <v>1</v>
      </c>
      <c r="O791" s="389">
        <f t="shared" si="351"/>
        <v>0</v>
      </c>
      <c r="Q791" s="389">
        <f t="shared" si="352"/>
        <v>0</v>
      </c>
      <c r="R791" s="389">
        <f t="shared" si="353"/>
        <v>0</v>
      </c>
      <c r="S791" s="389">
        <f t="shared" si="354"/>
        <v>0</v>
      </c>
      <c r="U791" s="389">
        <f t="shared" si="355"/>
        <v>0</v>
      </c>
      <c r="V791" s="389" t="b">
        <f t="shared" si="356"/>
        <v>0</v>
      </c>
      <c r="W791" s="389">
        <f t="shared" si="357"/>
        <v>0</v>
      </c>
      <c r="X791" s="389">
        <f t="shared" si="358"/>
        <v>0</v>
      </c>
      <c r="Y791" s="389">
        <f t="shared" si="376"/>
        <v>1.0999999999999999E-2</v>
      </c>
      <c r="Z791" s="389">
        <f t="shared" si="359"/>
        <v>1.0999999999999999E-2</v>
      </c>
      <c r="AA791" s="389">
        <f t="shared" si="360"/>
        <v>0</v>
      </c>
      <c r="AB791" s="389">
        <f t="shared" si="361"/>
        <v>1E-4</v>
      </c>
      <c r="AC791" s="389">
        <f t="shared" si="362"/>
        <v>1E-4</v>
      </c>
      <c r="AD791" s="389">
        <f t="shared" si="363"/>
        <v>0</v>
      </c>
      <c r="AE791" s="389">
        <f t="shared" si="364"/>
        <v>0</v>
      </c>
      <c r="AG791" s="311" t="str">
        <f t="shared" si="365"/>
        <v>-</v>
      </c>
      <c r="AH791" s="453" t="str">
        <f t="shared" si="366"/>
        <v/>
      </c>
      <c r="AI791" s="453" t="str">
        <f t="shared" si="367"/>
        <v/>
      </c>
      <c r="AJ791" t="str">
        <f t="array" ref="AJ791">IF(AND(AI791&gt;1,G791&lt;&gt;""),INDEX(FS_teams,MATCH(1,(FS_Keys=AG791)*(FS_Points=I791)*(FS_teams&lt;&gt;G791),0)),"")</f>
        <v/>
      </c>
      <c r="AK791" s="390" t="str">
        <f t="array" ref="AK791">IF(AJ791&lt;&gt;"",INDEX(TM_Score1,MATCH(1,(TM_Events=D791)*(TM_Participant1=G791)*(TM_Participant2=AJ791),0)),"")</f>
        <v/>
      </c>
      <c r="AL791" s="390" t="str">
        <f t="array" ref="AL791">IF(AJ791&lt;&gt;"",INDEX(TM_Score1,MATCH(1,(TM_Events=D791)*(TM_Participant1=AJ791)*(TM_Participant2=G791),0)),"")</f>
        <v/>
      </c>
      <c r="AM791" s="389" t="str">
        <f t="array" ref="AM791">IF(ISNUMBER(AK791),INDEX(TM_Score2,MATCH(1,(TM_Events=D791)*(TM_Participant1=G791)*(TM_Participant2=AJ791),0)),"")</f>
        <v/>
      </c>
      <c r="AN791" s="389" t="str">
        <f t="array" ref="AN791">IF(ISNUMBER(AL791),INDEX(TM_Score2,MATCH(1,(TM_Events=D791)*(TM_Participant1=AJ791)*(TM_Participant2=G791),0)),"")</f>
        <v/>
      </c>
      <c r="AO791" s="389" t="str">
        <f t="shared" si="368"/>
        <v/>
      </c>
      <c r="AP791" s="389">
        <f t="shared" si="369"/>
        <v>0</v>
      </c>
      <c r="AQ791" s="389">
        <f t="shared" si="370"/>
        <v>0</v>
      </c>
      <c r="AR791" s="389">
        <f t="shared" si="371"/>
        <v>0</v>
      </c>
      <c r="AS791" s="453">
        <f t="shared" si="372"/>
        <v>0</v>
      </c>
      <c r="AT791" s="452">
        <f t="shared" si="373"/>
        <v>0</v>
      </c>
    </row>
    <row r="792" spans="2:46" ht="16" x14ac:dyDescent="0.2">
      <c r="B792"/>
      <c r="H792" s="387" t="str">
        <f t="shared" si="348"/>
        <v>0-0-0</v>
      </c>
      <c r="I792" s="389">
        <f t="shared" si="349"/>
        <v>0</v>
      </c>
      <c r="J792" s="455" t="str">
        <f t="shared" si="374"/>
        <v/>
      </c>
      <c r="K792" s="455">
        <f t="shared" si="350"/>
        <v>0</v>
      </c>
      <c r="L792" s="455">
        <f t="shared" si="375"/>
        <v>0</v>
      </c>
      <c r="M792" s="389" t="str">
        <f>IFERROR(IF(AD792&lt;=VLOOKUP(D792,Tournaments!$A$1:$B$1772,2,FALSE),"TRUE","FALSE"),"")</f>
        <v/>
      </c>
      <c r="N792" s="389">
        <v>1</v>
      </c>
      <c r="O792" s="389">
        <f t="shared" si="351"/>
        <v>0</v>
      </c>
      <c r="Q792" s="389">
        <f t="shared" si="352"/>
        <v>0</v>
      </c>
      <c r="R792" s="389">
        <f t="shared" si="353"/>
        <v>0</v>
      </c>
      <c r="S792" s="389">
        <f t="shared" si="354"/>
        <v>0</v>
      </c>
      <c r="U792" s="389">
        <f t="shared" si="355"/>
        <v>0</v>
      </c>
      <c r="V792" s="389" t="b">
        <f t="shared" si="356"/>
        <v>0</v>
      </c>
      <c r="W792" s="389">
        <f t="shared" si="357"/>
        <v>0</v>
      </c>
      <c r="X792" s="389">
        <f t="shared" si="358"/>
        <v>0</v>
      </c>
      <c r="Y792" s="389">
        <f t="shared" si="376"/>
        <v>1.0999999999999999E-2</v>
      </c>
      <c r="Z792" s="389">
        <f t="shared" si="359"/>
        <v>1.0999999999999999E-2</v>
      </c>
      <c r="AA792" s="389">
        <f t="shared" si="360"/>
        <v>0</v>
      </c>
      <c r="AB792" s="389">
        <f t="shared" si="361"/>
        <v>1E-4</v>
      </c>
      <c r="AC792" s="389">
        <f t="shared" si="362"/>
        <v>1E-4</v>
      </c>
      <c r="AD792" s="389">
        <f t="shared" si="363"/>
        <v>0</v>
      </c>
      <c r="AE792" s="389">
        <f t="shared" si="364"/>
        <v>0</v>
      </c>
      <c r="AG792" s="311" t="str">
        <f t="shared" si="365"/>
        <v>-</v>
      </c>
      <c r="AH792" s="453" t="str">
        <f t="shared" si="366"/>
        <v/>
      </c>
      <c r="AI792" s="453" t="str">
        <f t="shared" si="367"/>
        <v/>
      </c>
      <c r="AJ792" t="str">
        <f t="array" ref="AJ792">IF(AND(AI792&gt;1,G792&lt;&gt;""),INDEX(FS_teams,MATCH(1,(FS_Keys=AG792)*(FS_Points=I792)*(FS_teams&lt;&gt;G792),0)),"")</f>
        <v/>
      </c>
      <c r="AK792" s="390" t="str">
        <f t="array" ref="AK792">IF(AJ792&lt;&gt;"",INDEX(TM_Score1,MATCH(1,(TM_Events=D792)*(TM_Participant1=G792)*(TM_Participant2=AJ792),0)),"")</f>
        <v/>
      </c>
      <c r="AL792" s="390" t="str">
        <f t="array" ref="AL792">IF(AJ792&lt;&gt;"",INDEX(TM_Score1,MATCH(1,(TM_Events=D792)*(TM_Participant1=AJ792)*(TM_Participant2=G792),0)),"")</f>
        <v/>
      </c>
      <c r="AM792" s="389" t="str">
        <f t="array" ref="AM792">IF(ISNUMBER(AK792),INDEX(TM_Score2,MATCH(1,(TM_Events=D792)*(TM_Participant1=G792)*(TM_Participant2=AJ792),0)),"")</f>
        <v/>
      </c>
      <c r="AN792" s="389" t="str">
        <f t="array" ref="AN792">IF(ISNUMBER(AL792),INDEX(TM_Score2,MATCH(1,(TM_Events=D792)*(TM_Participant1=AJ792)*(TM_Participant2=G792),0)),"")</f>
        <v/>
      </c>
      <c r="AO792" s="389" t="str">
        <f t="shared" si="368"/>
        <v/>
      </c>
      <c r="AP792" s="389">
        <f t="shared" si="369"/>
        <v>0</v>
      </c>
      <c r="AQ792" s="389">
        <f t="shared" si="370"/>
        <v>0</v>
      </c>
      <c r="AR792" s="389">
        <f t="shared" si="371"/>
        <v>0</v>
      </c>
      <c r="AS792" s="453">
        <f t="shared" si="372"/>
        <v>0</v>
      </c>
      <c r="AT792" s="452">
        <f t="shared" si="373"/>
        <v>0</v>
      </c>
    </row>
    <row r="793" spans="2:46" ht="16" x14ac:dyDescent="0.2">
      <c r="B793"/>
      <c r="H793" s="387" t="str">
        <f t="shared" si="348"/>
        <v>0-0-0</v>
      </c>
      <c r="I793" s="389">
        <f t="shared" si="349"/>
        <v>0</v>
      </c>
      <c r="J793" s="455" t="str">
        <f t="shared" si="374"/>
        <v/>
      </c>
      <c r="K793" s="455">
        <f t="shared" si="350"/>
        <v>0</v>
      </c>
      <c r="L793" s="455">
        <f t="shared" si="375"/>
        <v>0</v>
      </c>
      <c r="M793" s="389" t="str">
        <f>IFERROR(IF(AD793&lt;=VLOOKUP(D793,Tournaments!$A$1:$B$1772,2,FALSE),"TRUE","FALSE"),"")</f>
        <v/>
      </c>
      <c r="N793" s="389">
        <v>1</v>
      </c>
      <c r="O793" s="389">
        <f t="shared" si="351"/>
        <v>0</v>
      </c>
      <c r="Q793" s="389">
        <f t="shared" si="352"/>
        <v>0</v>
      </c>
      <c r="R793" s="389">
        <f t="shared" si="353"/>
        <v>0</v>
      </c>
      <c r="S793" s="389">
        <f t="shared" si="354"/>
        <v>0</v>
      </c>
      <c r="U793" s="389">
        <f t="shared" si="355"/>
        <v>0</v>
      </c>
      <c r="V793" s="389" t="b">
        <f t="shared" si="356"/>
        <v>0</v>
      </c>
      <c r="W793" s="389">
        <f t="shared" si="357"/>
        <v>0</v>
      </c>
      <c r="X793" s="389">
        <f t="shared" si="358"/>
        <v>0</v>
      </c>
      <c r="Y793" s="389">
        <f t="shared" si="376"/>
        <v>1.0999999999999999E-2</v>
      </c>
      <c r="Z793" s="389">
        <f t="shared" si="359"/>
        <v>1.0999999999999999E-2</v>
      </c>
      <c r="AA793" s="389">
        <f t="shared" si="360"/>
        <v>0</v>
      </c>
      <c r="AB793" s="389">
        <f t="shared" si="361"/>
        <v>1E-4</v>
      </c>
      <c r="AC793" s="389">
        <f t="shared" si="362"/>
        <v>1E-4</v>
      </c>
      <c r="AD793" s="389">
        <f t="shared" si="363"/>
        <v>0</v>
      </c>
      <c r="AE793" s="389">
        <f t="shared" si="364"/>
        <v>0</v>
      </c>
      <c r="AG793" s="311" t="str">
        <f t="shared" si="365"/>
        <v>-</v>
      </c>
      <c r="AH793" s="453" t="str">
        <f t="shared" si="366"/>
        <v/>
      </c>
      <c r="AI793" s="453" t="str">
        <f t="shared" si="367"/>
        <v/>
      </c>
      <c r="AJ793" t="str">
        <f t="array" ref="AJ793">IF(AND(AI793&gt;1,G793&lt;&gt;""),INDEX(FS_teams,MATCH(1,(FS_Keys=AG793)*(FS_Points=I793)*(FS_teams&lt;&gt;G793),0)),"")</f>
        <v/>
      </c>
      <c r="AK793" s="390" t="str">
        <f t="array" ref="AK793">IF(AJ793&lt;&gt;"",INDEX(TM_Score1,MATCH(1,(TM_Events=D793)*(TM_Participant1=G793)*(TM_Participant2=AJ793),0)),"")</f>
        <v/>
      </c>
      <c r="AL793" s="390" t="str">
        <f t="array" ref="AL793">IF(AJ793&lt;&gt;"",INDEX(TM_Score1,MATCH(1,(TM_Events=D793)*(TM_Participant1=AJ793)*(TM_Participant2=G793),0)),"")</f>
        <v/>
      </c>
      <c r="AM793" s="389" t="str">
        <f t="array" ref="AM793">IF(ISNUMBER(AK793),INDEX(TM_Score2,MATCH(1,(TM_Events=D793)*(TM_Participant1=G793)*(TM_Participant2=AJ793),0)),"")</f>
        <v/>
      </c>
      <c r="AN793" s="389" t="str">
        <f t="array" ref="AN793">IF(ISNUMBER(AL793),INDEX(TM_Score2,MATCH(1,(TM_Events=D793)*(TM_Participant1=AJ793)*(TM_Participant2=G793),0)),"")</f>
        <v/>
      </c>
      <c r="AO793" s="389" t="str">
        <f t="shared" si="368"/>
        <v/>
      </c>
      <c r="AP793" s="389">
        <f t="shared" si="369"/>
        <v>0</v>
      </c>
      <c r="AQ793" s="389">
        <f t="shared" si="370"/>
        <v>0</v>
      </c>
      <c r="AR793" s="389">
        <f t="shared" si="371"/>
        <v>0</v>
      </c>
      <c r="AS793" s="453">
        <f t="shared" si="372"/>
        <v>0</v>
      </c>
      <c r="AT793" s="452">
        <f t="shared" si="373"/>
        <v>0</v>
      </c>
    </row>
    <row r="794" spans="2:46" ht="16" x14ac:dyDescent="0.2">
      <c r="B794"/>
      <c r="H794" s="387" t="str">
        <f t="shared" si="348"/>
        <v>0-0-0</v>
      </c>
      <c r="I794" s="389">
        <f t="shared" si="349"/>
        <v>0</v>
      </c>
      <c r="J794" s="455" t="str">
        <f t="shared" si="374"/>
        <v/>
      </c>
      <c r="K794" s="455">
        <f t="shared" si="350"/>
        <v>0</v>
      </c>
      <c r="L794" s="455">
        <f t="shared" si="375"/>
        <v>0</v>
      </c>
      <c r="M794" s="389" t="str">
        <f>IFERROR(IF(AD794&lt;=VLOOKUP(D794,Tournaments!$A$1:$B$1772,2,FALSE),"TRUE","FALSE"),"")</f>
        <v/>
      </c>
      <c r="N794" s="389">
        <v>1</v>
      </c>
      <c r="O794" s="389">
        <f t="shared" si="351"/>
        <v>0</v>
      </c>
      <c r="Q794" s="389">
        <f t="shared" si="352"/>
        <v>0</v>
      </c>
      <c r="R794" s="389">
        <f t="shared" si="353"/>
        <v>0</v>
      </c>
      <c r="S794" s="389">
        <f t="shared" si="354"/>
        <v>0</v>
      </c>
      <c r="U794" s="389">
        <f t="shared" si="355"/>
        <v>0</v>
      </c>
      <c r="V794" s="389" t="b">
        <f t="shared" si="356"/>
        <v>0</v>
      </c>
      <c r="W794" s="389">
        <f t="shared" si="357"/>
        <v>0</v>
      </c>
      <c r="X794" s="389">
        <f t="shared" si="358"/>
        <v>0</v>
      </c>
      <c r="Y794" s="389">
        <f t="shared" si="376"/>
        <v>1.0999999999999999E-2</v>
      </c>
      <c r="Z794" s="389">
        <f t="shared" si="359"/>
        <v>1.0999999999999999E-2</v>
      </c>
      <c r="AA794" s="389">
        <f t="shared" si="360"/>
        <v>0</v>
      </c>
      <c r="AB794" s="389">
        <f t="shared" si="361"/>
        <v>1E-4</v>
      </c>
      <c r="AC794" s="389">
        <f t="shared" si="362"/>
        <v>1E-4</v>
      </c>
      <c r="AD794" s="389">
        <f t="shared" si="363"/>
        <v>0</v>
      </c>
      <c r="AE794" s="389">
        <f t="shared" si="364"/>
        <v>0</v>
      </c>
      <c r="AG794" s="311" t="str">
        <f t="shared" si="365"/>
        <v>-</v>
      </c>
      <c r="AH794" s="453" t="str">
        <f t="shared" si="366"/>
        <v/>
      </c>
      <c r="AI794" s="453" t="str">
        <f t="shared" si="367"/>
        <v/>
      </c>
      <c r="AJ794" t="str">
        <f t="array" ref="AJ794">IF(AND(AI794&gt;1,G794&lt;&gt;""),INDEX(FS_teams,MATCH(1,(FS_Keys=AG794)*(FS_Points=I794)*(FS_teams&lt;&gt;G794),0)),"")</f>
        <v/>
      </c>
      <c r="AK794" s="390" t="str">
        <f t="array" ref="AK794">IF(AJ794&lt;&gt;"",INDEX(TM_Score1,MATCH(1,(TM_Events=D794)*(TM_Participant1=G794)*(TM_Participant2=AJ794),0)),"")</f>
        <v/>
      </c>
      <c r="AL794" s="390" t="str">
        <f t="array" ref="AL794">IF(AJ794&lt;&gt;"",INDEX(TM_Score1,MATCH(1,(TM_Events=D794)*(TM_Participant1=AJ794)*(TM_Participant2=G794),0)),"")</f>
        <v/>
      </c>
      <c r="AM794" s="389" t="str">
        <f t="array" ref="AM794">IF(ISNUMBER(AK794),INDEX(TM_Score2,MATCH(1,(TM_Events=D794)*(TM_Participant1=G794)*(TM_Participant2=AJ794),0)),"")</f>
        <v/>
      </c>
      <c r="AN794" s="389" t="str">
        <f t="array" ref="AN794">IF(ISNUMBER(AL794),INDEX(TM_Score2,MATCH(1,(TM_Events=D794)*(TM_Participant1=AJ794)*(TM_Participant2=G794),0)),"")</f>
        <v/>
      </c>
      <c r="AO794" s="389" t="str">
        <f t="shared" si="368"/>
        <v/>
      </c>
      <c r="AP794" s="389">
        <f t="shared" si="369"/>
        <v>0</v>
      </c>
      <c r="AQ794" s="389">
        <f t="shared" si="370"/>
        <v>0</v>
      </c>
      <c r="AR794" s="389">
        <f t="shared" si="371"/>
        <v>0</v>
      </c>
      <c r="AS794" s="453">
        <f t="shared" si="372"/>
        <v>0</v>
      </c>
      <c r="AT794" s="452">
        <f t="shared" si="373"/>
        <v>0</v>
      </c>
    </row>
    <row r="795" spans="2:46" ht="16" x14ac:dyDescent="0.2">
      <c r="B795"/>
      <c r="H795" s="387" t="str">
        <f t="shared" si="348"/>
        <v>0-0-0</v>
      </c>
      <c r="I795" s="389">
        <f t="shared" si="349"/>
        <v>0</v>
      </c>
      <c r="J795" s="455" t="str">
        <f t="shared" si="374"/>
        <v/>
      </c>
      <c r="K795" s="455">
        <f t="shared" si="350"/>
        <v>0</v>
      </c>
      <c r="L795" s="455">
        <f t="shared" si="375"/>
        <v>0</v>
      </c>
      <c r="M795" s="389" t="str">
        <f>IFERROR(IF(AD795&lt;=VLOOKUP(D795,Tournaments!$A$1:$B$1772,2,FALSE),"TRUE","FALSE"),"")</f>
        <v/>
      </c>
      <c r="N795" s="389">
        <v>1</v>
      </c>
      <c r="O795" s="389">
        <f t="shared" si="351"/>
        <v>0</v>
      </c>
      <c r="Q795" s="389">
        <f t="shared" si="352"/>
        <v>0</v>
      </c>
      <c r="R795" s="389">
        <f t="shared" si="353"/>
        <v>0</v>
      </c>
      <c r="S795" s="389">
        <f t="shared" si="354"/>
        <v>0</v>
      </c>
      <c r="U795" s="389">
        <f t="shared" si="355"/>
        <v>0</v>
      </c>
      <c r="V795" s="389" t="b">
        <f t="shared" si="356"/>
        <v>0</v>
      </c>
      <c r="W795" s="389">
        <f t="shared" si="357"/>
        <v>0</v>
      </c>
      <c r="X795" s="389">
        <f t="shared" si="358"/>
        <v>0</v>
      </c>
      <c r="Y795" s="389">
        <f t="shared" si="376"/>
        <v>1.0999999999999999E-2</v>
      </c>
      <c r="Z795" s="389">
        <f t="shared" si="359"/>
        <v>1.0999999999999999E-2</v>
      </c>
      <c r="AA795" s="389">
        <f t="shared" si="360"/>
        <v>0</v>
      </c>
      <c r="AB795" s="389">
        <f t="shared" si="361"/>
        <v>1E-4</v>
      </c>
      <c r="AC795" s="389">
        <f t="shared" si="362"/>
        <v>1E-4</v>
      </c>
      <c r="AD795" s="389">
        <f t="shared" si="363"/>
        <v>0</v>
      </c>
      <c r="AE795" s="389">
        <f t="shared" si="364"/>
        <v>0</v>
      </c>
      <c r="AG795" s="311" t="str">
        <f t="shared" si="365"/>
        <v>-</v>
      </c>
      <c r="AH795" s="453" t="str">
        <f t="shared" si="366"/>
        <v/>
      </c>
      <c r="AI795" s="453" t="str">
        <f t="shared" si="367"/>
        <v/>
      </c>
      <c r="AJ795" t="str">
        <f t="array" ref="AJ795">IF(AND(AI795&gt;1,G795&lt;&gt;""),INDEX(FS_teams,MATCH(1,(FS_Keys=AG795)*(FS_Points=I795)*(FS_teams&lt;&gt;G795),0)),"")</f>
        <v/>
      </c>
      <c r="AK795" s="390" t="str">
        <f t="array" ref="AK795">IF(AJ795&lt;&gt;"",INDEX(TM_Score1,MATCH(1,(TM_Events=D795)*(TM_Participant1=G795)*(TM_Participant2=AJ795),0)),"")</f>
        <v/>
      </c>
      <c r="AL795" s="390" t="str">
        <f t="array" ref="AL795">IF(AJ795&lt;&gt;"",INDEX(TM_Score1,MATCH(1,(TM_Events=D795)*(TM_Participant1=AJ795)*(TM_Participant2=G795),0)),"")</f>
        <v/>
      </c>
      <c r="AM795" s="389" t="str">
        <f t="array" ref="AM795">IF(ISNUMBER(AK795),INDEX(TM_Score2,MATCH(1,(TM_Events=D795)*(TM_Participant1=G795)*(TM_Participant2=AJ795),0)),"")</f>
        <v/>
      </c>
      <c r="AN795" s="389" t="str">
        <f t="array" ref="AN795">IF(ISNUMBER(AL795),INDEX(TM_Score2,MATCH(1,(TM_Events=D795)*(TM_Participant1=AJ795)*(TM_Participant2=G795),0)),"")</f>
        <v/>
      </c>
      <c r="AO795" s="389" t="str">
        <f t="shared" si="368"/>
        <v/>
      </c>
      <c r="AP795" s="389">
        <f t="shared" si="369"/>
        <v>0</v>
      </c>
      <c r="AQ795" s="389">
        <f t="shared" si="370"/>
        <v>0</v>
      </c>
      <c r="AR795" s="389">
        <f t="shared" si="371"/>
        <v>0</v>
      </c>
      <c r="AS795" s="453">
        <f t="shared" si="372"/>
        <v>0</v>
      </c>
      <c r="AT795" s="452">
        <f t="shared" si="373"/>
        <v>0</v>
      </c>
    </row>
    <row r="796" spans="2:46" ht="16" x14ac:dyDescent="0.2">
      <c r="B796"/>
      <c r="H796" s="387" t="str">
        <f t="shared" si="348"/>
        <v>0-0-0</v>
      </c>
      <c r="I796" s="389">
        <f t="shared" si="349"/>
        <v>0</v>
      </c>
      <c r="J796" s="455" t="str">
        <f t="shared" si="374"/>
        <v/>
      </c>
      <c r="K796" s="455">
        <f t="shared" si="350"/>
        <v>0</v>
      </c>
      <c r="L796" s="455">
        <f t="shared" si="375"/>
        <v>0</v>
      </c>
      <c r="M796" s="389" t="str">
        <f>IFERROR(IF(AD796&lt;=VLOOKUP(D796,Tournaments!$A$1:$B$1772,2,FALSE),"TRUE","FALSE"),"")</f>
        <v/>
      </c>
      <c r="N796" s="389">
        <v>1</v>
      </c>
      <c r="O796" s="389">
        <f t="shared" si="351"/>
        <v>0</v>
      </c>
      <c r="Q796" s="389">
        <f t="shared" si="352"/>
        <v>0</v>
      </c>
      <c r="R796" s="389">
        <f t="shared" si="353"/>
        <v>0</v>
      </c>
      <c r="S796" s="389">
        <f t="shared" si="354"/>
        <v>0</v>
      </c>
      <c r="U796" s="389">
        <f t="shared" si="355"/>
        <v>0</v>
      </c>
      <c r="V796" s="389" t="b">
        <f t="shared" si="356"/>
        <v>0</v>
      </c>
      <c r="W796" s="389">
        <f t="shared" si="357"/>
        <v>0</v>
      </c>
      <c r="X796" s="389">
        <f t="shared" si="358"/>
        <v>0</v>
      </c>
      <c r="Y796" s="389">
        <f t="shared" si="376"/>
        <v>1.0999999999999999E-2</v>
      </c>
      <c r="Z796" s="389">
        <f t="shared" si="359"/>
        <v>1.0999999999999999E-2</v>
      </c>
      <c r="AA796" s="389">
        <f t="shared" si="360"/>
        <v>0</v>
      </c>
      <c r="AB796" s="389">
        <f t="shared" si="361"/>
        <v>1E-4</v>
      </c>
      <c r="AC796" s="389">
        <f t="shared" si="362"/>
        <v>1E-4</v>
      </c>
      <c r="AD796" s="389">
        <f t="shared" si="363"/>
        <v>0</v>
      </c>
      <c r="AE796" s="389">
        <f t="shared" si="364"/>
        <v>0</v>
      </c>
      <c r="AG796" s="311" t="str">
        <f t="shared" si="365"/>
        <v>-</v>
      </c>
      <c r="AH796" s="453" t="str">
        <f t="shared" si="366"/>
        <v/>
      </c>
      <c r="AI796" s="453" t="str">
        <f t="shared" si="367"/>
        <v/>
      </c>
      <c r="AJ796" t="str">
        <f t="array" ref="AJ796">IF(AND(AI796&gt;1,G796&lt;&gt;""),INDEX(FS_teams,MATCH(1,(FS_Keys=AG796)*(FS_Points=I796)*(FS_teams&lt;&gt;G796),0)),"")</f>
        <v/>
      </c>
      <c r="AK796" s="390" t="str">
        <f t="array" ref="AK796">IF(AJ796&lt;&gt;"",INDEX(TM_Score1,MATCH(1,(TM_Events=D796)*(TM_Participant1=G796)*(TM_Participant2=AJ796),0)),"")</f>
        <v/>
      </c>
      <c r="AL796" s="390" t="str">
        <f t="array" ref="AL796">IF(AJ796&lt;&gt;"",INDEX(TM_Score1,MATCH(1,(TM_Events=D796)*(TM_Participant1=AJ796)*(TM_Participant2=G796),0)),"")</f>
        <v/>
      </c>
      <c r="AM796" s="389" t="str">
        <f t="array" ref="AM796">IF(ISNUMBER(AK796),INDEX(TM_Score2,MATCH(1,(TM_Events=D796)*(TM_Participant1=G796)*(TM_Participant2=AJ796),0)),"")</f>
        <v/>
      </c>
      <c r="AN796" s="389" t="str">
        <f t="array" ref="AN796">IF(ISNUMBER(AL796),INDEX(TM_Score2,MATCH(1,(TM_Events=D796)*(TM_Participant1=AJ796)*(TM_Participant2=G796),0)),"")</f>
        <v/>
      </c>
      <c r="AO796" s="389" t="str">
        <f t="shared" si="368"/>
        <v/>
      </c>
      <c r="AP796" s="389">
        <f t="shared" si="369"/>
        <v>0</v>
      </c>
      <c r="AQ796" s="389">
        <f t="shared" si="370"/>
        <v>0</v>
      </c>
      <c r="AR796" s="389">
        <f t="shared" si="371"/>
        <v>0</v>
      </c>
      <c r="AS796" s="453">
        <f t="shared" si="372"/>
        <v>0</v>
      </c>
      <c r="AT796" s="452">
        <f t="shared" si="373"/>
        <v>0</v>
      </c>
    </row>
    <row r="797" spans="2:46" ht="16" x14ac:dyDescent="0.2">
      <c r="B797"/>
      <c r="H797" s="387" t="str">
        <f t="shared" si="348"/>
        <v>0-0-0</v>
      </c>
      <c r="I797" s="389">
        <f t="shared" si="349"/>
        <v>0</v>
      </c>
      <c r="J797" s="455" t="str">
        <f t="shared" si="374"/>
        <v/>
      </c>
      <c r="K797" s="455">
        <f t="shared" si="350"/>
        <v>0</v>
      </c>
      <c r="L797" s="455">
        <f t="shared" si="375"/>
        <v>0</v>
      </c>
      <c r="M797" s="389" t="str">
        <f>IFERROR(IF(AD797&lt;=VLOOKUP(D797,Tournaments!$A$1:$B$1772,2,FALSE),"TRUE","FALSE"),"")</f>
        <v/>
      </c>
      <c r="N797" s="389">
        <v>1</v>
      </c>
      <c r="O797" s="389">
        <f t="shared" si="351"/>
        <v>0</v>
      </c>
      <c r="Q797" s="389">
        <f t="shared" si="352"/>
        <v>0</v>
      </c>
      <c r="R797" s="389">
        <f t="shared" si="353"/>
        <v>0</v>
      </c>
      <c r="S797" s="389">
        <f t="shared" si="354"/>
        <v>0</v>
      </c>
      <c r="U797" s="389">
        <f t="shared" si="355"/>
        <v>0</v>
      </c>
      <c r="V797" s="389" t="b">
        <f t="shared" si="356"/>
        <v>0</v>
      </c>
      <c r="W797" s="389">
        <f t="shared" si="357"/>
        <v>0</v>
      </c>
      <c r="X797" s="389">
        <f t="shared" si="358"/>
        <v>0</v>
      </c>
      <c r="Y797" s="389">
        <f t="shared" si="376"/>
        <v>1.0999999999999999E-2</v>
      </c>
      <c r="Z797" s="389">
        <f t="shared" si="359"/>
        <v>1.0999999999999999E-2</v>
      </c>
      <c r="AA797" s="389">
        <f t="shared" si="360"/>
        <v>0</v>
      </c>
      <c r="AB797" s="389">
        <f t="shared" si="361"/>
        <v>1E-4</v>
      </c>
      <c r="AC797" s="389">
        <f t="shared" si="362"/>
        <v>1E-4</v>
      </c>
      <c r="AD797" s="389">
        <f t="shared" si="363"/>
        <v>0</v>
      </c>
      <c r="AE797" s="389">
        <f t="shared" si="364"/>
        <v>0</v>
      </c>
      <c r="AG797" s="311" t="str">
        <f t="shared" si="365"/>
        <v>-</v>
      </c>
      <c r="AH797" s="453" t="str">
        <f t="shared" si="366"/>
        <v/>
      </c>
      <c r="AI797" s="453" t="str">
        <f t="shared" si="367"/>
        <v/>
      </c>
      <c r="AJ797" t="str">
        <f t="array" ref="AJ797">IF(AND(AI797&gt;1,G797&lt;&gt;""),INDEX(FS_teams,MATCH(1,(FS_Keys=AG797)*(FS_Points=I797)*(FS_teams&lt;&gt;G797),0)),"")</f>
        <v/>
      </c>
      <c r="AK797" s="390" t="str">
        <f t="array" ref="AK797">IF(AJ797&lt;&gt;"",INDEX(TM_Score1,MATCH(1,(TM_Events=D797)*(TM_Participant1=G797)*(TM_Participant2=AJ797),0)),"")</f>
        <v/>
      </c>
      <c r="AL797" s="390" t="str">
        <f t="array" ref="AL797">IF(AJ797&lt;&gt;"",INDEX(TM_Score1,MATCH(1,(TM_Events=D797)*(TM_Participant1=AJ797)*(TM_Participant2=G797),0)),"")</f>
        <v/>
      </c>
      <c r="AM797" s="389" t="str">
        <f t="array" ref="AM797">IF(ISNUMBER(AK797),INDEX(TM_Score2,MATCH(1,(TM_Events=D797)*(TM_Participant1=G797)*(TM_Participant2=AJ797),0)),"")</f>
        <v/>
      </c>
      <c r="AN797" s="389" t="str">
        <f t="array" ref="AN797">IF(ISNUMBER(AL797),INDEX(TM_Score2,MATCH(1,(TM_Events=D797)*(TM_Participant1=AJ797)*(TM_Participant2=G797),0)),"")</f>
        <v/>
      </c>
      <c r="AO797" s="389" t="str">
        <f t="shared" si="368"/>
        <v/>
      </c>
      <c r="AP797" s="389">
        <f t="shared" si="369"/>
        <v>0</v>
      </c>
      <c r="AQ797" s="389">
        <f t="shared" si="370"/>
        <v>0</v>
      </c>
      <c r="AR797" s="389">
        <f t="shared" si="371"/>
        <v>0</v>
      </c>
      <c r="AS797" s="453">
        <f t="shared" si="372"/>
        <v>0</v>
      </c>
      <c r="AT797" s="452">
        <f t="shared" si="373"/>
        <v>0</v>
      </c>
    </row>
    <row r="798" spans="2:46" ht="16" x14ac:dyDescent="0.2">
      <c r="B798"/>
      <c r="H798" s="387" t="str">
        <f t="shared" si="348"/>
        <v>0-0-0</v>
      </c>
      <c r="I798" s="389">
        <f t="shared" si="349"/>
        <v>0</v>
      </c>
      <c r="J798" s="455" t="str">
        <f t="shared" si="374"/>
        <v/>
      </c>
      <c r="K798" s="455">
        <f t="shared" si="350"/>
        <v>0</v>
      </c>
      <c r="L798" s="455">
        <f t="shared" si="375"/>
        <v>0</v>
      </c>
      <c r="M798" s="389" t="str">
        <f>IFERROR(IF(AD798&lt;=VLOOKUP(D798,Tournaments!$A$1:$B$1772,2,FALSE),"TRUE","FALSE"),"")</f>
        <v/>
      </c>
      <c r="N798" s="389">
        <v>1</v>
      </c>
      <c r="O798" s="389">
        <f t="shared" si="351"/>
        <v>0</v>
      </c>
      <c r="Q798" s="389">
        <f t="shared" si="352"/>
        <v>0</v>
      </c>
      <c r="R798" s="389">
        <f t="shared" si="353"/>
        <v>0</v>
      </c>
      <c r="S798" s="389">
        <f t="shared" si="354"/>
        <v>0</v>
      </c>
      <c r="U798" s="389">
        <f t="shared" si="355"/>
        <v>0</v>
      </c>
      <c r="V798" s="389" t="b">
        <f t="shared" si="356"/>
        <v>0</v>
      </c>
      <c r="W798" s="389">
        <f t="shared" si="357"/>
        <v>0</v>
      </c>
      <c r="X798" s="389">
        <f t="shared" si="358"/>
        <v>0</v>
      </c>
      <c r="Y798" s="389">
        <f t="shared" si="376"/>
        <v>1.0999999999999999E-2</v>
      </c>
      <c r="Z798" s="389">
        <f t="shared" si="359"/>
        <v>1.0999999999999999E-2</v>
      </c>
      <c r="AA798" s="389">
        <f t="shared" si="360"/>
        <v>0</v>
      </c>
      <c r="AB798" s="389">
        <f t="shared" si="361"/>
        <v>1E-4</v>
      </c>
      <c r="AC798" s="389">
        <f t="shared" si="362"/>
        <v>1E-4</v>
      </c>
      <c r="AD798" s="389">
        <f t="shared" si="363"/>
        <v>0</v>
      </c>
      <c r="AE798" s="389">
        <f t="shared" si="364"/>
        <v>0</v>
      </c>
      <c r="AG798" s="311" t="str">
        <f t="shared" si="365"/>
        <v>-</v>
      </c>
      <c r="AH798" s="453" t="str">
        <f t="shared" si="366"/>
        <v/>
      </c>
      <c r="AI798" s="453" t="str">
        <f t="shared" si="367"/>
        <v/>
      </c>
      <c r="AJ798" t="str">
        <f t="array" ref="AJ798">IF(AND(AI798&gt;1,G798&lt;&gt;""),INDEX(FS_teams,MATCH(1,(FS_Keys=AG798)*(FS_Points=I798)*(FS_teams&lt;&gt;G798),0)),"")</f>
        <v/>
      </c>
      <c r="AK798" s="390" t="str">
        <f t="array" ref="AK798">IF(AJ798&lt;&gt;"",INDEX(TM_Score1,MATCH(1,(TM_Events=D798)*(TM_Participant1=G798)*(TM_Participant2=AJ798),0)),"")</f>
        <v/>
      </c>
      <c r="AL798" s="390" t="str">
        <f t="array" ref="AL798">IF(AJ798&lt;&gt;"",INDEX(TM_Score1,MATCH(1,(TM_Events=D798)*(TM_Participant1=AJ798)*(TM_Participant2=G798),0)),"")</f>
        <v/>
      </c>
      <c r="AM798" s="389" t="str">
        <f t="array" ref="AM798">IF(ISNUMBER(AK798),INDEX(TM_Score2,MATCH(1,(TM_Events=D798)*(TM_Participant1=G798)*(TM_Participant2=AJ798),0)),"")</f>
        <v/>
      </c>
      <c r="AN798" s="389" t="str">
        <f t="array" ref="AN798">IF(ISNUMBER(AL798),INDEX(TM_Score2,MATCH(1,(TM_Events=D798)*(TM_Participant1=AJ798)*(TM_Participant2=G798),0)),"")</f>
        <v/>
      </c>
      <c r="AO798" s="389" t="str">
        <f t="shared" si="368"/>
        <v/>
      </c>
      <c r="AP798" s="389">
        <f t="shared" si="369"/>
        <v>0</v>
      </c>
      <c r="AQ798" s="389">
        <f t="shared" si="370"/>
        <v>0</v>
      </c>
      <c r="AR798" s="389">
        <f t="shared" si="371"/>
        <v>0</v>
      </c>
      <c r="AS798" s="453">
        <f t="shared" si="372"/>
        <v>0</v>
      </c>
      <c r="AT798" s="452">
        <f t="shared" si="373"/>
        <v>0</v>
      </c>
    </row>
    <row r="799" spans="2:46" ht="16" x14ac:dyDescent="0.2">
      <c r="B799"/>
      <c r="H799" s="387" t="str">
        <f t="shared" si="348"/>
        <v>0-0-0</v>
      </c>
      <c r="I799" s="389">
        <f t="shared" si="349"/>
        <v>0</v>
      </c>
      <c r="J799" s="455" t="str">
        <f t="shared" si="374"/>
        <v/>
      </c>
      <c r="K799" s="455">
        <f t="shared" si="350"/>
        <v>0</v>
      </c>
      <c r="L799" s="455">
        <f t="shared" si="375"/>
        <v>0</v>
      </c>
      <c r="M799" s="389" t="str">
        <f>IFERROR(IF(AD799&lt;=VLOOKUP(D799,Tournaments!$A$1:$B$1772,2,FALSE),"TRUE","FALSE"),"")</f>
        <v/>
      </c>
      <c r="N799" s="389">
        <v>1</v>
      </c>
      <c r="O799" s="389">
        <f t="shared" si="351"/>
        <v>0</v>
      </c>
      <c r="Q799" s="389">
        <f t="shared" si="352"/>
        <v>0</v>
      </c>
      <c r="R799" s="389">
        <f t="shared" si="353"/>
        <v>0</v>
      </c>
      <c r="S799" s="389">
        <f t="shared" si="354"/>
        <v>0</v>
      </c>
      <c r="U799" s="389">
        <f t="shared" si="355"/>
        <v>0</v>
      </c>
      <c r="V799" s="389" t="b">
        <f t="shared" si="356"/>
        <v>0</v>
      </c>
      <c r="W799" s="389">
        <f t="shared" si="357"/>
        <v>0</v>
      </c>
      <c r="X799" s="389">
        <f t="shared" si="358"/>
        <v>0</v>
      </c>
      <c r="Y799" s="389">
        <f t="shared" si="376"/>
        <v>1.0999999999999999E-2</v>
      </c>
      <c r="Z799" s="389">
        <f t="shared" si="359"/>
        <v>1.0999999999999999E-2</v>
      </c>
      <c r="AA799" s="389">
        <f t="shared" si="360"/>
        <v>0</v>
      </c>
      <c r="AB799" s="389">
        <f t="shared" si="361"/>
        <v>1E-4</v>
      </c>
      <c r="AC799" s="389">
        <f t="shared" si="362"/>
        <v>1E-4</v>
      </c>
      <c r="AD799" s="389">
        <f t="shared" si="363"/>
        <v>0</v>
      </c>
      <c r="AE799" s="389">
        <f t="shared" si="364"/>
        <v>0</v>
      </c>
      <c r="AG799" s="311" t="str">
        <f t="shared" si="365"/>
        <v>-</v>
      </c>
      <c r="AH799" s="453" t="str">
        <f t="shared" si="366"/>
        <v/>
      </c>
      <c r="AI799" s="453" t="str">
        <f t="shared" si="367"/>
        <v/>
      </c>
      <c r="AJ799" t="str">
        <f t="array" ref="AJ799">IF(AND(AI799&gt;1,G799&lt;&gt;""),INDEX(FS_teams,MATCH(1,(FS_Keys=AG799)*(FS_Points=I799)*(FS_teams&lt;&gt;G799),0)),"")</f>
        <v/>
      </c>
      <c r="AK799" s="390" t="str">
        <f t="array" ref="AK799">IF(AJ799&lt;&gt;"",INDEX(TM_Score1,MATCH(1,(TM_Events=D799)*(TM_Participant1=G799)*(TM_Participant2=AJ799),0)),"")</f>
        <v/>
      </c>
      <c r="AL799" s="390" t="str">
        <f t="array" ref="AL799">IF(AJ799&lt;&gt;"",INDEX(TM_Score1,MATCH(1,(TM_Events=D799)*(TM_Participant1=AJ799)*(TM_Participant2=G799),0)),"")</f>
        <v/>
      </c>
      <c r="AM799" s="389" t="str">
        <f t="array" ref="AM799">IF(ISNUMBER(AK799),INDEX(TM_Score2,MATCH(1,(TM_Events=D799)*(TM_Participant1=G799)*(TM_Participant2=AJ799),0)),"")</f>
        <v/>
      </c>
      <c r="AN799" s="389" t="str">
        <f t="array" ref="AN799">IF(ISNUMBER(AL799),INDEX(TM_Score2,MATCH(1,(TM_Events=D799)*(TM_Participant1=AJ799)*(TM_Participant2=G799),0)),"")</f>
        <v/>
      </c>
      <c r="AO799" s="389" t="str">
        <f t="shared" si="368"/>
        <v/>
      </c>
      <c r="AP799" s="389">
        <f t="shared" si="369"/>
        <v>0</v>
      </c>
      <c r="AQ799" s="389">
        <f t="shared" si="370"/>
        <v>0</v>
      </c>
      <c r="AR799" s="389">
        <f t="shared" si="371"/>
        <v>0</v>
      </c>
      <c r="AS799" s="453">
        <f t="shared" si="372"/>
        <v>0</v>
      </c>
      <c r="AT799" s="452">
        <f t="shared" si="373"/>
        <v>0</v>
      </c>
    </row>
    <row r="800" spans="2:46" ht="16" x14ac:dyDescent="0.2">
      <c r="B800"/>
      <c r="H800" s="387" t="str">
        <f t="shared" si="348"/>
        <v>0-0-0</v>
      </c>
      <c r="I800" s="389">
        <f t="shared" si="349"/>
        <v>0</v>
      </c>
      <c r="J800" s="455" t="str">
        <f t="shared" si="374"/>
        <v/>
      </c>
      <c r="K800" s="455">
        <f t="shared" si="350"/>
        <v>0</v>
      </c>
      <c r="L800" s="455">
        <f t="shared" si="375"/>
        <v>0</v>
      </c>
      <c r="M800" s="389" t="str">
        <f>IFERROR(IF(AD800&lt;=VLOOKUP(D800,Tournaments!$A$1:$B$1772,2,FALSE),"TRUE","FALSE"),"")</f>
        <v/>
      </c>
      <c r="N800" s="389">
        <v>1</v>
      </c>
      <c r="O800" s="389">
        <f t="shared" si="351"/>
        <v>0</v>
      </c>
      <c r="Q800" s="389">
        <f t="shared" si="352"/>
        <v>0</v>
      </c>
      <c r="R800" s="389">
        <f t="shared" si="353"/>
        <v>0</v>
      </c>
      <c r="S800" s="389">
        <f t="shared" si="354"/>
        <v>0</v>
      </c>
      <c r="U800" s="389">
        <f t="shared" si="355"/>
        <v>0</v>
      </c>
      <c r="V800" s="389" t="b">
        <f t="shared" si="356"/>
        <v>0</v>
      </c>
      <c r="W800" s="389">
        <f t="shared" si="357"/>
        <v>0</v>
      </c>
      <c r="X800" s="389">
        <f t="shared" si="358"/>
        <v>0</v>
      </c>
      <c r="Y800" s="389">
        <f t="shared" si="376"/>
        <v>1.0999999999999999E-2</v>
      </c>
      <c r="Z800" s="389">
        <f t="shared" si="359"/>
        <v>1.0999999999999999E-2</v>
      </c>
      <c r="AA800" s="389">
        <f t="shared" si="360"/>
        <v>0</v>
      </c>
      <c r="AB800" s="389">
        <f t="shared" si="361"/>
        <v>1E-4</v>
      </c>
      <c r="AC800" s="389">
        <f t="shared" si="362"/>
        <v>1E-4</v>
      </c>
      <c r="AD800" s="389">
        <f t="shared" si="363"/>
        <v>0</v>
      </c>
      <c r="AE800" s="389">
        <f t="shared" si="364"/>
        <v>0</v>
      </c>
      <c r="AG800" s="311" t="str">
        <f t="shared" si="365"/>
        <v>-</v>
      </c>
      <c r="AH800" s="453" t="str">
        <f t="shared" si="366"/>
        <v/>
      </c>
      <c r="AI800" s="453" t="str">
        <f t="shared" si="367"/>
        <v/>
      </c>
      <c r="AJ800" t="str">
        <f t="array" ref="AJ800">IF(AND(AI800&gt;1,G800&lt;&gt;""),INDEX(FS_teams,MATCH(1,(FS_Keys=AG800)*(FS_Points=I800)*(FS_teams&lt;&gt;G800),0)),"")</f>
        <v/>
      </c>
      <c r="AK800" s="390" t="str">
        <f t="array" ref="AK800">IF(AJ800&lt;&gt;"",INDEX(TM_Score1,MATCH(1,(TM_Events=D800)*(TM_Participant1=G800)*(TM_Participant2=AJ800),0)),"")</f>
        <v/>
      </c>
      <c r="AL800" s="390" t="str">
        <f t="array" ref="AL800">IF(AJ800&lt;&gt;"",INDEX(TM_Score1,MATCH(1,(TM_Events=D800)*(TM_Participant1=AJ800)*(TM_Participant2=G800),0)),"")</f>
        <v/>
      </c>
      <c r="AM800" s="389" t="str">
        <f t="array" ref="AM800">IF(ISNUMBER(AK800),INDEX(TM_Score2,MATCH(1,(TM_Events=D800)*(TM_Participant1=G800)*(TM_Participant2=AJ800),0)),"")</f>
        <v/>
      </c>
      <c r="AN800" s="389" t="str">
        <f t="array" ref="AN800">IF(ISNUMBER(AL800),INDEX(TM_Score2,MATCH(1,(TM_Events=D800)*(TM_Participant1=AJ800)*(TM_Participant2=G800),0)),"")</f>
        <v/>
      </c>
      <c r="AO800" s="389" t="str">
        <f t="shared" si="368"/>
        <v/>
      </c>
      <c r="AP800" s="389">
        <f t="shared" si="369"/>
        <v>0</v>
      </c>
      <c r="AQ800" s="389">
        <f t="shared" si="370"/>
        <v>0</v>
      </c>
      <c r="AR800" s="389">
        <f t="shared" si="371"/>
        <v>0</v>
      </c>
      <c r="AS800" s="453">
        <f t="shared" si="372"/>
        <v>0</v>
      </c>
      <c r="AT800" s="452">
        <f t="shared" si="373"/>
        <v>0</v>
      </c>
    </row>
    <row r="801" spans="2:46" ht="16" x14ac:dyDescent="0.2">
      <c r="B801"/>
      <c r="H801" s="387" t="str">
        <f t="shared" si="348"/>
        <v>0-0-0</v>
      </c>
      <c r="I801" s="389">
        <f t="shared" si="349"/>
        <v>0</v>
      </c>
      <c r="J801" s="455" t="str">
        <f t="shared" si="374"/>
        <v/>
      </c>
      <c r="K801" s="455">
        <f t="shared" si="350"/>
        <v>0</v>
      </c>
      <c r="L801" s="455">
        <f t="shared" si="375"/>
        <v>0</v>
      </c>
      <c r="M801" s="389" t="str">
        <f>IFERROR(IF(AD801&lt;=VLOOKUP(D801,Tournaments!$A$1:$B$1772,2,FALSE),"TRUE","FALSE"),"")</f>
        <v/>
      </c>
      <c r="N801" s="389">
        <v>1</v>
      </c>
      <c r="O801" s="389">
        <f t="shared" si="351"/>
        <v>0</v>
      </c>
      <c r="Q801" s="389">
        <f t="shared" si="352"/>
        <v>0</v>
      </c>
      <c r="R801" s="389">
        <f t="shared" si="353"/>
        <v>0</v>
      </c>
      <c r="S801" s="389">
        <f t="shared" si="354"/>
        <v>0</v>
      </c>
      <c r="U801" s="389">
        <f t="shared" si="355"/>
        <v>0</v>
      </c>
      <c r="V801" s="389" t="b">
        <f t="shared" si="356"/>
        <v>0</v>
      </c>
      <c r="W801" s="389">
        <f t="shared" si="357"/>
        <v>0</v>
      </c>
      <c r="X801" s="389">
        <f t="shared" si="358"/>
        <v>0</v>
      </c>
      <c r="Y801" s="389">
        <f t="shared" si="376"/>
        <v>1.0999999999999999E-2</v>
      </c>
      <c r="Z801" s="389">
        <f t="shared" si="359"/>
        <v>1.0999999999999999E-2</v>
      </c>
      <c r="AA801" s="389">
        <f t="shared" si="360"/>
        <v>0</v>
      </c>
      <c r="AB801" s="389">
        <f t="shared" si="361"/>
        <v>1E-4</v>
      </c>
      <c r="AC801" s="389">
        <f t="shared" si="362"/>
        <v>1E-4</v>
      </c>
      <c r="AD801" s="389">
        <f t="shared" si="363"/>
        <v>0</v>
      </c>
      <c r="AE801" s="389">
        <f t="shared" si="364"/>
        <v>0</v>
      </c>
      <c r="AG801" s="311" t="str">
        <f t="shared" si="365"/>
        <v>-</v>
      </c>
      <c r="AH801" s="453" t="str">
        <f t="shared" si="366"/>
        <v/>
      </c>
      <c r="AI801" s="453" t="str">
        <f t="shared" si="367"/>
        <v/>
      </c>
      <c r="AJ801" t="str">
        <f t="array" ref="AJ801">IF(AND(AI801&gt;1,G801&lt;&gt;""),INDEX(FS_teams,MATCH(1,(FS_Keys=AG801)*(FS_Points=I801)*(FS_teams&lt;&gt;G801),0)),"")</f>
        <v/>
      </c>
      <c r="AK801" s="390" t="str">
        <f t="array" ref="AK801">IF(AJ801&lt;&gt;"",INDEX(TM_Score1,MATCH(1,(TM_Events=D801)*(TM_Participant1=G801)*(TM_Participant2=AJ801),0)),"")</f>
        <v/>
      </c>
      <c r="AL801" s="390" t="str">
        <f t="array" ref="AL801">IF(AJ801&lt;&gt;"",INDEX(TM_Score1,MATCH(1,(TM_Events=D801)*(TM_Participant1=AJ801)*(TM_Participant2=G801),0)),"")</f>
        <v/>
      </c>
      <c r="AM801" s="389" t="str">
        <f t="array" ref="AM801">IF(ISNUMBER(AK801),INDEX(TM_Score2,MATCH(1,(TM_Events=D801)*(TM_Participant1=G801)*(TM_Participant2=AJ801),0)),"")</f>
        <v/>
      </c>
      <c r="AN801" s="389" t="str">
        <f t="array" ref="AN801">IF(ISNUMBER(AL801),INDEX(TM_Score2,MATCH(1,(TM_Events=D801)*(TM_Participant1=AJ801)*(TM_Participant2=G801),0)),"")</f>
        <v/>
      </c>
      <c r="AO801" s="389" t="str">
        <f t="shared" si="368"/>
        <v/>
      </c>
      <c r="AP801" s="389">
        <f t="shared" si="369"/>
        <v>0</v>
      </c>
      <c r="AQ801" s="389">
        <f t="shared" si="370"/>
        <v>0</v>
      </c>
      <c r="AR801" s="389">
        <f t="shared" si="371"/>
        <v>0</v>
      </c>
      <c r="AS801" s="453">
        <f t="shared" si="372"/>
        <v>0</v>
      </c>
      <c r="AT801" s="452">
        <f t="shared" si="373"/>
        <v>0</v>
      </c>
    </row>
    <row r="802" spans="2:46" ht="16" x14ac:dyDescent="0.2">
      <c r="B802"/>
      <c r="H802" s="387" t="str">
        <f t="shared" si="348"/>
        <v>0-0-0</v>
      </c>
      <c r="I802" s="389">
        <f t="shared" si="349"/>
        <v>0</v>
      </c>
      <c r="J802" s="455" t="str">
        <f t="shared" si="374"/>
        <v/>
      </c>
      <c r="K802" s="455">
        <f t="shared" si="350"/>
        <v>0</v>
      </c>
      <c r="L802" s="455">
        <f t="shared" si="375"/>
        <v>0</v>
      </c>
      <c r="M802" s="389" t="str">
        <f>IFERROR(IF(AD802&lt;=VLOOKUP(D802,Tournaments!$A$1:$B$1772,2,FALSE),"TRUE","FALSE"),"")</f>
        <v/>
      </c>
      <c r="N802" s="389">
        <v>1</v>
      </c>
      <c r="O802" s="389">
        <f t="shared" si="351"/>
        <v>0</v>
      </c>
      <c r="Q802" s="389">
        <f t="shared" si="352"/>
        <v>0</v>
      </c>
      <c r="R802" s="389">
        <f t="shared" si="353"/>
        <v>0</v>
      </c>
      <c r="S802" s="389">
        <f t="shared" si="354"/>
        <v>0</v>
      </c>
      <c r="U802" s="389">
        <f t="shared" si="355"/>
        <v>0</v>
      </c>
      <c r="V802" s="389" t="b">
        <f t="shared" si="356"/>
        <v>0</v>
      </c>
      <c r="W802" s="389">
        <f t="shared" si="357"/>
        <v>0</v>
      </c>
      <c r="X802" s="389">
        <f t="shared" si="358"/>
        <v>0</v>
      </c>
      <c r="Y802" s="389">
        <f t="shared" si="376"/>
        <v>1.0999999999999999E-2</v>
      </c>
      <c r="Z802" s="389">
        <f t="shared" si="359"/>
        <v>1.0999999999999999E-2</v>
      </c>
      <c r="AA802" s="389">
        <f t="shared" si="360"/>
        <v>0</v>
      </c>
      <c r="AB802" s="389">
        <f t="shared" si="361"/>
        <v>1E-4</v>
      </c>
      <c r="AC802" s="389">
        <f t="shared" si="362"/>
        <v>1E-4</v>
      </c>
      <c r="AD802" s="389">
        <f t="shared" si="363"/>
        <v>0</v>
      </c>
      <c r="AE802" s="389">
        <f t="shared" si="364"/>
        <v>0</v>
      </c>
      <c r="AG802" s="311" t="str">
        <f t="shared" si="365"/>
        <v>-</v>
      </c>
      <c r="AH802" s="453" t="str">
        <f t="shared" si="366"/>
        <v/>
      </c>
      <c r="AI802" s="453" t="str">
        <f t="shared" si="367"/>
        <v/>
      </c>
      <c r="AJ802" t="str">
        <f t="array" ref="AJ802">IF(AND(AI802&gt;1,G802&lt;&gt;""),INDEX(FS_teams,MATCH(1,(FS_Keys=AG802)*(FS_Points=I802)*(FS_teams&lt;&gt;G802),0)),"")</f>
        <v/>
      </c>
      <c r="AK802" s="390" t="str">
        <f t="array" ref="AK802">IF(AJ802&lt;&gt;"",INDEX(TM_Score1,MATCH(1,(TM_Events=D802)*(TM_Participant1=G802)*(TM_Participant2=AJ802),0)),"")</f>
        <v/>
      </c>
      <c r="AL802" s="390" t="str">
        <f t="array" ref="AL802">IF(AJ802&lt;&gt;"",INDEX(TM_Score1,MATCH(1,(TM_Events=D802)*(TM_Participant1=AJ802)*(TM_Participant2=G802),0)),"")</f>
        <v/>
      </c>
      <c r="AM802" s="389" t="str">
        <f t="array" ref="AM802">IF(ISNUMBER(AK802),INDEX(TM_Score2,MATCH(1,(TM_Events=D802)*(TM_Participant1=G802)*(TM_Participant2=AJ802),0)),"")</f>
        <v/>
      </c>
      <c r="AN802" s="389" t="str">
        <f t="array" ref="AN802">IF(ISNUMBER(AL802),INDEX(TM_Score2,MATCH(1,(TM_Events=D802)*(TM_Participant1=AJ802)*(TM_Participant2=G802),0)),"")</f>
        <v/>
      </c>
      <c r="AO802" s="389" t="str">
        <f t="shared" si="368"/>
        <v/>
      </c>
      <c r="AP802" s="389">
        <f t="shared" si="369"/>
        <v>0</v>
      </c>
      <c r="AQ802" s="389">
        <f t="shared" si="370"/>
        <v>0</v>
      </c>
      <c r="AR802" s="389">
        <f t="shared" si="371"/>
        <v>0</v>
      </c>
      <c r="AS802" s="453">
        <f t="shared" si="372"/>
        <v>0</v>
      </c>
      <c r="AT802" s="452">
        <f t="shared" si="373"/>
        <v>0</v>
      </c>
    </row>
    <row r="803" spans="2:46" ht="16" x14ac:dyDescent="0.2">
      <c r="B803"/>
      <c r="H803" s="387" t="str">
        <f t="shared" si="348"/>
        <v>0-0-0</v>
      </c>
      <c r="I803" s="389">
        <f t="shared" si="349"/>
        <v>0</v>
      </c>
      <c r="J803" s="455" t="str">
        <f t="shared" si="374"/>
        <v/>
      </c>
      <c r="K803" s="455">
        <f t="shared" si="350"/>
        <v>0</v>
      </c>
      <c r="L803" s="455">
        <f t="shared" si="375"/>
        <v>0</v>
      </c>
      <c r="M803" s="389" t="str">
        <f>IFERROR(IF(AD803&lt;=VLOOKUP(D803,Tournaments!$A$1:$B$1772,2,FALSE),"TRUE","FALSE"),"")</f>
        <v/>
      </c>
      <c r="N803" s="389">
        <v>1</v>
      </c>
      <c r="O803" s="389">
        <f t="shared" si="351"/>
        <v>0</v>
      </c>
      <c r="Q803" s="389">
        <f t="shared" si="352"/>
        <v>0</v>
      </c>
      <c r="R803" s="389">
        <f t="shared" si="353"/>
        <v>0</v>
      </c>
      <c r="S803" s="389">
        <f t="shared" si="354"/>
        <v>0</v>
      </c>
      <c r="U803" s="389">
        <f t="shared" si="355"/>
        <v>0</v>
      </c>
      <c r="V803" s="389" t="b">
        <f t="shared" si="356"/>
        <v>0</v>
      </c>
      <c r="W803" s="389">
        <f t="shared" si="357"/>
        <v>0</v>
      </c>
      <c r="X803" s="389">
        <f t="shared" si="358"/>
        <v>0</v>
      </c>
      <c r="Y803" s="389">
        <f t="shared" si="376"/>
        <v>1.0999999999999999E-2</v>
      </c>
      <c r="Z803" s="389">
        <f t="shared" si="359"/>
        <v>1.0999999999999999E-2</v>
      </c>
      <c r="AA803" s="389">
        <f t="shared" si="360"/>
        <v>0</v>
      </c>
      <c r="AB803" s="389">
        <f t="shared" si="361"/>
        <v>1E-4</v>
      </c>
      <c r="AC803" s="389">
        <f t="shared" si="362"/>
        <v>1E-4</v>
      </c>
      <c r="AD803" s="389">
        <f t="shared" si="363"/>
        <v>0</v>
      </c>
      <c r="AE803" s="389">
        <f t="shared" si="364"/>
        <v>0</v>
      </c>
      <c r="AG803" s="311" t="str">
        <f t="shared" si="365"/>
        <v>-</v>
      </c>
      <c r="AH803" s="453" t="str">
        <f t="shared" si="366"/>
        <v/>
      </c>
      <c r="AI803" s="453" t="str">
        <f t="shared" si="367"/>
        <v/>
      </c>
      <c r="AJ803" t="str">
        <f t="array" ref="AJ803">IF(AND(AI803&gt;1,G803&lt;&gt;""),INDEX(FS_teams,MATCH(1,(FS_Keys=AG803)*(FS_Points=I803)*(FS_teams&lt;&gt;G803),0)),"")</f>
        <v/>
      </c>
      <c r="AK803" s="390" t="str">
        <f t="array" ref="AK803">IF(AJ803&lt;&gt;"",INDEX(TM_Score1,MATCH(1,(TM_Events=D803)*(TM_Participant1=G803)*(TM_Participant2=AJ803),0)),"")</f>
        <v/>
      </c>
      <c r="AL803" s="390" t="str">
        <f t="array" ref="AL803">IF(AJ803&lt;&gt;"",INDEX(TM_Score1,MATCH(1,(TM_Events=D803)*(TM_Participant1=AJ803)*(TM_Participant2=G803),0)),"")</f>
        <v/>
      </c>
      <c r="AM803" s="389" t="str">
        <f t="array" ref="AM803">IF(ISNUMBER(AK803),INDEX(TM_Score2,MATCH(1,(TM_Events=D803)*(TM_Participant1=G803)*(TM_Participant2=AJ803),0)),"")</f>
        <v/>
      </c>
      <c r="AN803" s="389" t="str">
        <f t="array" ref="AN803">IF(ISNUMBER(AL803),INDEX(TM_Score2,MATCH(1,(TM_Events=D803)*(TM_Participant1=AJ803)*(TM_Participant2=G803),0)),"")</f>
        <v/>
      </c>
      <c r="AO803" s="389" t="str">
        <f t="shared" si="368"/>
        <v/>
      </c>
      <c r="AP803" s="389">
        <f t="shared" si="369"/>
        <v>0</v>
      </c>
      <c r="AQ803" s="389">
        <f t="shared" si="370"/>
        <v>0</v>
      </c>
      <c r="AR803" s="389">
        <f t="shared" si="371"/>
        <v>0</v>
      </c>
      <c r="AS803" s="453">
        <f t="shared" si="372"/>
        <v>0</v>
      </c>
      <c r="AT803" s="452">
        <f t="shared" si="373"/>
        <v>0</v>
      </c>
    </row>
    <row r="804" spans="2:46" ht="16" x14ac:dyDescent="0.2">
      <c r="B804"/>
      <c r="H804" s="387" t="str">
        <f t="shared" si="348"/>
        <v>0-0-0</v>
      </c>
      <c r="I804" s="389">
        <f t="shared" si="349"/>
        <v>0</v>
      </c>
      <c r="J804" s="455" t="str">
        <f t="shared" si="374"/>
        <v/>
      </c>
      <c r="K804" s="455">
        <f t="shared" si="350"/>
        <v>0</v>
      </c>
      <c r="L804" s="455">
        <f t="shared" si="375"/>
        <v>0</v>
      </c>
      <c r="M804" s="389" t="str">
        <f>IFERROR(IF(AD804&lt;=VLOOKUP(D804,Tournaments!$A$1:$B$1772,2,FALSE),"TRUE","FALSE"),"")</f>
        <v/>
      </c>
      <c r="N804" s="389">
        <v>1</v>
      </c>
      <c r="O804" s="389">
        <f t="shared" si="351"/>
        <v>0</v>
      </c>
      <c r="Q804" s="389">
        <f t="shared" si="352"/>
        <v>0</v>
      </c>
      <c r="R804" s="389">
        <f t="shared" si="353"/>
        <v>0</v>
      </c>
      <c r="S804" s="389">
        <f t="shared" si="354"/>
        <v>0</v>
      </c>
      <c r="U804" s="389">
        <f t="shared" si="355"/>
        <v>0</v>
      </c>
      <c r="V804" s="389" t="b">
        <f t="shared" si="356"/>
        <v>0</v>
      </c>
      <c r="W804" s="389">
        <f t="shared" si="357"/>
        <v>0</v>
      </c>
      <c r="X804" s="389">
        <f t="shared" si="358"/>
        <v>0</v>
      </c>
      <c r="Y804" s="389">
        <f t="shared" si="376"/>
        <v>1.0999999999999999E-2</v>
      </c>
      <c r="Z804" s="389">
        <f t="shared" si="359"/>
        <v>1.0999999999999999E-2</v>
      </c>
      <c r="AA804" s="389">
        <f t="shared" si="360"/>
        <v>0</v>
      </c>
      <c r="AB804" s="389">
        <f t="shared" si="361"/>
        <v>1E-4</v>
      </c>
      <c r="AC804" s="389">
        <f t="shared" si="362"/>
        <v>1E-4</v>
      </c>
      <c r="AD804" s="389">
        <f t="shared" si="363"/>
        <v>0</v>
      </c>
      <c r="AE804" s="389">
        <f t="shared" si="364"/>
        <v>0</v>
      </c>
      <c r="AG804" s="311" t="str">
        <f t="shared" si="365"/>
        <v>-</v>
      </c>
      <c r="AH804" s="453" t="str">
        <f t="shared" si="366"/>
        <v/>
      </c>
      <c r="AI804" s="453" t="str">
        <f t="shared" si="367"/>
        <v/>
      </c>
      <c r="AJ804" t="str">
        <f t="array" ref="AJ804">IF(AND(AI804&gt;1,G804&lt;&gt;""),INDEX(FS_teams,MATCH(1,(FS_Keys=AG804)*(FS_Points=I804)*(FS_teams&lt;&gt;G804),0)),"")</f>
        <v/>
      </c>
      <c r="AK804" s="390" t="str">
        <f t="array" ref="AK804">IF(AJ804&lt;&gt;"",INDEX(TM_Score1,MATCH(1,(TM_Events=D804)*(TM_Participant1=G804)*(TM_Participant2=AJ804),0)),"")</f>
        <v/>
      </c>
      <c r="AL804" s="390" t="str">
        <f t="array" ref="AL804">IF(AJ804&lt;&gt;"",INDEX(TM_Score1,MATCH(1,(TM_Events=D804)*(TM_Participant1=AJ804)*(TM_Participant2=G804),0)),"")</f>
        <v/>
      </c>
      <c r="AM804" s="389" t="str">
        <f t="array" ref="AM804">IF(ISNUMBER(AK804),INDEX(TM_Score2,MATCH(1,(TM_Events=D804)*(TM_Participant1=G804)*(TM_Participant2=AJ804),0)),"")</f>
        <v/>
      </c>
      <c r="AN804" s="389" t="str">
        <f t="array" ref="AN804">IF(ISNUMBER(AL804),INDEX(TM_Score2,MATCH(1,(TM_Events=D804)*(TM_Participant1=AJ804)*(TM_Participant2=G804),0)),"")</f>
        <v/>
      </c>
      <c r="AO804" s="389" t="str">
        <f t="shared" si="368"/>
        <v/>
      </c>
      <c r="AP804" s="389">
        <f t="shared" si="369"/>
        <v>0</v>
      </c>
      <c r="AQ804" s="389">
        <f t="shared" si="370"/>
        <v>0</v>
      </c>
      <c r="AR804" s="389">
        <f t="shared" si="371"/>
        <v>0</v>
      </c>
      <c r="AS804" s="453">
        <f t="shared" si="372"/>
        <v>0</v>
      </c>
      <c r="AT804" s="452">
        <f t="shared" si="373"/>
        <v>0</v>
      </c>
    </row>
    <row r="805" spans="2:46" ht="16" x14ac:dyDescent="0.2">
      <c r="B805"/>
      <c r="H805" s="387" t="str">
        <f t="shared" si="348"/>
        <v>0-0-0</v>
      </c>
      <c r="I805" s="389">
        <f t="shared" si="349"/>
        <v>0</v>
      </c>
      <c r="J805" s="455" t="str">
        <f t="shared" si="374"/>
        <v/>
      </c>
      <c r="K805" s="455">
        <f t="shared" si="350"/>
        <v>0</v>
      </c>
      <c r="L805" s="455">
        <f t="shared" si="375"/>
        <v>0</v>
      </c>
      <c r="M805" s="389" t="str">
        <f>IFERROR(IF(AD805&lt;=VLOOKUP(D805,Tournaments!$A$1:$B$1772,2,FALSE),"TRUE","FALSE"),"")</f>
        <v/>
      </c>
      <c r="N805" s="389">
        <v>1</v>
      </c>
      <c r="O805" s="389">
        <f t="shared" si="351"/>
        <v>0</v>
      </c>
      <c r="Q805" s="389">
        <f t="shared" si="352"/>
        <v>0</v>
      </c>
      <c r="R805" s="389">
        <f t="shared" si="353"/>
        <v>0</v>
      </c>
      <c r="S805" s="389">
        <f t="shared" si="354"/>
        <v>0</v>
      </c>
      <c r="U805" s="389">
        <f t="shared" si="355"/>
        <v>0</v>
      </c>
      <c r="V805" s="389" t="b">
        <f t="shared" si="356"/>
        <v>0</v>
      </c>
      <c r="W805" s="389">
        <f t="shared" si="357"/>
        <v>0</v>
      </c>
      <c r="X805" s="389">
        <f t="shared" si="358"/>
        <v>0</v>
      </c>
      <c r="Y805" s="389">
        <f t="shared" si="376"/>
        <v>1.0999999999999999E-2</v>
      </c>
      <c r="Z805" s="389">
        <f t="shared" si="359"/>
        <v>1.0999999999999999E-2</v>
      </c>
      <c r="AA805" s="389">
        <f t="shared" si="360"/>
        <v>0</v>
      </c>
      <c r="AB805" s="389">
        <f t="shared" si="361"/>
        <v>1E-4</v>
      </c>
      <c r="AC805" s="389">
        <f t="shared" si="362"/>
        <v>1E-4</v>
      </c>
      <c r="AD805" s="389">
        <f t="shared" si="363"/>
        <v>0</v>
      </c>
      <c r="AE805" s="389">
        <f t="shared" si="364"/>
        <v>0</v>
      </c>
      <c r="AG805" s="311" t="str">
        <f t="shared" si="365"/>
        <v>-</v>
      </c>
      <c r="AH805" s="453" t="str">
        <f t="shared" si="366"/>
        <v/>
      </c>
      <c r="AI805" s="453" t="str">
        <f t="shared" si="367"/>
        <v/>
      </c>
      <c r="AJ805" t="str">
        <f t="array" ref="AJ805">IF(AND(AI805&gt;1,G805&lt;&gt;""),INDEX(FS_teams,MATCH(1,(FS_Keys=AG805)*(FS_Points=I805)*(FS_teams&lt;&gt;G805),0)),"")</f>
        <v/>
      </c>
      <c r="AK805" s="390" t="str">
        <f t="array" ref="AK805">IF(AJ805&lt;&gt;"",INDEX(TM_Score1,MATCH(1,(TM_Events=D805)*(TM_Participant1=G805)*(TM_Participant2=AJ805),0)),"")</f>
        <v/>
      </c>
      <c r="AL805" s="390" t="str">
        <f t="array" ref="AL805">IF(AJ805&lt;&gt;"",INDEX(TM_Score1,MATCH(1,(TM_Events=D805)*(TM_Participant1=AJ805)*(TM_Participant2=G805),0)),"")</f>
        <v/>
      </c>
      <c r="AM805" s="389" t="str">
        <f t="array" ref="AM805">IF(ISNUMBER(AK805),INDEX(TM_Score2,MATCH(1,(TM_Events=D805)*(TM_Participant1=G805)*(TM_Participant2=AJ805),0)),"")</f>
        <v/>
      </c>
      <c r="AN805" s="389" t="str">
        <f t="array" ref="AN805">IF(ISNUMBER(AL805),INDEX(TM_Score2,MATCH(1,(TM_Events=D805)*(TM_Participant1=AJ805)*(TM_Participant2=G805),0)),"")</f>
        <v/>
      </c>
      <c r="AO805" s="389" t="str">
        <f t="shared" si="368"/>
        <v/>
      </c>
      <c r="AP805" s="389">
        <f t="shared" si="369"/>
        <v>0</v>
      </c>
      <c r="AQ805" s="389">
        <f t="shared" si="370"/>
        <v>0</v>
      </c>
      <c r="AR805" s="389">
        <f t="shared" si="371"/>
        <v>0</v>
      </c>
      <c r="AS805" s="453">
        <f t="shared" si="372"/>
        <v>0</v>
      </c>
      <c r="AT805" s="452">
        <f t="shared" si="373"/>
        <v>0</v>
      </c>
    </row>
    <row r="806" spans="2:46" ht="16" x14ac:dyDescent="0.2">
      <c r="B806"/>
      <c r="H806" s="387" t="str">
        <f t="shared" si="348"/>
        <v>0-0-0</v>
      </c>
      <c r="I806" s="389">
        <f t="shared" si="349"/>
        <v>0</v>
      </c>
      <c r="J806" s="455" t="str">
        <f t="shared" si="374"/>
        <v/>
      </c>
      <c r="K806" s="455">
        <f t="shared" si="350"/>
        <v>0</v>
      </c>
      <c r="L806" s="455">
        <f t="shared" si="375"/>
        <v>0</v>
      </c>
      <c r="M806" s="389" t="str">
        <f>IFERROR(IF(AD806&lt;=VLOOKUP(D806,Tournaments!$A$1:$B$1772,2,FALSE),"TRUE","FALSE"),"")</f>
        <v/>
      </c>
      <c r="N806" s="389">
        <v>1</v>
      </c>
      <c r="O806" s="389">
        <f t="shared" si="351"/>
        <v>0</v>
      </c>
      <c r="Q806" s="389">
        <f t="shared" si="352"/>
        <v>0</v>
      </c>
      <c r="R806" s="389">
        <f t="shared" si="353"/>
        <v>0</v>
      </c>
      <c r="S806" s="389">
        <f t="shared" si="354"/>
        <v>0</v>
      </c>
      <c r="U806" s="389">
        <f t="shared" si="355"/>
        <v>0</v>
      </c>
      <c r="V806" s="389" t="b">
        <f t="shared" si="356"/>
        <v>0</v>
      </c>
      <c r="W806" s="389">
        <f t="shared" si="357"/>
        <v>0</v>
      </c>
      <c r="X806" s="389">
        <f t="shared" si="358"/>
        <v>0</v>
      </c>
      <c r="Y806" s="389">
        <f t="shared" si="376"/>
        <v>1.0999999999999999E-2</v>
      </c>
      <c r="Z806" s="389">
        <f t="shared" si="359"/>
        <v>1.0999999999999999E-2</v>
      </c>
      <c r="AA806" s="389">
        <f t="shared" si="360"/>
        <v>0</v>
      </c>
      <c r="AB806" s="389">
        <f t="shared" si="361"/>
        <v>1E-4</v>
      </c>
      <c r="AC806" s="389">
        <f t="shared" si="362"/>
        <v>1E-4</v>
      </c>
      <c r="AD806" s="389">
        <f t="shared" si="363"/>
        <v>0</v>
      </c>
      <c r="AE806" s="389">
        <f t="shared" si="364"/>
        <v>0</v>
      </c>
      <c r="AG806" s="311" t="str">
        <f t="shared" si="365"/>
        <v>-</v>
      </c>
      <c r="AH806" s="453" t="str">
        <f t="shared" si="366"/>
        <v/>
      </c>
      <c r="AI806" s="453" t="str">
        <f t="shared" si="367"/>
        <v/>
      </c>
      <c r="AJ806" t="str">
        <f t="array" ref="AJ806">IF(AND(AI806&gt;1,G806&lt;&gt;""),INDEX(FS_teams,MATCH(1,(FS_Keys=AG806)*(FS_Points=I806)*(FS_teams&lt;&gt;G806),0)),"")</f>
        <v/>
      </c>
      <c r="AK806" s="390" t="str">
        <f t="array" ref="AK806">IF(AJ806&lt;&gt;"",INDEX(TM_Score1,MATCH(1,(TM_Events=D806)*(TM_Participant1=G806)*(TM_Participant2=AJ806),0)),"")</f>
        <v/>
      </c>
      <c r="AL806" s="390" t="str">
        <f t="array" ref="AL806">IF(AJ806&lt;&gt;"",INDEX(TM_Score1,MATCH(1,(TM_Events=D806)*(TM_Participant1=AJ806)*(TM_Participant2=G806),0)),"")</f>
        <v/>
      </c>
      <c r="AM806" s="389" t="str">
        <f t="array" ref="AM806">IF(ISNUMBER(AK806),INDEX(TM_Score2,MATCH(1,(TM_Events=D806)*(TM_Participant1=G806)*(TM_Participant2=AJ806),0)),"")</f>
        <v/>
      </c>
      <c r="AN806" s="389" t="str">
        <f t="array" ref="AN806">IF(ISNUMBER(AL806),INDEX(TM_Score2,MATCH(1,(TM_Events=D806)*(TM_Participant1=AJ806)*(TM_Participant2=G806),0)),"")</f>
        <v/>
      </c>
      <c r="AO806" s="389" t="str">
        <f t="shared" si="368"/>
        <v/>
      </c>
      <c r="AP806" s="389">
        <f t="shared" si="369"/>
        <v>0</v>
      </c>
      <c r="AQ806" s="389">
        <f t="shared" si="370"/>
        <v>0</v>
      </c>
      <c r="AR806" s="389">
        <f t="shared" si="371"/>
        <v>0</v>
      </c>
      <c r="AS806" s="453">
        <f t="shared" si="372"/>
        <v>0</v>
      </c>
      <c r="AT806" s="452">
        <f t="shared" si="373"/>
        <v>0</v>
      </c>
    </row>
    <row r="807" spans="2:46" ht="16" x14ac:dyDescent="0.2">
      <c r="B807"/>
      <c r="H807" s="387" t="str">
        <f t="shared" si="348"/>
        <v>0-0-0</v>
      </c>
      <c r="I807" s="389">
        <f t="shared" si="349"/>
        <v>0</v>
      </c>
      <c r="J807" s="455" t="str">
        <f t="shared" si="374"/>
        <v/>
      </c>
      <c r="K807" s="455">
        <f t="shared" si="350"/>
        <v>0</v>
      </c>
      <c r="L807" s="455">
        <f t="shared" si="375"/>
        <v>0</v>
      </c>
      <c r="M807" s="389" t="str">
        <f>IFERROR(IF(AD807&lt;=VLOOKUP(D807,Tournaments!$A$1:$B$1772,2,FALSE),"TRUE","FALSE"),"")</f>
        <v/>
      </c>
      <c r="N807" s="389">
        <v>1</v>
      </c>
      <c r="O807" s="389">
        <f t="shared" si="351"/>
        <v>0</v>
      </c>
      <c r="Q807" s="389">
        <f t="shared" si="352"/>
        <v>0</v>
      </c>
      <c r="R807" s="389">
        <f t="shared" si="353"/>
        <v>0</v>
      </c>
      <c r="S807" s="389">
        <f t="shared" si="354"/>
        <v>0</v>
      </c>
      <c r="U807" s="389">
        <f t="shared" si="355"/>
        <v>0</v>
      </c>
      <c r="V807" s="389" t="b">
        <f t="shared" si="356"/>
        <v>0</v>
      </c>
      <c r="W807" s="389">
        <f t="shared" si="357"/>
        <v>0</v>
      </c>
      <c r="X807" s="389">
        <f t="shared" si="358"/>
        <v>0</v>
      </c>
      <c r="Y807" s="389">
        <f t="shared" si="376"/>
        <v>1.0999999999999999E-2</v>
      </c>
      <c r="Z807" s="389">
        <f t="shared" si="359"/>
        <v>1.0999999999999999E-2</v>
      </c>
      <c r="AA807" s="389">
        <f t="shared" si="360"/>
        <v>0</v>
      </c>
      <c r="AB807" s="389">
        <f t="shared" si="361"/>
        <v>1E-4</v>
      </c>
      <c r="AC807" s="389">
        <f t="shared" si="362"/>
        <v>1E-4</v>
      </c>
      <c r="AD807" s="389">
        <f t="shared" si="363"/>
        <v>0</v>
      </c>
      <c r="AE807" s="389">
        <f t="shared" si="364"/>
        <v>0</v>
      </c>
      <c r="AG807" s="311" t="str">
        <f t="shared" si="365"/>
        <v>-</v>
      </c>
      <c r="AH807" s="453" t="str">
        <f t="shared" si="366"/>
        <v/>
      </c>
      <c r="AI807" s="453" t="str">
        <f t="shared" si="367"/>
        <v/>
      </c>
      <c r="AJ807" t="str">
        <f t="array" ref="AJ807">IF(AND(AI807&gt;1,G807&lt;&gt;""),INDEX(FS_teams,MATCH(1,(FS_Keys=AG807)*(FS_Points=I807)*(FS_teams&lt;&gt;G807),0)),"")</f>
        <v/>
      </c>
      <c r="AK807" s="390" t="str">
        <f t="array" ref="AK807">IF(AJ807&lt;&gt;"",INDEX(TM_Score1,MATCH(1,(TM_Events=D807)*(TM_Participant1=G807)*(TM_Participant2=AJ807),0)),"")</f>
        <v/>
      </c>
      <c r="AL807" s="390" t="str">
        <f t="array" ref="AL807">IF(AJ807&lt;&gt;"",INDEX(TM_Score1,MATCH(1,(TM_Events=D807)*(TM_Participant1=AJ807)*(TM_Participant2=G807),0)),"")</f>
        <v/>
      </c>
      <c r="AM807" s="389" t="str">
        <f t="array" ref="AM807">IF(ISNUMBER(AK807),INDEX(TM_Score2,MATCH(1,(TM_Events=D807)*(TM_Participant1=G807)*(TM_Participant2=AJ807),0)),"")</f>
        <v/>
      </c>
      <c r="AN807" s="389" t="str">
        <f t="array" ref="AN807">IF(ISNUMBER(AL807),INDEX(TM_Score2,MATCH(1,(TM_Events=D807)*(TM_Participant1=AJ807)*(TM_Participant2=G807),0)),"")</f>
        <v/>
      </c>
      <c r="AO807" s="389" t="str">
        <f t="shared" si="368"/>
        <v/>
      </c>
      <c r="AP807" s="389">
        <f t="shared" si="369"/>
        <v>0</v>
      </c>
      <c r="AQ807" s="389">
        <f t="shared" si="370"/>
        <v>0</v>
      </c>
      <c r="AR807" s="389">
        <f t="shared" si="371"/>
        <v>0</v>
      </c>
      <c r="AS807" s="453">
        <f t="shared" si="372"/>
        <v>0</v>
      </c>
      <c r="AT807" s="452">
        <f t="shared" si="373"/>
        <v>0</v>
      </c>
    </row>
    <row r="808" spans="2:46" ht="16" x14ac:dyDescent="0.2">
      <c r="B808"/>
      <c r="H808" s="387" t="str">
        <f t="shared" si="348"/>
        <v>0-0-0</v>
      </c>
      <c r="I808" s="389">
        <f t="shared" si="349"/>
        <v>0</v>
      </c>
      <c r="J808" s="455" t="str">
        <f t="shared" si="374"/>
        <v/>
      </c>
      <c r="K808" s="455">
        <f t="shared" si="350"/>
        <v>0</v>
      </c>
      <c r="L808" s="455">
        <f t="shared" si="375"/>
        <v>0</v>
      </c>
      <c r="M808" s="389" t="str">
        <f>IFERROR(IF(AD808&lt;=VLOOKUP(D808,Tournaments!$A$1:$B$1772,2,FALSE),"TRUE","FALSE"),"")</f>
        <v/>
      </c>
      <c r="N808" s="389">
        <v>1</v>
      </c>
      <c r="O808" s="389">
        <f t="shared" si="351"/>
        <v>0</v>
      </c>
      <c r="Q808" s="389">
        <f t="shared" si="352"/>
        <v>0</v>
      </c>
      <c r="R808" s="389">
        <f t="shared" si="353"/>
        <v>0</v>
      </c>
      <c r="S808" s="389">
        <f t="shared" si="354"/>
        <v>0</v>
      </c>
      <c r="U808" s="389">
        <f t="shared" si="355"/>
        <v>0</v>
      </c>
      <c r="V808" s="389" t="b">
        <f t="shared" si="356"/>
        <v>0</v>
      </c>
      <c r="W808" s="389">
        <f t="shared" si="357"/>
        <v>0</v>
      </c>
      <c r="X808" s="389">
        <f t="shared" si="358"/>
        <v>0</v>
      </c>
      <c r="Y808" s="389">
        <f t="shared" si="376"/>
        <v>1.0999999999999999E-2</v>
      </c>
      <c r="Z808" s="389">
        <f t="shared" si="359"/>
        <v>1.0999999999999999E-2</v>
      </c>
      <c r="AA808" s="389">
        <f t="shared" si="360"/>
        <v>0</v>
      </c>
      <c r="AB808" s="389">
        <f t="shared" si="361"/>
        <v>1E-4</v>
      </c>
      <c r="AC808" s="389">
        <f t="shared" si="362"/>
        <v>1E-4</v>
      </c>
      <c r="AD808" s="389">
        <f t="shared" si="363"/>
        <v>0</v>
      </c>
      <c r="AE808" s="389">
        <f t="shared" si="364"/>
        <v>0</v>
      </c>
      <c r="AG808" s="311" t="str">
        <f t="shared" si="365"/>
        <v>-</v>
      </c>
      <c r="AH808" s="453" t="str">
        <f t="shared" si="366"/>
        <v/>
      </c>
      <c r="AI808" s="453" t="str">
        <f t="shared" si="367"/>
        <v/>
      </c>
      <c r="AJ808" t="str">
        <f t="array" ref="AJ808">IF(AND(AI808&gt;1,G808&lt;&gt;""),INDEX(FS_teams,MATCH(1,(FS_Keys=AG808)*(FS_Points=I808)*(FS_teams&lt;&gt;G808),0)),"")</f>
        <v/>
      </c>
      <c r="AK808" s="390" t="str">
        <f t="array" ref="AK808">IF(AJ808&lt;&gt;"",INDEX(TM_Score1,MATCH(1,(TM_Events=D808)*(TM_Participant1=G808)*(TM_Participant2=AJ808),0)),"")</f>
        <v/>
      </c>
      <c r="AL808" s="390" t="str">
        <f t="array" ref="AL808">IF(AJ808&lt;&gt;"",INDEX(TM_Score1,MATCH(1,(TM_Events=D808)*(TM_Participant1=AJ808)*(TM_Participant2=G808),0)),"")</f>
        <v/>
      </c>
      <c r="AM808" s="389" t="str">
        <f t="array" ref="AM808">IF(ISNUMBER(AK808),INDEX(TM_Score2,MATCH(1,(TM_Events=D808)*(TM_Participant1=G808)*(TM_Participant2=AJ808),0)),"")</f>
        <v/>
      </c>
      <c r="AN808" s="389" t="str">
        <f t="array" ref="AN808">IF(ISNUMBER(AL808),INDEX(TM_Score2,MATCH(1,(TM_Events=D808)*(TM_Participant1=AJ808)*(TM_Participant2=G808),0)),"")</f>
        <v/>
      </c>
      <c r="AO808" s="389" t="str">
        <f t="shared" si="368"/>
        <v/>
      </c>
      <c r="AP808" s="389">
        <f t="shared" si="369"/>
        <v>0</v>
      </c>
      <c r="AQ808" s="389">
        <f t="shared" si="370"/>
        <v>0</v>
      </c>
      <c r="AR808" s="389">
        <f t="shared" si="371"/>
        <v>0</v>
      </c>
      <c r="AS808" s="453">
        <f t="shared" si="372"/>
        <v>0</v>
      </c>
      <c r="AT808" s="452">
        <f t="shared" si="373"/>
        <v>0</v>
      </c>
    </row>
    <row r="809" spans="2:46" ht="16" x14ac:dyDescent="0.2">
      <c r="B809"/>
      <c r="H809" s="387" t="str">
        <f t="shared" si="348"/>
        <v>0-0-0</v>
      </c>
      <c r="I809" s="389">
        <f t="shared" si="349"/>
        <v>0</v>
      </c>
      <c r="J809" s="455" t="str">
        <f t="shared" si="374"/>
        <v/>
      </c>
      <c r="K809" s="455">
        <f t="shared" si="350"/>
        <v>0</v>
      </c>
      <c r="L809" s="455">
        <f t="shared" si="375"/>
        <v>0</v>
      </c>
      <c r="M809" s="389" t="str">
        <f>IFERROR(IF(AD809&lt;=VLOOKUP(D809,Tournaments!$A$1:$B$1772,2,FALSE),"TRUE","FALSE"),"")</f>
        <v/>
      </c>
      <c r="N809" s="389">
        <v>1</v>
      </c>
      <c r="O809" s="389">
        <f t="shared" si="351"/>
        <v>0</v>
      </c>
      <c r="Q809" s="389">
        <f t="shared" si="352"/>
        <v>0</v>
      </c>
      <c r="R809" s="389">
        <f t="shared" si="353"/>
        <v>0</v>
      </c>
      <c r="S809" s="389">
        <f t="shared" si="354"/>
        <v>0</v>
      </c>
      <c r="U809" s="389">
        <f t="shared" si="355"/>
        <v>0</v>
      </c>
      <c r="V809" s="389" t="b">
        <f t="shared" si="356"/>
        <v>0</v>
      </c>
      <c r="W809" s="389">
        <f t="shared" si="357"/>
        <v>0</v>
      </c>
      <c r="X809" s="389">
        <f t="shared" si="358"/>
        <v>0</v>
      </c>
      <c r="Y809" s="389">
        <f t="shared" si="376"/>
        <v>1.0999999999999999E-2</v>
      </c>
      <c r="Z809" s="389">
        <f t="shared" si="359"/>
        <v>1.0999999999999999E-2</v>
      </c>
      <c r="AA809" s="389">
        <f t="shared" si="360"/>
        <v>0</v>
      </c>
      <c r="AB809" s="389">
        <f t="shared" si="361"/>
        <v>1E-4</v>
      </c>
      <c r="AC809" s="389">
        <f t="shared" si="362"/>
        <v>1E-4</v>
      </c>
      <c r="AD809" s="389">
        <f t="shared" si="363"/>
        <v>0</v>
      </c>
      <c r="AE809" s="389">
        <f t="shared" si="364"/>
        <v>0</v>
      </c>
      <c r="AG809" s="311" t="str">
        <f t="shared" si="365"/>
        <v>-</v>
      </c>
      <c r="AH809" s="453" t="str">
        <f t="shared" si="366"/>
        <v/>
      </c>
      <c r="AI809" s="453" t="str">
        <f t="shared" si="367"/>
        <v/>
      </c>
      <c r="AJ809" t="str">
        <f t="array" ref="AJ809">IF(AND(AI809&gt;1,G809&lt;&gt;""),INDEX(FS_teams,MATCH(1,(FS_Keys=AG809)*(FS_Points=I809)*(FS_teams&lt;&gt;G809),0)),"")</f>
        <v/>
      </c>
      <c r="AK809" s="390" t="str">
        <f t="array" ref="AK809">IF(AJ809&lt;&gt;"",INDEX(TM_Score1,MATCH(1,(TM_Events=D809)*(TM_Participant1=G809)*(TM_Participant2=AJ809),0)),"")</f>
        <v/>
      </c>
      <c r="AL809" s="390" t="str">
        <f t="array" ref="AL809">IF(AJ809&lt;&gt;"",INDEX(TM_Score1,MATCH(1,(TM_Events=D809)*(TM_Participant1=AJ809)*(TM_Participant2=G809),0)),"")</f>
        <v/>
      </c>
      <c r="AM809" s="389" t="str">
        <f t="array" ref="AM809">IF(ISNUMBER(AK809),INDEX(TM_Score2,MATCH(1,(TM_Events=D809)*(TM_Participant1=G809)*(TM_Participant2=AJ809),0)),"")</f>
        <v/>
      </c>
      <c r="AN809" s="389" t="str">
        <f t="array" ref="AN809">IF(ISNUMBER(AL809),INDEX(TM_Score2,MATCH(1,(TM_Events=D809)*(TM_Participant1=AJ809)*(TM_Participant2=G809),0)),"")</f>
        <v/>
      </c>
      <c r="AO809" s="389" t="str">
        <f t="shared" si="368"/>
        <v/>
      </c>
      <c r="AP809" s="389">
        <f t="shared" si="369"/>
        <v>0</v>
      </c>
      <c r="AQ809" s="389">
        <f t="shared" si="370"/>
        <v>0</v>
      </c>
      <c r="AR809" s="389">
        <f t="shared" si="371"/>
        <v>0</v>
      </c>
      <c r="AS809" s="453">
        <f t="shared" si="372"/>
        <v>0</v>
      </c>
      <c r="AT809" s="452">
        <f t="shared" si="373"/>
        <v>0</v>
      </c>
    </row>
    <row r="810" spans="2:46" ht="16" x14ac:dyDescent="0.2">
      <c r="B810"/>
      <c r="H810" s="387" t="str">
        <f t="shared" si="348"/>
        <v>0-0-0</v>
      </c>
      <c r="I810" s="389">
        <f t="shared" si="349"/>
        <v>0</v>
      </c>
      <c r="J810" s="455" t="str">
        <f t="shared" si="374"/>
        <v/>
      </c>
      <c r="K810" s="455">
        <f t="shared" si="350"/>
        <v>0</v>
      </c>
      <c r="L810" s="455">
        <f t="shared" si="375"/>
        <v>0</v>
      </c>
      <c r="M810" s="389" t="str">
        <f>IFERROR(IF(AD810&lt;=VLOOKUP(D810,Tournaments!$A$1:$B$1772,2,FALSE),"TRUE","FALSE"),"")</f>
        <v/>
      </c>
      <c r="N810" s="389">
        <v>1</v>
      </c>
      <c r="O810" s="389">
        <f t="shared" si="351"/>
        <v>0</v>
      </c>
      <c r="Q810" s="389">
        <f t="shared" si="352"/>
        <v>0</v>
      </c>
      <c r="R810" s="389">
        <f t="shared" si="353"/>
        <v>0</v>
      </c>
      <c r="S810" s="389">
        <f t="shared" si="354"/>
        <v>0</v>
      </c>
      <c r="U810" s="389">
        <f t="shared" si="355"/>
        <v>0</v>
      </c>
      <c r="V810" s="389" t="b">
        <f t="shared" si="356"/>
        <v>0</v>
      </c>
      <c r="W810" s="389">
        <f t="shared" si="357"/>
        <v>0</v>
      </c>
      <c r="X810" s="389">
        <f t="shared" si="358"/>
        <v>0</v>
      </c>
      <c r="Y810" s="389">
        <f t="shared" si="376"/>
        <v>1.0999999999999999E-2</v>
      </c>
      <c r="Z810" s="389">
        <f t="shared" si="359"/>
        <v>1.0999999999999999E-2</v>
      </c>
      <c r="AA810" s="389">
        <f t="shared" si="360"/>
        <v>0</v>
      </c>
      <c r="AB810" s="389">
        <f t="shared" si="361"/>
        <v>1E-4</v>
      </c>
      <c r="AC810" s="389">
        <f t="shared" si="362"/>
        <v>1E-4</v>
      </c>
      <c r="AD810" s="389">
        <f t="shared" si="363"/>
        <v>0</v>
      </c>
      <c r="AE810" s="389">
        <f t="shared" si="364"/>
        <v>0</v>
      </c>
      <c r="AG810" s="311" t="str">
        <f t="shared" si="365"/>
        <v>-</v>
      </c>
      <c r="AH810" s="453" t="str">
        <f t="shared" si="366"/>
        <v/>
      </c>
      <c r="AI810" s="453" t="str">
        <f t="shared" si="367"/>
        <v/>
      </c>
      <c r="AJ810" t="str">
        <f t="array" ref="AJ810">IF(AND(AI810&gt;1,G810&lt;&gt;""),INDEX(FS_teams,MATCH(1,(FS_Keys=AG810)*(FS_Points=I810)*(FS_teams&lt;&gt;G810),0)),"")</f>
        <v/>
      </c>
      <c r="AK810" s="390" t="str">
        <f t="array" ref="AK810">IF(AJ810&lt;&gt;"",INDEX(TM_Score1,MATCH(1,(TM_Events=D810)*(TM_Participant1=G810)*(TM_Participant2=AJ810),0)),"")</f>
        <v/>
      </c>
      <c r="AL810" s="390" t="str">
        <f t="array" ref="AL810">IF(AJ810&lt;&gt;"",INDEX(TM_Score1,MATCH(1,(TM_Events=D810)*(TM_Participant1=AJ810)*(TM_Participant2=G810),0)),"")</f>
        <v/>
      </c>
      <c r="AM810" s="389" t="str">
        <f t="array" ref="AM810">IF(ISNUMBER(AK810),INDEX(TM_Score2,MATCH(1,(TM_Events=D810)*(TM_Participant1=G810)*(TM_Participant2=AJ810),0)),"")</f>
        <v/>
      </c>
      <c r="AN810" s="389" t="str">
        <f t="array" ref="AN810">IF(ISNUMBER(AL810),INDEX(TM_Score2,MATCH(1,(TM_Events=D810)*(TM_Participant1=AJ810)*(TM_Participant2=G810),0)),"")</f>
        <v/>
      </c>
      <c r="AO810" s="389" t="str">
        <f t="shared" si="368"/>
        <v/>
      </c>
      <c r="AP810" s="389">
        <f t="shared" si="369"/>
        <v>0</v>
      </c>
      <c r="AQ810" s="389">
        <f t="shared" si="370"/>
        <v>0</v>
      </c>
      <c r="AR810" s="389">
        <f t="shared" si="371"/>
        <v>0</v>
      </c>
      <c r="AS810" s="453">
        <f t="shared" si="372"/>
        <v>0</v>
      </c>
      <c r="AT810" s="452">
        <f t="shared" si="373"/>
        <v>0</v>
      </c>
    </row>
    <row r="811" spans="2:46" ht="16" x14ac:dyDescent="0.2">
      <c r="B811"/>
      <c r="H811" s="387" t="str">
        <f t="shared" si="348"/>
        <v>0-0-0</v>
      </c>
      <c r="I811" s="389">
        <f t="shared" si="349"/>
        <v>0</v>
      </c>
      <c r="J811" s="455" t="str">
        <f t="shared" si="374"/>
        <v/>
      </c>
      <c r="K811" s="455">
        <f t="shared" si="350"/>
        <v>0</v>
      </c>
      <c r="L811" s="455">
        <f t="shared" si="375"/>
        <v>0</v>
      </c>
      <c r="M811" s="389" t="str">
        <f>IFERROR(IF(AD811&lt;=VLOOKUP(D811,Tournaments!$A$1:$B$1772,2,FALSE),"TRUE","FALSE"),"")</f>
        <v/>
      </c>
      <c r="N811" s="389">
        <v>1</v>
      </c>
      <c r="O811" s="389">
        <f t="shared" si="351"/>
        <v>0</v>
      </c>
      <c r="Q811" s="389">
        <f t="shared" si="352"/>
        <v>0</v>
      </c>
      <c r="R811" s="389">
        <f t="shared" si="353"/>
        <v>0</v>
      </c>
      <c r="S811" s="389">
        <f t="shared" si="354"/>
        <v>0</v>
      </c>
      <c r="U811" s="389">
        <f t="shared" si="355"/>
        <v>0</v>
      </c>
      <c r="V811" s="389" t="b">
        <f t="shared" si="356"/>
        <v>0</v>
      </c>
      <c r="W811" s="389">
        <f t="shared" si="357"/>
        <v>0</v>
      </c>
      <c r="X811" s="389">
        <f t="shared" si="358"/>
        <v>0</v>
      </c>
      <c r="Y811" s="389">
        <f t="shared" si="376"/>
        <v>1.0999999999999999E-2</v>
      </c>
      <c r="Z811" s="389">
        <f t="shared" si="359"/>
        <v>1.0999999999999999E-2</v>
      </c>
      <c r="AA811" s="389">
        <f t="shared" si="360"/>
        <v>0</v>
      </c>
      <c r="AB811" s="389">
        <f t="shared" si="361"/>
        <v>1E-4</v>
      </c>
      <c r="AC811" s="389">
        <f t="shared" si="362"/>
        <v>1E-4</v>
      </c>
      <c r="AD811" s="389">
        <f t="shared" si="363"/>
        <v>0</v>
      </c>
      <c r="AE811" s="389">
        <f t="shared" si="364"/>
        <v>0</v>
      </c>
      <c r="AG811" s="311" t="str">
        <f t="shared" si="365"/>
        <v>-</v>
      </c>
      <c r="AH811" s="453" t="str">
        <f t="shared" si="366"/>
        <v/>
      </c>
      <c r="AI811" s="453" t="str">
        <f t="shared" si="367"/>
        <v/>
      </c>
      <c r="AJ811" t="str">
        <f t="array" ref="AJ811">IF(AND(AI811&gt;1,G811&lt;&gt;""),INDEX(FS_teams,MATCH(1,(FS_Keys=AG811)*(FS_Points=I811)*(FS_teams&lt;&gt;G811),0)),"")</f>
        <v/>
      </c>
      <c r="AK811" s="390" t="str">
        <f t="array" ref="AK811">IF(AJ811&lt;&gt;"",INDEX(TM_Score1,MATCH(1,(TM_Events=D811)*(TM_Participant1=G811)*(TM_Participant2=AJ811),0)),"")</f>
        <v/>
      </c>
      <c r="AL811" s="390" t="str">
        <f t="array" ref="AL811">IF(AJ811&lt;&gt;"",INDEX(TM_Score1,MATCH(1,(TM_Events=D811)*(TM_Participant1=AJ811)*(TM_Participant2=G811),0)),"")</f>
        <v/>
      </c>
      <c r="AM811" s="389" t="str">
        <f t="array" ref="AM811">IF(ISNUMBER(AK811),INDEX(TM_Score2,MATCH(1,(TM_Events=D811)*(TM_Participant1=G811)*(TM_Participant2=AJ811),0)),"")</f>
        <v/>
      </c>
      <c r="AN811" s="389" t="str">
        <f t="array" ref="AN811">IF(ISNUMBER(AL811),INDEX(TM_Score2,MATCH(1,(TM_Events=D811)*(TM_Participant1=AJ811)*(TM_Participant2=G811),0)),"")</f>
        <v/>
      </c>
      <c r="AO811" s="389" t="str">
        <f t="shared" si="368"/>
        <v/>
      </c>
      <c r="AP811" s="389">
        <f t="shared" si="369"/>
        <v>0</v>
      </c>
      <c r="AQ811" s="389">
        <f t="shared" si="370"/>
        <v>0</v>
      </c>
      <c r="AR811" s="389">
        <f t="shared" si="371"/>
        <v>0</v>
      </c>
      <c r="AS811" s="453">
        <f t="shared" si="372"/>
        <v>0</v>
      </c>
      <c r="AT811" s="452">
        <f t="shared" si="373"/>
        <v>0</v>
      </c>
    </row>
    <row r="812" spans="2:46" ht="16" x14ac:dyDescent="0.2">
      <c r="B812"/>
      <c r="H812" s="387" t="str">
        <f t="shared" si="348"/>
        <v>0-0-0</v>
      </c>
      <c r="I812" s="389">
        <f t="shared" si="349"/>
        <v>0</v>
      </c>
      <c r="J812" s="455" t="str">
        <f t="shared" si="374"/>
        <v/>
      </c>
      <c r="K812" s="455">
        <f t="shared" si="350"/>
        <v>0</v>
      </c>
      <c r="L812" s="455">
        <f t="shared" si="375"/>
        <v>0</v>
      </c>
      <c r="M812" s="389" t="str">
        <f>IFERROR(IF(AD812&lt;=VLOOKUP(D812,Tournaments!$A$1:$B$1772,2,FALSE),"TRUE","FALSE"),"")</f>
        <v/>
      </c>
      <c r="N812" s="389">
        <v>1</v>
      </c>
      <c r="O812" s="389">
        <f t="shared" si="351"/>
        <v>0</v>
      </c>
      <c r="Q812" s="389">
        <f t="shared" si="352"/>
        <v>0</v>
      </c>
      <c r="R812" s="389">
        <f t="shared" si="353"/>
        <v>0</v>
      </c>
      <c r="S812" s="389">
        <f t="shared" si="354"/>
        <v>0</v>
      </c>
      <c r="U812" s="389">
        <f t="shared" si="355"/>
        <v>0</v>
      </c>
      <c r="V812" s="389" t="b">
        <f t="shared" si="356"/>
        <v>0</v>
      </c>
      <c r="W812" s="389">
        <f t="shared" si="357"/>
        <v>0</v>
      </c>
      <c r="X812" s="389">
        <f t="shared" si="358"/>
        <v>0</v>
      </c>
      <c r="Y812" s="389">
        <f t="shared" si="376"/>
        <v>1.0999999999999999E-2</v>
      </c>
      <c r="Z812" s="389">
        <f t="shared" si="359"/>
        <v>1.0999999999999999E-2</v>
      </c>
      <c r="AA812" s="389">
        <f t="shared" si="360"/>
        <v>0</v>
      </c>
      <c r="AB812" s="389">
        <f t="shared" si="361"/>
        <v>1E-4</v>
      </c>
      <c r="AC812" s="389">
        <f t="shared" si="362"/>
        <v>1E-4</v>
      </c>
      <c r="AD812" s="389">
        <f t="shared" si="363"/>
        <v>0</v>
      </c>
      <c r="AE812" s="389">
        <f t="shared" si="364"/>
        <v>0</v>
      </c>
      <c r="AG812" s="311" t="str">
        <f t="shared" si="365"/>
        <v>-</v>
      </c>
      <c r="AH812" s="453" t="str">
        <f t="shared" si="366"/>
        <v/>
      </c>
      <c r="AI812" s="453" t="str">
        <f t="shared" si="367"/>
        <v/>
      </c>
      <c r="AJ812" t="str">
        <f t="array" ref="AJ812">IF(AND(AI812&gt;1,G812&lt;&gt;""),INDEX(FS_teams,MATCH(1,(FS_Keys=AG812)*(FS_Points=I812)*(FS_teams&lt;&gt;G812),0)),"")</f>
        <v/>
      </c>
      <c r="AK812" s="390" t="str">
        <f t="array" ref="AK812">IF(AJ812&lt;&gt;"",INDEX(TM_Score1,MATCH(1,(TM_Events=D812)*(TM_Participant1=G812)*(TM_Participant2=AJ812),0)),"")</f>
        <v/>
      </c>
      <c r="AL812" s="390" t="str">
        <f t="array" ref="AL812">IF(AJ812&lt;&gt;"",INDEX(TM_Score1,MATCH(1,(TM_Events=D812)*(TM_Participant1=AJ812)*(TM_Participant2=G812),0)),"")</f>
        <v/>
      </c>
      <c r="AM812" s="389" t="str">
        <f t="array" ref="AM812">IF(ISNUMBER(AK812),INDEX(TM_Score2,MATCH(1,(TM_Events=D812)*(TM_Participant1=G812)*(TM_Participant2=AJ812),0)),"")</f>
        <v/>
      </c>
      <c r="AN812" s="389" t="str">
        <f t="array" ref="AN812">IF(ISNUMBER(AL812),INDEX(TM_Score2,MATCH(1,(TM_Events=D812)*(TM_Participant1=AJ812)*(TM_Participant2=G812),0)),"")</f>
        <v/>
      </c>
      <c r="AO812" s="389" t="str">
        <f t="shared" si="368"/>
        <v/>
      </c>
      <c r="AP812" s="389">
        <f t="shared" si="369"/>
        <v>0</v>
      </c>
      <c r="AQ812" s="389">
        <f t="shared" si="370"/>
        <v>0</v>
      </c>
      <c r="AR812" s="389">
        <f t="shared" si="371"/>
        <v>0</v>
      </c>
      <c r="AS812" s="453">
        <f t="shared" si="372"/>
        <v>0</v>
      </c>
      <c r="AT812" s="452">
        <f t="shared" si="373"/>
        <v>0</v>
      </c>
    </row>
    <row r="813" spans="2:46" ht="16" x14ac:dyDescent="0.2">
      <c r="B813"/>
      <c r="H813" s="387" t="str">
        <f t="shared" si="348"/>
        <v>0-0-0</v>
      </c>
      <c r="I813" s="389">
        <f t="shared" si="349"/>
        <v>0</v>
      </c>
      <c r="J813" s="455" t="str">
        <f t="shared" si="374"/>
        <v/>
      </c>
      <c r="K813" s="455">
        <f t="shared" si="350"/>
        <v>0</v>
      </c>
      <c r="L813" s="455">
        <f t="shared" si="375"/>
        <v>0</v>
      </c>
      <c r="M813" s="389" t="str">
        <f>IFERROR(IF(AD813&lt;=VLOOKUP(D813,Tournaments!$A$1:$B$1772,2,FALSE),"TRUE","FALSE"),"")</f>
        <v/>
      </c>
      <c r="N813" s="389">
        <v>1</v>
      </c>
      <c r="O813" s="389">
        <f t="shared" si="351"/>
        <v>0</v>
      </c>
      <c r="Q813" s="389">
        <f t="shared" si="352"/>
        <v>0</v>
      </c>
      <c r="R813" s="389">
        <f t="shared" si="353"/>
        <v>0</v>
      </c>
      <c r="S813" s="389">
        <f t="shared" si="354"/>
        <v>0</v>
      </c>
      <c r="U813" s="389">
        <f t="shared" si="355"/>
        <v>0</v>
      </c>
      <c r="V813" s="389" t="b">
        <f t="shared" si="356"/>
        <v>0</v>
      </c>
      <c r="W813" s="389">
        <f t="shared" si="357"/>
        <v>0</v>
      </c>
      <c r="X813" s="389">
        <f t="shared" si="358"/>
        <v>0</v>
      </c>
      <c r="Y813" s="389">
        <f t="shared" si="376"/>
        <v>1.0999999999999999E-2</v>
      </c>
      <c r="Z813" s="389">
        <f t="shared" si="359"/>
        <v>1.0999999999999999E-2</v>
      </c>
      <c r="AA813" s="389">
        <f t="shared" si="360"/>
        <v>0</v>
      </c>
      <c r="AB813" s="389">
        <f t="shared" si="361"/>
        <v>1E-4</v>
      </c>
      <c r="AC813" s="389">
        <f t="shared" si="362"/>
        <v>1E-4</v>
      </c>
      <c r="AD813" s="389">
        <f t="shared" si="363"/>
        <v>0</v>
      </c>
      <c r="AE813" s="389">
        <f t="shared" si="364"/>
        <v>0</v>
      </c>
      <c r="AG813" s="311" t="str">
        <f t="shared" si="365"/>
        <v>-</v>
      </c>
      <c r="AH813" s="453" t="str">
        <f t="shared" si="366"/>
        <v/>
      </c>
      <c r="AI813" s="453" t="str">
        <f t="shared" si="367"/>
        <v/>
      </c>
      <c r="AJ813" t="str">
        <f t="array" ref="AJ813">IF(AND(AI813&gt;1,G813&lt;&gt;""),INDEX(FS_teams,MATCH(1,(FS_Keys=AG813)*(FS_Points=I813)*(FS_teams&lt;&gt;G813),0)),"")</f>
        <v/>
      </c>
      <c r="AK813" s="390" t="str">
        <f t="array" ref="AK813">IF(AJ813&lt;&gt;"",INDEX(TM_Score1,MATCH(1,(TM_Events=D813)*(TM_Participant1=G813)*(TM_Participant2=AJ813),0)),"")</f>
        <v/>
      </c>
      <c r="AL813" s="390" t="str">
        <f t="array" ref="AL813">IF(AJ813&lt;&gt;"",INDEX(TM_Score1,MATCH(1,(TM_Events=D813)*(TM_Participant1=AJ813)*(TM_Participant2=G813),0)),"")</f>
        <v/>
      </c>
      <c r="AM813" s="389" t="str">
        <f t="array" ref="AM813">IF(ISNUMBER(AK813),INDEX(TM_Score2,MATCH(1,(TM_Events=D813)*(TM_Participant1=G813)*(TM_Participant2=AJ813),0)),"")</f>
        <v/>
      </c>
      <c r="AN813" s="389" t="str">
        <f t="array" ref="AN813">IF(ISNUMBER(AL813),INDEX(TM_Score2,MATCH(1,(TM_Events=D813)*(TM_Participant1=AJ813)*(TM_Participant2=G813),0)),"")</f>
        <v/>
      </c>
      <c r="AO813" s="389" t="str">
        <f t="shared" si="368"/>
        <v/>
      </c>
      <c r="AP813" s="389">
        <f t="shared" si="369"/>
        <v>0</v>
      </c>
      <c r="AQ813" s="389">
        <f t="shared" si="370"/>
        <v>0</v>
      </c>
      <c r="AR813" s="389">
        <f t="shared" si="371"/>
        <v>0</v>
      </c>
      <c r="AS813" s="453">
        <f t="shared" si="372"/>
        <v>0</v>
      </c>
      <c r="AT813" s="452">
        <f t="shared" si="373"/>
        <v>0</v>
      </c>
    </row>
    <row r="814" spans="2:46" ht="16" x14ac:dyDescent="0.2">
      <c r="B814"/>
      <c r="H814" s="387" t="str">
        <f t="shared" si="348"/>
        <v>0-0-0</v>
      </c>
      <c r="I814" s="389">
        <f t="shared" si="349"/>
        <v>0</v>
      </c>
      <c r="J814" s="455" t="str">
        <f t="shared" si="374"/>
        <v/>
      </c>
      <c r="K814" s="455">
        <f t="shared" si="350"/>
        <v>0</v>
      </c>
      <c r="L814" s="455">
        <f t="shared" si="375"/>
        <v>0</v>
      </c>
      <c r="M814" s="389" t="str">
        <f>IFERROR(IF(AD814&lt;=VLOOKUP(D814,Tournaments!$A$1:$B$1772,2,FALSE),"TRUE","FALSE"),"")</f>
        <v/>
      </c>
      <c r="N814" s="389">
        <v>1</v>
      </c>
      <c r="O814" s="389">
        <f t="shared" si="351"/>
        <v>0</v>
      </c>
      <c r="Q814" s="389">
        <f t="shared" si="352"/>
        <v>0</v>
      </c>
      <c r="R814" s="389">
        <f t="shared" si="353"/>
        <v>0</v>
      </c>
      <c r="S814" s="389">
        <f t="shared" si="354"/>
        <v>0</v>
      </c>
      <c r="U814" s="389">
        <f t="shared" si="355"/>
        <v>0</v>
      </c>
      <c r="V814" s="389" t="b">
        <f t="shared" si="356"/>
        <v>0</v>
      </c>
      <c r="W814" s="389">
        <f t="shared" si="357"/>
        <v>0</v>
      </c>
      <c r="X814" s="389">
        <f t="shared" si="358"/>
        <v>0</v>
      </c>
      <c r="Y814" s="389">
        <f t="shared" si="376"/>
        <v>1.0999999999999999E-2</v>
      </c>
      <c r="Z814" s="389">
        <f t="shared" si="359"/>
        <v>1.0999999999999999E-2</v>
      </c>
      <c r="AA814" s="389">
        <f t="shared" si="360"/>
        <v>0</v>
      </c>
      <c r="AB814" s="389">
        <f t="shared" si="361"/>
        <v>1E-4</v>
      </c>
      <c r="AC814" s="389">
        <f t="shared" si="362"/>
        <v>1E-4</v>
      </c>
      <c r="AD814" s="389">
        <f t="shared" si="363"/>
        <v>0</v>
      </c>
      <c r="AE814" s="389">
        <f t="shared" si="364"/>
        <v>0</v>
      </c>
      <c r="AG814" s="311" t="str">
        <f t="shared" si="365"/>
        <v>-</v>
      </c>
      <c r="AH814" s="453" t="str">
        <f t="shared" si="366"/>
        <v/>
      </c>
      <c r="AI814" s="453" t="str">
        <f t="shared" si="367"/>
        <v/>
      </c>
      <c r="AJ814" t="str">
        <f t="array" ref="AJ814">IF(AND(AI814&gt;1,G814&lt;&gt;""),INDEX(FS_teams,MATCH(1,(FS_Keys=AG814)*(FS_Points=I814)*(FS_teams&lt;&gt;G814),0)),"")</f>
        <v/>
      </c>
      <c r="AK814" s="390" t="str">
        <f t="array" ref="AK814">IF(AJ814&lt;&gt;"",INDEX(TM_Score1,MATCH(1,(TM_Events=D814)*(TM_Participant1=G814)*(TM_Participant2=AJ814),0)),"")</f>
        <v/>
      </c>
      <c r="AL814" s="390" t="str">
        <f t="array" ref="AL814">IF(AJ814&lt;&gt;"",INDEX(TM_Score1,MATCH(1,(TM_Events=D814)*(TM_Participant1=AJ814)*(TM_Participant2=G814),0)),"")</f>
        <v/>
      </c>
      <c r="AM814" s="389" t="str">
        <f t="array" ref="AM814">IF(ISNUMBER(AK814),INDEX(TM_Score2,MATCH(1,(TM_Events=D814)*(TM_Participant1=G814)*(TM_Participant2=AJ814),0)),"")</f>
        <v/>
      </c>
      <c r="AN814" s="389" t="str">
        <f t="array" ref="AN814">IF(ISNUMBER(AL814),INDEX(TM_Score2,MATCH(1,(TM_Events=D814)*(TM_Participant1=AJ814)*(TM_Participant2=G814),0)),"")</f>
        <v/>
      </c>
      <c r="AO814" s="389" t="str">
        <f t="shared" si="368"/>
        <v/>
      </c>
      <c r="AP814" s="389">
        <f t="shared" si="369"/>
        <v>0</v>
      </c>
      <c r="AQ814" s="389">
        <f t="shared" si="370"/>
        <v>0</v>
      </c>
      <c r="AR814" s="389">
        <f t="shared" si="371"/>
        <v>0</v>
      </c>
      <c r="AS814" s="453">
        <f t="shared" si="372"/>
        <v>0</v>
      </c>
      <c r="AT814" s="452">
        <f t="shared" si="373"/>
        <v>0</v>
      </c>
    </row>
    <row r="815" spans="2:46" ht="16" x14ac:dyDescent="0.2">
      <c r="B815"/>
      <c r="H815" s="387" t="str">
        <f t="shared" si="348"/>
        <v>0-0-0</v>
      </c>
      <c r="I815" s="389">
        <f t="shared" si="349"/>
        <v>0</v>
      </c>
      <c r="J815" s="455" t="str">
        <f t="shared" si="374"/>
        <v/>
      </c>
      <c r="K815" s="455">
        <f t="shared" si="350"/>
        <v>0</v>
      </c>
      <c r="L815" s="455">
        <f t="shared" si="375"/>
        <v>0</v>
      </c>
      <c r="M815" s="389" t="str">
        <f>IFERROR(IF(AD815&lt;=VLOOKUP(D815,Tournaments!$A$1:$B$1772,2,FALSE),"TRUE","FALSE"),"")</f>
        <v/>
      </c>
      <c r="N815" s="389">
        <v>1</v>
      </c>
      <c r="O815" s="389">
        <f t="shared" si="351"/>
        <v>0</v>
      </c>
      <c r="Q815" s="389">
        <f t="shared" si="352"/>
        <v>0</v>
      </c>
      <c r="R815" s="389">
        <f t="shared" si="353"/>
        <v>0</v>
      </c>
      <c r="S815" s="389">
        <f t="shared" si="354"/>
        <v>0</v>
      </c>
      <c r="U815" s="389">
        <f t="shared" si="355"/>
        <v>0</v>
      </c>
      <c r="V815" s="389" t="b">
        <f t="shared" si="356"/>
        <v>0</v>
      </c>
      <c r="W815" s="389">
        <f t="shared" si="357"/>
        <v>0</v>
      </c>
      <c r="X815" s="389">
        <f t="shared" si="358"/>
        <v>0</v>
      </c>
      <c r="Y815" s="389">
        <f t="shared" si="376"/>
        <v>1.0999999999999999E-2</v>
      </c>
      <c r="Z815" s="389">
        <f t="shared" si="359"/>
        <v>1.0999999999999999E-2</v>
      </c>
      <c r="AA815" s="389">
        <f t="shared" si="360"/>
        <v>0</v>
      </c>
      <c r="AB815" s="389">
        <f t="shared" si="361"/>
        <v>1E-4</v>
      </c>
      <c r="AC815" s="389">
        <f t="shared" si="362"/>
        <v>1E-4</v>
      </c>
      <c r="AD815" s="389">
        <f t="shared" si="363"/>
        <v>0</v>
      </c>
      <c r="AE815" s="389">
        <f t="shared" si="364"/>
        <v>0</v>
      </c>
      <c r="AG815" s="311" t="str">
        <f t="shared" si="365"/>
        <v>-</v>
      </c>
      <c r="AH815" s="453" t="str">
        <f t="shared" si="366"/>
        <v/>
      </c>
      <c r="AI815" s="453" t="str">
        <f t="shared" si="367"/>
        <v/>
      </c>
      <c r="AJ815" t="str">
        <f t="array" ref="AJ815">IF(AND(AI815&gt;1,G815&lt;&gt;""),INDEX(FS_teams,MATCH(1,(FS_Keys=AG815)*(FS_Points=I815)*(FS_teams&lt;&gt;G815),0)),"")</f>
        <v/>
      </c>
      <c r="AK815" s="390" t="str">
        <f t="array" ref="AK815">IF(AJ815&lt;&gt;"",INDEX(TM_Score1,MATCH(1,(TM_Events=D815)*(TM_Participant1=G815)*(TM_Participant2=AJ815),0)),"")</f>
        <v/>
      </c>
      <c r="AL815" s="390" t="str">
        <f t="array" ref="AL815">IF(AJ815&lt;&gt;"",INDEX(TM_Score1,MATCH(1,(TM_Events=D815)*(TM_Participant1=AJ815)*(TM_Participant2=G815),0)),"")</f>
        <v/>
      </c>
      <c r="AM815" s="389" t="str">
        <f t="array" ref="AM815">IF(ISNUMBER(AK815),INDEX(TM_Score2,MATCH(1,(TM_Events=D815)*(TM_Participant1=G815)*(TM_Participant2=AJ815),0)),"")</f>
        <v/>
      </c>
      <c r="AN815" s="389" t="str">
        <f t="array" ref="AN815">IF(ISNUMBER(AL815),INDEX(TM_Score2,MATCH(1,(TM_Events=D815)*(TM_Participant1=AJ815)*(TM_Participant2=G815),0)),"")</f>
        <v/>
      </c>
      <c r="AO815" s="389" t="str">
        <f t="shared" si="368"/>
        <v/>
      </c>
      <c r="AP815" s="389">
        <f t="shared" si="369"/>
        <v>0</v>
      </c>
      <c r="AQ815" s="389">
        <f t="shared" si="370"/>
        <v>0</v>
      </c>
      <c r="AR815" s="389">
        <f t="shared" si="371"/>
        <v>0</v>
      </c>
      <c r="AS815" s="453">
        <f t="shared" si="372"/>
        <v>0</v>
      </c>
      <c r="AT815" s="452">
        <f t="shared" si="373"/>
        <v>0</v>
      </c>
    </row>
    <row r="816" spans="2:46" ht="16" x14ac:dyDescent="0.2">
      <c r="B816"/>
      <c r="H816" s="387" t="str">
        <f t="shared" si="348"/>
        <v>0-0-0</v>
      </c>
      <c r="I816" s="389">
        <f t="shared" si="349"/>
        <v>0</v>
      </c>
      <c r="J816" s="455" t="str">
        <f t="shared" si="374"/>
        <v/>
      </c>
      <c r="K816" s="455">
        <f t="shared" si="350"/>
        <v>0</v>
      </c>
      <c r="L816" s="455">
        <f t="shared" si="375"/>
        <v>0</v>
      </c>
      <c r="M816" s="389" t="str">
        <f>IFERROR(IF(AD816&lt;=VLOOKUP(D816,Tournaments!$A$1:$B$1772,2,FALSE),"TRUE","FALSE"),"")</f>
        <v/>
      </c>
      <c r="N816" s="389">
        <v>1</v>
      </c>
      <c r="O816" s="389">
        <f t="shared" si="351"/>
        <v>0</v>
      </c>
      <c r="Q816" s="389">
        <f t="shared" si="352"/>
        <v>0</v>
      </c>
      <c r="R816" s="389">
        <f t="shared" si="353"/>
        <v>0</v>
      </c>
      <c r="S816" s="389">
        <f t="shared" si="354"/>
        <v>0</v>
      </c>
      <c r="U816" s="389">
        <f t="shared" si="355"/>
        <v>0</v>
      </c>
      <c r="V816" s="389" t="b">
        <f t="shared" si="356"/>
        <v>0</v>
      </c>
      <c r="W816" s="389">
        <f t="shared" si="357"/>
        <v>0</v>
      </c>
      <c r="X816" s="389">
        <f t="shared" si="358"/>
        <v>0</v>
      </c>
      <c r="Y816" s="389">
        <f t="shared" si="376"/>
        <v>1.0999999999999999E-2</v>
      </c>
      <c r="Z816" s="389">
        <f t="shared" si="359"/>
        <v>1.0999999999999999E-2</v>
      </c>
      <c r="AA816" s="389">
        <f t="shared" si="360"/>
        <v>0</v>
      </c>
      <c r="AB816" s="389">
        <f t="shared" si="361"/>
        <v>1E-4</v>
      </c>
      <c r="AC816" s="389">
        <f t="shared" si="362"/>
        <v>1E-4</v>
      </c>
      <c r="AD816" s="389">
        <f t="shared" si="363"/>
        <v>0</v>
      </c>
      <c r="AE816" s="389">
        <f t="shared" si="364"/>
        <v>0</v>
      </c>
      <c r="AG816" s="311" t="str">
        <f t="shared" si="365"/>
        <v>-</v>
      </c>
      <c r="AH816" s="453" t="str">
        <f t="shared" si="366"/>
        <v/>
      </c>
      <c r="AI816" s="453" t="str">
        <f t="shared" si="367"/>
        <v/>
      </c>
      <c r="AJ816" t="str">
        <f t="array" ref="AJ816">IF(AND(AI816&gt;1,G816&lt;&gt;""),INDEX(FS_teams,MATCH(1,(FS_Keys=AG816)*(FS_Points=I816)*(FS_teams&lt;&gt;G816),0)),"")</f>
        <v/>
      </c>
      <c r="AK816" s="390" t="str">
        <f t="array" ref="AK816">IF(AJ816&lt;&gt;"",INDEX(TM_Score1,MATCH(1,(TM_Events=D816)*(TM_Participant1=G816)*(TM_Participant2=AJ816),0)),"")</f>
        <v/>
      </c>
      <c r="AL816" s="390" t="str">
        <f t="array" ref="AL816">IF(AJ816&lt;&gt;"",INDEX(TM_Score1,MATCH(1,(TM_Events=D816)*(TM_Participant1=AJ816)*(TM_Participant2=G816),0)),"")</f>
        <v/>
      </c>
      <c r="AM816" s="389" t="str">
        <f t="array" ref="AM816">IF(ISNUMBER(AK816),INDEX(TM_Score2,MATCH(1,(TM_Events=D816)*(TM_Participant1=G816)*(TM_Participant2=AJ816),0)),"")</f>
        <v/>
      </c>
      <c r="AN816" s="389" t="str">
        <f t="array" ref="AN816">IF(ISNUMBER(AL816),INDEX(TM_Score2,MATCH(1,(TM_Events=D816)*(TM_Participant1=AJ816)*(TM_Participant2=G816),0)),"")</f>
        <v/>
      </c>
      <c r="AO816" s="389" t="str">
        <f t="shared" si="368"/>
        <v/>
      </c>
      <c r="AP816" s="389">
        <f t="shared" si="369"/>
        <v>0</v>
      </c>
      <c r="AQ816" s="389">
        <f t="shared" si="370"/>
        <v>0</v>
      </c>
      <c r="AR816" s="389">
        <f t="shared" si="371"/>
        <v>0</v>
      </c>
      <c r="AS816" s="453">
        <f t="shared" si="372"/>
        <v>0</v>
      </c>
      <c r="AT816" s="452">
        <f t="shared" si="373"/>
        <v>0</v>
      </c>
    </row>
    <row r="817" spans="2:46" ht="16" x14ac:dyDescent="0.2">
      <c r="B817"/>
      <c r="H817" s="387" t="str">
        <f t="shared" si="348"/>
        <v>0-0-0</v>
      </c>
      <c r="I817" s="389">
        <f t="shared" si="349"/>
        <v>0</v>
      </c>
      <c r="J817" s="455" t="str">
        <f t="shared" si="374"/>
        <v/>
      </c>
      <c r="K817" s="455">
        <f t="shared" si="350"/>
        <v>0</v>
      </c>
      <c r="L817" s="455">
        <f t="shared" si="375"/>
        <v>0</v>
      </c>
      <c r="M817" s="389" t="str">
        <f>IFERROR(IF(AD817&lt;=VLOOKUP(D817,Tournaments!$A$1:$B$1772,2,FALSE),"TRUE","FALSE"),"")</f>
        <v/>
      </c>
      <c r="N817" s="389">
        <v>1</v>
      </c>
      <c r="O817" s="389">
        <f t="shared" si="351"/>
        <v>0</v>
      </c>
      <c r="Q817" s="389">
        <f t="shared" si="352"/>
        <v>0</v>
      </c>
      <c r="R817" s="389">
        <f t="shared" si="353"/>
        <v>0</v>
      </c>
      <c r="S817" s="389">
        <f t="shared" si="354"/>
        <v>0</v>
      </c>
      <c r="U817" s="389">
        <f t="shared" si="355"/>
        <v>0</v>
      </c>
      <c r="V817" s="389" t="b">
        <f t="shared" si="356"/>
        <v>0</v>
      </c>
      <c r="W817" s="389">
        <f t="shared" si="357"/>
        <v>0</v>
      </c>
      <c r="X817" s="389">
        <f t="shared" si="358"/>
        <v>0</v>
      </c>
      <c r="Y817" s="389">
        <f t="shared" si="376"/>
        <v>1.0999999999999999E-2</v>
      </c>
      <c r="Z817" s="389">
        <f t="shared" si="359"/>
        <v>1.0999999999999999E-2</v>
      </c>
      <c r="AA817" s="389">
        <f t="shared" si="360"/>
        <v>0</v>
      </c>
      <c r="AB817" s="389">
        <f t="shared" si="361"/>
        <v>1E-4</v>
      </c>
      <c r="AC817" s="389">
        <f t="shared" si="362"/>
        <v>1E-4</v>
      </c>
      <c r="AD817" s="389">
        <f t="shared" si="363"/>
        <v>0</v>
      </c>
      <c r="AE817" s="389">
        <f t="shared" si="364"/>
        <v>0</v>
      </c>
      <c r="AG817" s="311" t="str">
        <f t="shared" si="365"/>
        <v>-</v>
      </c>
      <c r="AH817" s="453" t="str">
        <f t="shared" si="366"/>
        <v/>
      </c>
      <c r="AI817" s="453" t="str">
        <f t="shared" si="367"/>
        <v/>
      </c>
      <c r="AJ817" t="str">
        <f t="array" ref="AJ817">IF(AND(AI817&gt;1,G817&lt;&gt;""),INDEX(FS_teams,MATCH(1,(FS_Keys=AG817)*(FS_Points=I817)*(FS_teams&lt;&gt;G817),0)),"")</f>
        <v/>
      </c>
      <c r="AK817" s="390" t="str">
        <f t="array" ref="AK817">IF(AJ817&lt;&gt;"",INDEX(TM_Score1,MATCH(1,(TM_Events=D817)*(TM_Participant1=G817)*(TM_Participant2=AJ817),0)),"")</f>
        <v/>
      </c>
      <c r="AL817" s="390" t="str">
        <f t="array" ref="AL817">IF(AJ817&lt;&gt;"",INDEX(TM_Score1,MATCH(1,(TM_Events=D817)*(TM_Participant1=AJ817)*(TM_Participant2=G817),0)),"")</f>
        <v/>
      </c>
      <c r="AM817" s="389" t="str">
        <f t="array" ref="AM817">IF(ISNUMBER(AK817),INDEX(TM_Score2,MATCH(1,(TM_Events=D817)*(TM_Participant1=G817)*(TM_Participant2=AJ817),0)),"")</f>
        <v/>
      </c>
      <c r="AN817" s="389" t="str">
        <f t="array" ref="AN817">IF(ISNUMBER(AL817),INDEX(TM_Score2,MATCH(1,(TM_Events=D817)*(TM_Participant1=AJ817)*(TM_Participant2=G817),0)),"")</f>
        <v/>
      </c>
      <c r="AO817" s="389" t="str">
        <f t="shared" si="368"/>
        <v/>
      </c>
      <c r="AP817" s="389">
        <f t="shared" si="369"/>
        <v>0</v>
      </c>
      <c r="AQ817" s="389">
        <f t="shared" si="370"/>
        <v>0</v>
      </c>
      <c r="AR817" s="389">
        <f t="shared" si="371"/>
        <v>0</v>
      </c>
      <c r="AS817" s="453">
        <f t="shared" si="372"/>
        <v>0</v>
      </c>
      <c r="AT817" s="452">
        <f t="shared" si="373"/>
        <v>0</v>
      </c>
    </row>
    <row r="818" spans="2:46" ht="16" x14ac:dyDescent="0.2">
      <c r="B818"/>
      <c r="H818" s="387" t="str">
        <f t="shared" si="348"/>
        <v>0-0-0</v>
      </c>
      <c r="I818" s="389">
        <f t="shared" si="349"/>
        <v>0</v>
      </c>
      <c r="J818" s="455" t="str">
        <f t="shared" si="374"/>
        <v/>
      </c>
      <c r="K818" s="455">
        <f t="shared" si="350"/>
        <v>0</v>
      </c>
      <c r="L818" s="455">
        <f t="shared" si="375"/>
        <v>0</v>
      </c>
      <c r="M818" s="389" t="str">
        <f>IFERROR(IF(AD818&lt;=VLOOKUP(D818,Tournaments!$A$1:$B$1772,2,FALSE),"TRUE","FALSE"),"")</f>
        <v/>
      </c>
      <c r="N818" s="389">
        <v>1</v>
      </c>
      <c r="O818" s="389">
        <f t="shared" si="351"/>
        <v>0</v>
      </c>
      <c r="Q818" s="389">
        <f t="shared" si="352"/>
        <v>0</v>
      </c>
      <c r="R818" s="389">
        <f t="shared" si="353"/>
        <v>0</v>
      </c>
      <c r="S818" s="389">
        <f t="shared" si="354"/>
        <v>0</v>
      </c>
      <c r="U818" s="389">
        <f t="shared" si="355"/>
        <v>0</v>
      </c>
      <c r="V818" s="389" t="b">
        <f t="shared" si="356"/>
        <v>0</v>
      </c>
      <c r="W818" s="389">
        <f t="shared" si="357"/>
        <v>0</v>
      </c>
      <c r="X818" s="389">
        <f t="shared" si="358"/>
        <v>0</v>
      </c>
      <c r="Y818" s="389">
        <f t="shared" si="376"/>
        <v>1.0999999999999999E-2</v>
      </c>
      <c r="Z818" s="389">
        <f t="shared" si="359"/>
        <v>1.0999999999999999E-2</v>
      </c>
      <c r="AA818" s="389">
        <f t="shared" si="360"/>
        <v>0</v>
      </c>
      <c r="AB818" s="389">
        <f t="shared" si="361"/>
        <v>1E-4</v>
      </c>
      <c r="AC818" s="389">
        <f t="shared" si="362"/>
        <v>1E-4</v>
      </c>
      <c r="AD818" s="389">
        <f t="shared" si="363"/>
        <v>0</v>
      </c>
      <c r="AE818" s="389">
        <f t="shared" si="364"/>
        <v>0</v>
      </c>
      <c r="AG818" s="311" t="str">
        <f t="shared" si="365"/>
        <v>-</v>
      </c>
      <c r="AH818" s="453" t="str">
        <f t="shared" si="366"/>
        <v/>
      </c>
      <c r="AI818" s="453" t="str">
        <f t="shared" si="367"/>
        <v/>
      </c>
      <c r="AJ818" t="str">
        <f t="array" ref="AJ818">IF(AND(AI818&gt;1,G818&lt;&gt;""),INDEX(FS_teams,MATCH(1,(FS_Keys=AG818)*(FS_Points=I818)*(FS_teams&lt;&gt;G818),0)),"")</f>
        <v/>
      </c>
      <c r="AK818" s="390" t="str">
        <f t="array" ref="AK818">IF(AJ818&lt;&gt;"",INDEX(TM_Score1,MATCH(1,(TM_Events=D818)*(TM_Participant1=G818)*(TM_Participant2=AJ818),0)),"")</f>
        <v/>
      </c>
      <c r="AL818" s="390" t="str">
        <f t="array" ref="AL818">IF(AJ818&lt;&gt;"",INDEX(TM_Score1,MATCH(1,(TM_Events=D818)*(TM_Participant1=AJ818)*(TM_Participant2=G818),0)),"")</f>
        <v/>
      </c>
      <c r="AM818" s="389" t="str">
        <f t="array" ref="AM818">IF(ISNUMBER(AK818),INDEX(TM_Score2,MATCH(1,(TM_Events=D818)*(TM_Participant1=G818)*(TM_Participant2=AJ818),0)),"")</f>
        <v/>
      </c>
      <c r="AN818" s="389" t="str">
        <f t="array" ref="AN818">IF(ISNUMBER(AL818),INDEX(TM_Score2,MATCH(1,(TM_Events=D818)*(TM_Participant1=AJ818)*(TM_Participant2=G818),0)),"")</f>
        <v/>
      </c>
      <c r="AO818" s="389" t="str">
        <f t="shared" si="368"/>
        <v/>
      </c>
      <c r="AP818" s="389">
        <f t="shared" si="369"/>
        <v>0</v>
      </c>
      <c r="AQ818" s="389">
        <f t="shared" si="370"/>
        <v>0</v>
      </c>
      <c r="AR818" s="389">
        <f t="shared" si="371"/>
        <v>0</v>
      </c>
      <c r="AS818" s="453">
        <f t="shared" si="372"/>
        <v>0</v>
      </c>
      <c r="AT818" s="452">
        <f t="shared" si="373"/>
        <v>0</v>
      </c>
    </row>
    <row r="819" spans="2:46" ht="16" x14ac:dyDescent="0.2">
      <c r="B819"/>
      <c r="H819" s="387" t="str">
        <f t="shared" si="348"/>
        <v>0-0-0</v>
      </c>
      <c r="I819" s="389">
        <f t="shared" si="349"/>
        <v>0</v>
      </c>
      <c r="J819" s="455" t="str">
        <f t="shared" si="374"/>
        <v/>
      </c>
      <c r="K819" s="455">
        <f t="shared" si="350"/>
        <v>0</v>
      </c>
      <c r="L819" s="455">
        <f t="shared" si="375"/>
        <v>0</v>
      </c>
      <c r="M819" s="389" t="str">
        <f>IFERROR(IF(AD819&lt;=VLOOKUP(D819,Tournaments!$A$1:$B$1772,2,FALSE),"TRUE","FALSE"),"")</f>
        <v/>
      </c>
      <c r="N819" s="389">
        <v>1</v>
      </c>
      <c r="O819" s="389">
        <f t="shared" si="351"/>
        <v>0</v>
      </c>
      <c r="Q819" s="389">
        <f t="shared" si="352"/>
        <v>0</v>
      </c>
      <c r="R819" s="389">
        <f t="shared" si="353"/>
        <v>0</v>
      </c>
      <c r="S819" s="389">
        <f t="shared" si="354"/>
        <v>0</v>
      </c>
      <c r="U819" s="389">
        <f t="shared" si="355"/>
        <v>0</v>
      </c>
      <c r="V819" s="389" t="b">
        <f t="shared" si="356"/>
        <v>0</v>
      </c>
      <c r="W819" s="389">
        <f t="shared" si="357"/>
        <v>0</v>
      </c>
      <c r="X819" s="389">
        <f t="shared" si="358"/>
        <v>0</v>
      </c>
      <c r="Y819" s="389">
        <f t="shared" si="376"/>
        <v>1.0999999999999999E-2</v>
      </c>
      <c r="Z819" s="389">
        <f t="shared" si="359"/>
        <v>1.0999999999999999E-2</v>
      </c>
      <c r="AA819" s="389">
        <f t="shared" si="360"/>
        <v>0</v>
      </c>
      <c r="AB819" s="389">
        <f t="shared" si="361"/>
        <v>1E-4</v>
      </c>
      <c r="AC819" s="389">
        <f t="shared" si="362"/>
        <v>1E-4</v>
      </c>
      <c r="AD819" s="389">
        <f t="shared" si="363"/>
        <v>0</v>
      </c>
      <c r="AE819" s="389">
        <f t="shared" si="364"/>
        <v>0</v>
      </c>
      <c r="AG819" s="311" t="str">
        <f t="shared" si="365"/>
        <v>-</v>
      </c>
      <c r="AH819" s="453" t="str">
        <f t="shared" si="366"/>
        <v/>
      </c>
      <c r="AI819" s="453" t="str">
        <f t="shared" si="367"/>
        <v/>
      </c>
      <c r="AJ819" t="str">
        <f t="array" ref="AJ819">IF(AND(AI819&gt;1,G819&lt;&gt;""),INDEX(FS_teams,MATCH(1,(FS_Keys=AG819)*(FS_Points=I819)*(FS_teams&lt;&gt;G819),0)),"")</f>
        <v/>
      </c>
      <c r="AK819" s="390" t="str">
        <f t="array" ref="AK819">IF(AJ819&lt;&gt;"",INDEX(TM_Score1,MATCH(1,(TM_Events=D819)*(TM_Participant1=G819)*(TM_Participant2=AJ819),0)),"")</f>
        <v/>
      </c>
      <c r="AL819" s="390" t="str">
        <f t="array" ref="AL819">IF(AJ819&lt;&gt;"",INDEX(TM_Score1,MATCH(1,(TM_Events=D819)*(TM_Participant1=AJ819)*(TM_Participant2=G819),0)),"")</f>
        <v/>
      </c>
      <c r="AM819" s="389" t="str">
        <f t="array" ref="AM819">IF(ISNUMBER(AK819),INDEX(TM_Score2,MATCH(1,(TM_Events=D819)*(TM_Participant1=G819)*(TM_Participant2=AJ819),0)),"")</f>
        <v/>
      </c>
      <c r="AN819" s="389" t="str">
        <f t="array" ref="AN819">IF(ISNUMBER(AL819),INDEX(TM_Score2,MATCH(1,(TM_Events=D819)*(TM_Participant1=AJ819)*(TM_Participant2=G819),0)),"")</f>
        <v/>
      </c>
      <c r="AO819" s="389" t="str">
        <f t="shared" si="368"/>
        <v/>
      </c>
      <c r="AP819" s="389">
        <f t="shared" si="369"/>
        <v>0</v>
      </c>
      <c r="AQ819" s="389">
        <f t="shared" si="370"/>
        <v>0</v>
      </c>
      <c r="AR819" s="389">
        <f t="shared" si="371"/>
        <v>0</v>
      </c>
      <c r="AS819" s="453">
        <f t="shared" si="372"/>
        <v>0</v>
      </c>
      <c r="AT819" s="452">
        <f t="shared" si="373"/>
        <v>0</v>
      </c>
    </row>
    <row r="820" spans="2:46" ht="16" x14ac:dyDescent="0.2">
      <c r="B820"/>
      <c r="H820" s="387" t="str">
        <f t="shared" si="348"/>
        <v>0-0-0</v>
      </c>
      <c r="I820" s="389">
        <f t="shared" si="349"/>
        <v>0</v>
      </c>
      <c r="J820" s="455" t="str">
        <f t="shared" si="374"/>
        <v/>
      </c>
      <c r="K820" s="455">
        <f t="shared" si="350"/>
        <v>0</v>
      </c>
      <c r="L820" s="455">
        <f t="shared" si="375"/>
        <v>0</v>
      </c>
      <c r="M820" s="389" t="str">
        <f>IFERROR(IF(AD820&lt;=VLOOKUP(D820,Tournaments!$A$1:$B$1772,2,FALSE),"TRUE","FALSE"),"")</f>
        <v/>
      </c>
      <c r="N820" s="389">
        <v>1</v>
      </c>
      <c r="O820" s="389">
        <f t="shared" si="351"/>
        <v>0</v>
      </c>
      <c r="Q820" s="389">
        <f t="shared" si="352"/>
        <v>0</v>
      </c>
      <c r="R820" s="389">
        <f t="shared" si="353"/>
        <v>0</v>
      </c>
      <c r="S820" s="389">
        <f t="shared" si="354"/>
        <v>0</v>
      </c>
      <c r="U820" s="389">
        <f t="shared" si="355"/>
        <v>0</v>
      </c>
      <c r="V820" s="389" t="b">
        <f t="shared" si="356"/>
        <v>0</v>
      </c>
      <c r="W820" s="389">
        <f t="shared" si="357"/>
        <v>0</v>
      </c>
      <c r="X820" s="389">
        <f t="shared" si="358"/>
        <v>0</v>
      </c>
      <c r="Y820" s="389">
        <f t="shared" si="376"/>
        <v>1.0999999999999999E-2</v>
      </c>
      <c r="Z820" s="389">
        <f t="shared" si="359"/>
        <v>1.0999999999999999E-2</v>
      </c>
      <c r="AA820" s="389">
        <f t="shared" si="360"/>
        <v>0</v>
      </c>
      <c r="AB820" s="389">
        <f t="shared" si="361"/>
        <v>1E-4</v>
      </c>
      <c r="AC820" s="389">
        <f t="shared" si="362"/>
        <v>1E-4</v>
      </c>
      <c r="AD820" s="389">
        <f t="shared" si="363"/>
        <v>0</v>
      </c>
      <c r="AE820" s="389">
        <f t="shared" si="364"/>
        <v>0</v>
      </c>
      <c r="AG820" s="311" t="str">
        <f t="shared" si="365"/>
        <v>-</v>
      </c>
      <c r="AH820" s="453" t="str">
        <f t="shared" si="366"/>
        <v/>
      </c>
      <c r="AI820" s="453" t="str">
        <f t="shared" si="367"/>
        <v/>
      </c>
      <c r="AJ820" t="str">
        <f t="array" ref="AJ820">IF(AND(AI820&gt;1,G820&lt;&gt;""),INDEX(FS_teams,MATCH(1,(FS_Keys=AG820)*(FS_Points=I820)*(FS_teams&lt;&gt;G820),0)),"")</f>
        <v/>
      </c>
      <c r="AK820" s="390" t="str">
        <f t="array" ref="AK820">IF(AJ820&lt;&gt;"",INDEX(TM_Score1,MATCH(1,(TM_Events=D820)*(TM_Participant1=G820)*(TM_Participant2=AJ820),0)),"")</f>
        <v/>
      </c>
      <c r="AL820" s="390" t="str">
        <f t="array" ref="AL820">IF(AJ820&lt;&gt;"",INDEX(TM_Score1,MATCH(1,(TM_Events=D820)*(TM_Participant1=AJ820)*(TM_Participant2=G820),0)),"")</f>
        <v/>
      </c>
      <c r="AM820" s="389" t="str">
        <f t="array" ref="AM820">IF(ISNUMBER(AK820),INDEX(TM_Score2,MATCH(1,(TM_Events=D820)*(TM_Participant1=G820)*(TM_Participant2=AJ820),0)),"")</f>
        <v/>
      </c>
      <c r="AN820" s="389" t="str">
        <f t="array" ref="AN820">IF(ISNUMBER(AL820),INDEX(TM_Score2,MATCH(1,(TM_Events=D820)*(TM_Participant1=AJ820)*(TM_Participant2=G820),0)),"")</f>
        <v/>
      </c>
      <c r="AO820" s="389" t="str">
        <f t="shared" si="368"/>
        <v/>
      </c>
      <c r="AP820" s="389">
        <f t="shared" si="369"/>
        <v>0</v>
      </c>
      <c r="AQ820" s="389">
        <f t="shared" si="370"/>
        <v>0</v>
      </c>
      <c r="AR820" s="389">
        <f t="shared" si="371"/>
        <v>0</v>
      </c>
      <c r="AS820" s="453">
        <f t="shared" si="372"/>
        <v>0</v>
      </c>
      <c r="AT820" s="452">
        <f t="shared" si="373"/>
        <v>0</v>
      </c>
    </row>
    <row r="821" spans="2:46" ht="16" x14ac:dyDescent="0.2">
      <c r="B821"/>
      <c r="H821" s="387" t="str">
        <f t="shared" si="348"/>
        <v>0-0-0</v>
      </c>
      <c r="I821" s="389">
        <f t="shared" si="349"/>
        <v>0</v>
      </c>
      <c r="J821" s="455" t="str">
        <f t="shared" si="374"/>
        <v/>
      </c>
      <c r="K821" s="455">
        <f t="shared" si="350"/>
        <v>0</v>
      </c>
      <c r="L821" s="455">
        <f t="shared" si="375"/>
        <v>0</v>
      </c>
      <c r="M821" s="389" t="str">
        <f>IFERROR(IF(AD821&lt;=VLOOKUP(D821,Tournaments!$A$1:$B$1772,2,FALSE),"TRUE","FALSE"),"")</f>
        <v/>
      </c>
      <c r="N821" s="389">
        <v>1</v>
      </c>
      <c r="O821" s="389">
        <f t="shared" si="351"/>
        <v>0</v>
      </c>
      <c r="Q821" s="389">
        <f t="shared" si="352"/>
        <v>0</v>
      </c>
      <c r="R821" s="389">
        <f t="shared" si="353"/>
        <v>0</v>
      </c>
      <c r="S821" s="389">
        <f t="shared" si="354"/>
        <v>0</v>
      </c>
      <c r="U821" s="389">
        <f t="shared" si="355"/>
        <v>0</v>
      </c>
      <c r="V821" s="389" t="b">
        <f t="shared" si="356"/>
        <v>0</v>
      </c>
      <c r="W821" s="389">
        <f t="shared" si="357"/>
        <v>0</v>
      </c>
      <c r="X821" s="389">
        <f t="shared" si="358"/>
        <v>0</v>
      </c>
      <c r="Y821" s="389">
        <f t="shared" si="376"/>
        <v>1.0999999999999999E-2</v>
      </c>
      <c r="Z821" s="389">
        <f t="shared" si="359"/>
        <v>1.0999999999999999E-2</v>
      </c>
      <c r="AA821" s="389">
        <f t="shared" si="360"/>
        <v>0</v>
      </c>
      <c r="AB821" s="389">
        <f t="shared" si="361"/>
        <v>1E-4</v>
      </c>
      <c r="AC821" s="389">
        <f t="shared" si="362"/>
        <v>1E-4</v>
      </c>
      <c r="AD821" s="389">
        <f t="shared" si="363"/>
        <v>0</v>
      </c>
      <c r="AE821" s="389">
        <f t="shared" si="364"/>
        <v>0</v>
      </c>
      <c r="AG821" s="311" t="str">
        <f t="shared" si="365"/>
        <v>-</v>
      </c>
      <c r="AH821" s="453" t="str">
        <f t="shared" si="366"/>
        <v/>
      </c>
      <c r="AI821" s="453" t="str">
        <f t="shared" si="367"/>
        <v/>
      </c>
      <c r="AJ821" t="str">
        <f t="array" ref="AJ821">IF(AND(AI821&gt;1,G821&lt;&gt;""),INDEX(FS_teams,MATCH(1,(FS_Keys=AG821)*(FS_Points=I821)*(FS_teams&lt;&gt;G821),0)),"")</f>
        <v/>
      </c>
      <c r="AK821" s="390" t="str">
        <f t="array" ref="AK821">IF(AJ821&lt;&gt;"",INDEX(TM_Score1,MATCH(1,(TM_Events=D821)*(TM_Participant1=G821)*(TM_Participant2=AJ821),0)),"")</f>
        <v/>
      </c>
      <c r="AL821" s="390" t="str">
        <f t="array" ref="AL821">IF(AJ821&lt;&gt;"",INDEX(TM_Score1,MATCH(1,(TM_Events=D821)*(TM_Participant1=AJ821)*(TM_Participant2=G821),0)),"")</f>
        <v/>
      </c>
      <c r="AM821" s="389" t="str">
        <f t="array" ref="AM821">IF(ISNUMBER(AK821),INDEX(TM_Score2,MATCH(1,(TM_Events=D821)*(TM_Participant1=G821)*(TM_Participant2=AJ821),0)),"")</f>
        <v/>
      </c>
      <c r="AN821" s="389" t="str">
        <f t="array" ref="AN821">IF(ISNUMBER(AL821),INDEX(TM_Score2,MATCH(1,(TM_Events=D821)*(TM_Participant1=AJ821)*(TM_Participant2=G821),0)),"")</f>
        <v/>
      </c>
      <c r="AO821" s="389" t="str">
        <f t="shared" si="368"/>
        <v/>
      </c>
      <c r="AP821" s="389">
        <f t="shared" si="369"/>
        <v>0</v>
      </c>
      <c r="AQ821" s="389">
        <f t="shared" si="370"/>
        <v>0</v>
      </c>
      <c r="AR821" s="389">
        <f t="shared" si="371"/>
        <v>0</v>
      </c>
      <c r="AS821" s="453">
        <f t="shared" si="372"/>
        <v>0</v>
      </c>
      <c r="AT821" s="452">
        <f t="shared" si="373"/>
        <v>0</v>
      </c>
    </row>
    <row r="822" spans="2:46" ht="16" x14ac:dyDescent="0.2">
      <c r="B822"/>
      <c r="H822" s="387" t="str">
        <f t="shared" si="348"/>
        <v>0-0-0</v>
      </c>
      <c r="I822" s="389">
        <f t="shared" si="349"/>
        <v>0</v>
      </c>
      <c r="J822" s="455" t="str">
        <f t="shared" si="374"/>
        <v/>
      </c>
      <c r="K822" s="455">
        <f t="shared" si="350"/>
        <v>0</v>
      </c>
      <c r="L822" s="455">
        <f t="shared" si="375"/>
        <v>0</v>
      </c>
      <c r="M822" s="389" t="str">
        <f>IFERROR(IF(AD822&lt;=VLOOKUP(D822,Tournaments!$A$1:$B$1772,2,FALSE),"TRUE","FALSE"),"")</f>
        <v/>
      </c>
      <c r="N822" s="389">
        <v>1</v>
      </c>
      <c r="O822" s="389">
        <f t="shared" si="351"/>
        <v>0</v>
      </c>
      <c r="Q822" s="389">
        <f t="shared" si="352"/>
        <v>0</v>
      </c>
      <c r="R822" s="389">
        <f t="shared" si="353"/>
        <v>0</v>
      </c>
      <c r="S822" s="389">
        <f t="shared" si="354"/>
        <v>0</v>
      </c>
      <c r="U822" s="389">
        <f t="shared" si="355"/>
        <v>0</v>
      </c>
      <c r="V822" s="389" t="b">
        <f t="shared" si="356"/>
        <v>0</v>
      </c>
      <c r="W822" s="389">
        <f t="shared" si="357"/>
        <v>0</v>
      </c>
      <c r="X822" s="389">
        <f t="shared" si="358"/>
        <v>0</v>
      </c>
      <c r="Y822" s="389">
        <f t="shared" si="376"/>
        <v>1.0999999999999999E-2</v>
      </c>
      <c r="Z822" s="389">
        <f t="shared" si="359"/>
        <v>1.0999999999999999E-2</v>
      </c>
      <c r="AA822" s="389">
        <f t="shared" si="360"/>
        <v>0</v>
      </c>
      <c r="AB822" s="389">
        <f t="shared" si="361"/>
        <v>1E-4</v>
      </c>
      <c r="AC822" s="389">
        <f t="shared" si="362"/>
        <v>1E-4</v>
      </c>
      <c r="AD822" s="389">
        <f t="shared" si="363"/>
        <v>0</v>
      </c>
      <c r="AE822" s="389">
        <f t="shared" si="364"/>
        <v>0</v>
      </c>
      <c r="AG822" s="311" t="str">
        <f t="shared" si="365"/>
        <v>-</v>
      </c>
      <c r="AH822" s="453" t="str">
        <f t="shared" si="366"/>
        <v/>
      </c>
      <c r="AI822" s="453" t="str">
        <f t="shared" si="367"/>
        <v/>
      </c>
      <c r="AJ822" t="str">
        <f t="array" ref="AJ822">IF(AND(AI822&gt;1,G822&lt;&gt;""),INDEX(FS_teams,MATCH(1,(FS_Keys=AG822)*(FS_Points=I822)*(FS_teams&lt;&gt;G822),0)),"")</f>
        <v/>
      </c>
      <c r="AK822" s="390" t="str">
        <f t="array" ref="AK822">IF(AJ822&lt;&gt;"",INDEX(TM_Score1,MATCH(1,(TM_Events=D822)*(TM_Participant1=G822)*(TM_Participant2=AJ822),0)),"")</f>
        <v/>
      </c>
      <c r="AL822" s="390" t="str">
        <f t="array" ref="AL822">IF(AJ822&lt;&gt;"",INDEX(TM_Score1,MATCH(1,(TM_Events=D822)*(TM_Participant1=AJ822)*(TM_Participant2=G822),0)),"")</f>
        <v/>
      </c>
      <c r="AM822" s="389" t="str">
        <f t="array" ref="AM822">IF(ISNUMBER(AK822),INDEX(TM_Score2,MATCH(1,(TM_Events=D822)*(TM_Participant1=G822)*(TM_Participant2=AJ822),0)),"")</f>
        <v/>
      </c>
      <c r="AN822" s="389" t="str">
        <f t="array" ref="AN822">IF(ISNUMBER(AL822),INDEX(TM_Score2,MATCH(1,(TM_Events=D822)*(TM_Participant1=AJ822)*(TM_Participant2=G822),0)),"")</f>
        <v/>
      </c>
      <c r="AO822" s="389" t="str">
        <f t="shared" si="368"/>
        <v/>
      </c>
      <c r="AP822" s="389">
        <f t="shared" si="369"/>
        <v>0</v>
      </c>
      <c r="AQ822" s="389">
        <f t="shared" si="370"/>
        <v>0</v>
      </c>
      <c r="AR822" s="389">
        <f t="shared" si="371"/>
        <v>0</v>
      </c>
      <c r="AS822" s="453">
        <f t="shared" si="372"/>
        <v>0</v>
      </c>
      <c r="AT822" s="452">
        <f t="shared" si="373"/>
        <v>0</v>
      </c>
    </row>
    <row r="823" spans="2:46" ht="16" x14ac:dyDescent="0.2">
      <c r="B823"/>
      <c r="H823" s="387" t="str">
        <f t="shared" si="348"/>
        <v>0-0-0</v>
      </c>
      <c r="I823" s="389">
        <f t="shared" si="349"/>
        <v>0</v>
      </c>
      <c r="J823" s="455" t="str">
        <f t="shared" si="374"/>
        <v/>
      </c>
      <c r="K823" s="455">
        <f t="shared" si="350"/>
        <v>0</v>
      </c>
      <c r="L823" s="455">
        <f t="shared" si="375"/>
        <v>0</v>
      </c>
      <c r="M823" s="389" t="str">
        <f>IFERROR(IF(AD823&lt;=VLOOKUP(D823,Tournaments!$A$1:$B$1772,2,FALSE),"TRUE","FALSE"),"")</f>
        <v/>
      </c>
      <c r="N823" s="389">
        <v>1</v>
      </c>
      <c r="O823" s="389">
        <f t="shared" si="351"/>
        <v>0</v>
      </c>
      <c r="Q823" s="389">
        <f t="shared" si="352"/>
        <v>0</v>
      </c>
      <c r="R823" s="389">
        <f t="shared" si="353"/>
        <v>0</v>
      </c>
      <c r="S823" s="389">
        <f t="shared" si="354"/>
        <v>0</v>
      </c>
      <c r="U823" s="389">
        <f t="shared" si="355"/>
        <v>0</v>
      </c>
      <c r="V823" s="389" t="b">
        <f t="shared" si="356"/>
        <v>0</v>
      </c>
      <c r="W823" s="389">
        <f t="shared" si="357"/>
        <v>0</v>
      </c>
      <c r="X823" s="389">
        <f t="shared" si="358"/>
        <v>0</v>
      </c>
      <c r="Y823" s="389">
        <f t="shared" si="376"/>
        <v>1.0999999999999999E-2</v>
      </c>
      <c r="Z823" s="389">
        <f t="shared" si="359"/>
        <v>1.0999999999999999E-2</v>
      </c>
      <c r="AA823" s="389">
        <f t="shared" si="360"/>
        <v>0</v>
      </c>
      <c r="AB823" s="389">
        <f t="shared" si="361"/>
        <v>1E-4</v>
      </c>
      <c r="AC823" s="389">
        <f t="shared" si="362"/>
        <v>1E-4</v>
      </c>
      <c r="AD823" s="389">
        <f t="shared" si="363"/>
        <v>0</v>
      </c>
      <c r="AE823" s="389">
        <f t="shared" si="364"/>
        <v>0</v>
      </c>
      <c r="AG823" s="311" t="str">
        <f t="shared" si="365"/>
        <v>-</v>
      </c>
      <c r="AH823" s="453" t="str">
        <f t="shared" si="366"/>
        <v/>
      </c>
      <c r="AI823" s="453" t="str">
        <f t="shared" si="367"/>
        <v/>
      </c>
      <c r="AJ823" t="str">
        <f t="array" ref="AJ823">IF(AND(AI823&gt;1,G823&lt;&gt;""),INDEX(FS_teams,MATCH(1,(FS_Keys=AG823)*(FS_Points=I823)*(FS_teams&lt;&gt;G823),0)),"")</f>
        <v/>
      </c>
      <c r="AK823" s="390" t="str">
        <f t="array" ref="AK823">IF(AJ823&lt;&gt;"",INDEX(TM_Score1,MATCH(1,(TM_Events=D823)*(TM_Participant1=G823)*(TM_Participant2=AJ823),0)),"")</f>
        <v/>
      </c>
      <c r="AL823" s="390" t="str">
        <f t="array" ref="AL823">IF(AJ823&lt;&gt;"",INDEX(TM_Score1,MATCH(1,(TM_Events=D823)*(TM_Participant1=AJ823)*(TM_Participant2=G823),0)),"")</f>
        <v/>
      </c>
      <c r="AM823" s="389" t="str">
        <f t="array" ref="AM823">IF(ISNUMBER(AK823),INDEX(TM_Score2,MATCH(1,(TM_Events=D823)*(TM_Participant1=G823)*(TM_Participant2=AJ823),0)),"")</f>
        <v/>
      </c>
      <c r="AN823" s="389" t="str">
        <f t="array" ref="AN823">IF(ISNUMBER(AL823),INDEX(TM_Score2,MATCH(1,(TM_Events=D823)*(TM_Participant1=AJ823)*(TM_Participant2=G823),0)),"")</f>
        <v/>
      </c>
      <c r="AO823" s="389" t="str">
        <f t="shared" si="368"/>
        <v/>
      </c>
      <c r="AP823" s="389">
        <f t="shared" si="369"/>
        <v>0</v>
      </c>
      <c r="AQ823" s="389">
        <f t="shared" si="370"/>
        <v>0</v>
      </c>
      <c r="AR823" s="389">
        <f t="shared" si="371"/>
        <v>0</v>
      </c>
      <c r="AS823" s="453">
        <f t="shared" si="372"/>
        <v>0</v>
      </c>
      <c r="AT823" s="452">
        <f t="shared" si="373"/>
        <v>0</v>
      </c>
    </row>
    <row r="824" spans="2:46" ht="16" x14ac:dyDescent="0.2">
      <c r="B824"/>
      <c r="H824" s="387" t="str">
        <f t="shared" si="348"/>
        <v>0-0-0</v>
      </c>
      <c r="I824" s="389">
        <f t="shared" si="349"/>
        <v>0</v>
      </c>
      <c r="J824" s="455" t="str">
        <f t="shared" si="374"/>
        <v/>
      </c>
      <c r="K824" s="455">
        <f t="shared" si="350"/>
        <v>0</v>
      </c>
      <c r="L824" s="455">
        <f t="shared" si="375"/>
        <v>0</v>
      </c>
      <c r="M824" s="389" t="str">
        <f>IFERROR(IF(AD824&lt;=VLOOKUP(D824,Tournaments!$A$1:$B$1772,2,FALSE),"TRUE","FALSE"),"")</f>
        <v/>
      </c>
      <c r="N824" s="389">
        <v>1</v>
      </c>
      <c r="O824" s="389">
        <f t="shared" si="351"/>
        <v>0</v>
      </c>
      <c r="Q824" s="389">
        <f t="shared" si="352"/>
        <v>0</v>
      </c>
      <c r="R824" s="389">
        <f t="shared" si="353"/>
        <v>0</v>
      </c>
      <c r="S824" s="389">
        <f t="shared" si="354"/>
        <v>0</v>
      </c>
      <c r="U824" s="389">
        <f t="shared" si="355"/>
        <v>0</v>
      </c>
      <c r="V824" s="389" t="b">
        <f t="shared" si="356"/>
        <v>0</v>
      </c>
      <c r="W824" s="389">
        <f t="shared" si="357"/>
        <v>0</v>
      </c>
      <c r="X824" s="389">
        <f t="shared" si="358"/>
        <v>0</v>
      </c>
      <c r="Y824" s="389">
        <f t="shared" si="376"/>
        <v>1.0999999999999999E-2</v>
      </c>
      <c r="Z824" s="389">
        <f t="shared" si="359"/>
        <v>1.0999999999999999E-2</v>
      </c>
      <c r="AA824" s="389">
        <f t="shared" si="360"/>
        <v>0</v>
      </c>
      <c r="AB824" s="389">
        <f t="shared" si="361"/>
        <v>1E-4</v>
      </c>
      <c r="AC824" s="389">
        <f t="shared" si="362"/>
        <v>1E-4</v>
      </c>
      <c r="AD824" s="389">
        <f t="shared" si="363"/>
        <v>0</v>
      </c>
      <c r="AE824" s="389">
        <f t="shared" si="364"/>
        <v>0</v>
      </c>
      <c r="AG824" s="311" t="str">
        <f t="shared" si="365"/>
        <v>-</v>
      </c>
      <c r="AH824" s="453" t="str">
        <f t="shared" si="366"/>
        <v/>
      </c>
      <c r="AI824" s="453" t="str">
        <f t="shared" si="367"/>
        <v/>
      </c>
      <c r="AJ824" t="str">
        <f t="array" ref="AJ824">IF(AND(AI824&gt;1,G824&lt;&gt;""),INDEX(FS_teams,MATCH(1,(FS_Keys=AG824)*(FS_Points=I824)*(FS_teams&lt;&gt;G824),0)),"")</f>
        <v/>
      </c>
      <c r="AK824" s="390" t="str">
        <f t="array" ref="AK824">IF(AJ824&lt;&gt;"",INDEX(TM_Score1,MATCH(1,(TM_Events=D824)*(TM_Participant1=G824)*(TM_Participant2=AJ824),0)),"")</f>
        <v/>
      </c>
      <c r="AL824" s="390" t="str">
        <f t="array" ref="AL824">IF(AJ824&lt;&gt;"",INDEX(TM_Score1,MATCH(1,(TM_Events=D824)*(TM_Participant1=AJ824)*(TM_Participant2=G824),0)),"")</f>
        <v/>
      </c>
      <c r="AM824" s="389" t="str">
        <f t="array" ref="AM824">IF(ISNUMBER(AK824),INDEX(TM_Score2,MATCH(1,(TM_Events=D824)*(TM_Participant1=G824)*(TM_Participant2=AJ824),0)),"")</f>
        <v/>
      </c>
      <c r="AN824" s="389" t="str">
        <f t="array" ref="AN824">IF(ISNUMBER(AL824),INDEX(TM_Score2,MATCH(1,(TM_Events=D824)*(TM_Participant1=AJ824)*(TM_Participant2=G824),0)),"")</f>
        <v/>
      </c>
      <c r="AO824" s="389" t="str">
        <f t="shared" si="368"/>
        <v/>
      </c>
      <c r="AP824" s="389">
        <f t="shared" si="369"/>
        <v>0</v>
      </c>
      <c r="AQ824" s="389">
        <f t="shared" si="370"/>
        <v>0</v>
      </c>
      <c r="AR824" s="389">
        <f t="shared" si="371"/>
        <v>0</v>
      </c>
      <c r="AS824" s="453">
        <f t="shared" si="372"/>
        <v>0</v>
      </c>
      <c r="AT824" s="452">
        <f t="shared" si="373"/>
        <v>0</v>
      </c>
    </row>
    <row r="825" spans="2:46" ht="16" x14ac:dyDescent="0.2">
      <c r="B825"/>
      <c r="H825" s="387" t="str">
        <f t="shared" si="348"/>
        <v>0-0-0</v>
      </c>
      <c r="I825" s="389">
        <f t="shared" si="349"/>
        <v>0</v>
      </c>
      <c r="J825" s="455" t="str">
        <f t="shared" si="374"/>
        <v/>
      </c>
      <c r="K825" s="455">
        <f t="shared" si="350"/>
        <v>0</v>
      </c>
      <c r="L825" s="455">
        <f t="shared" si="375"/>
        <v>0</v>
      </c>
      <c r="M825" s="389" t="str">
        <f>IFERROR(IF(AD825&lt;=VLOOKUP(D825,Tournaments!$A$1:$B$1772,2,FALSE),"TRUE","FALSE"),"")</f>
        <v/>
      </c>
      <c r="N825" s="389">
        <v>1</v>
      </c>
      <c r="O825" s="389">
        <f t="shared" si="351"/>
        <v>0</v>
      </c>
      <c r="Q825" s="389">
        <f t="shared" si="352"/>
        <v>0</v>
      </c>
      <c r="R825" s="389">
        <f t="shared" si="353"/>
        <v>0</v>
      </c>
      <c r="S825" s="389">
        <f t="shared" si="354"/>
        <v>0</v>
      </c>
      <c r="U825" s="389">
        <f t="shared" si="355"/>
        <v>0</v>
      </c>
      <c r="V825" s="389" t="b">
        <f t="shared" si="356"/>
        <v>0</v>
      </c>
      <c r="W825" s="389">
        <f t="shared" si="357"/>
        <v>0</v>
      </c>
      <c r="X825" s="389">
        <f t="shared" si="358"/>
        <v>0</v>
      </c>
      <c r="Y825" s="389">
        <f t="shared" si="376"/>
        <v>1.0999999999999999E-2</v>
      </c>
      <c r="Z825" s="389">
        <f t="shared" si="359"/>
        <v>1.0999999999999999E-2</v>
      </c>
      <c r="AA825" s="389">
        <f t="shared" si="360"/>
        <v>0</v>
      </c>
      <c r="AB825" s="389">
        <f t="shared" si="361"/>
        <v>1E-4</v>
      </c>
      <c r="AC825" s="389">
        <f t="shared" si="362"/>
        <v>1E-4</v>
      </c>
      <c r="AD825" s="389">
        <f t="shared" si="363"/>
        <v>0</v>
      </c>
      <c r="AE825" s="389">
        <f t="shared" si="364"/>
        <v>0</v>
      </c>
      <c r="AG825" s="311" t="str">
        <f t="shared" si="365"/>
        <v>-</v>
      </c>
      <c r="AH825" s="453" t="str">
        <f t="shared" si="366"/>
        <v/>
      </c>
      <c r="AI825" s="453" t="str">
        <f t="shared" si="367"/>
        <v/>
      </c>
      <c r="AJ825" t="str">
        <f t="array" ref="AJ825">IF(AND(AI825&gt;1,G825&lt;&gt;""),INDEX(FS_teams,MATCH(1,(FS_Keys=AG825)*(FS_Points=I825)*(FS_teams&lt;&gt;G825),0)),"")</f>
        <v/>
      </c>
      <c r="AK825" s="390" t="str">
        <f t="array" ref="AK825">IF(AJ825&lt;&gt;"",INDEX(TM_Score1,MATCH(1,(TM_Events=D825)*(TM_Participant1=G825)*(TM_Participant2=AJ825),0)),"")</f>
        <v/>
      </c>
      <c r="AL825" s="390" t="str">
        <f t="array" ref="AL825">IF(AJ825&lt;&gt;"",INDEX(TM_Score1,MATCH(1,(TM_Events=D825)*(TM_Participant1=AJ825)*(TM_Participant2=G825),0)),"")</f>
        <v/>
      </c>
      <c r="AM825" s="389" t="str">
        <f t="array" ref="AM825">IF(ISNUMBER(AK825),INDEX(TM_Score2,MATCH(1,(TM_Events=D825)*(TM_Participant1=G825)*(TM_Participant2=AJ825),0)),"")</f>
        <v/>
      </c>
      <c r="AN825" s="389" t="str">
        <f t="array" ref="AN825">IF(ISNUMBER(AL825),INDEX(TM_Score2,MATCH(1,(TM_Events=D825)*(TM_Participant1=AJ825)*(TM_Participant2=G825),0)),"")</f>
        <v/>
      </c>
      <c r="AO825" s="389" t="str">
        <f t="shared" si="368"/>
        <v/>
      </c>
      <c r="AP825" s="389">
        <f t="shared" si="369"/>
        <v>0</v>
      </c>
      <c r="AQ825" s="389">
        <f t="shared" si="370"/>
        <v>0</v>
      </c>
      <c r="AR825" s="389">
        <f t="shared" si="371"/>
        <v>0</v>
      </c>
      <c r="AS825" s="453">
        <f t="shared" si="372"/>
        <v>0</v>
      </c>
      <c r="AT825" s="452">
        <f t="shared" si="373"/>
        <v>0</v>
      </c>
    </row>
    <row r="826" spans="2:46" ht="16" x14ac:dyDescent="0.2">
      <c r="B826"/>
      <c r="H826" s="387" t="str">
        <f t="shared" si="348"/>
        <v>0-0-0</v>
      </c>
      <c r="I826" s="389">
        <f t="shared" si="349"/>
        <v>0</v>
      </c>
      <c r="J826" s="455" t="str">
        <f t="shared" si="374"/>
        <v/>
      </c>
      <c r="K826" s="455">
        <f t="shared" si="350"/>
        <v>0</v>
      </c>
      <c r="L826" s="455">
        <f t="shared" si="375"/>
        <v>0</v>
      </c>
      <c r="M826" s="389" t="str">
        <f>IFERROR(IF(AD826&lt;=VLOOKUP(D826,Tournaments!$A$1:$B$1772,2,FALSE),"TRUE","FALSE"),"")</f>
        <v/>
      </c>
      <c r="N826" s="389">
        <v>1</v>
      </c>
      <c r="O826" s="389">
        <f t="shared" si="351"/>
        <v>0</v>
      </c>
      <c r="Q826" s="389">
        <f t="shared" si="352"/>
        <v>0</v>
      </c>
      <c r="R826" s="389">
        <f t="shared" si="353"/>
        <v>0</v>
      </c>
      <c r="S826" s="389">
        <f t="shared" si="354"/>
        <v>0</v>
      </c>
      <c r="U826" s="389">
        <f t="shared" si="355"/>
        <v>0</v>
      </c>
      <c r="V826" s="389" t="b">
        <f t="shared" si="356"/>
        <v>0</v>
      </c>
      <c r="W826" s="389">
        <f t="shared" si="357"/>
        <v>0</v>
      </c>
      <c r="X826" s="389">
        <f t="shared" si="358"/>
        <v>0</v>
      </c>
      <c r="Y826" s="389">
        <f t="shared" si="376"/>
        <v>1.0999999999999999E-2</v>
      </c>
      <c r="Z826" s="389">
        <f t="shared" si="359"/>
        <v>1.0999999999999999E-2</v>
      </c>
      <c r="AA826" s="389">
        <f t="shared" si="360"/>
        <v>0</v>
      </c>
      <c r="AB826" s="389">
        <f t="shared" si="361"/>
        <v>1E-4</v>
      </c>
      <c r="AC826" s="389">
        <f t="shared" si="362"/>
        <v>1E-4</v>
      </c>
      <c r="AD826" s="389">
        <f t="shared" si="363"/>
        <v>0</v>
      </c>
      <c r="AE826" s="389">
        <f t="shared" si="364"/>
        <v>0</v>
      </c>
      <c r="AG826" s="311" t="str">
        <f t="shared" si="365"/>
        <v>-</v>
      </c>
      <c r="AH826" s="453" t="str">
        <f t="shared" si="366"/>
        <v/>
      </c>
      <c r="AI826" s="453" t="str">
        <f t="shared" si="367"/>
        <v/>
      </c>
      <c r="AJ826" t="str">
        <f t="array" ref="AJ826">IF(AND(AI826&gt;1,G826&lt;&gt;""),INDEX(FS_teams,MATCH(1,(FS_Keys=AG826)*(FS_Points=I826)*(FS_teams&lt;&gt;G826),0)),"")</f>
        <v/>
      </c>
      <c r="AK826" s="390" t="str">
        <f t="array" ref="AK826">IF(AJ826&lt;&gt;"",INDEX(TM_Score1,MATCH(1,(TM_Events=D826)*(TM_Participant1=G826)*(TM_Participant2=AJ826),0)),"")</f>
        <v/>
      </c>
      <c r="AL826" s="390" t="str">
        <f t="array" ref="AL826">IF(AJ826&lt;&gt;"",INDEX(TM_Score1,MATCH(1,(TM_Events=D826)*(TM_Participant1=AJ826)*(TM_Participant2=G826),0)),"")</f>
        <v/>
      </c>
      <c r="AM826" s="389" t="str">
        <f t="array" ref="AM826">IF(ISNUMBER(AK826),INDEX(TM_Score2,MATCH(1,(TM_Events=D826)*(TM_Participant1=G826)*(TM_Participant2=AJ826),0)),"")</f>
        <v/>
      </c>
      <c r="AN826" s="389" t="str">
        <f t="array" ref="AN826">IF(ISNUMBER(AL826),INDEX(TM_Score2,MATCH(1,(TM_Events=D826)*(TM_Participant1=AJ826)*(TM_Participant2=G826),0)),"")</f>
        <v/>
      </c>
      <c r="AO826" s="389" t="str">
        <f t="shared" si="368"/>
        <v/>
      </c>
      <c r="AP826" s="389">
        <f t="shared" si="369"/>
        <v>0</v>
      </c>
      <c r="AQ826" s="389">
        <f t="shared" si="370"/>
        <v>0</v>
      </c>
      <c r="AR826" s="389">
        <f t="shared" si="371"/>
        <v>0</v>
      </c>
      <c r="AS826" s="453">
        <f t="shared" si="372"/>
        <v>0</v>
      </c>
      <c r="AT826" s="452">
        <f t="shared" si="373"/>
        <v>0</v>
      </c>
    </row>
    <row r="827" spans="2:46" ht="16" x14ac:dyDescent="0.2">
      <c r="B827"/>
      <c r="H827" s="387" t="str">
        <f t="shared" si="348"/>
        <v>0-0-0</v>
      </c>
      <c r="I827" s="389">
        <f t="shared" si="349"/>
        <v>0</v>
      </c>
      <c r="J827" s="455" t="str">
        <f t="shared" si="374"/>
        <v/>
      </c>
      <c r="K827" s="455">
        <f t="shared" si="350"/>
        <v>0</v>
      </c>
      <c r="L827" s="455">
        <f t="shared" si="375"/>
        <v>0</v>
      </c>
      <c r="M827" s="389" t="str">
        <f>IFERROR(IF(AD827&lt;=VLOOKUP(D827,Tournaments!$A$1:$B$1772,2,FALSE),"TRUE","FALSE"),"")</f>
        <v/>
      </c>
      <c r="N827" s="389">
        <v>1</v>
      </c>
      <c r="O827" s="389">
        <f t="shared" si="351"/>
        <v>0</v>
      </c>
      <c r="Q827" s="389">
        <f t="shared" si="352"/>
        <v>0</v>
      </c>
      <c r="R827" s="389">
        <f t="shared" si="353"/>
        <v>0</v>
      </c>
      <c r="S827" s="389">
        <f t="shared" si="354"/>
        <v>0</v>
      </c>
      <c r="U827" s="389">
        <f t="shared" si="355"/>
        <v>0</v>
      </c>
      <c r="V827" s="389" t="b">
        <f t="shared" si="356"/>
        <v>0</v>
      </c>
      <c r="W827" s="389">
        <f t="shared" si="357"/>
        <v>0</v>
      </c>
      <c r="X827" s="389">
        <f t="shared" si="358"/>
        <v>0</v>
      </c>
      <c r="Y827" s="389">
        <f t="shared" si="376"/>
        <v>1.0999999999999999E-2</v>
      </c>
      <c r="Z827" s="389">
        <f t="shared" si="359"/>
        <v>1.0999999999999999E-2</v>
      </c>
      <c r="AA827" s="389">
        <f t="shared" si="360"/>
        <v>0</v>
      </c>
      <c r="AB827" s="389">
        <f t="shared" si="361"/>
        <v>1E-4</v>
      </c>
      <c r="AC827" s="389">
        <f t="shared" si="362"/>
        <v>1E-4</v>
      </c>
      <c r="AD827" s="389">
        <f t="shared" si="363"/>
        <v>0</v>
      </c>
      <c r="AE827" s="389">
        <f t="shared" si="364"/>
        <v>0</v>
      </c>
      <c r="AG827" s="311" t="str">
        <f t="shared" si="365"/>
        <v>-</v>
      </c>
      <c r="AH827" s="453" t="str">
        <f t="shared" si="366"/>
        <v/>
      </c>
      <c r="AI827" s="453" t="str">
        <f t="shared" si="367"/>
        <v/>
      </c>
      <c r="AJ827" t="str">
        <f t="array" ref="AJ827">IF(AND(AI827&gt;1,G827&lt;&gt;""),INDEX(FS_teams,MATCH(1,(FS_Keys=AG827)*(FS_Points=I827)*(FS_teams&lt;&gt;G827),0)),"")</f>
        <v/>
      </c>
      <c r="AK827" s="390" t="str">
        <f t="array" ref="AK827">IF(AJ827&lt;&gt;"",INDEX(TM_Score1,MATCH(1,(TM_Events=D827)*(TM_Participant1=G827)*(TM_Participant2=AJ827),0)),"")</f>
        <v/>
      </c>
      <c r="AL827" s="390" t="str">
        <f t="array" ref="AL827">IF(AJ827&lt;&gt;"",INDEX(TM_Score1,MATCH(1,(TM_Events=D827)*(TM_Participant1=AJ827)*(TM_Participant2=G827),0)),"")</f>
        <v/>
      </c>
      <c r="AM827" s="389" t="str">
        <f t="array" ref="AM827">IF(ISNUMBER(AK827),INDEX(TM_Score2,MATCH(1,(TM_Events=D827)*(TM_Participant1=G827)*(TM_Participant2=AJ827),0)),"")</f>
        <v/>
      </c>
      <c r="AN827" s="389" t="str">
        <f t="array" ref="AN827">IF(ISNUMBER(AL827),INDEX(TM_Score2,MATCH(1,(TM_Events=D827)*(TM_Participant1=AJ827)*(TM_Participant2=G827),0)),"")</f>
        <v/>
      </c>
      <c r="AO827" s="389" t="str">
        <f t="shared" si="368"/>
        <v/>
      </c>
      <c r="AP827" s="389">
        <f t="shared" si="369"/>
        <v>0</v>
      </c>
      <c r="AQ827" s="389">
        <f t="shared" si="370"/>
        <v>0</v>
      </c>
      <c r="AR827" s="389">
        <f t="shared" si="371"/>
        <v>0</v>
      </c>
      <c r="AS827" s="453">
        <f t="shared" si="372"/>
        <v>0</v>
      </c>
      <c r="AT827" s="452">
        <f t="shared" si="373"/>
        <v>0</v>
      </c>
    </row>
    <row r="828" spans="2:46" ht="16" x14ac:dyDescent="0.2">
      <c r="B828"/>
      <c r="H828" s="387" t="str">
        <f t="shared" si="348"/>
        <v>0-0-0</v>
      </c>
      <c r="I828" s="389">
        <f t="shared" si="349"/>
        <v>0</v>
      </c>
      <c r="J828" s="455" t="str">
        <f t="shared" si="374"/>
        <v/>
      </c>
      <c r="K828" s="455">
        <f t="shared" si="350"/>
        <v>0</v>
      </c>
      <c r="L828" s="455">
        <f t="shared" si="375"/>
        <v>0</v>
      </c>
      <c r="M828" s="389" t="str">
        <f>IFERROR(IF(AD828&lt;=VLOOKUP(D828,Tournaments!$A$1:$B$1772,2,FALSE),"TRUE","FALSE"),"")</f>
        <v/>
      </c>
      <c r="N828" s="389">
        <v>1</v>
      </c>
      <c r="O828" s="389">
        <f t="shared" si="351"/>
        <v>0</v>
      </c>
      <c r="Q828" s="389">
        <f t="shared" si="352"/>
        <v>0</v>
      </c>
      <c r="R828" s="389">
        <f t="shared" si="353"/>
        <v>0</v>
      </c>
      <c r="S828" s="389">
        <f t="shared" si="354"/>
        <v>0</v>
      </c>
      <c r="U828" s="389">
        <f t="shared" si="355"/>
        <v>0</v>
      </c>
      <c r="V828" s="389" t="b">
        <f t="shared" si="356"/>
        <v>0</v>
      </c>
      <c r="W828" s="389">
        <f t="shared" si="357"/>
        <v>0</v>
      </c>
      <c r="X828" s="389">
        <f t="shared" si="358"/>
        <v>0</v>
      </c>
      <c r="Y828" s="389">
        <f t="shared" si="376"/>
        <v>1.0999999999999999E-2</v>
      </c>
      <c r="Z828" s="389">
        <f t="shared" si="359"/>
        <v>1.0999999999999999E-2</v>
      </c>
      <c r="AA828" s="389">
        <f t="shared" si="360"/>
        <v>0</v>
      </c>
      <c r="AB828" s="389">
        <f t="shared" si="361"/>
        <v>1E-4</v>
      </c>
      <c r="AC828" s="389">
        <f t="shared" si="362"/>
        <v>1E-4</v>
      </c>
      <c r="AD828" s="389">
        <f t="shared" si="363"/>
        <v>0</v>
      </c>
      <c r="AE828" s="389">
        <f t="shared" si="364"/>
        <v>0</v>
      </c>
      <c r="AG828" s="311" t="str">
        <f t="shared" si="365"/>
        <v>-</v>
      </c>
      <c r="AH828" s="453" t="str">
        <f t="shared" si="366"/>
        <v/>
      </c>
      <c r="AI828" s="453" t="str">
        <f t="shared" si="367"/>
        <v/>
      </c>
      <c r="AJ828" t="str">
        <f t="array" ref="AJ828">IF(AND(AI828&gt;1,G828&lt;&gt;""),INDEX(FS_teams,MATCH(1,(FS_Keys=AG828)*(FS_Points=I828)*(FS_teams&lt;&gt;G828),0)),"")</f>
        <v/>
      </c>
      <c r="AK828" s="390" t="str">
        <f t="array" ref="AK828">IF(AJ828&lt;&gt;"",INDEX(TM_Score1,MATCH(1,(TM_Events=D828)*(TM_Participant1=G828)*(TM_Participant2=AJ828),0)),"")</f>
        <v/>
      </c>
      <c r="AL828" s="390" t="str">
        <f t="array" ref="AL828">IF(AJ828&lt;&gt;"",INDEX(TM_Score1,MATCH(1,(TM_Events=D828)*(TM_Participant1=AJ828)*(TM_Participant2=G828),0)),"")</f>
        <v/>
      </c>
      <c r="AM828" s="389" t="str">
        <f t="array" ref="AM828">IF(ISNUMBER(AK828),INDEX(TM_Score2,MATCH(1,(TM_Events=D828)*(TM_Participant1=G828)*(TM_Participant2=AJ828),0)),"")</f>
        <v/>
      </c>
      <c r="AN828" s="389" t="str">
        <f t="array" ref="AN828">IF(ISNUMBER(AL828),INDEX(TM_Score2,MATCH(1,(TM_Events=D828)*(TM_Participant1=AJ828)*(TM_Participant2=G828),0)),"")</f>
        <v/>
      </c>
      <c r="AO828" s="389" t="str">
        <f t="shared" si="368"/>
        <v/>
      </c>
      <c r="AP828" s="389">
        <f t="shared" si="369"/>
        <v>0</v>
      </c>
      <c r="AQ828" s="389">
        <f t="shared" si="370"/>
        <v>0</v>
      </c>
      <c r="AR828" s="389">
        <f t="shared" si="371"/>
        <v>0</v>
      </c>
      <c r="AS828" s="453">
        <f t="shared" si="372"/>
        <v>0</v>
      </c>
      <c r="AT828" s="452">
        <f t="shared" si="373"/>
        <v>0</v>
      </c>
    </row>
    <row r="829" spans="2:46" ht="16" x14ac:dyDescent="0.2">
      <c r="B829"/>
      <c r="H829" s="387" t="str">
        <f t="shared" si="348"/>
        <v>0-0-0</v>
      </c>
      <c r="I829" s="389">
        <f t="shared" si="349"/>
        <v>0</v>
      </c>
      <c r="J829" s="455" t="str">
        <f t="shared" si="374"/>
        <v/>
      </c>
      <c r="K829" s="455">
        <f t="shared" si="350"/>
        <v>0</v>
      </c>
      <c r="L829" s="455">
        <f t="shared" si="375"/>
        <v>0</v>
      </c>
      <c r="M829" s="389" t="str">
        <f>IFERROR(IF(AD829&lt;=VLOOKUP(D829,Tournaments!$A$1:$B$1772,2,FALSE),"TRUE","FALSE"),"")</f>
        <v/>
      </c>
      <c r="N829" s="389">
        <v>1</v>
      </c>
      <c r="O829" s="389">
        <f t="shared" si="351"/>
        <v>0</v>
      </c>
      <c r="Q829" s="389">
        <f t="shared" si="352"/>
        <v>0</v>
      </c>
      <c r="R829" s="389">
        <f t="shared" si="353"/>
        <v>0</v>
      </c>
      <c r="S829" s="389">
        <f t="shared" si="354"/>
        <v>0</v>
      </c>
      <c r="U829" s="389">
        <f t="shared" si="355"/>
        <v>0</v>
      </c>
      <c r="V829" s="389" t="b">
        <f t="shared" si="356"/>
        <v>0</v>
      </c>
      <c r="W829" s="389">
        <f t="shared" si="357"/>
        <v>0</v>
      </c>
      <c r="X829" s="389">
        <f t="shared" si="358"/>
        <v>0</v>
      </c>
      <c r="Y829" s="389">
        <f t="shared" si="376"/>
        <v>1.0999999999999999E-2</v>
      </c>
      <c r="Z829" s="389">
        <f t="shared" si="359"/>
        <v>1.0999999999999999E-2</v>
      </c>
      <c r="AA829" s="389">
        <f t="shared" si="360"/>
        <v>0</v>
      </c>
      <c r="AB829" s="389">
        <f t="shared" si="361"/>
        <v>1E-4</v>
      </c>
      <c r="AC829" s="389">
        <f t="shared" si="362"/>
        <v>1E-4</v>
      </c>
      <c r="AD829" s="389">
        <f t="shared" si="363"/>
        <v>0</v>
      </c>
      <c r="AE829" s="389">
        <f t="shared" si="364"/>
        <v>0</v>
      </c>
      <c r="AG829" s="311" t="str">
        <f t="shared" si="365"/>
        <v>-</v>
      </c>
      <c r="AH829" s="453" t="str">
        <f t="shared" si="366"/>
        <v/>
      </c>
      <c r="AI829" s="453" t="str">
        <f t="shared" si="367"/>
        <v/>
      </c>
      <c r="AJ829" t="str">
        <f t="array" ref="AJ829">IF(AND(AI829&gt;1,G829&lt;&gt;""),INDEX(FS_teams,MATCH(1,(FS_Keys=AG829)*(FS_Points=I829)*(FS_teams&lt;&gt;G829),0)),"")</f>
        <v/>
      </c>
      <c r="AK829" s="390" t="str">
        <f t="array" ref="AK829">IF(AJ829&lt;&gt;"",INDEX(TM_Score1,MATCH(1,(TM_Events=D829)*(TM_Participant1=G829)*(TM_Participant2=AJ829),0)),"")</f>
        <v/>
      </c>
      <c r="AL829" s="390" t="str">
        <f t="array" ref="AL829">IF(AJ829&lt;&gt;"",INDEX(TM_Score1,MATCH(1,(TM_Events=D829)*(TM_Participant1=AJ829)*(TM_Participant2=G829),0)),"")</f>
        <v/>
      </c>
      <c r="AM829" s="389" t="str">
        <f t="array" ref="AM829">IF(ISNUMBER(AK829),INDEX(TM_Score2,MATCH(1,(TM_Events=D829)*(TM_Participant1=G829)*(TM_Participant2=AJ829),0)),"")</f>
        <v/>
      </c>
      <c r="AN829" s="389" t="str">
        <f t="array" ref="AN829">IF(ISNUMBER(AL829),INDEX(TM_Score2,MATCH(1,(TM_Events=D829)*(TM_Participant1=AJ829)*(TM_Participant2=G829),0)),"")</f>
        <v/>
      </c>
      <c r="AO829" s="389" t="str">
        <f t="shared" si="368"/>
        <v/>
      </c>
      <c r="AP829" s="389">
        <f t="shared" si="369"/>
        <v>0</v>
      </c>
      <c r="AQ829" s="389">
        <f t="shared" si="370"/>
        <v>0</v>
      </c>
      <c r="AR829" s="389">
        <f t="shared" si="371"/>
        <v>0</v>
      </c>
      <c r="AS829" s="453">
        <f t="shared" si="372"/>
        <v>0</v>
      </c>
      <c r="AT829" s="452">
        <f t="shared" si="373"/>
        <v>0</v>
      </c>
    </row>
    <row r="830" spans="2:46" ht="16" x14ac:dyDescent="0.2">
      <c r="B830"/>
      <c r="H830" s="387" t="str">
        <f t="shared" si="348"/>
        <v>0-0-0</v>
      </c>
      <c r="I830" s="389">
        <f t="shared" si="349"/>
        <v>0</v>
      </c>
      <c r="J830" s="455" t="str">
        <f t="shared" si="374"/>
        <v/>
      </c>
      <c r="K830" s="455">
        <f t="shared" si="350"/>
        <v>0</v>
      </c>
      <c r="L830" s="455">
        <f t="shared" si="375"/>
        <v>0</v>
      </c>
      <c r="M830" s="389" t="str">
        <f>IFERROR(IF(AD830&lt;=VLOOKUP(D830,Tournaments!$A$1:$B$1772,2,FALSE),"TRUE","FALSE"),"")</f>
        <v/>
      </c>
      <c r="N830" s="389">
        <v>1</v>
      </c>
      <c r="O830" s="389">
        <f t="shared" si="351"/>
        <v>0</v>
      </c>
      <c r="Q830" s="389">
        <f t="shared" si="352"/>
        <v>0</v>
      </c>
      <c r="R830" s="389">
        <f t="shared" si="353"/>
        <v>0</v>
      </c>
      <c r="S830" s="389">
        <f t="shared" si="354"/>
        <v>0</v>
      </c>
      <c r="U830" s="389">
        <f t="shared" si="355"/>
        <v>0</v>
      </c>
      <c r="V830" s="389" t="b">
        <f t="shared" si="356"/>
        <v>0</v>
      </c>
      <c r="W830" s="389">
        <f t="shared" si="357"/>
        <v>0</v>
      </c>
      <c r="X830" s="389">
        <f t="shared" si="358"/>
        <v>0</v>
      </c>
      <c r="Y830" s="389">
        <f t="shared" si="376"/>
        <v>1.0999999999999999E-2</v>
      </c>
      <c r="Z830" s="389">
        <f t="shared" si="359"/>
        <v>1.0999999999999999E-2</v>
      </c>
      <c r="AA830" s="389">
        <f t="shared" si="360"/>
        <v>0</v>
      </c>
      <c r="AB830" s="389">
        <f t="shared" si="361"/>
        <v>1E-4</v>
      </c>
      <c r="AC830" s="389">
        <f t="shared" si="362"/>
        <v>1E-4</v>
      </c>
      <c r="AD830" s="389">
        <f t="shared" si="363"/>
        <v>0</v>
      </c>
      <c r="AE830" s="389">
        <f t="shared" si="364"/>
        <v>0</v>
      </c>
      <c r="AG830" s="311" t="str">
        <f t="shared" si="365"/>
        <v>-</v>
      </c>
      <c r="AH830" s="453" t="str">
        <f t="shared" si="366"/>
        <v/>
      </c>
      <c r="AI830" s="453" t="str">
        <f t="shared" si="367"/>
        <v/>
      </c>
      <c r="AJ830" t="str">
        <f t="array" ref="AJ830">IF(AND(AI830&gt;1,G830&lt;&gt;""),INDEX(FS_teams,MATCH(1,(FS_Keys=AG830)*(FS_Points=I830)*(FS_teams&lt;&gt;G830),0)),"")</f>
        <v/>
      </c>
      <c r="AK830" s="390" t="str">
        <f t="array" ref="AK830">IF(AJ830&lt;&gt;"",INDEX(TM_Score1,MATCH(1,(TM_Events=D830)*(TM_Participant1=G830)*(TM_Participant2=AJ830),0)),"")</f>
        <v/>
      </c>
      <c r="AL830" s="390" t="str">
        <f t="array" ref="AL830">IF(AJ830&lt;&gt;"",INDEX(TM_Score1,MATCH(1,(TM_Events=D830)*(TM_Participant1=AJ830)*(TM_Participant2=G830),0)),"")</f>
        <v/>
      </c>
      <c r="AM830" s="389" t="str">
        <f t="array" ref="AM830">IF(ISNUMBER(AK830),INDEX(TM_Score2,MATCH(1,(TM_Events=D830)*(TM_Participant1=G830)*(TM_Participant2=AJ830),0)),"")</f>
        <v/>
      </c>
      <c r="AN830" s="389" t="str">
        <f t="array" ref="AN830">IF(ISNUMBER(AL830),INDEX(TM_Score2,MATCH(1,(TM_Events=D830)*(TM_Participant1=AJ830)*(TM_Participant2=G830),0)),"")</f>
        <v/>
      </c>
      <c r="AO830" s="389" t="str">
        <f t="shared" si="368"/>
        <v/>
      </c>
      <c r="AP830" s="389">
        <f t="shared" si="369"/>
        <v>0</v>
      </c>
      <c r="AQ830" s="389">
        <f t="shared" si="370"/>
        <v>0</v>
      </c>
      <c r="AR830" s="389">
        <f t="shared" si="371"/>
        <v>0</v>
      </c>
      <c r="AS830" s="453">
        <f t="shared" si="372"/>
        <v>0</v>
      </c>
      <c r="AT830" s="452">
        <f t="shared" si="373"/>
        <v>0</v>
      </c>
    </row>
    <row r="831" spans="2:46" ht="16" x14ac:dyDescent="0.2">
      <c r="B831"/>
      <c r="H831" s="387" t="str">
        <f t="shared" si="348"/>
        <v>0-0-0</v>
      </c>
      <c r="I831" s="389">
        <f t="shared" si="349"/>
        <v>0</v>
      </c>
      <c r="J831" s="455" t="str">
        <f t="shared" si="374"/>
        <v/>
      </c>
      <c r="K831" s="455">
        <f t="shared" si="350"/>
        <v>0</v>
      </c>
      <c r="L831" s="455">
        <f t="shared" si="375"/>
        <v>0</v>
      </c>
      <c r="M831" s="389" t="str">
        <f>IFERROR(IF(AD831&lt;=VLOOKUP(D831,Tournaments!$A$1:$B$1772,2,FALSE),"TRUE","FALSE"),"")</f>
        <v/>
      </c>
      <c r="N831" s="389">
        <v>1</v>
      </c>
      <c r="O831" s="389">
        <f t="shared" si="351"/>
        <v>0</v>
      </c>
      <c r="Q831" s="389">
        <f t="shared" si="352"/>
        <v>0</v>
      </c>
      <c r="R831" s="389">
        <f t="shared" si="353"/>
        <v>0</v>
      </c>
      <c r="S831" s="389">
        <f t="shared" si="354"/>
        <v>0</v>
      </c>
      <c r="U831" s="389">
        <f t="shared" si="355"/>
        <v>0</v>
      </c>
      <c r="V831" s="389" t="b">
        <f t="shared" si="356"/>
        <v>0</v>
      </c>
      <c r="W831" s="389">
        <f t="shared" si="357"/>
        <v>0</v>
      </c>
      <c r="X831" s="389">
        <f t="shared" si="358"/>
        <v>0</v>
      </c>
      <c r="Y831" s="389">
        <f t="shared" si="376"/>
        <v>1.0999999999999999E-2</v>
      </c>
      <c r="Z831" s="389">
        <f t="shared" si="359"/>
        <v>1.0999999999999999E-2</v>
      </c>
      <c r="AA831" s="389">
        <f t="shared" si="360"/>
        <v>0</v>
      </c>
      <c r="AB831" s="389">
        <f t="shared" si="361"/>
        <v>1E-4</v>
      </c>
      <c r="AC831" s="389">
        <f t="shared" si="362"/>
        <v>1E-4</v>
      </c>
      <c r="AD831" s="389">
        <f t="shared" si="363"/>
        <v>0</v>
      </c>
      <c r="AE831" s="389">
        <f t="shared" si="364"/>
        <v>0</v>
      </c>
      <c r="AG831" s="311" t="str">
        <f t="shared" si="365"/>
        <v>-</v>
      </c>
      <c r="AH831" s="453" t="str">
        <f t="shared" si="366"/>
        <v/>
      </c>
      <c r="AI831" s="453" t="str">
        <f t="shared" si="367"/>
        <v/>
      </c>
      <c r="AJ831" t="str">
        <f t="array" ref="AJ831">IF(AND(AI831&gt;1,G831&lt;&gt;""),INDEX(FS_teams,MATCH(1,(FS_Keys=AG831)*(FS_Points=I831)*(FS_teams&lt;&gt;G831),0)),"")</f>
        <v/>
      </c>
      <c r="AK831" s="390" t="str">
        <f t="array" ref="AK831">IF(AJ831&lt;&gt;"",INDEX(TM_Score1,MATCH(1,(TM_Events=D831)*(TM_Participant1=G831)*(TM_Participant2=AJ831),0)),"")</f>
        <v/>
      </c>
      <c r="AL831" s="390" t="str">
        <f t="array" ref="AL831">IF(AJ831&lt;&gt;"",INDEX(TM_Score1,MATCH(1,(TM_Events=D831)*(TM_Participant1=AJ831)*(TM_Participant2=G831),0)),"")</f>
        <v/>
      </c>
      <c r="AM831" s="389" t="str">
        <f t="array" ref="AM831">IF(ISNUMBER(AK831),INDEX(TM_Score2,MATCH(1,(TM_Events=D831)*(TM_Participant1=G831)*(TM_Participant2=AJ831),0)),"")</f>
        <v/>
      </c>
      <c r="AN831" s="389" t="str">
        <f t="array" ref="AN831">IF(ISNUMBER(AL831),INDEX(TM_Score2,MATCH(1,(TM_Events=D831)*(TM_Participant1=AJ831)*(TM_Participant2=G831),0)),"")</f>
        <v/>
      </c>
      <c r="AO831" s="389" t="str">
        <f t="shared" si="368"/>
        <v/>
      </c>
      <c r="AP831" s="389">
        <f t="shared" si="369"/>
        <v>0</v>
      </c>
      <c r="AQ831" s="389">
        <f t="shared" si="370"/>
        <v>0</v>
      </c>
      <c r="AR831" s="389">
        <f t="shared" si="371"/>
        <v>0</v>
      </c>
      <c r="AS831" s="453">
        <f t="shared" si="372"/>
        <v>0</v>
      </c>
      <c r="AT831" s="452">
        <f t="shared" si="373"/>
        <v>0</v>
      </c>
    </row>
    <row r="832" spans="2:46" ht="16" x14ac:dyDescent="0.2">
      <c r="B832"/>
      <c r="H832" s="387" t="str">
        <f t="shared" si="348"/>
        <v>0-0-0</v>
      </c>
      <c r="I832" s="389">
        <f t="shared" si="349"/>
        <v>0</v>
      </c>
      <c r="J832" s="455" t="str">
        <f t="shared" si="374"/>
        <v/>
      </c>
      <c r="K832" s="455">
        <f t="shared" si="350"/>
        <v>0</v>
      </c>
      <c r="L832" s="455">
        <f t="shared" si="375"/>
        <v>0</v>
      </c>
      <c r="M832" s="389" t="str">
        <f>IFERROR(IF(AD832&lt;=VLOOKUP(D832,Tournaments!$A$1:$B$1772,2,FALSE),"TRUE","FALSE"),"")</f>
        <v/>
      </c>
      <c r="N832" s="389">
        <v>1</v>
      </c>
      <c r="O832" s="389">
        <f t="shared" si="351"/>
        <v>0</v>
      </c>
      <c r="Q832" s="389">
        <f t="shared" si="352"/>
        <v>0</v>
      </c>
      <c r="R832" s="389">
        <f t="shared" si="353"/>
        <v>0</v>
      </c>
      <c r="S832" s="389">
        <f t="shared" si="354"/>
        <v>0</v>
      </c>
      <c r="U832" s="389">
        <f t="shared" si="355"/>
        <v>0</v>
      </c>
      <c r="V832" s="389" t="b">
        <f t="shared" si="356"/>
        <v>0</v>
      </c>
      <c r="W832" s="389">
        <f t="shared" si="357"/>
        <v>0</v>
      </c>
      <c r="X832" s="389">
        <f t="shared" si="358"/>
        <v>0</v>
      </c>
      <c r="Y832" s="389">
        <f t="shared" si="376"/>
        <v>1.0999999999999999E-2</v>
      </c>
      <c r="Z832" s="389">
        <f t="shared" si="359"/>
        <v>1.0999999999999999E-2</v>
      </c>
      <c r="AA832" s="389">
        <f t="shared" si="360"/>
        <v>0</v>
      </c>
      <c r="AB832" s="389">
        <f t="shared" si="361"/>
        <v>1E-4</v>
      </c>
      <c r="AC832" s="389">
        <f t="shared" si="362"/>
        <v>1E-4</v>
      </c>
      <c r="AD832" s="389">
        <f t="shared" si="363"/>
        <v>0</v>
      </c>
      <c r="AE832" s="389">
        <f t="shared" si="364"/>
        <v>0</v>
      </c>
      <c r="AG832" s="311" t="str">
        <f t="shared" si="365"/>
        <v>-</v>
      </c>
      <c r="AH832" s="453" t="str">
        <f t="shared" si="366"/>
        <v/>
      </c>
      <c r="AI832" s="453" t="str">
        <f t="shared" si="367"/>
        <v/>
      </c>
      <c r="AJ832" t="str">
        <f t="array" ref="AJ832">IF(AND(AI832&gt;1,G832&lt;&gt;""),INDEX(FS_teams,MATCH(1,(FS_Keys=AG832)*(FS_Points=I832)*(FS_teams&lt;&gt;G832),0)),"")</f>
        <v/>
      </c>
      <c r="AK832" s="390" t="str">
        <f t="array" ref="AK832">IF(AJ832&lt;&gt;"",INDEX(TM_Score1,MATCH(1,(TM_Events=D832)*(TM_Participant1=G832)*(TM_Participant2=AJ832),0)),"")</f>
        <v/>
      </c>
      <c r="AL832" s="390" t="str">
        <f t="array" ref="AL832">IF(AJ832&lt;&gt;"",INDEX(TM_Score1,MATCH(1,(TM_Events=D832)*(TM_Participant1=AJ832)*(TM_Participant2=G832),0)),"")</f>
        <v/>
      </c>
      <c r="AM832" s="389" t="str">
        <f t="array" ref="AM832">IF(ISNUMBER(AK832),INDEX(TM_Score2,MATCH(1,(TM_Events=D832)*(TM_Participant1=G832)*(TM_Participant2=AJ832),0)),"")</f>
        <v/>
      </c>
      <c r="AN832" s="389" t="str">
        <f t="array" ref="AN832">IF(ISNUMBER(AL832),INDEX(TM_Score2,MATCH(1,(TM_Events=D832)*(TM_Participant1=AJ832)*(TM_Participant2=G832),0)),"")</f>
        <v/>
      </c>
      <c r="AO832" s="389" t="str">
        <f t="shared" si="368"/>
        <v/>
      </c>
      <c r="AP832" s="389">
        <f t="shared" si="369"/>
        <v>0</v>
      </c>
      <c r="AQ832" s="389">
        <f t="shared" si="370"/>
        <v>0</v>
      </c>
      <c r="AR832" s="389">
        <f t="shared" si="371"/>
        <v>0</v>
      </c>
      <c r="AS832" s="453">
        <f t="shared" si="372"/>
        <v>0</v>
      </c>
      <c r="AT832" s="452">
        <f t="shared" si="373"/>
        <v>0</v>
      </c>
    </row>
    <row r="833" spans="2:46" ht="16" x14ac:dyDescent="0.2">
      <c r="B833"/>
      <c r="H833" s="387" t="str">
        <f t="shared" si="348"/>
        <v>0-0-0</v>
      </c>
      <c r="I833" s="389">
        <f t="shared" si="349"/>
        <v>0</v>
      </c>
      <c r="J833" s="455" t="str">
        <f t="shared" si="374"/>
        <v/>
      </c>
      <c r="K833" s="455">
        <f t="shared" si="350"/>
        <v>0</v>
      </c>
      <c r="L833" s="455">
        <f t="shared" si="375"/>
        <v>0</v>
      </c>
      <c r="M833" s="389" t="str">
        <f>IFERROR(IF(AD833&lt;=VLOOKUP(D833,Tournaments!$A$1:$B$1772,2,FALSE),"TRUE","FALSE"),"")</f>
        <v/>
      </c>
      <c r="N833" s="389">
        <v>1</v>
      </c>
      <c r="O833" s="389">
        <f t="shared" si="351"/>
        <v>0</v>
      </c>
      <c r="Q833" s="389">
        <f t="shared" si="352"/>
        <v>0</v>
      </c>
      <c r="R833" s="389">
        <f t="shared" si="353"/>
        <v>0</v>
      </c>
      <c r="S833" s="389">
        <f t="shared" si="354"/>
        <v>0</v>
      </c>
      <c r="U833" s="389">
        <f t="shared" si="355"/>
        <v>0</v>
      </c>
      <c r="V833" s="389" t="b">
        <f t="shared" si="356"/>
        <v>0</v>
      </c>
      <c r="W833" s="389">
        <f t="shared" si="357"/>
        <v>0</v>
      </c>
      <c r="X833" s="389">
        <f t="shared" si="358"/>
        <v>0</v>
      </c>
      <c r="Y833" s="389">
        <f t="shared" si="376"/>
        <v>1.0999999999999999E-2</v>
      </c>
      <c r="Z833" s="389">
        <f t="shared" si="359"/>
        <v>1.0999999999999999E-2</v>
      </c>
      <c r="AA833" s="389">
        <f t="shared" si="360"/>
        <v>0</v>
      </c>
      <c r="AB833" s="389">
        <f t="shared" si="361"/>
        <v>1E-4</v>
      </c>
      <c r="AC833" s="389">
        <f t="shared" si="362"/>
        <v>1E-4</v>
      </c>
      <c r="AD833" s="389">
        <f t="shared" si="363"/>
        <v>0</v>
      </c>
      <c r="AE833" s="389">
        <f t="shared" si="364"/>
        <v>0</v>
      </c>
      <c r="AG833" s="311" t="str">
        <f t="shared" si="365"/>
        <v>-</v>
      </c>
      <c r="AH833" s="453" t="str">
        <f t="shared" si="366"/>
        <v/>
      </c>
      <c r="AI833" s="453" t="str">
        <f t="shared" si="367"/>
        <v/>
      </c>
      <c r="AJ833" t="str">
        <f t="array" ref="AJ833">IF(AND(AI833&gt;1,G833&lt;&gt;""),INDEX(FS_teams,MATCH(1,(FS_Keys=AG833)*(FS_Points=I833)*(FS_teams&lt;&gt;G833),0)),"")</f>
        <v/>
      </c>
      <c r="AK833" s="390" t="str">
        <f t="array" ref="AK833">IF(AJ833&lt;&gt;"",INDEX(TM_Score1,MATCH(1,(TM_Events=D833)*(TM_Participant1=G833)*(TM_Participant2=AJ833),0)),"")</f>
        <v/>
      </c>
      <c r="AL833" s="390" t="str">
        <f t="array" ref="AL833">IF(AJ833&lt;&gt;"",INDEX(TM_Score1,MATCH(1,(TM_Events=D833)*(TM_Participant1=AJ833)*(TM_Participant2=G833),0)),"")</f>
        <v/>
      </c>
      <c r="AM833" s="389" t="str">
        <f t="array" ref="AM833">IF(ISNUMBER(AK833),INDEX(TM_Score2,MATCH(1,(TM_Events=D833)*(TM_Participant1=G833)*(TM_Participant2=AJ833),0)),"")</f>
        <v/>
      </c>
      <c r="AN833" s="389" t="str">
        <f t="array" ref="AN833">IF(ISNUMBER(AL833),INDEX(TM_Score2,MATCH(1,(TM_Events=D833)*(TM_Participant1=AJ833)*(TM_Participant2=G833),0)),"")</f>
        <v/>
      </c>
      <c r="AO833" s="389" t="str">
        <f t="shared" si="368"/>
        <v/>
      </c>
      <c r="AP833" s="389">
        <f t="shared" si="369"/>
        <v>0</v>
      </c>
      <c r="AQ833" s="389">
        <f t="shared" si="370"/>
        <v>0</v>
      </c>
      <c r="AR833" s="389">
        <f t="shared" si="371"/>
        <v>0</v>
      </c>
      <c r="AS833" s="453">
        <f t="shared" si="372"/>
        <v>0</v>
      </c>
      <c r="AT833" s="452">
        <f t="shared" si="373"/>
        <v>0</v>
      </c>
    </row>
    <row r="834" spans="2:46" ht="16" x14ac:dyDescent="0.2">
      <c r="B834"/>
      <c r="H834" s="387" t="str">
        <f t="shared" si="348"/>
        <v>0-0-0</v>
      </c>
      <c r="I834" s="389">
        <f t="shared" si="349"/>
        <v>0</v>
      </c>
      <c r="J834" s="455" t="str">
        <f t="shared" si="374"/>
        <v/>
      </c>
      <c r="K834" s="455">
        <f t="shared" si="350"/>
        <v>0</v>
      </c>
      <c r="L834" s="455">
        <f t="shared" si="375"/>
        <v>0</v>
      </c>
      <c r="M834" s="389" t="str">
        <f>IFERROR(IF(AD834&lt;=VLOOKUP(D834,Tournaments!$A$1:$B$1772,2,FALSE),"TRUE","FALSE"),"")</f>
        <v/>
      </c>
      <c r="N834" s="389">
        <v>1</v>
      </c>
      <c r="O834" s="389">
        <f t="shared" si="351"/>
        <v>0</v>
      </c>
      <c r="Q834" s="389">
        <f t="shared" si="352"/>
        <v>0</v>
      </c>
      <c r="R834" s="389">
        <f t="shared" si="353"/>
        <v>0</v>
      </c>
      <c r="S834" s="389">
        <f t="shared" si="354"/>
        <v>0</v>
      </c>
      <c r="U834" s="389">
        <f t="shared" si="355"/>
        <v>0</v>
      </c>
      <c r="V834" s="389" t="b">
        <f t="shared" si="356"/>
        <v>0</v>
      </c>
      <c r="W834" s="389">
        <f t="shared" si="357"/>
        <v>0</v>
      </c>
      <c r="X834" s="389">
        <f t="shared" si="358"/>
        <v>0</v>
      </c>
      <c r="Y834" s="389">
        <f t="shared" si="376"/>
        <v>1.0999999999999999E-2</v>
      </c>
      <c r="Z834" s="389">
        <f t="shared" si="359"/>
        <v>1.0999999999999999E-2</v>
      </c>
      <c r="AA834" s="389">
        <f t="shared" si="360"/>
        <v>0</v>
      </c>
      <c r="AB834" s="389">
        <f t="shared" si="361"/>
        <v>1E-4</v>
      </c>
      <c r="AC834" s="389">
        <f t="shared" si="362"/>
        <v>1E-4</v>
      </c>
      <c r="AD834" s="389">
        <f t="shared" si="363"/>
        <v>0</v>
      </c>
      <c r="AE834" s="389">
        <f t="shared" si="364"/>
        <v>0</v>
      </c>
      <c r="AG834" s="311" t="str">
        <f t="shared" si="365"/>
        <v>-</v>
      </c>
      <c r="AH834" s="453" t="str">
        <f t="shared" si="366"/>
        <v/>
      </c>
      <c r="AI834" s="453" t="str">
        <f t="shared" si="367"/>
        <v/>
      </c>
      <c r="AJ834" t="str">
        <f t="array" ref="AJ834">IF(AND(AI834&gt;1,G834&lt;&gt;""),INDEX(FS_teams,MATCH(1,(FS_Keys=AG834)*(FS_Points=I834)*(FS_teams&lt;&gt;G834),0)),"")</f>
        <v/>
      </c>
      <c r="AK834" s="390" t="str">
        <f t="array" ref="AK834">IF(AJ834&lt;&gt;"",INDEX(TM_Score1,MATCH(1,(TM_Events=D834)*(TM_Participant1=G834)*(TM_Participant2=AJ834),0)),"")</f>
        <v/>
      </c>
      <c r="AL834" s="390" t="str">
        <f t="array" ref="AL834">IF(AJ834&lt;&gt;"",INDEX(TM_Score1,MATCH(1,(TM_Events=D834)*(TM_Participant1=AJ834)*(TM_Participant2=G834),0)),"")</f>
        <v/>
      </c>
      <c r="AM834" s="389" t="str">
        <f t="array" ref="AM834">IF(ISNUMBER(AK834),INDEX(TM_Score2,MATCH(1,(TM_Events=D834)*(TM_Participant1=G834)*(TM_Participant2=AJ834),0)),"")</f>
        <v/>
      </c>
      <c r="AN834" s="389" t="str">
        <f t="array" ref="AN834">IF(ISNUMBER(AL834),INDEX(TM_Score2,MATCH(1,(TM_Events=D834)*(TM_Participant1=AJ834)*(TM_Participant2=G834),0)),"")</f>
        <v/>
      </c>
      <c r="AO834" s="389" t="str">
        <f t="shared" si="368"/>
        <v/>
      </c>
      <c r="AP834" s="389">
        <f t="shared" si="369"/>
        <v>0</v>
      </c>
      <c r="AQ834" s="389">
        <f t="shared" si="370"/>
        <v>0</v>
      </c>
      <c r="AR834" s="389">
        <f t="shared" si="371"/>
        <v>0</v>
      </c>
      <c r="AS834" s="453">
        <f t="shared" si="372"/>
        <v>0</v>
      </c>
      <c r="AT834" s="452">
        <f t="shared" si="373"/>
        <v>0</v>
      </c>
    </row>
    <row r="835" spans="2:46" ht="16" x14ac:dyDescent="0.2">
      <c r="B835"/>
      <c r="H835" s="387" t="str">
        <f t="shared" ref="H835:H898" si="377">Q835&amp;"-"&amp;R835&amp;"-"&amp;S835</f>
        <v>0-0-0</v>
      </c>
      <c r="I835" s="389">
        <f t="shared" ref="I835:I898" si="378">IF(H835&lt;&gt;"0-0-0",Q835*2+S835,0)</f>
        <v>0</v>
      </c>
      <c r="J835" s="455" t="str">
        <f t="shared" si="374"/>
        <v/>
      </c>
      <c r="K835" s="455">
        <f t="shared" ref="K835:K898" si="379">IF(COUNTIFS(AG:AG,AG835,I:I,I835,J:J,J835)&gt;1,AS835,"")</f>
        <v>0</v>
      </c>
      <c r="L835" s="455">
        <f t="shared" si="375"/>
        <v>0</v>
      </c>
      <c r="M835" s="389" t="str">
        <f>IFERROR(IF(AD835&lt;=VLOOKUP(D835,Tournaments!$A$1:$B$1772,2,FALSE),"TRUE","FALSE"),"")</f>
        <v/>
      </c>
      <c r="N835" s="389">
        <v>1</v>
      </c>
      <c r="O835" s="389">
        <f t="shared" ref="O835:O898" si="380">AD835</f>
        <v>0</v>
      </c>
      <c r="Q835" s="389">
        <f t="shared" ref="Q835:Q898" si="381">AP835</f>
        <v>0</v>
      </c>
      <c r="R835" s="389">
        <f t="shared" ref="R835:R898" si="382">AR835</f>
        <v>0</v>
      </c>
      <c r="S835" s="389">
        <f t="shared" ref="S835:S898" si="383">AQ835</f>
        <v>0</v>
      </c>
      <c r="U835" s="389">
        <f t="shared" ref="U835:U898" si="384">IF(E835&lt;&gt;"",COUNTIFS($D$3:$D$1001,D835,$E$3:$E$1001,E835,$I$3:$I$1001,"&gt;"&amp;I835)+COUNTIFS($D$3:$D$1001,D835,$E$3:$E$1001,E835,$I$3:$I$1001,I835),COUNTIFS($D$3:$D$1001,D835,$I$3:$I$1001,"&gt;"&amp;I835)+COUNTIFS($D$3:$D$1001,D835,$I$3:$I$1001,I835))</f>
        <v>0</v>
      </c>
      <c r="V835" s="389" t="b">
        <f t="shared" ref="V835:V898" si="385">IFERROR(RANK(J835,$J:$J,1)/10000,FALSE)</f>
        <v>0</v>
      </c>
      <c r="W835" s="389">
        <f t="shared" ref="W835:W898" si="386">V835-U835</f>
        <v>0</v>
      </c>
      <c r="X835" s="389">
        <f t="shared" ref="X835:X898" si="387">IF(E835&lt;&gt;"",COUNTIFS($D:$D,$D835,$E:$E,$E835,$W:$W,"&gt;"&amp;W835)+COUNTIFS($D:$D,$D835,$E:$E,$E835,$W:$W,W835),COUNTIFS($D:$D,$D835,$W:$W,"&gt;"&amp;W835)+COUNTIFS($D:$D,$D835,$W:$W,W835))</f>
        <v>0</v>
      </c>
      <c r="Y835" s="389">
        <f t="shared" si="376"/>
        <v>1.0999999999999999E-2</v>
      </c>
      <c r="Z835" s="389">
        <f t="shared" ref="Z835:Z898" si="388">Y835-X835</f>
        <v>1.0999999999999999E-2</v>
      </c>
      <c r="AA835" s="389">
        <f t="shared" ref="AA835:AA898" si="389">IF(E835&lt;&gt;"",(COUNTIFS($D:$D,D835,$E:$E,E835,$Z:$Z,"&gt;"&amp;Z835)+COUNTIFS($D:$D,D835,$E:$E,E835,$Z:$Z,Z835)),(COUNTIFS($D:$D,D835,$Z:$Z,"&gt;"&amp;Z835)+COUNTIFS($D:$D,D835,$Z:$Z,Z835)))</f>
        <v>0</v>
      </c>
      <c r="AB835" s="389">
        <f t="shared" ref="AB835:AB898" si="390">IFERROR(RANK(L835,$L:$L,1)/10000,FALSE)</f>
        <v>1E-4</v>
      </c>
      <c r="AC835" s="389">
        <f t="shared" ref="AC835:AC898" si="391">AB835-AA835</f>
        <v>1E-4</v>
      </c>
      <c r="AD835" s="389">
        <f t="shared" ref="AD835:AD898" si="392">IF(E835&lt;&gt;"",COUNTIFS($D:$D,$D835,$E:$E,$E835,$AC:$AC,"&gt;"&amp;AC835)+COUNTIFS($D:$D,$D835,$E:$E,$E835,$AC:$AC,AC835),COUNTIFS($D:$D,$D835,$AC:$AC,"&gt;"&amp;AC835)+COUNTIFS($D:$D,$D835,$AC:$AC,AC835))</f>
        <v>0</v>
      </c>
      <c r="AE835" s="389">
        <f t="shared" ref="AE835:AE898" si="393">IF(E835&lt;&gt;"",COUNTIFS($D:$D,D835,$E:$E,E835,$I:$I,I835,$J:$J,J835),COUNTIFS($D:$D,D835,$I:$I,I835,$J:$J,J835))</f>
        <v>0</v>
      </c>
      <c r="AG835" s="311" t="str">
        <f t="shared" ref="AG835:AG898" si="394">D835&amp;"-"&amp;E835</f>
        <v>-</v>
      </c>
      <c r="AH835" s="453" t="str">
        <f t="shared" ref="AH835:AH898" si="395">IF(G835="","",COUNTIFS(FS_teams,"&lt;&gt;-1",FS_Keys,AG835,FS_Points,"&gt;"&amp;I835)+1)</f>
        <v/>
      </c>
      <c r="AI835" s="453" t="str">
        <f t="shared" ref="AI835:AI898" si="396">IF(G835="","",COUNTIFS(FS_Keys,AG835,FS_Rank_on_Points,AH835))</f>
        <v/>
      </c>
      <c r="AJ835" t="str">
        <f t="array" ref="AJ835">IF(AND(AI835&gt;1,G835&lt;&gt;""),INDEX(FS_teams,MATCH(1,(FS_Keys=AG835)*(FS_Points=I835)*(FS_teams&lt;&gt;G835),0)),"")</f>
        <v/>
      </c>
      <c r="AK835" s="390" t="str">
        <f t="array" ref="AK835">IF(AJ835&lt;&gt;"",INDEX(TM_Score1,MATCH(1,(TM_Events=D835)*(TM_Participant1=G835)*(TM_Participant2=AJ835),0)),"")</f>
        <v/>
      </c>
      <c r="AL835" s="390" t="str">
        <f t="array" ref="AL835">IF(AJ835&lt;&gt;"",INDEX(TM_Score1,MATCH(1,(TM_Events=D835)*(TM_Participant1=AJ835)*(TM_Participant2=G835),0)),"")</f>
        <v/>
      </c>
      <c r="AM835" s="389" t="str">
        <f t="array" ref="AM835">IF(ISNUMBER(AK835),INDEX(TM_Score2,MATCH(1,(TM_Events=D835)*(TM_Participant1=G835)*(TM_Participant2=AJ835),0)),"")</f>
        <v/>
      </c>
      <c r="AN835" s="389" t="str">
        <f t="array" ref="AN835">IF(ISNUMBER(AL835),INDEX(TM_Score2,MATCH(1,(TM_Events=D835)*(TM_Participant1=AJ835)*(TM_Participant2=G835),0)),"")</f>
        <v/>
      </c>
      <c r="AO835" s="389" t="str">
        <f t="shared" ref="AO835:AO898" si="397">IF(AJ835="","",IF(ISNUMBER(AK835),IF(AK835&gt;AM835,"Win",IF(AK835=AM835,"Tie",IF(AK835&lt;AM835,"Loss","check"))),IF(ISNUMBER(AL835),IF(AN835&gt;AL835,"Win",IF(AN835=AL835,"Tie",IF(AN835&lt;AL835,"Loss","check"))),IF(AND(ISNA(AK835),ISNA(AL835)),"did not play","check"))))</f>
        <v/>
      </c>
      <c r="AP835" s="389">
        <f t="shared" ref="AP835:AP898" si="398">SUMIFS(TM_W1,TM_Events,D835,TM_Participant1,G835)+SUMIFS(TM_w2,TM_Events,D835,TM_Participant2,G835)</f>
        <v>0</v>
      </c>
      <c r="AQ835" s="389">
        <f t="shared" ref="AQ835:AQ898" si="399">SUMIFS(TM_T1,TM_Events,D835,TM_Participant1,G835)+SUMIFS(TM_T2,TM_Events,D835,TM_Participant2,G835)</f>
        <v>0</v>
      </c>
      <c r="AR835" s="389">
        <f t="shared" ref="AR835:AR898" si="400">SUMIFS(TM_L1,TM_Events,D835,TM_Participant1,G835)+SUMIFS(TM_L2,TM_Events,D835,TM_Participant2,G835)</f>
        <v>0</v>
      </c>
      <c r="AS835" s="453">
        <f t="shared" ref="AS835:AS898" si="401">SUMIFS(Net_1,TM_Events,D835,TM_Participant1,G835)+SUMIFS(Net_2,TM_Events,D835,TM_Participant2,G835)</f>
        <v>0</v>
      </c>
      <c r="AT835" s="452">
        <f t="shared" ref="AT835:AT898" si="402">SUMIFS(Score_1,TM_Events,D835,TM_Participant1,G835)+SUMIFS(Score_2,TM_Events,D835,TM_Participant2,G835)</f>
        <v>0</v>
      </c>
    </row>
    <row r="836" spans="2:46" ht="16" x14ac:dyDescent="0.2">
      <c r="B836"/>
      <c r="H836" s="387" t="str">
        <f t="shared" si="377"/>
        <v>0-0-0</v>
      </c>
      <c r="I836" s="389">
        <f t="shared" si="378"/>
        <v>0</v>
      </c>
      <c r="J836" s="455" t="str">
        <f t="shared" ref="J836:J899" si="403">IF(E836&lt;&gt;"",IF(COUNTIFS($D:$D,D836,$E:$E,E836,$I:$I,I836)&lt;3,IFERROR(IF(H836&lt;&gt;"0-0-0",IF(AO836&lt;&gt;"",IF(AO836="Win",2,IF(AO836="Loss",0,1)),""),""),""),1),IF(COUNTIFS(D:D,D836,I:I,I836)&lt;3,IFERROR(IF(H836&lt;&gt;"0-0-0",IF(AO836&lt;&gt;"",IF(AO836="Win",2,IF(AO836="Loss",0,1)),""),""),""),1))</f>
        <v/>
      </c>
      <c r="K836" s="455">
        <f t="shared" si="379"/>
        <v>0</v>
      </c>
      <c r="L836" s="455">
        <f t="shared" ref="L836:L899" si="404">IF(COUNTIFS(AG:AG,AG836,I:I,I836,J:J,J836,K:K,K836)&gt;1,AT836,"")</f>
        <v>0</v>
      </c>
      <c r="M836" s="389" t="str">
        <f>IFERROR(IF(AD836&lt;=VLOOKUP(D836,Tournaments!$A$1:$B$1772,2,FALSE),"TRUE","FALSE"),"")</f>
        <v/>
      </c>
      <c r="N836" s="389">
        <v>1</v>
      </c>
      <c r="O836" s="389">
        <f t="shared" si="380"/>
        <v>0</v>
      </c>
      <c r="Q836" s="389">
        <f t="shared" si="381"/>
        <v>0</v>
      </c>
      <c r="R836" s="389">
        <f t="shared" si="382"/>
        <v>0</v>
      </c>
      <c r="S836" s="389">
        <f t="shared" si="383"/>
        <v>0</v>
      </c>
      <c r="U836" s="389">
        <f t="shared" si="384"/>
        <v>0</v>
      </c>
      <c r="V836" s="389" t="b">
        <f t="shared" si="385"/>
        <v>0</v>
      </c>
      <c r="W836" s="389">
        <f t="shared" si="386"/>
        <v>0</v>
      </c>
      <c r="X836" s="389">
        <f t="shared" si="387"/>
        <v>0</v>
      </c>
      <c r="Y836" s="389">
        <f t="shared" ref="Y836:Y899" si="405">IFERROR(IF(K836&gt;=0,RANK(K836,$K:$K,1)/10000,RANK(K836,$K:$K,1)/10000),FALSE)</f>
        <v>1.0999999999999999E-2</v>
      </c>
      <c r="Z836" s="389">
        <f t="shared" si="388"/>
        <v>1.0999999999999999E-2</v>
      </c>
      <c r="AA836" s="389">
        <f t="shared" si="389"/>
        <v>0</v>
      </c>
      <c r="AB836" s="389">
        <f t="shared" si="390"/>
        <v>1E-4</v>
      </c>
      <c r="AC836" s="389">
        <f t="shared" si="391"/>
        <v>1E-4</v>
      </c>
      <c r="AD836" s="389">
        <f t="shared" si="392"/>
        <v>0</v>
      </c>
      <c r="AE836" s="389">
        <f t="shared" si="393"/>
        <v>0</v>
      </c>
      <c r="AG836" s="311" t="str">
        <f t="shared" si="394"/>
        <v>-</v>
      </c>
      <c r="AH836" s="453" t="str">
        <f t="shared" si="395"/>
        <v/>
      </c>
      <c r="AI836" s="453" t="str">
        <f t="shared" si="396"/>
        <v/>
      </c>
      <c r="AJ836" t="str">
        <f t="array" ref="AJ836">IF(AND(AI836&gt;1,G836&lt;&gt;""),INDEX(FS_teams,MATCH(1,(FS_Keys=AG836)*(FS_Points=I836)*(FS_teams&lt;&gt;G836),0)),"")</f>
        <v/>
      </c>
      <c r="AK836" s="390" t="str">
        <f t="array" ref="AK836">IF(AJ836&lt;&gt;"",INDEX(TM_Score1,MATCH(1,(TM_Events=D836)*(TM_Participant1=G836)*(TM_Participant2=AJ836),0)),"")</f>
        <v/>
      </c>
      <c r="AL836" s="390" t="str">
        <f t="array" ref="AL836">IF(AJ836&lt;&gt;"",INDEX(TM_Score1,MATCH(1,(TM_Events=D836)*(TM_Participant1=AJ836)*(TM_Participant2=G836),0)),"")</f>
        <v/>
      </c>
      <c r="AM836" s="389" t="str">
        <f t="array" ref="AM836">IF(ISNUMBER(AK836),INDEX(TM_Score2,MATCH(1,(TM_Events=D836)*(TM_Participant1=G836)*(TM_Participant2=AJ836),0)),"")</f>
        <v/>
      </c>
      <c r="AN836" s="389" t="str">
        <f t="array" ref="AN836">IF(ISNUMBER(AL836),INDEX(TM_Score2,MATCH(1,(TM_Events=D836)*(TM_Participant1=AJ836)*(TM_Participant2=G836),0)),"")</f>
        <v/>
      </c>
      <c r="AO836" s="389" t="str">
        <f t="shared" si="397"/>
        <v/>
      </c>
      <c r="AP836" s="389">
        <f t="shared" si="398"/>
        <v>0</v>
      </c>
      <c r="AQ836" s="389">
        <f t="shared" si="399"/>
        <v>0</v>
      </c>
      <c r="AR836" s="389">
        <f t="shared" si="400"/>
        <v>0</v>
      </c>
      <c r="AS836" s="453">
        <f t="shared" si="401"/>
        <v>0</v>
      </c>
      <c r="AT836" s="452">
        <f t="shared" si="402"/>
        <v>0</v>
      </c>
    </row>
    <row r="837" spans="2:46" ht="16" x14ac:dyDescent="0.2">
      <c r="B837"/>
      <c r="H837" s="387" t="str">
        <f t="shared" si="377"/>
        <v>0-0-0</v>
      </c>
      <c r="I837" s="389">
        <f t="shared" si="378"/>
        <v>0</v>
      </c>
      <c r="J837" s="455" t="str">
        <f t="shared" si="403"/>
        <v/>
      </c>
      <c r="K837" s="455">
        <f t="shared" si="379"/>
        <v>0</v>
      </c>
      <c r="L837" s="455">
        <f t="shared" si="404"/>
        <v>0</v>
      </c>
      <c r="M837" s="389" t="str">
        <f>IFERROR(IF(AD837&lt;=VLOOKUP(D837,Tournaments!$A$1:$B$1772,2,FALSE),"TRUE","FALSE"),"")</f>
        <v/>
      </c>
      <c r="N837" s="389">
        <v>1</v>
      </c>
      <c r="O837" s="389">
        <f t="shared" si="380"/>
        <v>0</v>
      </c>
      <c r="Q837" s="389">
        <f t="shared" si="381"/>
        <v>0</v>
      </c>
      <c r="R837" s="389">
        <f t="shared" si="382"/>
        <v>0</v>
      </c>
      <c r="S837" s="389">
        <f t="shared" si="383"/>
        <v>0</v>
      </c>
      <c r="U837" s="389">
        <f t="shared" si="384"/>
        <v>0</v>
      </c>
      <c r="V837" s="389" t="b">
        <f t="shared" si="385"/>
        <v>0</v>
      </c>
      <c r="W837" s="389">
        <f t="shared" si="386"/>
        <v>0</v>
      </c>
      <c r="X837" s="389">
        <f t="shared" si="387"/>
        <v>0</v>
      </c>
      <c r="Y837" s="389">
        <f t="shared" si="405"/>
        <v>1.0999999999999999E-2</v>
      </c>
      <c r="Z837" s="389">
        <f t="shared" si="388"/>
        <v>1.0999999999999999E-2</v>
      </c>
      <c r="AA837" s="389">
        <f t="shared" si="389"/>
        <v>0</v>
      </c>
      <c r="AB837" s="389">
        <f t="shared" si="390"/>
        <v>1E-4</v>
      </c>
      <c r="AC837" s="389">
        <f t="shared" si="391"/>
        <v>1E-4</v>
      </c>
      <c r="AD837" s="389">
        <f t="shared" si="392"/>
        <v>0</v>
      </c>
      <c r="AE837" s="389">
        <f t="shared" si="393"/>
        <v>0</v>
      </c>
      <c r="AG837" s="311" t="str">
        <f t="shared" si="394"/>
        <v>-</v>
      </c>
      <c r="AH837" s="453" t="str">
        <f t="shared" si="395"/>
        <v/>
      </c>
      <c r="AI837" s="453" t="str">
        <f t="shared" si="396"/>
        <v/>
      </c>
      <c r="AJ837" t="str">
        <f t="array" ref="AJ837">IF(AND(AI837&gt;1,G837&lt;&gt;""),INDEX(FS_teams,MATCH(1,(FS_Keys=AG837)*(FS_Points=I837)*(FS_teams&lt;&gt;G837),0)),"")</f>
        <v/>
      </c>
      <c r="AK837" s="390" t="str">
        <f t="array" ref="AK837">IF(AJ837&lt;&gt;"",INDEX(TM_Score1,MATCH(1,(TM_Events=D837)*(TM_Participant1=G837)*(TM_Participant2=AJ837),0)),"")</f>
        <v/>
      </c>
      <c r="AL837" s="390" t="str">
        <f t="array" ref="AL837">IF(AJ837&lt;&gt;"",INDEX(TM_Score1,MATCH(1,(TM_Events=D837)*(TM_Participant1=AJ837)*(TM_Participant2=G837),0)),"")</f>
        <v/>
      </c>
      <c r="AM837" s="389" t="str">
        <f t="array" ref="AM837">IF(ISNUMBER(AK837),INDEX(TM_Score2,MATCH(1,(TM_Events=D837)*(TM_Participant1=G837)*(TM_Participant2=AJ837),0)),"")</f>
        <v/>
      </c>
      <c r="AN837" s="389" t="str">
        <f t="array" ref="AN837">IF(ISNUMBER(AL837),INDEX(TM_Score2,MATCH(1,(TM_Events=D837)*(TM_Participant1=AJ837)*(TM_Participant2=G837),0)),"")</f>
        <v/>
      </c>
      <c r="AO837" s="389" t="str">
        <f t="shared" si="397"/>
        <v/>
      </c>
      <c r="AP837" s="389">
        <f t="shared" si="398"/>
        <v>0</v>
      </c>
      <c r="AQ837" s="389">
        <f t="shared" si="399"/>
        <v>0</v>
      </c>
      <c r="AR837" s="389">
        <f t="shared" si="400"/>
        <v>0</v>
      </c>
      <c r="AS837" s="453">
        <f t="shared" si="401"/>
        <v>0</v>
      </c>
      <c r="AT837" s="452">
        <f t="shared" si="402"/>
        <v>0</v>
      </c>
    </row>
    <row r="838" spans="2:46" ht="16" x14ac:dyDescent="0.2">
      <c r="B838"/>
      <c r="H838" s="387" t="str">
        <f t="shared" si="377"/>
        <v>0-0-0</v>
      </c>
      <c r="I838" s="389">
        <f t="shared" si="378"/>
        <v>0</v>
      </c>
      <c r="J838" s="455" t="str">
        <f t="shared" si="403"/>
        <v/>
      </c>
      <c r="K838" s="455">
        <f t="shared" si="379"/>
        <v>0</v>
      </c>
      <c r="L838" s="455">
        <f t="shared" si="404"/>
        <v>0</v>
      </c>
      <c r="M838" s="389" t="str">
        <f>IFERROR(IF(AD838&lt;=VLOOKUP(D838,Tournaments!$A$1:$B$1772,2,FALSE),"TRUE","FALSE"),"")</f>
        <v/>
      </c>
      <c r="N838" s="389">
        <v>1</v>
      </c>
      <c r="O838" s="389">
        <f t="shared" si="380"/>
        <v>0</v>
      </c>
      <c r="Q838" s="389">
        <f t="shared" si="381"/>
        <v>0</v>
      </c>
      <c r="R838" s="389">
        <f t="shared" si="382"/>
        <v>0</v>
      </c>
      <c r="S838" s="389">
        <f t="shared" si="383"/>
        <v>0</v>
      </c>
      <c r="U838" s="389">
        <f t="shared" si="384"/>
        <v>0</v>
      </c>
      <c r="V838" s="389" t="b">
        <f t="shared" si="385"/>
        <v>0</v>
      </c>
      <c r="W838" s="389">
        <f t="shared" si="386"/>
        <v>0</v>
      </c>
      <c r="X838" s="389">
        <f t="shared" si="387"/>
        <v>0</v>
      </c>
      <c r="Y838" s="389">
        <f t="shared" si="405"/>
        <v>1.0999999999999999E-2</v>
      </c>
      <c r="Z838" s="389">
        <f t="shared" si="388"/>
        <v>1.0999999999999999E-2</v>
      </c>
      <c r="AA838" s="389">
        <f t="shared" si="389"/>
        <v>0</v>
      </c>
      <c r="AB838" s="389">
        <f t="shared" si="390"/>
        <v>1E-4</v>
      </c>
      <c r="AC838" s="389">
        <f t="shared" si="391"/>
        <v>1E-4</v>
      </c>
      <c r="AD838" s="389">
        <f t="shared" si="392"/>
        <v>0</v>
      </c>
      <c r="AE838" s="389">
        <f t="shared" si="393"/>
        <v>0</v>
      </c>
      <c r="AG838" s="311" t="str">
        <f t="shared" si="394"/>
        <v>-</v>
      </c>
      <c r="AH838" s="453" t="str">
        <f t="shared" si="395"/>
        <v/>
      </c>
      <c r="AI838" s="453" t="str">
        <f t="shared" si="396"/>
        <v/>
      </c>
      <c r="AJ838" t="str">
        <f t="array" ref="AJ838">IF(AND(AI838&gt;1,G838&lt;&gt;""),INDEX(FS_teams,MATCH(1,(FS_Keys=AG838)*(FS_Points=I838)*(FS_teams&lt;&gt;G838),0)),"")</f>
        <v/>
      </c>
      <c r="AK838" s="390" t="str">
        <f t="array" ref="AK838">IF(AJ838&lt;&gt;"",INDEX(TM_Score1,MATCH(1,(TM_Events=D838)*(TM_Participant1=G838)*(TM_Participant2=AJ838),0)),"")</f>
        <v/>
      </c>
      <c r="AL838" s="390" t="str">
        <f t="array" ref="AL838">IF(AJ838&lt;&gt;"",INDEX(TM_Score1,MATCH(1,(TM_Events=D838)*(TM_Participant1=AJ838)*(TM_Participant2=G838),0)),"")</f>
        <v/>
      </c>
      <c r="AM838" s="389" t="str">
        <f t="array" ref="AM838">IF(ISNUMBER(AK838),INDEX(TM_Score2,MATCH(1,(TM_Events=D838)*(TM_Participant1=G838)*(TM_Participant2=AJ838),0)),"")</f>
        <v/>
      </c>
      <c r="AN838" s="389" t="str">
        <f t="array" ref="AN838">IF(ISNUMBER(AL838),INDEX(TM_Score2,MATCH(1,(TM_Events=D838)*(TM_Participant1=AJ838)*(TM_Participant2=G838),0)),"")</f>
        <v/>
      </c>
      <c r="AO838" s="389" t="str">
        <f t="shared" si="397"/>
        <v/>
      </c>
      <c r="AP838" s="389">
        <f t="shared" si="398"/>
        <v>0</v>
      </c>
      <c r="AQ838" s="389">
        <f t="shared" si="399"/>
        <v>0</v>
      </c>
      <c r="AR838" s="389">
        <f t="shared" si="400"/>
        <v>0</v>
      </c>
      <c r="AS838" s="453">
        <f t="shared" si="401"/>
        <v>0</v>
      </c>
      <c r="AT838" s="452">
        <f t="shared" si="402"/>
        <v>0</v>
      </c>
    </row>
    <row r="839" spans="2:46" ht="16" x14ac:dyDescent="0.2">
      <c r="B839"/>
      <c r="H839" s="387" t="str">
        <f t="shared" si="377"/>
        <v>0-0-0</v>
      </c>
      <c r="I839" s="389">
        <f t="shared" si="378"/>
        <v>0</v>
      </c>
      <c r="J839" s="455" t="str">
        <f t="shared" si="403"/>
        <v/>
      </c>
      <c r="K839" s="455">
        <f t="shared" si="379"/>
        <v>0</v>
      </c>
      <c r="L839" s="455">
        <f t="shared" si="404"/>
        <v>0</v>
      </c>
      <c r="M839" s="389" t="str">
        <f>IFERROR(IF(AD839&lt;=VLOOKUP(D839,Tournaments!$A$1:$B$1772,2,FALSE),"TRUE","FALSE"),"")</f>
        <v/>
      </c>
      <c r="N839" s="389">
        <v>1</v>
      </c>
      <c r="O839" s="389">
        <f t="shared" si="380"/>
        <v>0</v>
      </c>
      <c r="Q839" s="389">
        <f t="shared" si="381"/>
        <v>0</v>
      </c>
      <c r="R839" s="389">
        <f t="shared" si="382"/>
        <v>0</v>
      </c>
      <c r="S839" s="389">
        <f t="shared" si="383"/>
        <v>0</v>
      </c>
      <c r="U839" s="389">
        <f t="shared" si="384"/>
        <v>0</v>
      </c>
      <c r="V839" s="389" t="b">
        <f t="shared" si="385"/>
        <v>0</v>
      </c>
      <c r="W839" s="389">
        <f t="shared" si="386"/>
        <v>0</v>
      </c>
      <c r="X839" s="389">
        <f t="shared" si="387"/>
        <v>0</v>
      </c>
      <c r="Y839" s="389">
        <f t="shared" si="405"/>
        <v>1.0999999999999999E-2</v>
      </c>
      <c r="Z839" s="389">
        <f t="shared" si="388"/>
        <v>1.0999999999999999E-2</v>
      </c>
      <c r="AA839" s="389">
        <f t="shared" si="389"/>
        <v>0</v>
      </c>
      <c r="AB839" s="389">
        <f t="shared" si="390"/>
        <v>1E-4</v>
      </c>
      <c r="AC839" s="389">
        <f t="shared" si="391"/>
        <v>1E-4</v>
      </c>
      <c r="AD839" s="389">
        <f t="shared" si="392"/>
        <v>0</v>
      </c>
      <c r="AE839" s="389">
        <f t="shared" si="393"/>
        <v>0</v>
      </c>
      <c r="AG839" s="311" t="str">
        <f t="shared" si="394"/>
        <v>-</v>
      </c>
      <c r="AH839" s="453" t="str">
        <f t="shared" si="395"/>
        <v/>
      </c>
      <c r="AI839" s="453" t="str">
        <f t="shared" si="396"/>
        <v/>
      </c>
      <c r="AJ839" t="str">
        <f t="array" ref="AJ839">IF(AND(AI839&gt;1,G839&lt;&gt;""),INDEX(FS_teams,MATCH(1,(FS_Keys=AG839)*(FS_Points=I839)*(FS_teams&lt;&gt;G839),0)),"")</f>
        <v/>
      </c>
      <c r="AK839" s="390" t="str">
        <f t="array" ref="AK839">IF(AJ839&lt;&gt;"",INDEX(TM_Score1,MATCH(1,(TM_Events=D839)*(TM_Participant1=G839)*(TM_Participant2=AJ839),0)),"")</f>
        <v/>
      </c>
      <c r="AL839" s="390" t="str">
        <f t="array" ref="AL839">IF(AJ839&lt;&gt;"",INDEX(TM_Score1,MATCH(1,(TM_Events=D839)*(TM_Participant1=AJ839)*(TM_Participant2=G839),0)),"")</f>
        <v/>
      </c>
      <c r="AM839" s="389" t="str">
        <f t="array" ref="AM839">IF(ISNUMBER(AK839),INDEX(TM_Score2,MATCH(1,(TM_Events=D839)*(TM_Participant1=G839)*(TM_Participant2=AJ839),0)),"")</f>
        <v/>
      </c>
      <c r="AN839" s="389" t="str">
        <f t="array" ref="AN839">IF(ISNUMBER(AL839),INDEX(TM_Score2,MATCH(1,(TM_Events=D839)*(TM_Participant1=AJ839)*(TM_Participant2=G839),0)),"")</f>
        <v/>
      </c>
      <c r="AO839" s="389" t="str">
        <f t="shared" si="397"/>
        <v/>
      </c>
      <c r="AP839" s="389">
        <f t="shared" si="398"/>
        <v>0</v>
      </c>
      <c r="AQ839" s="389">
        <f t="shared" si="399"/>
        <v>0</v>
      </c>
      <c r="AR839" s="389">
        <f t="shared" si="400"/>
        <v>0</v>
      </c>
      <c r="AS839" s="453">
        <f t="shared" si="401"/>
        <v>0</v>
      </c>
      <c r="AT839" s="452">
        <f t="shared" si="402"/>
        <v>0</v>
      </c>
    </row>
    <row r="840" spans="2:46" ht="16" x14ac:dyDescent="0.2">
      <c r="B840"/>
      <c r="H840" s="387" t="str">
        <f t="shared" si="377"/>
        <v>0-0-0</v>
      </c>
      <c r="I840" s="389">
        <f t="shared" si="378"/>
        <v>0</v>
      </c>
      <c r="J840" s="455" t="str">
        <f t="shared" si="403"/>
        <v/>
      </c>
      <c r="K840" s="455">
        <f t="shared" si="379"/>
        <v>0</v>
      </c>
      <c r="L840" s="455">
        <f t="shared" si="404"/>
        <v>0</v>
      </c>
      <c r="M840" s="389" t="str">
        <f>IFERROR(IF(AD840&lt;=VLOOKUP(D840,Tournaments!$A$1:$B$1772,2,FALSE),"TRUE","FALSE"),"")</f>
        <v/>
      </c>
      <c r="N840" s="389">
        <v>1</v>
      </c>
      <c r="O840" s="389">
        <f t="shared" si="380"/>
        <v>0</v>
      </c>
      <c r="Q840" s="389">
        <f t="shared" si="381"/>
        <v>0</v>
      </c>
      <c r="R840" s="389">
        <f t="shared" si="382"/>
        <v>0</v>
      </c>
      <c r="S840" s="389">
        <f t="shared" si="383"/>
        <v>0</v>
      </c>
      <c r="U840" s="389">
        <f t="shared" si="384"/>
        <v>0</v>
      </c>
      <c r="V840" s="389" t="b">
        <f t="shared" si="385"/>
        <v>0</v>
      </c>
      <c r="W840" s="389">
        <f t="shared" si="386"/>
        <v>0</v>
      </c>
      <c r="X840" s="389">
        <f t="shared" si="387"/>
        <v>0</v>
      </c>
      <c r="Y840" s="389">
        <f t="shared" si="405"/>
        <v>1.0999999999999999E-2</v>
      </c>
      <c r="Z840" s="389">
        <f t="shared" si="388"/>
        <v>1.0999999999999999E-2</v>
      </c>
      <c r="AA840" s="389">
        <f t="shared" si="389"/>
        <v>0</v>
      </c>
      <c r="AB840" s="389">
        <f t="shared" si="390"/>
        <v>1E-4</v>
      </c>
      <c r="AC840" s="389">
        <f t="shared" si="391"/>
        <v>1E-4</v>
      </c>
      <c r="AD840" s="389">
        <f t="shared" si="392"/>
        <v>0</v>
      </c>
      <c r="AE840" s="389">
        <f t="shared" si="393"/>
        <v>0</v>
      </c>
      <c r="AG840" s="311" t="str">
        <f t="shared" si="394"/>
        <v>-</v>
      </c>
      <c r="AH840" s="453" t="str">
        <f t="shared" si="395"/>
        <v/>
      </c>
      <c r="AI840" s="453" t="str">
        <f t="shared" si="396"/>
        <v/>
      </c>
      <c r="AJ840" t="str">
        <f t="array" ref="AJ840">IF(AND(AI840&gt;1,G840&lt;&gt;""),INDEX(FS_teams,MATCH(1,(FS_Keys=AG840)*(FS_Points=I840)*(FS_teams&lt;&gt;G840),0)),"")</f>
        <v/>
      </c>
      <c r="AK840" s="390" t="str">
        <f t="array" ref="AK840">IF(AJ840&lt;&gt;"",INDEX(TM_Score1,MATCH(1,(TM_Events=D840)*(TM_Participant1=G840)*(TM_Participant2=AJ840),0)),"")</f>
        <v/>
      </c>
      <c r="AL840" s="390" t="str">
        <f t="array" ref="AL840">IF(AJ840&lt;&gt;"",INDEX(TM_Score1,MATCH(1,(TM_Events=D840)*(TM_Participant1=AJ840)*(TM_Participant2=G840),0)),"")</f>
        <v/>
      </c>
      <c r="AM840" s="389" t="str">
        <f t="array" ref="AM840">IF(ISNUMBER(AK840),INDEX(TM_Score2,MATCH(1,(TM_Events=D840)*(TM_Participant1=G840)*(TM_Participant2=AJ840),0)),"")</f>
        <v/>
      </c>
      <c r="AN840" s="389" t="str">
        <f t="array" ref="AN840">IF(ISNUMBER(AL840),INDEX(TM_Score2,MATCH(1,(TM_Events=D840)*(TM_Participant1=AJ840)*(TM_Participant2=G840),0)),"")</f>
        <v/>
      </c>
      <c r="AO840" s="389" t="str">
        <f t="shared" si="397"/>
        <v/>
      </c>
      <c r="AP840" s="389">
        <f t="shared" si="398"/>
        <v>0</v>
      </c>
      <c r="AQ840" s="389">
        <f t="shared" si="399"/>
        <v>0</v>
      </c>
      <c r="AR840" s="389">
        <f t="shared" si="400"/>
        <v>0</v>
      </c>
      <c r="AS840" s="453">
        <f t="shared" si="401"/>
        <v>0</v>
      </c>
      <c r="AT840" s="452">
        <f t="shared" si="402"/>
        <v>0</v>
      </c>
    </row>
    <row r="841" spans="2:46" ht="16" x14ac:dyDescent="0.2">
      <c r="B841"/>
      <c r="H841" s="387" t="str">
        <f t="shared" si="377"/>
        <v>0-0-0</v>
      </c>
      <c r="I841" s="389">
        <f t="shared" si="378"/>
        <v>0</v>
      </c>
      <c r="J841" s="455" t="str">
        <f t="shared" si="403"/>
        <v/>
      </c>
      <c r="K841" s="455">
        <f t="shared" si="379"/>
        <v>0</v>
      </c>
      <c r="L841" s="455">
        <f t="shared" si="404"/>
        <v>0</v>
      </c>
      <c r="M841" s="389" t="str">
        <f>IFERROR(IF(AD841&lt;=VLOOKUP(D841,Tournaments!$A$1:$B$1772,2,FALSE),"TRUE","FALSE"),"")</f>
        <v/>
      </c>
      <c r="N841" s="389">
        <v>1</v>
      </c>
      <c r="O841" s="389">
        <f t="shared" si="380"/>
        <v>0</v>
      </c>
      <c r="Q841" s="389">
        <f t="shared" si="381"/>
        <v>0</v>
      </c>
      <c r="R841" s="389">
        <f t="shared" si="382"/>
        <v>0</v>
      </c>
      <c r="S841" s="389">
        <f t="shared" si="383"/>
        <v>0</v>
      </c>
      <c r="U841" s="389">
        <f t="shared" si="384"/>
        <v>0</v>
      </c>
      <c r="V841" s="389" t="b">
        <f t="shared" si="385"/>
        <v>0</v>
      </c>
      <c r="W841" s="389">
        <f t="shared" si="386"/>
        <v>0</v>
      </c>
      <c r="X841" s="389">
        <f t="shared" si="387"/>
        <v>0</v>
      </c>
      <c r="Y841" s="389">
        <f t="shared" si="405"/>
        <v>1.0999999999999999E-2</v>
      </c>
      <c r="Z841" s="389">
        <f t="shared" si="388"/>
        <v>1.0999999999999999E-2</v>
      </c>
      <c r="AA841" s="389">
        <f t="shared" si="389"/>
        <v>0</v>
      </c>
      <c r="AB841" s="389">
        <f t="shared" si="390"/>
        <v>1E-4</v>
      </c>
      <c r="AC841" s="389">
        <f t="shared" si="391"/>
        <v>1E-4</v>
      </c>
      <c r="AD841" s="389">
        <f t="shared" si="392"/>
        <v>0</v>
      </c>
      <c r="AE841" s="389">
        <f t="shared" si="393"/>
        <v>0</v>
      </c>
      <c r="AG841" s="311" t="str">
        <f t="shared" si="394"/>
        <v>-</v>
      </c>
      <c r="AH841" s="453" t="str">
        <f t="shared" si="395"/>
        <v/>
      </c>
      <c r="AI841" s="453" t="str">
        <f t="shared" si="396"/>
        <v/>
      </c>
      <c r="AJ841" t="str">
        <f t="array" ref="AJ841">IF(AND(AI841&gt;1,G841&lt;&gt;""),INDEX(FS_teams,MATCH(1,(FS_Keys=AG841)*(FS_Points=I841)*(FS_teams&lt;&gt;G841),0)),"")</f>
        <v/>
      </c>
      <c r="AK841" s="390" t="str">
        <f t="array" ref="AK841">IF(AJ841&lt;&gt;"",INDEX(TM_Score1,MATCH(1,(TM_Events=D841)*(TM_Participant1=G841)*(TM_Participant2=AJ841),0)),"")</f>
        <v/>
      </c>
      <c r="AL841" s="390" t="str">
        <f t="array" ref="AL841">IF(AJ841&lt;&gt;"",INDEX(TM_Score1,MATCH(1,(TM_Events=D841)*(TM_Participant1=AJ841)*(TM_Participant2=G841),0)),"")</f>
        <v/>
      </c>
      <c r="AM841" s="389" t="str">
        <f t="array" ref="AM841">IF(ISNUMBER(AK841),INDEX(TM_Score2,MATCH(1,(TM_Events=D841)*(TM_Participant1=G841)*(TM_Participant2=AJ841),0)),"")</f>
        <v/>
      </c>
      <c r="AN841" s="389" t="str">
        <f t="array" ref="AN841">IF(ISNUMBER(AL841),INDEX(TM_Score2,MATCH(1,(TM_Events=D841)*(TM_Participant1=AJ841)*(TM_Participant2=G841),0)),"")</f>
        <v/>
      </c>
      <c r="AO841" s="389" t="str">
        <f t="shared" si="397"/>
        <v/>
      </c>
      <c r="AP841" s="389">
        <f t="shared" si="398"/>
        <v>0</v>
      </c>
      <c r="AQ841" s="389">
        <f t="shared" si="399"/>
        <v>0</v>
      </c>
      <c r="AR841" s="389">
        <f t="shared" si="400"/>
        <v>0</v>
      </c>
      <c r="AS841" s="453">
        <f t="shared" si="401"/>
        <v>0</v>
      </c>
      <c r="AT841" s="452">
        <f t="shared" si="402"/>
        <v>0</v>
      </c>
    </row>
    <row r="842" spans="2:46" ht="16" x14ac:dyDescent="0.2">
      <c r="B842"/>
      <c r="H842" s="387" t="str">
        <f t="shared" si="377"/>
        <v>0-0-0</v>
      </c>
      <c r="I842" s="389">
        <f t="shared" si="378"/>
        <v>0</v>
      </c>
      <c r="J842" s="455" t="str">
        <f t="shared" si="403"/>
        <v/>
      </c>
      <c r="K842" s="455">
        <f t="shared" si="379"/>
        <v>0</v>
      </c>
      <c r="L842" s="455">
        <f t="shared" si="404"/>
        <v>0</v>
      </c>
      <c r="M842" s="389" t="str">
        <f>IFERROR(IF(AD842&lt;=VLOOKUP(D842,Tournaments!$A$1:$B$1772,2,FALSE),"TRUE","FALSE"),"")</f>
        <v/>
      </c>
      <c r="N842" s="389">
        <v>1</v>
      </c>
      <c r="O842" s="389">
        <f t="shared" si="380"/>
        <v>0</v>
      </c>
      <c r="Q842" s="389">
        <f t="shared" si="381"/>
        <v>0</v>
      </c>
      <c r="R842" s="389">
        <f t="shared" si="382"/>
        <v>0</v>
      </c>
      <c r="S842" s="389">
        <f t="shared" si="383"/>
        <v>0</v>
      </c>
      <c r="U842" s="389">
        <f t="shared" si="384"/>
        <v>0</v>
      </c>
      <c r="V842" s="389" t="b">
        <f t="shared" si="385"/>
        <v>0</v>
      </c>
      <c r="W842" s="389">
        <f t="shared" si="386"/>
        <v>0</v>
      </c>
      <c r="X842" s="389">
        <f t="shared" si="387"/>
        <v>0</v>
      </c>
      <c r="Y842" s="389">
        <f t="shared" si="405"/>
        <v>1.0999999999999999E-2</v>
      </c>
      <c r="Z842" s="389">
        <f t="shared" si="388"/>
        <v>1.0999999999999999E-2</v>
      </c>
      <c r="AA842" s="389">
        <f t="shared" si="389"/>
        <v>0</v>
      </c>
      <c r="AB842" s="389">
        <f t="shared" si="390"/>
        <v>1E-4</v>
      </c>
      <c r="AC842" s="389">
        <f t="shared" si="391"/>
        <v>1E-4</v>
      </c>
      <c r="AD842" s="389">
        <f t="shared" si="392"/>
        <v>0</v>
      </c>
      <c r="AE842" s="389">
        <f t="shared" si="393"/>
        <v>0</v>
      </c>
      <c r="AG842" s="311" t="str">
        <f t="shared" si="394"/>
        <v>-</v>
      </c>
      <c r="AH842" s="453" t="str">
        <f t="shared" si="395"/>
        <v/>
      </c>
      <c r="AI842" s="453" t="str">
        <f t="shared" si="396"/>
        <v/>
      </c>
      <c r="AJ842" t="str">
        <f t="array" ref="AJ842">IF(AND(AI842&gt;1,G842&lt;&gt;""),INDEX(FS_teams,MATCH(1,(FS_Keys=AG842)*(FS_Points=I842)*(FS_teams&lt;&gt;G842),0)),"")</f>
        <v/>
      </c>
      <c r="AK842" s="390" t="str">
        <f t="array" ref="AK842">IF(AJ842&lt;&gt;"",INDEX(TM_Score1,MATCH(1,(TM_Events=D842)*(TM_Participant1=G842)*(TM_Participant2=AJ842),0)),"")</f>
        <v/>
      </c>
      <c r="AL842" s="390" t="str">
        <f t="array" ref="AL842">IF(AJ842&lt;&gt;"",INDEX(TM_Score1,MATCH(1,(TM_Events=D842)*(TM_Participant1=AJ842)*(TM_Participant2=G842),0)),"")</f>
        <v/>
      </c>
      <c r="AM842" s="389" t="str">
        <f t="array" ref="AM842">IF(ISNUMBER(AK842),INDEX(TM_Score2,MATCH(1,(TM_Events=D842)*(TM_Participant1=G842)*(TM_Participant2=AJ842),0)),"")</f>
        <v/>
      </c>
      <c r="AN842" s="389" t="str">
        <f t="array" ref="AN842">IF(ISNUMBER(AL842),INDEX(TM_Score2,MATCH(1,(TM_Events=D842)*(TM_Participant1=AJ842)*(TM_Participant2=G842),0)),"")</f>
        <v/>
      </c>
      <c r="AO842" s="389" t="str">
        <f t="shared" si="397"/>
        <v/>
      </c>
      <c r="AP842" s="389">
        <f t="shared" si="398"/>
        <v>0</v>
      </c>
      <c r="AQ842" s="389">
        <f t="shared" si="399"/>
        <v>0</v>
      </c>
      <c r="AR842" s="389">
        <f t="shared" si="400"/>
        <v>0</v>
      </c>
      <c r="AS842" s="453">
        <f t="shared" si="401"/>
        <v>0</v>
      </c>
      <c r="AT842" s="452">
        <f t="shared" si="402"/>
        <v>0</v>
      </c>
    </row>
    <row r="843" spans="2:46" ht="16" x14ac:dyDescent="0.2">
      <c r="B843"/>
      <c r="H843" s="387" t="str">
        <f t="shared" si="377"/>
        <v>0-0-0</v>
      </c>
      <c r="I843" s="389">
        <f t="shared" si="378"/>
        <v>0</v>
      </c>
      <c r="J843" s="455" t="str">
        <f t="shared" si="403"/>
        <v/>
      </c>
      <c r="K843" s="455">
        <f t="shared" si="379"/>
        <v>0</v>
      </c>
      <c r="L843" s="455">
        <f t="shared" si="404"/>
        <v>0</v>
      </c>
      <c r="M843" s="389" t="str">
        <f>IFERROR(IF(AD843&lt;=VLOOKUP(D843,Tournaments!$A$1:$B$1772,2,FALSE),"TRUE","FALSE"),"")</f>
        <v/>
      </c>
      <c r="N843" s="389">
        <v>1</v>
      </c>
      <c r="O843" s="389">
        <f t="shared" si="380"/>
        <v>0</v>
      </c>
      <c r="Q843" s="389">
        <f t="shared" si="381"/>
        <v>0</v>
      </c>
      <c r="R843" s="389">
        <f t="shared" si="382"/>
        <v>0</v>
      </c>
      <c r="S843" s="389">
        <f t="shared" si="383"/>
        <v>0</v>
      </c>
      <c r="U843" s="389">
        <f t="shared" si="384"/>
        <v>0</v>
      </c>
      <c r="V843" s="389" t="b">
        <f t="shared" si="385"/>
        <v>0</v>
      </c>
      <c r="W843" s="389">
        <f t="shared" si="386"/>
        <v>0</v>
      </c>
      <c r="X843" s="389">
        <f t="shared" si="387"/>
        <v>0</v>
      </c>
      <c r="Y843" s="389">
        <f t="shared" si="405"/>
        <v>1.0999999999999999E-2</v>
      </c>
      <c r="Z843" s="389">
        <f t="shared" si="388"/>
        <v>1.0999999999999999E-2</v>
      </c>
      <c r="AA843" s="389">
        <f t="shared" si="389"/>
        <v>0</v>
      </c>
      <c r="AB843" s="389">
        <f t="shared" si="390"/>
        <v>1E-4</v>
      </c>
      <c r="AC843" s="389">
        <f t="shared" si="391"/>
        <v>1E-4</v>
      </c>
      <c r="AD843" s="389">
        <f t="shared" si="392"/>
        <v>0</v>
      </c>
      <c r="AE843" s="389">
        <f t="shared" si="393"/>
        <v>0</v>
      </c>
      <c r="AG843" s="311" t="str">
        <f t="shared" si="394"/>
        <v>-</v>
      </c>
      <c r="AH843" s="453" t="str">
        <f t="shared" si="395"/>
        <v/>
      </c>
      <c r="AI843" s="453" t="str">
        <f t="shared" si="396"/>
        <v/>
      </c>
      <c r="AJ843" t="str">
        <f t="array" ref="AJ843">IF(AND(AI843&gt;1,G843&lt;&gt;""),INDEX(FS_teams,MATCH(1,(FS_Keys=AG843)*(FS_Points=I843)*(FS_teams&lt;&gt;G843),0)),"")</f>
        <v/>
      </c>
      <c r="AK843" s="390" t="str">
        <f t="array" ref="AK843">IF(AJ843&lt;&gt;"",INDEX(TM_Score1,MATCH(1,(TM_Events=D843)*(TM_Participant1=G843)*(TM_Participant2=AJ843),0)),"")</f>
        <v/>
      </c>
      <c r="AL843" s="390" t="str">
        <f t="array" ref="AL843">IF(AJ843&lt;&gt;"",INDEX(TM_Score1,MATCH(1,(TM_Events=D843)*(TM_Participant1=AJ843)*(TM_Participant2=G843),0)),"")</f>
        <v/>
      </c>
      <c r="AM843" s="389" t="str">
        <f t="array" ref="AM843">IF(ISNUMBER(AK843),INDEX(TM_Score2,MATCH(1,(TM_Events=D843)*(TM_Participant1=G843)*(TM_Participant2=AJ843),0)),"")</f>
        <v/>
      </c>
      <c r="AN843" s="389" t="str">
        <f t="array" ref="AN843">IF(ISNUMBER(AL843),INDEX(TM_Score2,MATCH(1,(TM_Events=D843)*(TM_Participant1=AJ843)*(TM_Participant2=G843),0)),"")</f>
        <v/>
      </c>
      <c r="AO843" s="389" t="str">
        <f t="shared" si="397"/>
        <v/>
      </c>
      <c r="AP843" s="389">
        <f t="shared" si="398"/>
        <v>0</v>
      </c>
      <c r="AQ843" s="389">
        <f t="shared" si="399"/>
        <v>0</v>
      </c>
      <c r="AR843" s="389">
        <f t="shared" si="400"/>
        <v>0</v>
      </c>
      <c r="AS843" s="453">
        <f t="shared" si="401"/>
        <v>0</v>
      </c>
      <c r="AT843" s="452">
        <f t="shared" si="402"/>
        <v>0</v>
      </c>
    </row>
    <row r="844" spans="2:46" ht="16" x14ac:dyDescent="0.2">
      <c r="B844"/>
      <c r="H844" s="387" t="str">
        <f t="shared" si="377"/>
        <v>0-0-0</v>
      </c>
      <c r="I844" s="389">
        <f t="shared" si="378"/>
        <v>0</v>
      </c>
      <c r="J844" s="455" t="str">
        <f t="shared" si="403"/>
        <v/>
      </c>
      <c r="K844" s="455">
        <f t="shared" si="379"/>
        <v>0</v>
      </c>
      <c r="L844" s="455">
        <f t="shared" si="404"/>
        <v>0</v>
      </c>
      <c r="M844" s="389" t="str">
        <f>IFERROR(IF(AD844&lt;=VLOOKUP(D844,Tournaments!$A$1:$B$1772,2,FALSE),"TRUE","FALSE"),"")</f>
        <v/>
      </c>
      <c r="N844" s="389">
        <v>1</v>
      </c>
      <c r="O844" s="389">
        <f t="shared" si="380"/>
        <v>0</v>
      </c>
      <c r="Q844" s="389">
        <f t="shared" si="381"/>
        <v>0</v>
      </c>
      <c r="R844" s="389">
        <f t="shared" si="382"/>
        <v>0</v>
      </c>
      <c r="S844" s="389">
        <f t="shared" si="383"/>
        <v>0</v>
      </c>
      <c r="U844" s="389">
        <f t="shared" si="384"/>
        <v>0</v>
      </c>
      <c r="V844" s="389" t="b">
        <f t="shared" si="385"/>
        <v>0</v>
      </c>
      <c r="W844" s="389">
        <f t="shared" si="386"/>
        <v>0</v>
      </c>
      <c r="X844" s="389">
        <f t="shared" si="387"/>
        <v>0</v>
      </c>
      <c r="Y844" s="389">
        <f t="shared" si="405"/>
        <v>1.0999999999999999E-2</v>
      </c>
      <c r="Z844" s="389">
        <f t="shared" si="388"/>
        <v>1.0999999999999999E-2</v>
      </c>
      <c r="AA844" s="389">
        <f t="shared" si="389"/>
        <v>0</v>
      </c>
      <c r="AB844" s="389">
        <f t="shared" si="390"/>
        <v>1E-4</v>
      </c>
      <c r="AC844" s="389">
        <f t="shared" si="391"/>
        <v>1E-4</v>
      </c>
      <c r="AD844" s="389">
        <f t="shared" si="392"/>
        <v>0</v>
      </c>
      <c r="AE844" s="389">
        <f t="shared" si="393"/>
        <v>0</v>
      </c>
      <c r="AG844" s="311" t="str">
        <f t="shared" si="394"/>
        <v>-</v>
      </c>
      <c r="AH844" s="453" t="str">
        <f t="shared" si="395"/>
        <v/>
      </c>
      <c r="AI844" s="453" t="str">
        <f t="shared" si="396"/>
        <v/>
      </c>
      <c r="AJ844" t="str">
        <f t="array" ref="AJ844">IF(AND(AI844&gt;1,G844&lt;&gt;""),INDEX(FS_teams,MATCH(1,(FS_Keys=AG844)*(FS_Points=I844)*(FS_teams&lt;&gt;G844),0)),"")</f>
        <v/>
      </c>
      <c r="AK844" s="390" t="str">
        <f t="array" ref="AK844">IF(AJ844&lt;&gt;"",INDEX(TM_Score1,MATCH(1,(TM_Events=D844)*(TM_Participant1=G844)*(TM_Participant2=AJ844),0)),"")</f>
        <v/>
      </c>
      <c r="AL844" s="390" t="str">
        <f t="array" ref="AL844">IF(AJ844&lt;&gt;"",INDEX(TM_Score1,MATCH(1,(TM_Events=D844)*(TM_Participant1=AJ844)*(TM_Participant2=G844),0)),"")</f>
        <v/>
      </c>
      <c r="AM844" s="389" t="str">
        <f t="array" ref="AM844">IF(ISNUMBER(AK844),INDEX(TM_Score2,MATCH(1,(TM_Events=D844)*(TM_Participant1=G844)*(TM_Participant2=AJ844),0)),"")</f>
        <v/>
      </c>
      <c r="AN844" s="389" t="str">
        <f t="array" ref="AN844">IF(ISNUMBER(AL844),INDEX(TM_Score2,MATCH(1,(TM_Events=D844)*(TM_Participant1=AJ844)*(TM_Participant2=G844),0)),"")</f>
        <v/>
      </c>
      <c r="AO844" s="389" t="str">
        <f t="shared" si="397"/>
        <v/>
      </c>
      <c r="AP844" s="389">
        <f t="shared" si="398"/>
        <v>0</v>
      </c>
      <c r="AQ844" s="389">
        <f t="shared" si="399"/>
        <v>0</v>
      </c>
      <c r="AR844" s="389">
        <f t="shared" si="400"/>
        <v>0</v>
      </c>
      <c r="AS844" s="453">
        <f t="shared" si="401"/>
        <v>0</v>
      </c>
      <c r="AT844" s="452">
        <f t="shared" si="402"/>
        <v>0</v>
      </c>
    </row>
    <row r="845" spans="2:46" ht="16" x14ac:dyDescent="0.2">
      <c r="B845"/>
      <c r="H845" s="387" t="str">
        <f t="shared" si="377"/>
        <v>0-0-0</v>
      </c>
      <c r="I845" s="389">
        <f t="shared" si="378"/>
        <v>0</v>
      </c>
      <c r="J845" s="455" t="str">
        <f t="shared" si="403"/>
        <v/>
      </c>
      <c r="K845" s="455">
        <f t="shared" si="379"/>
        <v>0</v>
      </c>
      <c r="L845" s="455">
        <f t="shared" si="404"/>
        <v>0</v>
      </c>
      <c r="M845" s="389" t="str">
        <f>IFERROR(IF(AD845&lt;=VLOOKUP(D845,Tournaments!$A$1:$B$1772,2,FALSE),"TRUE","FALSE"),"")</f>
        <v/>
      </c>
      <c r="N845" s="389">
        <v>1</v>
      </c>
      <c r="O845" s="389">
        <f t="shared" si="380"/>
        <v>0</v>
      </c>
      <c r="Q845" s="389">
        <f t="shared" si="381"/>
        <v>0</v>
      </c>
      <c r="R845" s="389">
        <f t="shared" si="382"/>
        <v>0</v>
      </c>
      <c r="S845" s="389">
        <f t="shared" si="383"/>
        <v>0</v>
      </c>
      <c r="U845" s="389">
        <f t="shared" si="384"/>
        <v>0</v>
      </c>
      <c r="V845" s="389" t="b">
        <f t="shared" si="385"/>
        <v>0</v>
      </c>
      <c r="W845" s="389">
        <f t="shared" si="386"/>
        <v>0</v>
      </c>
      <c r="X845" s="389">
        <f t="shared" si="387"/>
        <v>0</v>
      </c>
      <c r="Y845" s="389">
        <f t="shared" si="405"/>
        <v>1.0999999999999999E-2</v>
      </c>
      <c r="Z845" s="389">
        <f t="shared" si="388"/>
        <v>1.0999999999999999E-2</v>
      </c>
      <c r="AA845" s="389">
        <f t="shared" si="389"/>
        <v>0</v>
      </c>
      <c r="AB845" s="389">
        <f t="shared" si="390"/>
        <v>1E-4</v>
      </c>
      <c r="AC845" s="389">
        <f t="shared" si="391"/>
        <v>1E-4</v>
      </c>
      <c r="AD845" s="389">
        <f t="shared" si="392"/>
        <v>0</v>
      </c>
      <c r="AE845" s="389">
        <f t="shared" si="393"/>
        <v>0</v>
      </c>
      <c r="AG845" s="311" t="str">
        <f t="shared" si="394"/>
        <v>-</v>
      </c>
      <c r="AH845" s="453" t="str">
        <f t="shared" si="395"/>
        <v/>
      </c>
      <c r="AI845" s="453" t="str">
        <f t="shared" si="396"/>
        <v/>
      </c>
      <c r="AJ845" t="str">
        <f t="array" ref="AJ845">IF(AND(AI845&gt;1,G845&lt;&gt;""),INDEX(FS_teams,MATCH(1,(FS_Keys=AG845)*(FS_Points=I845)*(FS_teams&lt;&gt;G845),0)),"")</f>
        <v/>
      </c>
      <c r="AK845" s="390" t="str">
        <f t="array" ref="AK845">IF(AJ845&lt;&gt;"",INDEX(TM_Score1,MATCH(1,(TM_Events=D845)*(TM_Participant1=G845)*(TM_Participant2=AJ845),0)),"")</f>
        <v/>
      </c>
      <c r="AL845" s="390" t="str">
        <f t="array" ref="AL845">IF(AJ845&lt;&gt;"",INDEX(TM_Score1,MATCH(1,(TM_Events=D845)*(TM_Participant1=AJ845)*(TM_Participant2=G845),0)),"")</f>
        <v/>
      </c>
      <c r="AM845" s="389" t="str">
        <f t="array" ref="AM845">IF(ISNUMBER(AK845),INDEX(TM_Score2,MATCH(1,(TM_Events=D845)*(TM_Participant1=G845)*(TM_Participant2=AJ845),0)),"")</f>
        <v/>
      </c>
      <c r="AN845" s="389" t="str">
        <f t="array" ref="AN845">IF(ISNUMBER(AL845),INDEX(TM_Score2,MATCH(1,(TM_Events=D845)*(TM_Participant1=AJ845)*(TM_Participant2=G845),0)),"")</f>
        <v/>
      </c>
      <c r="AO845" s="389" t="str">
        <f t="shared" si="397"/>
        <v/>
      </c>
      <c r="AP845" s="389">
        <f t="shared" si="398"/>
        <v>0</v>
      </c>
      <c r="AQ845" s="389">
        <f t="shared" si="399"/>
        <v>0</v>
      </c>
      <c r="AR845" s="389">
        <f t="shared" si="400"/>
        <v>0</v>
      </c>
      <c r="AS845" s="453">
        <f t="shared" si="401"/>
        <v>0</v>
      </c>
      <c r="AT845" s="452">
        <f t="shared" si="402"/>
        <v>0</v>
      </c>
    </row>
    <row r="846" spans="2:46" ht="16" x14ac:dyDescent="0.2">
      <c r="B846"/>
      <c r="H846" s="387" t="str">
        <f t="shared" si="377"/>
        <v>0-0-0</v>
      </c>
      <c r="I846" s="389">
        <f t="shared" si="378"/>
        <v>0</v>
      </c>
      <c r="J846" s="455" t="str">
        <f t="shared" si="403"/>
        <v/>
      </c>
      <c r="K846" s="455">
        <f t="shared" si="379"/>
        <v>0</v>
      </c>
      <c r="L846" s="455">
        <f t="shared" si="404"/>
        <v>0</v>
      </c>
      <c r="M846" s="389" t="str">
        <f>IFERROR(IF(AD846&lt;=VLOOKUP(D846,Tournaments!$A$1:$B$1772,2,FALSE),"TRUE","FALSE"),"")</f>
        <v/>
      </c>
      <c r="N846" s="389">
        <v>1</v>
      </c>
      <c r="O846" s="389">
        <f t="shared" si="380"/>
        <v>0</v>
      </c>
      <c r="Q846" s="389">
        <f t="shared" si="381"/>
        <v>0</v>
      </c>
      <c r="R846" s="389">
        <f t="shared" si="382"/>
        <v>0</v>
      </c>
      <c r="S846" s="389">
        <f t="shared" si="383"/>
        <v>0</v>
      </c>
      <c r="U846" s="389">
        <f t="shared" si="384"/>
        <v>0</v>
      </c>
      <c r="V846" s="389" t="b">
        <f t="shared" si="385"/>
        <v>0</v>
      </c>
      <c r="W846" s="389">
        <f t="shared" si="386"/>
        <v>0</v>
      </c>
      <c r="X846" s="389">
        <f t="shared" si="387"/>
        <v>0</v>
      </c>
      <c r="Y846" s="389">
        <f t="shared" si="405"/>
        <v>1.0999999999999999E-2</v>
      </c>
      <c r="Z846" s="389">
        <f t="shared" si="388"/>
        <v>1.0999999999999999E-2</v>
      </c>
      <c r="AA846" s="389">
        <f t="shared" si="389"/>
        <v>0</v>
      </c>
      <c r="AB846" s="389">
        <f t="shared" si="390"/>
        <v>1E-4</v>
      </c>
      <c r="AC846" s="389">
        <f t="shared" si="391"/>
        <v>1E-4</v>
      </c>
      <c r="AD846" s="389">
        <f t="shared" si="392"/>
        <v>0</v>
      </c>
      <c r="AE846" s="389">
        <f t="shared" si="393"/>
        <v>0</v>
      </c>
      <c r="AG846" s="311" t="str">
        <f t="shared" si="394"/>
        <v>-</v>
      </c>
      <c r="AH846" s="453" t="str">
        <f t="shared" si="395"/>
        <v/>
      </c>
      <c r="AI846" s="453" t="str">
        <f t="shared" si="396"/>
        <v/>
      </c>
      <c r="AJ846" t="str">
        <f t="array" ref="AJ846">IF(AND(AI846&gt;1,G846&lt;&gt;""),INDEX(FS_teams,MATCH(1,(FS_Keys=AG846)*(FS_Points=I846)*(FS_teams&lt;&gt;G846),0)),"")</f>
        <v/>
      </c>
      <c r="AK846" s="390" t="str">
        <f t="array" ref="AK846">IF(AJ846&lt;&gt;"",INDEX(TM_Score1,MATCH(1,(TM_Events=D846)*(TM_Participant1=G846)*(TM_Participant2=AJ846),0)),"")</f>
        <v/>
      </c>
      <c r="AL846" s="390" t="str">
        <f t="array" ref="AL846">IF(AJ846&lt;&gt;"",INDEX(TM_Score1,MATCH(1,(TM_Events=D846)*(TM_Participant1=AJ846)*(TM_Participant2=G846),0)),"")</f>
        <v/>
      </c>
      <c r="AM846" s="389" t="str">
        <f t="array" ref="AM846">IF(ISNUMBER(AK846),INDEX(TM_Score2,MATCH(1,(TM_Events=D846)*(TM_Participant1=G846)*(TM_Participant2=AJ846),0)),"")</f>
        <v/>
      </c>
      <c r="AN846" s="389" t="str">
        <f t="array" ref="AN846">IF(ISNUMBER(AL846),INDEX(TM_Score2,MATCH(1,(TM_Events=D846)*(TM_Participant1=AJ846)*(TM_Participant2=G846),0)),"")</f>
        <v/>
      </c>
      <c r="AO846" s="389" t="str">
        <f t="shared" si="397"/>
        <v/>
      </c>
      <c r="AP846" s="389">
        <f t="shared" si="398"/>
        <v>0</v>
      </c>
      <c r="AQ846" s="389">
        <f t="shared" si="399"/>
        <v>0</v>
      </c>
      <c r="AR846" s="389">
        <f t="shared" si="400"/>
        <v>0</v>
      </c>
      <c r="AS846" s="453">
        <f t="shared" si="401"/>
        <v>0</v>
      </c>
      <c r="AT846" s="452">
        <f t="shared" si="402"/>
        <v>0</v>
      </c>
    </row>
    <row r="847" spans="2:46" ht="16" x14ac:dyDescent="0.2">
      <c r="B847"/>
      <c r="H847" s="387" t="str">
        <f t="shared" si="377"/>
        <v>0-0-0</v>
      </c>
      <c r="I847" s="389">
        <f t="shared" si="378"/>
        <v>0</v>
      </c>
      <c r="J847" s="455" t="str">
        <f t="shared" si="403"/>
        <v/>
      </c>
      <c r="K847" s="455">
        <f t="shared" si="379"/>
        <v>0</v>
      </c>
      <c r="L847" s="455">
        <f t="shared" si="404"/>
        <v>0</v>
      </c>
      <c r="M847" s="389" t="str">
        <f>IFERROR(IF(AD847&lt;=VLOOKUP(D847,Tournaments!$A$1:$B$1772,2,FALSE),"TRUE","FALSE"),"")</f>
        <v/>
      </c>
      <c r="N847" s="389">
        <v>1</v>
      </c>
      <c r="O847" s="389">
        <f t="shared" si="380"/>
        <v>0</v>
      </c>
      <c r="Q847" s="389">
        <f t="shared" si="381"/>
        <v>0</v>
      </c>
      <c r="R847" s="389">
        <f t="shared" si="382"/>
        <v>0</v>
      </c>
      <c r="S847" s="389">
        <f t="shared" si="383"/>
        <v>0</v>
      </c>
      <c r="U847" s="389">
        <f t="shared" si="384"/>
        <v>0</v>
      </c>
      <c r="V847" s="389" t="b">
        <f t="shared" si="385"/>
        <v>0</v>
      </c>
      <c r="W847" s="389">
        <f t="shared" si="386"/>
        <v>0</v>
      </c>
      <c r="X847" s="389">
        <f t="shared" si="387"/>
        <v>0</v>
      </c>
      <c r="Y847" s="389">
        <f t="shared" si="405"/>
        <v>1.0999999999999999E-2</v>
      </c>
      <c r="Z847" s="389">
        <f t="shared" si="388"/>
        <v>1.0999999999999999E-2</v>
      </c>
      <c r="AA847" s="389">
        <f t="shared" si="389"/>
        <v>0</v>
      </c>
      <c r="AB847" s="389">
        <f t="shared" si="390"/>
        <v>1E-4</v>
      </c>
      <c r="AC847" s="389">
        <f t="shared" si="391"/>
        <v>1E-4</v>
      </c>
      <c r="AD847" s="389">
        <f t="shared" si="392"/>
        <v>0</v>
      </c>
      <c r="AE847" s="389">
        <f t="shared" si="393"/>
        <v>0</v>
      </c>
      <c r="AG847" s="311" t="str">
        <f t="shared" si="394"/>
        <v>-</v>
      </c>
      <c r="AH847" s="453" t="str">
        <f t="shared" si="395"/>
        <v/>
      </c>
      <c r="AI847" s="453" t="str">
        <f t="shared" si="396"/>
        <v/>
      </c>
      <c r="AJ847" t="str">
        <f t="array" ref="AJ847">IF(AND(AI847&gt;1,G847&lt;&gt;""),INDEX(FS_teams,MATCH(1,(FS_Keys=AG847)*(FS_Points=I847)*(FS_teams&lt;&gt;G847),0)),"")</f>
        <v/>
      </c>
      <c r="AK847" s="390" t="str">
        <f t="array" ref="AK847">IF(AJ847&lt;&gt;"",INDEX(TM_Score1,MATCH(1,(TM_Events=D847)*(TM_Participant1=G847)*(TM_Participant2=AJ847),0)),"")</f>
        <v/>
      </c>
      <c r="AL847" s="390" t="str">
        <f t="array" ref="AL847">IF(AJ847&lt;&gt;"",INDEX(TM_Score1,MATCH(1,(TM_Events=D847)*(TM_Participant1=AJ847)*(TM_Participant2=G847),0)),"")</f>
        <v/>
      </c>
      <c r="AM847" s="389" t="str">
        <f t="array" ref="AM847">IF(ISNUMBER(AK847),INDEX(TM_Score2,MATCH(1,(TM_Events=D847)*(TM_Participant1=G847)*(TM_Participant2=AJ847),0)),"")</f>
        <v/>
      </c>
      <c r="AN847" s="389" t="str">
        <f t="array" ref="AN847">IF(ISNUMBER(AL847),INDEX(TM_Score2,MATCH(1,(TM_Events=D847)*(TM_Participant1=AJ847)*(TM_Participant2=G847),0)),"")</f>
        <v/>
      </c>
      <c r="AO847" s="389" t="str">
        <f t="shared" si="397"/>
        <v/>
      </c>
      <c r="AP847" s="389">
        <f t="shared" si="398"/>
        <v>0</v>
      </c>
      <c r="AQ847" s="389">
        <f t="shared" si="399"/>
        <v>0</v>
      </c>
      <c r="AR847" s="389">
        <f t="shared" si="400"/>
        <v>0</v>
      </c>
      <c r="AS847" s="453">
        <f t="shared" si="401"/>
        <v>0</v>
      </c>
      <c r="AT847" s="452">
        <f t="shared" si="402"/>
        <v>0</v>
      </c>
    </row>
    <row r="848" spans="2:46" ht="16" x14ac:dyDescent="0.2">
      <c r="B848"/>
      <c r="H848" s="387" t="str">
        <f t="shared" si="377"/>
        <v>0-0-0</v>
      </c>
      <c r="I848" s="389">
        <f t="shared" si="378"/>
        <v>0</v>
      </c>
      <c r="J848" s="455" t="str">
        <f t="shared" si="403"/>
        <v/>
      </c>
      <c r="K848" s="455">
        <f t="shared" si="379"/>
        <v>0</v>
      </c>
      <c r="L848" s="455">
        <f t="shared" si="404"/>
        <v>0</v>
      </c>
      <c r="M848" s="389" t="str">
        <f>IFERROR(IF(AD848&lt;=VLOOKUP(D848,Tournaments!$A$1:$B$1772,2,FALSE),"TRUE","FALSE"),"")</f>
        <v/>
      </c>
      <c r="N848" s="389">
        <v>1</v>
      </c>
      <c r="O848" s="389">
        <f t="shared" si="380"/>
        <v>0</v>
      </c>
      <c r="Q848" s="389">
        <f t="shared" si="381"/>
        <v>0</v>
      </c>
      <c r="R848" s="389">
        <f t="shared" si="382"/>
        <v>0</v>
      </c>
      <c r="S848" s="389">
        <f t="shared" si="383"/>
        <v>0</v>
      </c>
      <c r="U848" s="389">
        <f t="shared" si="384"/>
        <v>0</v>
      </c>
      <c r="V848" s="389" t="b">
        <f t="shared" si="385"/>
        <v>0</v>
      </c>
      <c r="W848" s="389">
        <f t="shared" si="386"/>
        <v>0</v>
      </c>
      <c r="X848" s="389">
        <f t="shared" si="387"/>
        <v>0</v>
      </c>
      <c r="Y848" s="389">
        <f t="shared" si="405"/>
        <v>1.0999999999999999E-2</v>
      </c>
      <c r="Z848" s="389">
        <f t="shared" si="388"/>
        <v>1.0999999999999999E-2</v>
      </c>
      <c r="AA848" s="389">
        <f t="shared" si="389"/>
        <v>0</v>
      </c>
      <c r="AB848" s="389">
        <f t="shared" si="390"/>
        <v>1E-4</v>
      </c>
      <c r="AC848" s="389">
        <f t="shared" si="391"/>
        <v>1E-4</v>
      </c>
      <c r="AD848" s="389">
        <f t="shared" si="392"/>
        <v>0</v>
      </c>
      <c r="AE848" s="389">
        <f t="shared" si="393"/>
        <v>0</v>
      </c>
      <c r="AG848" s="311" t="str">
        <f t="shared" si="394"/>
        <v>-</v>
      </c>
      <c r="AH848" s="453" t="str">
        <f t="shared" si="395"/>
        <v/>
      </c>
      <c r="AI848" s="453" t="str">
        <f t="shared" si="396"/>
        <v/>
      </c>
      <c r="AJ848" t="str">
        <f t="array" ref="AJ848">IF(AND(AI848&gt;1,G848&lt;&gt;""),INDEX(FS_teams,MATCH(1,(FS_Keys=AG848)*(FS_Points=I848)*(FS_teams&lt;&gt;G848),0)),"")</f>
        <v/>
      </c>
      <c r="AK848" s="390" t="str">
        <f t="array" ref="AK848">IF(AJ848&lt;&gt;"",INDEX(TM_Score1,MATCH(1,(TM_Events=D848)*(TM_Participant1=G848)*(TM_Participant2=AJ848),0)),"")</f>
        <v/>
      </c>
      <c r="AL848" s="390" t="str">
        <f t="array" ref="AL848">IF(AJ848&lt;&gt;"",INDEX(TM_Score1,MATCH(1,(TM_Events=D848)*(TM_Participant1=AJ848)*(TM_Participant2=G848),0)),"")</f>
        <v/>
      </c>
      <c r="AM848" s="389" t="str">
        <f t="array" ref="AM848">IF(ISNUMBER(AK848),INDEX(TM_Score2,MATCH(1,(TM_Events=D848)*(TM_Participant1=G848)*(TM_Participant2=AJ848),0)),"")</f>
        <v/>
      </c>
      <c r="AN848" s="389" t="str">
        <f t="array" ref="AN848">IF(ISNUMBER(AL848),INDEX(TM_Score2,MATCH(1,(TM_Events=D848)*(TM_Participant1=AJ848)*(TM_Participant2=G848),0)),"")</f>
        <v/>
      </c>
      <c r="AO848" s="389" t="str">
        <f t="shared" si="397"/>
        <v/>
      </c>
      <c r="AP848" s="389">
        <f t="shared" si="398"/>
        <v>0</v>
      </c>
      <c r="AQ848" s="389">
        <f t="shared" si="399"/>
        <v>0</v>
      </c>
      <c r="AR848" s="389">
        <f t="shared" si="400"/>
        <v>0</v>
      </c>
      <c r="AS848" s="453">
        <f t="shared" si="401"/>
        <v>0</v>
      </c>
      <c r="AT848" s="452">
        <f t="shared" si="402"/>
        <v>0</v>
      </c>
    </row>
    <row r="849" spans="2:46" ht="16" x14ac:dyDescent="0.2">
      <c r="B849"/>
      <c r="H849" s="387" t="str">
        <f t="shared" si="377"/>
        <v>0-0-0</v>
      </c>
      <c r="I849" s="389">
        <f t="shared" si="378"/>
        <v>0</v>
      </c>
      <c r="J849" s="455" t="str">
        <f t="shared" si="403"/>
        <v/>
      </c>
      <c r="K849" s="455">
        <f t="shared" si="379"/>
        <v>0</v>
      </c>
      <c r="L849" s="455">
        <f t="shared" si="404"/>
        <v>0</v>
      </c>
      <c r="M849" s="389" t="str">
        <f>IFERROR(IF(AD849&lt;=VLOOKUP(D849,Tournaments!$A$1:$B$1772,2,FALSE),"TRUE","FALSE"),"")</f>
        <v/>
      </c>
      <c r="N849" s="389">
        <v>1</v>
      </c>
      <c r="O849" s="389">
        <f t="shared" si="380"/>
        <v>0</v>
      </c>
      <c r="Q849" s="389">
        <f t="shared" si="381"/>
        <v>0</v>
      </c>
      <c r="R849" s="389">
        <f t="shared" si="382"/>
        <v>0</v>
      </c>
      <c r="S849" s="389">
        <f t="shared" si="383"/>
        <v>0</v>
      </c>
      <c r="U849" s="389">
        <f t="shared" si="384"/>
        <v>0</v>
      </c>
      <c r="V849" s="389" t="b">
        <f t="shared" si="385"/>
        <v>0</v>
      </c>
      <c r="W849" s="389">
        <f t="shared" si="386"/>
        <v>0</v>
      </c>
      <c r="X849" s="389">
        <f t="shared" si="387"/>
        <v>0</v>
      </c>
      <c r="Y849" s="389">
        <f t="shared" si="405"/>
        <v>1.0999999999999999E-2</v>
      </c>
      <c r="Z849" s="389">
        <f t="shared" si="388"/>
        <v>1.0999999999999999E-2</v>
      </c>
      <c r="AA849" s="389">
        <f t="shared" si="389"/>
        <v>0</v>
      </c>
      <c r="AB849" s="389">
        <f t="shared" si="390"/>
        <v>1E-4</v>
      </c>
      <c r="AC849" s="389">
        <f t="shared" si="391"/>
        <v>1E-4</v>
      </c>
      <c r="AD849" s="389">
        <f t="shared" si="392"/>
        <v>0</v>
      </c>
      <c r="AE849" s="389">
        <f t="shared" si="393"/>
        <v>0</v>
      </c>
      <c r="AG849" s="311" t="str">
        <f t="shared" si="394"/>
        <v>-</v>
      </c>
      <c r="AH849" s="453" t="str">
        <f t="shared" si="395"/>
        <v/>
      </c>
      <c r="AI849" s="453" t="str">
        <f t="shared" si="396"/>
        <v/>
      </c>
      <c r="AJ849" t="str">
        <f t="array" ref="AJ849">IF(AND(AI849&gt;1,G849&lt;&gt;""),INDEX(FS_teams,MATCH(1,(FS_Keys=AG849)*(FS_Points=I849)*(FS_teams&lt;&gt;G849),0)),"")</f>
        <v/>
      </c>
      <c r="AK849" s="390" t="str">
        <f t="array" ref="AK849">IF(AJ849&lt;&gt;"",INDEX(TM_Score1,MATCH(1,(TM_Events=D849)*(TM_Participant1=G849)*(TM_Participant2=AJ849),0)),"")</f>
        <v/>
      </c>
      <c r="AL849" s="390" t="str">
        <f t="array" ref="AL849">IF(AJ849&lt;&gt;"",INDEX(TM_Score1,MATCH(1,(TM_Events=D849)*(TM_Participant1=AJ849)*(TM_Participant2=G849),0)),"")</f>
        <v/>
      </c>
      <c r="AM849" s="389" t="str">
        <f t="array" ref="AM849">IF(ISNUMBER(AK849),INDEX(TM_Score2,MATCH(1,(TM_Events=D849)*(TM_Participant1=G849)*(TM_Participant2=AJ849),0)),"")</f>
        <v/>
      </c>
      <c r="AN849" s="389" t="str">
        <f t="array" ref="AN849">IF(ISNUMBER(AL849),INDEX(TM_Score2,MATCH(1,(TM_Events=D849)*(TM_Participant1=AJ849)*(TM_Participant2=G849),0)),"")</f>
        <v/>
      </c>
      <c r="AO849" s="389" t="str">
        <f t="shared" si="397"/>
        <v/>
      </c>
      <c r="AP849" s="389">
        <f t="shared" si="398"/>
        <v>0</v>
      </c>
      <c r="AQ849" s="389">
        <f t="shared" si="399"/>
        <v>0</v>
      </c>
      <c r="AR849" s="389">
        <f t="shared" si="400"/>
        <v>0</v>
      </c>
      <c r="AS849" s="453">
        <f t="shared" si="401"/>
        <v>0</v>
      </c>
      <c r="AT849" s="452">
        <f t="shared" si="402"/>
        <v>0</v>
      </c>
    </row>
    <row r="850" spans="2:46" ht="16" x14ac:dyDescent="0.2">
      <c r="B850"/>
      <c r="H850" s="387" t="str">
        <f t="shared" si="377"/>
        <v>0-0-0</v>
      </c>
      <c r="I850" s="389">
        <f t="shared" si="378"/>
        <v>0</v>
      </c>
      <c r="J850" s="455" t="str">
        <f t="shared" si="403"/>
        <v/>
      </c>
      <c r="K850" s="455">
        <f t="shared" si="379"/>
        <v>0</v>
      </c>
      <c r="L850" s="455">
        <f t="shared" si="404"/>
        <v>0</v>
      </c>
      <c r="M850" s="389" t="str">
        <f>IFERROR(IF(AD850&lt;=VLOOKUP(D850,Tournaments!$A$1:$B$1772,2,FALSE),"TRUE","FALSE"),"")</f>
        <v/>
      </c>
      <c r="N850" s="389">
        <v>1</v>
      </c>
      <c r="O850" s="389">
        <f t="shared" si="380"/>
        <v>0</v>
      </c>
      <c r="Q850" s="389">
        <f t="shared" si="381"/>
        <v>0</v>
      </c>
      <c r="R850" s="389">
        <f t="shared" si="382"/>
        <v>0</v>
      </c>
      <c r="S850" s="389">
        <f t="shared" si="383"/>
        <v>0</v>
      </c>
      <c r="U850" s="389">
        <f t="shared" si="384"/>
        <v>0</v>
      </c>
      <c r="V850" s="389" t="b">
        <f t="shared" si="385"/>
        <v>0</v>
      </c>
      <c r="W850" s="389">
        <f t="shared" si="386"/>
        <v>0</v>
      </c>
      <c r="X850" s="389">
        <f t="shared" si="387"/>
        <v>0</v>
      </c>
      <c r="Y850" s="389">
        <f t="shared" si="405"/>
        <v>1.0999999999999999E-2</v>
      </c>
      <c r="Z850" s="389">
        <f t="shared" si="388"/>
        <v>1.0999999999999999E-2</v>
      </c>
      <c r="AA850" s="389">
        <f t="shared" si="389"/>
        <v>0</v>
      </c>
      <c r="AB850" s="389">
        <f t="shared" si="390"/>
        <v>1E-4</v>
      </c>
      <c r="AC850" s="389">
        <f t="shared" si="391"/>
        <v>1E-4</v>
      </c>
      <c r="AD850" s="389">
        <f t="shared" si="392"/>
        <v>0</v>
      </c>
      <c r="AE850" s="389">
        <f t="shared" si="393"/>
        <v>0</v>
      </c>
      <c r="AG850" s="311" t="str">
        <f t="shared" si="394"/>
        <v>-</v>
      </c>
      <c r="AH850" s="453" t="str">
        <f t="shared" si="395"/>
        <v/>
      </c>
      <c r="AI850" s="453" t="str">
        <f t="shared" si="396"/>
        <v/>
      </c>
      <c r="AJ850" t="str">
        <f t="array" ref="AJ850">IF(AND(AI850&gt;1,G850&lt;&gt;""),INDEX(FS_teams,MATCH(1,(FS_Keys=AG850)*(FS_Points=I850)*(FS_teams&lt;&gt;G850),0)),"")</f>
        <v/>
      </c>
      <c r="AK850" s="390" t="str">
        <f t="array" ref="AK850">IF(AJ850&lt;&gt;"",INDEX(TM_Score1,MATCH(1,(TM_Events=D850)*(TM_Participant1=G850)*(TM_Participant2=AJ850),0)),"")</f>
        <v/>
      </c>
      <c r="AL850" s="390" t="str">
        <f t="array" ref="AL850">IF(AJ850&lt;&gt;"",INDEX(TM_Score1,MATCH(1,(TM_Events=D850)*(TM_Participant1=AJ850)*(TM_Participant2=G850),0)),"")</f>
        <v/>
      </c>
      <c r="AM850" s="389" t="str">
        <f t="array" ref="AM850">IF(ISNUMBER(AK850),INDEX(TM_Score2,MATCH(1,(TM_Events=D850)*(TM_Participant1=G850)*(TM_Participant2=AJ850),0)),"")</f>
        <v/>
      </c>
      <c r="AN850" s="389" t="str">
        <f t="array" ref="AN850">IF(ISNUMBER(AL850),INDEX(TM_Score2,MATCH(1,(TM_Events=D850)*(TM_Participant1=AJ850)*(TM_Participant2=G850),0)),"")</f>
        <v/>
      </c>
      <c r="AO850" s="389" t="str">
        <f t="shared" si="397"/>
        <v/>
      </c>
      <c r="AP850" s="389">
        <f t="shared" si="398"/>
        <v>0</v>
      </c>
      <c r="AQ850" s="389">
        <f t="shared" si="399"/>
        <v>0</v>
      </c>
      <c r="AR850" s="389">
        <f t="shared" si="400"/>
        <v>0</v>
      </c>
      <c r="AS850" s="453">
        <f t="shared" si="401"/>
        <v>0</v>
      </c>
      <c r="AT850" s="452">
        <f t="shared" si="402"/>
        <v>0</v>
      </c>
    </row>
    <row r="851" spans="2:46" ht="16" x14ac:dyDescent="0.2">
      <c r="B851"/>
      <c r="H851" s="387" t="str">
        <f t="shared" si="377"/>
        <v>0-0-0</v>
      </c>
      <c r="I851" s="389">
        <f t="shared" si="378"/>
        <v>0</v>
      </c>
      <c r="J851" s="455" t="str">
        <f t="shared" si="403"/>
        <v/>
      </c>
      <c r="K851" s="455">
        <f t="shared" si="379"/>
        <v>0</v>
      </c>
      <c r="L851" s="455">
        <f t="shared" si="404"/>
        <v>0</v>
      </c>
      <c r="M851" s="389" t="str">
        <f>IFERROR(IF(AD851&lt;=VLOOKUP(D851,Tournaments!$A$1:$B$1772,2,FALSE),"TRUE","FALSE"),"")</f>
        <v/>
      </c>
      <c r="N851" s="389">
        <v>1</v>
      </c>
      <c r="O851" s="389">
        <f t="shared" si="380"/>
        <v>0</v>
      </c>
      <c r="Q851" s="389">
        <f t="shared" si="381"/>
        <v>0</v>
      </c>
      <c r="R851" s="389">
        <f t="shared" si="382"/>
        <v>0</v>
      </c>
      <c r="S851" s="389">
        <f t="shared" si="383"/>
        <v>0</v>
      </c>
      <c r="U851" s="389">
        <f t="shared" si="384"/>
        <v>0</v>
      </c>
      <c r="V851" s="389" t="b">
        <f t="shared" si="385"/>
        <v>0</v>
      </c>
      <c r="W851" s="389">
        <f t="shared" si="386"/>
        <v>0</v>
      </c>
      <c r="X851" s="389">
        <f t="shared" si="387"/>
        <v>0</v>
      </c>
      <c r="Y851" s="389">
        <f t="shared" si="405"/>
        <v>1.0999999999999999E-2</v>
      </c>
      <c r="Z851" s="389">
        <f t="shared" si="388"/>
        <v>1.0999999999999999E-2</v>
      </c>
      <c r="AA851" s="389">
        <f t="shared" si="389"/>
        <v>0</v>
      </c>
      <c r="AB851" s="389">
        <f t="shared" si="390"/>
        <v>1E-4</v>
      </c>
      <c r="AC851" s="389">
        <f t="shared" si="391"/>
        <v>1E-4</v>
      </c>
      <c r="AD851" s="389">
        <f t="shared" si="392"/>
        <v>0</v>
      </c>
      <c r="AE851" s="389">
        <f t="shared" si="393"/>
        <v>0</v>
      </c>
      <c r="AG851" s="311" t="str">
        <f t="shared" si="394"/>
        <v>-</v>
      </c>
      <c r="AH851" s="453" t="str">
        <f t="shared" si="395"/>
        <v/>
      </c>
      <c r="AI851" s="453" t="str">
        <f t="shared" si="396"/>
        <v/>
      </c>
      <c r="AJ851" t="str">
        <f t="array" ref="AJ851">IF(AND(AI851&gt;1,G851&lt;&gt;""),INDEX(FS_teams,MATCH(1,(FS_Keys=AG851)*(FS_Points=I851)*(FS_teams&lt;&gt;G851),0)),"")</f>
        <v/>
      </c>
      <c r="AK851" s="390" t="str">
        <f t="array" ref="AK851">IF(AJ851&lt;&gt;"",INDEX(TM_Score1,MATCH(1,(TM_Events=D851)*(TM_Participant1=G851)*(TM_Participant2=AJ851),0)),"")</f>
        <v/>
      </c>
      <c r="AL851" s="390" t="str">
        <f t="array" ref="AL851">IF(AJ851&lt;&gt;"",INDEX(TM_Score1,MATCH(1,(TM_Events=D851)*(TM_Participant1=AJ851)*(TM_Participant2=G851),0)),"")</f>
        <v/>
      </c>
      <c r="AM851" s="389" t="str">
        <f t="array" ref="AM851">IF(ISNUMBER(AK851),INDEX(TM_Score2,MATCH(1,(TM_Events=D851)*(TM_Participant1=G851)*(TM_Participant2=AJ851),0)),"")</f>
        <v/>
      </c>
      <c r="AN851" s="389" t="str">
        <f t="array" ref="AN851">IF(ISNUMBER(AL851),INDEX(TM_Score2,MATCH(1,(TM_Events=D851)*(TM_Participant1=AJ851)*(TM_Participant2=G851),0)),"")</f>
        <v/>
      </c>
      <c r="AO851" s="389" t="str">
        <f t="shared" si="397"/>
        <v/>
      </c>
      <c r="AP851" s="389">
        <f t="shared" si="398"/>
        <v>0</v>
      </c>
      <c r="AQ851" s="389">
        <f t="shared" si="399"/>
        <v>0</v>
      </c>
      <c r="AR851" s="389">
        <f t="shared" si="400"/>
        <v>0</v>
      </c>
      <c r="AS851" s="453">
        <f t="shared" si="401"/>
        <v>0</v>
      </c>
      <c r="AT851" s="452">
        <f t="shared" si="402"/>
        <v>0</v>
      </c>
    </row>
    <row r="852" spans="2:46" ht="16" x14ac:dyDescent="0.2">
      <c r="B852"/>
      <c r="H852" s="387" t="str">
        <f t="shared" si="377"/>
        <v>0-0-0</v>
      </c>
      <c r="I852" s="389">
        <f t="shared" si="378"/>
        <v>0</v>
      </c>
      <c r="J852" s="455" t="str">
        <f t="shared" si="403"/>
        <v/>
      </c>
      <c r="K852" s="455">
        <f t="shared" si="379"/>
        <v>0</v>
      </c>
      <c r="L852" s="455">
        <f t="shared" si="404"/>
        <v>0</v>
      </c>
      <c r="M852" s="389" t="str">
        <f>IFERROR(IF(AD852&lt;=VLOOKUP(D852,Tournaments!$A$1:$B$1772,2,FALSE),"TRUE","FALSE"),"")</f>
        <v/>
      </c>
      <c r="N852" s="389">
        <v>1</v>
      </c>
      <c r="O852" s="389">
        <f t="shared" si="380"/>
        <v>0</v>
      </c>
      <c r="Q852" s="389">
        <f t="shared" si="381"/>
        <v>0</v>
      </c>
      <c r="R852" s="389">
        <f t="shared" si="382"/>
        <v>0</v>
      </c>
      <c r="S852" s="389">
        <f t="shared" si="383"/>
        <v>0</v>
      </c>
      <c r="U852" s="389">
        <f t="shared" si="384"/>
        <v>0</v>
      </c>
      <c r="V852" s="389" t="b">
        <f t="shared" si="385"/>
        <v>0</v>
      </c>
      <c r="W852" s="389">
        <f t="shared" si="386"/>
        <v>0</v>
      </c>
      <c r="X852" s="389">
        <f t="shared" si="387"/>
        <v>0</v>
      </c>
      <c r="Y852" s="389">
        <f t="shared" si="405"/>
        <v>1.0999999999999999E-2</v>
      </c>
      <c r="Z852" s="389">
        <f t="shared" si="388"/>
        <v>1.0999999999999999E-2</v>
      </c>
      <c r="AA852" s="389">
        <f t="shared" si="389"/>
        <v>0</v>
      </c>
      <c r="AB852" s="389">
        <f t="shared" si="390"/>
        <v>1E-4</v>
      </c>
      <c r="AC852" s="389">
        <f t="shared" si="391"/>
        <v>1E-4</v>
      </c>
      <c r="AD852" s="389">
        <f t="shared" si="392"/>
        <v>0</v>
      </c>
      <c r="AE852" s="389">
        <f t="shared" si="393"/>
        <v>0</v>
      </c>
      <c r="AG852" s="311" t="str">
        <f t="shared" si="394"/>
        <v>-</v>
      </c>
      <c r="AH852" s="453" t="str">
        <f t="shared" si="395"/>
        <v/>
      </c>
      <c r="AI852" s="453" t="str">
        <f t="shared" si="396"/>
        <v/>
      </c>
      <c r="AJ852" t="str">
        <f t="array" ref="AJ852">IF(AND(AI852&gt;1,G852&lt;&gt;""),INDEX(FS_teams,MATCH(1,(FS_Keys=AG852)*(FS_Points=I852)*(FS_teams&lt;&gt;G852),0)),"")</f>
        <v/>
      </c>
      <c r="AK852" s="390" t="str">
        <f t="array" ref="AK852">IF(AJ852&lt;&gt;"",INDEX(TM_Score1,MATCH(1,(TM_Events=D852)*(TM_Participant1=G852)*(TM_Participant2=AJ852),0)),"")</f>
        <v/>
      </c>
      <c r="AL852" s="390" t="str">
        <f t="array" ref="AL852">IF(AJ852&lt;&gt;"",INDEX(TM_Score1,MATCH(1,(TM_Events=D852)*(TM_Participant1=AJ852)*(TM_Participant2=G852),0)),"")</f>
        <v/>
      </c>
      <c r="AM852" s="389" t="str">
        <f t="array" ref="AM852">IF(ISNUMBER(AK852),INDEX(TM_Score2,MATCH(1,(TM_Events=D852)*(TM_Participant1=G852)*(TM_Participant2=AJ852),0)),"")</f>
        <v/>
      </c>
      <c r="AN852" s="389" t="str">
        <f t="array" ref="AN852">IF(ISNUMBER(AL852),INDEX(TM_Score2,MATCH(1,(TM_Events=D852)*(TM_Participant1=AJ852)*(TM_Participant2=G852),0)),"")</f>
        <v/>
      </c>
      <c r="AO852" s="389" t="str">
        <f t="shared" si="397"/>
        <v/>
      </c>
      <c r="AP852" s="389">
        <f t="shared" si="398"/>
        <v>0</v>
      </c>
      <c r="AQ852" s="389">
        <f t="shared" si="399"/>
        <v>0</v>
      </c>
      <c r="AR852" s="389">
        <f t="shared" si="400"/>
        <v>0</v>
      </c>
      <c r="AS852" s="453">
        <f t="shared" si="401"/>
        <v>0</v>
      </c>
      <c r="AT852" s="452">
        <f t="shared" si="402"/>
        <v>0</v>
      </c>
    </row>
    <row r="853" spans="2:46" ht="16" x14ac:dyDescent="0.2">
      <c r="B853"/>
      <c r="H853" s="387" t="str">
        <f t="shared" si="377"/>
        <v>0-0-0</v>
      </c>
      <c r="I853" s="389">
        <f t="shared" si="378"/>
        <v>0</v>
      </c>
      <c r="J853" s="455" t="str">
        <f t="shared" si="403"/>
        <v/>
      </c>
      <c r="K853" s="455">
        <f t="shared" si="379"/>
        <v>0</v>
      </c>
      <c r="L853" s="455">
        <f t="shared" si="404"/>
        <v>0</v>
      </c>
      <c r="M853" s="389" t="str">
        <f>IFERROR(IF(AD853&lt;=VLOOKUP(D853,Tournaments!$A$1:$B$1772,2,FALSE),"TRUE","FALSE"),"")</f>
        <v/>
      </c>
      <c r="N853" s="389">
        <v>1</v>
      </c>
      <c r="O853" s="389">
        <f t="shared" si="380"/>
        <v>0</v>
      </c>
      <c r="Q853" s="389">
        <f t="shared" si="381"/>
        <v>0</v>
      </c>
      <c r="R853" s="389">
        <f t="shared" si="382"/>
        <v>0</v>
      </c>
      <c r="S853" s="389">
        <f t="shared" si="383"/>
        <v>0</v>
      </c>
      <c r="U853" s="389">
        <f t="shared" si="384"/>
        <v>0</v>
      </c>
      <c r="V853" s="389" t="b">
        <f t="shared" si="385"/>
        <v>0</v>
      </c>
      <c r="W853" s="389">
        <f t="shared" si="386"/>
        <v>0</v>
      </c>
      <c r="X853" s="389">
        <f t="shared" si="387"/>
        <v>0</v>
      </c>
      <c r="Y853" s="389">
        <f t="shared" si="405"/>
        <v>1.0999999999999999E-2</v>
      </c>
      <c r="Z853" s="389">
        <f t="shared" si="388"/>
        <v>1.0999999999999999E-2</v>
      </c>
      <c r="AA853" s="389">
        <f t="shared" si="389"/>
        <v>0</v>
      </c>
      <c r="AB853" s="389">
        <f t="shared" si="390"/>
        <v>1E-4</v>
      </c>
      <c r="AC853" s="389">
        <f t="shared" si="391"/>
        <v>1E-4</v>
      </c>
      <c r="AD853" s="389">
        <f t="shared" si="392"/>
        <v>0</v>
      </c>
      <c r="AE853" s="389">
        <f t="shared" si="393"/>
        <v>0</v>
      </c>
      <c r="AG853" s="311" t="str">
        <f t="shared" si="394"/>
        <v>-</v>
      </c>
      <c r="AH853" s="453" t="str">
        <f t="shared" si="395"/>
        <v/>
      </c>
      <c r="AI853" s="453" t="str">
        <f t="shared" si="396"/>
        <v/>
      </c>
      <c r="AJ853" t="str">
        <f t="array" ref="AJ853">IF(AND(AI853&gt;1,G853&lt;&gt;""),INDEX(FS_teams,MATCH(1,(FS_Keys=AG853)*(FS_Points=I853)*(FS_teams&lt;&gt;G853),0)),"")</f>
        <v/>
      </c>
      <c r="AK853" s="390" t="str">
        <f t="array" ref="AK853">IF(AJ853&lt;&gt;"",INDEX(TM_Score1,MATCH(1,(TM_Events=D853)*(TM_Participant1=G853)*(TM_Participant2=AJ853),0)),"")</f>
        <v/>
      </c>
      <c r="AL853" s="390" t="str">
        <f t="array" ref="AL853">IF(AJ853&lt;&gt;"",INDEX(TM_Score1,MATCH(1,(TM_Events=D853)*(TM_Participant1=AJ853)*(TM_Participant2=G853),0)),"")</f>
        <v/>
      </c>
      <c r="AM853" s="389" t="str">
        <f t="array" ref="AM853">IF(ISNUMBER(AK853),INDEX(TM_Score2,MATCH(1,(TM_Events=D853)*(TM_Participant1=G853)*(TM_Participant2=AJ853),0)),"")</f>
        <v/>
      </c>
      <c r="AN853" s="389" t="str">
        <f t="array" ref="AN853">IF(ISNUMBER(AL853),INDEX(TM_Score2,MATCH(1,(TM_Events=D853)*(TM_Participant1=AJ853)*(TM_Participant2=G853),0)),"")</f>
        <v/>
      </c>
      <c r="AO853" s="389" t="str">
        <f t="shared" si="397"/>
        <v/>
      </c>
      <c r="AP853" s="389">
        <f t="shared" si="398"/>
        <v>0</v>
      </c>
      <c r="AQ853" s="389">
        <f t="shared" si="399"/>
        <v>0</v>
      </c>
      <c r="AR853" s="389">
        <f t="shared" si="400"/>
        <v>0</v>
      </c>
      <c r="AS853" s="453">
        <f t="shared" si="401"/>
        <v>0</v>
      </c>
      <c r="AT853" s="452">
        <f t="shared" si="402"/>
        <v>0</v>
      </c>
    </row>
    <row r="854" spans="2:46" ht="16" x14ac:dyDescent="0.2">
      <c r="B854"/>
      <c r="H854" s="387" t="str">
        <f t="shared" si="377"/>
        <v>0-0-0</v>
      </c>
      <c r="I854" s="389">
        <f t="shared" si="378"/>
        <v>0</v>
      </c>
      <c r="J854" s="455" t="str">
        <f t="shared" si="403"/>
        <v/>
      </c>
      <c r="K854" s="455">
        <f t="shared" si="379"/>
        <v>0</v>
      </c>
      <c r="L854" s="455">
        <f t="shared" si="404"/>
        <v>0</v>
      </c>
      <c r="M854" s="389" t="str">
        <f>IFERROR(IF(AD854&lt;=VLOOKUP(D854,Tournaments!$A$1:$B$1772,2,FALSE),"TRUE","FALSE"),"")</f>
        <v/>
      </c>
      <c r="N854" s="389">
        <v>1</v>
      </c>
      <c r="O854" s="389">
        <f t="shared" si="380"/>
        <v>0</v>
      </c>
      <c r="Q854" s="389">
        <f t="shared" si="381"/>
        <v>0</v>
      </c>
      <c r="R854" s="389">
        <f t="shared" si="382"/>
        <v>0</v>
      </c>
      <c r="S854" s="389">
        <f t="shared" si="383"/>
        <v>0</v>
      </c>
      <c r="U854" s="389">
        <f t="shared" si="384"/>
        <v>0</v>
      </c>
      <c r="V854" s="389" t="b">
        <f t="shared" si="385"/>
        <v>0</v>
      </c>
      <c r="W854" s="389">
        <f t="shared" si="386"/>
        <v>0</v>
      </c>
      <c r="X854" s="389">
        <f t="shared" si="387"/>
        <v>0</v>
      </c>
      <c r="Y854" s="389">
        <f t="shared" si="405"/>
        <v>1.0999999999999999E-2</v>
      </c>
      <c r="Z854" s="389">
        <f t="shared" si="388"/>
        <v>1.0999999999999999E-2</v>
      </c>
      <c r="AA854" s="389">
        <f t="shared" si="389"/>
        <v>0</v>
      </c>
      <c r="AB854" s="389">
        <f t="shared" si="390"/>
        <v>1E-4</v>
      </c>
      <c r="AC854" s="389">
        <f t="shared" si="391"/>
        <v>1E-4</v>
      </c>
      <c r="AD854" s="389">
        <f t="shared" si="392"/>
        <v>0</v>
      </c>
      <c r="AE854" s="389">
        <f t="shared" si="393"/>
        <v>0</v>
      </c>
      <c r="AG854" s="311" t="str">
        <f t="shared" si="394"/>
        <v>-</v>
      </c>
      <c r="AH854" s="453" t="str">
        <f t="shared" si="395"/>
        <v/>
      </c>
      <c r="AI854" s="453" t="str">
        <f t="shared" si="396"/>
        <v/>
      </c>
      <c r="AJ854" t="str">
        <f t="array" ref="AJ854">IF(AND(AI854&gt;1,G854&lt;&gt;""),INDEX(FS_teams,MATCH(1,(FS_Keys=AG854)*(FS_Points=I854)*(FS_teams&lt;&gt;G854),0)),"")</f>
        <v/>
      </c>
      <c r="AK854" s="390" t="str">
        <f t="array" ref="AK854">IF(AJ854&lt;&gt;"",INDEX(TM_Score1,MATCH(1,(TM_Events=D854)*(TM_Participant1=G854)*(TM_Participant2=AJ854),0)),"")</f>
        <v/>
      </c>
      <c r="AL854" s="390" t="str">
        <f t="array" ref="AL854">IF(AJ854&lt;&gt;"",INDEX(TM_Score1,MATCH(1,(TM_Events=D854)*(TM_Participant1=AJ854)*(TM_Participant2=G854),0)),"")</f>
        <v/>
      </c>
      <c r="AM854" s="389" t="str">
        <f t="array" ref="AM854">IF(ISNUMBER(AK854),INDEX(TM_Score2,MATCH(1,(TM_Events=D854)*(TM_Participant1=G854)*(TM_Participant2=AJ854),0)),"")</f>
        <v/>
      </c>
      <c r="AN854" s="389" t="str">
        <f t="array" ref="AN854">IF(ISNUMBER(AL854),INDEX(TM_Score2,MATCH(1,(TM_Events=D854)*(TM_Participant1=AJ854)*(TM_Participant2=G854),0)),"")</f>
        <v/>
      </c>
      <c r="AO854" s="389" t="str">
        <f t="shared" si="397"/>
        <v/>
      </c>
      <c r="AP854" s="389">
        <f t="shared" si="398"/>
        <v>0</v>
      </c>
      <c r="AQ854" s="389">
        <f t="shared" si="399"/>
        <v>0</v>
      </c>
      <c r="AR854" s="389">
        <f t="shared" si="400"/>
        <v>0</v>
      </c>
      <c r="AS854" s="453">
        <f t="shared" si="401"/>
        <v>0</v>
      </c>
      <c r="AT854" s="452">
        <f t="shared" si="402"/>
        <v>0</v>
      </c>
    </row>
    <row r="855" spans="2:46" ht="16" x14ac:dyDescent="0.2">
      <c r="B855"/>
      <c r="H855" s="387" t="str">
        <f t="shared" si="377"/>
        <v>0-0-0</v>
      </c>
      <c r="I855" s="389">
        <f t="shared" si="378"/>
        <v>0</v>
      </c>
      <c r="J855" s="455" t="str">
        <f t="shared" si="403"/>
        <v/>
      </c>
      <c r="K855" s="455">
        <f t="shared" si="379"/>
        <v>0</v>
      </c>
      <c r="L855" s="455">
        <f t="shared" si="404"/>
        <v>0</v>
      </c>
      <c r="M855" s="389" t="str">
        <f>IFERROR(IF(AD855&lt;=VLOOKUP(D855,Tournaments!$A$1:$B$1772,2,FALSE),"TRUE","FALSE"),"")</f>
        <v/>
      </c>
      <c r="N855" s="389">
        <v>1</v>
      </c>
      <c r="O855" s="389">
        <f t="shared" si="380"/>
        <v>0</v>
      </c>
      <c r="Q855" s="389">
        <f t="shared" si="381"/>
        <v>0</v>
      </c>
      <c r="R855" s="389">
        <f t="shared" si="382"/>
        <v>0</v>
      </c>
      <c r="S855" s="389">
        <f t="shared" si="383"/>
        <v>0</v>
      </c>
      <c r="U855" s="389">
        <f t="shared" si="384"/>
        <v>0</v>
      </c>
      <c r="V855" s="389" t="b">
        <f t="shared" si="385"/>
        <v>0</v>
      </c>
      <c r="W855" s="389">
        <f t="shared" si="386"/>
        <v>0</v>
      </c>
      <c r="X855" s="389">
        <f t="shared" si="387"/>
        <v>0</v>
      </c>
      <c r="Y855" s="389">
        <f t="shared" si="405"/>
        <v>1.0999999999999999E-2</v>
      </c>
      <c r="Z855" s="389">
        <f t="shared" si="388"/>
        <v>1.0999999999999999E-2</v>
      </c>
      <c r="AA855" s="389">
        <f t="shared" si="389"/>
        <v>0</v>
      </c>
      <c r="AB855" s="389">
        <f t="shared" si="390"/>
        <v>1E-4</v>
      </c>
      <c r="AC855" s="389">
        <f t="shared" si="391"/>
        <v>1E-4</v>
      </c>
      <c r="AD855" s="389">
        <f t="shared" si="392"/>
        <v>0</v>
      </c>
      <c r="AE855" s="389">
        <f t="shared" si="393"/>
        <v>0</v>
      </c>
      <c r="AG855" s="311" t="str">
        <f t="shared" si="394"/>
        <v>-</v>
      </c>
      <c r="AH855" s="453" t="str">
        <f t="shared" si="395"/>
        <v/>
      </c>
      <c r="AI855" s="453" t="str">
        <f t="shared" si="396"/>
        <v/>
      </c>
      <c r="AJ855" t="str">
        <f t="array" ref="AJ855">IF(AND(AI855&gt;1,G855&lt;&gt;""),INDEX(FS_teams,MATCH(1,(FS_Keys=AG855)*(FS_Points=I855)*(FS_teams&lt;&gt;G855),0)),"")</f>
        <v/>
      </c>
      <c r="AK855" s="390" t="str">
        <f t="array" ref="AK855">IF(AJ855&lt;&gt;"",INDEX(TM_Score1,MATCH(1,(TM_Events=D855)*(TM_Participant1=G855)*(TM_Participant2=AJ855),0)),"")</f>
        <v/>
      </c>
      <c r="AL855" s="390" t="str">
        <f t="array" ref="AL855">IF(AJ855&lt;&gt;"",INDEX(TM_Score1,MATCH(1,(TM_Events=D855)*(TM_Participant1=AJ855)*(TM_Participant2=G855),0)),"")</f>
        <v/>
      </c>
      <c r="AM855" s="389" t="str">
        <f t="array" ref="AM855">IF(ISNUMBER(AK855),INDEX(TM_Score2,MATCH(1,(TM_Events=D855)*(TM_Participant1=G855)*(TM_Participant2=AJ855),0)),"")</f>
        <v/>
      </c>
      <c r="AN855" s="389" t="str">
        <f t="array" ref="AN855">IF(ISNUMBER(AL855),INDEX(TM_Score2,MATCH(1,(TM_Events=D855)*(TM_Participant1=AJ855)*(TM_Participant2=G855),0)),"")</f>
        <v/>
      </c>
      <c r="AO855" s="389" t="str">
        <f t="shared" si="397"/>
        <v/>
      </c>
      <c r="AP855" s="389">
        <f t="shared" si="398"/>
        <v>0</v>
      </c>
      <c r="AQ855" s="389">
        <f t="shared" si="399"/>
        <v>0</v>
      </c>
      <c r="AR855" s="389">
        <f t="shared" si="400"/>
        <v>0</v>
      </c>
      <c r="AS855" s="453">
        <f t="shared" si="401"/>
        <v>0</v>
      </c>
      <c r="AT855" s="452">
        <f t="shared" si="402"/>
        <v>0</v>
      </c>
    </row>
    <row r="856" spans="2:46" ht="16" x14ac:dyDescent="0.2">
      <c r="B856"/>
      <c r="H856" s="387" t="str">
        <f t="shared" si="377"/>
        <v>0-0-0</v>
      </c>
      <c r="I856" s="389">
        <f t="shared" si="378"/>
        <v>0</v>
      </c>
      <c r="J856" s="455" t="str">
        <f t="shared" si="403"/>
        <v/>
      </c>
      <c r="K856" s="455">
        <f t="shared" si="379"/>
        <v>0</v>
      </c>
      <c r="L856" s="455">
        <f t="shared" si="404"/>
        <v>0</v>
      </c>
      <c r="M856" s="389" t="str">
        <f>IFERROR(IF(AD856&lt;=VLOOKUP(D856,Tournaments!$A$1:$B$1772,2,FALSE),"TRUE","FALSE"),"")</f>
        <v/>
      </c>
      <c r="N856" s="389">
        <v>1</v>
      </c>
      <c r="O856" s="389">
        <f t="shared" si="380"/>
        <v>0</v>
      </c>
      <c r="Q856" s="389">
        <f t="shared" si="381"/>
        <v>0</v>
      </c>
      <c r="R856" s="389">
        <f t="shared" si="382"/>
        <v>0</v>
      </c>
      <c r="S856" s="389">
        <f t="shared" si="383"/>
        <v>0</v>
      </c>
      <c r="U856" s="389">
        <f t="shared" si="384"/>
        <v>0</v>
      </c>
      <c r="V856" s="389" t="b">
        <f t="shared" si="385"/>
        <v>0</v>
      </c>
      <c r="W856" s="389">
        <f t="shared" si="386"/>
        <v>0</v>
      </c>
      <c r="X856" s="389">
        <f t="shared" si="387"/>
        <v>0</v>
      </c>
      <c r="Y856" s="389">
        <f t="shared" si="405"/>
        <v>1.0999999999999999E-2</v>
      </c>
      <c r="Z856" s="389">
        <f t="shared" si="388"/>
        <v>1.0999999999999999E-2</v>
      </c>
      <c r="AA856" s="389">
        <f t="shared" si="389"/>
        <v>0</v>
      </c>
      <c r="AB856" s="389">
        <f t="shared" si="390"/>
        <v>1E-4</v>
      </c>
      <c r="AC856" s="389">
        <f t="shared" si="391"/>
        <v>1E-4</v>
      </c>
      <c r="AD856" s="389">
        <f t="shared" si="392"/>
        <v>0</v>
      </c>
      <c r="AE856" s="389">
        <f t="shared" si="393"/>
        <v>0</v>
      </c>
      <c r="AG856" s="311" t="str">
        <f t="shared" si="394"/>
        <v>-</v>
      </c>
      <c r="AH856" s="453" t="str">
        <f t="shared" si="395"/>
        <v/>
      </c>
      <c r="AI856" s="453" t="str">
        <f t="shared" si="396"/>
        <v/>
      </c>
      <c r="AJ856" t="str">
        <f t="array" ref="AJ856">IF(AND(AI856&gt;1,G856&lt;&gt;""),INDEX(FS_teams,MATCH(1,(FS_Keys=AG856)*(FS_Points=I856)*(FS_teams&lt;&gt;G856),0)),"")</f>
        <v/>
      </c>
      <c r="AK856" s="390" t="str">
        <f t="array" ref="AK856">IF(AJ856&lt;&gt;"",INDEX(TM_Score1,MATCH(1,(TM_Events=D856)*(TM_Participant1=G856)*(TM_Participant2=AJ856),0)),"")</f>
        <v/>
      </c>
      <c r="AL856" s="390" t="str">
        <f t="array" ref="AL856">IF(AJ856&lt;&gt;"",INDEX(TM_Score1,MATCH(1,(TM_Events=D856)*(TM_Participant1=AJ856)*(TM_Participant2=G856),0)),"")</f>
        <v/>
      </c>
      <c r="AM856" s="389" t="str">
        <f t="array" ref="AM856">IF(ISNUMBER(AK856),INDEX(TM_Score2,MATCH(1,(TM_Events=D856)*(TM_Participant1=G856)*(TM_Participant2=AJ856),0)),"")</f>
        <v/>
      </c>
      <c r="AN856" s="389" t="str">
        <f t="array" ref="AN856">IF(ISNUMBER(AL856),INDEX(TM_Score2,MATCH(1,(TM_Events=D856)*(TM_Participant1=AJ856)*(TM_Participant2=G856),0)),"")</f>
        <v/>
      </c>
      <c r="AO856" s="389" t="str">
        <f t="shared" si="397"/>
        <v/>
      </c>
      <c r="AP856" s="389">
        <f t="shared" si="398"/>
        <v>0</v>
      </c>
      <c r="AQ856" s="389">
        <f t="shared" si="399"/>
        <v>0</v>
      </c>
      <c r="AR856" s="389">
        <f t="shared" si="400"/>
        <v>0</v>
      </c>
      <c r="AS856" s="453">
        <f t="shared" si="401"/>
        <v>0</v>
      </c>
      <c r="AT856" s="452">
        <f t="shared" si="402"/>
        <v>0</v>
      </c>
    </row>
    <row r="857" spans="2:46" ht="16" x14ac:dyDescent="0.2">
      <c r="B857"/>
      <c r="H857" s="387" t="str">
        <f t="shared" si="377"/>
        <v>0-0-0</v>
      </c>
      <c r="I857" s="389">
        <f t="shared" si="378"/>
        <v>0</v>
      </c>
      <c r="J857" s="455" t="str">
        <f t="shared" si="403"/>
        <v/>
      </c>
      <c r="K857" s="455">
        <f t="shared" si="379"/>
        <v>0</v>
      </c>
      <c r="L857" s="455">
        <f t="shared" si="404"/>
        <v>0</v>
      </c>
      <c r="M857" s="389" t="str">
        <f>IFERROR(IF(AD857&lt;=VLOOKUP(D857,Tournaments!$A$1:$B$1772,2,FALSE),"TRUE","FALSE"),"")</f>
        <v/>
      </c>
      <c r="N857" s="389">
        <v>1</v>
      </c>
      <c r="O857" s="389">
        <f t="shared" si="380"/>
        <v>0</v>
      </c>
      <c r="Q857" s="389">
        <f t="shared" si="381"/>
        <v>0</v>
      </c>
      <c r="R857" s="389">
        <f t="shared" si="382"/>
        <v>0</v>
      </c>
      <c r="S857" s="389">
        <f t="shared" si="383"/>
        <v>0</v>
      </c>
      <c r="U857" s="389">
        <f t="shared" si="384"/>
        <v>0</v>
      </c>
      <c r="V857" s="389" t="b">
        <f t="shared" si="385"/>
        <v>0</v>
      </c>
      <c r="W857" s="389">
        <f t="shared" si="386"/>
        <v>0</v>
      </c>
      <c r="X857" s="389">
        <f t="shared" si="387"/>
        <v>0</v>
      </c>
      <c r="Y857" s="389">
        <f t="shared" si="405"/>
        <v>1.0999999999999999E-2</v>
      </c>
      <c r="Z857" s="389">
        <f t="shared" si="388"/>
        <v>1.0999999999999999E-2</v>
      </c>
      <c r="AA857" s="389">
        <f t="shared" si="389"/>
        <v>0</v>
      </c>
      <c r="AB857" s="389">
        <f t="shared" si="390"/>
        <v>1E-4</v>
      </c>
      <c r="AC857" s="389">
        <f t="shared" si="391"/>
        <v>1E-4</v>
      </c>
      <c r="AD857" s="389">
        <f t="shared" si="392"/>
        <v>0</v>
      </c>
      <c r="AE857" s="389">
        <f t="shared" si="393"/>
        <v>0</v>
      </c>
      <c r="AG857" s="311" t="str">
        <f t="shared" si="394"/>
        <v>-</v>
      </c>
      <c r="AH857" s="453" t="str">
        <f t="shared" si="395"/>
        <v/>
      </c>
      <c r="AI857" s="453" t="str">
        <f t="shared" si="396"/>
        <v/>
      </c>
      <c r="AJ857" t="str">
        <f t="array" ref="AJ857">IF(AND(AI857&gt;1,G857&lt;&gt;""),INDEX(FS_teams,MATCH(1,(FS_Keys=AG857)*(FS_Points=I857)*(FS_teams&lt;&gt;G857),0)),"")</f>
        <v/>
      </c>
      <c r="AK857" s="390" t="str">
        <f t="array" ref="AK857">IF(AJ857&lt;&gt;"",INDEX(TM_Score1,MATCH(1,(TM_Events=D857)*(TM_Participant1=G857)*(TM_Participant2=AJ857),0)),"")</f>
        <v/>
      </c>
      <c r="AL857" s="390" t="str">
        <f t="array" ref="AL857">IF(AJ857&lt;&gt;"",INDEX(TM_Score1,MATCH(1,(TM_Events=D857)*(TM_Participant1=AJ857)*(TM_Participant2=G857),0)),"")</f>
        <v/>
      </c>
      <c r="AM857" s="389" t="str">
        <f t="array" ref="AM857">IF(ISNUMBER(AK857),INDEX(TM_Score2,MATCH(1,(TM_Events=D857)*(TM_Participant1=G857)*(TM_Participant2=AJ857),0)),"")</f>
        <v/>
      </c>
      <c r="AN857" s="389" t="str">
        <f t="array" ref="AN857">IF(ISNUMBER(AL857),INDEX(TM_Score2,MATCH(1,(TM_Events=D857)*(TM_Participant1=AJ857)*(TM_Participant2=G857),0)),"")</f>
        <v/>
      </c>
      <c r="AO857" s="389" t="str">
        <f t="shared" si="397"/>
        <v/>
      </c>
      <c r="AP857" s="389">
        <f t="shared" si="398"/>
        <v>0</v>
      </c>
      <c r="AQ857" s="389">
        <f t="shared" si="399"/>
        <v>0</v>
      </c>
      <c r="AR857" s="389">
        <f t="shared" si="400"/>
        <v>0</v>
      </c>
      <c r="AS857" s="453">
        <f t="shared" si="401"/>
        <v>0</v>
      </c>
      <c r="AT857" s="452">
        <f t="shared" si="402"/>
        <v>0</v>
      </c>
    </row>
    <row r="858" spans="2:46" ht="16" x14ac:dyDescent="0.2">
      <c r="B858"/>
      <c r="H858" s="387" t="str">
        <f t="shared" si="377"/>
        <v>0-0-0</v>
      </c>
      <c r="I858" s="389">
        <f t="shared" si="378"/>
        <v>0</v>
      </c>
      <c r="J858" s="455" t="str">
        <f t="shared" si="403"/>
        <v/>
      </c>
      <c r="K858" s="455">
        <f t="shared" si="379"/>
        <v>0</v>
      </c>
      <c r="L858" s="455">
        <f t="shared" si="404"/>
        <v>0</v>
      </c>
      <c r="M858" s="389" t="str">
        <f>IFERROR(IF(AD858&lt;=VLOOKUP(D858,Tournaments!$A$1:$B$1772,2,FALSE),"TRUE","FALSE"),"")</f>
        <v/>
      </c>
      <c r="N858" s="389">
        <v>1</v>
      </c>
      <c r="O858" s="389">
        <f t="shared" si="380"/>
        <v>0</v>
      </c>
      <c r="Q858" s="389">
        <f t="shared" si="381"/>
        <v>0</v>
      </c>
      <c r="R858" s="389">
        <f t="shared" si="382"/>
        <v>0</v>
      </c>
      <c r="S858" s="389">
        <f t="shared" si="383"/>
        <v>0</v>
      </c>
      <c r="U858" s="389">
        <f t="shared" si="384"/>
        <v>0</v>
      </c>
      <c r="V858" s="389" t="b">
        <f t="shared" si="385"/>
        <v>0</v>
      </c>
      <c r="W858" s="389">
        <f t="shared" si="386"/>
        <v>0</v>
      </c>
      <c r="X858" s="389">
        <f t="shared" si="387"/>
        <v>0</v>
      </c>
      <c r="Y858" s="389">
        <f t="shared" si="405"/>
        <v>1.0999999999999999E-2</v>
      </c>
      <c r="Z858" s="389">
        <f t="shared" si="388"/>
        <v>1.0999999999999999E-2</v>
      </c>
      <c r="AA858" s="389">
        <f t="shared" si="389"/>
        <v>0</v>
      </c>
      <c r="AB858" s="389">
        <f t="shared" si="390"/>
        <v>1E-4</v>
      </c>
      <c r="AC858" s="389">
        <f t="shared" si="391"/>
        <v>1E-4</v>
      </c>
      <c r="AD858" s="389">
        <f t="shared" si="392"/>
        <v>0</v>
      </c>
      <c r="AE858" s="389">
        <f t="shared" si="393"/>
        <v>0</v>
      </c>
      <c r="AG858" s="311" t="str">
        <f t="shared" si="394"/>
        <v>-</v>
      </c>
      <c r="AH858" s="453" t="str">
        <f t="shared" si="395"/>
        <v/>
      </c>
      <c r="AI858" s="453" t="str">
        <f t="shared" si="396"/>
        <v/>
      </c>
      <c r="AJ858" t="str">
        <f t="array" ref="AJ858">IF(AND(AI858&gt;1,G858&lt;&gt;""),INDEX(FS_teams,MATCH(1,(FS_Keys=AG858)*(FS_Points=I858)*(FS_teams&lt;&gt;G858),0)),"")</f>
        <v/>
      </c>
      <c r="AK858" s="390" t="str">
        <f t="array" ref="AK858">IF(AJ858&lt;&gt;"",INDEX(TM_Score1,MATCH(1,(TM_Events=D858)*(TM_Participant1=G858)*(TM_Participant2=AJ858),0)),"")</f>
        <v/>
      </c>
      <c r="AL858" s="390" t="str">
        <f t="array" ref="AL858">IF(AJ858&lt;&gt;"",INDEX(TM_Score1,MATCH(1,(TM_Events=D858)*(TM_Participant1=AJ858)*(TM_Participant2=G858),0)),"")</f>
        <v/>
      </c>
      <c r="AM858" s="389" t="str">
        <f t="array" ref="AM858">IF(ISNUMBER(AK858),INDEX(TM_Score2,MATCH(1,(TM_Events=D858)*(TM_Participant1=G858)*(TM_Participant2=AJ858),0)),"")</f>
        <v/>
      </c>
      <c r="AN858" s="389" t="str">
        <f t="array" ref="AN858">IF(ISNUMBER(AL858),INDEX(TM_Score2,MATCH(1,(TM_Events=D858)*(TM_Participant1=AJ858)*(TM_Participant2=G858),0)),"")</f>
        <v/>
      </c>
      <c r="AO858" s="389" t="str">
        <f t="shared" si="397"/>
        <v/>
      </c>
      <c r="AP858" s="389">
        <f t="shared" si="398"/>
        <v>0</v>
      </c>
      <c r="AQ858" s="389">
        <f t="shared" si="399"/>
        <v>0</v>
      </c>
      <c r="AR858" s="389">
        <f t="shared" si="400"/>
        <v>0</v>
      </c>
      <c r="AS858" s="453">
        <f t="shared" si="401"/>
        <v>0</v>
      </c>
      <c r="AT858" s="452">
        <f t="shared" si="402"/>
        <v>0</v>
      </c>
    </row>
    <row r="859" spans="2:46" ht="16" x14ac:dyDescent="0.2">
      <c r="B859"/>
      <c r="H859" s="387" t="str">
        <f t="shared" si="377"/>
        <v>0-0-0</v>
      </c>
      <c r="I859" s="389">
        <f t="shared" si="378"/>
        <v>0</v>
      </c>
      <c r="J859" s="455" t="str">
        <f t="shared" si="403"/>
        <v/>
      </c>
      <c r="K859" s="455">
        <f t="shared" si="379"/>
        <v>0</v>
      </c>
      <c r="L859" s="455">
        <f t="shared" si="404"/>
        <v>0</v>
      </c>
      <c r="M859" s="389" t="str">
        <f>IFERROR(IF(AD859&lt;=VLOOKUP(D859,Tournaments!$A$1:$B$1772,2,FALSE),"TRUE","FALSE"),"")</f>
        <v/>
      </c>
      <c r="N859" s="389">
        <v>1</v>
      </c>
      <c r="O859" s="389">
        <f t="shared" si="380"/>
        <v>0</v>
      </c>
      <c r="Q859" s="389">
        <f t="shared" si="381"/>
        <v>0</v>
      </c>
      <c r="R859" s="389">
        <f t="shared" si="382"/>
        <v>0</v>
      </c>
      <c r="S859" s="389">
        <f t="shared" si="383"/>
        <v>0</v>
      </c>
      <c r="U859" s="389">
        <f t="shared" si="384"/>
        <v>0</v>
      </c>
      <c r="V859" s="389" t="b">
        <f t="shared" si="385"/>
        <v>0</v>
      </c>
      <c r="W859" s="389">
        <f t="shared" si="386"/>
        <v>0</v>
      </c>
      <c r="X859" s="389">
        <f t="shared" si="387"/>
        <v>0</v>
      </c>
      <c r="Y859" s="389">
        <f t="shared" si="405"/>
        <v>1.0999999999999999E-2</v>
      </c>
      <c r="Z859" s="389">
        <f t="shared" si="388"/>
        <v>1.0999999999999999E-2</v>
      </c>
      <c r="AA859" s="389">
        <f t="shared" si="389"/>
        <v>0</v>
      </c>
      <c r="AB859" s="389">
        <f t="shared" si="390"/>
        <v>1E-4</v>
      </c>
      <c r="AC859" s="389">
        <f t="shared" si="391"/>
        <v>1E-4</v>
      </c>
      <c r="AD859" s="389">
        <f t="shared" si="392"/>
        <v>0</v>
      </c>
      <c r="AE859" s="389">
        <f t="shared" si="393"/>
        <v>0</v>
      </c>
      <c r="AG859" s="311" t="str">
        <f t="shared" si="394"/>
        <v>-</v>
      </c>
      <c r="AH859" s="453" t="str">
        <f t="shared" si="395"/>
        <v/>
      </c>
      <c r="AI859" s="453" t="str">
        <f t="shared" si="396"/>
        <v/>
      </c>
      <c r="AJ859" t="str">
        <f t="array" ref="AJ859">IF(AND(AI859&gt;1,G859&lt;&gt;""),INDEX(FS_teams,MATCH(1,(FS_Keys=AG859)*(FS_Points=I859)*(FS_teams&lt;&gt;G859),0)),"")</f>
        <v/>
      </c>
      <c r="AK859" s="390" t="str">
        <f t="array" ref="AK859">IF(AJ859&lt;&gt;"",INDEX(TM_Score1,MATCH(1,(TM_Events=D859)*(TM_Participant1=G859)*(TM_Participant2=AJ859),0)),"")</f>
        <v/>
      </c>
      <c r="AL859" s="390" t="str">
        <f t="array" ref="AL859">IF(AJ859&lt;&gt;"",INDEX(TM_Score1,MATCH(1,(TM_Events=D859)*(TM_Participant1=AJ859)*(TM_Participant2=G859),0)),"")</f>
        <v/>
      </c>
      <c r="AM859" s="389" t="str">
        <f t="array" ref="AM859">IF(ISNUMBER(AK859),INDEX(TM_Score2,MATCH(1,(TM_Events=D859)*(TM_Participant1=G859)*(TM_Participant2=AJ859),0)),"")</f>
        <v/>
      </c>
      <c r="AN859" s="389" t="str">
        <f t="array" ref="AN859">IF(ISNUMBER(AL859),INDEX(TM_Score2,MATCH(1,(TM_Events=D859)*(TM_Participant1=AJ859)*(TM_Participant2=G859),0)),"")</f>
        <v/>
      </c>
      <c r="AO859" s="389" t="str">
        <f t="shared" si="397"/>
        <v/>
      </c>
      <c r="AP859" s="389">
        <f t="shared" si="398"/>
        <v>0</v>
      </c>
      <c r="AQ859" s="389">
        <f t="shared" si="399"/>
        <v>0</v>
      </c>
      <c r="AR859" s="389">
        <f t="shared" si="400"/>
        <v>0</v>
      </c>
      <c r="AS859" s="453">
        <f t="shared" si="401"/>
        <v>0</v>
      </c>
      <c r="AT859" s="452">
        <f t="shared" si="402"/>
        <v>0</v>
      </c>
    </row>
    <row r="860" spans="2:46" ht="16" x14ac:dyDescent="0.2">
      <c r="B860"/>
      <c r="H860" s="387" t="str">
        <f t="shared" si="377"/>
        <v>0-0-0</v>
      </c>
      <c r="I860" s="389">
        <f t="shared" si="378"/>
        <v>0</v>
      </c>
      <c r="J860" s="455" t="str">
        <f t="shared" si="403"/>
        <v/>
      </c>
      <c r="K860" s="455">
        <f t="shared" si="379"/>
        <v>0</v>
      </c>
      <c r="L860" s="455">
        <f t="shared" si="404"/>
        <v>0</v>
      </c>
      <c r="M860" s="389" t="str">
        <f>IFERROR(IF(AD860&lt;=VLOOKUP(D860,Tournaments!$A$1:$B$1772,2,FALSE),"TRUE","FALSE"),"")</f>
        <v/>
      </c>
      <c r="N860" s="389">
        <v>1</v>
      </c>
      <c r="O860" s="389">
        <f t="shared" si="380"/>
        <v>0</v>
      </c>
      <c r="Q860" s="389">
        <f t="shared" si="381"/>
        <v>0</v>
      </c>
      <c r="R860" s="389">
        <f t="shared" si="382"/>
        <v>0</v>
      </c>
      <c r="S860" s="389">
        <f t="shared" si="383"/>
        <v>0</v>
      </c>
      <c r="U860" s="389">
        <f t="shared" si="384"/>
        <v>0</v>
      </c>
      <c r="V860" s="389" t="b">
        <f t="shared" si="385"/>
        <v>0</v>
      </c>
      <c r="W860" s="389">
        <f t="shared" si="386"/>
        <v>0</v>
      </c>
      <c r="X860" s="389">
        <f t="shared" si="387"/>
        <v>0</v>
      </c>
      <c r="Y860" s="389">
        <f t="shared" si="405"/>
        <v>1.0999999999999999E-2</v>
      </c>
      <c r="Z860" s="389">
        <f t="shared" si="388"/>
        <v>1.0999999999999999E-2</v>
      </c>
      <c r="AA860" s="389">
        <f t="shared" si="389"/>
        <v>0</v>
      </c>
      <c r="AB860" s="389">
        <f t="shared" si="390"/>
        <v>1E-4</v>
      </c>
      <c r="AC860" s="389">
        <f t="shared" si="391"/>
        <v>1E-4</v>
      </c>
      <c r="AD860" s="389">
        <f t="shared" si="392"/>
        <v>0</v>
      </c>
      <c r="AE860" s="389">
        <f t="shared" si="393"/>
        <v>0</v>
      </c>
      <c r="AG860" s="311" t="str">
        <f t="shared" si="394"/>
        <v>-</v>
      </c>
      <c r="AH860" s="453" t="str">
        <f t="shared" si="395"/>
        <v/>
      </c>
      <c r="AI860" s="453" t="str">
        <f t="shared" si="396"/>
        <v/>
      </c>
      <c r="AJ860" t="str">
        <f t="array" ref="AJ860">IF(AND(AI860&gt;1,G860&lt;&gt;""),INDEX(FS_teams,MATCH(1,(FS_Keys=AG860)*(FS_Points=I860)*(FS_teams&lt;&gt;G860),0)),"")</f>
        <v/>
      </c>
      <c r="AK860" s="390" t="str">
        <f t="array" ref="AK860">IF(AJ860&lt;&gt;"",INDEX(TM_Score1,MATCH(1,(TM_Events=D860)*(TM_Participant1=G860)*(TM_Participant2=AJ860),0)),"")</f>
        <v/>
      </c>
      <c r="AL860" s="390" t="str">
        <f t="array" ref="AL860">IF(AJ860&lt;&gt;"",INDEX(TM_Score1,MATCH(1,(TM_Events=D860)*(TM_Participant1=AJ860)*(TM_Participant2=G860),0)),"")</f>
        <v/>
      </c>
      <c r="AM860" s="389" t="str">
        <f t="array" ref="AM860">IF(ISNUMBER(AK860),INDEX(TM_Score2,MATCH(1,(TM_Events=D860)*(TM_Participant1=G860)*(TM_Participant2=AJ860),0)),"")</f>
        <v/>
      </c>
      <c r="AN860" s="389" t="str">
        <f t="array" ref="AN860">IF(ISNUMBER(AL860),INDEX(TM_Score2,MATCH(1,(TM_Events=D860)*(TM_Participant1=AJ860)*(TM_Participant2=G860),0)),"")</f>
        <v/>
      </c>
      <c r="AO860" s="389" t="str">
        <f t="shared" si="397"/>
        <v/>
      </c>
      <c r="AP860" s="389">
        <f t="shared" si="398"/>
        <v>0</v>
      </c>
      <c r="AQ860" s="389">
        <f t="shared" si="399"/>
        <v>0</v>
      </c>
      <c r="AR860" s="389">
        <f t="shared" si="400"/>
        <v>0</v>
      </c>
      <c r="AS860" s="453">
        <f t="shared" si="401"/>
        <v>0</v>
      </c>
      <c r="AT860" s="452">
        <f t="shared" si="402"/>
        <v>0</v>
      </c>
    </row>
    <row r="861" spans="2:46" ht="16" x14ac:dyDescent="0.2">
      <c r="B861"/>
      <c r="H861" s="387" t="str">
        <f t="shared" si="377"/>
        <v>0-0-0</v>
      </c>
      <c r="I861" s="389">
        <f t="shared" si="378"/>
        <v>0</v>
      </c>
      <c r="J861" s="455" t="str">
        <f t="shared" si="403"/>
        <v/>
      </c>
      <c r="K861" s="455">
        <f t="shared" si="379"/>
        <v>0</v>
      </c>
      <c r="L861" s="455">
        <f t="shared" si="404"/>
        <v>0</v>
      </c>
      <c r="M861" s="389" t="str">
        <f>IFERROR(IF(AD861&lt;=VLOOKUP(D861,Tournaments!$A$1:$B$1772,2,FALSE),"TRUE","FALSE"),"")</f>
        <v/>
      </c>
      <c r="N861" s="389">
        <v>1</v>
      </c>
      <c r="O861" s="389">
        <f t="shared" si="380"/>
        <v>0</v>
      </c>
      <c r="Q861" s="389">
        <f t="shared" si="381"/>
        <v>0</v>
      </c>
      <c r="R861" s="389">
        <f t="shared" si="382"/>
        <v>0</v>
      </c>
      <c r="S861" s="389">
        <f t="shared" si="383"/>
        <v>0</v>
      </c>
      <c r="U861" s="389">
        <f t="shared" si="384"/>
        <v>0</v>
      </c>
      <c r="V861" s="389" t="b">
        <f t="shared" si="385"/>
        <v>0</v>
      </c>
      <c r="W861" s="389">
        <f t="shared" si="386"/>
        <v>0</v>
      </c>
      <c r="X861" s="389">
        <f t="shared" si="387"/>
        <v>0</v>
      </c>
      <c r="Y861" s="389">
        <f t="shared" si="405"/>
        <v>1.0999999999999999E-2</v>
      </c>
      <c r="Z861" s="389">
        <f t="shared" si="388"/>
        <v>1.0999999999999999E-2</v>
      </c>
      <c r="AA861" s="389">
        <f t="shared" si="389"/>
        <v>0</v>
      </c>
      <c r="AB861" s="389">
        <f t="shared" si="390"/>
        <v>1E-4</v>
      </c>
      <c r="AC861" s="389">
        <f t="shared" si="391"/>
        <v>1E-4</v>
      </c>
      <c r="AD861" s="389">
        <f t="shared" si="392"/>
        <v>0</v>
      </c>
      <c r="AE861" s="389">
        <f t="shared" si="393"/>
        <v>0</v>
      </c>
      <c r="AG861" s="311" t="str">
        <f t="shared" si="394"/>
        <v>-</v>
      </c>
      <c r="AH861" s="453" t="str">
        <f t="shared" si="395"/>
        <v/>
      </c>
      <c r="AI861" s="453" t="str">
        <f t="shared" si="396"/>
        <v/>
      </c>
      <c r="AJ861" t="str">
        <f t="array" ref="AJ861">IF(AND(AI861&gt;1,G861&lt;&gt;""),INDEX(FS_teams,MATCH(1,(FS_Keys=AG861)*(FS_Points=I861)*(FS_teams&lt;&gt;G861),0)),"")</f>
        <v/>
      </c>
      <c r="AK861" s="390" t="str">
        <f t="array" ref="AK861">IF(AJ861&lt;&gt;"",INDEX(TM_Score1,MATCH(1,(TM_Events=D861)*(TM_Participant1=G861)*(TM_Participant2=AJ861),0)),"")</f>
        <v/>
      </c>
      <c r="AL861" s="390" t="str">
        <f t="array" ref="AL861">IF(AJ861&lt;&gt;"",INDEX(TM_Score1,MATCH(1,(TM_Events=D861)*(TM_Participant1=AJ861)*(TM_Participant2=G861),0)),"")</f>
        <v/>
      </c>
      <c r="AM861" s="389" t="str">
        <f t="array" ref="AM861">IF(ISNUMBER(AK861),INDEX(TM_Score2,MATCH(1,(TM_Events=D861)*(TM_Participant1=G861)*(TM_Participant2=AJ861),0)),"")</f>
        <v/>
      </c>
      <c r="AN861" s="389" t="str">
        <f t="array" ref="AN861">IF(ISNUMBER(AL861),INDEX(TM_Score2,MATCH(1,(TM_Events=D861)*(TM_Participant1=AJ861)*(TM_Participant2=G861),0)),"")</f>
        <v/>
      </c>
      <c r="AO861" s="389" t="str">
        <f t="shared" si="397"/>
        <v/>
      </c>
      <c r="AP861" s="389">
        <f t="shared" si="398"/>
        <v>0</v>
      </c>
      <c r="AQ861" s="389">
        <f t="shared" si="399"/>
        <v>0</v>
      </c>
      <c r="AR861" s="389">
        <f t="shared" si="400"/>
        <v>0</v>
      </c>
      <c r="AS861" s="453">
        <f t="shared" si="401"/>
        <v>0</v>
      </c>
      <c r="AT861" s="452">
        <f t="shared" si="402"/>
        <v>0</v>
      </c>
    </row>
    <row r="862" spans="2:46" ht="16" x14ac:dyDescent="0.2">
      <c r="B862"/>
      <c r="H862" s="387" t="str">
        <f t="shared" si="377"/>
        <v>0-0-0</v>
      </c>
      <c r="I862" s="389">
        <f t="shared" si="378"/>
        <v>0</v>
      </c>
      <c r="J862" s="455" t="str">
        <f t="shared" si="403"/>
        <v/>
      </c>
      <c r="K862" s="455">
        <f t="shared" si="379"/>
        <v>0</v>
      </c>
      <c r="L862" s="455">
        <f t="shared" si="404"/>
        <v>0</v>
      </c>
      <c r="M862" s="389" t="str">
        <f>IFERROR(IF(AD862&lt;=VLOOKUP(D862,Tournaments!$A$1:$B$1772,2,FALSE),"TRUE","FALSE"),"")</f>
        <v/>
      </c>
      <c r="N862" s="389">
        <v>1</v>
      </c>
      <c r="O862" s="389">
        <f t="shared" si="380"/>
        <v>0</v>
      </c>
      <c r="Q862" s="389">
        <f t="shared" si="381"/>
        <v>0</v>
      </c>
      <c r="R862" s="389">
        <f t="shared" si="382"/>
        <v>0</v>
      </c>
      <c r="S862" s="389">
        <f t="shared" si="383"/>
        <v>0</v>
      </c>
      <c r="U862" s="389">
        <f t="shared" si="384"/>
        <v>0</v>
      </c>
      <c r="V862" s="389" t="b">
        <f t="shared" si="385"/>
        <v>0</v>
      </c>
      <c r="W862" s="389">
        <f t="shared" si="386"/>
        <v>0</v>
      </c>
      <c r="X862" s="389">
        <f t="shared" si="387"/>
        <v>0</v>
      </c>
      <c r="Y862" s="389">
        <f t="shared" si="405"/>
        <v>1.0999999999999999E-2</v>
      </c>
      <c r="Z862" s="389">
        <f t="shared" si="388"/>
        <v>1.0999999999999999E-2</v>
      </c>
      <c r="AA862" s="389">
        <f t="shared" si="389"/>
        <v>0</v>
      </c>
      <c r="AB862" s="389">
        <f t="shared" si="390"/>
        <v>1E-4</v>
      </c>
      <c r="AC862" s="389">
        <f t="shared" si="391"/>
        <v>1E-4</v>
      </c>
      <c r="AD862" s="389">
        <f t="shared" si="392"/>
        <v>0</v>
      </c>
      <c r="AE862" s="389">
        <f t="shared" si="393"/>
        <v>0</v>
      </c>
      <c r="AG862" s="311" t="str">
        <f t="shared" si="394"/>
        <v>-</v>
      </c>
      <c r="AH862" s="453" t="str">
        <f t="shared" si="395"/>
        <v/>
      </c>
      <c r="AI862" s="453" t="str">
        <f t="shared" si="396"/>
        <v/>
      </c>
      <c r="AJ862" t="str">
        <f t="array" ref="AJ862">IF(AND(AI862&gt;1,G862&lt;&gt;""),INDEX(FS_teams,MATCH(1,(FS_Keys=AG862)*(FS_Points=I862)*(FS_teams&lt;&gt;G862),0)),"")</f>
        <v/>
      </c>
      <c r="AK862" s="390" t="str">
        <f t="array" ref="AK862">IF(AJ862&lt;&gt;"",INDEX(TM_Score1,MATCH(1,(TM_Events=D862)*(TM_Participant1=G862)*(TM_Participant2=AJ862),0)),"")</f>
        <v/>
      </c>
      <c r="AL862" s="390" t="str">
        <f t="array" ref="AL862">IF(AJ862&lt;&gt;"",INDEX(TM_Score1,MATCH(1,(TM_Events=D862)*(TM_Participant1=AJ862)*(TM_Participant2=G862),0)),"")</f>
        <v/>
      </c>
      <c r="AM862" s="389" t="str">
        <f t="array" ref="AM862">IF(ISNUMBER(AK862),INDEX(TM_Score2,MATCH(1,(TM_Events=D862)*(TM_Participant1=G862)*(TM_Participant2=AJ862),0)),"")</f>
        <v/>
      </c>
      <c r="AN862" s="389" t="str">
        <f t="array" ref="AN862">IF(ISNUMBER(AL862),INDEX(TM_Score2,MATCH(1,(TM_Events=D862)*(TM_Participant1=AJ862)*(TM_Participant2=G862),0)),"")</f>
        <v/>
      </c>
      <c r="AO862" s="389" t="str">
        <f t="shared" si="397"/>
        <v/>
      </c>
      <c r="AP862" s="389">
        <f t="shared" si="398"/>
        <v>0</v>
      </c>
      <c r="AQ862" s="389">
        <f t="shared" si="399"/>
        <v>0</v>
      </c>
      <c r="AR862" s="389">
        <f t="shared" si="400"/>
        <v>0</v>
      </c>
      <c r="AS862" s="453">
        <f t="shared" si="401"/>
        <v>0</v>
      </c>
      <c r="AT862" s="452">
        <f t="shared" si="402"/>
        <v>0</v>
      </c>
    </row>
    <row r="863" spans="2:46" ht="16" x14ac:dyDescent="0.2">
      <c r="B863"/>
      <c r="H863" s="387" t="str">
        <f t="shared" si="377"/>
        <v>0-0-0</v>
      </c>
      <c r="I863" s="389">
        <f t="shared" si="378"/>
        <v>0</v>
      </c>
      <c r="J863" s="455" t="str">
        <f t="shared" si="403"/>
        <v/>
      </c>
      <c r="K863" s="455">
        <f t="shared" si="379"/>
        <v>0</v>
      </c>
      <c r="L863" s="455">
        <f t="shared" si="404"/>
        <v>0</v>
      </c>
      <c r="M863" s="389" t="str">
        <f>IFERROR(IF(AD863&lt;=VLOOKUP(D863,Tournaments!$A$1:$B$1772,2,FALSE),"TRUE","FALSE"),"")</f>
        <v/>
      </c>
      <c r="N863" s="389">
        <v>1</v>
      </c>
      <c r="O863" s="389">
        <f t="shared" si="380"/>
        <v>0</v>
      </c>
      <c r="Q863" s="389">
        <f t="shared" si="381"/>
        <v>0</v>
      </c>
      <c r="R863" s="389">
        <f t="shared" si="382"/>
        <v>0</v>
      </c>
      <c r="S863" s="389">
        <f t="shared" si="383"/>
        <v>0</v>
      </c>
      <c r="U863" s="389">
        <f t="shared" si="384"/>
        <v>0</v>
      </c>
      <c r="V863" s="389" t="b">
        <f t="shared" si="385"/>
        <v>0</v>
      </c>
      <c r="W863" s="389">
        <f t="shared" si="386"/>
        <v>0</v>
      </c>
      <c r="X863" s="389">
        <f t="shared" si="387"/>
        <v>0</v>
      </c>
      <c r="Y863" s="389">
        <f t="shared" si="405"/>
        <v>1.0999999999999999E-2</v>
      </c>
      <c r="Z863" s="389">
        <f t="shared" si="388"/>
        <v>1.0999999999999999E-2</v>
      </c>
      <c r="AA863" s="389">
        <f t="shared" si="389"/>
        <v>0</v>
      </c>
      <c r="AB863" s="389">
        <f t="shared" si="390"/>
        <v>1E-4</v>
      </c>
      <c r="AC863" s="389">
        <f t="shared" si="391"/>
        <v>1E-4</v>
      </c>
      <c r="AD863" s="389">
        <f t="shared" si="392"/>
        <v>0</v>
      </c>
      <c r="AE863" s="389">
        <f t="shared" si="393"/>
        <v>0</v>
      </c>
      <c r="AG863" s="311" t="str">
        <f t="shared" si="394"/>
        <v>-</v>
      </c>
      <c r="AH863" s="453" t="str">
        <f t="shared" si="395"/>
        <v/>
      </c>
      <c r="AI863" s="453" t="str">
        <f t="shared" si="396"/>
        <v/>
      </c>
      <c r="AJ863" t="str">
        <f t="array" ref="AJ863">IF(AND(AI863&gt;1,G863&lt;&gt;""),INDEX(FS_teams,MATCH(1,(FS_Keys=AG863)*(FS_Points=I863)*(FS_teams&lt;&gt;G863),0)),"")</f>
        <v/>
      </c>
      <c r="AK863" s="390" t="str">
        <f t="array" ref="AK863">IF(AJ863&lt;&gt;"",INDEX(TM_Score1,MATCH(1,(TM_Events=D863)*(TM_Participant1=G863)*(TM_Participant2=AJ863),0)),"")</f>
        <v/>
      </c>
      <c r="AL863" s="390" t="str">
        <f t="array" ref="AL863">IF(AJ863&lt;&gt;"",INDEX(TM_Score1,MATCH(1,(TM_Events=D863)*(TM_Participant1=AJ863)*(TM_Participant2=G863),0)),"")</f>
        <v/>
      </c>
      <c r="AM863" s="389" t="str">
        <f t="array" ref="AM863">IF(ISNUMBER(AK863),INDEX(TM_Score2,MATCH(1,(TM_Events=D863)*(TM_Participant1=G863)*(TM_Participant2=AJ863),0)),"")</f>
        <v/>
      </c>
      <c r="AN863" s="389" t="str">
        <f t="array" ref="AN863">IF(ISNUMBER(AL863),INDEX(TM_Score2,MATCH(1,(TM_Events=D863)*(TM_Participant1=AJ863)*(TM_Participant2=G863),0)),"")</f>
        <v/>
      </c>
      <c r="AO863" s="389" t="str">
        <f t="shared" si="397"/>
        <v/>
      </c>
      <c r="AP863" s="389">
        <f t="shared" si="398"/>
        <v>0</v>
      </c>
      <c r="AQ863" s="389">
        <f t="shared" si="399"/>
        <v>0</v>
      </c>
      <c r="AR863" s="389">
        <f t="shared" si="400"/>
        <v>0</v>
      </c>
      <c r="AS863" s="453">
        <f t="shared" si="401"/>
        <v>0</v>
      </c>
      <c r="AT863" s="452">
        <f t="shared" si="402"/>
        <v>0</v>
      </c>
    </row>
    <row r="864" spans="2:46" ht="16" x14ac:dyDescent="0.2">
      <c r="B864"/>
      <c r="H864" s="387" t="str">
        <f t="shared" si="377"/>
        <v>0-0-0</v>
      </c>
      <c r="I864" s="389">
        <f t="shared" si="378"/>
        <v>0</v>
      </c>
      <c r="J864" s="455" t="str">
        <f t="shared" si="403"/>
        <v/>
      </c>
      <c r="K864" s="455">
        <f t="shared" si="379"/>
        <v>0</v>
      </c>
      <c r="L864" s="455">
        <f t="shared" si="404"/>
        <v>0</v>
      </c>
      <c r="M864" s="389" t="str">
        <f>IFERROR(IF(AD864&lt;=VLOOKUP(D864,Tournaments!$A$1:$B$1772,2,FALSE),"TRUE","FALSE"),"")</f>
        <v/>
      </c>
      <c r="N864" s="389">
        <v>1</v>
      </c>
      <c r="O864" s="389">
        <f t="shared" si="380"/>
        <v>0</v>
      </c>
      <c r="Q864" s="389">
        <f t="shared" si="381"/>
        <v>0</v>
      </c>
      <c r="R864" s="389">
        <f t="shared" si="382"/>
        <v>0</v>
      </c>
      <c r="S864" s="389">
        <f t="shared" si="383"/>
        <v>0</v>
      </c>
      <c r="U864" s="389">
        <f t="shared" si="384"/>
        <v>0</v>
      </c>
      <c r="V864" s="389" t="b">
        <f t="shared" si="385"/>
        <v>0</v>
      </c>
      <c r="W864" s="389">
        <f t="shared" si="386"/>
        <v>0</v>
      </c>
      <c r="X864" s="389">
        <f t="shared" si="387"/>
        <v>0</v>
      </c>
      <c r="Y864" s="389">
        <f t="shared" si="405"/>
        <v>1.0999999999999999E-2</v>
      </c>
      <c r="Z864" s="389">
        <f t="shared" si="388"/>
        <v>1.0999999999999999E-2</v>
      </c>
      <c r="AA864" s="389">
        <f t="shared" si="389"/>
        <v>0</v>
      </c>
      <c r="AB864" s="389">
        <f t="shared" si="390"/>
        <v>1E-4</v>
      </c>
      <c r="AC864" s="389">
        <f t="shared" si="391"/>
        <v>1E-4</v>
      </c>
      <c r="AD864" s="389">
        <f t="shared" si="392"/>
        <v>0</v>
      </c>
      <c r="AE864" s="389">
        <f t="shared" si="393"/>
        <v>0</v>
      </c>
      <c r="AG864" s="311" t="str">
        <f t="shared" si="394"/>
        <v>-</v>
      </c>
      <c r="AH864" s="453" t="str">
        <f t="shared" si="395"/>
        <v/>
      </c>
      <c r="AI864" s="453" t="str">
        <f t="shared" si="396"/>
        <v/>
      </c>
      <c r="AJ864" t="str">
        <f t="array" ref="AJ864">IF(AND(AI864&gt;1,G864&lt;&gt;""),INDEX(FS_teams,MATCH(1,(FS_Keys=AG864)*(FS_Points=I864)*(FS_teams&lt;&gt;G864),0)),"")</f>
        <v/>
      </c>
      <c r="AK864" s="390" t="str">
        <f t="array" ref="AK864">IF(AJ864&lt;&gt;"",INDEX(TM_Score1,MATCH(1,(TM_Events=D864)*(TM_Participant1=G864)*(TM_Participant2=AJ864),0)),"")</f>
        <v/>
      </c>
      <c r="AL864" s="390" t="str">
        <f t="array" ref="AL864">IF(AJ864&lt;&gt;"",INDEX(TM_Score1,MATCH(1,(TM_Events=D864)*(TM_Participant1=AJ864)*(TM_Participant2=G864),0)),"")</f>
        <v/>
      </c>
      <c r="AM864" s="389" t="str">
        <f t="array" ref="AM864">IF(ISNUMBER(AK864),INDEX(TM_Score2,MATCH(1,(TM_Events=D864)*(TM_Participant1=G864)*(TM_Participant2=AJ864),0)),"")</f>
        <v/>
      </c>
      <c r="AN864" s="389" t="str">
        <f t="array" ref="AN864">IF(ISNUMBER(AL864),INDEX(TM_Score2,MATCH(1,(TM_Events=D864)*(TM_Participant1=AJ864)*(TM_Participant2=G864),0)),"")</f>
        <v/>
      </c>
      <c r="AO864" s="389" t="str">
        <f t="shared" si="397"/>
        <v/>
      </c>
      <c r="AP864" s="389">
        <f t="shared" si="398"/>
        <v>0</v>
      </c>
      <c r="AQ864" s="389">
        <f t="shared" si="399"/>
        <v>0</v>
      </c>
      <c r="AR864" s="389">
        <f t="shared" si="400"/>
        <v>0</v>
      </c>
      <c r="AS864" s="453">
        <f t="shared" si="401"/>
        <v>0</v>
      </c>
      <c r="AT864" s="452">
        <f t="shared" si="402"/>
        <v>0</v>
      </c>
    </row>
    <row r="865" spans="2:46" ht="16" x14ac:dyDescent="0.2">
      <c r="B865"/>
      <c r="H865" s="387" t="str">
        <f t="shared" si="377"/>
        <v>0-0-0</v>
      </c>
      <c r="I865" s="389">
        <f t="shared" si="378"/>
        <v>0</v>
      </c>
      <c r="J865" s="455" t="str">
        <f t="shared" si="403"/>
        <v/>
      </c>
      <c r="K865" s="455">
        <f t="shared" si="379"/>
        <v>0</v>
      </c>
      <c r="L865" s="455">
        <f t="shared" si="404"/>
        <v>0</v>
      </c>
      <c r="M865" s="389" t="str">
        <f>IFERROR(IF(AD865&lt;=VLOOKUP(D865,Tournaments!$A$1:$B$1772,2,FALSE),"TRUE","FALSE"),"")</f>
        <v/>
      </c>
      <c r="N865" s="389">
        <v>1</v>
      </c>
      <c r="O865" s="389">
        <f t="shared" si="380"/>
        <v>0</v>
      </c>
      <c r="Q865" s="389">
        <f t="shared" si="381"/>
        <v>0</v>
      </c>
      <c r="R865" s="389">
        <f t="shared" si="382"/>
        <v>0</v>
      </c>
      <c r="S865" s="389">
        <f t="shared" si="383"/>
        <v>0</v>
      </c>
      <c r="U865" s="389">
        <f t="shared" si="384"/>
        <v>0</v>
      </c>
      <c r="V865" s="389" t="b">
        <f t="shared" si="385"/>
        <v>0</v>
      </c>
      <c r="W865" s="389">
        <f t="shared" si="386"/>
        <v>0</v>
      </c>
      <c r="X865" s="389">
        <f t="shared" si="387"/>
        <v>0</v>
      </c>
      <c r="Y865" s="389">
        <f t="shared" si="405"/>
        <v>1.0999999999999999E-2</v>
      </c>
      <c r="Z865" s="389">
        <f t="shared" si="388"/>
        <v>1.0999999999999999E-2</v>
      </c>
      <c r="AA865" s="389">
        <f t="shared" si="389"/>
        <v>0</v>
      </c>
      <c r="AB865" s="389">
        <f t="shared" si="390"/>
        <v>1E-4</v>
      </c>
      <c r="AC865" s="389">
        <f t="shared" si="391"/>
        <v>1E-4</v>
      </c>
      <c r="AD865" s="389">
        <f t="shared" si="392"/>
        <v>0</v>
      </c>
      <c r="AE865" s="389">
        <f t="shared" si="393"/>
        <v>0</v>
      </c>
      <c r="AG865" s="311" t="str">
        <f t="shared" si="394"/>
        <v>-</v>
      </c>
      <c r="AH865" s="453" t="str">
        <f t="shared" si="395"/>
        <v/>
      </c>
      <c r="AI865" s="453" t="str">
        <f t="shared" si="396"/>
        <v/>
      </c>
      <c r="AJ865" t="str">
        <f t="array" ref="AJ865">IF(AND(AI865&gt;1,G865&lt;&gt;""),INDEX(FS_teams,MATCH(1,(FS_Keys=AG865)*(FS_Points=I865)*(FS_teams&lt;&gt;G865),0)),"")</f>
        <v/>
      </c>
      <c r="AK865" s="390" t="str">
        <f t="array" ref="AK865">IF(AJ865&lt;&gt;"",INDEX(TM_Score1,MATCH(1,(TM_Events=D865)*(TM_Participant1=G865)*(TM_Participant2=AJ865),0)),"")</f>
        <v/>
      </c>
      <c r="AL865" s="390" t="str">
        <f t="array" ref="AL865">IF(AJ865&lt;&gt;"",INDEX(TM_Score1,MATCH(1,(TM_Events=D865)*(TM_Participant1=AJ865)*(TM_Participant2=G865),0)),"")</f>
        <v/>
      </c>
      <c r="AM865" s="389" t="str">
        <f t="array" ref="AM865">IF(ISNUMBER(AK865),INDEX(TM_Score2,MATCH(1,(TM_Events=D865)*(TM_Participant1=G865)*(TM_Participant2=AJ865),0)),"")</f>
        <v/>
      </c>
      <c r="AN865" s="389" t="str">
        <f t="array" ref="AN865">IF(ISNUMBER(AL865),INDEX(TM_Score2,MATCH(1,(TM_Events=D865)*(TM_Participant1=AJ865)*(TM_Participant2=G865),0)),"")</f>
        <v/>
      </c>
      <c r="AO865" s="389" t="str">
        <f t="shared" si="397"/>
        <v/>
      </c>
      <c r="AP865" s="389">
        <f t="shared" si="398"/>
        <v>0</v>
      </c>
      <c r="AQ865" s="389">
        <f t="shared" si="399"/>
        <v>0</v>
      </c>
      <c r="AR865" s="389">
        <f t="shared" si="400"/>
        <v>0</v>
      </c>
      <c r="AS865" s="453">
        <f t="shared" si="401"/>
        <v>0</v>
      </c>
      <c r="AT865" s="452">
        <f t="shared" si="402"/>
        <v>0</v>
      </c>
    </row>
    <row r="866" spans="2:46" ht="16" x14ac:dyDescent="0.2">
      <c r="B866"/>
      <c r="H866" s="387" t="str">
        <f t="shared" si="377"/>
        <v>0-0-0</v>
      </c>
      <c r="I866" s="389">
        <f t="shared" si="378"/>
        <v>0</v>
      </c>
      <c r="J866" s="455" t="str">
        <f t="shared" si="403"/>
        <v/>
      </c>
      <c r="K866" s="455">
        <f t="shared" si="379"/>
        <v>0</v>
      </c>
      <c r="L866" s="455">
        <f t="shared" si="404"/>
        <v>0</v>
      </c>
      <c r="M866" s="389" t="str">
        <f>IFERROR(IF(AD866&lt;=VLOOKUP(D866,Tournaments!$A$1:$B$1772,2,FALSE),"TRUE","FALSE"),"")</f>
        <v/>
      </c>
      <c r="N866" s="389">
        <v>1</v>
      </c>
      <c r="O866" s="389">
        <f t="shared" si="380"/>
        <v>0</v>
      </c>
      <c r="Q866" s="389">
        <f t="shared" si="381"/>
        <v>0</v>
      </c>
      <c r="R866" s="389">
        <f t="shared" si="382"/>
        <v>0</v>
      </c>
      <c r="S866" s="389">
        <f t="shared" si="383"/>
        <v>0</v>
      </c>
      <c r="U866" s="389">
        <f t="shared" si="384"/>
        <v>0</v>
      </c>
      <c r="V866" s="389" t="b">
        <f t="shared" si="385"/>
        <v>0</v>
      </c>
      <c r="W866" s="389">
        <f t="shared" si="386"/>
        <v>0</v>
      </c>
      <c r="X866" s="389">
        <f t="shared" si="387"/>
        <v>0</v>
      </c>
      <c r="Y866" s="389">
        <f t="shared" si="405"/>
        <v>1.0999999999999999E-2</v>
      </c>
      <c r="Z866" s="389">
        <f t="shared" si="388"/>
        <v>1.0999999999999999E-2</v>
      </c>
      <c r="AA866" s="389">
        <f t="shared" si="389"/>
        <v>0</v>
      </c>
      <c r="AB866" s="389">
        <f t="shared" si="390"/>
        <v>1E-4</v>
      </c>
      <c r="AC866" s="389">
        <f t="shared" si="391"/>
        <v>1E-4</v>
      </c>
      <c r="AD866" s="389">
        <f t="shared" si="392"/>
        <v>0</v>
      </c>
      <c r="AE866" s="389">
        <f t="shared" si="393"/>
        <v>0</v>
      </c>
      <c r="AG866" s="311" t="str">
        <f t="shared" si="394"/>
        <v>-</v>
      </c>
      <c r="AH866" s="453" t="str">
        <f t="shared" si="395"/>
        <v/>
      </c>
      <c r="AI866" s="453" t="str">
        <f t="shared" si="396"/>
        <v/>
      </c>
      <c r="AJ866" t="str">
        <f t="array" ref="AJ866">IF(AND(AI866&gt;1,G866&lt;&gt;""),INDEX(FS_teams,MATCH(1,(FS_Keys=AG866)*(FS_Points=I866)*(FS_teams&lt;&gt;G866),0)),"")</f>
        <v/>
      </c>
      <c r="AK866" s="390" t="str">
        <f t="array" ref="AK866">IF(AJ866&lt;&gt;"",INDEX(TM_Score1,MATCH(1,(TM_Events=D866)*(TM_Participant1=G866)*(TM_Participant2=AJ866),0)),"")</f>
        <v/>
      </c>
      <c r="AL866" s="390" t="str">
        <f t="array" ref="AL866">IF(AJ866&lt;&gt;"",INDEX(TM_Score1,MATCH(1,(TM_Events=D866)*(TM_Participant1=AJ866)*(TM_Participant2=G866),0)),"")</f>
        <v/>
      </c>
      <c r="AM866" s="389" t="str">
        <f t="array" ref="AM866">IF(ISNUMBER(AK866),INDEX(TM_Score2,MATCH(1,(TM_Events=D866)*(TM_Participant1=G866)*(TM_Participant2=AJ866),0)),"")</f>
        <v/>
      </c>
      <c r="AN866" s="389" t="str">
        <f t="array" ref="AN866">IF(ISNUMBER(AL866),INDEX(TM_Score2,MATCH(1,(TM_Events=D866)*(TM_Participant1=AJ866)*(TM_Participant2=G866),0)),"")</f>
        <v/>
      </c>
      <c r="AO866" s="389" t="str">
        <f t="shared" si="397"/>
        <v/>
      </c>
      <c r="AP866" s="389">
        <f t="shared" si="398"/>
        <v>0</v>
      </c>
      <c r="AQ866" s="389">
        <f t="shared" si="399"/>
        <v>0</v>
      </c>
      <c r="AR866" s="389">
        <f t="shared" si="400"/>
        <v>0</v>
      </c>
      <c r="AS866" s="453">
        <f t="shared" si="401"/>
        <v>0</v>
      </c>
      <c r="AT866" s="452">
        <f t="shared" si="402"/>
        <v>0</v>
      </c>
    </row>
    <row r="867" spans="2:46" ht="16" x14ac:dyDescent="0.2">
      <c r="B867"/>
      <c r="H867" s="387" t="str">
        <f t="shared" si="377"/>
        <v>0-0-0</v>
      </c>
      <c r="I867" s="389">
        <f t="shared" si="378"/>
        <v>0</v>
      </c>
      <c r="J867" s="455" t="str">
        <f t="shared" si="403"/>
        <v/>
      </c>
      <c r="K867" s="455">
        <f t="shared" si="379"/>
        <v>0</v>
      </c>
      <c r="L867" s="455">
        <f t="shared" si="404"/>
        <v>0</v>
      </c>
      <c r="M867" s="389" t="str">
        <f>IFERROR(IF(AD867&lt;=VLOOKUP(D867,Tournaments!$A$1:$B$1772,2,FALSE),"TRUE","FALSE"),"")</f>
        <v/>
      </c>
      <c r="N867" s="389">
        <v>1</v>
      </c>
      <c r="O867" s="389">
        <f t="shared" si="380"/>
        <v>0</v>
      </c>
      <c r="Q867" s="389">
        <f t="shared" si="381"/>
        <v>0</v>
      </c>
      <c r="R867" s="389">
        <f t="shared" si="382"/>
        <v>0</v>
      </c>
      <c r="S867" s="389">
        <f t="shared" si="383"/>
        <v>0</v>
      </c>
      <c r="U867" s="389">
        <f t="shared" si="384"/>
        <v>0</v>
      </c>
      <c r="V867" s="389" t="b">
        <f t="shared" si="385"/>
        <v>0</v>
      </c>
      <c r="W867" s="389">
        <f t="shared" si="386"/>
        <v>0</v>
      </c>
      <c r="X867" s="389">
        <f t="shared" si="387"/>
        <v>0</v>
      </c>
      <c r="Y867" s="389">
        <f t="shared" si="405"/>
        <v>1.0999999999999999E-2</v>
      </c>
      <c r="Z867" s="389">
        <f t="shared" si="388"/>
        <v>1.0999999999999999E-2</v>
      </c>
      <c r="AA867" s="389">
        <f t="shared" si="389"/>
        <v>0</v>
      </c>
      <c r="AB867" s="389">
        <f t="shared" si="390"/>
        <v>1E-4</v>
      </c>
      <c r="AC867" s="389">
        <f t="shared" si="391"/>
        <v>1E-4</v>
      </c>
      <c r="AD867" s="389">
        <f t="shared" si="392"/>
        <v>0</v>
      </c>
      <c r="AE867" s="389">
        <f t="shared" si="393"/>
        <v>0</v>
      </c>
      <c r="AG867" s="311" t="str">
        <f t="shared" si="394"/>
        <v>-</v>
      </c>
      <c r="AH867" s="453" t="str">
        <f t="shared" si="395"/>
        <v/>
      </c>
      <c r="AI867" s="453" t="str">
        <f t="shared" si="396"/>
        <v/>
      </c>
      <c r="AJ867" t="str">
        <f t="array" ref="AJ867">IF(AND(AI867&gt;1,G867&lt;&gt;""),INDEX(FS_teams,MATCH(1,(FS_Keys=AG867)*(FS_Points=I867)*(FS_teams&lt;&gt;G867),0)),"")</f>
        <v/>
      </c>
      <c r="AK867" s="390" t="str">
        <f t="array" ref="AK867">IF(AJ867&lt;&gt;"",INDEX(TM_Score1,MATCH(1,(TM_Events=D867)*(TM_Participant1=G867)*(TM_Participant2=AJ867),0)),"")</f>
        <v/>
      </c>
      <c r="AL867" s="390" t="str">
        <f t="array" ref="AL867">IF(AJ867&lt;&gt;"",INDEX(TM_Score1,MATCH(1,(TM_Events=D867)*(TM_Participant1=AJ867)*(TM_Participant2=G867),0)),"")</f>
        <v/>
      </c>
      <c r="AM867" s="389" t="str">
        <f t="array" ref="AM867">IF(ISNUMBER(AK867),INDEX(TM_Score2,MATCH(1,(TM_Events=D867)*(TM_Participant1=G867)*(TM_Participant2=AJ867),0)),"")</f>
        <v/>
      </c>
      <c r="AN867" s="389" t="str">
        <f t="array" ref="AN867">IF(ISNUMBER(AL867),INDEX(TM_Score2,MATCH(1,(TM_Events=D867)*(TM_Participant1=AJ867)*(TM_Participant2=G867),0)),"")</f>
        <v/>
      </c>
      <c r="AO867" s="389" t="str">
        <f t="shared" si="397"/>
        <v/>
      </c>
      <c r="AP867" s="389">
        <f t="shared" si="398"/>
        <v>0</v>
      </c>
      <c r="AQ867" s="389">
        <f t="shared" si="399"/>
        <v>0</v>
      </c>
      <c r="AR867" s="389">
        <f t="shared" si="400"/>
        <v>0</v>
      </c>
      <c r="AS867" s="453">
        <f t="shared" si="401"/>
        <v>0</v>
      </c>
      <c r="AT867" s="452">
        <f t="shared" si="402"/>
        <v>0</v>
      </c>
    </row>
    <row r="868" spans="2:46" ht="16" x14ac:dyDescent="0.2">
      <c r="B868"/>
      <c r="H868" s="387" t="str">
        <f t="shared" si="377"/>
        <v>0-0-0</v>
      </c>
      <c r="I868" s="389">
        <f t="shared" si="378"/>
        <v>0</v>
      </c>
      <c r="J868" s="455" t="str">
        <f t="shared" si="403"/>
        <v/>
      </c>
      <c r="K868" s="455">
        <f t="shared" si="379"/>
        <v>0</v>
      </c>
      <c r="L868" s="455">
        <f t="shared" si="404"/>
        <v>0</v>
      </c>
      <c r="M868" s="389" t="str">
        <f>IFERROR(IF(AD868&lt;=VLOOKUP(D868,Tournaments!$A$1:$B$1772,2,FALSE),"TRUE","FALSE"),"")</f>
        <v/>
      </c>
      <c r="N868" s="389">
        <v>1</v>
      </c>
      <c r="O868" s="389">
        <f t="shared" si="380"/>
        <v>0</v>
      </c>
      <c r="Q868" s="389">
        <f t="shared" si="381"/>
        <v>0</v>
      </c>
      <c r="R868" s="389">
        <f t="shared" si="382"/>
        <v>0</v>
      </c>
      <c r="S868" s="389">
        <f t="shared" si="383"/>
        <v>0</v>
      </c>
      <c r="U868" s="389">
        <f t="shared" si="384"/>
        <v>0</v>
      </c>
      <c r="V868" s="389" t="b">
        <f t="shared" si="385"/>
        <v>0</v>
      </c>
      <c r="W868" s="389">
        <f t="shared" si="386"/>
        <v>0</v>
      </c>
      <c r="X868" s="389">
        <f t="shared" si="387"/>
        <v>0</v>
      </c>
      <c r="Y868" s="389">
        <f t="shared" si="405"/>
        <v>1.0999999999999999E-2</v>
      </c>
      <c r="Z868" s="389">
        <f t="shared" si="388"/>
        <v>1.0999999999999999E-2</v>
      </c>
      <c r="AA868" s="389">
        <f t="shared" si="389"/>
        <v>0</v>
      </c>
      <c r="AB868" s="389">
        <f t="shared" si="390"/>
        <v>1E-4</v>
      </c>
      <c r="AC868" s="389">
        <f t="shared" si="391"/>
        <v>1E-4</v>
      </c>
      <c r="AD868" s="389">
        <f t="shared" si="392"/>
        <v>0</v>
      </c>
      <c r="AE868" s="389">
        <f t="shared" si="393"/>
        <v>0</v>
      </c>
      <c r="AG868" s="311" t="str">
        <f t="shared" si="394"/>
        <v>-</v>
      </c>
      <c r="AH868" s="453" t="str">
        <f t="shared" si="395"/>
        <v/>
      </c>
      <c r="AI868" s="453" t="str">
        <f t="shared" si="396"/>
        <v/>
      </c>
      <c r="AJ868" t="str">
        <f t="array" ref="AJ868">IF(AND(AI868&gt;1,G868&lt;&gt;""),INDEX(FS_teams,MATCH(1,(FS_Keys=AG868)*(FS_Points=I868)*(FS_teams&lt;&gt;G868),0)),"")</f>
        <v/>
      </c>
      <c r="AK868" s="390" t="str">
        <f t="array" ref="AK868">IF(AJ868&lt;&gt;"",INDEX(TM_Score1,MATCH(1,(TM_Events=D868)*(TM_Participant1=G868)*(TM_Participant2=AJ868),0)),"")</f>
        <v/>
      </c>
      <c r="AL868" s="390" t="str">
        <f t="array" ref="AL868">IF(AJ868&lt;&gt;"",INDEX(TM_Score1,MATCH(1,(TM_Events=D868)*(TM_Participant1=AJ868)*(TM_Participant2=G868),0)),"")</f>
        <v/>
      </c>
      <c r="AM868" s="389" t="str">
        <f t="array" ref="AM868">IF(ISNUMBER(AK868),INDEX(TM_Score2,MATCH(1,(TM_Events=D868)*(TM_Participant1=G868)*(TM_Participant2=AJ868),0)),"")</f>
        <v/>
      </c>
      <c r="AN868" s="389" t="str">
        <f t="array" ref="AN868">IF(ISNUMBER(AL868),INDEX(TM_Score2,MATCH(1,(TM_Events=D868)*(TM_Participant1=AJ868)*(TM_Participant2=G868),0)),"")</f>
        <v/>
      </c>
      <c r="AO868" s="389" t="str">
        <f t="shared" si="397"/>
        <v/>
      </c>
      <c r="AP868" s="389">
        <f t="shared" si="398"/>
        <v>0</v>
      </c>
      <c r="AQ868" s="389">
        <f t="shared" si="399"/>
        <v>0</v>
      </c>
      <c r="AR868" s="389">
        <f t="shared" si="400"/>
        <v>0</v>
      </c>
      <c r="AS868" s="453">
        <f t="shared" si="401"/>
        <v>0</v>
      </c>
      <c r="AT868" s="452">
        <f t="shared" si="402"/>
        <v>0</v>
      </c>
    </row>
    <row r="869" spans="2:46" ht="16" x14ac:dyDescent="0.2">
      <c r="B869"/>
      <c r="H869" s="387" t="str">
        <f t="shared" si="377"/>
        <v>0-0-0</v>
      </c>
      <c r="I869" s="389">
        <f t="shared" si="378"/>
        <v>0</v>
      </c>
      <c r="J869" s="455" t="str">
        <f t="shared" si="403"/>
        <v/>
      </c>
      <c r="K869" s="455">
        <f t="shared" si="379"/>
        <v>0</v>
      </c>
      <c r="L869" s="455">
        <f t="shared" si="404"/>
        <v>0</v>
      </c>
      <c r="M869" s="389" t="str">
        <f>IFERROR(IF(AD869&lt;=VLOOKUP(D869,Tournaments!$A$1:$B$1772,2,FALSE),"TRUE","FALSE"),"")</f>
        <v/>
      </c>
      <c r="N869" s="389">
        <v>1</v>
      </c>
      <c r="O869" s="389">
        <f t="shared" si="380"/>
        <v>0</v>
      </c>
      <c r="Q869" s="389">
        <f t="shared" si="381"/>
        <v>0</v>
      </c>
      <c r="R869" s="389">
        <f t="shared" si="382"/>
        <v>0</v>
      </c>
      <c r="S869" s="389">
        <f t="shared" si="383"/>
        <v>0</v>
      </c>
      <c r="U869" s="389">
        <f t="shared" si="384"/>
        <v>0</v>
      </c>
      <c r="V869" s="389" t="b">
        <f t="shared" si="385"/>
        <v>0</v>
      </c>
      <c r="W869" s="389">
        <f t="shared" si="386"/>
        <v>0</v>
      </c>
      <c r="X869" s="389">
        <f t="shared" si="387"/>
        <v>0</v>
      </c>
      <c r="Y869" s="389">
        <f t="shared" si="405"/>
        <v>1.0999999999999999E-2</v>
      </c>
      <c r="Z869" s="389">
        <f t="shared" si="388"/>
        <v>1.0999999999999999E-2</v>
      </c>
      <c r="AA869" s="389">
        <f t="shared" si="389"/>
        <v>0</v>
      </c>
      <c r="AB869" s="389">
        <f t="shared" si="390"/>
        <v>1E-4</v>
      </c>
      <c r="AC869" s="389">
        <f t="shared" si="391"/>
        <v>1E-4</v>
      </c>
      <c r="AD869" s="389">
        <f t="shared" si="392"/>
        <v>0</v>
      </c>
      <c r="AE869" s="389">
        <f t="shared" si="393"/>
        <v>0</v>
      </c>
      <c r="AG869" s="311" t="str">
        <f t="shared" si="394"/>
        <v>-</v>
      </c>
      <c r="AH869" s="453" t="str">
        <f t="shared" si="395"/>
        <v/>
      </c>
      <c r="AI869" s="453" t="str">
        <f t="shared" si="396"/>
        <v/>
      </c>
      <c r="AJ869" t="str">
        <f t="array" ref="AJ869">IF(AND(AI869&gt;1,G869&lt;&gt;""),INDEX(FS_teams,MATCH(1,(FS_Keys=AG869)*(FS_Points=I869)*(FS_teams&lt;&gt;G869),0)),"")</f>
        <v/>
      </c>
      <c r="AK869" s="390" t="str">
        <f t="array" ref="AK869">IF(AJ869&lt;&gt;"",INDEX(TM_Score1,MATCH(1,(TM_Events=D869)*(TM_Participant1=G869)*(TM_Participant2=AJ869),0)),"")</f>
        <v/>
      </c>
      <c r="AL869" s="390" t="str">
        <f t="array" ref="AL869">IF(AJ869&lt;&gt;"",INDEX(TM_Score1,MATCH(1,(TM_Events=D869)*(TM_Participant1=AJ869)*(TM_Participant2=G869),0)),"")</f>
        <v/>
      </c>
      <c r="AM869" s="389" t="str">
        <f t="array" ref="AM869">IF(ISNUMBER(AK869),INDEX(TM_Score2,MATCH(1,(TM_Events=D869)*(TM_Participant1=G869)*(TM_Participant2=AJ869),0)),"")</f>
        <v/>
      </c>
      <c r="AN869" s="389" t="str">
        <f t="array" ref="AN869">IF(ISNUMBER(AL869),INDEX(TM_Score2,MATCH(1,(TM_Events=D869)*(TM_Participant1=AJ869)*(TM_Participant2=G869),0)),"")</f>
        <v/>
      </c>
      <c r="AO869" s="389" t="str">
        <f t="shared" si="397"/>
        <v/>
      </c>
      <c r="AP869" s="389">
        <f t="shared" si="398"/>
        <v>0</v>
      </c>
      <c r="AQ869" s="389">
        <f t="shared" si="399"/>
        <v>0</v>
      </c>
      <c r="AR869" s="389">
        <f t="shared" si="400"/>
        <v>0</v>
      </c>
      <c r="AS869" s="453">
        <f t="shared" si="401"/>
        <v>0</v>
      </c>
      <c r="AT869" s="452">
        <f t="shared" si="402"/>
        <v>0</v>
      </c>
    </row>
    <row r="870" spans="2:46" ht="16" x14ac:dyDescent="0.2">
      <c r="B870"/>
      <c r="H870" s="387" t="str">
        <f t="shared" si="377"/>
        <v>0-0-0</v>
      </c>
      <c r="I870" s="389">
        <f t="shared" si="378"/>
        <v>0</v>
      </c>
      <c r="J870" s="455" t="str">
        <f t="shared" si="403"/>
        <v/>
      </c>
      <c r="K870" s="455">
        <f t="shared" si="379"/>
        <v>0</v>
      </c>
      <c r="L870" s="455">
        <f t="shared" si="404"/>
        <v>0</v>
      </c>
      <c r="M870" s="389" t="str">
        <f>IFERROR(IF(AD870&lt;=VLOOKUP(D870,Tournaments!$A$1:$B$1772,2,FALSE),"TRUE","FALSE"),"")</f>
        <v/>
      </c>
      <c r="N870" s="389">
        <v>1</v>
      </c>
      <c r="O870" s="389">
        <f t="shared" si="380"/>
        <v>0</v>
      </c>
      <c r="Q870" s="389">
        <f t="shared" si="381"/>
        <v>0</v>
      </c>
      <c r="R870" s="389">
        <f t="shared" si="382"/>
        <v>0</v>
      </c>
      <c r="S870" s="389">
        <f t="shared" si="383"/>
        <v>0</v>
      </c>
      <c r="U870" s="389">
        <f t="shared" si="384"/>
        <v>0</v>
      </c>
      <c r="V870" s="389" t="b">
        <f t="shared" si="385"/>
        <v>0</v>
      </c>
      <c r="W870" s="389">
        <f t="shared" si="386"/>
        <v>0</v>
      </c>
      <c r="X870" s="389">
        <f t="shared" si="387"/>
        <v>0</v>
      </c>
      <c r="Y870" s="389">
        <f t="shared" si="405"/>
        <v>1.0999999999999999E-2</v>
      </c>
      <c r="Z870" s="389">
        <f t="shared" si="388"/>
        <v>1.0999999999999999E-2</v>
      </c>
      <c r="AA870" s="389">
        <f t="shared" si="389"/>
        <v>0</v>
      </c>
      <c r="AB870" s="389">
        <f t="shared" si="390"/>
        <v>1E-4</v>
      </c>
      <c r="AC870" s="389">
        <f t="shared" si="391"/>
        <v>1E-4</v>
      </c>
      <c r="AD870" s="389">
        <f t="shared" si="392"/>
        <v>0</v>
      </c>
      <c r="AE870" s="389">
        <f t="shared" si="393"/>
        <v>0</v>
      </c>
      <c r="AG870" s="311" t="str">
        <f t="shared" si="394"/>
        <v>-</v>
      </c>
      <c r="AH870" s="453" t="str">
        <f t="shared" si="395"/>
        <v/>
      </c>
      <c r="AI870" s="453" t="str">
        <f t="shared" si="396"/>
        <v/>
      </c>
      <c r="AJ870" t="str">
        <f t="array" ref="AJ870">IF(AND(AI870&gt;1,G870&lt;&gt;""),INDEX(FS_teams,MATCH(1,(FS_Keys=AG870)*(FS_Points=I870)*(FS_teams&lt;&gt;G870),0)),"")</f>
        <v/>
      </c>
      <c r="AK870" s="390" t="str">
        <f t="array" ref="AK870">IF(AJ870&lt;&gt;"",INDEX(TM_Score1,MATCH(1,(TM_Events=D870)*(TM_Participant1=G870)*(TM_Participant2=AJ870),0)),"")</f>
        <v/>
      </c>
      <c r="AL870" s="390" t="str">
        <f t="array" ref="AL870">IF(AJ870&lt;&gt;"",INDEX(TM_Score1,MATCH(1,(TM_Events=D870)*(TM_Participant1=AJ870)*(TM_Participant2=G870),0)),"")</f>
        <v/>
      </c>
      <c r="AM870" s="389" t="str">
        <f t="array" ref="AM870">IF(ISNUMBER(AK870),INDEX(TM_Score2,MATCH(1,(TM_Events=D870)*(TM_Participant1=G870)*(TM_Participant2=AJ870),0)),"")</f>
        <v/>
      </c>
      <c r="AN870" s="389" t="str">
        <f t="array" ref="AN870">IF(ISNUMBER(AL870),INDEX(TM_Score2,MATCH(1,(TM_Events=D870)*(TM_Participant1=AJ870)*(TM_Participant2=G870),0)),"")</f>
        <v/>
      </c>
      <c r="AO870" s="389" t="str">
        <f t="shared" si="397"/>
        <v/>
      </c>
      <c r="AP870" s="389">
        <f t="shared" si="398"/>
        <v>0</v>
      </c>
      <c r="AQ870" s="389">
        <f t="shared" si="399"/>
        <v>0</v>
      </c>
      <c r="AR870" s="389">
        <f t="shared" si="400"/>
        <v>0</v>
      </c>
      <c r="AS870" s="453">
        <f t="shared" si="401"/>
        <v>0</v>
      </c>
      <c r="AT870" s="452">
        <f t="shared" si="402"/>
        <v>0</v>
      </c>
    </row>
    <row r="871" spans="2:46" ht="16" x14ac:dyDescent="0.2">
      <c r="B871"/>
      <c r="H871" s="387" t="str">
        <f t="shared" si="377"/>
        <v>0-0-0</v>
      </c>
      <c r="I871" s="389">
        <f t="shared" si="378"/>
        <v>0</v>
      </c>
      <c r="J871" s="455" t="str">
        <f t="shared" si="403"/>
        <v/>
      </c>
      <c r="K871" s="455">
        <f t="shared" si="379"/>
        <v>0</v>
      </c>
      <c r="L871" s="455">
        <f t="shared" si="404"/>
        <v>0</v>
      </c>
      <c r="M871" s="389" t="str">
        <f>IFERROR(IF(AD871&lt;=VLOOKUP(D871,Tournaments!$A$1:$B$1772,2,FALSE),"TRUE","FALSE"),"")</f>
        <v/>
      </c>
      <c r="N871" s="389">
        <v>1</v>
      </c>
      <c r="O871" s="389">
        <f t="shared" si="380"/>
        <v>0</v>
      </c>
      <c r="Q871" s="389">
        <f t="shared" si="381"/>
        <v>0</v>
      </c>
      <c r="R871" s="389">
        <f t="shared" si="382"/>
        <v>0</v>
      </c>
      <c r="S871" s="389">
        <f t="shared" si="383"/>
        <v>0</v>
      </c>
      <c r="U871" s="389">
        <f t="shared" si="384"/>
        <v>0</v>
      </c>
      <c r="V871" s="389" t="b">
        <f t="shared" si="385"/>
        <v>0</v>
      </c>
      <c r="W871" s="389">
        <f t="shared" si="386"/>
        <v>0</v>
      </c>
      <c r="X871" s="389">
        <f t="shared" si="387"/>
        <v>0</v>
      </c>
      <c r="Y871" s="389">
        <f t="shared" si="405"/>
        <v>1.0999999999999999E-2</v>
      </c>
      <c r="Z871" s="389">
        <f t="shared" si="388"/>
        <v>1.0999999999999999E-2</v>
      </c>
      <c r="AA871" s="389">
        <f t="shared" si="389"/>
        <v>0</v>
      </c>
      <c r="AB871" s="389">
        <f t="shared" si="390"/>
        <v>1E-4</v>
      </c>
      <c r="AC871" s="389">
        <f t="shared" si="391"/>
        <v>1E-4</v>
      </c>
      <c r="AD871" s="389">
        <f t="shared" si="392"/>
        <v>0</v>
      </c>
      <c r="AE871" s="389">
        <f t="shared" si="393"/>
        <v>0</v>
      </c>
      <c r="AG871" s="311" t="str">
        <f t="shared" si="394"/>
        <v>-</v>
      </c>
      <c r="AH871" s="453" t="str">
        <f t="shared" si="395"/>
        <v/>
      </c>
      <c r="AI871" s="453" t="str">
        <f t="shared" si="396"/>
        <v/>
      </c>
      <c r="AJ871" t="str">
        <f t="array" ref="AJ871">IF(AND(AI871&gt;1,G871&lt;&gt;""),INDEX(FS_teams,MATCH(1,(FS_Keys=AG871)*(FS_Points=I871)*(FS_teams&lt;&gt;G871),0)),"")</f>
        <v/>
      </c>
      <c r="AK871" s="390" t="str">
        <f t="array" ref="AK871">IF(AJ871&lt;&gt;"",INDEX(TM_Score1,MATCH(1,(TM_Events=D871)*(TM_Participant1=G871)*(TM_Participant2=AJ871),0)),"")</f>
        <v/>
      </c>
      <c r="AL871" s="390" t="str">
        <f t="array" ref="AL871">IF(AJ871&lt;&gt;"",INDEX(TM_Score1,MATCH(1,(TM_Events=D871)*(TM_Participant1=AJ871)*(TM_Participant2=G871),0)),"")</f>
        <v/>
      </c>
      <c r="AM871" s="389" t="str">
        <f t="array" ref="AM871">IF(ISNUMBER(AK871),INDEX(TM_Score2,MATCH(1,(TM_Events=D871)*(TM_Participant1=G871)*(TM_Participant2=AJ871),0)),"")</f>
        <v/>
      </c>
      <c r="AN871" s="389" t="str">
        <f t="array" ref="AN871">IF(ISNUMBER(AL871),INDEX(TM_Score2,MATCH(1,(TM_Events=D871)*(TM_Participant1=AJ871)*(TM_Participant2=G871),0)),"")</f>
        <v/>
      </c>
      <c r="AO871" s="389" t="str">
        <f t="shared" si="397"/>
        <v/>
      </c>
      <c r="AP871" s="389">
        <f t="shared" si="398"/>
        <v>0</v>
      </c>
      <c r="AQ871" s="389">
        <f t="shared" si="399"/>
        <v>0</v>
      </c>
      <c r="AR871" s="389">
        <f t="shared" si="400"/>
        <v>0</v>
      </c>
      <c r="AS871" s="453">
        <f t="shared" si="401"/>
        <v>0</v>
      </c>
      <c r="AT871" s="452">
        <f t="shared" si="402"/>
        <v>0</v>
      </c>
    </row>
    <row r="872" spans="2:46" ht="16" x14ac:dyDescent="0.2">
      <c r="B872"/>
      <c r="H872" s="387" t="str">
        <f t="shared" si="377"/>
        <v>0-0-0</v>
      </c>
      <c r="I872" s="389">
        <f t="shared" si="378"/>
        <v>0</v>
      </c>
      <c r="J872" s="455" t="str">
        <f t="shared" si="403"/>
        <v/>
      </c>
      <c r="K872" s="455">
        <f t="shared" si="379"/>
        <v>0</v>
      </c>
      <c r="L872" s="455">
        <f t="shared" si="404"/>
        <v>0</v>
      </c>
      <c r="M872" s="389" t="str">
        <f>IFERROR(IF(AD872&lt;=VLOOKUP(D872,Tournaments!$A$1:$B$1772,2,FALSE),"TRUE","FALSE"),"")</f>
        <v/>
      </c>
      <c r="N872" s="389">
        <v>1</v>
      </c>
      <c r="O872" s="389">
        <f t="shared" si="380"/>
        <v>0</v>
      </c>
      <c r="Q872" s="389">
        <f t="shared" si="381"/>
        <v>0</v>
      </c>
      <c r="R872" s="389">
        <f t="shared" si="382"/>
        <v>0</v>
      </c>
      <c r="S872" s="389">
        <f t="shared" si="383"/>
        <v>0</v>
      </c>
      <c r="U872" s="389">
        <f t="shared" si="384"/>
        <v>0</v>
      </c>
      <c r="V872" s="389" t="b">
        <f t="shared" si="385"/>
        <v>0</v>
      </c>
      <c r="W872" s="389">
        <f t="shared" si="386"/>
        <v>0</v>
      </c>
      <c r="X872" s="389">
        <f t="shared" si="387"/>
        <v>0</v>
      </c>
      <c r="Y872" s="389">
        <f t="shared" si="405"/>
        <v>1.0999999999999999E-2</v>
      </c>
      <c r="Z872" s="389">
        <f t="shared" si="388"/>
        <v>1.0999999999999999E-2</v>
      </c>
      <c r="AA872" s="389">
        <f t="shared" si="389"/>
        <v>0</v>
      </c>
      <c r="AB872" s="389">
        <f t="shared" si="390"/>
        <v>1E-4</v>
      </c>
      <c r="AC872" s="389">
        <f t="shared" si="391"/>
        <v>1E-4</v>
      </c>
      <c r="AD872" s="389">
        <f t="shared" si="392"/>
        <v>0</v>
      </c>
      <c r="AE872" s="389">
        <f t="shared" si="393"/>
        <v>0</v>
      </c>
      <c r="AG872" s="311" t="str">
        <f t="shared" si="394"/>
        <v>-</v>
      </c>
      <c r="AH872" s="453" t="str">
        <f t="shared" si="395"/>
        <v/>
      </c>
      <c r="AI872" s="453" t="str">
        <f t="shared" si="396"/>
        <v/>
      </c>
      <c r="AJ872" t="str">
        <f t="array" ref="AJ872">IF(AND(AI872&gt;1,G872&lt;&gt;""),INDEX(FS_teams,MATCH(1,(FS_Keys=AG872)*(FS_Points=I872)*(FS_teams&lt;&gt;G872),0)),"")</f>
        <v/>
      </c>
      <c r="AK872" s="390" t="str">
        <f t="array" ref="AK872">IF(AJ872&lt;&gt;"",INDEX(TM_Score1,MATCH(1,(TM_Events=D872)*(TM_Participant1=G872)*(TM_Participant2=AJ872),0)),"")</f>
        <v/>
      </c>
      <c r="AL872" s="390" t="str">
        <f t="array" ref="AL872">IF(AJ872&lt;&gt;"",INDEX(TM_Score1,MATCH(1,(TM_Events=D872)*(TM_Participant1=AJ872)*(TM_Participant2=G872),0)),"")</f>
        <v/>
      </c>
      <c r="AM872" s="389" t="str">
        <f t="array" ref="AM872">IF(ISNUMBER(AK872),INDEX(TM_Score2,MATCH(1,(TM_Events=D872)*(TM_Participant1=G872)*(TM_Participant2=AJ872),0)),"")</f>
        <v/>
      </c>
      <c r="AN872" s="389" t="str">
        <f t="array" ref="AN872">IF(ISNUMBER(AL872),INDEX(TM_Score2,MATCH(1,(TM_Events=D872)*(TM_Participant1=AJ872)*(TM_Participant2=G872),0)),"")</f>
        <v/>
      </c>
      <c r="AO872" s="389" t="str">
        <f t="shared" si="397"/>
        <v/>
      </c>
      <c r="AP872" s="389">
        <f t="shared" si="398"/>
        <v>0</v>
      </c>
      <c r="AQ872" s="389">
        <f t="shared" si="399"/>
        <v>0</v>
      </c>
      <c r="AR872" s="389">
        <f t="shared" si="400"/>
        <v>0</v>
      </c>
      <c r="AS872" s="453">
        <f t="shared" si="401"/>
        <v>0</v>
      </c>
      <c r="AT872" s="452">
        <f t="shared" si="402"/>
        <v>0</v>
      </c>
    </row>
    <row r="873" spans="2:46" ht="16" x14ac:dyDescent="0.2">
      <c r="B873"/>
      <c r="H873" s="387" t="str">
        <f t="shared" si="377"/>
        <v>0-0-0</v>
      </c>
      <c r="I873" s="389">
        <f t="shared" si="378"/>
        <v>0</v>
      </c>
      <c r="J873" s="455" t="str">
        <f t="shared" si="403"/>
        <v/>
      </c>
      <c r="K873" s="455">
        <f t="shared" si="379"/>
        <v>0</v>
      </c>
      <c r="L873" s="455">
        <f t="shared" si="404"/>
        <v>0</v>
      </c>
      <c r="M873" s="389" t="str">
        <f>IFERROR(IF(AD873&lt;=VLOOKUP(D873,Tournaments!$A$1:$B$1772,2,FALSE),"TRUE","FALSE"),"")</f>
        <v/>
      </c>
      <c r="N873" s="389">
        <v>1</v>
      </c>
      <c r="O873" s="389">
        <f t="shared" si="380"/>
        <v>0</v>
      </c>
      <c r="Q873" s="389">
        <f t="shared" si="381"/>
        <v>0</v>
      </c>
      <c r="R873" s="389">
        <f t="shared" si="382"/>
        <v>0</v>
      </c>
      <c r="S873" s="389">
        <f t="shared" si="383"/>
        <v>0</v>
      </c>
      <c r="U873" s="389">
        <f t="shared" si="384"/>
        <v>0</v>
      </c>
      <c r="V873" s="389" t="b">
        <f t="shared" si="385"/>
        <v>0</v>
      </c>
      <c r="W873" s="389">
        <f t="shared" si="386"/>
        <v>0</v>
      </c>
      <c r="X873" s="389">
        <f t="shared" si="387"/>
        <v>0</v>
      </c>
      <c r="Y873" s="389">
        <f t="shared" si="405"/>
        <v>1.0999999999999999E-2</v>
      </c>
      <c r="Z873" s="389">
        <f t="shared" si="388"/>
        <v>1.0999999999999999E-2</v>
      </c>
      <c r="AA873" s="389">
        <f t="shared" si="389"/>
        <v>0</v>
      </c>
      <c r="AB873" s="389">
        <f t="shared" si="390"/>
        <v>1E-4</v>
      </c>
      <c r="AC873" s="389">
        <f t="shared" si="391"/>
        <v>1E-4</v>
      </c>
      <c r="AD873" s="389">
        <f t="shared" si="392"/>
        <v>0</v>
      </c>
      <c r="AE873" s="389">
        <f t="shared" si="393"/>
        <v>0</v>
      </c>
      <c r="AG873" s="311" t="str">
        <f t="shared" si="394"/>
        <v>-</v>
      </c>
      <c r="AH873" s="453" t="str">
        <f t="shared" si="395"/>
        <v/>
      </c>
      <c r="AI873" s="453" t="str">
        <f t="shared" si="396"/>
        <v/>
      </c>
      <c r="AJ873" t="str">
        <f t="array" ref="AJ873">IF(AND(AI873&gt;1,G873&lt;&gt;""),INDEX(FS_teams,MATCH(1,(FS_Keys=AG873)*(FS_Points=I873)*(FS_teams&lt;&gt;G873),0)),"")</f>
        <v/>
      </c>
      <c r="AK873" s="390" t="str">
        <f t="array" ref="AK873">IF(AJ873&lt;&gt;"",INDEX(TM_Score1,MATCH(1,(TM_Events=D873)*(TM_Participant1=G873)*(TM_Participant2=AJ873),0)),"")</f>
        <v/>
      </c>
      <c r="AL873" s="390" t="str">
        <f t="array" ref="AL873">IF(AJ873&lt;&gt;"",INDEX(TM_Score1,MATCH(1,(TM_Events=D873)*(TM_Participant1=AJ873)*(TM_Participant2=G873),0)),"")</f>
        <v/>
      </c>
      <c r="AM873" s="389" t="str">
        <f t="array" ref="AM873">IF(ISNUMBER(AK873),INDEX(TM_Score2,MATCH(1,(TM_Events=D873)*(TM_Participant1=G873)*(TM_Participant2=AJ873),0)),"")</f>
        <v/>
      </c>
      <c r="AN873" s="389" t="str">
        <f t="array" ref="AN873">IF(ISNUMBER(AL873),INDEX(TM_Score2,MATCH(1,(TM_Events=D873)*(TM_Participant1=AJ873)*(TM_Participant2=G873),0)),"")</f>
        <v/>
      </c>
      <c r="AO873" s="389" t="str">
        <f t="shared" si="397"/>
        <v/>
      </c>
      <c r="AP873" s="389">
        <f t="shared" si="398"/>
        <v>0</v>
      </c>
      <c r="AQ873" s="389">
        <f t="shared" si="399"/>
        <v>0</v>
      </c>
      <c r="AR873" s="389">
        <f t="shared" si="400"/>
        <v>0</v>
      </c>
      <c r="AS873" s="453">
        <f t="shared" si="401"/>
        <v>0</v>
      </c>
      <c r="AT873" s="452">
        <f t="shared" si="402"/>
        <v>0</v>
      </c>
    </row>
    <row r="874" spans="2:46" ht="16" x14ac:dyDescent="0.2">
      <c r="B874"/>
      <c r="H874" s="387" t="str">
        <f t="shared" si="377"/>
        <v>0-0-0</v>
      </c>
      <c r="I874" s="389">
        <f t="shared" si="378"/>
        <v>0</v>
      </c>
      <c r="J874" s="455" t="str">
        <f t="shared" si="403"/>
        <v/>
      </c>
      <c r="K874" s="455">
        <f t="shared" si="379"/>
        <v>0</v>
      </c>
      <c r="L874" s="455">
        <f t="shared" si="404"/>
        <v>0</v>
      </c>
      <c r="M874" s="389" t="str">
        <f>IFERROR(IF(AD874&lt;=VLOOKUP(D874,Tournaments!$A$1:$B$1772,2,FALSE),"TRUE","FALSE"),"")</f>
        <v/>
      </c>
      <c r="N874" s="389">
        <v>1</v>
      </c>
      <c r="O874" s="389">
        <f t="shared" si="380"/>
        <v>0</v>
      </c>
      <c r="Q874" s="389">
        <f t="shared" si="381"/>
        <v>0</v>
      </c>
      <c r="R874" s="389">
        <f t="shared" si="382"/>
        <v>0</v>
      </c>
      <c r="S874" s="389">
        <f t="shared" si="383"/>
        <v>0</v>
      </c>
      <c r="U874" s="389">
        <f t="shared" si="384"/>
        <v>0</v>
      </c>
      <c r="V874" s="389" t="b">
        <f t="shared" si="385"/>
        <v>0</v>
      </c>
      <c r="W874" s="389">
        <f t="shared" si="386"/>
        <v>0</v>
      </c>
      <c r="X874" s="389">
        <f t="shared" si="387"/>
        <v>0</v>
      </c>
      <c r="Y874" s="389">
        <f t="shared" si="405"/>
        <v>1.0999999999999999E-2</v>
      </c>
      <c r="Z874" s="389">
        <f t="shared" si="388"/>
        <v>1.0999999999999999E-2</v>
      </c>
      <c r="AA874" s="389">
        <f t="shared" si="389"/>
        <v>0</v>
      </c>
      <c r="AB874" s="389">
        <f t="shared" si="390"/>
        <v>1E-4</v>
      </c>
      <c r="AC874" s="389">
        <f t="shared" si="391"/>
        <v>1E-4</v>
      </c>
      <c r="AD874" s="389">
        <f t="shared" si="392"/>
        <v>0</v>
      </c>
      <c r="AE874" s="389">
        <f t="shared" si="393"/>
        <v>0</v>
      </c>
      <c r="AG874" s="311" t="str">
        <f t="shared" si="394"/>
        <v>-</v>
      </c>
      <c r="AH874" s="453" t="str">
        <f t="shared" si="395"/>
        <v/>
      </c>
      <c r="AI874" s="453" t="str">
        <f t="shared" si="396"/>
        <v/>
      </c>
      <c r="AJ874" t="str">
        <f t="array" ref="AJ874">IF(AND(AI874&gt;1,G874&lt;&gt;""),INDEX(FS_teams,MATCH(1,(FS_Keys=AG874)*(FS_Points=I874)*(FS_teams&lt;&gt;G874),0)),"")</f>
        <v/>
      </c>
      <c r="AK874" s="390" t="str">
        <f t="array" ref="AK874">IF(AJ874&lt;&gt;"",INDEX(TM_Score1,MATCH(1,(TM_Events=D874)*(TM_Participant1=G874)*(TM_Participant2=AJ874),0)),"")</f>
        <v/>
      </c>
      <c r="AL874" s="390" t="str">
        <f t="array" ref="AL874">IF(AJ874&lt;&gt;"",INDEX(TM_Score1,MATCH(1,(TM_Events=D874)*(TM_Participant1=AJ874)*(TM_Participant2=G874),0)),"")</f>
        <v/>
      </c>
      <c r="AM874" s="389" t="str">
        <f t="array" ref="AM874">IF(ISNUMBER(AK874),INDEX(TM_Score2,MATCH(1,(TM_Events=D874)*(TM_Participant1=G874)*(TM_Participant2=AJ874),0)),"")</f>
        <v/>
      </c>
      <c r="AN874" s="389" t="str">
        <f t="array" ref="AN874">IF(ISNUMBER(AL874),INDEX(TM_Score2,MATCH(1,(TM_Events=D874)*(TM_Participant1=AJ874)*(TM_Participant2=G874),0)),"")</f>
        <v/>
      </c>
      <c r="AO874" s="389" t="str">
        <f t="shared" si="397"/>
        <v/>
      </c>
      <c r="AP874" s="389">
        <f t="shared" si="398"/>
        <v>0</v>
      </c>
      <c r="AQ874" s="389">
        <f t="shared" si="399"/>
        <v>0</v>
      </c>
      <c r="AR874" s="389">
        <f t="shared" si="400"/>
        <v>0</v>
      </c>
      <c r="AS874" s="453">
        <f t="shared" si="401"/>
        <v>0</v>
      </c>
      <c r="AT874" s="452">
        <f t="shared" si="402"/>
        <v>0</v>
      </c>
    </row>
    <row r="875" spans="2:46" ht="16" x14ac:dyDescent="0.2">
      <c r="B875"/>
      <c r="H875" s="387" t="str">
        <f t="shared" si="377"/>
        <v>0-0-0</v>
      </c>
      <c r="I875" s="389">
        <f t="shared" si="378"/>
        <v>0</v>
      </c>
      <c r="J875" s="455" t="str">
        <f t="shared" si="403"/>
        <v/>
      </c>
      <c r="K875" s="455">
        <f t="shared" si="379"/>
        <v>0</v>
      </c>
      <c r="L875" s="455">
        <f t="shared" si="404"/>
        <v>0</v>
      </c>
      <c r="M875" s="389" t="str">
        <f>IFERROR(IF(AD875&lt;=VLOOKUP(D875,Tournaments!$A$1:$B$1772,2,FALSE),"TRUE","FALSE"),"")</f>
        <v/>
      </c>
      <c r="N875" s="389">
        <v>1</v>
      </c>
      <c r="O875" s="389">
        <f t="shared" si="380"/>
        <v>0</v>
      </c>
      <c r="Q875" s="389">
        <f t="shared" si="381"/>
        <v>0</v>
      </c>
      <c r="R875" s="389">
        <f t="shared" si="382"/>
        <v>0</v>
      </c>
      <c r="S875" s="389">
        <f t="shared" si="383"/>
        <v>0</v>
      </c>
      <c r="U875" s="389">
        <f t="shared" si="384"/>
        <v>0</v>
      </c>
      <c r="V875" s="389" t="b">
        <f t="shared" si="385"/>
        <v>0</v>
      </c>
      <c r="W875" s="389">
        <f t="shared" si="386"/>
        <v>0</v>
      </c>
      <c r="X875" s="389">
        <f t="shared" si="387"/>
        <v>0</v>
      </c>
      <c r="Y875" s="389">
        <f t="shared" si="405"/>
        <v>1.0999999999999999E-2</v>
      </c>
      <c r="Z875" s="389">
        <f t="shared" si="388"/>
        <v>1.0999999999999999E-2</v>
      </c>
      <c r="AA875" s="389">
        <f t="shared" si="389"/>
        <v>0</v>
      </c>
      <c r="AB875" s="389">
        <f t="shared" si="390"/>
        <v>1E-4</v>
      </c>
      <c r="AC875" s="389">
        <f t="shared" si="391"/>
        <v>1E-4</v>
      </c>
      <c r="AD875" s="389">
        <f t="shared" si="392"/>
        <v>0</v>
      </c>
      <c r="AE875" s="389">
        <f t="shared" si="393"/>
        <v>0</v>
      </c>
      <c r="AG875" s="311" t="str">
        <f t="shared" si="394"/>
        <v>-</v>
      </c>
      <c r="AH875" s="453" t="str">
        <f t="shared" si="395"/>
        <v/>
      </c>
      <c r="AI875" s="453" t="str">
        <f t="shared" si="396"/>
        <v/>
      </c>
      <c r="AJ875" t="str">
        <f t="array" ref="AJ875">IF(AND(AI875&gt;1,G875&lt;&gt;""),INDEX(FS_teams,MATCH(1,(FS_Keys=AG875)*(FS_Points=I875)*(FS_teams&lt;&gt;G875),0)),"")</f>
        <v/>
      </c>
      <c r="AK875" s="390" t="str">
        <f t="array" ref="AK875">IF(AJ875&lt;&gt;"",INDEX(TM_Score1,MATCH(1,(TM_Events=D875)*(TM_Participant1=G875)*(TM_Participant2=AJ875),0)),"")</f>
        <v/>
      </c>
      <c r="AL875" s="390" t="str">
        <f t="array" ref="AL875">IF(AJ875&lt;&gt;"",INDEX(TM_Score1,MATCH(1,(TM_Events=D875)*(TM_Participant1=AJ875)*(TM_Participant2=G875),0)),"")</f>
        <v/>
      </c>
      <c r="AM875" s="389" t="str">
        <f t="array" ref="AM875">IF(ISNUMBER(AK875),INDEX(TM_Score2,MATCH(1,(TM_Events=D875)*(TM_Participant1=G875)*(TM_Participant2=AJ875),0)),"")</f>
        <v/>
      </c>
      <c r="AN875" s="389" t="str">
        <f t="array" ref="AN875">IF(ISNUMBER(AL875),INDEX(TM_Score2,MATCH(1,(TM_Events=D875)*(TM_Participant1=AJ875)*(TM_Participant2=G875),0)),"")</f>
        <v/>
      </c>
      <c r="AO875" s="389" t="str">
        <f t="shared" si="397"/>
        <v/>
      </c>
      <c r="AP875" s="389">
        <f t="shared" si="398"/>
        <v>0</v>
      </c>
      <c r="AQ875" s="389">
        <f t="shared" si="399"/>
        <v>0</v>
      </c>
      <c r="AR875" s="389">
        <f t="shared" si="400"/>
        <v>0</v>
      </c>
      <c r="AS875" s="453">
        <f t="shared" si="401"/>
        <v>0</v>
      </c>
      <c r="AT875" s="452">
        <f t="shared" si="402"/>
        <v>0</v>
      </c>
    </row>
    <row r="876" spans="2:46" ht="16" x14ac:dyDescent="0.2">
      <c r="B876"/>
      <c r="H876" s="387" t="str">
        <f t="shared" si="377"/>
        <v>0-0-0</v>
      </c>
      <c r="I876" s="389">
        <f t="shared" si="378"/>
        <v>0</v>
      </c>
      <c r="J876" s="455" t="str">
        <f t="shared" si="403"/>
        <v/>
      </c>
      <c r="K876" s="455">
        <f t="shared" si="379"/>
        <v>0</v>
      </c>
      <c r="L876" s="455">
        <f t="shared" si="404"/>
        <v>0</v>
      </c>
      <c r="M876" s="389" t="str">
        <f>IFERROR(IF(AD876&lt;=VLOOKUP(D876,Tournaments!$A$1:$B$1772,2,FALSE),"TRUE","FALSE"),"")</f>
        <v/>
      </c>
      <c r="N876" s="389">
        <v>1</v>
      </c>
      <c r="O876" s="389">
        <f t="shared" si="380"/>
        <v>0</v>
      </c>
      <c r="Q876" s="389">
        <f t="shared" si="381"/>
        <v>0</v>
      </c>
      <c r="R876" s="389">
        <f t="shared" si="382"/>
        <v>0</v>
      </c>
      <c r="S876" s="389">
        <f t="shared" si="383"/>
        <v>0</v>
      </c>
      <c r="U876" s="389">
        <f t="shared" si="384"/>
        <v>0</v>
      </c>
      <c r="V876" s="389" t="b">
        <f t="shared" si="385"/>
        <v>0</v>
      </c>
      <c r="W876" s="389">
        <f t="shared" si="386"/>
        <v>0</v>
      </c>
      <c r="X876" s="389">
        <f t="shared" si="387"/>
        <v>0</v>
      </c>
      <c r="Y876" s="389">
        <f t="shared" si="405"/>
        <v>1.0999999999999999E-2</v>
      </c>
      <c r="Z876" s="389">
        <f t="shared" si="388"/>
        <v>1.0999999999999999E-2</v>
      </c>
      <c r="AA876" s="389">
        <f t="shared" si="389"/>
        <v>0</v>
      </c>
      <c r="AB876" s="389">
        <f t="shared" si="390"/>
        <v>1E-4</v>
      </c>
      <c r="AC876" s="389">
        <f t="shared" si="391"/>
        <v>1E-4</v>
      </c>
      <c r="AD876" s="389">
        <f t="shared" si="392"/>
        <v>0</v>
      </c>
      <c r="AE876" s="389">
        <f t="shared" si="393"/>
        <v>0</v>
      </c>
      <c r="AG876" s="311" t="str">
        <f t="shared" si="394"/>
        <v>-</v>
      </c>
      <c r="AH876" s="453" t="str">
        <f t="shared" si="395"/>
        <v/>
      </c>
      <c r="AI876" s="453" t="str">
        <f t="shared" si="396"/>
        <v/>
      </c>
      <c r="AJ876" t="str">
        <f t="array" ref="AJ876">IF(AND(AI876&gt;1,G876&lt;&gt;""),INDEX(FS_teams,MATCH(1,(FS_Keys=AG876)*(FS_Points=I876)*(FS_teams&lt;&gt;G876),0)),"")</f>
        <v/>
      </c>
      <c r="AK876" s="390" t="str">
        <f t="array" ref="AK876">IF(AJ876&lt;&gt;"",INDEX(TM_Score1,MATCH(1,(TM_Events=D876)*(TM_Participant1=G876)*(TM_Participant2=AJ876),0)),"")</f>
        <v/>
      </c>
      <c r="AL876" s="390" t="str">
        <f t="array" ref="AL876">IF(AJ876&lt;&gt;"",INDEX(TM_Score1,MATCH(1,(TM_Events=D876)*(TM_Participant1=AJ876)*(TM_Participant2=G876),0)),"")</f>
        <v/>
      </c>
      <c r="AM876" s="389" t="str">
        <f t="array" ref="AM876">IF(ISNUMBER(AK876),INDEX(TM_Score2,MATCH(1,(TM_Events=D876)*(TM_Participant1=G876)*(TM_Participant2=AJ876),0)),"")</f>
        <v/>
      </c>
      <c r="AN876" s="389" t="str">
        <f t="array" ref="AN876">IF(ISNUMBER(AL876),INDEX(TM_Score2,MATCH(1,(TM_Events=D876)*(TM_Participant1=AJ876)*(TM_Participant2=G876),0)),"")</f>
        <v/>
      </c>
      <c r="AO876" s="389" t="str">
        <f t="shared" si="397"/>
        <v/>
      </c>
      <c r="AP876" s="389">
        <f t="shared" si="398"/>
        <v>0</v>
      </c>
      <c r="AQ876" s="389">
        <f t="shared" si="399"/>
        <v>0</v>
      </c>
      <c r="AR876" s="389">
        <f t="shared" si="400"/>
        <v>0</v>
      </c>
      <c r="AS876" s="453">
        <f t="shared" si="401"/>
        <v>0</v>
      </c>
      <c r="AT876" s="452">
        <f t="shared" si="402"/>
        <v>0</v>
      </c>
    </row>
    <row r="877" spans="2:46" ht="16" x14ac:dyDescent="0.2">
      <c r="B877"/>
      <c r="H877" s="387" t="str">
        <f t="shared" si="377"/>
        <v>0-0-0</v>
      </c>
      <c r="I877" s="389">
        <f t="shared" si="378"/>
        <v>0</v>
      </c>
      <c r="J877" s="455" t="str">
        <f t="shared" si="403"/>
        <v/>
      </c>
      <c r="K877" s="455">
        <f t="shared" si="379"/>
        <v>0</v>
      </c>
      <c r="L877" s="455">
        <f t="shared" si="404"/>
        <v>0</v>
      </c>
      <c r="M877" s="389" t="str">
        <f>IFERROR(IF(AD877&lt;=VLOOKUP(D877,Tournaments!$A$1:$B$1772,2,FALSE),"TRUE","FALSE"),"")</f>
        <v/>
      </c>
      <c r="N877" s="389">
        <v>1</v>
      </c>
      <c r="O877" s="389">
        <f t="shared" si="380"/>
        <v>0</v>
      </c>
      <c r="Q877" s="389">
        <f t="shared" si="381"/>
        <v>0</v>
      </c>
      <c r="R877" s="389">
        <f t="shared" si="382"/>
        <v>0</v>
      </c>
      <c r="S877" s="389">
        <f t="shared" si="383"/>
        <v>0</v>
      </c>
      <c r="U877" s="389">
        <f t="shared" si="384"/>
        <v>0</v>
      </c>
      <c r="V877" s="389" t="b">
        <f t="shared" si="385"/>
        <v>0</v>
      </c>
      <c r="W877" s="389">
        <f t="shared" si="386"/>
        <v>0</v>
      </c>
      <c r="X877" s="389">
        <f t="shared" si="387"/>
        <v>0</v>
      </c>
      <c r="Y877" s="389">
        <f t="shared" si="405"/>
        <v>1.0999999999999999E-2</v>
      </c>
      <c r="Z877" s="389">
        <f t="shared" si="388"/>
        <v>1.0999999999999999E-2</v>
      </c>
      <c r="AA877" s="389">
        <f t="shared" si="389"/>
        <v>0</v>
      </c>
      <c r="AB877" s="389">
        <f t="shared" si="390"/>
        <v>1E-4</v>
      </c>
      <c r="AC877" s="389">
        <f t="shared" si="391"/>
        <v>1E-4</v>
      </c>
      <c r="AD877" s="389">
        <f t="shared" si="392"/>
        <v>0</v>
      </c>
      <c r="AE877" s="389">
        <f t="shared" si="393"/>
        <v>0</v>
      </c>
      <c r="AG877" s="311" t="str">
        <f t="shared" si="394"/>
        <v>-</v>
      </c>
      <c r="AH877" s="453" t="str">
        <f t="shared" si="395"/>
        <v/>
      </c>
      <c r="AI877" s="453" t="str">
        <f t="shared" si="396"/>
        <v/>
      </c>
      <c r="AJ877" t="str">
        <f t="array" ref="AJ877">IF(AND(AI877&gt;1,G877&lt;&gt;""),INDEX(FS_teams,MATCH(1,(FS_Keys=AG877)*(FS_Points=I877)*(FS_teams&lt;&gt;G877),0)),"")</f>
        <v/>
      </c>
      <c r="AK877" s="390" t="str">
        <f t="array" ref="AK877">IF(AJ877&lt;&gt;"",INDEX(TM_Score1,MATCH(1,(TM_Events=D877)*(TM_Participant1=G877)*(TM_Participant2=AJ877),0)),"")</f>
        <v/>
      </c>
      <c r="AL877" s="390" t="str">
        <f t="array" ref="AL877">IF(AJ877&lt;&gt;"",INDEX(TM_Score1,MATCH(1,(TM_Events=D877)*(TM_Participant1=AJ877)*(TM_Participant2=G877),0)),"")</f>
        <v/>
      </c>
      <c r="AM877" s="389" t="str">
        <f t="array" ref="AM877">IF(ISNUMBER(AK877),INDEX(TM_Score2,MATCH(1,(TM_Events=D877)*(TM_Participant1=G877)*(TM_Participant2=AJ877),0)),"")</f>
        <v/>
      </c>
      <c r="AN877" s="389" t="str">
        <f t="array" ref="AN877">IF(ISNUMBER(AL877),INDEX(TM_Score2,MATCH(1,(TM_Events=D877)*(TM_Participant1=AJ877)*(TM_Participant2=G877),0)),"")</f>
        <v/>
      </c>
      <c r="AO877" s="389" t="str">
        <f t="shared" si="397"/>
        <v/>
      </c>
      <c r="AP877" s="389">
        <f t="shared" si="398"/>
        <v>0</v>
      </c>
      <c r="AQ877" s="389">
        <f t="shared" si="399"/>
        <v>0</v>
      </c>
      <c r="AR877" s="389">
        <f t="shared" si="400"/>
        <v>0</v>
      </c>
      <c r="AS877" s="453">
        <f t="shared" si="401"/>
        <v>0</v>
      </c>
      <c r="AT877" s="452">
        <f t="shared" si="402"/>
        <v>0</v>
      </c>
    </row>
    <row r="878" spans="2:46" ht="16" x14ac:dyDescent="0.2">
      <c r="B878"/>
      <c r="H878" s="387" t="str">
        <f t="shared" si="377"/>
        <v>0-0-0</v>
      </c>
      <c r="I878" s="389">
        <f t="shared" si="378"/>
        <v>0</v>
      </c>
      <c r="J878" s="455" t="str">
        <f t="shared" si="403"/>
        <v/>
      </c>
      <c r="K878" s="455">
        <f t="shared" si="379"/>
        <v>0</v>
      </c>
      <c r="L878" s="455">
        <f t="shared" si="404"/>
        <v>0</v>
      </c>
      <c r="M878" s="389" t="str">
        <f>IFERROR(IF(AD878&lt;=VLOOKUP(D878,Tournaments!$A$1:$B$1772,2,FALSE),"TRUE","FALSE"),"")</f>
        <v/>
      </c>
      <c r="N878" s="389">
        <v>1</v>
      </c>
      <c r="O878" s="389">
        <f t="shared" si="380"/>
        <v>0</v>
      </c>
      <c r="Q878" s="389">
        <f t="shared" si="381"/>
        <v>0</v>
      </c>
      <c r="R878" s="389">
        <f t="shared" si="382"/>
        <v>0</v>
      </c>
      <c r="S878" s="389">
        <f t="shared" si="383"/>
        <v>0</v>
      </c>
      <c r="U878" s="389">
        <f t="shared" si="384"/>
        <v>0</v>
      </c>
      <c r="V878" s="389" t="b">
        <f t="shared" si="385"/>
        <v>0</v>
      </c>
      <c r="W878" s="389">
        <f t="shared" si="386"/>
        <v>0</v>
      </c>
      <c r="X878" s="389">
        <f t="shared" si="387"/>
        <v>0</v>
      </c>
      <c r="Y878" s="389">
        <f t="shared" si="405"/>
        <v>1.0999999999999999E-2</v>
      </c>
      <c r="Z878" s="389">
        <f t="shared" si="388"/>
        <v>1.0999999999999999E-2</v>
      </c>
      <c r="AA878" s="389">
        <f t="shared" si="389"/>
        <v>0</v>
      </c>
      <c r="AB878" s="389">
        <f t="shared" si="390"/>
        <v>1E-4</v>
      </c>
      <c r="AC878" s="389">
        <f t="shared" si="391"/>
        <v>1E-4</v>
      </c>
      <c r="AD878" s="389">
        <f t="shared" si="392"/>
        <v>0</v>
      </c>
      <c r="AE878" s="389">
        <f t="shared" si="393"/>
        <v>0</v>
      </c>
      <c r="AG878" s="311" t="str">
        <f t="shared" si="394"/>
        <v>-</v>
      </c>
      <c r="AH878" s="453" t="str">
        <f t="shared" si="395"/>
        <v/>
      </c>
      <c r="AI878" s="453" t="str">
        <f t="shared" si="396"/>
        <v/>
      </c>
      <c r="AJ878" t="str">
        <f t="array" ref="AJ878">IF(AND(AI878&gt;1,G878&lt;&gt;""),INDEX(FS_teams,MATCH(1,(FS_Keys=AG878)*(FS_Points=I878)*(FS_teams&lt;&gt;G878),0)),"")</f>
        <v/>
      </c>
      <c r="AK878" s="390" t="str">
        <f t="array" ref="AK878">IF(AJ878&lt;&gt;"",INDEX(TM_Score1,MATCH(1,(TM_Events=D878)*(TM_Participant1=G878)*(TM_Participant2=AJ878),0)),"")</f>
        <v/>
      </c>
      <c r="AL878" s="390" t="str">
        <f t="array" ref="AL878">IF(AJ878&lt;&gt;"",INDEX(TM_Score1,MATCH(1,(TM_Events=D878)*(TM_Participant1=AJ878)*(TM_Participant2=G878),0)),"")</f>
        <v/>
      </c>
      <c r="AM878" s="389" t="str">
        <f t="array" ref="AM878">IF(ISNUMBER(AK878),INDEX(TM_Score2,MATCH(1,(TM_Events=D878)*(TM_Participant1=G878)*(TM_Participant2=AJ878),0)),"")</f>
        <v/>
      </c>
      <c r="AN878" s="389" t="str">
        <f t="array" ref="AN878">IF(ISNUMBER(AL878),INDEX(TM_Score2,MATCH(1,(TM_Events=D878)*(TM_Participant1=AJ878)*(TM_Participant2=G878),0)),"")</f>
        <v/>
      </c>
      <c r="AO878" s="389" t="str">
        <f t="shared" si="397"/>
        <v/>
      </c>
      <c r="AP878" s="389">
        <f t="shared" si="398"/>
        <v>0</v>
      </c>
      <c r="AQ878" s="389">
        <f t="shared" si="399"/>
        <v>0</v>
      </c>
      <c r="AR878" s="389">
        <f t="shared" si="400"/>
        <v>0</v>
      </c>
      <c r="AS878" s="453">
        <f t="shared" si="401"/>
        <v>0</v>
      </c>
      <c r="AT878" s="452">
        <f t="shared" si="402"/>
        <v>0</v>
      </c>
    </row>
    <row r="879" spans="2:46" ht="16" x14ac:dyDescent="0.2">
      <c r="B879"/>
      <c r="H879" s="387" t="str">
        <f t="shared" si="377"/>
        <v>0-0-0</v>
      </c>
      <c r="I879" s="389">
        <f t="shared" si="378"/>
        <v>0</v>
      </c>
      <c r="J879" s="455" t="str">
        <f t="shared" si="403"/>
        <v/>
      </c>
      <c r="K879" s="455">
        <f t="shared" si="379"/>
        <v>0</v>
      </c>
      <c r="L879" s="455">
        <f t="shared" si="404"/>
        <v>0</v>
      </c>
      <c r="M879" s="389" t="str">
        <f>IFERROR(IF(AD879&lt;=VLOOKUP(D879,Tournaments!$A$1:$B$1772,2,FALSE),"TRUE","FALSE"),"")</f>
        <v/>
      </c>
      <c r="N879" s="389">
        <v>1</v>
      </c>
      <c r="O879" s="389">
        <f t="shared" si="380"/>
        <v>0</v>
      </c>
      <c r="Q879" s="389">
        <f t="shared" si="381"/>
        <v>0</v>
      </c>
      <c r="R879" s="389">
        <f t="shared" si="382"/>
        <v>0</v>
      </c>
      <c r="S879" s="389">
        <f t="shared" si="383"/>
        <v>0</v>
      </c>
      <c r="U879" s="389">
        <f t="shared" si="384"/>
        <v>0</v>
      </c>
      <c r="V879" s="389" t="b">
        <f t="shared" si="385"/>
        <v>0</v>
      </c>
      <c r="W879" s="389">
        <f t="shared" si="386"/>
        <v>0</v>
      </c>
      <c r="X879" s="389">
        <f t="shared" si="387"/>
        <v>0</v>
      </c>
      <c r="Y879" s="389">
        <f t="shared" si="405"/>
        <v>1.0999999999999999E-2</v>
      </c>
      <c r="Z879" s="389">
        <f t="shared" si="388"/>
        <v>1.0999999999999999E-2</v>
      </c>
      <c r="AA879" s="389">
        <f t="shared" si="389"/>
        <v>0</v>
      </c>
      <c r="AB879" s="389">
        <f t="shared" si="390"/>
        <v>1E-4</v>
      </c>
      <c r="AC879" s="389">
        <f t="shared" si="391"/>
        <v>1E-4</v>
      </c>
      <c r="AD879" s="389">
        <f t="shared" si="392"/>
        <v>0</v>
      </c>
      <c r="AE879" s="389">
        <f t="shared" si="393"/>
        <v>0</v>
      </c>
      <c r="AG879" s="311" t="str">
        <f t="shared" si="394"/>
        <v>-</v>
      </c>
      <c r="AH879" s="453" t="str">
        <f t="shared" si="395"/>
        <v/>
      </c>
      <c r="AI879" s="453" t="str">
        <f t="shared" si="396"/>
        <v/>
      </c>
      <c r="AJ879" t="str">
        <f t="array" ref="AJ879">IF(AND(AI879&gt;1,G879&lt;&gt;""),INDEX(FS_teams,MATCH(1,(FS_Keys=AG879)*(FS_Points=I879)*(FS_teams&lt;&gt;G879),0)),"")</f>
        <v/>
      </c>
      <c r="AK879" s="390" t="str">
        <f t="array" ref="AK879">IF(AJ879&lt;&gt;"",INDEX(TM_Score1,MATCH(1,(TM_Events=D879)*(TM_Participant1=G879)*(TM_Participant2=AJ879),0)),"")</f>
        <v/>
      </c>
      <c r="AL879" s="390" t="str">
        <f t="array" ref="AL879">IF(AJ879&lt;&gt;"",INDEX(TM_Score1,MATCH(1,(TM_Events=D879)*(TM_Participant1=AJ879)*(TM_Participant2=G879),0)),"")</f>
        <v/>
      </c>
      <c r="AM879" s="389" t="str">
        <f t="array" ref="AM879">IF(ISNUMBER(AK879),INDEX(TM_Score2,MATCH(1,(TM_Events=D879)*(TM_Participant1=G879)*(TM_Participant2=AJ879),0)),"")</f>
        <v/>
      </c>
      <c r="AN879" s="389" t="str">
        <f t="array" ref="AN879">IF(ISNUMBER(AL879),INDEX(TM_Score2,MATCH(1,(TM_Events=D879)*(TM_Participant1=AJ879)*(TM_Participant2=G879),0)),"")</f>
        <v/>
      </c>
      <c r="AO879" s="389" t="str">
        <f t="shared" si="397"/>
        <v/>
      </c>
      <c r="AP879" s="389">
        <f t="shared" si="398"/>
        <v>0</v>
      </c>
      <c r="AQ879" s="389">
        <f t="shared" si="399"/>
        <v>0</v>
      </c>
      <c r="AR879" s="389">
        <f t="shared" si="400"/>
        <v>0</v>
      </c>
      <c r="AS879" s="453">
        <f t="shared" si="401"/>
        <v>0</v>
      </c>
      <c r="AT879" s="452">
        <f t="shared" si="402"/>
        <v>0</v>
      </c>
    </row>
    <row r="880" spans="2:46" ht="16" x14ac:dyDescent="0.2">
      <c r="B880"/>
      <c r="H880" s="387" t="str">
        <f t="shared" si="377"/>
        <v>0-0-0</v>
      </c>
      <c r="I880" s="389">
        <f t="shared" si="378"/>
        <v>0</v>
      </c>
      <c r="J880" s="455" t="str">
        <f t="shared" si="403"/>
        <v/>
      </c>
      <c r="K880" s="455">
        <f t="shared" si="379"/>
        <v>0</v>
      </c>
      <c r="L880" s="455">
        <f t="shared" si="404"/>
        <v>0</v>
      </c>
      <c r="M880" s="389" t="str">
        <f>IFERROR(IF(AD880&lt;=VLOOKUP(D880,Tournaments!$A$1:$B$1772,2,FALSE),"TRUE","FALSE"),"")</f>
        <v/>
      </c>
      <c r="N880" s="389">
        <v>1</v>
      </c>
      <c r="O880" s="389">
        <f t="shared" si="380"/>
        <v>0</v>
      </c>
      <c r="Q880" s="389">
        <f t="shared" si="381"/>
        <v>0</v>
      </c>
      <c r="R880" s="389">
        <f t="shared" si="382"/>
        <v>0</v>
      </c>
      <c r="S880" s="389">
        <f t="shared" si="383"/>
        <v>0</v>
      </c>
      <c r="U880" s="389">
        <f t="shared" si="384"/>
        <v>0</v>
      </c>
      <c r="V880" s="389" t="b">
        <f t="shared" si="385"/>
        <v>0</v>
      </c>
      <c r="W880" s="389">
        <f t="shared" si="386"/>
        <v>0</v>
      </c>
      <c r="X880" s="389">
        <f t="shared" si="387"/>
        <v>0</v>
      </c>
      <c r="Y880" s="389">
        <f t="shared" si="405"/>
        <v>1.0999999999999999E-2</v>
      </c>
      <c r="Z880" s="389">
        <f t="shared" si="388"/>
        <v>1.0999999999999999E-2</v>
      </c>
      <c r="AA880" s="389">
        <f t="shared" si="389"/>
        <v>0</v>
      </c>
      <c r="AB880" s="389">
        <f t="shared" si="390"/>
        <v>1E-4</v>
      </c>
      <c r="AC880" s="389">
        <f t="shared" si="391"/>
        <v>1E-4</v>
      </c>
      <c r="AD880" s="389">
        <f t="shared" si="392"/>
        <v>0</v>
      </c>
      <c r="AE880" s="389">
        <f t="shared" si="393"/>
        <v>0</v>
      </c>
      <c r="AG880" s="311" t="str">
        <f t="shared" si="394"/>
        <v>-</v>
      </c>
      <c r="AH880" s="453" t="str">
        <f t="shared" si="395"/>
        <v/>
      </c>
      <c r="AI880" s="453" t="str">
        <f t="shared" si="396"/>
        <v/>
      </c>
      <c r="AJ880" t="str">
        <f t="array" ref="AJ880">IF(AND(AI880&gt;1,G880&lt;&gt;""),INDEX(FS_teams,MATCH(1,(FS_Keys=AG880)*(FS_Points=I880)*(FS_teams&lt;&gt;G880),0)),"")</f>
        <v/>
      </c>
      <c r="AK880" s="390" t="str">
        <f t="array" ref="AK880">IF(AJ880&lt;&gt;"",INDEX(TM_Score1,MATCH(1,(TM_Events=D880)*(TM_Participant1=G880)*(TM_Participant2=AJ880),0)),"")</f>
        <v/>
      </c>
      <c r="AL880" s="390" t="str">
        <f t="array" ref="AL880">IF(AJ880&lt;&gt;"",INDEX(TM_Score1,MATCH(1,(TM_Events=D880)*(TM_Participant1=AJ880)*(TM_Participant2=G880),0)),"")</f>
        <v/>
      </c>
      <c r="AM880" s="389" t="str">
        <f t="array" ref="AM880">IF(ISNUMBER(AK880),INDEX(TM_Score2,MATCH(1,(TM_Events=D880)*(TM_Participant1=G880)*(TM_Participant2=AJ880),0)),"")</f>
        <v/>
      </c>
      <c r="AN880" s="389" t="str">
        <f t="array" ref="AN880">IF(ISNUMBER(AL880),INDEX(TM_Score2,MATCH(1,(TM_Events=D880)*(TM_Participant1=AJ880)*(TM_Participant2=G880),0)),"")</f>
        <v/>
      </c>
      <c r="AO880" s="389" t="str">
        <f t="shared" si="397"/>
        <v/>
      </c>
      <c r="AP880" s="389">
        <f t="shared" si="398"/>
        <v>0</v>
      </c>
      <c r="AQ880" s="389">
        <f t="shared" si="399"/>
        <v>0</v>
      </c>
      <c r="AR880" s="389">
        <f t="shared" si="400"/>
        <v>0</v>
      </c>
      <c r="AS880" s="453">
        <f t="shared" si="401"/>
        <v>0</v>
      </c>
      <c r="AT880" s="452">
        <f t="shared" si="402"/>
        <v>0</v>
      </c>
    </row>
    <row r="881" spans="2:46" ht="16" x14ac:dyDescent="0.2">
      <c r="B881"/>
      <c r="H881" s="387" t="str">
        <f t="shared" si="377"/>
        <v>0-0-0</v>
      </c>
      <c r="I881" s="389">
        <f t="shared" si="378"/>
        <v>0</v>
      </c>
      <c r="J881" s="455" t="str">
        <f t="shared" si="403"/>
        <v/>
      </c>
      <c r="K881" s="455">
        <f t="shared" si="379"/>
        <v>0</v>
      </c>
      <c r="L881" s="455">
        <f t="shared" si="404"/>
        <v>0</v>
      </c>
      <c r="M881" s="389" t="str">
        <f>IFERROR(IF(AD881&lt;=VLOOKUP(D881,Tournaments!$A$1:$B$1772,2,FALSE),"TRUE","FALSE"),"")</f>
        <v/>
      </c>
      <c r="N881" s="389">
        <v>1</v>
      </c>
      <c r="O881" s="389">
        <f t="shared" si="380"/>
        <v>0</v>
      </c>
      <c r="Q881" s="389">
        <f t="shared" si="381"/>
        <v>0</v>
      </c>
      <c r="R881" s="389">
        <f t="shared" si="382"/>
        <v>0</v>
      </c>
      <c r="S881" s="389">
        <f t="shared" si="383"/>
        <v>0</v>
      </c>
      <c r="U881" s="389">
        <f t="shared" si="384"/>
        <v>0</v>
      </c>
      <c r="V881" s="389" t="b">
        <f t="shared" si="385"/>
        <v>0</v>
      </c>
      <c r="W881" s="389">
        <f t="shared" si="386"/>
        <v>0</v>
      </c>
      <c r="X881" s="389">
        <f t="shared" si="387"/>
        <v>0</v>
      </c>
      <c r="Y881" s="389">
        <f t="shared" si="405"/>
        <v>1.0999999999999999E-2</v>
      </c>
      <c r="Z881" s="389">
        <f t="shared" si="388"/>
        <v>1.0999999999999999E-2</v>
      </c>
      <c r="AA881" s="389">
        <f t="shared" si="389"/>
        <v>0</v>
      </c>
      <c r="AB881" s="389">
        <f t="shared" si="390"/>
        <v>1E-4</v>
      </c>
      <c r="AC881" s="389">
        <f t="shared" si="391"/>
        <v>1E-4</v>
      </c>
      <c r="AD881" s="389">
        <f t="shared" si="392"/>
        <v>0</v>
      </c>
      <c r="AE881" s="389">
        <f t="shared" si="393"/>
        <v>0</v>
      </c>
      <c r="AG881" s="311" t="str">
        <f t="shared" si="394"/>
        <v>-</v>
      </c>
      <c r="AH881" s="453" t="str">
        <f t="shared" si="395"/>
        <v/>
      </c>
      <c r="AI881" s="453" t="str">
        <f t="shared" si="396"/>
        <v/>
      </c>
      <c r="AJ881" t="str">
        <f t="array" ref="AJ881">IF(AND(AI881&gt;1,G881&lt;&gt;""),INDEX(FS_teams,MATCH(1,(FS_Keys=AG881)*(FS_Points=I881)*(FS_teams&lt;&gt;G881),0)),"")</f>
        <v/>
      </c>
      <c r="AK881" s="390" t="str">
        <f t="array" ref="AK881">IF(AJ881&lt;&gt;"",INDEX(TM_Score1,MATCH(1,(TM_Events=D881)*(TM_Participant1=G881)*(TM_Participant2=AJ881),0)),"")</f>
        <v/>
      </c>
      <c r="AL881" s="390" t="str">
        <f t="array" ref="AL881">IF(AJ881&lt;&gt;"",INDEX(TM_Score1,MATCH(1,(TM_Events=D881)*(TM_Participant1=AJ881)*(TM_Participant2=G881),0)),"")</f>
        <v/>
      </c>
      <c r="AM881" s="389" t="str">
        <f t="array" ref="AM881">IF(ISNUMBER(AK881),INDEX(TM_Score2,MATCH(1,(TM_Events=D881)*(TM_Participant1=G881)*(TM_Participant2=AJ881),0)),"")</f>
        <v/>
      </c>
      <c r="AN881" s="389" t="str">
        <f t="array" ref="AN881">IF(ISNUMBER(AL881),INDEX(TM_Score2,MATCH(1,(TM_Events=D881)*(TM_Participant1=AJ881)*(TM_Participant2=G881),0)),"")</f>
        <v/>
      </c>
      <c r="AO881" s="389" t="str">
        <f t="shared" si="397"/>
        <v/>
      </c>
      <c r="AP881" s="389">
        <f t="shared" si="398"/>
        <v>0</v>
      </c>
      <c r="AQ881" s="389">
        <f t="shared" si="399"/>
        <v>0</v>
      </c>
      <c r="AR881" s="389">
        <f t="shared" si="400"/>
        <v>0</v>
      </c>
      <c r="AS881" s="453">
        <f t="shared" si="401"/>
        <v>0</v>
      </c>
      <c r="AT881" s="452">
        <f t="shared" si="402"/>
        <v>0</v>
      </c>
    </row>
    <row r="882" spans="2:46" ht="16" x14ac:dyDescent="0.2">
      <c r="B882"/>
      <c r="H882" s="387" t="str">
        <f t="shared" si="377"/>
        <v>0-0-0</v>
      </c>
      <c r="I882" s="389">
        <f t="shared" si="378"/>
        <v>0</v>
      </c>
      <c r="J882" s="455" t="str">
        <f t="shared" si="403"/>
        <v/>
      </c>
      <c r="K882" s="455">
        <f t="shared" si="379"/>
        <v>0</v>
      </c>
      <c r="L882" s="455">
        <f t="shared" si="404"/>
        <v>0</v>
      </c>
      <c r="M882" s="389" t="str">
        <f>IFERROR(IF(AD882&lt;=VLOOKUP(D882,Tournaments!$A$1:$B$1772,2,FALSE),"TRUE","FALSE"),"")</f>
        <v/>
      </c>
      <c r="N882" s="389">
        <v>1</v>
      </c>
      <c r="O882" s="389">
        <f t="shared" si="380"/>
        <v>0</v>
      </c>
      <c r="Q882" s="389">
        <f t="shared" si="381"/>
        <v>0</v>
      </c>
      <c r="R882" s="389">
        <f t="shared" si="382"/>
        <v>0</v>
      </c>
      <c r="S882" s="389">
        <f t="shared" si="383"/>
        <v>0</v>
      </c>
      <c r="U882" s="389">
        <f t="shared" si="384"/>
        <v>0</v>
      </c>
      <c r="V882" s="389" t="b">
        <f t="shared" si="385"/>
        <v>0</v>
      </c>
      <c r="W882" s="389">
        <f t="shared" si="386"/>
        <v>0</v>
      </c>
      <c r="X882" s="389">
        <f t="shared" si="387"/>
        <v>0</v>
      </c>
      <c r="Y882" s="389">
        <f t="shared" si="405"/>
        <v>1.0999999999999999E-2</v>
      </c>
      <c r="Z882" s="389">
        <f t="shared" si="388"/>
        <v>1.0999999999999999E-2</v>
      </c>
      <c r="AA882" s="389">
        <f t="shared" si="389"/>
        <v>0</v>
      </c>
      <c r="AB882" s="389">
        <f t="shared" si="390"/>
        <v>1E-4</v>
      </c>
      <c r="AC882" s="389">
        <f t="shared" si="391"/>
        <v>1E-4</v>
      </c>
      <c r="AD882" s="389">
        <f t="shared" si="392"/>
        <v>0</v>
      </c>
      <c r="AE882" s="389">
        <f t="shared" si="393"/>
        <v>0</v>
      </c>
      <c r="AG882" s="311" t="str">
        <f t="shared" si="394"/>
        <v>-</v>
      </c>
      <c r="AH882" s="453" t="str">
        <f t="shared" si="395"/>
        <v/>
      </c>
      <c r="AI882" s="453" t="str">
        <f t="shared" si="396"/>
        <v/>
      </c>
      <c r="AJ882" t="str">
        <f t="array" ref="AJ882">IF(AND(AI882&gt;1,G882&lt;&gt;""),INDEX(FS_teams,MATCH(1,(FS_Keys=AG882)*(FS_Points=I882)*(FS_teams&lt;&gt;G882),0)),"")</f>
        <v/>
      </c>
      <c r="AK882" s="390" t="str">
        <f t="array" ref="AK882">IF(AJ882&lt;&gt;"",INDEX(TM_Score1,MATCH(1,(TM_Events=D882)*(TM_Participant1=G882)*(TM_Participant2=AJ882),0)),"")</f>
        <v/>
      </c>
      <c r="AL882" s="390" t="str">
        <f t="array" ref="AL882">IF(AJ882&lt;&gt;"",INDEX(TM_Score1,MATCH(1,(TM_Events=D882)*(TM_Participant1=AJ882)*(TM_Participant2=G882),0)),"")</f>
        <v/>
      </c>
      <c r="AM882" s="389" t="str">
        <f t="array" ref="AM882">IF(ISNUMBER(AK882),INDEX(TM_Score2,MATCH(1,(TM_Events=D882)*(TM_Participant1=G882)*(TM_Participant2=AJ882),0)),"")</f>
        <v/>
      </c>
      <c r="AN882" s="389" t="str">
        <f t="array" ref="AN882">IF(ISNUMBER(AL882),INDEX(TM_Score2,MATCH(1,(TM_Events=D882)*(TM_Participant1=AJ882)*(TM_Participant2=G882),0)),"")</f>
        <v/>
      </c>
      <c r="AO882" s="389" t="str">
        <f t="shared" si="397"/>
        <v/>
      </c>
      <c r="AP882" s="389">
        <f t="shared" si="398"/>
        <v>0</v>
      </c>
      <c r="AQ882" s="389">
        <f t="shared" si="399"/>
        <v>0</v>
      </c>
      <c r="AR882" s="389">
        <f t="shared" si="400"/>
        <v>0</v>
      </c>
      <c r="AS882" s="453">
        <f t="shared" si="401"/>
        <v>0</v>
      </c>
      <c r="AT882" s="452">
        <f t="shared" si="402"/>
        <v>0</v>
      </c>
    </row>
    <row r="883" spans="2:46" ht="16" x14ac:dyDescent="0.2">
      <c r="B883"/>
      <c r="H883" s="387" t="str">
        <f t="shared" si="377"/>
        <v>0-0-0</v>
      </c>
      <c r="I883" s="389">
        <f t="shared" si="378"/>
        <v>0</v>
      </c>
      <c r="J883" s="455" t="str">
        <f t="shared" si="403"/>
        <v/>
      </c>
      <c r="K883" s="455">
        <f t="shared" si="379"/>
        <v>0</v>
      </c>
      <c r="L883" s="455">
        <f t="shared" si="404"/>
        <v>0</v>
      </c>
      <c r="M883" s="389" t="str">
        <f>IFERROR(IF(AD883&lt;=VLOOKUP(D883,Tournaments!$A$1:$B$1772,2,FALSE),"TRUE","FALSE"),"")</f>
        <v/>
      </c>
      <c r="N883" s="389">
        <v>1</v>
      </c>
      <c r="O883" s="389">
        <f t="shared" si="380"/>
        <v>0</v>
      </c>
      <c r="Q883" s="389">
        <f t="shared" si="381"/>
        <v>0</v>
      </c>
      <c r="R883" s="389">
        <f t="shared" si="382"/>
        <v>0</v>
      </c>
      <c r="S883" s="389">
        <f t="shared" si="383"/>
        <v>0</v>
      </c>
      <c r="U883" s="389">
        <f t="shared" si="384"/>
        <v>0</v>
      </c>
      <c r="V883" s="389" t="b">
        <f t="shared" si="385"/>
        <v>0</v>
      </c>
      <c r="W883" s="389">
        <f t="shared" si="386"/>
        <v>0</v>
      </c>
      <c r="X883" s="389">
        <f t="shared" si="387"/>
        <v>0</v>
      </c>
      <c r="Y883" s="389">
        <f t="shared" si="405"/>
        <v>1.0999999999999999E-2</v>
      </c>
      <c r="Z883" s="389">
        <f t="shared" si="388"/>
        <v>1.0999999999999999E-2</v>
      </c>
      <c r="AA883" s="389">
        <f t="shared" si="389"/>
        <v>0</v>
      </c>
      <c r="AB883" s="389">
        <f t="shared" si="390"/>
        <v>1E-4</v>
      </c>
      <c r="AC883" s="389">
        <f t="shared" si="391"/>
        <v>1E-4</v>
      </c>
      <c r="AD883" s="389">
        <f t="shared" si="392"/>
        <v>0</v>
      </c>
      <c r="AE883" s="389">
        <f t="shared" si="393"/>
        <v>0</v>
      </c>
      <c r="AG883" s="311" t="str">
        <f t="shared" si="394"/>
        <v>-</v>
      </c>
      <c r="AH883" s="453" t="str">
        <f t="shared" si="395"/>
        <v/>
      </c>
      <c r="AI883" s="453" t="str">
        <f t="shared" si="396"/>
        <v/>
      </c>
      <c r="AJ883" t="str">
        <f t="array" ref="AJ883">IF(AND(AI883&gt;1,G883&lt;&gt;""),INDEX(FS_teams,MATCH(1,(FS_Keys=AG883)*(FS_Points=I883)*(FS_teams&lt;&gt;G883),0)),"")</f>
        <v/>
      </c>
      <c r="AK883" s="390" t="str">
        <f t="array" ref="AK883">IF(AJ883&lt;&gt;"",INDEX(TM_Score1,MATCH(1,(TM_Events=D883)*(TM_Participant1=G883)*(TM_Participant2=AJ883),0)),"")</f>
        <v/>
      </c>
      <c r="AL883" s="390" t="str">
        <f t="array" ref="AL883">IF(AJ883&lt;&gt;"",INDEX(TM_Score1,MATCH(1,(TM_Events=D883)*(TM_Participant1=AJ883)*(TM_Participant2=G883),0)),"")</f>
        <v/>
      </c>
      <c r="AM883" s="389" t="str">
        <f t="array" ref="AM883">IF(ISNUMBER(AK883),INDEX(TM_Score2,MATCH(1,(TM_Events=D883)*(TM_Participant1=G883)*(TM_Participant2=AJ883),0)),"")</f>
        <v/>
      </c>
      <c r="AN883" s="389" t="str">
        <f t="array" ref="AN883">IF(ISNUMBER(AL883),INDEX(TM_Score2,MATCH(1,(TM_Events=D883)*(TM_Participant1=AJ883)*(TM_Participant2=G883),0)),"")</f>
        <v/>
      </c>
      <c r="AO883" s="389" t="str">
        <f t="shared" si="397"/>
        <v/>
      </c>
      <c r="AP883" s="389">
        <f t="shared" si="398"/>
        <v>0</v>
      </c>
      <c r="AQ883" s="389">
        <f t="shared" si="399"/>
        <v>0</v>
      </c>
      <c r="AR883" s="389">
        <f t="shared" si="400"/>
        <v>0</v>
      </c>
      <c r="AS883" s="453">
        <f t="shared" si="401"/>
        <v>0</v>
      </c>
      <c r="AT883" s="452">
        <f t="shared" si="402"/>
        <v>0</v>
      </c>
    </row>
    <row r="884" spans="2:46" ht="16" x14ac:dyDescent="0.2">
      <c r="B884"/>
      <c r="H884" s="387" t="str">
        <f t="shared" si="377"/>
        <v>0-0-0</v>
      </c>
      <c r="I884" s="389">
        <f t="shared" si="378"/>
        <v>0</v>
      </c>
      <c r="J884" s="455" t="str">
        <f t="shared" si="403"/>
        <v/>
      </c>
      <c r="K884" s="455">
        <f t="shared" si="379"/>
        <v>0</v>
      </c>
      <c r="L884" s="455">
        <f t="shared" si="404"/>
        <v>0</v>
      </c>
      <c r="M884" s="389" t="str">
        <f>IFERROR(IF(AD884&lt;=VLOOKUP(D884,Tournaments!$A$1:$B$1772,2,FALSE),"TRUE","FALSE"),"")</f>
        <v/>
      </c>
      <c r="N884" s="389">
        <v>1</v>
      </c>
      <c r="O884" s="389">
        <f t="shared" si="380"/>
        <v>0</v>
      </c>
      <c r="Q884" s="389">
        <f t="shared" si="381"/>
        <v>0</v>
      </c>
      <c r="R884" s="389">
        <f t="shared" si="382"/>
        <v>0</v>
      </c>
      <c r="S884" s="389">
        <f t="shared" si="383"/>
        <v>0</v>
      </c>
      <c r="U884" s="389">
        <f t="shared" si="384"/>
        <v>0</v>
      </c>
      <c r="V884" s="389" t="b">
        <f t="shared" si="385"/>
        <v>0</v>
      </c>
      <c r="W884" s="389">
        <f t="shared" si="386"/>
        <v>0</v>
      </c>
      <c r="X884" s="389">
        <f t="shared" si="387"/>
        <v>0</v>
      </c>
      <c r="Y884" s="389">
        <f t="shared" si="405"/>
        <v>1.0999999999999999E-2</v>
      </c>
      <c r="Z884" s="389">
        <f t="shared" si="388"/>
        <v>1.0999999999999999E-2</v>
      </c>
      <c r="AA884" s="389">
        <f t="shared" si="389"/>
        <v>0</v>
      </c>
      <c r="AB884" s="389">
        <f t="shared" si="390"/>
        <v>1E-4</v>
      </c>
      <c r="AC884" s="389">
        <f t="shared" si="391"/>
        <v>1E-4</v>
      </c>
      <c r="AD884" s="389">
        <f t="shared" si="392"/>
        <v>0</v>
      </c>
      <c r="AE884" s="389">
        <f t="shared" si="393"/>
        <v>0</v>
      </c>
      <c r="AG884" s="311" t="str">
        <f t="shared" si="394"/>
        <v>-</v>
      </c>
      <c r="AH884" s="453" t="str">
        <f t="shared" si="395"/>
        <v/>
      </c>
      <c r="AI884" s="453" t="str">
        <f t="shared" si="396"/>
        <v/>
      </c>
      <c r="AJ884" t="str">
        <f t="array" ref="AJ884">IF(AND(AI884&gt;1,G884&lt;&gt;""),INDEX(FS_teams,MATCH(1,(FS_Keys=AG884)*(FS_Points=I884)*(FS_teams&lt;&gt;G884),0)),"")</f>
        <v/>
      </c>
      <c r="AK884" s="390" t="str">
        <f t="array" ref="AK884">IF(AJ884&lt;&gt;"",INDEX(TM_Score1,MATCH(1,(TM_Events=D884)*(TM_Participant1=G884)*(TM_Participant2=AJ884),0)),"")</f>
        <v/>
      </c>
      <c r="AL884" s="390" t="str">
        <f t="array" ref="AL884">IF(AJ884&lt;&gt;"",INDEX(TM_Score1,MATCH(1,(TM_Events=D884)*(TM_Participant1=AJ884)*(TM_Participant2=G884),0)),"")</f>
        <v/>
      </c>
      <c r="AM884" s="389" t="str">
        <f t="array" ref="AM884">IF(ISNUMBER(AK884),INDEX(TM_Score2,MATCH(1,(TM_Events=D884)*(TM_Participant1=G884)*(TM_Participant2=AJ884),0)),"")</f>
        <v/>
      </c>
      <c r="AN884" s="389" t="str">
        <f t="array" ref="AN884">IF(ISNUMBER(AL884),INDEX(TM_Score2,MATCH(1,(TM_Events=D884)*(TM_Participant1=AJ884)*(TM_Participant2=G884),0)),"")</f>
        <v/>
      </c>
      <c r="AO884" s="389" t="str">
        <f t="shared" si="397"/>
        <v/>
      </c>
      <c r="AP884" s="389">
        <f t="shared" si="398"/>
        <v>0</v>
      </c>
      <c r="AQ884" s="389">
        <f t="shared" si="399"/>
        <v>0</v>
      </c>
      <c r="AR884" s="389">
        <f t="shared" si="400"/>
        <v>0</v>
      </c>
      <c r="AS884" s="453">
        <f t="shared" si="401"/>
        <v>0</v>
      </c>
      <c r="AT884" s="452">
        <f t="shared" si="402"/>
        <v>0</v>
      </c>
    </row>
    <row r="885" spans="2:46" ht="16" x14ac:dyDescent="0.2">
      <c r="B885"/>
      <c r="H885" s="387" t="str">
        <f t="shared" si="377"/>
        <v>0-0-0</v>
      </c>
      <c r="I885" s="389">
        <f t="shared" si="378"/>
        <v>0</v>
      </c>
      <c r="J885" s="455" t="str">
        <f t="shared" si="403"/>
        <v/>
      </c>
      <c r="K885" s="455">
        <f t="shared" si="379"/>
        <v>0</v>
      </c>
      <c r="L885" s="455">
        <f t="shared" si="404"/>
        <v>0</v>
      </c>
      <c r="M885" s="389" t="str">
        <f>IFERROR(IF(AD885&lt;=VLOOKUP(D885,Tournaments!$A$1:$B$1772,2,FALSE),"TRUE","FALSE"),"")</f>
        <v/>
      </c>
      <c r="N885" s="389">
        <v>1</v>
      </c>
      <c r="O885" s="389">
        <f t="shared" si="380"/>
        <v>0</v>
      </c>
      <c r="Q885" s="389">
        <f t="shared" si="381"/>
        <v>0</v>
      </c>
      <c r="R885" s="389">
        <f t="shared" si="382"/>
        <v>0</v>
      </c>
      <c r="S885" s="389">
        <f t="shared" si="383"/>
        <v>0</v>
      </c>
      <c r="U885" s="389">
        <f t="shared" si="384"/>
        <v>0</v>
      </c>
      <c r="V885" s="389" t="b">
        <f t="shared" si="385"/>
        <v>0</v>
      </c>
      <c r="W885" s="389">
        <f t="shared" si="386"/>
        <v>0</v>
      </c>
      <c r="X885" s="389">
        <f t="shared" si="387"/>
        <v>0</v>
      </c>
      <c r="Y885" s="389">
        <f t="shared" si="405"/>
        <v>1.0999999999999999E-2</v>
      </c>
      <c r="Z885" s="389">
        <f t="shared" si="388"/>
        <v>1.0999999999999999E-2</v>
      </c>
      <c r="AA885" s="389">
        <f t="shared" si="389"/>
        <v>0</v>
      </c>
      <c r="AB885" s="389">
        <f t="shared" si="390"/>
        <v>1E-4</v>
      </c>
      <c r="AC885" s="389">
        <f t="shared" si="391"/>
        <v>1E-4</v>
      </c>
      <c r="AD885" s="389">
        <f t="shared" si="392"/>
        <v>0</v>
      </c>
      <c r="AE885" s="389">
        <f t="shared" si="393"/>
        <v>0</v>
      </c>
      <c r="AG885" s="311" t="str">
        <f t="shared" si="394"/>
        <v>-</v>
      </c>
      <c r="AH885" s="453" t="str">
        <f t="shared" si="395"/>
        <v/>
      </c>
      <c r="AI885" s="453" t="str">
        <f t="shared" si="396"/>
        <v/>
      </c>
      <c r="AJ885" t="str">
        <f t="array" ref="AJ885">IF(AND(AI885&gt;1,G885&lt;&gt;""),INDEX(FS_teams,MATCH(1,(FS_Keys=AG885)*(FS_Points=I885)*(FS_teams&lt;&gt;G885),0)),"")</f>
        <v/>
      </c>
      <c r="AK885" s="390" t="str">
        <f t="array" ref="AK885">IF(AJ885&lt;&gt;"",INDEX(TM_Score1,MATCH(1,(TM_Events=D885)*(TM_Participant1=G885)*(TM_Participant2=AJ885),0)),"")</f>
        <v/>
      </c>
      <c r="AL885" s="390" t="str">
        <f t="array" ref="AL885">IF(AJ885&lt;&gt;"",INDEX(TM_Score1,MATCH(1,(TM_Events=D885)*(TM_Participant1=AJ885)*(TM_Participant2=G885),0)),"")</f>
        <v/>
      </c>
      <c r="AM885" s="389" t="str">
        <f t="array" ref="AM885">IF(ISNUMBER(AK885),INDEX(TM_Score2,MATCH(1,(TM_Events=D885)*(TM_Participant1=G885)*(TM_Participant2=AJ885),0)),"")</f>
        <v/>
      </c>
      <c r="AN885" s="389" t="str">
        <f t="array" ref="AN885">IF(ISNUMBER(AL885),INDEX(TM_Score2,MATCH(1,(TM_Events=D885)*(TM_Participant1=AJ885)*(TM_Participant2=G885),0)),"")</f>
        <v/>
      </c>
      <c r="AO885" s="389" t="str">
        <f t="shared" si="397"/>
        <v/>
      </c>
      <c r="AP885" s="389">
        <f t="shared" si="398"/>
        <v>0</v>
      </c>
      <c r="AQ885" s="389">
        <f t="shared" si="399"/>
        <v>0</v>
      </c>
      <c r="AR885" s="389">
        <f t="shared" si="400"/>
        <v>0</v>
      </c>
      <c r="AS885" s="453">
        <f t="shared" si="401"/>
        <v>0</v>
      </c>
      <c r="AT885" s="452">
        <f t="shared" si="402"/>
        <v>0</v>
      </c>
    </row>
    <row r="886" spans="2:46" ht="16" x14ac:dyDescent="0.2">
      <c r="B886"/>
      <c r="H886" s="387" t="str">
        <f t="shared" si="377"/>
        <v>0-0-0</v>
      </c>
      <c r="I886" s="389">
        <f t="shared" si="378"/>
        <v>0</v>
      </c>
      <c r="J886" s="455" t="str">
        <f t="shared" si="403"/>
        <v/>
      </c>
      <c r="K886" s="455">
        <f t="shared" si="379"/>
        <v>0</v>
      </c>
      <c r="L886" s="455">
        <f t="shared" si="404"/>
        <v>0</v>
      </c>
      <c r="M886" s="389" t="str">
        <f>IFERROR(IF(AD886&lt;=VLOOKUP(D886,Tournaments!$A$1:$B$1772,2,FALSE),"TRUE","FALSE"),"")</f>
        <v/>
      </c>
      <c r="N886" s="389">
        <v>1</v>
      </c>
      <c r="O886" s="389">
        <f t="shared" si="380"/>
        <v>0</v>
      </c>
      <c r="Q886" s="389">
        <f t="shared" si="381"/>
        <v>0</v>
      </c>
      <c r="R886" s="389">
        <f t="shared" si="382"/>
        <v>0</v>
      </c>
      <c r="S886" s="389">
        <f t="shared" si="383"/>
        <v>0</v>
      </c>
      <c r="U886" s="389">
        <f t="shared" si="384"/>
        <v>0</v>
      </c>
      <c r="V886" s="389" t="b">
        <f t="shared" si="385"/>
        <v>0</v>
      </c>
      <c r="W886" s="389">
        <f t="shared" si="386"/>
        <v>0</v>
      </c>
      <c r="X886" s="389">
        <f t="shared" si="387"/>
        <v>0</v>
      </c>
      <c r="Y886" s="389">
        <f t="shared" si="405"/>
        <v>1.0999999999999999E-2</v>
      </c>
      <c r="Z886" s="389">
        <f t="shared" si="388"/>
        <v>1.0999999999999999E-2</v>
      </c>
      <c r="AA886" s="389">
        <f t="shared" si="389"/>
        <v>0</v>
      </c>
      <c r="AB886" s="389">
        <f t="shared" si="390"/>
        <v>1E-4</v>
      </c>
      <c r="AC886" s="389">
        <f t="shared" si="391"/>
        <v>1E-4</v>
      </c>
      <c r="AD886" s="389">
        <f t="shared" si="392"/>
        <v>0</v>
      </c>
      <c r="AE886" s="389">
        <f t="shared" si="393"/>
        <v>0</v>
      </c>
      <c r="AG886" s="311" t="str">
        <f t="shared" si="394"/>
        <v>-</v>
      </c>
      <c r="AH886" s="453" t="str">
        <f t="shared" si="395"/>
        <v/>
      </c>
      <c r="AI886" s="453" t="str">
        <f t="shared" si="396"/>
        <v/>
      </c>
      <c r="AJ886" t="str">
        <f t="array" ref="AJ886">IF(AND(AI886&gt;1,G886&lt;&gt;""),INDEX(FS_teams,MATCH(1,(FS_Keys=AG886)*(FS_Points=I886)*(FS_teams&lt;&gt;G886),0)),"")</f>
        <v/>
      </c>
      <c r="AK886" s="390" t="str">
        <f t="array" ref="AK886">IF(AJ886&lt;&gt;"",INDEX(TM_Score1,MATCH(1,(TM_Events=D886)*(TM_Participant1=G886)*(TM_Participant2=AJ886),0)),"")</f>
        <v/>
      </c>
      <c r="AL886" s="390" t="str">
        <f t="array" ref="AL886">IF(AJ886&lt;&gt;"",INDEX(TM_Score1,MATCH(1,(TM_Events=D886)*(TM_Participant1=AJ886)*(TM_Participant2=G886),0)),"")</f>
        <v/>
      </c>
      <c r="AM886" s="389" t="str">
        <f t="array" ref="AM886">IF(ISNUMBER(AK886),INDEX(TM_Score2,MATCH(1,(TM_Events=D886)*(TM_Participant1=G886)*(TM_Participant2=AJ886),0)),"")</f>
        <v/>
      </c>
      <c r="AN886" s="389" t="str">
        <f t="array" ref="AN886">IF(ISNUMBER(AL886),INDEX(TM_Score2,MATCH(1,(TM_Events=D886)*(TM_Participant1=AJ886)*(TM_Participant2=G886),0)),"")</f>
        <v/>
      </c>
      <c r="AO886" s="389" t="str">
        <f t="shared" si="397"/>
        <v/>
      </c>
      <c r="AP886" s="389">
        <f t="shared" si="398"/>
        <v>0</v>
      </c>
      <c r="AQ886" s="389">
        <f t="shared" si="399"/>
        <v>0</v>
      </c>
      <c r="AR886" s="389">
        <f t="shared" si="400"/>
        <v>0</v>
      </c>
      <c r="AS886" s="453">
        <f t="shared" si="401"/>
        <v>0</v>
      </c>
      <c r="AT886" s="452">
        <f t="shared" si="402"/>
        <v>0</v>
      </c>
    </row>
    <row r="887" spans="2:46" ht="16" x14ac:dyDescent="0.2">
      <c r="B887"/>
      <c r="H887" s="387" t="str">
        <f t="shared" si="377"/>
        <v>0-0-0</v>
      </c>
      <c r="I887" s="389">
        <f t="shared" si="378"/>
        <v>0</v>
      </c>
      <c r="J887" s="455" t="str">
        <f t="shared" si="403"/>
        <v/>
      </c>
      <c r="K887" s="455">
        <f t="shared" si="379"/>
        <v>0</v>
      </c>
      <c r="L887" s="455">
        <f t="shared" si="404"/>
        <v>0</v>
      </c>
      <c r="M887" s="389" t="str">
        <f>IFERROR(IF(AD887&lt;=VLOOKUP(D887,Tournaments!$A$1:$B$1772,2,FALSE),"TRUE","FALSE"),"")</f>
        <v/>
      </c>
      <c r="N887" s="389">
        <v>1</v>
      </c>
      <c r="O887" s="389">
        <f t="shared" si="380"/>
        <v>0</v>
      </c>
      <c r="Q887" s="389">
        <f t="shared" si="381"/>
        <v>0</v>
      </c>
      <c r="R887" s="389">
        <f t="shared" si="382"/>
        <v>0</v>
      </c>
      <c r="S887" s="389">
        <f t="shared" si="383"/>
        <v>0</v>
      </c>
      <c r="U887" s="389">
        <f t="shared" si="384"/>
        <v>0</v>
      </c>
      <c r="V887" s="389" t="b">
        <f t="shared" si="385"/>
        <v>0</v>
      </c>
      <c r="W887" s="389">
        <f t="shared" si="386"/>
        <v>0</v>
      </c>
      <c r="X887" s="389">
        <f t="shared" si="387"/>
        <v>0</v>
      </c>
      <c r="Y887" s="389">
        <f t="shared" si="405"/>
        <v>1.0999999999999999E-2</v>
      </c>
      <c r="Z887" s="389">
        <f t="shared" si="388"/>
        <v>1.0999999999999999E-2</v>
      </c>
      <c r="AA887" s="389">
        <f t="shared" si="389"/>
        <v>0</v>
      </c>
      <c r="AB887" s="389">
        <f t="shared" si="390"/>
        <v>1E-4</v>
      </c>
      <c r="AC887" s="389">
        <f t="shared" si="391"/>
        <v>1E-4</v>
      </c>
      <c r="AD887" s="389">
        <f t="shared" si="392"/>
        <v>0</v>
      </c>
      <c r="AE887" s="389">
        <f t="shared" si="393"/>
        <v>0</v>
      </c>
      <c r="AG887" s="311" t="str">
        <f t="shared" si="394"/>
        <v>-</v>
      </c>
      <c r="AH887" s="453" t="str">
        <f t="shared" si="395"/>
        <v/>
      </c>
      <c r="AI887" s="453" t="str">
        <f t="shared" si="396"/>
        <v/>
      </c>
      <c r="AJ887" t="str">
        <f t="array" ref="AJ887">IF(AND(AI887&gt;1,G887&lt;&gt;""),INDEX(FS_teams,MATCH(1,(FS_Keys=AG887)*(FS_Points=I887)*(FS_teams&lt;&gt;G887),0)),"")</f>
        <v/>
      </c>
      <c r="AK887" s="390" t="str">
        <f t="array" ref="AK887">IF(AJ887&lt;&gt;"",INDEX(TM_Score1,MATCH(1,(TM_Events=D887)*(TM_Participant1=G887)*(TM_Participant2=AJ887),0)),"")</f>
        <v/>
      </c>
      <c r="AL887" s="390" t="str">
        <f t="array" ref="AL887">IF(AJ887&lt;&gt;"",INDEX(TM_Score1,MATCH(1,(TM_Events=D887)*(TM_Participant1=AJ887)*(TM_Participant2=G887),0)),"")</f>
        <v/>
      </c>
      <c r="AM887" s="389" t="str">
        <f t="array" ref="AM887">IF(ISNUMBER(AK887),INDEX(TM_Score2,MATCH(1,(TM_Events=D887)*(TM_Participant1=G887)*(TM_Participant2=AJ887),0)),"")</f>
        <v/>
      </c>
      <c r="AN887" s="389" t="str">
        <f t="array" ref="AN887">IF(ISNUMBER(AL887),INDEX(TM_Score2,MATCH(1,(TM_Events=D887)*(TM_Participant1=AJ887)*(TM_Participant2=G887),0)),"")</f>
        <v/>
      </c>
      <c r="AO887" s="389" t="str">
        <f t="shared" si="397"/>
        <v/>
      </c>
      <c r="AP887" s="389">
        <f t="shared" si="398"/>
        <v>0</v>
      </c>
      <c r="AQ887" s="389">
        <f t="shared" si="399"/>
        <v>0</v>
      </c>
      <c r="AR887" s="389">
        <f t="shared" si="400"/>
        <v>0</v>
      </c>
      <c r="AS887" s="453">
        <f t="shared" si="401"/>
        <v>0</v>
      </c>
      <c r="AT887" s="452">
        <f t="shared" si="402"/>
        <v>0</v>
      </c>
    </row>
    <row r="888" spans="2:46" ht="16" x14ac:dyDescent="0.2">
      <c r="B888"/>
      <c r="H888" s="387" t="str">
        <f t="shared" si="377"/>
        <v>0-0-0</v>
      </c>
      <c r="I888" s="389">
        <f t="shared" si="378"/>
        <v>0</v>
      </c>
      <c r="J888" s="455" t="str">
        <f t="shared" si="403"/>
        <v/>
      </c>
      <c r="K888" s="455">
        <f t="shared" si="379"/>
        <v>0</v>
      </c>
      <c r="L888" s="455">
        <f t="shared" si="404"/>
        <v>0</v>
      </c>
      <c r="M888" s="389" t="str">
        <f>IFERROR(IF(AD888&lt;=VLOOKUP(D888,Tournaments!$A$1:$B$1772,2,FALSE),"TRUE","FALSE"),"")</f>
        <v/>
      </c>
      <c r="N888" s="389">
        <v>1</v>
      </c>
      <c r="O888" s="389">
        <f t="shared" si="380"/>
        <v>0</v>
      </c>
      <c r="Q888" s="389">
        <f t="shared" si="381"/>
        <v>0</v>
      </c>
      <c r="R888" s="389">
        <f t="shared" si="382"/>
        <v>0</v>
      </c>
      <c r="S888" s="389">
        <f t="shared" si="383"/>
        <v>0</v>
      </c>
      <c r="U888" s="389">
        <f t="shared" si="384"/>
        <v>0</v>
      </c>
      <c r="V888" s="389" t="b">
        <f t="shared" si="385"/>
        <v>0</v>
      </c>
      <c r="W888" s="389">
        <f t="shared" si="386"/>
        <v>0</v>
      </c>
      <c r="X888" s="389">
        <f t="shared" si="387"/>
        <v>0</v>
      </c>
      <c r="Y888" s="389">
        <f t="shared" si="405"/>
        <v>1.0999999999999999E-2</v>
      </c>
      <c r="Z888" s="389">
        <f t="shared" si="388"/>
        <v>1.0999999999999999E-2</v>
      </c>
      <c r="AA888" s="389">
        <f t="shared" si="389"/>
        <v>0</v>
      </c>
      <c r="AB888" s="389">
        <f t="shared" si="390"/>
        <v>1E-4</v>
      </c>
      <c r="AC888" s="389">
        <f t="shared" si="391"/>
        <v>1E-4</v>
      </c>
      <c r="AD888" s="389">
        <f t="shared" si="392"/>
        <v>0</v>
      </c>
      <c r="AE888" s="389">
        <f t="shared" si="393"/>
        <v>0</v>
      </c>
      <c r="AG888" s="311" t="str">
        <f t="shared" si="394"/>
        <v>-</v>
      </c>
      <c r="AH888" s="453" t="str">
        <f t="shared" si="395"/>
        <v/>
      </c>
      <c r="AI888" s="453" t="str">
        <f t="shared" si="396"/>
        <v/>
      </c>
      <c r="AJ888" t="str">
        <f t="array" ref="AJ888">IF(AND(AI888&gt;1,G888&lt;&gt;""),INDEX(FS_teams,MATCH(1,(FS_Keys=AG888)*(FS_Points=I888)*(FS_teams&lt;&gt;G888),0)),"")</f>
        <v/>
      </c>
      <c r="AK888" s="390" t="str">
        <f t="array" ref="AK888">IF(AJ888&lt;&gt;"",INDEX(TM_Score1,MATCH(1,(TM_Events=D888)*(TM_Participant1=G888)*(TM_Participant2=AJ888),0)),"")</f>
        <v/>
      </c>
      <c r="AL888" s="390" t="str">
        <f t="array" ref="AL888">IF(AJ888&lt;&gt;"",INDEX(TM_Score1,MATCH(1,(TM_Events=D888)*(TM_Participant1=AJ888)*(TM_Participant2=G888),0)),"")</f>
        <v/>
      </c>
      <c r="AM888" s="389" t="str">
        <f t="array" ref="AM888">IF(ISNUMBER(AK888),INDEX(TM_Score2,MATCH(1,(TM_Events=D888)*(TM_Participant1=G888)*(TM_Participant2=AJ888),0)),"")</f>
        <v/>
      </c>
      <c r="AN888" s="389" t="str">
        <f t="array" ref="AN888">IF(ISNUMBER(AL888),INDEX(TM_Score2,MATCH(1,(TM_Events=D888)*(TM_Participant1=AJ888)*(TM_Participant2=G888),0)),"")</f>
        <v/>
      </c>
      <c r="AO888" s="389" t="str">
        <f t="shared" si="397"/>
        <v/>
      </c>
      <c r="AP888" s="389">
        <f t="shared" si="398"/>
        <v>0</v>
      </c>
      <c r="AQ888" s="389">
        <f t="shared" si="399"/>
        <v>0</v>
      </c>
      <c r="AR888" s="389">
        <f t="shared" si="400"/>
        <v>0</v>
      </c>
      <c r="AS888" s="453">
        <f t="shared" si="401"/>
        <v>0</v>
      </c>
      <c r="AT888" s="452">
        <f t="shared" si="402"/>
        <v>0</v>
      </c>
    </row>
    <row r="889" spans="2:46" ht="16" x14ac:dyDescent="0.2">
      <c r="B889"/>
      <c r="H889" s="387" t="str">
        <f t="shared" si="377"/>
        <v>0-0-0</v>
      </c>
      <c r="I889" s="389">
        <f t="shared" si="378"/>
        <v>0</v>
      </c>
      <c r="J889" s="455" t="str">
        <f t="shared" si="403"/>
        <v/>
      </c>
      <c r="K889" s="455">
        <f t="shared" si="379"/>
        <v>0</v>
      </c>
      <c r="L889" s="455">
        <f t="shared" si="404"/>
        <v>0</v>
      </c>
      <c r="M889" s="389" t="str">
        <f>IFERROR(IF(AD889&lt;=VLOOKUP(D889,Tournaments!$A$1:$B$1772,2,FALSE),"TRUE","FALSE"),"")</f>
        <v/>
      </c>
      <c r="N889" s="389">
        <v>1</v>
      </c>
      <c r="O889" s="389">
        <f t="shared" si="380"/>
        <v>0</v>
      </c>
      <c r="Q889" s="389">
        <f t="shared" si="381"/>
        <v>0</v>
      </c>
      <c r="R889" s="389">
        <f t="shared" si="382"/>
        <v>0</v>
      </c>
      <c r="S889" s="389">
        <f t="shared" si="383"/>
        <v>0</v>
      </c>
      <c r="U889" s="389">
        <f t="shared" si="384"/>
        <v>0</v>
      </c>
      <c r="V889" s="389" t="b">
        <f t="shared" si="385"/>
        <v>0</v>
      </c>
      <c r="W889" s="389">
        <f t="shared" si="386"/>
        <v>0</v>
      </c>
      <c r="X889" s="389">
        <f t="shared" si="387"/>
        <v>0</v>
      </c>
      <c r="Y889" s="389">
        <f t="shared" si="405"/>
        <v>1.0999999999999999E-2</v>
      </c>
      <c r="Z889" s="389">
        <f t="shared" si="388"/>
        <v>1.0999999999999999E-2</v>
      </c>
      <c r="AA889" s="389">
        <f t="shared" si="389"/>
        <v>0</v>
      </c>
      <c r="AB889" s="389">
        <f t="shared" si="390"/>
        <v>1E-4</v>
      </c>
      <c r="AC889" s="389">
        <f t="shared" si="391"/>
        <v>1E-4</v>
      </c>
      <c r="AD889" s="389">
        <f t="shared" si="392"/>
        <v>0</v>
      </c>
      <c r="AE889" s="389">
        <f t="shared" si="393"/>
        <v>0</v>
      </c>
      <c r="AG889" s="311" t="str">
        <f t="shared" si="394"/>
        <v>-</v>
      </c>
      <c r="AH889" s="453" t="str">
        <f t="shared" si="395"/>
        <v/>
      </c>
      <c r="AI889" s="453" t="str">
        <f t="shared" si="396"/>
        <v/>
      </c>
      <c r="AJ889" t="str">
        <f t="array" ref="AJ889">IF(AND(AI889&gt;1,G889&lt;&gt;""),INDEX(FS_teams,MATCH(1,(FS_Keys=AG889)*(FS_Points=I889)*(FS_teams&lt;&gt;G889),0)),"")</f>
        <v/>
      </c>
      <c r="AK889" s="390" t="str">
        <f t="array" ref="AK889">IF(AJ889&lt;&gt;"",INDEX(TM_Score1,MATCH(1,(TM_Events=D889)*(TM_Participant1=G889)*(TM_Participant2=AJ889),0)),"")</f>
        <v/>
      </c>
      <c r="AL889" s="390" t="str">
        <f t="array" ref="AL889">IF(AJ889&lt;&gt;"",INDEX(TM_Score1,MATCH(1,(TM_Events=D889)*(TM_Participant1=AJ889)*(TM_Participant2=G889),0)),"")</f>
        <v/>
      </c>
      <c r="AM889" s="389" t="str">
        <f t="array" ref="AM889">IF(ISNUMBER(AK889),INDEX(TM_Score2,MATCH(1,(TM_Events=D889)*(TM_Participant1=G889)*(TM_Participant2=AJ889),0)),"")</f>
        <v/>
      </c>
      <c r="AN889" s="389" t="str">
        <f t="array" ref="AN889">IF(ISNUMBER(AL889),INDEX(TM_Score2,MATCH(1,(TM_Events=D889)*(TM_Participant1=AJ889)*(TM_Participant2=G889),0)),"")</f>
        <v/>
      </c>
      <c r="AO889" s="389" t="str">
        <f t="shared" si="397"/>
        <v/>
      </c>
      <c r="AP889" s="389">
        <f t="shared" si="398"/>
        <v>0</v>
      </c>
      <c r="AQ889" s="389">
        <f t="shared" si="399"/>
        <v>0</v>
      </c>
      <c r="AR889" s="389">
        <f t="shared" si="400"/>
        <v>0</v>
      </c>
      <c r="AS889" s="453">
        <f t="shared" si="401"/>
        <v>0</v>
      </c>
      <c r="AT889" s="452">
        <f t="shared" si="402"/>
        <v>0</v>
      </c>
    </row>
    <row r="890" spans="2:46" ht="16" x14ac:dyDescent="0.2">
      <c r="B890"/>
      <c r="H890" s="387" t="str">
        <f t="shared" si="377"/>
        <v>0-0-0</v>
      </c>
      <c r="I890" s="389">
        <f t="shared" si="378"/>
        <v>0</v>
      </c>
      <c r="J890" s="455" t="str">
        <f t="shared" si="403"/>
        <v/>
      </c>
      <c r="K890" s="455">
        <f t="shared" si="379"/>
        <v>0</v>
      </c>
      <c r="L890" s="455">
        <f t="shared" si="404"/>
        <v>0</v>
      </c>
      <c r="M890" s="389" t="str">
        <f>IFERROR(IF(AD890&lt;=VLOOKUP(D890,Tournaments!$A$1:$B$1772,2,FALSE),"TRUE","FALSE"),"")</f>
        <v/>
      </c>
      <c r="N890" s="389">
        <v>1</v>
      </c>
      <c r="O890" s="389">
        <f t="shared" si="380"/>
        <v>0</v>
      </c>
      <c r="Q890" s="389">
        <f t="shared" si="381"/>
        <v>0</v>
      </c>
      <c r="R890" s="389">
        <f t="shared" si="382"/>
        <v>0</v>
      </c>
      <c r="S890" s="389">
        <f t="shared" si="383"/>
        <v>0</v>
      </c>
      <c r="U890" s="389">
        <f t="shared" si="384"/>
        <v>0</v>
      </c>
      <c r="V890" s="389" t="b">
        <f t="shared" si="385"/>
        <v>0</v>
      </c>
      <c r="W890" s="389">
        <f t="shared" si="386"/>
        <v>0</v>
      </c>
      <c r="X890" s="389">
        <f t="shared" si="387"/>
        <v>0</v>
      </c>
      <c r="Y890" s="389">
        <f t="shared" si="405"/>
        <v>1.0999999999999999E-2</v>
      </c>
      <c r="Z890" s="389">
        <f t="shared" si="388"/>
        <v>1.0999999999999999E-2</v>
      </c>
      <c r="AA890" s="389">
        <f t="shared" si="389"/>
        <v>0</v>
      </c>
      <c r="AB890" s="389">
        <f t="shared" si="390"/>
        <v>1E-4</v>
      </c>
      <c r="AC890" s="389">
        <f t="shared" si="391"/>
        <v>1E-4</v>
      </c>
      <c r="AD890" s="389">
        <f t="shared" si="392"/>
        <v>0</v>
      </c>
      <c r="AE890" s="389">
        <f t="shared" si="393"/>
        <v>0</v>
      </c>
      <c r="AG890" s="311" t="str">
        <f t="shared" si="394"/>
        <v>-</v>
      </c>
      <c r="AH890" s="453" t="str">
        <f t="shared" si="395"/>
        <v/>
      </c>
      <c r="AI890" s="453" t="str">
        <f t="shared" si="396"/>
        <v/>
      </c>
      <c r="AJ890" t="str">
        <f t="array" ref="AJ890">IF(AND(AI890&gt;1,G890&lt;&gt;""),INDEX(FS_teams,MATCH(1,(FS_Keys=AG890)*(FS_Points=I890)*(FS_teams&lt;&gt;G890),0)),"")</f>
        <v/>
      </c>
      <c r="AK890" s="390" t="str">
        <f t="array" ref="AK890">IF(AJ890&lt;&gt;"",INDEX(TM_Score1,MATCH(1,(TM_Events=D890)*(TM_Participant1=G890)*(TM_Participant2=AJ890),0)),"")</f>
        <v/>
      </c>
      <c r="AL890" s="390" t="str">
        <f t="array" ref="AL890">IF(AJ890&lt;&gt;"",INDEX(TM_Score1,MATCH(1,(TM_Events=D890)*(TM_Participant1=AJ890)*(TM_Participant2=G890),0)),"")</f>
        <v/>
      </c>
      <c r="AM890" s="389" t="str">
        <f t="array" ref="AM890">IF(ISNUMBER(AK890),INDEX(TM_Score2,MATCH(1,(TM_Events=D890)*(TM_Participant1=G890)*(TM_Participant2=AJ890),0)),"")</f>
        <v/>
      </c>
      <c r="AN890" s="389" t="str">
        <f t="array" ref="AN890">IF(ISNUMBER(AL890),INDEX(TM_Score2,MATCH(1,(TM_Events=D890)*(TM_Participant1=AJ890)*(TM_Participant2=G890),0)),"")</f>
        <v/>
      </c>
      <c r="AO890" s="389" t="str">
        <f t="shared" si="397"/>
        <v/>
      </c>
      <c r="AP890" s="389">
        <f t="shared" si="398"/>
        <v>0</v>
      </c>
      <c r="AQ890" s="389">
        <f t="shared" si="399"/>
        <v>0</v>
      </c>
      <c r="AR890" s="389">
        <f t="shared" si="400"/>
        <v>0</v>
      </c>
      <c r="AS890" s="453">
        <f t="shared" si="401"/>
        <v>0</v>
      </c>
      <c r="AT890" s="452">
        <f t="shared" si="402"/>
        <v>0</v>
      </c>
    </row>
    <row r="891" spans="2:46" ht="16" x14ac:dyDescent="0.2">
      <c r="B891"/>
      <c r="H891" s="387" t="str">
        <f t="shared" si="377"/>
        <v>0-0-0</v>
      </c>
      <c r="I891" s="389">
        <f t="shared" si="378"/>
        <v>0</v>
      </c>
      <c r="J891" s="455" t="str">
        <f t="shared" si="403"/>
        <v/>
      </c>
      <c r="K891" s="455">
        <f t="shared" si="379"/>
        <v>0</v>
      </c>
      <c r="L891" s="455">
        <f t="shared" si="404"/>
        <v>0</v>
      </c>
      <c r="M891" s="389" t="str">
        <f>IFERROR(IF(AD891&lt;=VLOOKUP(D891,Tournaments!$A$1:$B$1772,2,FALSE),"TRUE","FALSE"),"")</f>
        <v/>
      </c>
      <c r="N891" s="389">
        <v>1</v>
      </c>
      <c r="O891" s="389">
        <f t="shared" si="380"/>
        <v>0</v>
      </c>
      <c r="Q891" s="389">
        <f t="shared" si="381"/>
        <v>0</v>
      </c>
      <c r="R891" s="389">
        <f t="shared" si="382"/>
        <v>0</v>
      </c>
      <c r="S891" s="389">
        <f t="shared" si="383"/>
        <v>0</v>
      </c>
      <c r="U891" s="389">
        <f t="shared" si="384"/>
        <v>0</v>
      </c>
      <c r="V891" s="389" t="b">
        <f t="shared" si="385"/>
        <v>0</v>
      </c>
      <c r="W891" s="389">
        <f t="shared" si="386"/>
        <v>0</v>
      </c>
      <c r="X891" s="389">
        <f t="shared" si="387"/>
        <v>0</v>
      </c>
      <c r="Y891" s="389">
        <f t="shared" si="405"/>
        <v>1.0999999999999999E-2</v>
      </c>
      <c r="Z891" s="389">
        <f t="shared" si="388"/>
        <v>1.0999999999999999E-2</v>
      </c>
      <c r="AA891" s="389">
        <f t="shared" si="389"/>
        <v>0</v>
      </c>
      <c r="AB891" s="389">
        <f t="shared" si="390"/>
        <v>1E-4</v>
      </c>
      <c r="AC891" s="389">
        <f t="shared" si="391"/>
        <v>1E-4</v>
      </c>
      <c r="AD891" s="389">
        <f t="shared" si="392"/>
        <v>0</v>
      </c>
      <c r="AE891" s="389">
        <f t="shared" si="393"/>
        <v>0</v>
      </c>
      <c r="AG891" s="311" t="str">
        <f t="shared" si="394"/>
        <v>-</v>
      </c>
      <c r="AH891" s="453" t="str">
        <f t="shared" si="395"/>
        <v/>
      </c>
      <c r="AI891" s="453" t="str">
        <f t="shared" si="396"/>
        <v/>
      </c>
      <c r="AJ891" t="str">
        <f t="array" ref="AJ891">IF(AND(AI891&gt;1,G891&lt;&gt;""),INDEX(FS_teams,MATCH(1,(FS_Keys=AG891)*(FS_Points=I891)*(FS_teams&lt;&gt;G891),0)),"")</f>
        <v/>
      </c>
      <c r="AK891" s="390" t="str">
        <f t="array" ref="AK891">IF(AJ891&lt;&gt;"",INDEX(TM_Score1,MATCH(1,(TM_Events=D891)*(TM_Participant1=G891)*(TM_Participant2=AJ891),0)),"")</f>
        <v/>
      </c>
      <c r="AL891" s="390" t="str">
        <f t="array" ref="AL891">IF(AJ891&lt;&gt;"",INDEX(TM_Score1,MATCH(1,(TM_Events=D891)*(TM_Participant1=AJ891)*(TM_Participant2=G891),0)),"")</f>
        <v/>
      </c>
      <c r="AM891" s="389" t="str">
        <f t="array" ref="AM891">IF(ISNUMBER(AK891),INDEX(TM_Score2,MATCH(1,(TM_Events=D891)*(TM_Participant1=G891)*(TM_Participant2=AJ891),0)),"")</f>
        <v/>
      </c>
      <c r="AN891" s="389" t="str">
        <f t="array" ref="AN891">IF(ISNUMBER(AL891),INDEX(TM_Score2,MATCH(1,(TM_Events=D891)*(TM_Participant1=AJ891)*(TM_Participant2=G891),0)),"")</f>
        <v/>
      </c>
      <c r="AO891" s="389" t="str">
        <f t="shared" si="397"/>
        <v/>
      </c>
      <c r="AP891" s="389">
        <f t="shared" si="398"/>
        <v>0</v>
      </c>
      <c r="AQ891" s="389">
        <f t="shared" si="399"/>
        <v>0</v>
      </c>
      <c r="AR891" s="389">
        <f t="shared" si="400"/>
        <v>0</v>
      </c>
      <c r="AS891" s="453">
        <f t="shared" si="401"/>
        <v>0</v>
      </c>
      <c r="AT891" s="452">
        <f t="shared" si="402"/>
        <v>0</v>
      </c>
    </row>
    <row r="892" spans="2:46" ht="16" x14ac:dyDescent="0.2">
      <c r="B892"/>
      <c r="H892" s="387" t="str">
        <f t="shared" si="377"/>
        <v>0-0-0</v>
      </c>
      <c r="I892" s="389">
        <f t="shared" si="378"/>
        <v>0</v>
      </c>
      <c r="J892" s="455" t="str">
        <f t="shared" si="403"/>
        <v/>
      </c>
      <c r="K892" s="455">
        <f t="shared" si="379"/>
        <v>0</v>
      </c>
      <c r="L892" s="455">
        <f t="shared" si="404"/>
        <v>0</v>
      </c>
      <c r="M892" s="389" t="str">
        <f>IFERROR(IF(AD892&lt;=VLOOKUP(D892,Tournaments!$A$1:$B$1772,2,FALSE),"TRUE","FALSE"),"")</f>
        <v/>
      </c>
      <c r="N892" s="389">
        <v>1</v>
      </c>
      <c r="O892" s="389">
        <f t="shared" si="380"/>
        <v>0</v>
      </c>
      <c r="Q892" s="389">
        <f t="shared" si="381"/>
        <v>0</v>
      </c>
      <c r="R892" s="389">
        <f t="shared" si="382"/>
        <v>0</v>
      </c>
      <c r="S892" s="389">
        <f t="shared" si="383"/>
        <v>0</v>
      </c>
      <c r="U892" s="389">
        <f t="shared" si="384"/>
        <v>0</v>
      </c>
      <c r="V892" s="389" t="b">
        <f t="shared" si="385"/>
        <v>0</v>
      </c>
      <c r="W892" s="389">
        <f t="shared" si="386"/>
        <v>0</v>
      </c>
      <c r="X892" s="389">
        <f t="shared" si="387"/>
        <v>0</v>
      </c>
      <c r="Y892" s="389">
        <f t="shared" si="405"/>
        <v>1.0999999999999999E-2</v>
      </c>
      <c r="Z892" s="389">
        <f t="shared" si="388"/>
        <v>1.0999999999999999E-2</v>
      </c>
      <c r="AA892" s="389">
        <f t="shared" si="389"/>
        <v>0</v>
      </c>
      <c r="AB892" s="389">
        <f t="shared" si="390"/>
        <v>1E-4</v>
      </c>
      <c r="AC892" s="389">
        <f t="shared" si="391"/>
        <v>1E-4</v>
      </c>
      <c r="AD892" s="389">
        <f t="shared" si="392"/>
        <v>0</v>
      </c>
      <c r="AE892" s="389">
        <f t="shared" si="393"/>
        <v>0</v>
      </c>
      <c r="AG892" s="311" t="str">
        <f t="shared" si="394"/>
        <v>-</v>
      </c>
      <c r="AH892" s="453" t="str">
        <f t="shared" si="395"/>
        <v/>
      </c>
      <c r="AI892" s="453" t="str">
        <f t="shared" si="396"/>
        <v/>
      </c>
      <c r="AJ892" t="str">
        <f t="array" ref="AJ892">IF(AND(AI892&gt;1,G892&lt;&gt;""),INDEX(FS_teams,MATCH(1,(FS_Keys=AG892)*(FS_Points=I892)*(FS_teams&lt;&gt;G892),0)),"")</f>
        <v/>
      </c>
      <c r="AK892" s="390" t="str">
        <f t="array" ref="AK892">IF(AJ892&lt;&gt;"",INDEX(TM_Score1,MATCH(1,(TM_Events=D892)*(TM_Participant1=G892)*(TM_Participant2=AJ892),0)),"")</f>
        <v/>
      </c>
      <c r="AL892" s="390" t="str">
        <f t="array" ref="AL892">IF(AJ892&lt;&gt;"",INDEX(TM_Score1,MATCH(1,(TM_Events=D892)*(TM_Participant1=AJ892)*(TM_Participant2=G892),0)),"")</f>
        <v/>
      </c>
      <c r="AM892" s="389" t="str">
        <f t="array" ref="AM892">IF(ISNUMBER(AK892),INDEX(TM_Score2,MATCH(1,(TM_Events=D892)*(TM_Participant1=G892)*(TM_Participant2=AJ892),0)),"")</f>
        <v/>
      </c>
      <c r="AN892" s="389" t="str">
        <f t="array" ref="AN892">IF(ISNUMBER(AL892),INDEX(TM_Score2,MATCH(1,(TM_Events=D892)*(TM_Participant1=AJ892)*(TM_Participant2=G892),0)),"")</f>
        <v/>
      </c>
      <c r="AO892" s="389" t="str">
        <f t="shared" si="397"/>
        <v/>
      </c>
      <c r="AP892" s="389">
        <f t="shared" si="398"/>
        <v>0</v>
      </c>
      <c r="AQ892" s="389">
        <f t="shared" si="399"/>
        <v>0</v>
      </c>
      <c r="AR892" s="389">
        <f t="shared" si="400"/>
        <v>0</v>
      </c>
      <c r="AS892" s="453">
        <f t="shared" si="401"/>
        <v>0</v>
      </c>
      <c r="AT892" s="452">
        <f t="shared" si="402"/>
        <v>0</v>
      </c>
    </row>
    <row r="893" spans="2:46" ht="16" x14ac:dyDescent="0.2">
      <c r="B893"/>
      <c r="H893" s="387" t="str">
        <f t="shared" si="377"/>
        <v>0-0-0</v>
      </c>
      <c r="I893" s="389">
        <f t="shared" si="378"/>
        <v>0</v>
      </c>
      <c r="J893" s="455" t="str">
        <f t="shared" si="403"/>
        <v/>
      </c>
      <c r="K893" s="455">
        <f t="shared" si="379"/>
        <v>0</v>
      </c>
      <c r="L893" s="455">
        <f t="shared" si="404"/>
        <v>0</v>
      </c>
      <c r="M893" s="389" t="str">
        <f>IFERROR(IF(AD893&lt;=VLOOKUP(D893,Tournaments!$A$1:$B$1772,2,FALSE),"TRUE","FALSE"),"")</f>
        <v/>
      </c>
      <c r="N893" s="389">
        <v>1</v>
      </c>
      <c r="O893" s="389">
        <f t="shared" si="380"/>
        <v>0</v>
      </c>
      <c r="Q893" s="389">
        <f t="shared" si="381"/>
        <v>0</v>
      </c>
      <c r="R893" s="389">
        <f t="shared" si="382"/>
        <v>0</v>
      </c>
      <c r="S893" s="389">
        <f t="shared" si="383"/>
        <v>0</v>
      </c>
      <c r="U893" s="389">
        <f t="shared" si="384"/>
        <v>0</v>
      </c>
      <c r="V893" s="389" t="b">
        <f t="shared" si="385"/>
        <v>0</v>
      </c>
      <c r="W893" s="389">
        <f t="shared" si="386"/>
        <v>0</v>
      </c>
      <c r="X893" s="389">
        <f t="shared" si="387"/>
        <v>0</v>
      </c>
      <c r="Y893" s="389">
        <f t="shared" si="405"/>
        <v>1.0999999999999999E-2</v>
      </c>
      <c r="Z893" s="389">
        <f t="shared" si="388"/>
        <v>1.0999999999999999E-2</v>
      </c>
      <c r="AA893" s="389">
        <f t="shared" si="389"/>
        <v>0</v>
      </c>
      <c r="AB893" s="389">
        <f t="shared" si="390"/>
        <v>1E-4</v>
      </c>
      <c r="AC893" s="389">
        <f t="shared" si="391"/>
        <v>1E-4</v>
      </c>
      <c r="AD893" s="389">
        <f t="shared" si="392"/>
        <v>0</v>
      </c>
      <c r="AE893" s="389">
        <f t="shared" si="393"/>
        <v>0</v>
      </c>
      <c r="AG893" s="311" t="str">
        <f t="shared" si="394"/>
        <v>-</v>
      </c>
      <c r="AH893" s="453" t="str">
        <f t="shared" si="395"/>
        <v/>
      </c>
      <c r="AI893" s="453" t="str">
        <f t="shared" si="396"/>
        <v/>
      </c>
      <c r="AJ893" t="str">
        <f t="array" ref="AJ893">IF(AND(AI893&gt;1,G893&lt;&gt;""),INDEX(FS_teams,MATCH(1,(FS_Keys=AG893)*(FS_Points=I893)*(FS_teams&lt;&gt;G893),0)),"")</f>
        <v/>
      </c>
      <c r="AK893" s="390" t="str">
        <f t="array" ref="AK893">IF(AJ893&lt;&gt;"",INDEX(TM_Score1,MATCH(1,(TM_Events=D893)*(TM_Participant1=G893)*(TM_Participant2=AJ893),0)),"")</f>
        <v/>
      </c>
      <c r="AL893" s="390" t="str">
        <f t="array" ref="AL893">IF(AJ893&lt;&gt;"",INDEX(TM_Score1,MATCH(1,(TM_Events=D893)*(TM_Participant1=AJ893)*(TM_Participant2=G893),0)),"")</f>
        <v/>
      </c>
      <c r="AM893" s="389" t="str">
        <f t="array" ref="AM893">IF(ISNUMBER(AK893),INDEX(TM_Score2,MATCH(1,(TM_Events=D893)*(TM_Participant1=G893)*(TM_Participant2=AJ893),0)),"")</f>
        <v/>
      </c>
      <c r="AN893" s="389" t="str">
        <f t="array" ref="AN893">IF(ISNUMBER(AL893),INDEX(TM_Score2,MATCH(1,(TM_Events=D893)*(TM_Participant1=AJ893)*(TM_Participant2=G893),0)),"")</f>
        <v/>
      </c>
      <c r="AO893" s="389" t="str">
        <f t="shared" si="397"/>
        <v/>
      </c>
      <c r="AP893" s="389">
        <f t="shared" si="398"/>
        <v>0</v>
      </c>
      <c r="AQ893" s="389">
        <f t="shared" si="399"/>
        <v>0</v>
      </c>
      <c r="AR893" s="389">
        <f t="shared" si="400"/>
        <v>0</v>
      </c>
      <c r="AS893" s="453">
        <f t="shared" si="401"/>
        <v>0</v>
      </c>
      <c r="AT893" s="452">
        <f t="shared" si="402"/>
        <v>0</v>
      </c>
    </row>
    <row r="894" spans="2:46" ht="16" x14ac:dyDescent="0.2">
      <c r="B894"/>
      <c r="H894" s="387" t="str">
        <f t="shared" si="377"/>
        <v>0-0-0</v>
      </c>
      <c r="I894" s="389">
        <f t="shared" si="378"/>
        <v>0</v>
      </c>
      <c r="J894" s="455" t="str">
        <f t="shared" si="403"/>
        <v/>
      </c>
      <c r="K894" s="455">
        <f t="shared" si="379"/>
        <v>0</v>
      </c>
      <c r="L894" s="455">
        <f t="shared" si="404"/>
        <v>0</v>
      </c>
      <c r="M894" s="389" t="str">
        <f>IFERROR(IF(AD894&lt;=VLOOKUP(D894,Tournaments!$A$1:$B$1772,2,FALSE),"TRUE","FALSE"),"")</f>
        <v/>
      </c>
      <c r="N894" s="389">
        <v>1</v>
      </c>
      <c r="O894" s="389">
        <f t="shared" si="380"/>
        <v>0</v>
      </c>
      <c r="Q894" s="389">
        <f t="shared" si="381"/>
        <v>0</v>
      </c>
      <c r="R894" s="389">
        <f t="shared" si="382"/>
        <v>0</v>
      </c>
      <c r="S894" s="389">
        <f t="shared" si="383"/>
        <v>0</v>
      </c>
      <c r="U894" s="389">
        <f t="shared" si="384"/>
        <v>0</v>
      </c>
      <c r="V894" s="389" t="b">
        <f t="shared" si="385"/>
        <v>0</v>
      </c>
      <c r="W894" s="389">
        <f t="shared" si="386"/>
        <v>0</v>
      </c>
      <c r="X894" s="389">
        <f t="shared" si="387"/>
        <v>0</v>
      </c>
      <c r="Y894" s="389">
        <f t="shared" si="405"/>
        <v>1.0999999999999999E-2</v>
      </c>
      <c r="Z894" s="389">
        <f t="shared" si="388"/>
        <v>1.0999999999999999E-2</v>
      </c>
      <c r="AA894" s="389">
        <f t="shared" si="389"/>
        <v>0</v>
      </c>
      <c r="AB894" s="389">
        <f t="shared" si="390"/>
        <v>1E-4</v>
      </c>
      <c r="AC894" s="389">
        <f t="shared" si="391"/>
        <v>1E-4</v>
      </c>
      <c r="AD894" s="389">
        <f t="shared" si="392"/>
        <v>0</v>
      </c>
      <c r="AE894" s="389">
        <f t="shared" si="393"/>
        <v>0</v>
      </c>
      <c r="AG894" s="311" t="str">
        <f t="shared" si="394"/>
        <v>-</v>
      </c>
      <c r="AH894" s="453" t="str">
        <f t="shared" si="395"/>
        <v/>
      </c>
      <c r="AI894" s="453" t="str">
        <f t="shared" si="396"/>
        <v/>
      </c>
      <c r="AJ894" t="str">
        <f t="array" ref="AJ894">IF(AND(AI894&gt;1,G894&lt;&gt;""),INDEX(FS_teams,MATCH(1,(FS_Keys=AG894)*(FS_Points=I894)*(FS_teams&lt;&gt;G894),0)),"")</f>
        <v/>
      </c>
      <c r="AK894" s="390" t="str">
        <f t="array" ref="AK894">IF(AJ894&lt;&gt;"",INDEX(TM_Score1,MATCH(1,(TM_Events=D894)*(TM_Participant1=G894)*(TM_Participant2=AJ894),0)),"")</f>
        <v/>
      </c>
      <c r="AL894" s="390" t="str">
        <f t="array" ref="AL894">IF(AJ894&lt;&gt;"",INDEX(TM_Score1,MATCH(1,(TM_Events=D894)*(TM_Participant1=AJ894)*(TM_Participant2=G894),0)),"")</f>
        <v/>
      </c>
      <c r="AM894" s="389" t="str">
        <f t="array" ref="AM894">IF(ISNUMBER(AK894),INDEX(TM_Score2,MATCH(1,(TM_Events=D894)*(TM_Participant1=G894)*(TM_Participant2=AJ894),0)),"")</f>
        <v/>
      </c>
      <c r="AN894" s="389" t="str">
        <f t="array" ref="AN894">IF(ISNUMBER(AL894),INDEX(TM_Score2,MATCH(1,(TM_Events=D894)*(TM_Participant1=AJ894)*(TM_Participant2=G894),0)),"")</f>
        <v/>
      </c>
      <c r="AO894" s="389" t="str">
        <f t="shared" si="397"/>
        <v/>
      </c>
      <c r="AP894" s="389">
        <f t="shared" si="398"/>
        <v>0</v>
      </c>
      <c r="AQ894" s="389">
        <f t="shared" si="399"/>
        <v>0</v>
      </c>
      <c r="AR894" s="389">
        <f t="shared" si="400"/>
        <v>0</v>
      </c>
      <c r="AS894" s="453">
        <f t="shared" si="401"/>
        <v>0</v>
      </c>
      <c r="AT894" s="452">
        <f t="shared" si="402"/>
        <v>0</v>
      </c>
    </row>
    <row r="895" spans="2:46" ht="16" x14ac:dyDescent="0.2">
      <c r="B895"/>
      <c r="H895" s="387" t="str">
        <f t="shared" si="377"/>
        <v>0-0-0</v>
      </c>
      <c r="I895" s="389">
        <f t="shared" si="378"/>
        <v>0</v>
      </c>
      <c r="J895" s="455" t="str">
        <f t="shared" si="403"/>
        <v/>
      </c>
      <c r="K895" s="455">
        <f t="shared" si="379"/>
        <v>0</v>
      </c>
      <c r="L895" s="455">
        <f t="shared" si="404"/>
        <v>0</v>
      </c>
      <c r="M895" s="389" t="str">
        <f>IFERROR(IF(AD895&lt;=VLOOKUP(D895,Tournaments!$A$1:$B$1772,2,FALSE),"TRUE","FALSE"),"")</f>
        <v/>
      </c>
      <c r="N895" s="389">
        <v>1</v>
      </c>
      <c r="O895" s="389">
        <f t="shared" si="380"/>
        <v>0</v>
      </c>
      <c r="Q895" s="389">
        <f t="shared" si="381"/>
        <v>0</v>
      </c>
      <c r="R895" s="389">
        <f t="shared" si="382"/>
        <v>0</v>
      </c>
      <c r="S895" s="389">
        <f t="shared" si="383"/>
        <v>0</v>
      </c>
      <c r="U895" s="389">
        <f t="shared" si="384"/>
        <v>0</v>
      </c>
      <c r="V895" s="389" t="b">
        <f t="shared" si="385"/>
        <v>0</v>
      </c>
      <c r="W895" s="389">
        <f t="shared" si="386"/>
        <v>0</v>
      </c>
      <c r="X895" s="389">
        <f t="shared" si="387"/>
        <v>0</v>
      </c>
      <c r="Y895" s="389">
        <f t="shared" si="405"/>
        <v>1.0999999999999999E-2</v>
      </c>
      <c r="Z895" s="389">
        <f t="shared" si="388"/>
        <v>1.0999999999999999E-2</v>
      </c>
      <c r="AA895" s="389">
        <f t="shared" si="389"/>
        <v>0</v>
      </c>
      <c r="AB895" s="389">
        <f t="shared" si="390"/>
        <v>1E-4</v>
      </c>
      <c r="AC895" s="389">
        <f t="shared" si="391"/>
        <v>1E-4</v>
      </c>
      <c r="AD895" s="389">
        <f t="shared" si="392"/>
        <v>0</v>
      </c>
      <c r="AE895" s="389">
        <f t="shared" si="393"/>
        <v>0</v>
      </c>
      <c r="AG895" s="311" t="str">
        <f t="shared" si="394"/>
        <v>-</v>
      </c>
      <c r="AH895" s="453" t="str">
        <f t="shared" si="395"/>
        <v/>
      </c>
      <c r="AI895" s="453" t="str">
        <f t="shared" si="396"/>
        <v/>
      </c>
      <c r="AJ895" t="str">
        <f t="array" ref="AJ895">IF(AND(AI895&gt;1,G895&lt;&gt;""),INDEX(FS_teams,MATCH(1,(FS_Keys=AG895)*(FS_Points=I895)*(FS_teams&lt;&gt;G895),0)),"")</f>
        <v/>
      </c>
      <c r="AK895" s="390" t="str">
        <f t="array" ref="AK895">IF(AJ895&lt;&gt;"",INDEX(TM_Score1,MATCH(1,(TM_Events=D895)*(TM_Participant1=G895)*(TM_Participant2=AJ895),0)),"")</f>
        <v/>
      </c>
      <c r="AL895" s="390" t="str">
        <f t="array" ref="AL895">IF(AJ895&lt;&gt;"",INDEX(TM_Score1,MATCH(1,(TM_Events=D895)*(TM_Participant1=AJ895)*(TM_Participant2=G895),0)),"")</f>
        <v/>
      </c>
      <c r="AM895" s="389" t="str">
        <f t="array" ref="AM895">IF(ISNUMBER(AK895),INDEX(TM_Score2,MATCH(1,(TM_Events=D895)*(TM_Participant1=G895)*(TM_Participant2=AJ895),0)),"")</f>
        <v/>
      </c>
      <c r="AN895" s="389" t="str">
        <f t="array" ref="AN895">IF(ISNUMBER(AL895),INDEX(TM_Score2,MATCH(1,(TM_Events=D895)*(TM_Participant1=AJ895)*(TM_Participant2=G895),0)),"")</f>
        <v/>
      </c>
      <c r="AO895" s="389" t="str">
        <f t="shared" si="397"/>
        <v/>
      </c>
      <c r="AP895" s="389">
        <f t="shared" si="398"/>
        <v>0</v>
      </c>
      <c r="AQ895" s="389">
        <f t="shared" si="399"/>
        <v>0</v>
      </c>
      <c r="AR895" s="389">
        <f t="shared" si="400"/>
        <v>0</v>
      </c>
      <c r="AS895" s="453">
        <f t="shared" si="401"/>
        <v>0</v>
      </c>
      <c r="AT895" s="452">
        <f t="shared" si="402"/>
        <v>0</v>
      </c>
    </row>
    <row r="896" spans="2:46" ht="16" x14ac:dyDescent="0.2">
      <c r="B896"/>
      <c r="H896" s="387" t="str">
        <f t="shared" si="377"/>
        <v>0-0-0</v>
      </c>
      <c r="I896" s="389">
        <f t="shared" si="378"/>
        <v>0</v>
      </c>
      <c r="J896" s="455" t="str">
        <f t="shared" si="403"/>
        <v/>
      </c>
      <c r="K896" s="455">
        <f t="shared" si="379"/>
        <v>0</v>
      </c>
      <c r="L896" s="455">
        <f t="shared" si="404"/>
        <v>0</v>
      </c>
      <c r="M896" s="389" t="str">
        <f>IFERROR(IF(AD896&lt;=VLOOKUP(D896,Tournaments!$A$1:$B$1772,2,FALSE),"TRUE","FALSE"),"")</f>
        <v/>
      </c>
      <c r="N896" s="389">
        <v>1</v>
      </c>
      <c r="O896" s="389">
        <f t="shared" si="380"/>
        <v>0</v>
      </c>
      <c r="Q896" s="389">
        <f t="shared" si="381"/>
        <v>0</v>
      </c>
      <c r="R896" s="389">
        <f t="shared" si="382"/>
        <v>0</v>
      </c>
      <c r="S896" s="389">
        <f t="shared" si="383"/>
        <v>0</v>
      </c>
      <c r="U896" s="389">
        <f t="shared" si="384"/>
        <v>0</v>
      </c>
      <c r="V896" s="389" t="b">
        <f t="shared" si="385"/>
        <v>0</v>
      </c>
      <c r="W896" s="389">
        <f t="shared" si="386"/>
        <v>0</v>
      </c>
      <c r="X896" s="389">
        <f t="shared" si="387"/>
        <v>0</v>
      </c>
      <c r="Y896" s="389">
        <f t="shared" si="405"/>
        <v>1.0999999999999999E-2</v>
      </c>
      <c r="Z896" s="389">
        <f t="shared" si="388"/>
        <v>1.0999999999999999E-2</v>
      </c>
      <c r="AA896" s="389">
        <f t="shared" si="389"/>
        <v>0</v>
      </c>
      <c r="AB896" s="389">
        <f t="shared" si="390"/>
        <v>1E-4</v>
      </c>
      <c r="AC896" s="389">
        <f t="shared" si="391"/>
        <v>1E-4</v>
      </c>
      <c r="AD896" s="389">
        <f t="shared" si="392"/>
        <v>0</v>
      </c>
      <c r="AE896" s="389">
        <f t="shared" si="393"/>
        <v>0</v>
      </c>
      <c r="AG896" s="311" t="str">
        <f t="shared" si="394"/>
        <v>-</v>
      </c>
      <c r="AH896" s="453" t="str">
        <f t="shared" si="395"/>
        <v/>
      </c>
      <c r="AI896" s="453" t="str">
        <f t="shared" si="396"/>
        <v/>
      </c>
      <c r="AJ896" t="str">
        <f t="array" ref="AJ896">IF(AND(AI896&gt;1,G896&lt;&gt;""),INDEX(FS_teams,MATCH(1,(FS_Keys=AG896)*(FS_Points=I896)*(FS_teams&lt;&gt;G896),0)),"")</f>
        <v/>
      </c>
      <c r="AK896" s="390" t="str">
        <f t="array" ref="AK896">IF(AJ896&lt;&gt;"",INDEX(TM_Score1,MATCH(1,(TM_Events=D896)*(TM_Participant1=G896)*(TM_Participant2=AJ896),0)),"")</f>
        <v/>
      </c>
      <c r="AL896" s="390" t="str">
        <f t="array" ref="AL896">IF(AJ896&lt;&gt;"",INDEX(TM_Score1,MATCH(1,(TM_Events=D896)*(TM_Participant1=AJ896)*(TM_Participant2=G896),0)),"")</f>
        <v/>
      </c>
      <c r="AM896" s="389" t="str">
        <f t="array" ref="AM896">IF(ISNUMBER(AK896),INDEX(TM_Score2,MATCH(1,(TM_Events=D896)*(TM_Participant1=G896)*(TM_Participant2=AJ896),0)),"")</f>
        <v/>
      </c>
      <c r="AN896" s="389" t="str">
        <f t="array" ref="AN896">IF(ISNUMBER(AL896),INDEX(TM_Score2,MATCH(1,(TM_Events=D896)*(TM_Participant1=AJ896)*(TM_Participant2=G896),0)),"")</f>
        <v/>
      </c>
      <c r="AO896" s="389" t="str">
        <f t="shared" si="397"/>
        <v/>
      </c>
      <c r="AP896" s="389">
        <f t="shared" si="398"/>
        <v>0</v>
      </c>
      <c r="AQ896" s="389">
        <f t="shared" si="399"/>
        <v>0</v>
      </c>
      <c r="AR896" s="389">
        <f t="shared" si="400"/>
        <v>0</v>
      </c>
      <c r="AS896" s="453">
        <f t="shared" si="401"/>
        <v>0</v>
      </c>
      <c r="AT896" s="452">
        <f t="shared" si="402"/>
        <v>0</v>
      </c>
    </row>
    <row r="897" spans="2:46" ht="16" x14ac:dyDescent="0.2">
      <c r="B897"/>
      <c r="H897" s="387" t="str">
        <f t="shared" si="377"/>
        <v>0-0-0</v>
      </c>
      <c r="I897" s="389">
        <f t="shared" si="378"/>
        <v>0</v>
      </c>
      <c r="J897" s="455" t="str">
        <f t="shared" si="403"/>
        <v/>
      </c>
      <c r="K897" s="455">
        <f t="shared" si="379"/>
        <v>0</v>
      </c>
      <c r="L897" s="455">
        <f t="shared" si="404"/>
        <v>0</v>
      </c>
      <c r="M897" s="389" t="str">
        <f>IFERROR(IF(AD897&lt;=VLOOKUP(D897,Tournaments!$A$1:$B$1772,2,FALSE),"TRUE","FALSE"),"")</f>
        <v/>
      </c>
      <c r="N897" s="389">
        <v>1</v>
      </c>
      <c r="O897" s="389">
        <f t="shared" si="380"/>
        <v>0</v>
      </c>
      <c r="Q897" s="389">
        <f t="shared" si="381"/>
        <v>0</v>
      </c>
      <c r="R897" s="389">
        <f t="shared" si="382"/>
        <v>0</v>
      </c>
      <c r="S897" s="389">
        <f t="shared" si="383"/>
        <v>0</v>
      </c>
      <c r="U897" s="389">
        <f t="shared" si="384"/>
        <v>0</v>
      </c>
      <c r="V897" s="389" t="b">
        <f t="shared" si="385"/>
        <v>0</v>
      </c>
      <c r="W897" s="389">
        <f t="shared" si="386"/>
        <v>0</v>
      </c>
      <c r="X897" s="389">
        <f t="shared" si="387"/>
        <v>0</v>
      </c>
      <c r="Y897" s="389">
        <f t="shared" si="405"/>
        <v>1.0999999999999999E-2</v>
      </c>
      <c r="Z897" s="389">
        <f t="shared" si="388"/>
        <v>1.0999999999999999E-2</v>
      </c>
      <c r="AA897" s="389">
        <f t="shared" si="389"/>
        <v>0</v>
      </c>
      <c r="AB897" s="389">
        <f t="shared" si="390"/>
        <v>1E-4</v>
      </c>
      <c r="AC897" s="389">
        <f t="shared" si="391"/>
        <v>1E-4</v>
      </c>
      <c r="AD897" s="389">
        <f t="shared" si="392"/>
        <v>0</v>
      </c>
      <c r="AE897" s="389">
        <f t="shared" si="393"/>
        <v>0</v>
      </c>
      <c r="AG897" s="311" t="str">
        <f t="shared" si="394"/>
        <v>-</v>
      </c>
      <c r="AH897" s="453" t="str">
        <f t="shared" si="395"/>
        <v/>
      </c>
      <c r="AI897" s="453" t="str">
        <f t="shared" si="396"/>
        <v/>
      </c>
      <c r="AJ897" t="str">
        <f t="array" ref="AJ897">IF(AND(AI897&gt;1,G897&lt;&gt;""),INDEX(FS_teams,MATCH(1,(FS_Keys=AG897)*(FS_Points=I897)*(FS_teams&lt;&gt;G897),0)),"")</f>
        <v/>
      </c>
      <c r="AK897" s="390" t="str">
        <f t="array" ref="AK897">IF(AJ897&lt;&gt;"",INDEX(TM_Score1,MATCH(1,(TM_Events=D897)*(TM_Participant1=G897)*(TM_Participant2=AJ897),0)),"")</f>
        <v/>
      </c>
      <c r="AL897" s="390" t="str">
        <f t="array" ref="AL897">IF(AJ897&lt;&gt;"",INDEX(TM_Score1,MATCH(1,(TM_Events=D897)*(TM_Participant1=AJ897)*(TM_Participant2=G897),0)),"")</f>
        <v/>
      </c>
      <c r="AM897" s="389" t="str">
        <f t="array" ref="AM897">IF(ISNUMBER(AK897),INDEX(TM_Score2,MATCH(1,(TM_Events=D897)*(TM_Participant1=G897)*(TM_Participant2=AJ897),0)),"")</f>
        <v/>
      </c>
      <c r="AN897" s="389" t="str">
        <f t="array" ref="AN897">IF(ISNUMBER(AL897),INDEX(TM_Score2,MATCH(1,(TM_Events=D897)*(TM_Participant1=AJ897)*(TM_Participant2=G897),0)),"")</f>
        <v/>
      </c>
      <c r="AO897" s="389" t="str">
        <f t="shared" si="397"/>
        <v/>
      </c>
      <c r="AP897" s="389">
        <f t="shared" si="398"/>
        <v>0</v>
      </c>
      <c r="AQ897" s="389">
        <f t="shared" si="399"/>
        <v>0</v>
      </c>
      <c r="AR897" s="389">
        <f t="shared" si="400"/>
        <v>0</v>
      </c>
      <c r="AS897" s="453">
        <f t="shared" si="401"/>
        <v>0</v>
      </c>
      <c r="AT897" s="452">
        <f t="shared" si="402"/>
        <v>0</v>
      </c>
    </row>
    <row r="898" spans="2:46" ht="16" x14ac:dyDescent="0.2">
      <c r="B898"/>
      <c r="H898" s="387" t="str">
        <f t="shared" si="377"/>
        <v>0-0-0</v>
      </c>
      <c r="I898" s="389">
        <f t="shared" si="378"/>
        <v>0</v>
      </c>
      <c r="J898" s="455" t="str">
        <f t="shared" si="403"/>
        <v/>
      </c>
      <c r="K898" s="455">
        <f t="shared" si="379"/>
        <v>0</v>
      </c>
      <c r="L898" s="455">
        <f t="shared" si="404"/>
        <v>0</v>
      </c>
      <c r="M898" s="389" t="str">
        <f>IFERROR(IF(AD898&lt;=VLOOKUP(D898,Tournaments!$A$1:$B$1772,2,FALSE),"TRUE","FALSE"),"")</f>
        <v/>
      </c>
      <c r="N898" s="389">
        <v>1</v>
      </c>
      <c r="O898" s="389">
        <f t="shared" si="380"/>
        <v>0</v>
      </c>
      <c r="Q898" s="389">
        <f t="shared" si="381"/>
        <v>0</v>
      </c>
      <c r="R898" s="389">
        <f t="shared" si="382"/>
        <v>0</v>
      </c>
      <c r="S898" s="389">
        <f t="shared" si="383"/>
        <v>0</v>
      </c>
      <c r="U898" s="389">
        <f t="shared" si="384"/>
        <v>0</v>
      </c>
      <c r="V898" s="389" t="b">
        <f t="shared" si="385"/>
        <v>0</v>
      </c>
      <c r="W898" s="389">
        <f t="shared" si="386"/>
        <v>0</v>
      </c>
      <c r="X898" s="389">
        <f t="shared" si="387"/>
        <v>0</v>
      </c>
      <c r="Y898" s="389">
        <f t="shared" si="405"/>
        <v>1.0999999999999999E-2</v>
      </c>
      <c r="Z898" s="389">
        <f t="shared" si="388"/>
        <v>1.0999999999999999E-2</v>
      </c>
      <c r="AA898" s="389">
        <f t="shared" si="389"/>
        <v>0</v>
      </c>
      <c r="AB898" s="389">
        <f t="shared" si="390"/>
        <v>1E-4</v>
      </c>
      <c r="AC898" s="389">
        <f t="shared" si="391"/>
        <v>1E-4</v>
      </c>
      <c r="AD898" s="389">
        <f t="shared" si="392"/>
        <v>0</v>
      </c>
      <c r="AE898" s="389">
        <f t="shared" si="393"/>
        <v>0</v>
      </c>
      <c r="AG898" s="311" t="str">
        <f t="shared" si="394"/>
        <v>-</v>
      </c>
      <c r="AH898" s="453" t="str">
        <f t="shared" si="395"/>
        <v/>
      </c>
      <c r="AI898" s="453" t="str">
        <f t="shared" si="396"/>
        <v/>
      </c>
      <c r="AJ898" t="str">
        <f t="array" ref="AJ898">IF(AND(AI898&gt;1,G898&lt;&gt;""),INDEX(FS_teams,MATCH(1,(FS_Keys=AG898)*(FS_Points=I898)*(FS_teams&lt;&gt;G898),0)),"")</f>
        <v/>
      </c>
      <c r="AK898" s="390" t="str">
        <f t="array" ref="AK898">IF(AJ898&lt;&gt;"",INDEX(TM_Score1,MATCH(1,(TM_Events=D898)*(TM_Participant1=G898)*(TM_Participant2=AJ898),0)),"")</f>
        <v/>
      </c>
      <c r="AL898" s="390" t="str">
        <f t="array" ref="AL898">IF(AJ898&lt;&gt;"",INDEX(TM_Score1,MATCH(1,(TM_Events=D898)*(TM_Participant1=AJ898)*(TM_Participant2=G898),0)),"")</f>
        <v/>
      </c>
      <c r="AM898" s="389" t="str">
        <f t="array" ref="AM898">IF(ISNUMBER(AK898),INDEX(TM_Score2,MATCH(1,(TM_Events=D898)*(TM_Participant1=G898)*(TM_Participant2=AJ898),0)),"")</f>
        <v/>
      </c>
      <c r="AN898" s="389" t="str">
        <f t="array" ref="AN898">IF(ISNUMBER(AL898),INDEX(TM_Score2,MATCH(1,(TM_Events=D898)*(TM_Participant1=AJ898)*(TM_Participant2=G898),0)),"")</f>
        <v/>
      </c>
      <c r="AO898" s="389" t="str">
        <f t="shared" si="397"/>
        <v/>
      </c>
      <c r="AP898" s="389">
        <f t="shared" si="398"/>
        <v>0</v>
      </c>
      <c r="AQ898" s="389">
        <f t="shared" si="399"/>
        <v>0</v>
      </c>
      <c r="AR898" s="389">
        <f t="shared" si="400"/>
        <v>0</v>
      </c>
      <c r="AS898" s="453">
        <f t="shared" si="401"/>
        <v>0</v>
      </c>
      <c r="AT898" s="452">
        <f t="shared" si="402"/>
        <v>0</v>
      </c>
    </row>
    <row r="899" spans="2:46" ht="16" x14ac:dyDescent="0.2">
      <c r="B899"/>
      <c r="H899" s="387" t="str">
        <f t="shared" ref="H899:H962" si="406">Q899&amp;"-"&amp;R899&amp;"-"&amp;S899</f>
        <v>0-0-0</v>
      </c>
      <c r="I899" s="389">
        <f t="shared" ref="I899:I962" si="407">IF(H899&lt;&gt;"0-0-0",Q899*2+S899,0)</f>
        <v>0</v>
      </c>
      <c r="J899" s="455" t="str">
        <f t="shared" si="403"/>
        <v/>
      </c>
      <c r="K899" s="455">
        <f t="shared" ref="K899:K962" si="408">IF(COUNTIFS(AG:AG,AG899,I:I,I899,J:J,J899)&gt;1,AS899,"")</f>
        <v>0</v>
      </c>
      <c r="L899" s="455">
        <f t="shared" si="404"/>
        <v>0</v>
      </c>
      <c r="M899" s="389" t="str">
        <f>IFERROR(IF(AD899&lt;=VLOOKUP(D899,Tournaments!$A$1:$B$1772,2,FALSE),"TRUE","FALSE"),"")</f>
        <v/>
      </c>
      <c r="N899" s="389">
        <v>1</v>
      </c>
      <c r="O899" s="389">
        <f t="shared" ref="O899:O962" si="409">AD899</f>
        <v>0</v>
      </c>
      <c r="Q899" s="389">
        <f t="shared" ref="Q899:Q962" si="410">AP899</f>
        <v>0</v>
      </c>
      <c r="R899" s="389">
        <f t="shared" ref="R899:R962" si="411">AR899</f>
        <v>0</v>
      </c>
      <c r="S899" s="389">
        <f t="shared" ref="S899:S962" si="412">AQ899</f>
        <v>0</v>
      </c>
      <c r="U899" s="389">
        <f t="shared" ref="U899:U962" si="413">IF(E899&lt;&gt;"",COUNTIFS($D$3:$D$1001,D899,$E$3:$E$1001,E899,$I$3:$I$1001,"&gt;"&amp;I899)+COUNTIFS($D$3:$D$1001,D899,$E$3:$E$1001,E899,$I$3:$I$1001,I899),COUNTIFS($D$3:$D$1001,D899,$I$3:$I$1001,"&gt;"&amp;I899)+COUNTIFS($D$3:$D$1001,D899,$I$3:$I$1001,I899))</f>
        <v>0</v>
      </c>
      <c r="V899" s="389" t="b">
        <f t="shared" ref="V899:V962" si="414">IFERROR(RANK(J899,$J:$J,1)/10000,FALSE)</f>
        <v>0</v>
      </c>
      <c r="W899" s="389">
        <f t="shared" ref="W899:W962" si="415">V899-U899</f>
        <v>0</v>
      </c>
      <c r="X899" s="389">
        <f t="shared" ref="X899:X962" si="416">IF(E899&lt;&gt;"",COUNTIFS($D:$D,$D899,$E:$E,$E899,$W:$W,"&gt;"&amp;W899)+COUNTIFS($D:$D,$D899,$E:$E,$E899,$W:$W,W899),COUNTIFS($D:$D,$D899,$W:$W,"&gt;"&amp;W899)+COUNTIFS($D:$D,$D899,$W:$W,W899))</f>
        <v>0</v>
      </c>
      <c r="Y899" s="389">
        <f t="shared" si="405"/>
        <v>1.0999999999999999E-2</v>
      </c>
      <c r="Z899" s="389">
        <f t="shared" ref="Z899:Z962" si="417">Y899-X899</f>
        <v>1.0999999999999999E-2</v>
      </c>
      <c r="AA899" s="389">
        <f t="shared" ref="AA899:AA962" si="418">IF(E899&lt;&gt;"",(COUNTIFS($D:$D,D899,$E:$E,E899,$Z:$Z,"&gt;"&amp;Z899)+COUNTIFS($D:$D,D899,$E:$E,E899,$Z:$Z,Z899)),(COUNTIFS($D:$D,D899,$Z:$Z,"&gt;"&amp;Z899)+COUNTIFS($D:$D,D899,$Z:$Z,Z899)))</f>
        <v>0</v>
      </c>
      <c r="AB899" s="389">
        <f t="shared" ref="AB899:AB962" si="419">IFERROR(RANK(L899,$L:$L,1)/10000,FALSE)</f>
        <v>1E-4</v>
      </c>
      <c r="AC899" s="389">
        <f t="shared" ref="AC899:AC962" si="420">AB899-AA899</f>
        <v>1E-4</v>
      </c>
      <c r="AD899" s="389">
        <f t="shared" ref="AD899:AD962" si="421">IF(E899&lt;&gt;"",COUNTIFS($D:$D,$D899,$E:$E,$E899,$AC:$AC,"&gt;"&amp;AC899)+COUNTIFS($D:$D,$D899,$E:$E,$E899,$AC:$AC,AC899),COUNTIFS($D:$D,$D899,$AC:$AC,"&gt;"&amp;AC899)+COUNTIFS($D:$D,$D899,$AC:$AC,AC899))</f>
        <v>0</v>
      </c>
      <c r="AE899" s="389">
        <f t="shared" ref="AE899:AE962" si="422">IF(E899&lt;&gt;"",COUNTIFS($D:$D,D899,$E:$E,E899,$I:$I,I899,$J:$J,J899),COUNTIFS($D:$D,D899,$I:$I,I899,$J:$J,J899))</f>
        <v>0</v>
      </c>
      <c r="AG899" s="311" t="str">
        <f t="shared" ref="AG899:AG962" si="423">D899&amp;"-"&amp;E899</f>
        <v>-</v>
      </c>
      <c r="AH899" s="453" t="str">
        <f t="shared" ref="AH899:AH962" si="424">IF(G899="","",COUNTIFS(FS_teams,"&lt;&gt;-1",FS_Keys,AG899,FS_Points,"&gt;"&amp;I899)+1)</f>
        <v/>
      </c>
      <c r="AI899" s="453" t="str">
        <f t="shared" ref="AI899:AI962" si="425">IF(G899="","",COUNTIFS(FS_Keys,AG899,FS_Rank_on_Points,AH899))</f>
        <v/>
      </c>
      <c r="AJ899" t="str">
        <f t="array" ref="AJ899">IF(AND(AI899&gt;1,G899&lt;&gt;""),INDEX(FS_teams,MATCH(1,(FS_Keys=AG899)*(FS_Points=I899)*(FS_teams&lt;&gt;G899),0)),"")</f>
        <v/>
      </c>
      <c r="AK899" s="390" t="str">
        <f t="array" ref="AK899">IF(AJ899&lt;&gt;"",INDEX(TM_Score1,MATCH(1,(TM_Events=D899)*(TM_Participant1=G899)*(TM_Participant2=AJ899),0)),"")</f>
        <v/>
      </c>
      <c r="AL899" s="390" t="str">
        <f t="array" ref="AL899">IF(AJ899&lt;&gt;"",INDEX(TM_Score1,MATCH(1,(TM_Events=D899)*(TM_Participant1=AJ899)*(TM_Participant2=G899),0)),"")</f>
        <v/>
      </c>
      <c r="AM899" s="389" t="str">
        <f t="array" ref="AM899">IF(ISNUMBER(AK899),INDEX(TM_Score2,MATCH(1,(TM_Events=D899)*(TM_Participant1=G899)*(TM_Participant2=AJ899),0)),"")</f>
        <v/>
      </c>
      <c r="AN899" s="389" t="str">
        <f t="array" ref="AN899">IF(ISNUMBER(AL899),INDEX(TM_Score2,MATCH(1,(TM_Events=D899)*(TM_Participant1=AJ899)*(TM_Participant2=G899),0)),"")</f>
        <v/>
      </c>
      <c r="AO899" s="389" t="str">
        <f t="shared" ref="AO899:AO962" si="426">IF(AJ899="","",IF(ISNUMBER(AK899),IF(AK899&gt;AM899,"Win",IF(AK899=AM899,"Tie",IF(AK899&lt;AM899,"Loss","check"))),IF(ISNUMBER(AL899),IF(AN899&gt;AL899,"Win",IF(AN899=AL899,"Tie",IF(AN899&lt;AL899,"Loss","check"))),IF(AND(ISNA(AK899),ISNA(AL899)),"did not play","check"))))</f>
        <v/>
      </c>
      <c r="AP899" s="389">
        <f t="shared" ref="AP899:AP962" si="427">SUMIFS(TM_W1,TM_Events,D899,TM_Participant1,G899)+SUMIFS(TM_w2,TM_Events,D899,TM_Participant2,G899)</f>
        <v>0</v>
      </c>
      <c r="AQ899" s="389">
        <f t="shared" ref="AQ899:AQ962" si="428">SUMIFS(TM_T1,TM_Events,D899,TM_Participant1,G899)+SUMIFS(TM_T2,TM_Events,D899,TM_Participant2,G899)</f>
        <v>0</v>
      </c>
      <c r="AR899" s="389">
        <f t="shared" ref="AR899:AR962" si="429">SUMIFS(TM_L1,TM_Events,D899,TM_Participant1,G899)+SUMIFS(TM_L2,TM_Events,D899,TM_Participant2,G899)</f>
        <v>0</v>
      </c>
      <c r="AS899" s="453">
        <f t="shared" ref="AS899:AS962" si="430">SUMIFS(Net_1,TM_Events,D899,TM_Participant1,G899)+SUMIFS(Net_2,TM_Events,D899,TM_Participant2,G899)</f>
        <v>0</v>
      </c>
      <c r="AT899" s="452">
        <f t="shared" ref="AT899:AT962" si="431">SUMIFS(Score_1,TM_Events,D899,TM_Participant1,G899)+SUMIFS(Score_2,TM_Events,D899,TM_Participant2,G899)</f>
        <v>0</v>
      </c>
    </row>
    <row r="900" spans="2:46" ht="16" x14ac:dyDescent="0.2">
      <c r="B900"/>
      <c r="H900" s="387" t="str">
        <f t="shared" si="406"/>
        <v>0-0-0</v>
      </c>
      <c r="I900" s="389">
        <f t="shared" si="407"/>
        <v>0</v>
      </c>
      <c r="J900" s="455" t="str">
        <f t="shared" ref="J900:J963" si="432">IF(E900&lt;&gt;"",IF(COUNTIFS($D:$D,D900,$E:$E,E900,$I:$I,I900)&lt;3,IFERROR(IF(H900&lt;&gt;"0-0-0",IF(AO900&lt;&gt;"",IF(AO900="Win",2,IF(AO900="Loss",0,1)),""),""),""),1),IF(COUNTIFS(D:D,D900,I:I,I900)&lt;3,IFERROR(IF(H900&lt;&gt;"0-0-0",IF(AO900&lt;&gt;"",IF(AO900="Win",2,IF(AO900="Loss",0,1)),""),""),""),1))</f>
        <v/>
      </c>
      <c r="K900" s="455">
        <f t="shared" si="408"/>
        <v>0</v>
      </c>
      <c r="L900" s="455">
        <f t="shared" ref="L900:L963" si="433">IF(COUNTIFS(AG:AG,AG900,I:I,I900,J:J,J900,K:K,K900)&gt;1,AT900,"")</f>
        <v>0</v>
      </c>
      <c r="M900" s="389" t="str">
        <f>IFERROR(IF(AD900&lt;=VLOOKUP(D900,Tournaments!$A$1:$B$1772,2,FALSE),"TRUE","FALSE"),"")</f>
        <v/>
      </c>
      <c r="N900" s="389">
        <v>1</v>
      </c>
      <c r="O900" s="389">
        <f t="shared" si="409"/>
        <v>0</v>
      </c>
      <c r="Q900" s="389">
        <f t="shared" si="410"/>
        <v>0</v>
      </c>
      <c r="R900" s="389">
        <f t="shared" si="411"/>
        <v>0</v>
      </c>
      <c r="S900" s="389">
        <f t="shared" si="412"/>
        <v>0</v>
      </c>
      <c r="U900" s="389">
        <f t="shared" si="413"/>
        <v>0</v>
      </c>
      <c r="V900" s="389" t="b">
        <f t="shared" si="414"/>
        <v>0</v>
      </c>
      <c r="W900" s="389">
        <f t="shared" si="415"/>
        <v>0</v>
      </c>
      <c r="X900" s="389">
        <f t="shared" si="416"/>
        <v>0</v>
      </c>
      <c r="Y900" s="389">
        <f t="shared" ref="Y900:Y963" si="434">IFERROR(IF(K900&gt;=0,RANK(K900,$K:$K,1)/10000,RANK(K900,$K:$K,1)/10000),FALSE)</f>
        <v>1.0999999999999999E-2</v>
      </c>
      <c r="Z900" s="389">
        <f t="shared" si="417"/>
        <v>1.0999999999999999E-2</v>
      </c>
      <c r="AA900" s="389">
        <f t="shared" si="418"/>
        <v>0</v>
      </c>
      <c r="AB900" s="389">
        <f t="shared" si="419"/>
        <v>1E-4</v>
      </c>
      <c r="AC900" s="389">
        <f t="shared" si="420"/>
        <v>1E-4</v>
      </c>
      <c r="AD900" s="389">
        <f t="shared" si="421"/>
        <v>0</v>
      </c>
      <c r="AE900" s="389">
        <f t="shared" si="422"/>
        <v>0</v>
      </c>
      <c r="AG900" s="311" t="str">
        <f t="shared" si="423"/>
        <v>-</v>
      </c>
      <c r="AH900" s="453" t="str">
        <f t="shared" si="424"/>
        <v/>
      </c>
      <c r="AI900" s="453" t="str">
        <f t="shared" si="425"/>
        <v/>
      </c>
      <c r="AJ900" t="str">
        <f t="array" ref="AJ900">IF(AND(AI900&gt;1,G900&lt;&gt;""),INDEX(FS_teams,MATCH(1,(FS_Keys=AG900)*(FS_Points=I900)*(FS_teams&lt;&gt;G900),0)),"")</f>
        <v/>
      </c>
      <c r="AK900" s="390" t="str">
        <f t="array" ref="AK900">IF(AJ900&lt;&gt;"",INDEX(TM_Score1,MATCH(1,(TM_Events=D900)*(TM_Participant1=G900)*(TM_Participant2=AJ900),0)),"")</f>
        <v/>
      </c>
      <c r="AL900" s="390" t="str">
        <f t="array" ref="AL900">IF(AJ900&lt;&gt;"",INDEX(TM_Score1,MATCH(1,(TM_Events=D900)*(TM_Participant1=AJ900)*(TM_Participant2=G900),0)),"")</f>
        <v/>
      </c>
      <c r="AM900" s="389" t="str">
        <f t="array" ref="AM900">IF(ISNUMBER(AK900),INDEX(TM_Score2,MATCH(1,(TM_Events=D900)*(TM_Participant1=G900)*(TM_Participant2=AJ900),0)),"")</f>
        <v/>
      </c>
      <c r="AN900" s="389" t="str">
        <f t="array" ref="AN900">IF(ISNUMBER(AL900),INDEX(TM_Score2,MATCH(1,(TM_Events=D900)*(TM_Participant1=AJ900)*(TM_Participant2=G900),0)),"")</f>
        <v/>
      </c>
      <c r="AO900" s="389" t="str">
        <f t="shared" si="426"/>
        <v/>
      </c>
      <c r="AP900" s="389">
        <f t="shared" si="427"/>
        <v>0</v>
      </c>
      <c r="AQ900" s="389">
        <f t="shared" si="428"/>
        <v>0</v>
      </c>
      <c r="AR900" s="389">
        <f t="shared" si="429"/>
        <v>0</v>
      </c>
      <c r="AS900" s="453">
        <f t="shared" si="430"/>
        <v>0</v>
      </c>
      <c r="AT900" s="452">
        <f t="shared" si="431"/>
        <v>0</v>
      </c>
    </row>
    <row r="901" spans="2:46" ht="16" x14ac:dyDescent="0.2">
      <c r="B901"/>
      <c r="H901" s="387" t="str">
        <f t="shared" si="406"/>
        <v>0-0-0</v>
      </c>
      <c r="I901" s="389">
        <f t="shared" si="407"/>
        <v>0</v>
      </c>
      <c r="J901" s="455" t="str">
        <f t="shared" si="432"/>
        <v/>
      </c>
      <c r="K901" s="455">
        <f t="shared" si="408"/>
        <v>0</v>
      </c>
      <c r="L901" s="455">
        <f t="shared" si="433"/>
        <v>0</v>
      </c>
      <c r="M901" s="389" t="str">
        <f>IFERROR(IF(AD901&lt;=VLOOKUP(D901,Tournaments!$A$1:$B$1772,2,FALSE),"TRUE","FALSE"),"")</f>
        <v/>
      </c>
      <c r="N901" s="389">
        <v>1</v>
      </c>
      <c r="O901" s="389">
        <f t="shared" si="409"/>
        <v>0</v>
      </c>
      <c r="Q901" s="389">
        <f t="shared" si="410"/>
        <v>0</v>
      </c>
      <c r="R901" s="389">
        <f t="shared" si="411"/>
        <v>0</v>
      </c>
      <c r="S901" s="389">
        <f t="shared" si="412"/>
        <v>0</v>
      </c>
      <c r="U901" s="389">
        <f t="shared" si="413"/>
        <v>0</v>
      </c>
      <c r="V901" s="389" t="b">
        <f t="shared" si="414"/>
        <v>0</v>
      </c>
      <c r="W901" s="389">
        <f t="shared" si="415"/>
        <v>0</v>
      </c>
      <c r="X901" s="389">
        <f t="shared" si="416"/>
        <v>0</v>
      </c>
      <c r="Y901" s="389">
        <f t="shared" si="434"/>
        <v>1.0999999999999999E-2</v>
      </c>
      <c r="Z901" s="389">
        <f t="shared" si="417"/>
        <v>1.0999999999999999E-2</v>
      </c>
      <c r="AA901" s="389">
        <f t="shared" si="418"/>
        <v>0</v>
      </c>
      <c r="AB901" s="389">
        <f t="shared" si="419"/>
        <v>1E-4</v>
      </c>
      <c r="AC901" s="389">
        <f t="shared" si="420"/>
        <v>1E-4</v>
      </c>
      <c r="AD901" s="389">
        <f t="shared" si="421"/>
        <v>0</v>
      </c>
      <c r="AE901" s="389">
        <f t="shared" si="422"/>
        <v>0</v>
      </c>
      <c r="AG901" s="311" t="str">
        <f t="shared" si="423"/>
        <v>-</v>
      </c>
      <c r="AH901" s="453" t="str">
        <f t="shared" si="424"/>
        <v/>
      </c>
      <c r="AI901" s="453" t="str">
        <f t="shared" si="425"/>
        <v/>
      </c>
      <c r="AJ901" t="str">
        <f t="array" ref="AJ901">IF(AND(AI901&gt;1,G901&lt;&gt;""),INDEX(FS_teams,MATCH(1,(FS_Keys=AG901)*(FS_Points=I901)*(FS_teams&lt;&gt;G901),0)),"")</f>
        <v/>
      </c>
      <c r="AK901" s="390" t="str">
        <f t="array" ref="AK901">IF(AJ901&lt;&gt;"",INDEX(TM_Score1,MATCH(1,(TM_Events=D901)*(TM_Participant1=G901)*(TM_Participant2=AJ901),0)),"")</f>
        <v/>
      </c>
      <c r="AL901" s="390" t="str">
        <f t="array" ref="AL901">IF(AJ901&lt;&gt;"",INDEX(TM_Score1,MATCH(1,(TM_Events=D901)*(TM_Participant1=AJ901)*(TM_Participant2=G901),0)),"")</f>
        <v/>
      </c>
      <c r="AM901" s="389" t="str">
        <f t="array" ref="AM901">IF(ISNUMBER(AK901),INDEX(TM_Score2,MATCH(1,(TM_Events=D901)*(TM_Participant1=G901)*(TM_Participant2=AJ901),0)),"")</f>
        <v/>
      </c>
      <c r="AN901" s="389" t="str">
        <f t="array" ref="AN901">IF(ISNUMBER(AL901),INDEX(TM_Score2,MATCH(1,(TM_Events=D901)*(TM_Participant1=AJ901)*(TM_Participant2=G901),0)),"")</f>
        <v/>
      </c>
      <c r="AO901" s="389" t="str">
        <f t="shared" si="426"/>
        <v/>
      </c>
      <c r="AP901" s="389">
        <f t="shared" si="427"/>
        <v>0</v>
      </c>
      <c r="AQ901" s="389">
        <f t="shared" si="428"/>
        <v>0</v>
      </c>
      <c r="AR901" s="389">
        <f t="shared" si="429"/>
        <v>0</v>
      </c>
      <c r="AS901" s="453">
        <f t="shared" si="430"/>
        <v>0</v>
      </c>
      <c r="AT901" s="452">
        <f t="shared" si="431"/>
        <v>0</v>
      </c>
    </row>
    <row r="902" spans="2:46" ht="16" x14ac:dyDescent="0.2">
      <c r="B902"/>
      <c r="H902" s="387" t="str">
        <f t="shared" si="406"/>
        <v>0-0-0</v>
      </c>
      <c r="I902" s="389">
        <f t="shared" si="407"/>
        <v>0</v>
      </c>
      <c r="J902" s="455" t="str">
        <f t="shared" si="432"/>
        <v/>
      </c>
      <c r="K902" s="455">
        <f t="shared" si="408"/>
        <v>0</v>
      </c>
      <c r="L902" s="455">
        <f t="shared" si="433"/>
        <v>0</v>
      </c>
      <c r="M902" s="389" t="str">
        <f>IFERROR(IF(AD902&lt;=VLOOKUP(D902,Tournaments!$A$1:$B$1772,2,FALSE),"TRUE","FALSE"),"")</f>
        <v/>
      </c>
      <c r="N902" s="389">
        <v>1</v>
      </c>
      <c r="O902" s="389">
        <f t="shared" si="409"/>
        <v>0</v>
      </c>
      <c r="Q902" s="389">
        <f t="shared" si="410"/>
        <v>0</v>
      </c>
      <c r="R902" s="389">
        <f t="shared" si="411"/>
        <v>0</v>
      </c>
      <c r="S902" s="389">
        <f t="shared" si="412"/>
        <v>0</v>
      </c>
      <c r="U902" s="389">
        <f t="shared" si="413"/>
        <v>0</v>
      </c>
      <c r="V902" s="389" t="b">
        <f t="shared" si="414"/>
        <v>0</v>
      </c>
      <c r="W902" s="389">
        <f t="shared" si="415"/>
        <v>0</v>
      </c>
      <c r="X902" s="389">
        <f t="shared" si="416"/>
        <v>0</v>
      </c>
      <c r="Y902" s="389">
        <f t="shared" si="434"/>
        <v>1.0999999999999999E-2</v>
      </c>
      <c r="Z902" s="389">
        <f t="shared" si="417"/>
        <v>1.0999999999999999E-2</v>
      </c>
      <c r="AA902" s="389">
        <f t="shared" si="418"/>
        <v>0</v>
      </c>
      <c r="AB902" s="389">
        <f t="shared" si="419"/>
        <v>1E-4</v>
      </c>
      <c r="AC902" s="389">
        <f t="shared" si="420"/>
        <v>1E-4</v>
      </c>
      <c r="AD902" s="389">
        <f t="shared" si="421"/>
        <v>0</v>
      </c>
      <c r="AE902" s="389">
        <f t="shared" si="422"/>
        <v>0</v>
      </c>
      <c r="AG902" s="311" t="str">
        <f t="shared" si="423"/>
        <v>-</v>
      </c>
      <c r="AH902" s="453" t="str">
        <f t="shared" si="424"/>
        <v/>
      </c>
      <c r="AI902" s="453" t="str">
        <f t="shared" si="425"/>
        <v/>
      </c>
      <c r="AJ902" t="str">
        <f t="array" ref="AJ902">IF(AND(AI902&gt;1,G902&lt;&gt;""),INDEX(FS_teams,MATCH(1,(FS_Keys=AG902)*(FS_Points=I902)*(FS_teams&lt;&gt;G902),0)),"")</f>
        <v/>
      </c>
      <c r="AK902" s="390" t="str">
        <f t="array" ref="AK902">IF(AJ902&lt;&gt;"",INDEX(TM_Score1,MATCH(1,(TM_Events=D902)*(TM_Participant1=G902)*(TM_Participant2=AJ902),0)),"")</f>
        <v/>
      </c>
      <c r="AL902" s="390" t="str">
        <f t="array" ref="AL902">IF(AJ902&lt;&gt;"",INDEX(TM_Score1,MATCH(1,(TM_Events=D902)*(TM_Participant1=AJ902)*(TM_Participant2=G902),0)),"")</f>
        <v/>
      </c>
      <c r="AM902" s="389" t="str">
        <f t="array" ref="AM902">IF(ISNUMBER(AK902),INDEX(TM_Score2,MATCH(1,(TM_Events=D902)*(TM_Participant1=G902)*(TM_Participant2=AJ902),0)),"")</f>
        <v/>
      </c>
      <c r="AN902" s="389" t="str">
        <f t="array" ref="AN902">IF(ISNUMBER(AL902),INDEX(TM_Score2,MATCH(1,(TM_Events=D902)*(TM_Participant1=AJ902)*(TM_Participant2=G902),0)),"")</f>
        <v/>
      </c>
      <c r="AO902" s="389" t="str">
        <f t="shared" si="426"/>
        <v/>
      </c>
      <c r="AP902" s="389">
        <f t="shared" si="427"/>
        <v>0</v>
      </c>
      <c r="AQ902" s="389">
        <f t="shared" si="428"/>
        <v>0</v>
      </c>
      <c r="AR902" s="389">
        <f t="shared" si="429"/>
        <v>0</v>
      </c>
      <c r="AS902" s="453">
        <f t="shared" si="430"/>
        <v>0</v>
      </c>
      <c r="AT902" s="452">
        <f t="shared" si="431"/>
        <v>0</v>
      </c>
    </row>
    <row r="903" spans="2:46" ht="16" x14ac:dyDescent="0.2">
      <c r="B903"/>
      <c r="H903" s="387" t="str">
        <f t="shared" si="406"/>
        <v>0-0-0</v>
      </c>
      <c r="I903" s="389">
        <f t="shared" si="407"/>
        <v>0</v>
      </c>
      <c r="J903" s="455" t="str">
        <f t="shared" si="432"/>
        <v/>
      </c>
      <c r="K903" s="455">
        <f t="shared" si="408"/>
        <v>0</v>
      </c>
      <c r="L903" s="455">
        <f t="shared" si="433"/>
        <v>0</v>
      </c>
      <c r="M903" s="389" t="str">
        <f>IFERROR(IF(AD903&lt;=VLOOKUP(D903,Tournaments!$A$1:$B$1772,2,FALSE),"TRUE","FALSE"),"")</f>
        <v/>
      </c>
      <c r="N903" s="389">
        <v>1</v>
      </c>
      <c r="O903" s="389">
        <f t="shared" si="409"/>
        <v>0</v>
      </c>
      <c r="Q903" s="389">
        <f t="shared" si="410"/>
        <v>0</v>
      </c>
      <c r="R903" s="389">
        <f t="shared" si="411"/>
        <v>0</v>
      </c>
      <c r="S903" s="389">
        <f t="shared" si="412"/>
        <v>0</v>
      </c>
      <c r="U903" s="389">
        <f t="shared" si="413"/>
        <v>0</v>
      </c>
      <c r="V903" s="389" t="b">
        <f t="shared" si="414"/>
        <v>0</v>
      </c>
      <c r="W903" s="389">
        <f t="shared" si="415"/>
        <v>0</v>
      </c>
      <c r="X903" s="389">
        <f t="shared" si="416"/>
        <v>0</v>
      </c>
      <c r="Y903" s="389">
        <f t="shared" si="434"/>
        <v>1.0999999999999999E-2</v>
      </c>
      <c r="Z903" s="389">
        <f t="shared" si="417"/>
        <v>1.0999999999999999E-2</v>
      </c>
      <c r="AA903" s="389">
        <f t="shared" si="418"/>
        <v>0</v>
      </c>
      <c r="AB903" s="389">
        <f t="shared" si="419"/>
        <v>1E-4</v>
      </c>
      <c r="AC903" s="389">
        <f t="shared" si="420"/>
        <v>1E-4</v>
      </c>
      <c r="AD903" s="389">
        <f t="shared" si="421"/>
        <v>0</v>
      </c>
      <c r="AE903" s="389">
        <f t="shared" si="422"/>
        <v>0</v>
      </c>
      <c r="AG903" s="311" t="str">
        <f t="shared" si="423"/>
        <v>-</v>
      </c>
      <c r="AH903" s="453" t="str">
        <f t="shared" si="424"/>
        <v/>
      </c>
      <c r="AI903" s="453" t="str">
        <f t="shared" si="425"/>
        <v/>
      </c>
      <c r="AJ903" t="str">
        <f t="array" ref="AJ903">IF(AND(AI903&gt;1,G903&lt;&gt;""),INDEX(FS_teams,MATCH(1,(FS_Keys=AG903)*(FS_Points=I903)*(FS_teams&lt;&gt;G903),0)),"")</f>
        <v/>
      </c>
      <c r="AK903" s="390" t="str">
        <f t="array" ref="AK903">IF(AJ903&lt;&gt;"",INDEX(TM_Score1,MATCH(1,(TM_Events=D903)*(TM_Participant1=G903)*(TM_Participant2=AJ903),0)),"")</f>
        <v/>
      </c>
      <c r="AL903" s="390" t="str">
        <f t="array" ref="AL903">IF(AJ903&lt;&gt;"",INDEX(TM_Score1,MATCH(1,(TM_Events=D903)*(TM_Participant1=AJ903)*(TM_Participant2=G903),0)),"")</f>
        <v/>
      </c>
      <c r="AM903" s="389" t="str">
        <f t="array" ref="AM903">IF(ISNUMBER(AK903),INDEX(TM_Score2,MATCH(1,(TM_Events=D903)*(TM_Participant1=G903)*(TM_Participant2=AJ903),0)),"")</f>
        <v/>
      </c>
      <c r="AN903" s="389" t="str">
        <f t="array" ref="AN903">IF(ISNUMBER(AL903),INDEX(TM_Score2,MATCH(1,(TM_Events=D903)*(TM_Participant1=AJ903)*(TM_Participant2=G903),0)),"")</f>
        <v/>
      </c>
      <c r="AO903" s="389" t="str">
        <f t="shared" si="426"/>
        <v/>
      </c>
      <c r="AP903" s="389">
        <f t="shared" si="427"/>
        <v>0</v>
      </c>
      <c r="AQ903" s="389">
        <f t="shared" si="428"/>
        <v>0</v>
      </c>
      <c r="AR903" s="389">
        <f t="shared" si="429"/>
        <v>0</v>
      </c>
      <c r="AS903" s="453">
        <f t="shared" si="430"/>
        <v>0</v>
      </c>
      <c r="AT903" s="452">
        <f t="shared" si="431"/>
        <v>0</v>
      </c>
    </row>
    <row r="904" spans="2:46" ht="16" x14ac:dyDescent="0.2">
      <c r="B904"/>
      <c r="H904" s="387" t="str">
        <f t="shared" si="406"/>
        <v>0-0-0</v>
      </c>
      <c r="I904" s="389">
        <f t="shared" si="407"/>
        <v>0</v>
      </c>
      <c r="J904" s="455" t="str">
        <f t="shared" si="432"/>
        <v/>
      </c>
      <c r="K904" s="455">
        <f t="shared" si="408"/>
        <v>0</v>
      </c>
      <c r="L904" s="455">
        <f t="shared" si="433"/>
        <v>0</v>
      </c>
      <c r="M904" s="389" t="str">
        <f>IFERROR(IF(AD904&lt;=VLOOKUP(D904,Tournaments!$A$1:$B$1772,2,FALSE),"TRUE","FALSE"),"")</f>
        <v/>
      </c>
      <c r="N904" s="389">
        <v>1</v>
      </c>
      <c r="O904" s="389">
        <f t="shared" si="409"/>
        <v>0</v>
      </c>
      <c r="Q904" s="389">
        <f t="shared" si="410"/>
        <v>0</v>
      </c>
      <c r="R904" s="389">
        <f t="shared" si="411"/>
        <v>0</v>
      </c>
      <c r="S904" s="389">
        <f t="shared" si="412"/>
        <v>0</v>
      </c>
      <c r="U904" s="389">
        <f t="shared" si="413"/>
        <v>0</v>
      </c>
      <c r="V904" s="389" t="b">
        <f t="shared" si="414"/>
        <v>0</v>
      </c>
      <c r="W904" s="389">
        <f t="shared" si="415"/>
        <v>0</v>
      </c>
      <c r="X904" s="389">
        <f t="shared" si="416"/>
        <v>0</v>
      </c>
      <c r="Y904" s="389">
        <f t="shared" si="434"/>
        <v>1.0999999999999999E-2</v>
      </c>
      <c r="Z904" s="389">
        <f t="shared" si="417"/>
        <v>1.0999999999999999E-2</v>
      </c>
      <c r="AA904" s="389">
        <f t="shared" si="418"/>
        <v>0</v>
      </c>
      <c r="AB904" s="389">
        <f t="shared" si="419"/>
        <v>1E-4</v>
      </c>
      <c r="AC904" s="389">
        <f t="shared" si="420"/>
        <v>1E-4</v>
      </c>
      <c r="AD904" s="389">
        <f t="shared" si="421"/>
        <v>0</v>
      </c>
      <c r="AE904" s="389">
        <f t="shared" si="422"/>
        <v>0</v>
      </c>
      <c r="AG904" s="311" t="str">
        <f t="shared" si="423"/>
        <v>-</v>
      </c>
      <c r="AH904" s="453" t="str">
        <f t="shared" si="424"/>
        <v/>
      </c>
      <c r="AI904" s="453" t="str">
        <f t="shared" si="425"/>
        <v/>
      </c>
      <c r="AJ904" t="str">
        <f t="array" ref="AJ904">IF(AND(AI904&gt;1,G904&lt;&gt;""),INDEX(FS_teams,MATCH(1,(FS_Keys=AG904)*(FS_Points=I904)*(FS_teams&lt;&gt;G904),0)),"")</f>
        <v/>
      </c>
      <c r="AK904" s="390" t="str">
        <f t="array" ref="AK904">IF(AJ904&lt;&gt;"",INDEX(TM_Score1,MATCH(1,(TM_Events=D904)*(TM_Participant1=G904)*(TM_Participant2=AJ904),0)),"")</f>
        <v/>
      </c>
      <c r="AL904" s="390" t="str">
        <f t="array" ref="AL904">IF(AJ904&lt;&gt;"",INDEX(TM_Score1,MATCH(1,(TM_Events=D904)*(TM_Participant1=AJ904)*(TM_Participant2=G904),0)),"")</f>
        <v/>
      </c>
      <c r="AM904" s="389" t="str">
        <f t="array" ref="AM904">IF(ISNUMBER(AK904),INDEX(TM_Score2,MATCH(1,(TM_Events=D904)*(TM_Participant1=G904)*(TM_Participant2=AJ904),0)),"")</f>
        <v/>
      </c>
      <c r="AN904" s="389" t="str">
        <f t="array" ref="AN904">IF(ISNUMBER(AL904),INDEX(TM_Score2,MATCH(1,(TM_Events=D904)*(TM_Participant1=AJ904)*(TM_Participant2=G904),0)),"")</f>
        <v/>
      </c>
      <c r="AO904" s="389" t="str">
        <f t="shared" si="426"/>
        <v/>
      </c>
      <c r="AP904" s="389">
        <f t="shared" si="427"/>
        <v>0</v>
      </c>
      <c r="AQ904" s="389">
        <f t="shared" si="428"/>
        <v>0</v>
      </c>
      <c r="AR904" s="389">
        <f t="shared" si="429"/>
        <v>0</v>
      </c>
      <c r="AS904" s="453">
        <f t="shared" si="430"/>
        <v>0</v>
      </c>
      <c r="AT904" s="452">
        <f t="shared" si="431"/>
        <v>0</v>
      </c>
    </row>
    <row r="905" spans="2:46" ht="16" x14ac:dyDescent="0.2">
      <c r="B905"/>
      <c r="H905" s="387" t="str">
        <f t="shared" si="406"/>
        <v>0-0-0</v>
      </c>
      <c r="I905" s="389">
        <f t="shared" si="407"/>
        <v>0</v>
      </c>
      <c r="J905" s="455" t="str">
        <f t="shared" si="432"/>
        <v/>
      </c>
      <c r="K905" s="455">
        <f t="shared" si="408"/>
        <v>0</v>
      </c>
      <c r="L905" s="455">
        <f t="shared" si="433"/>
        <v>0</v>
      </c>
      <c r="M905" s="389" t="str">
        <f>IFERROR(IF(AD905&lt;=VLOOKUP(D905,Tournaments!$A$1:$B$1772,2,FALSE),"TRUE","FALSE"),"")</f>
        <v/>
      </c>
      <c r="N905" s="389">
        <v>1</v>
      </c>
      <c r="O905" s="389">
        <f t="shared" si="409"/>
        <v>0</v>
      </c>
      <c r="Q905" s="389">
        <f t="shared" si="410"/>
        <v>0</v>
      </c>
      <c r="R905" s="389">
        <f t="shared" si="411"/>
        <v>0</v>
      </c>
      <c r="S905" s="389">
        <f t="shared" si="412"/>
        <v>0</v>
      </c>
      <c r="U905" s="389">
        <f t="shared" si="413"/>
        <v>0</v>
      </c>
      <c r="V905" s="389" t="b">
        <f t="shared" si="414"/>
        <v>0</v>
      </c>
      <c r="W905" s="389">
        <f t="shared" si="415"/>
        <v>0</v>
      </c>
      <c r="X905" s="389">
        <f t="shared" si="416"/>
        <v>0</v>
      </c>
      <c r="Y905" s="389">
        <f t="shared" si="434"/>
        <v>1.0999999999999999E-2</v>
      </c>
      <c r="Z905" s="389">
        <f t="shared" si="417"/>
        <v>1.0999999999999999E-2</v>
      </c>
      <c r="AA905" s="389">
        <f t="shared" si="418"/>
        <v>0</v>
      </c>
      <c r="AB905" s="389">
        <f t="shared" si="419"/>
        <v>1E-4</v>
      </c>
      <c r="AC905" s="389">
        <f t="shared" si="420"/>
        <v>1E-4</v>
      </c>
      <c r="AD905" s="389">
        <f t="shared" si="421"/>
        <v>0</v>
      </c>
      <c r="AE905" s="389">
        <f t="shared" si="422"/>
        <v>0</v>
      </c>
      <c r="AG905" s="311" t="str">
        <f t="shared" si="423"/>
        <v>-</v>
      </c>
      <c r="AH905" s="453" t="str">
        <f t="shared" si="424"/>
        <v/>
      </c>
      <c r="AI905" s="453" t="str">
        <f t="shared" si="425"/>
        <v/>
      </c>
      <c r="AJ905" t="str">
        <f t="array" ref="AJ905">IF(AND(AI905&gt;1,G905&lt;&gt;""),INDEX(FS_teams,MATCH(1,(FS_Keys=AG905)*(FS_Points=I905)*(FS_teams&lt;&gt;G905),0)),"")</f>
        <v/>
      </c>
      <c r="AK905" s="390" t="str">
        <f t="array" ref="AK905">IF(AJ905&lt;&gt;"",INDEX(TM_Score1,MATCH(1,(TM_Events=D905)*(TM_Participant1=G905)*(TM_Participant2=AJ905),0)),"")</f>
        <v/>
      </c>
      <c r="AL905" s="390" t="str">
        <f t="array" ref="AL905">IF(AJ905&lt;&gt;"",INDEX(TM_Score1,MATCH(1,(TM_Events=D905)*(TM_Participant1=AJ905)*(TM_Participant2=G905),0)),"")</f>
        <v/>
      </c>
      <c r="AM905" s="389" t="str">
        <f t="array" ref="AM905">IF(ISNUMBER(AK905),INDEX(TM_Score2,MATCH(1,(TM_Events=D905)*(TM_Participant1=G905)*(TM_Participant2=AJ905),0)),"")</f>
        <v/>
      </c>
      <c r="AN905" s="389" t="str">
        <f t="array" ref="AN905">IF(ISNUMBER(AL905),INDEX(TM_Score2,MATCH(1,(TM_Events=D905)*(TM_Participant1=AJ905)*(TM_Participant2=G905),0)),"")</f>
        <v/>
      </c>
      <c r="AO905" s="389" t="str">
        <f t="shared" si="426"/>
        <v/>
      </c>
      <c r="AP905" s="389">
        <f t="shared" si="427"/>
        <v>0</v>
      </c>
      <c r="AQ905" s="389">
        <f t="shared" si="428"/>
        <v>0</v>
      </c>
      <c r="AR905" s="389">
        <f t="shared" si="429"/>
        <v>0</v>
      </c>
      <c r="AS905" s="453">
        <f t="shared" si="430"/>
        <v>0</v>
      </c>
      <c r="AT905" s="452">
        <f t="shared" si="431"/>
        <v>0</v>
      </c>
    </row>
    <row r="906" spans="2:46" ht="16" x14ac:dyDescent="0.2">
      <c r="B906"/>
      <c r="H906" s="387" t="str">
        <f t="shared" si="406"/>
        <v>0-0-0</v>
      </c>
      <c r="I906" s="389">
        <f t="shared" si="407"/>
        <v>0</v>
      </c>
      <c r="J906" s="455" t="str">
        <f t="shared" si="432"/>
        <v/>
      </c>
      <c r="K906" s="455">
        <f t="shared" si="408"/>
        <v>0</v>
      </c>
      <c r="L906" s="455">
        <f t="shared" si="433"/>
        <v>0</v>
      </c>
      <c r="M906" s="389" t="str">
        <f>IFERROR(IF(AD906&lt;=VLOOKUP(D906,Tournaments!$A$1:$B$1772,2,FALSE),"TRUE","FALSE"),"")</f>
        <v/>
      </c>
      <c r="N906" s="389">
        <v>1</v>
      </c>
      <c r="O906" s="389">
        <f t="shared" si="409"/>
        <v>0</v>
      </c>
      <c r="Q906" s="389">
        <f t="shared" si="410"/>
        <v>0</v>
      </c>
      <c r="R906" s="389">
        <f t="shared" si="411"/>
        <v>0</v>
      </c>
      <c r="S906" s="389">
        <f t="shared" si="412"/>
        <v>0</v>
      </c>
      <c r="U906" s="389">
        <f t="shared" si="413"/>
        <v>0</v>
      </c>
      <c r="V906" s="389" t="b">
        <f t="shared" si="414"/>
        <v>0</v>
      </c>
      <c r="W906" s="389">
        <f t="shared" si="415"/>
        <v>0</v>
      </c>
      <c r="X906" s="389">
        <f t="shared" si="416"/>
        <v>0</v>
      </c>
      <c r="Y906" s="389">
        <f t="shared" si="434"/>
        <v>1.0999999999999999E-2</v>
      </c>
      <c r="Z906" s="389">
        <f t="shared" si="417"/>
        <v>1.0999999999999999E-2</v>
      </c>
      <c r="AA906" s="389">
        <f t="shared" si="418"/>
        <v>0</v>
      </c>
      <c r="AB906" s="389">
        <f t="shared" si="419"/>
        <v>1E-4</v>
      </c>
      <c r="AC906" s="389">
        <f t="shared" si="420"/>
        <v>1E-4</v>
      </c>
      <c r="AD906" s="389">
        <f t="shared" si="421"/>
        <v>0</v>
      </c>
      <c r="AE906" s="389">
        <f t="shared" si="422"/>
        <v>0</v>
      </c>
      <c r="AG906" s="311" t="str">
        <f t="shared" si="423"/>
        <v>-</v>
      </c>
      <c r="AH906" s="453" t="str">
        <f t="shared" si="424"/>
        <v/>
      </c>
      <c r="AI906" s="453" t="str">
        <f t="shared" si="425"/>
        <v/>
      </c>
      <c r="AJ906" t="str">
        <f t="array" ref="AJ906">IF(AND(AI906&gt;1,G906&lt;&gt;""),INDEX(FS_teams,MATCH(1,(FS_Keys=AG906)*(FS_Points=I906)*(FS_teams&lt;&gt;G906),0)),"")</f>
        <v/>
      </c>
      <c r="AK906" s="390" t="str">
        <f t="array" ref="AK906">IF(AJ906&lt;&gt;"",INDEX(TM_Score1,MATCH(1,(TM_Events=D906)*(TM_Participant1=G906)*(TM_Participant2=AJ906),0)),"")</f>
        <v/>
      </c>
      <c r="AL906" s="390" t="str">
        <f t="array" ref="AL906">IF(AJ906&lt;&gt;"",INDEX(TM_Score1,MATCH(1,(TM_Events=D906)*(TM_Participant1=AJ906)*(TM_Participant2=G906),0)),"")</f>
        <v/>
      </c>
      <c r="AM906" s="389" t="str">
        <f t="array" ref="AM906">IF(ISNUMBER(AK906),INDEX(TM_Score2,MATCH(1,(TM_Events=D906)*(TM_Participant1=G906)*(TM_Participant2=AJ906),0)),"")</f>
        <v/>
      </c>
      <c r="AN906" s="389" t="str">
        <f t="array" ref="AN906">IF(ISNUMBER(AL906),INDEX(TM_Score2,MATCH(1,(TM_Events=D906)*(TM_Participant1=AJ906)*(TM_Participant2=G906),0)),"")</f>
        <v/>
      </c>
      <c r="AO906" s="389" t="str">
        <f t="shared" si="426"/>
        <v/>
      </c>
      <c r="AP906" s="389">
        <f t="shared" si="427"/>
        <v>0</v>
      </c>
      <c r="AQ906" s="389">
        <f t="shared" si="428"/>
        <v>0</v>
      </c>
      <c r="AR906" s="389">
        <f t="shared" si="429"/>
        <v>0</v>
      </c>
      <c r="AS906" s="453">
        <f t="shared" si="430"/>
        <v>0</v>
      </c>
      <c r="AT906" s="452">
        <f t="shared" si="431"/>
        <v>0</v>
      </c>
    </row>
    <row r="907" spans="2:46" ht="16" x14ac:dyDescent="0.2">
      <c r="B907"/>
      <c r="H907" s="387" t="str">
        <f t="shared" si="406"/>
        <v>0-0-0</v>
      </c>
      <c r="I907" s="389">
        <f t="shared" si="407"/>
        <v>0</v>
      </c>
      <c r="J907" s="455" t="str">
        <f t="shared" si="432"/>
        <v/>
      </c>
      <c r="K907" s="455">
        <f t="shared" si="408"/>
        <v>0</v>
      </c>
      <c r="L907" s="455">
        <f t="shared" si="433"/>
        <v>0</v>
      </c>
      <c r="M907" s="389" t="str">
        <f>IFERROR(IF(AD907&lt;=VLOOKUP(D907,Tournaments!$A$1:$B$1772,2,FALSE),"TRUE","FALSE"),"")</f>
        <v/>
      </c>
      <c r="N907" s="389">
        <v>1</v>
      </c>
      <c r="O907" s="389">
        <f t="shared" si="409"/>
        <v>0</v>
      </c>
      <c r="Q907" s="389">
        <f t="shared" si="410"/>
        <v>0</v>
      </c>
      <c r="R907" s="389">
        <f t="shared" si="411"/>
        <v>0</v>
      </c>
      <c r="S907" s="389">
        <f t="shared" si="412"/>
        <v>0</v>
      </c>
      <c r="U907" s="389">
        <f t="shared" si="413"/>
        <v>0</v>
      </c>
      <c r="V907" s="389" t="b">
        <f t="shared" si="414"/>
        <v>0</v>
      </c>
      <c r="W907" s="389">
        <f t="shared" si="415"/>
        <v>0</v>
      </c>
      <c r="X907" s="389">
        <f t="shared" si="416"/>
        <v>0</v>
      </c>
      <c r="Y907" s="389">
        <f t="shared" si="434"/>
        <v>1.0999999999999999E-2</v>
      </c>
      <c r="Z907" s="389">
        <f t="shared" si="417"/>
        <v>1.0999999999999999E-2</v>
      </c>
      <c r="AA907" s="389">
        <f t="shared" si="418"/>
        <v>0</v>
      </c>
      <c r="AB907" s="389">
        <f t="shared" si="419"/>
        <v>1E-4</v>
      </c>
      <c r="AC907" s="389">
        <f t="shared" si="420"/>
        <v>1E-4</v>
      </c>
      <c r="AD907" s="389">
        <f t="shared" si="421"/>
        <v>0</v>
      </c>
      <c r="AE907" s="389">
        <f t="shared" si="422"/>
        <v>0</v>
      </c>
      <c r="AG907" s="311" t="str">
        <f t="shared" si="423"/>
        <v>-</v>
      </c>
      <c r="AH907" s="453" t="str">
        <f t="shared" si="424"/>
        <v/>
      </c>
      <c r="AI907" s="453" t="str">
        <f t="shared" si="425"/>
        <v/>
      </c>
      <c r="AJ907" t="str">
        <f t="array" ref="AJ907">IF(AND(AI907&gt;1,G907&lt;&gt;""),INDEX(FS_teams,MATCH(1,(FS_Keys=AG907)*(FS_Points=I907)*(FS_teams&lt;&gt;G907),0)),"")</f>
        <v/>
      </c>
      <c r="AK907" s="390" t="str">
        <f t="array" ref="AK907">IF(AJ907&lt;&gt;"",INDEX(TM_Score1,MATCH(1,(TM_Events=D907)*(TM_Participant1=G907)*(TM_Participant2=AJ907),0)),"")</f>
        <v/>
      </c>
      <c r="AL907" s="390" t="str">
        <f t="array" ref="AL907">IF(AJ907&lt;&gt;"",INDEX(TM_Score1,MATCH(1,(TM_Events=D907)*(TM_Participant1=AJ907)*(TM_Participant2=G907),0)),"")</f>
        <v/>
      </c>
      <c r="AM907" s="389" t="str">
        <f t="array" ref="AM907">IF(ISNUMBER(AK907),INDEX(TM_Score2,MATCH(1,(TM_Events=D907)*(TM_Participant1=G907)*(TM_Participant2=AJ907),0)),"")</f>
        <v/>
      </c>
      <c r="AN907" s="389" t="str">
        <f t="array" ref="AN907">IF(ISNUMBER(AL907),INDEX(TM_Score2,MATCH(1,(TM_Events=D907)*(TM_Participant1=AJ907)*(TM_Participant2=G907),0)),"")</f>
        <v/>
      </c>
      <c r="AO907" s="389" t="str">
        <f t="shared" si="426"/>
        <v/>
      </c>
      <c r="AP907" s="389">
        <f t="shared" si="427"/>
        <v>0</v>
      </c>
      <c r="AQ907" s="389">
        <f t="shared" si="428"/>
        <v>0</v>
      </c>
      <c r="AR907" s="389">
        <f t="shared" si="429"/>
        <v>0</v>
      </c>
      <c r="AS907" s="453">
        <f t="shared" si="430"/>
        <v>0</v>
      </c>
      <c r="AT907" s="452">
        <f t="shared" si="431"/>
        <v>0</v>
      </c>
    </row>
    <row r="908" spans="2:46" ht="16" x14ac:dyDescent="0.2">
      <c r="B908"/>
      <c r="H908" s="387" t="str">
        <f t="shared" si="406"/>
        <v>0-0-0</v>
      </c>
      <c r="I908" s="389">
        <f t="shared" si="407"/>
        <v>0</v>
      </c>
      <c r="J908" s="455" t="str">
        <f t="shared" si="432"/>
        <v/>
      </c>
      <c r="K908" s="455">
        <f t="shared" si="408"/>
        <v>0</v>
      </c>
      <c r="L908" s="455">
        <f t="shared" si="433"/>
        <v>0</v>
      </c>
      <c r="M908" s="389" t="str">
        <f>IFERROR(IF(AD908&lt;=VLOOKUP(D908,Tournaments!$A$1:$B$1772,2,FALSE),"TRUE","FALSE"),"")</f>
        <v/>
      </c>
      <c r="N908" s="389">
        <v>1</v>
      </c>
      <c r="O908" s="389">
        <f t="shared" si="409"/>
        <v>0</v>
      </c>
      <c r="Q908" s="389">
        <f t="shared" si="410"/>
        <v>0</v>
      </c>
      <c r="R908" s="389">
        <f t="shared" si="411"/>
        <v>0</v>
      </c>
      <c r="S908" s="389">
        <f t="shared" si="412"/>
        <v>0</v>
      </c>
      <c r="U908" s="389">
        <f t="shared" si="413"/>
        <v>0</v>
      </c>
      <c r="V908" s="389" t="b">
        <f t="shared" si="414"/>
        <v>0</v>
      </c>
      <c r="W908" s="389">
        <f t="shared" si="415"/>
        <v>0</v>
      </c>
      <c r="X908" s="389">
        <f t="shared" si="416"/>
        <v>0</v>
      </c>
      <c r="Y908" s="389">
        <f t="shared" si="434"/>
        <v>1.0999999999999999E-2</v>
      </c>
      <c r="Z908" s="389">
        <f t="shared" si="417"/>
        <v>1.0999999999999999E-2</v>
      </c>
      <c r="AA908" s="389">
        <f t="shared" si="418"/>
        <v>0</v>
      </c>
      <c r="AB908" s="389">
        <f t="shared" si="419"/>
        <v>1E-4</v>
      </c>
      <c r="AC908" s="389">
        <f t="shared" si="420"/>
        <v>1E-4</v>
      </c>
      <c r="AD908" s="389">
        <f t="shared" si="421"/>
        <v>0</v>
      </c>
      <c r="AE908" s="389">
        <f t="shared" si="422"/>
        <v>0</v>
      </c>
      <c r="AG908" s="311" t="str">
        <f t="shared" si="423"/>
        <v>-</v>
      </c>
      <c r="AH908" s="453" t="str">
        <f t="shared" si="424"/>
        <v/>
      </c>
      <c r="AI908" s="453" t="str">
        <f t="shared" si="425"/>
        <v/>
      </c>
      <c r="AJ908" t="str">
        <f t="array" ref="AJ908">IF(AND(AI908&gt;1,G908&lt;&gt;""),INDEX(FS_teams,MATCH(1,(FS_Keys=AG908)*(FS_Points=I908)*(FS_teams&lt;&gt;G908),0)),"")</f>
        <v/>
      </c>
      <c r="AK908" s="390" t="str">
        <f t="array" ref="AK908">IF(AJ908&lt;&gt;"",INDEX(TM_Score1,MATCH(1,(TM_Events=D908)*(TM_Participant1=G908)*(TM_Participant2=AJ908),0)),"")</f>
        <v/>
      </c>
      <c r="AL908" s="390" t="str">
        <f t="array" ref="AL908">IF(AJ908&lt;&gt;"",INDEX(TM_Score1,MATCH(1,(TM_Events=D908)*(TM_Participant1=AJ908)*(TM_Participant2=G908),0)),"")</f>
        <v/>
      </c>
      <c r="AM908" s="389" t="str">
        <f t="array" ref="AM908">IF(ISNUMBER(AK908),INDEX(TM_Score2,MATCH(1,(TM_Events=D908)*(TM_Participant1=G908)*(TM_Participant2=AJ908),0)),"")</f>
        <v/>
      </c>
      <c r="AN908" s="389" t="str">
        <f t="array" ref="AN908">IF(ISNUMBER(AL908),INDEX(TM_Score2,MATCH(1,(TM_Events=D908)*(TM_Participant1=AJ908)*(TM_Participant2=G908),0)),"")</f>
        <v/>
      </c>
      <c r="AO908" s="389" t="str">
        <f t="shared" si="426"/>
        <v/>
      </c>
      <c r="AP908" s="389">
        <f t="shared" si="427"/>
        <v>0</v>
      </c>
      <c r="AQ908" s="389">
        <f t="shared" si="428"/>
        <v>0</v>
      </c>
      <c r="AR908" s="389">
        <f t="shared" si="429"/>
        <v>0</v>
      </c>
      <c r="AS908" s="453">
        <f t="shared" si="430"/>
        <v>0</v>
      </c>
      <c r="AT908" s="452">
        <f t="shared" si="431"/>
        <v>0</v>
      </c>
    </row>
    <row r="909" spans="2:46" ht="16" x14ac:dyDescent="0.2">
      <c r="B909"/>
      <c r="H909" s="387" t="str">
        <f t="shared" si="406"/>
        <v>0-0-0</v>
      </c>
      <c r="I909" s="389">
        <f t="shared" si="407"/>
        <v>0</v>
      </c>
      <c r="J909" s="455" t="str">
        <f t="shared" si="432"/>
        <v/>
      </c>
      <c r="K909" s="455">
        <f t="shared" si="408"/>
        <v>0</v>
      </c>
      <c r="L909" s="455">
        <f t="shared" si="433"/>
        <v>0</v>
      </c>
      <c r="M909" s="389" t="str">
        <f>IFERROR(IF(AD909&lt;=VLOOKUP(D909,Tournaments!$A$1:$B$1772,2,FALSE),"TRUE","FALSE"),"")</f>
        <v/>
      </c>
      <c r="N909" s="389">
        <v>1</v>
      </c>
      <c r="O909" s="389">
        <f t="shared" si="409"/>
        <v>0</v>
      </c>
      <c r="Q909" s="389">
        <f t="shared" si="410"/>
        <v>0</v>
      </c>
      <c r="R909" s="389">
        <f t="shared" si="411"/>
        <v>0</v>
      </c>
      <c r="S909" s="389">
        <f t="shared" si="412"/>
        <v>0</v>
      </c>
      <c r="U909" s="389">
        <f t="shared" si="413"/>
        <v>0</v>
      </c>
      <c r="V909" s="389" t="b">
        <f t="shared" si="414"/>
        <v>0</v>
      </c>
      <c r="W909" s="389">
        <f t="shared" si="415"/>
        <v>0</v>
      </c>
      <c r="X909" s="389">
        <f t="shared" si="416"/>
        <v>0</v>
      </c>
      <c r="Y909" s="389">
        <f t="shared" si="434"/>
        <v>1.0999999999999999E-2</v>
      </c>
      <c r="Z909" s="389">
        <f t="shared" si="417"/>
        <v>1.0999999999999999E-2</v>
      </c>
      <c r="AA909" s="389">
        <f t="shared" si="418"/>
        <v>0</v>
      </c>
      <c r="AB909" s="389">
        <f t="shared" si="419"/>
        <v>1E-4</v>
      </c>
      <c r="AC909" s="389">
        <f t="shared" si="420"/>
        <v>1E-4</v>
      </c>
      <c r="AD909" s="389">
        <f t="shared" si="421"/>
        <v>0</v>
      </c>
      <c r="AE909" s="389">
        <f t="shared" si="422"/>
        <v>0</v>
      </c>
      <c r="AG909" s="311" t="str">
        <f t="shared" si="423"/>
        <v>-</v>
      </c>
      <c r="AH909" s="453" t="str">
        <f t="shared" si="424"/>
        <v/>
      </c>
      <c r="AI909" s="453" t="str">
        <f t="shared" si="425"/>
        <v/>
      </c>
      <c r="AJ909" t="str">
        <f t="array" ref="AJ909">IF(AND(AI909&gt;1,G909&lt;&gt;""),INDEX(FS_teams,MATCH(1,(FS_Keys=AG909)*(FS_Points=I909)*(FS_teams&lt;&gt;G909),0)),"")</f>
        <v/>
      </c>
      <c r="AK909" s="390" t="str">
        <f t="array" ref="AK909">IF(AJ909&lt;&gt;"",INDEX(TM_Score1,MATCH(1,(TM_Events=D909)*(TM_Participant1=G909)*(TM_Participant2=AJ909),0)),"")</f>
        <v/>
      </c>
      <c r="AL909" s="390" t="str">
        <f t="array" ref="AL909">IF(AJ909&lt;&gt;"",INDEX(TM_Score1,MATCH(1,(TM_Events=D909)*(TM_Participant1=AJ909)*(TM_Participant2=G909),0)),"")</f>
        <v/>
      </c>
      <c r="AM909" s="389" t="str">
        <f t="array" ref="AM909">IF(ISNUMBER(AK909),INDEX(TM_Score2,MATCH(1,(TM_Events=D909)*(TM_Participant1=G909)*(TM_Participant2=AJ909),0)),"")</f>
        <v/>
      </c>
      <c r="AN909" s="389" t="str">
        <f t="array" ref="AN909">IF(ISNUMBER(AL909),INDEX(TM_Score2,MATCH(1,(TM_Events=D909)*(TM_Participant1=AJ909)*(TM_Participant2=G909),0)),"")</f>
        <v/>
      </c>
      <c r="AO909" s="389" t="str">
        <f t="shared" si="426"/>
        <v/>
      </c>
      <c r="AP909" s="389">
        <f t="shared" si="427"/>
        <v>0</v>
      </c>
      <c r="AQ909" s="389">
        <f t="shared" si="428"/>
        <v>0</v>
      </c>
      <c r="AR909" s="389">
        <f t="shared" si="429"/>
        <v>0</v>
      </c>
      <c r="AS909" s="453">
        <f t="shared" si="430"/>
        <v>0</v>
      </c>
      <c r="AT909" s="452">
        <f t="shared" si="431"/>
        <v>0</v>
      </c>
    </row>
    <row r="910" spans="2:46" ht="16" x14ac:dyDescent="0.2">
      <c r="B910"/>
      <c r="H910" s="387" t="str">
        <f t="shared" si="406"/>
        <v>0-0-0</v>
      </c>
      <c r="I910" s="389">
        <f t="shared" si="407"/>
        <v>0</v>
      </c>
      <c r="J910" s="455" t="str">
        <f t="shared" si="432"/>
        <v/>
      </c>
      <c r="K910" s="455">
        <f t="shared" si="408"/>
        <v>0</v>
      </c>
      <c r="L910" s="455">
        <f t="shared" si="433"/>
        <v>0</v>
      </c>
      <c r="M910" s="389" t="str">
        <f>IFERROR(IF(AD910&lt;=VLOOKUP(D910,Tournaments!$A$1:$B$1772,2,FALSE),"TRUE","FALSE"),"")</f>
        <v/>
      </c>
      <c r="N910" s="389">
        <v>1</v>
      </c>
      <c r="O910" s="389">
        <f t="shared" si="409"/>
        <v>0</v>
      </c>
      <c r="Q910" s="389">
        <f t="shared" si="410"/>
        <v>0</v>
      </c>
      <c r="R910" s="389">
        <f t="shared" si="411"/>
        <v>0</v>
      </c>
      <c r="S910" s="389">
        <f t="shared" si="412"/>
        <v>0</v>
      </c>
      <c r="U910" s="389">
        <f t="shared" si="413"/>
        <v>0</v>
      </c>
      <c r="V910" s="389" t="b">
        <f t="shared" si="414"/>
        <v>0</v>
      </c>
      <c r="W910" s="389">
        <f t="shared" si="415"/>
        <v>0</v>
      </c>
      <c r="X910" s="389">
        <f t="shared" si="416"/>
        <v>0</v>
      </c>
      <c r="Y910" s="389">
        <f t="shared" si="434"/>
        <v>1.0999999999999999E-2</v>
      </c>
      <c r="Z910" s="389">
        <f t="shared" si="417"/>
        <v>1.0999999999999999E-2</v>
      </c>
      <c r="AA910" s="389">
        <f t="shared" si="418"/>
        <v>0</v>
      </c>
      <c r="AB910" s="389">
        <f t="shared" si="419"/>
        <v>1E-4</v>
      </c>
      <c r="AC910" s="389">
        <f t="shared" si="420"/>
        <v>1E-4</v>
      </c>
      <c r="AD910" s="389">
        <f t="shared" si="421"/>
        <v>0</v>
      </c>
      <c r="AE910" s="389">
        <f t="shared" si="422"/>
        <v>0</v>
      </c>
      <c r="AG910" s="311" t="str">
        <f t="shared" si="423"/>
        <v>-</v>
      </c>
      <c r="AH910" s="453" t="str">
        <f t="shared" si="424"/>
        <v/>
      </c>
      <c r="AI910" s="453" t="str">
        <f t="shared" si="425"/>
        <v/>
      </c>
      <c r="AJ910" t="str">
        <f t="array" ref="AJ910">IF(AND(AI910&gt;1,G910&lt;&gt;""),INDEX(FS_teams,MATCH(1,(FS_Keys=AG910)*(FS_Points=I910)*(FS_teams&lt;&gt;G910),0)),"")</f>
        <v/>
      </c>
      <c r="AK910" s="390" t="str">
        <f t="array" ref="AK910">IF(AJ910&lt;&gt;"",INDEX(TM_Score1,MATCH(1,(TM_Events=D910)*(TM_Participant1=G910)*(TM_Participant2=AJ910),0)),"")</f>
        <v/>
      </c>
      <c r="AL910" s="390" t="str">
        <f t="array" ref="AL910">IF(AJ910&lt;&gt;"",INDEX(TM_Score1,MATCH(1,(TM_Events=D910)*(TM_Participant1=AJ910)*(TM_Participant2=G910),0)),"")</f>
        <v/>
      </c>
      <c r="AM910" s="389" t="str">
        <f t="array" ref="AM910">IF(ISNUMBER(AK910),INDEX(TM_Score2,MATCH(1,(TM_Events=D910)*(TM_Participant1=G910)*(TM_Participant2=AJ910),0)),"")</f>
        <v/>
      </c>
      <c r="AN910" s="389" t="str">
        <f t="array" ref="AN910">IF(ISNUMBER(AL910),INDEX(TM_Score2,MATCH(1,(TM_Events=D910)*(TM_Participant1=AJ910)*(TM_Participant2=G910),0)),"")</f>
        <v/>
      </c>
      <c r="AO910" s="389" t="str">
        <f t="shared" si="426"/>
        <v/>
      </c>
      <c r="AP910" s="389">
        <f t="shared" si="427"/>
        <v>0</v>
      </c>
      <c r="AQ910" s="389">
        <f t="shared" si="428"/>
        <v>0</v>
      </c>
      <c r="AR910" s="389">
        <f t="shared" si="429"/>
        <v>0</v>
      </c>
      <c r="AS910" s="453">
        <f t="shared" si="430"/>
        <v>0</v>
      </c>
      <c r="AT910" s="452">
        <f t="shared" si="431"/>
        <v>0</v>
      </c>
    </row>
    <row r="911" spans="2:46" ht="16" x14ac:dyDescent="0.2">
      <c r="B911"/>
      <c r="H911" s="387" t="str">
        <f t="shared" si="406"/>
        <v>0-0-0</v>
      </c>
      <c r="I911" s="389">
        <f t="shared" si="407"/>
        <v>0</v>
      </c>
      <c r="J911" s="455" t="str">
        <f t="shared" si="432"/>
        <v/>
      </c>
      <c r="K911" s="455">
        <f t="shared" si="408"/>
        <v>0</v>
      </c>
      <c r="L911" s="455">
        <f t="shared" si="433"/>
        <v>0</v>
      </c>
      <c r="M911" s="389" t="str">
        <f>IFERROR(IF(AD911&lt;=VLOOKUP(D911,Tournaments!$A$1:$B$1772,2,FALSE),"TRUE","FALSE"),"")</f>
        <v/>
      </c>
      <c r="N911" s="389">
        <v>1</v>
      </c>
      <c r="O911" s="389">
        <f t="shared" si="409"/>
        <v>0</v>
      </c>
      <c r="Q911" s="389">
        <f t="shared" si="410"/>
        <v>0</v>
      </c>
      <c r="R911" s="389">
        <f t="shared" si="411"/>
        <v>0</v>
      </c>
      <c r="S911" s="389">
        <f t="shared" si="412"/>
        <v>0</v>
      </c>
      <c r="U911" s="389">
        <f t="shared" si="413"/>
        <v>0</v>
      </c>
      <c r="V911" s="389" t="b">
        <f t="shared" si="414"/>
        <v>0</v>
      </c>
      <c r="W911" s="389">
        <f t="shared" si="415"/>
        <v>0</v>
      </c>
      <c r="X911" s="389">
        <f t="shared" si="416"/>
        <v>0</v>
      </c>
      <c r="Y911" s="389">
        <f t="shared" si="434"/>
        <v>1.0999999999999999E-2</v>
      </c>
      <c r="Z911" s="389">
        <f t="shared" si="417"/>
        <v>1.0999999999999999E-2</v>
      </c>
      <c r="AA911" s="389">
        <f t="shared" si="418"/>
        <v>0</v>
      </c>
      <c r="AB911" s="389">
        <f t="shared" si="419"/>
        <v>1E-4</v>
      </c>
      <c r="AC911" s="389">
        <f t="shared" si="420"/>
        <v>1E-4</v>
      </c>
      <c r="AD911" s="389">
        <f t="shared" si="421"/>
        <v>0</v>
      </c>
      <c r="AE911" s="389">
        <f t="shared" si="422"/>
        <v>0</v>
      </c>
      <c r="AG911" s="311" t="str">
        <f t="shared" si="423"/>
        <v>-</v>
      </c>
      <c r="AH911" s="453" t="str">
        <f t="shared" si="424"/>
        <v/>
      </c>
      <c r="AI911" s="453" t="str">
        <f t="shared" si="425"/>
        <v/>
      </c>
      <c r="AJ911" t="str">
        <f t="array" ref="AJ911">IF(AND(AI911&gt;1,G911&lt;&gt;""),INDEX(FS_teams,MATCH(1,(FS_Keys=AG911)*(FS_Points=I911)*(FS_teams&lt;&gt;G911),0)),"")</f>
        <v/>
      </c>
      <c r="AK911" s="390" t="str">
        <f t="array" ref="AK911">IF(AJ911&lt;&gt;"",INDEX(TM_Score1,MATCH(1,(TM_Events=D911)*(TM_Participant1=G911)*(TM_Participant2=AJ911),0)),"")</f>
        <v/>
      </c>
      <c r="AL911" s="390" t="str">
        <f t="array" ref="AL911">IF(AJ911&lt;&gt;"",INDEX(TM_Score1,MATCH(1,(TM_Events=D911)*(TM_Participant1=AJ911)*(TM_Participant2=G911),0)),"")</f>
        <v/>
      </c>
      <c r="AM911" s="389" t="str">
        <f t="array" ref="AM911">IF(ISNUMBER(AK911),INDEX(TM_Score2,MATCH(1,(TM_Events=D911)*(TM_Participant1=G911)*(TM_Participant2=AJ911),0)),"")</f>
        <v/>
      </c>
      <c r="AN911" s="389" t="str">
        <f t="array" ref="AN911">IF(ISNUMBER(AL911),INDEX(TM_Score2,MATCH(1,(TM_Events=D911)*(TM_Participant1=AJ911)*(TM_Participant2=G911),0)),"")</f>
        <v/>
      </c>
      <c r="AO911" s="389" t="str">
        <f t="shared" si="426"/>
        <v/>
      </c>
      <c r="AP911" s="389">
        <f t="shared" si="427"/>
        <v>0</v>
      </c>
      <c r="AQ911" s="389">
        <f t="shared" si="428"/>
        <v>0</v>
      </c>
      <c r="AR911" s="389">
        <f t="shared" si="429"/>
        <v>0</v>
      </c>
      <c r="AS911" s="453">
        <f t="shared" si="430"/>
        <v>0</v>
      </c>
      <c r="AT911" s="452">
        <f t="shared" si="431"/>
        <v>0</v>
      </c>
    </row>
    <row r="912" spans="2:46" ht="16" x14ac:dyDescent="0.2">
      <c r="B912"/>
      <c r="H912" s="387" t="str">
        <f t="shared" si="406"/>
        <v>0-0-0</v>
      </c>
      <c r="I912" s="389">
        <f t="shared" si="407"/>
        <v>0</v>
      </c>
      <c r="J912" s="455" t="str">
        <f t="shared" si="432"/>
        <v/>
      </c>
      <c r="K912" s="455">
        <f t="shared" si="408"/>
        <v>0</v>
      </c>
      <c r="L912" s="455">
        <f t="shared" si="433"/>
        <v>0</v>
      </c>
      <c r="M912" s="389" t="str">
        <f>IFERROR(IF(AD912&lt;=VLOOKUP(D912,Tournaments!$A$1:$B$1772,2,FALSE),"TRUE","FALSE"),"")</f>
        <v/>
      </c>
      <c r="N912" s="389">
        <v>1</v>
      </c>
      <c r="O912" s="389">
        <f t="shared" si="409"/>
        <v>0</v>
      </c>
      <c r="Q912" s="389">
        <f t="shared" si="410"/>
        <v>0</v>
      </c>
      <c r="R912" s="389">
        <f t="shared" si="411"/>
        <v>0</v>
      </c>
      <c r="S912" s="389">
        <f t="shared" si="412"/>
        <v>0</v>
      </c>
      <c r="U912" s="389">
        <f t="shared" si="413"/>
        <v>0</v>
      </c>
      <c r="V912" s="389" t="b">
        <f t="shared" si="414"/>
        <v>0</v>
      </c>
      <c r="W912" s="389">
        <f t="shared" si="415"/>
        <v>0</v>
      </c>
      <c r="X912" s="389">
        <f t="shared" si="416"/>
        <v>0</v>
      </c>
      <c r="Y912" s="389">
        <f t="shared" si="434"/>
        <v>1.0999999999999999E-2</v>
      </c>
      <c r="Z912" s="389">
        <f t="shared" si="417"/>
        <v>1.0999999999999999E-2</v>
      </c>
      <c r="AA912" s="389">
        <f t="shared" si="418"/>
        <v>0</v>
      </c>
      <c r="AB912" s="389">
        <f t="shared" si="419"/>
        <v>1E-4</v>
      </c>
      <c r="AC912" s="389">
        <f t="shared" si="420"/>
        <v>1E-4</v>
      </c>
      <c r="AD912" s="389">
        <f t="shared" si="421"/>
        <v>0</v>
      </c>
      <c r="AE912" s="389">
        <f t="shared" si="422"/>
        <v>0</v>
      </c>
      <c r="AG912" s="311" t="str">
        <f t="shared" si="423"/>
        <v>-</v>
      </c>
      <c r="AH912" s="453" t="str">
        <f t="shared" si="424"/>
        <v/>
      </c>
      <c r="AI912" s="453" t="str">
        <f t="shared" si="425"/>
        <v/>
      </c>
      <c r="AJ912" t="str">
        <f t="array" ref="AJ912">IF(AND(AI912&gt;1,G912&lt;&gt;""),INDEX(FS_teams,MATCH(1,(FS_Keys=AG912)*(FS_Points=I912)*(FS_teams&lt;&gt;G912),0)),"")</f>
        <v/>
      </c>
      <c r="AK912" s="390" t="str">
        <f t="array" ref="AK912">IF(AJ912&lt;&gt;"",INDEX(TM_Score1,MATCH(1,(TM_Events=D912)*(TM_Participant1=G912)*(TM_Participant2=AJ912),0)),"")</f>
        <v/>
      </c>
      <c r="AL912" s="390" t="str">
        <f t="array" ref="AL912">IF(AJ912&lt;&gt;"",INDEX(TM_Score1,MATCH(1,(TM_Events=D912)*(TM_Participant1=AJ912)*(TM_Participant2=G912),0)),"")</f>
        <v/>
      </c>
      <c r="AM912" s="389" t="str">
        <f t="array" ref="AM912">IF(ISNUMBER(AK912),INDEX(TM_Score2,MATCH(1,(TM_Events=D912)*(TM_Participant1=G912)*(TM_Participant2=AJ912),0)),"")</f>
        <v/>
      </c>
      <c r="AN912" s="389" t="str">
        <f t="array" ref="AN912">IF(ISNUMBER(AL912),INDEX(TM_Score2,MATCH(1,(TM_Events=D912)*(TM_Participant1=AJ912)*(TM_Participant2=G912),0)),"")</f>
        <v/>
      </c>
      <c r="AO912" s="389" t="str">
        <f t="shared" si="426"/>
        <v/>
      </c>
      <c r="AP912" s="389">
        <f t="shared" si="427"/>
        <v>0</v>
      </c>
      <c r="AQ912" s="389">
        <f t="shared" si="428"/>
        <v>0</v>
      </c>
      <c r="AR912" s="389">
        <f t="shared" si="429"/>
        <v>0</v>
      </c>
      <c r="AS912" s="453">
        <f t="shared" si="430"/>
        <v>0</v>
      </c>
      <c r="AT912" s="452">
        <f t="shared" si="431"/>
        <v>0</v>
      </c>
    </row>
    <row r="913" spans="2:46" ht="16" x14ac:dyDescent="0.2">
      <c r="B913"/>
      <c r="H913" s="387" t="str">
        <f t="shared" si="406"/>
        <v>0-0-0</v>
      </c>
      <c r="I913" s="389">
        <f t="shared" si="407"/>
        <v>0</v>
      </c>
      <c r="J913" s="455" t="str">
        <f t="shared" si="432"/>
        <v/>
      </c>
      <c r="K913" s="455">
        <f t="shared" si="408"/>
        <v>0</v>
      </c>
      <c r="L913" s="455">
        <f t="shared" si="433"/>
        <v>0</v>
      </c>
      <c r="M913" s="389" t="str">
        <f>IFERROR(IF(AD913&lt;=VLOOKUP(D913,Tournaments!$A$1:$B$1772,2,FALSE),"TRUE","FALSE"),"")</f>
        <v/>
      </c>
      <c r="N913" s="389">
        <v>1</v>
      </c>
      <c r="O913" s="389">
        <f t="shared" si="409"/>
        <v>0</v>
      </c>
      <c r="Q913" s="389">
        <f t="shared" si="410"/>
        <v>0</v>
      </c>
      <c r="R913" s="389">
        <f t="shared" si="411"/>
        <v>0</v>
      </c>
      <c r="S913" s="389">
        <f t="shared" si="412"/>
        <v>0</v>
      </c>
      <c r="U913" s="389">
        <f t="shared" si="413"/>
        <v>0</v>
      </c>
      <c r="V913" s="389" t="b">
        <f t="shared" si="414"/>
        <v>0</v>
      </c>
      <c r="W913" s="389">
        <f t="shared" si="415"/>
        <v>0</v>
      </c>
      <c r="X913" s="389">
        <f t="shared" si="416"/>
        <v>0</v>
      </c>
      <c r="Y913" s="389">
        <f t="shared" si="434"/>
        <v>1.0999999999999999E-2</v>
      </c>
      <c r="Z913" s="389">
        <f t="shared" si="417"/>
        <v>1.0999999999999999E-2</v>
      </c>
      <c r="AA913" s="389">
        <f t="shared" si="418"/>
        <v>0</v>
      </c>
      <c r="AB913" s="389">
        <f t="shared" si="419"/>
        <v>1E-4</v>
      </c>
      <c r="AC913" s="389">
        <f t="shared" si="420"/>
        <v>1E-4</v>
      </c>
      <c r="AD913" s="389">
        <f t="shared" si="421"/>
        <v>0</v>
      </c>
      <c r="AE913" s="389">
        <f t="shared" si="422"/>
        <v>0</v>
      </c>
      <c r="AG913" s="311" t="str">
        <f t="shared" si="423"/>
        <v>-</v>
      </c>
      <c r="AH913" s="453" t="str">
        <f t="shared" si="424"/>
        <v/>
      </c>
      <c r="AI913" s="453" t="str">
        <f t="shared" si="425"/>
        <v/>
      </c>
      <c r="AJ913" t="str">
        <f t="array" ref="AJ913">IF(AND(AI913&gt;1,G913&lt;&gt;""),INDEX(FS_teams,MATCH(1,(FS_Keys=AG913)*(FS_Points=I913)*(FS_teams&lt;&gt;G913),0)),"")</f>
        <v/>
      </c>
      <c r="AK913" s="390" t="str">
        <f t="array" ref="AK913">IF(AJ913&lt;&gt;"",INDEX(TM_Score1,MATCH(1,(TM_Events=D913)*(TM_Participant1=G913)*(TM_Participant2=AJ913),0)),"")</f>
        <v/>
      </c>
      <c r="AL913" s="390" t="str">
        <f t="array" ref="AL913">IF(AJ913&lt;&gt;"",INDEX(TM_Score1,MATCH(1,(TM_Events=D913)*(TM_Participant1=AJ913)*(TM_Participant2=G913),0)),"")</f>
        <v/>
      </c>
      <c r="AM913" s="389" t="str">
        <f t="array" ref="AM913">IF(ISNUMBER(AK913),INDEX(TM_Score2,MATCH(1,(TM_Events=D913)*(TM_Participant1=G913)*(TM_Participant2=AJ913),0)),"")</f>
        <v/>
      </c>
      <c r="AN913" s="389" t="str">
        <f t="array" ref="AN913">IF(ISNUMBER(AL913),INDEX(TM_Score2,MATCH(1,(TM_Events=D913)*(TM_Participant1=AJ913)*(TM_Participant2=G913),0)),"")</f>
        <v/>
      </c>
      <c r="AO913" s="389" t="str">
        <f t="shared" si="426"/>
        <v/>
      </c>
      <c r="AP913" s="389">
        <f t="shared" si="427"/>
        <v>0</v>
      </c>
      <c r="AQ913" s="389">
        <f t="shared" si="428"/>
        <v>0</v>
      </c>
      <c r="AR913" s="389">
        <f t="shared" si="429"/>
        <v>0</v>
      </c>
      <c r="AS913" s="453">
        <f t="shared" si="430"/>
        <v>0</v>
      </c>
      <c r="AT913" s="452">
        <f t="shared" si="431"/>
        <v>0</v>
      </c>
    </row>
    <row r="914" spans="2:46" ht="16" x14ac:dyDescent="0.2">
      <c r="B914"/>
      <c r="H914" s="387" t="str">
        <f t="shared" si="406"/>
        <v>0-0-0</v>
      </c>
      <c r="I914" s="389">
        <f t="shared" si="407"/>
        <v>0</v>
      </c>
      <c r="J914" s="455" t="str">
        <f t="shared" si="432"/>
        <v/>
      </c>
      <c r="K914" s="455">
        <f t="shared" si="408"/>
        <v>0</v>
      </c>
      <c r="L914" s="455">
        <f t="shared" si="433"/>
        <v>0</v>
      </c>
      <c r="M914" s="389" t="str">
        <f>IFERROR(IF(AD914&lt;=VLOOKUP(D914,Tournaments!$A$1:$B$1772,2,FALSE),"TRUE","FALSE"),"")</f>
        <v/>
      </c>
      <c r="N914" s="389">
        <v>1</v>
      </c>
      <c r="O914" s="389">
        <f t="shared" si="409"/>
        <v>0</v>
      </c>
      <c r="Q914" s="389">
        <f t="shared" si="410"/>
        <v>0</v>
      </c>
      <c r="R914" s="389">
        <f t="shared" si="411"/>
        <v>0</v>
      </c>
      <c r="S914" s="389">
        <f t="shared" si="412"/>
        <v>0</v>
      </c>
      <c r="U914" s="389">
        <f t="shared" si="413"/>
        <v>0</v>
      </c>
      <c r="V914" s="389" t="b">
        <f t="shared" si="414"/>
        <v>0</v>
      </c>
      <c r="W914" s="389">
        <f t="shared" si="415"/>
        <v>0</v>
      </c>
      <c r="X914" s="389">
        <f t="shared" si="416"/>
        <v>0</v>
      </c>
      <c r="Y914" s="389">
        <f t="shared" si="434"/>
        <v>1.0999999999999999E-2</v>
      </c>
      <c r="Z914" s="389">
        <f t="shared" si="417"/>
        <v>1.0999999999999999E-2</v>
      </c>
      <c r="AA914" s="389">
        <f t="shared" si="418"/>
        <v>0</v>
      </c>
      <c r="AB914" s="389">
        <f t="shared" si="419"/>
        <v>1E-4</v>
      </c>
      <c r="AC914" s="389">
        <f t="shared" si="420"/>
        <v>1E-4</v>
      </c>
      <c r="AD914" s="389">
        <f t="shared" si="421"/>
        <v>0</v>
      </c>
      <c r="AE914" s="389">
        <f t="shared" si="422"/>
        <v>0</v>
      </c>
      <c r="AG914" s="311" t="str">
        <f t="shared" si="423"/>
        <v>-</v>
      </c>
      <c r="AH914" s="453" t="str">
        <f t="shared" si="424"/>
        <v/>
      </c>
      <c r="AI914" s="453" t="str">
        <f t="shared" si="425"/>
        <v/>
      </c>
      <c r="AJ914" t="str">
        <f t="array" ref="AJ914">IF(AND(AI914&gt;1,G914&lt;&gt;""),INDEX(FS_teams,MATCH(1,(FS_Keys=AG914)*(FS_Points=I914)*(FS_teams&lt;&gt;G914),0)),"")</f>
        <v/>
      </c>
      <c r="AK914" s="390" t="str">
        <f t="array" ref="AK914">IF(AJ914&lt;&gt;"",INDEX(TM_Score1,MATCH(1,(TM_Events=D914)*(TM_Participant1=G914)*(TM_Participant2=AJ914),0)),"")</f>
        <v/>
      </c>
      <c r="AL914" s="390" t="str">
        <f t="array" ref="AL914">IF(AJ914&lt;&gt;"",INDEX(TM_Score1,MATCH(1,(TM_Events=D914)*(TM_Participant1=AJ914)*(TM_Participant2=G914),0)),"")</f>
        <v/>
      </c>
      <c r="AM914" s="389" t="str">
        <f t="array" ref="AM914">IF(ISNUMBER(AK914),INDEX(TM_Score2,MATCH(1,(TM_Events=D914)*(TM_Participant1=G914)*(TM_Participant2=AJ914),0)),"")</f>
        <v/>
      </c>
      <c r="AN914" s="389" t="str">
        <f t="array" ref="AN914">IF(ISNUMBER(AL914),INDEX(TM_Score2,MATCH(1,(TM_Events=D914)*(TM_Participant1=AJ914)*(TM_Participant2=G914),0)),"")</f>
        <v/>
      </c>
      <c r="AO914" s="389" t="str">
        <f t="shared" si="426"/>
        <v/>
      </c>
      <c r="AP914" s="389">
        <f t="shared" si="427"/>
        <v>0</v>
      </c>
      <c r="AQ914" s="389">
        <f t="shared" si="428"/>
        <v>0</v>
      </c>
      <c r="AR914" s="389">
        <f t="shared" si="429"/>
        <v>0</v>
      </c>
      <c r="AS914" s="453">
        <f t="shared" si="430"/>
        <v>0</v>
      </c>
      <c r="AT914" s="452">
        <f t="shared" si="431"/>
        <v>0</v>
      </c>
    </row>
    <row r="915" spans="2:46" ht="16" x14ac:dyDescent="0.2">
      <c r="B915"/>
      <c r="H915" s="387" t="str">
        <f t="shared" si="406"/>
        <v>0-0-0</v>
      </c>
      <c r="I915" s="389">
        <f t="shared" si="407"/>
        <v>0</v>
      </c>
      <c r="J915" s="455" t="str">
        <f t="shared" si="432"/>
        <v/>
      </c>
      <c r="K915" s="455">
        <f t="shared" si="408"/>
        <v>0</v>
      </c>
      <c r="L915" s="455">
        <f t="shared" si="433"/>
        <v>0</v>
      </c>
      <c r="M915" s="389" t="str">
        <f>IFERROR(IF(AD915&lt;=VLOOKUP(D915,Tournaments!$A$1:$B$1772,2,FALSE),"TRUE","FALSE"),"")</f>
        <v/>
      </c>
      <c r="N915" s="389">
        <v>1</v>
      </c>
      <c r="O915" s="389">
        <f t="shared" si="409"/>
        <v>0</v>
      </c>
      <c r="Q915" s="389">
        <f t="shared" si="410"/>
        <v>0</v>
      </c>
      <c r="R915" s="389">
        <f t="shared" si="411"/>
        <v>0</v>
      </c>
      <c r="S915" s="389">
        <f t="shared" si="412"/>
        <v>0</v>
      </c>
      <c r="U915" s="389">
        <f t="shared" si="413"/>
        <v>0</v>
      </c>
      <c r="V915" s="389" t="b">
        <f t="shared" si="414"/>
        <v>0</v>
      </c>
      <c r="W915" s="389">
        <f t="shared" si="415"/>
        <v>0</v>
      </c>
      <c r="X915" s="389">
        <f t="shared" si="416"/>
        <v>0</v>
      </c>
      <c r="Y915" s="389">
        <f t="shared" si="434"/>
        <v>1.0999999999999999E-2</v>
      </c>
      <c r="Z915" s="389">
        <f t="shared" si="417"/>
        <v>1.0999999999999999E-2</v>
      </c>
      <c r="AA915" s="389">
        <f t="shared" si="418"/>
        <v>0</v>
      </c>
      <c r="AB915" s="389">
        <f t="shared" si="419"/>
        <v>1E-4</v>
      </c>
      <c r="AC915" s="389">
        <f t="shared" si="420"/>
        <v>1E-4</v>
      </c>
      <c r="AD915" s="389">
        <f t="shared" si="421"/>
        <v>0</v>
      </c>
      <c r="AE915" s="389">
        <f t="shared" si="422"/>
        <v>0</v>
      </c>
      <c r="AG915" s="311" t="str">
        <f t="shared" si="423"/>
        <v>-</v>
      </c>
      <c r="AH915" s="453" t="str">
        <f t="shared" si="424"/>
        <v/>
      </c>
      <c r="AI915" s="453" t="str">
        <f t="shared" si="425"/>
        <v/>
      </c>
      <c r="AJ915" t="str">
        <f t="array" ref="AJ915">IF(AND(AI915&gt;1,G915&lt;&gt;""),INDEX(FS_teams,MATCH(1,(FS_Keys=AG915)*(FS_Points=I915)*(FS_teams&lt;&gt;G915),0)),"")</f>
        <v/>
      </c>
      <c r="AK915" s="390" t="str">
        <f t="array" ref="AK915">IF(AJ915&lt;&gt;"",INDEX(TM_Score1,MATCH(1,(TM_Events=D915)*(TM_Participant1=G915)*(TM_Participant2=AJ915),0)),"")</f>
        <v/>
      </c>
      <c r="AL915" s="390" t="str">
        <f t="array" ref="AL915">IF(AJ915&lt;&gt;"",INDEX(TM_Score1,MATCH(1,(TM_Events=D915)*(TM_Participant1=AJ915)*(TM_Participant2=G915),0)),"")</f>
        <v/>
      </c>
      <c r="AM915" s="389" t="str">
        <f t="array" ref="AM915">IF(ISNUMBER(AK915),INDEX(TM_Score2,MATCH(1,(TM_Events=D915)*(TM_Participant1=G915)*(TM_Participant2=AJ915),0)),"")</f>
        <v/>
      </c>
      <c r="AN915" s="389" t="str">
        <f t="array" ref="AN915">IF(ISNUMBER(AL915),INDEX(TM_Score2,MATCH(1,(TM_Events=D915)*(TM_Participant1=AJ915)*(TM_Participant2=G915),0)),"")</f>
        <v/>
      </c>
      <c r="AO915" s="389" t="str">
        <f t="shared" si="426"/>
        <v/>
      </c>
      <c r="AP915" s="389">
        <f t="shared" si="427"/>
        <v>0</v>
      </c>
      <c r="AQ915" s="389">
        <f t="shared" si="428"/>
        <v>0</v>
      </c>
      <c r="AR915" s="389">
        <f t="shared" si="429"/>
        <v>0</v>
      </c>
      <c r="AS915" s="453">
        <f t="shared" si="430"/>
        <v>0</v>
      </c>
      <c r="AT915" s="452">
        <f t="shared" si="431"/>
        <v>0</v>
      </c>
    </row>
    <row r="916" spans="2:46" ht="16" x14ac:dyDescent="0.2">
      <c r="B916"/>
      <c r="H916" s="387" t="str">
        <f t="shared" si="406"/>
        <v>0-0-0</v>
      </c>
      <c r="I916" s="389">
        <f t="shared" si="407"/>
        <v>0</v>
      </c>
      <c r="J916" s="455" t="str">
        <f t="shared" si="432"/>
        <v/>
      </c>
      <c r="K916" s="455">
        <f t="shared" si="408"/>
        <v>0</v>
      </c>
      <c r="L916" s="455">
        <f t="shared" si="433"/>
        <v>0</v>
      </c>
      <c r="M916" s="389" t="str">
        <f>IFERROR(IF(AD916&lt;=VLOOKUP(D916,Tournaments!$A$1:$B$1772,2,FALSE),"TRUE","FALSE"),"")</f>
        <v/>
      </c>
      <c r="N916" s="389">
        <v>1</v>
      </c>
      <c r="O916" s="389">
        <f t="shared" si="409"/>
        <v>0</v>
      </c>
      <c r="Q916" s="389">
        <f t="shared" si="410"/>
        <v>0</v>
      </c>
      <c r="R916" s="389">
        <f t="shared" si="411"/>
        <v>0</v>
      </c>
      <c r="S916" s="389">
        <f t="shared" si="412"/>
        <v>0</v>
      </c>
      <c r="U916" s="389">
        <f t="shared" si="413"/>
        <v>0</v>
      </c>
      <c r="V916" s="389" t="b">
        <f t="shared" si="414"/>
        <v>0</v>
      </c>
      <c r="W916" s="389">
        <f t="shared" si="415"/>
        <v>0</v>
      </c>
      <c r="X916" s="389">
        <f t="shared" si="416"/>
        <v>0</v>
      </c>
      <c r="Y916" s="389">
        <f t="shared" si="434"/>
        <v>1.0999999999999999E-2</v>
      </c>
      <c r="Z916" s="389">
        <f t="shared" si="417"/>
        <v>1.0999999999999999E-2</v>
      </c>
      <c r="AA916" s="389">
        <f t="shared" si="418"/>
        <v>0</v>
      </c>
      <c r="AB916" s="389">
        <f t="shared" si="419"/>
        <v>1E-4</v>
      </c>
      <c r="AC916" s="389">
        <f t="shared" si="420"/>
        <v>1E-4</v>
      </c>
      <c r="AD916" s="389">
        <f t="shared" si="421"/>
        <v>0</v>
      </c>
      <c r="AE916" s="389">
        <f t="shared" si="422"/>
        <v>0</v>
      </c>
      <c r="AG916" s="311" t="str">
        <f t="shared" si="423"/>
        <v>-</v>
      </c>
      <c r="AH916" s="453" t="str">
        <f t="shared" si="424"/>
        <v/>
      </c>
      <c r="AI916" s="453" t="str">
        <f t="shared" si="425"/>
        <v/>
      </c>
      <c r="AJ916" t="str">
        <f t="array" ref="AJ916">IF(AND(AI916&gt;1,G916&lt;&gt;""),INDEX(FS_teams,MATCH(1,(FS_Keys=AG916)*(FS_Points=I916)*(FS_teams&lt;&gt;G916),0)),"")</f>
        <v/>
      </c>
      <c r="AK916" s="390" t="str">
        <f t="array" ref="AK916">IF(AJ916&lt;&gt;"",INDEX(TM_Score1,MATCH(1,(TM_Events=D916)*(TM_Participant1=G916)*(TM_Participant2=AJ916),0)),"")</f>
        <v/>
      </c>
      <c r="AL916" s="390" t="str">
        <f t="array" ref="AL916">IF(AJ916&lt;&gt;"",INDEX(TM_Score1,MATCH(1,(TM_Events=D916)*(TM_Participant1=AJ916)*(TM_Participant2=G916),0)),"")</f>
        <v/>
      </c>
      <c r="AM916" s="389" t="str">
        <f t="array" ref="AM916">IF(ISNUMBER(AK916),INDEX(TM_Score2,MATCH(1,(TM_Events=D916)*(TM_Participant1=G916)*(TM_Participant2=AJ916),0)),"")</f>
        <v/>
      </c>
      <c r="AN916" s="389" t="str">
        <f t="array" ref="AN916">IF(ISNUMBER(AL916),INDEX(TM_Score2,MATCH(1,(TM_Events=D916)*(TM_Participant1=AJ916)*(TM_Participant2=G916),0)),"")</f>
        <v/>
      </c>
      <c r="AO916" s="389" t="str">
        <f t="shared" si="426"/>
        <v/>
      </c>
      <c r="AP916" s="389">
        <f t="shared" si="427"/>
        <v>0</v>
      </c>
      <c r="AQ916" s="389">
        <f t="shared" si="428"/>
        <v>0</v>
      </c>
      <c r="AR916" s="389">
        <f t="shared" si="429"/>
        <v>0</v>
      </c>
      <c r="AS916" s="453">
        <f t="shared" si="430"/>
        <v>0</v>
      </c>
      <c r="AT916" s="452">
        <f t="shared" si="431"/>
        <v>0</v>
      </c>
    </row>
    <row r="917" spans="2:46" ht="16" x14ac:dyDescent="0.2">
      <c r="B917"/>
      <c r="H917" s="387" t="str">
        <f t="shared" si="406"/>
        <v>0-0-0</v>
      </c>
      <c r="I917" s="389">
        <f t="shared" si="407"/>
        <v>0</v>
      </c>
      <c r="J917" s="455" t="str">
        <f t="shared" si="432"/>
        <v/>
      </c>
      <c r="K917" s="455">
        <f t="shared" si="408"/>
        <v>0</v>
      </c>
      <c r="L917" s="455">
        <f t="shared" si="433"/>
        <v>0</v>
      </c>
      <c r="M917" s="389" t="str">
        <f>IFERROR(IF(AD917&lt;=VLOOKUP(D917,Tournaments!$A$1:$B$1772,2,FALSE),"TRUE","FALSE"),"")</f>
        <v/>
      </c>
      <c r="N917" s="389">
        <v>1</v>
      </c>
      <c r="O917" s="389">
        <f t="shared" si="409"/>
        <v>0</v>
      </c>
      <c r="Q917" s="389">
        <f t="shared" si="410"/>
        <v>0</v>
      </c>
      <c r="R917" s="389">
        <f t="shared" si="411"/>
        <v>0</v>
      </c>
      <c r="S917" s="389">
        <f t="shared" si="412"/>
        <v>0</v>
      </c>
      <c r="U917" s="389">
        <f t="shared" si="413"/>
        <v>0</v>
      </c>
      <c r="V917" s="389" t="b">
        <f t="shared" si="414"/>
        <v>0</v>
      </c>
      <c r="W917" s="389">
        <f t="shared" si="415"/>
        <v>0</v>
      </c>
      <c r="X917" s="389">
        <f t="shared" si="416"/>
        <v>0</v>
      </c>
      <c r="Y917" s="389">
        <f t="shared" si="434"/>
        <v>1.0999999999999999E-2</v>
      </c>
      <c r="Z917" s="389">
        <f t="shared" si="417"/>
        <v>1.0999999999999999E-2</v>
      </c>
      <c r="AA917" s="389">
        <f t="shared" si="418"/>
        <v>0</v>
      </c>
      <c r="AB917" s="389">
        <f t="shared" si="419"/>
        <v>1E-4</v>
      </c>
      <c r="AC917" s="389">
        <f t="shared" si="420"/>
        <v>1E-4</v>
      </c>
      <c r="AD917" s="389">
        <f t="shared" si="421"/>
        <v>0</v>
      </c>
      <c r="AE917" s="389">
        <f t="shared" si="422"/>
        <v>0</v>
      </c>
      <c r="AG917" s="311" t="str">
        <f t="shared" si="423"/>
        <v>-</v>
      </c>
      <c r="AH917" s="453" t="str">
        <f t="shared" si="424"/>
        <v/>
      </c>
      <c r="AI917" s="453" t="str">
        <f t="shared" si="425"/>
        <v/>
      </c>
      <c r="AJ917" t="str">
        <f t="array" ref="AJ917">IF(AND(AI917&gt;1,G917&lt;&gt;""),INDEX(FS_teams,MATCH(1,(FS_Keys=AG917)*(FS_Points=I917)*(FS_teams&lt;&gt;G917),0)),"")</f>
        <v/>
      </c>
      <c r="AK917" s="390" t="str">
        <f t="array" ref="AK917">IF(AJ917&lt;&gt;"",INDEX(TM_Score1,MATCH(1,(TM_Events=D917)*(TM_Participant1=G917)*(TM_Participant2=AJ917),0)),"")</f>
        <v/>
      </c>
      <c r="AL917" s="390" t="str">
        <f t="array" ref="AL917">IF(AJ917&lt;&gt;"",INDEX(TM_Score1,MATCH(1,(TM_Events=D917)*(TM_Participant1=AJ917)*(TM_Participant2=G917),0)),"")</f>
        <v/>
      </c>
      <c r="AM917" s="389" t="str">
        <f t="array" ref="AM917">IF(ISNUMBER(AK917),INDEX(TM_Score2,MATCH(1,(TM_Events=D917)*(TM_Participant1=G917)*(TM_Participant2=AJ917),0)),"")</f>
        <v/>
      </c>
      <c r="AN917" s="389" t="str">
        <f t="array" ref="AN917">IF(ISNUMBER(AL917),INDEX(TM_Score2,MATCH(1,(TM_Events=D917)*(TM_Participant1=AJ917)*(TM_Participant2=G917),0)),"")</f>
        <v/>
      </c>
      <c r="AO917" s="389" t="str">
        <f t="shared" si="426"/>
        <v/>
      </c>
      <c r="AP917" s="389">
        <f t="shared" si="427"/>
        <v>0</v>
      </c>
      <c r="AQ917" s="389">
        <f t="shared" si="428"/>
        <v>0</v>
      </c>
      <c r="AR917" s="389">
        <f t="shared" si="429"/>
        <v>0</v>
      </c>
      <c r="AS917" s="453">
        <f t="shared" si="430"/>
        <v>0</v>
      </c>
      <c r="AT917" s="452">
        <f t="shared" si="431"/>
        <v>0</v>
      </c>
    </row>
    <row r="918" spans="2:46" ht="16" x14ac:dyDescent="0.2">
      <c r="B918"/>
      <c r="H918" s="387" t="str">
        <f t="shared" si="406"/>
        <v>0-0-0</v>
      </c>
      <c r="I918" s="389">
        <f t="shared" si="407"/>
        <v>0</v>
      </c>
      <c r="J918" s="455" t="str">
        <f t="shared" si="432"/>
        <v/>
      </c>
      <c r="K918" s="455">
        <f t="shared" si="408"/>
        <v>0</v>
      </c>
      <c r="L918" s="455">
        <f t="shared" si="433"/>
        <v>0</v>
      </c>
      <c r="M918" s="389" t="str">
        <f>IFERROR(IF(AD918&lt;=VLOOKUP(D918,Tournaments!$A$1:$B$1772,2,FALSE),"TRUE","FALSE"),"")</f>
        <v/>
      </c>
      <c r="N918" s="389">
        <v>1</v>
      </c>
      <c r="O918" s="389">
        <f t="shared" si="409"/>
        <v>0</v>
      </c>
      <c r="Q918" s="389">
        <f t="shared" si="410"/>
        <v>0</v>
      </c>
      <c r="R918" s="389">
        <f t="shared" si="411"/>
        <v>0</v>
      </c>
      <c r="S918" s="389">
        <f t="shared" si="412"/>
        <v>0</v>
      </c>
      <c r="U918" s="389">
        <f t="shared" si="413"/>
        <v>0</v>
      </c>
      <c r="V918" s="389" t="b">
        <f t="shared" si="414"/>
        <v>0</v>
      </c>
      <c r="W918" s="389">
        <f t="shared" si="415"/>
        <v>0</v>
      </c>
      <c r="X918" s="389">
        <f t="shared" si="416"/>
        <v>0</v>
      </c>
      <c r="Y918" s="389">
        <f t="shared" si="434"/>
        <v>1.0999999999999999E-2</v>
      </c>
      <c r="Z918" s="389">
        <f t="shared" si="417"/>
        <v>1.0999999999999999E-2</v>
      </c>
      <c r="AA918" s="389">
        <f t="shared" si="418"/>
        <v>0</v>
      </c>
      <c r="AB918" s="389">
        <f t="shared" si="419"/>
        <v>1E-4</v>
      </c>
      <c r="AC918" s="389">
        <f t="shared" si="420"/>
        <v>1E-4</v>
      </c>
      <c r="AD918" s="389">
        <f t="shared" si="421"/>
        <v>0</v>
      </c>
      <c r="AE918" s="389">
        <f t="shared" si="422"/>
        <v>0</v>
      </c>
      <c r="AG918" s="311" t="str">
        <f t="shared" si="423"/>
        <v>-</v>
      </c>
      <c r="AH918" s="453" t="str">
        <f t="shared" si="424"/>
        <v/>
      </c>
      <c r="AI918" s="453" t="str">
        <f t="shared" si="425"/>
        <v/>
      </c>
      <c r="AJ918" t="str">
        <f t="array" ref="AJ918">IF(AND(AI918&gt;1,G918&lt;&gt;""),INDEX(FS_teams,MATCH(1,(FS_Keys=AG918)*(FS_Points=I918)*(FS_teams&lt;&gt;G918),0)),"")</f>
        <v/>
      </c>
      <c r="AK918" s="390" t="str">
        <f t="array" ref="AK918">IF(AJ918&lt;&gt;"",INDEX(TM_Score1,MATCH(1,(TM_Events=D918)*(TM_Participant1=G918)*(TM_Participant2=AJ918),0)),"")</f>
        <v/>
      </c>
      <c r="AL918" s="390" t="str">
        <f t="array" ref="AL918">IF(AJ918&lt;&gt;"",INDEX(TM_Score1,MATCH(1,(TM_Events=D918)*(TM_Participant1=AJ918)*(TM_Participant2=G918),0)),"")</f>
        <v/>
      </c>
      <c r="AM918" s="389" t="str">
        <f t="array" ref="AM918">IF(ISNUMBER(AK918),INDEX(TM_Score2,MATCH(1,(TM_Events=D918)*(TM_Participant1=G918)*(TM_Participant2=AJ918),0)),"")</f>
        <v/>
      </c>
      <c r="AN918" s="389" t="str">
        <f t="array" ref="AN918">IF(ISNUMBER(AL918),INDEX(TM_Score2,MATCH(1,(TM_Events=D918)*(TM_Participant1=AJ918)*(TM_Participant2=G918),0)),"")</f>
        <v/>
      </c>
      <c r="AO918" s="389" t="str">
        <f t="shared" si="426"/>
        <v/>
      </c>
      <c r="AP918" s="389">
        <f t="shared" si="427"/>
        <v>0</v>
      </c>
      <c r="AQ918" s="389">
        <f t="shared" si="428"/>
        <v>0</v>
      </c>
      <c r="AR918" s="389">
        <f t="shared" si="429"/>
        <v>0</v>
      </c>
      <c r="AS918" s="453">
        <f t="shared" si="430"/>
        <v>0</v>
      </c>
      <c r="AT918" s="452">
        <f t="shared" si="431"/>
        <v>0</v>
      </c>
    </row>
    <row r="919" spans="2:46" ht="16" x14ac:dyDescent="0.2">
      <c r="B919"/>
      <c r="H919" s="387" t="str">
        <f t="shared" si="406"/>
        <v>0-0-0</v>
      </c>
      <c r="I919" s="389">
        <f t="shared" si="407"/>
        <v>0</v>
      </c>
      <c r="J919" s="455" t="str">
        <f t="shared" si="432"/>
        <v/>
      </c>
      <c r="K919" s="455">
        <f t="shared" si="408"/>
        <v>0</v>
      </c>
      <c r="L919" s="455">
        <f t="shared" si="433"/>
        <v>0</v>
      </c>
      <c r="M919" s="389" t="str">
        <f>IFERROR(IF(AD919&lt;=VLOOKUP(D919,Tournaments!$A$1:$B$1772,2,FALSE),"TRUE","FALSE"),"")</f>
        <v/>
      </c>
      <c r="N919" s="389">
        <v>1</v>
      </c>
      <c r="O919" s="389">
        <f t="shared" si="409"/>
        <v>0</v>
      </c>
      <c r="Q919" s="389">
        <f t="shared" si="410"/>
        <v>0</v>
      </c>
      <c r="R919" s="389">
        <f t="shared" si="411"/>
        <v>0</v>
      </c>
      <c r="S919" s="389">
        <f t="shared" si="412"/>
        <v>0</v>
      </c>
      <c r="U919" s="389">
        <f t="shared" si="413"/>
        <v>0</v>
      </c>
      <c r="V919" s="389" t="b">
        <f t="shared" si="414"/>
        <v>0</v>
      </c>
      <c r="W919" s="389">
        <f t="shared" si="415"/>
        <v>0</v>
      </c>
      <c r="X919" s="389">
        <f t="shared" si="416"/>
        <v>0</v>
      </c>
      <c r="Y919" s="389">
        <f t="shared" si="434"/>
        <v>1.0999999999999999E-2</v>
      </c>
      <c r="Z919" s="389">
        <f t="shared" si="417"/>
        <v>1.0999999999999999E-2</v>
      </c>
      <c r="AA919" s="389">
        <f t="shared" si="418"/>
        <v>0</v>
      </c>
      <c r="AB919" s="389">
        <f t="shared" si="419"/>
        <v>1E-4</v>
      </c>
      <c r="AC919" s="389">
        <f t="shared" si="420"/>
        <v>1E-4</v>
      </c>
      <c r="AD919" s="389">
        <f t="shared" si="421"/>
        <v>0</v>
      </c>
      <c r="AE919" s="389">
        <f t="shared" si="422"/>
        <v>0</v>
      </c>
      <c r="AG919" s="311" t="str">
        <f t="shared" si="423"/>
        <v>-</v>
      </c>
      <c r="AH919" s="453" t="str">
        <f t="shared" si="424"/>
        <v/>
      </c>
      <c r="AI919" s="453" t="str">
        <f t="shared" si="425"/>
        <v/>
      </c>
      <c r="AJ919" t="str">
        <f t="array" ref="AJ919">IF(AND(AI919&gt;1,G919&lt;&gt;""),INDEX(FS_teams,MATCH(1,(FS_Keys=AG919)*(FS_Points=I919)*(FS_teams&lt;&gt;G919),0)),"")</f>
        <v/>
      </c>
      <c r="AK919" s="390" t="str">
        <f t="array" ref="AK919">IF(AJ919&lt;&gt;"",INDEX(TM_Score1,MATCH(1,(TM_Events=D919)*(TM_Participant1=G919)*(TM_Participant2=AJ919),0)),"")</f>
        <v/>
      </c>
      <c r="AL919" s="390" t="str">
        <f t="array" ref="AL919">IF(AJ919&lt;&gt;"",INDEX(TM_Score1,MATCH(1,(TM_Events=D919)*(TM_Participant1=AJ919)*(TM_Participant2=G919),0)),"")</f>
        <v/>
      </c>
      <c r="AM919" s="389" t="str">
        <f t="array" ref="AM919">IF(ISNUMBER(AK919),INDEX(TM_Score2,MATCH(1,(TM_Events=D919)*(TM_Participant1=G919)*(TM_Participant2=AJ919),0)),"")</f>
        <v/>
      </c>
      <c r="AN919" s="389" t="str">
        <f t="array" ref="AN919">IF(ISNUMBER(AL919),INDEX(TM_Score2,MATCH(1,(TM_Events=D919)*(TM_Participant1=AJ919)*(TM_Participant2=G919),0)),"")</f>
        <v/>
      </c>
      <c r="AO919" s="389" t="str">
        <f t="shared" si="426"/>
        <v/>
      </c>
      <c r="AP919" s="389">
        <f t="shared" si="427"/>
        <v>0</v>
      </c>
      <c r="AQ919" s="389">
        <f t="shared" si="428"/>
        <v>0</v>
      </c>
      <c r="AR919" s="389">
        <f t="shared" si="429"/>
        <v>0</v>
      </c>
      <c r="AS919" s="453">
        <f t="shared" si="430"/>
        <v>0</v>
      </c>
      <c r="AT919" s="452">
        <f t="shared" si="431"/>
        <v>0</v>
      </c>
    </row>
    <row r="920" spans="2:46" ht="16" x14ac:dyDescent="0.2">
      <c r="B920"/>
      <c r="H920" s="387" t="str">
        <f t="shared" si="406"/>
        <v>0-0-0</v>
      </c>
      <c r="I920" s="389">
        <f t="shared" si="407"/>
        <v>0</v>
      </c>
      <c r="J920" s="455" t="str">
        <f t="shared" si="432"/>
        <v/>
      </c>
      <c r="K920" s="455">
        <f t="shared" si="408"/>
        <v>0</v>
      </c>
      <c r="L920" s="455">
        <f t="shared" si="433"/>
        <v>0</v>
      </c>
      <c r="M920" s="389" t="str">
        <f>IFERROR(IF(AD920&lt;=VLOOKUP(D920,Tournaments!$A$1:$B$1772,2,FALSE),"TRUE","FALSE"),"")</f>
        <v/>
      </c>
      <c r="N920" s="389">
        <v>1</v>
      </c>
      <c r="O920" s="389">
        <f t="shared" si="409"/>
        <v>0</v>
      </c>
      <c r="Q920" s="389">
        <f t="shared" si="410"/>
        <v>0</v>
      </c>
      <c r="R920" s="389">
        <f t="shared" si="411"/>
        <v>0</v>
      </c>
      <c r="S920" s="389">
        <f t="shared" si="412"/>
        <v>0</v>
      </c>
      <c r="U920" s="389">
        <f t="shared" si="413"/>
        <v>0</v>
      </c>
      <c r="V920" s="389" t="b">
        <f t="shared" si="414"/>
        <v>0</v>
      </c>
      <c r="W920" s="389">
        <f t="shared" si="415"/>
        <v>0</v>
      </c>
      <c r="X920" s="389">
        <f t="shared" si="416"/>
        <v>0</v>
      </c>
      <c r="Y920" s="389">
        <f t="shared" si="434"/>
        <v>1.0999999999999999E-2</v>
      </c>
      <c r="Z920" s="389">
        <f t="shared" si="417"/>
        <v>1.0999999999999999E-2</v>
      </c>
      <c r="AA920" s="389">
        <f t="shared" si="418"/>
        <v>0</v>
      </c>
      <c r="AB920" s="389">
        <f t="shared" si="419"/>
        <v>1E-4</v>
      </c>
      <c r="AC920" s="389">
        <f t="shared" si="420"/>
        <v>1E-4</v>
      </c>
      <c r="AD920" s="389">
        <f t="shared" si="421"/>
        <v>0</v>
      </c>
      <c r="AE920" s="389">
        <f t="shared" si="422"/>
        <v>0</v>
      </c>
      <c r="AG920" s="311" t="str">
        <f t="shared" si="423"/>
        <v>-</v>
      </c>
      <c r="AH920" s="453" t="str">
        <f t="shared" si="424"/>
        <v/>
      </c>
      <c r="AI920" s="453" t="str">
        <f t="shared" si="425"/>
        <v/>
      </c>
      <c r="AJ920" t="str">
        <f t="array" ref="AJ920">IF(AND(AI920&gt;1,G920&lt;&gt;""),INDEX(FS_teams,MATCH(1,(FS_Keys=AG920)*(FS_Points=I920)*(FS_teams&lt;&gt;G920),0)),"")</f>
        <v/>
      </c>
      <c r="AK920" s="390" t="str">
        <f t="array" ref="AK920">IF(AJ920&lt;&gt;"",INDEX(TM_Score1,MATCH(1,(TM_Events=D920)*(TM_Participant1=G920)*(TM_Participant2=AJ920),0)),"")</f>
        <v/>
      </c>
      <c r="AL920" s="390" t="str">
        <f t="array" ref="AL920">IF(AJ920&lt;&gt;"",INDEX(TM_Score1,MATCH(1,(TM_Events=D920)*(TM_Participant1=AJ920)*(TM_Participant2=G920),0)),"")</f>
        <v/>
      </c>
      <c r="AM920" s="389" t="str">
        <f t="array" ref="AM920">IF(ISNUMBER(AK920),INDEX(TM_Score2,MATCH(1,(TM_Events=D920)*(TM_Participant1=G920)*(TM_Participant2=AJ920),0)),"")</f>
        <v/>
      </c>
      <c r="AN920" s="389" t="str">
        <f t="array" ref="AN920">IF(ISNUMBER(AL920),INDEX(TM_Score2,MATCH(1,(TM_Events=D920)*(TM_Participant1=AJ920)*(TM_Participant2=G920),0)),"")</f>
        <v/>
      </c>
      <c r="AO920" s="389" t="str">
        <f t="shared" si="426"/>
        <v/>
      </c>
      <c r="AP920" s="389">
        <f t="shared" si="427"/>
        <v>0</v>
      </c>
      <c r="AQ920" s="389">
        <f t="shared" si="428"/>
        <v>0</v>
      </c>
      <c r="AR920" s="389">
        <f t="shared" si="429"/>
        <v>0</v>
      </c>
      <c r="AS920" s="453">
        <f t="shared" si="430"/>
        <v>0</v>
      </c>
      <c r="AT920" s="452">
        <f t="shared" si="431"/>
        <v>0</v>
      </c>
    </row>
    <row r="921" spans="2:46" ht="16" x14ac:dyDescent="0.2">
      <c r="B921"/>
      <c r="H921" s="387" t="str">
        <f t="shared" si="406"/>
        <v>0-0-0</v>
      </c>
      <c r="I921" s="389">
        <f t="shared" si="407"/>
        <v>0</v>
      </c>
      <c r="J921" s="455" t="str">
        <f t="shared" si="432"/>
        <v/>
      </c>
      <c r="K921" s="455">
        <f t="shared" si="408"/>
        <v>0</v>
      </c>
      <c r="L921" s="455">
        <f t="shared" si="433"/>
        <v>0</v>
      </c>
      <c r="M921" s="389" t="str">
        <f>IFERROR(IF(AD921&lt;=VLOOKUP(D921,Tournaments!$A$1:$B$1772,2,FALSE),"TRUE","FALSE"),"")</f>
        <v/>
      </c>
      <c r="N921" s="389">
        <v>1</v>
      </c>
      <c r="O921" s="389">
        <f t="shared" si="409"/>
        <v>0</v>
      </c>
      <c r="Q921" s="389">
        <f t="shared" si="410"/>
        <v>0</v>
      </c>
      <c r="R921" s="389">
        <f t="shared" si="411"/>
        <v>0</v>
      </c>
      <c r="S921" s="389">
        <f t="shared" si="412"/>
        <v>0</v>
      </c>
      <c r="U921" s="389">
        <f t="shared" si="413"/>
        <v>0</v>
      </c>
      <c r="V921" s="389" t="b">
        <f t="shared" si="414"/>
        <v>0</v>
      </c>
      <c r="W921" s="389">
        <f t="shared" si="415"/>
        <v>0</v>
      </c>
      <c r="X921" s="389">
        <f t="shared" si="416"/>
        <v>0</v>
      </c>
      <c r="Y921" s="389">
        <f t="shared" si="434"/>
        <v>1.0999999999999999E-2</v>
      </c>
      <c r="Z921" s="389">
        <f t="shared" si="417"/>
        <v>1.0999999999999999E-2</v>
      </c>
      <c r="AA921" s="389">
        <f t="shared" si="418"/>
        <v>0</v>
      </c>
      <c r="AB921" s="389">
        <f t="shared" si="419"/>
        <v>1E-4</v>
      </c>
      <c r="AC921" s="389">
        <f t="shared" si="420"/>
        <v>1E-4</v>
      </c>
      <c r="AD921" s="389">
        <f t="shared" si="421"/>
        <v>0</v>
      </c>
      <c r="AE921" s="389">
        <f t="shared" si="422"/>
        <v>0</v>
      </c>
      <c r="AG921" s="311" t="str">
        <f t="shared" si="423"/>
        <v>-</v>
      </c>
      <c r="AH921" s="453" t="str">
        <f t="shared" si="424"/>
        <v/>
      </c>
      <c r="AI921" s="453" t="str">
        <f t="shared" si="425"/>
        <v/>
      </c>
      <c r="AJ921" t="str">
        <f t="array" ref="AJ921">IF(AND(AI921&gt;1,G921&lt;&gt;""),INDEX(FS_teams,MATCH(1,(FS_Keys=AG921)*(FS_Points=I921)*(FS_teams&lt;&gt;G921),0)),"")</f>
        <v/>
      </c>
      <c r="AK921" s="390" t="str">
        <f t="array" ref="AK921">IF(AJ921&lt;&gt;"",INDEX(TM_Score1,MATCH(1,(TM_Events=D921)*(TM_Participant1=G921)*(TM_Participant2=AJ921),0)),"")</f>
        <v/>
      </c>
      <c r="AL921" s="390" t="str">
        <f t="array" ref="AL921">IF(AJ921&lt;&gt;"",INDEX(TM_Score1,MATCH(1,(TM_Events=D921)*(TM_Participant1=AJ921)*(TM_Participant2=G921),0)),"")</f>
        <v/>
      </c>
      <c r="AM921" s="389" t="str">
        <f t="array" ref="AM921">IF(ISNUMBER(AK921),INDEX(TM_Score2,MATCH(1,(TM_Events=D921)*(TM_Participant1=G921)*(TM_Participant2=AJ921),0)),"")</f>
        <v/>
      </c>
      <c r="AN921" s="389" t="str">
        <f t="array" ref="AN921">IF(ISNUMBER(AL921),INDEX(TM_Score2,MATCH(1,(TM_Events=D921)*(TM_Participant1=AJ921)*(TM_Participant2=G921),0)),"")</f>
        <v/>
      </c>
      <c r="AO921" s="389" t="str">
        <f t="shared" si="426"/>
        <v/>
      </c>
      <c r="AP921" s="389">
        <f t="shared" si="427"/>
        <v>0</v>
      </c>
      <c r="AQ921" s="389">
        <f t="shared" si="428"/>
        <v>0</v>
      </c>
      <c r="AR921" s="389">
        <f t="shared" si="429"/>
        <v>0</v>
      </c>
      <c r="AS921" s="453">
        <f t="shared" si="430"/>
        <v>0</v>
      </c>
      <c r="AT921" s="452">
        <f t="shared" si="431"/>
        <v>0</v>
      </c>
    </row>
    <row r="922" spans="2:46" ht="16" x14ac:dyDescent="0.2">
      <c r="B922"/>
      <c r="H922" s="387" t="str">
        <f t="shared" si="406"/>
        <v>0-0-0</v>
      </c>
      <c r="I922" s="389">
        <f t="shared" si="407"/>
        <v>0</v>
      </c>
      <c r="J922" s="455" t="str">
        <f t="shared" si="432"/>
        <v/>
      </c>
      <c r="K922" s="455">
        <f t="shared" si="408"/>
        <v>0</v>
      </c>
      <c r="L922" s="455">
        <f t="shared" si="433"/>
        <v>0</v>
      </c>
      <c r="M922" s="389" t="str">
        <f>IFERROR(IF(AD922&lt;=VLOOKUP(D922,Tournaments!$A$1:$B$1772,2,FALSE),"TRUE","FALSE"),"")</f>
        <v/>
      </c>
      <c r="N922" s="389">
        <v>1</v>
      </c>
      <c r="O922" s="389">
        <f t="shared" si="409"/>
        <v>0</v>
      </c>
      <c r="Q922" s="389">
        <f t="shared" si="410"/>
        <v>0</v>
      </c>
      <c r="R922" s="389">
        <f t="shared" si="411"/>
        <v>0</v>
      </c>
      <c r="S922" s="389">
        <f t="shared" si="412"/>
        <v>0</v>
      </c>
      <c r="U922" s="389">
        <f t="shared" si="413"/>
        <v>0</v>
      </c>
      <c r="V922" s="389" t="b">
        <f t="shared" si="414"/>
        <v>0</v>
      </c>
      <c r="W922" s="389">
        <f t="shared" si="415"/>
        <v>0</v>
      </c>
      <c r="X922" s="389">
        <f t="shared" si="416"/>
        <v>0</v>
      </c>
      <c r="Y922" s="389">
        <f t="shared" si="434"/>
        <v>1.0999999999999999E-2</v>
      </c>
      <c r="Z922" s="389">
        <f t="shared" si="417"/>
        <v>1.0999999999999999E-2</v>
      </c>
      <c r="AA922" s="389">
        <f t="shared" si="418"/>
        <v>0</v>
      </c>
      <c r="AB922" s="389">
        <f t="shared" si="419"/>
        <v>1E-4</v>
      </c>
      <c r="AC922" s="389">
        <f t="shared" si="420"/>
        <v>1E-4</v>
      </c>
      <c r="AD922" s="389">
        <f t="shared" si="421"/>
        <v>0</v>
      </c>
      <c r="AE922" s="389">
        <f t="shared" si="422"/>
        <v>0</v>
      </c>
      <c r="AG922" s="311" t="str">
        <f t="shared" si="423"/>
        <v>-</v>
      </c>
      <c r="AH922" s="453" t="str">
        <f t="shared" si="424"/>
        <v/>
      </c>
      <c r="AI922" s="453" t="str">
        <f t="shared" si="425"/>
        <v/>
      </c>
      <c r="AJ922" t="str">
        <f t="array" ref="AJ922">IF(AND(AI922&gt;1,G922&lt;&gt;""),INDEX(FS_teams,MATCH(1,(FS_Keys=AG922)*(FS_Points=I922)*(FS_teams&lt;&gt;G922),0)),"")</f>
        <v/>
      </c>
      <c r="AK922" s="390" t="str">
        <f t="array" ref="AK922">IF(AJ922&lt;&gt;"",INDEX(TM_Score1,MATCH(1,(TM_Events=D922)*(TM_Participant1=G922)*(TM_Participant2=AJ922),0)),"")</f>
        <v/>
      </c>
      <c r="AL922" s="390" t="str">
        <f t="array" ref="AL922">IF(AJ922&lt;&gt;"",INDEX(TM_Score1,MATCH(1,(TM_Events=D922)*(TM_Participant1=AJ922)*(TM_Participant2=G922),0)),"")</f>
        <v/>
      </c>
      <c r="AM922" s="389" t="str">
        <f t="array" ref="AM922">IF(ISNUMBER(AK922),INDEX(TM_Score2,MATCH(1,(TM_Events=D922)*(TM_Participant1=G922)*(TM_Participant2=AJ922),0)),"")</f>
        <v/>
      </c>
      <c r="AN922" s="389" t="str">
        <f t="array" ref="AN922">IF(ISNUMBER(AL922),INDEX(TM_Score2,MATCH(1,(TM_Events=D922)*(TM_Participant1=AJ922)*(TM_Participant2=G922),0)),"")</f>
        <v/>
      </c>
      <c r="AO922" s="389" t="str">
        <f t="shared" si="426"/>
        <v/>
      </c>
      <c r="AP922" s="389">
        <f t="shared" si="427"/>
        <v>0</v>
      </c>
      <c r="AQ922" s="389">
        <f t="shared" si="428"/>
        <v>0</v>
      </c>
      <c r="AR922" s="389">
        <f t="shared" si="429"/>
        <v>0</v>
      </c>
      <c r="AS922" s="453">
        <f t="shared" si="430"/>
        <v>0</v>
      </c>
      <c r="AT922" s="452">
        <f t="shared" si="431"/>
        <v>0</v>
      </c>
    </row>
    <row r="923" spans="2:46" ht="16" x14ac:dyDescent="0.2">
      <c r="B923"/>
      <c r="H923" s="387" t="str">
        <f t="shared" si="406"/>
        <v>0-0-0</v>
      </c>
      <c r="I923" s="389">
        <f t="shared" si="407"/>
        <v>0</v>
      </c>
      <c r="J923" s="455" t="str">
        <f t="shared" si="432"/>
        <v/>
      </c>
      <c r="K923" s="455">
        <f t="shared" si="408"/>
        <v>0</v>
      </c>
      <c r="L923" s="455">
        <f t="shared" si="433"/>
        <v>0</v>
      </c>
      <c r="M923" s="389" t="str">
        <f>IFERROR(IF(AD923&lt;=VLOOKUP(D923,Tournaments!$A$1:$B$1772,2,FALSE),"TRUE","FALSE"),"")</f>
        <v/>
      </c>
      <c r="N923" s="389">
        <v>1</v>
      </c>
      <c r="O923" s="389">
        <f t="shared" si="409"/>
        <v>0</v>
      </c>
      <c r="Q923" s="389">
        <f t="shared" si="410"/>
        <v>0</v>
      </c>
      <c r="R923" s="389">
        <f t="shared" si="411"/>
        <v>0</v>
      </c>
      <c r="S923" s="389">
        <f t="shared" si="412"/>
        <v>0</v>
      </c>
      <c r="U923" s="389">
        <f t="shared" si="413"/>
        <v>0</v>
      </c>
      <c r="V923" s="389" t="b">
        <f t="shared" si="414"/>
        <v>0</v>
      </c>
      <c r="W923" s="389">
        <f t="shared" si="415"/>
        <v>0</v>
      </c>
      <c r="X923" s="389">
        <f t="shared" si="416"/>
        <v>0</v>
      </c>
      <c r="Y923" s="389">
        <f t="shared" si="434"/>
        <v>1.0999999999999999E-2</v>
      </c>
      <c r="Z923" s="389">
        <f t="shared" si="417"/>
        <v>1.0999999999999999E-2</v>
      </c>
      <c r="AA923" s="389">
        <f t="shared" si="418"/>
        <v>0</v>
      </c>
      <c r="AB923" s="389">
        <f t="shared" si="419"/>
        <v>1E-4</v>
      </c>
      <c r="AC923" s="389">
        <f t="shared" si="420"/>
        <v>1E-4</v>
      </c>
      <c r="AD923" s="389">
        <f t="shared" si="421"/>
        <v>0</v>
      </c>
      <c r="AE923" s="389">
        <f t="shared" si="422"/>
        <v>0</v>
      </c>
      <c r="AG923" s="311" t="str">
        <f t="shared" si="423"/>
        <v>-</v>
      </c>
      <c r="AH923" s="453" t="str">
        <f t="shared" si="424"/>
        <v/>
      </c>
      <c r="AI923" s="453" t="str">
        <f t="shared" si="425"/>
        <v/>
      </c>
      <c r="AJ923" t="str">
        <f t="array" ref="AJ923">IF(AND(AI923&gt;1,G923&lt;&gt;""),INDEX(FS_teams,MATCH(1,(FS_Keys=AG923)*(FS_Points=I923)*(FS_teams&lt;&gt;G923),0)),"")</f>
        <v/>
      </c>
      <c r="AK923" s="390" t="str">
        <f t="array" ref="AK923">IF(AJ923&lt;&gt;"",INDEX(TM_Score1,MATCH(1,(TM_Events=D923)*(TM_Participant1=G923)*(TM_Participant2=AJ923),0)),"")</f>
        <v/>
      </c>
      <c r="AL923" s="390" t="str">
        <f t="array" ref="AL923">IF(AJ923&lt;&gt;"",INDEX(TM_Score1,MATCH(1,(TM_Events=D923)*(TM_Participant1=AJ923)*(TM_Participant2=G923),0)),"")</f>
        <v/>
      </c>
      <c r="AM923" s="389" t="str">
        <f t="array" ref="AM923">IF(ISNUMBER(AK923),INDEX(TM_Score2,MATCH(1,(TM_Events=D923)*(TM_Participant1=G923)*(TM_Participant2=AJ923),0)),"")</f>
        <v/>
      </c>
      <c r="AN923" s="389" t="str">
        <f t="array" ref="AN923">IF(ISNUMBER(AL923),INDEX(TM_Score2,MATCH(1,(TM_Events=D923)*(TM_Participant1=AJ923)*(TM_Participant2=G923),0)),"")</f>
        <v/>
      </c>
      <c r="AO923" s="389" t="str">
        <f t="shared" si="426"/>
        <v/>
      </c>
      <c r="AP923" s="389">
        <f t="shared" si="427"/>
        <v>0</v>
      </c>
      <c r="AQ923" s="389">
        <f t="shared" si="428"/>
        <v>0</v>
      </c>
      <c r="AR923" s="389">
        <f t="shared" si="429"/>
        <v>0</v>
      </c>
      <c r="AS923" s="453">
        <f t="shared" si="430"/>
        <v>0</v>
      </c>
      <c r="AT923" s="452">
        <f t="shared" si="431"/>
        <v>0</v>
      </c>
    </row>
    <row r="924" spans="2:46" ht="16" x14ac:dyDescent="0.2">
      <c r="B924"/>
      <c r="H924" s="387" t="str">
        <f t="shared" si="406"/>
        <v>0-0-0</v>
      </c>
      <c r="I924" s="389">
        <f t="shared" si="407"/>
        <v>0</v>
      </c>
      <c r="J924" s="455" t="str">
        <f t="shared" si="432"/>
        <v/>
      </c>
      <c r="K924" s="455">
        <f t="shared" si="408"/>
        <v>0</v>
      </c>
      <c r="L924" s="455">
        <f t="shared" si="433"/>
        <v>0</v>
      </c>
      <c r="M924" s="389" t="str">
        <f>IFERROR(IF(AD924&lt;=VLOOKUP(D924,Tournaments!$A$1:$B$1772,2,FALSE),"TRUE","FALSE"),"")</f>
        <v/>
      </c>
      <c r="N924" s="389">
        <v>1</v>
      </c>
      <c r="O924" s="389">
        <f t="shared" si="409"/>
        <v>0</v>
      </c>
      <c r="Q924" s="389">
        <f t="shared" si="410"/>
        <v>0</v>
      </c>
      <c r="R924" s="389">
        <f t="shared" si="411"/>
        <v>0</v>
      </c>
      <c r="S924" s="389">
        <f t="shared" si="412"/>
        <v>0</v>
      </c>
      <c r="U924" s="389">
        <f t="shared" si="413"/>
        <v>0</v>
      </c>
      <c r="V924" s="389" t="b">
        <f t="shared" si="414"/>
        <v>0</v>
      </c>
      <c r="W924" s="389">
        <f t="shared" si="415"/>
        <v>0</v>
      </c>
      <c r="X924" s="389">
        <f t="shared" si="416"/>
        <v>0</v>
      </c>
      <c r="Y924" s="389">
        <f t="shared" si="434"/>
        <v>1.0999999999999999E-2</v>
      </c>
      <c r="Z924" s="389">
        <f t="shared" si="417"/>
        <v>1.0999999999999999E-2</v>
      </c>
      <c r="AA924" s="389">
        <f t="shared" si="418"/>
        <v>0</v>
      </c>
      <c r="AB924" s="389">
        <f t="shared" si="419"/>
        <v>1E-4</v>
      </c>
      <c r="AC924" s="389">
        <f t="shared" si="420"/>
        <v>1E-4</v>
      </c>
      <c r="AD924" s="389">
        <f t="shared" si="421"/>
        <v>0</v>
      </c>
      <c r="AE924" s="389">
        <f t="shared" si="422"/>
        <v>0</v>
      </c>
      <c r="AG924" s="311" t="str">
        <f t="shared" si="423"/>
        <v>-</v>
      </c>
      <c r="AH924" s="453" t="str">
        <f t="shared" si="424"/>
        <v/>
      </c>
      <c r="AI924" s="453" t="str">
        <f t="shared" si="425"/>
        <v/>
      </c>
      <c r="AJ924" t="str">
        <f t="array" ref="AJ924">IF(AND(AI924&gt;1,G924&lt;&gt;""),INDEX(FS_teams,MATCH(1,(FS_Keys=AG924)*(FS_Points=I924)*(FS_teams&lt;&gt;G924),0)),"")</f>
        <v/>
      </c>
      <c r="AK924" s="390" t="str">
        <f t="array" ref="AK924">IF(AJ924&lt;&gt;"",INDEX(TM_Score1,MATCH(1,(TM_Events=D924)*(TM_Participant1=G924)*(TM_Participant2=AJ924),0)),"")</f>
        <v/>
      </c>
      <c r="AL924" s="390" t="str">
        <f t="array" ref="AL924">IF(AJ924&lt;&gt;"",INDEX(TM_Score1,MATCH(1,(TM_Events=D924)*(TM_Participant1=AJ924)*(TM_Participant2=G924),0)),"")</f>
        <v/>
      </c>
      <c r="AM924" s="389" t="str">
        <f t="array" ref="AM924">IF(ISNUMBER(AK924),INDEX(TM_Score2,MATCH(1,(TM_Events=D924)*(TM_Participant1=G924)*(TM_Participant2=AJ924),0)),"")</f>
        <v/>
      </c>
      <c r="AN924" s="389" t="str">
        <f t="array" ref="AN924">IF(ISNUMBER(AL924),INDEX(TM_Score2,MATCH(1,(TM_Events=D924)*(TM_Participant1=AJ924)*(TM_Participant2=G924),0)),"")</f>
        <v/>
      </c>
      <c r="AO924" s="389" t="str">
        <f t="shared" si="426"/>
        <v/>
      </c>
      <c r="AP924" s="389">
        <f t="shared" si="427"/>
        <v>0</v>
      </c>
      <c r="AQ924" s="389">
        <f t="shared" si="428"/>
        <v>0</v>
      </c>
      <c r="AR924" s="389">
        <f t="shared" si="429"/>
        <v>0</v>
      </c>
      <c r="AS924" s="453">
        <f t="shared" si="430"/>
        <v>0</v>
      </c>
      <c r="AT924" s="452">
        <f t="shared" si="431"/>
        <v>0</v>
      </c>
    </row>
    <row r="925" spans="2:46" ht="16" x14ac:dyDescent="0.2">
      <c r="B925"/>
      <c r="H925" s="387" t="str">
        <f t="shared" si="406"/>
        <v>0-0-0</v>
      </c>
      <c r="I925" s="389">
        <f t="shared" si="407"/>
        <v>0</v>
      </c>
      <c r="J925" s="455" t="str">
        <f t="shared" si="432"/>
        <v/>
      </c>
      <c r="K925" s="455">
        <f t="shared" si="408"/>
        <v>0</v>
      </c>
      <c r="L925" s="455">
        <f t="shared" si="433"/>
        <v>0</v>
      </c>
      <c r="M925" s="389" t="str">
        <f>IFERROR(IF(AD925&lt;=VLOOKUP(D925,Tournaments!$A$1:$B$1772,2,FALSE),"TRUE","FALSE"),"")</f>
        <v/>
      </c>
      <c r="N925" s="389">
        <v>1</v>
      </c>
      <c r="O925" s="389">
        <f t="shared" si="409"/>
        <v>0</v>
      </c>
      <c r="Q925" s="389">
        <f t="shared" si="410"/>
        <v>0</v>
      </c>
      <c r="R925" s="389">
        <f t="shared" si="411"/>
        <v>0</v>
      </c>
      <c r="S925" s="389">
        <f t="shared" si="412"/>
        <v>0</v>
      </c>
      <c r="U925" s="389">
        <f t="shared" si="413"/>
        <v>0</v>
      </c>
      <c r="V925" s="389" t="b">
        <f t="shared" si="414"/>
        <v>0</v>
      </c>
      <c r="W925" s="389">
        <f t="shared" si="415"/>
        <v>0</v>
      </c>
      <c r="X925" s="389">
        <f t="shared" si="416"/>
        <v>0</v>
      </c>
      <c r="Y925" s="389">
        <f t="shared" si="434"/>
        <v>1.0999999999999999E-2</v>
      </c>
      <c r="Z925" s="389">
        <f t="shared" si="417"/>
        <v>1.0999999999999999E-2</v>
      </c>
      <c r="AA925" s="389">
        <f t="shared" si="418"/>
        <v>0</v>
      </c>
      <c r="AB925" s="389">
        <f t="shared" si="419"/>
        <v>1E-4</v>
      </c>
      <c r="AC925" s="389">
        <f t="shared" si="420"/>
        <v>1E-4</v>
      </c>
      <c r="AD925" s="389">
        <f t="shared" si="421"/>
        <v>0</v>
      </c>
      <c r="AE925" s="389">
        <f t="shared" si="422"/>
        <v>0</v>
      </c>
      <c r="AG925" s="311" t="str">
        <f t="shared" si="423"/>
        <v>-</v>
      </c>
      <c r="AH925" s="453" t="str">
        <f t="shared" si="424"/>
        <v/>
      </c>
      <c r="AI925" s="453" t="str">
        <f t="shared" si="425"/>
        <v/>
      </c>
      <c r="AJ925" t="str">
        <f t="array" ref="AJ925">IF(AND(AI925&gt;1,G925&lt;&gt;""),INDEX(FS_teams,MATCH(1,(FS_Keys=AG925)*(FS_Points=I925)*(FS_teams&lt;&gt;G925),0)),"")</f>
        <v/>
      </c>
      <c r="AK925" s="390" t="str">
        <f t="array" ref="AK925">IF(AJ925&lt;&gt;"",INDEX(TM_Score1,MATCH(1,(TM_Events=D925)*(TM_Participant1=G925)*(TM_Participant2=AJ925),0)),"")</f>
        <v/>
      </c>
      <c r="AL925" s="390" t="str">
        <f t="array" ref="AL925">IF(AJ925&lt;&gt;"",INDEX(TM_Score1,MATCH(1,(TM_Events=D925)*(TM_Participant1=AJ925)*(TM_Participant2=G925),0)),"")</f>
        <v/>
      </c>
      <c r="AM925" s="389" t="str">
        <f t="array" ref="AM925">IF(ISNUMBER(AK925),INDEX(TM_Score2,MATCH(1,(TM_Events=D925)*(TM_Participant1=G925)*(TM_Participant2=AJ925),0)),"")</f>
        <v/>
      </c>
      <c r="AN925" s="389" t="str">
        <f t="array" ref="AN925">IF(ISNUMBER(AL925),INDEX(TM_Score2,MATCH(1,(TM_Events=D925)*(TM_Participant1=AJ925)*(TM_Participant2=G925),0)),"")</f>
        <v/>
      </c>
      <c r="AO925" s="389" t="str">
        <f t="shared" si="426"/>
        <v/>
      </c>
      <c r="AP925" s="389">
        <f t="shared" si="427"/>
        <v>0</v>
      </c>
      <c r="AQ925" s="389">
        <f t="shared" si="428"/>
        <v>0</v>
      </c>
      <c r="AR925" s="389">
        <f t="shared" si="429"/>
        <v>0</v>
      </c>
      <c r="AS925" s="453">
        <f t="shared" si="430"/>
        <v>0</v>
      </c>
      <c r="AT925" s="452">
        <f t="shared" si="431"/>
        <v>0</v>
      </c>
    </row>
    <row r="926" spans="2:46" ht="16" x14ac:dyDescent="0.2">
      <c r="B926"/>
      <c r="H926" s="387" t="str">
        <f t="shared" si="406"/>
        <v>0-0-0</v>
      </c>
      <c r="I926" s="389">
        <f t="shared" si="407"/>
        <v>0</v>
      </c>
      <c r="J926" s="455" t="str">
        <f t="shared" si="432"/>
        <v/>
      </c>
      <c r="K926" s="455">
        <f t="shared" si="408"/>
        <v>0</v>
      </c>
      <c r="L926" s="455">
        <f t="shared" si="433"/>
        <v>0</v>
      </c>
      <c r="M926" s="389" t="str">
        <f>IFERROR(IF(AD926&lt;=VLOOKUP(D926,Tournaments!$A$1:$B$1772,2,FALSE),"TRUE","FALSE"),"")</f>
        <v/>
      </c>
      <c r="N926" s="389">
        <v>1</v>
      </c>
      <c r="O926" s="389">
        <f t="shared" si="409"/>
        <v>0</v>
      </c>
      <c r="Q926" s="389">
        <f t="shared" si="410"/>
        <v>0</v>
      </c>
      <c r="R926" s="389">
        <f t="shared" si="411"/>
        <v>0</v>
      </c>
      <c r="S926" s="389">
        <f t="shared" si="412"/>
        <v>0</v>
      </c>
      <c r="U926" s="389">
        <f t="shared" si="413"/>
        <v>0</v>
      </c>
      <c r="V926" s="389" t="b">
        <f t="shared" si="414"/>
        <v>0</v>
      </c>
      <c r="W926" s="389">
        <f t="shared" si="415"/>
        <v>0</v>
      </c>
      <c r="X926" s="389">
        <f t="shared" si="416"/>
        <v>0</v>
      </c>
      <c r="Y926" s="389">
        <f t="shared" si="434"/>
        <v>1.0999999999999999E-2</v>
      </c>
      <c r="Z926" s="389">
        <f t="shared" si="417"/>
        <v>1.0999999999999999E-2</v>
      </c>
      <c r="AA926" s="389">
        <f t="shared" si="418"/>
        <v>0</v>
      </c>
      <c r="AB926" s="389">
        <f t="shared" si="419"/>
        <v>1E-4</v>
      </c>
      <c r="AC926" s="389">
        <f t="shared" si="420"/>
        <v>1E-4</v>
      </c>
      <c r="AD926" s="389">
        <f t="shared" si="421"/>
        <v>0</v>
      </c>
      <c r="AE926" s="389">
        <f t="shared" si="422"/>
        <v>0</v>
      </c>
      <c r="AG926" s="311" t="str">
        <f t="shared" si="423"/>
        <v>-</v>
      </c>
      <c r="AH926" s="453" t="str">
        <f t="shared" si="424"/>
        <v/>
      </c>
      <c r="AI926" s="453" t="str">
        <f t="shared" si="425"/>
        <v/>
      </c>
      <c r="AJ926" t="str">
        <f t="array" ref="AJ926">IF(AND(AI926&gt;1,G926&lt;&gt;""),INDEX(FS_teams,MATCH(1,(FS_Keys=AG926)*(FS_Points=I926)*(FS_teams&lt;&gt;G926),0)),"")</f>
        <v/>
      </c>
      <c r="AK926" s="390" t="str">
        <f t="array" ref="AK926">IF(AJ926&lt;&gt;"",INDEX(TM_Score1,MATCH(1,(TM_Events=D926)*(TM_Participant1=G926)*(TM_Participant2=AJ926),0)),"")</f>
        <v/>
      </c>
      <c r="AL926" s="390" t="str">
        <f t="array" ref="AL926">IF(AJ926&lt;&gt;"",INDEX(TM_Score1,MATCH(1,(TM_Events=D926)*(TM_Participant1=AJ926)*(TM_Participant2=G926),0)),"")</f>
        <v/>
      </c>
      <c r="AM926" s="389" t="str">
        <f t="array" ref="AM926">IF(ISNUMBER(AK926),INDEX(TM_Score2,MATCH(1,(TM_Events=D926)*(TM_Participant1=G926)*(TM_Participant2=AJ926),0)),"")</f>
        <v/>
      </c>
      <c r="AN926" s="389" t="str">
        <f t="array" ref="AN926">IF(ISNUMBER(AL926),INDEX(TM_Score2,MATCH(1,(TM_Events=D926)*(TM_Participant1=AJ926)*(TM_Participant2=G926),0)),"")</f>
        <v/>
      </c>
      <c r="AO926" s="389" t="str">
        <f t="shared" si="426"/>
        <v/>
      </c>
      <c r="AP926" s="389">
        <f t="shared" si="427"/>
        <v>0</v>
      </c>
      <c r="AQ926" s="389">
        <f t="shared" si="428"/>
        <v>0</v>
      </c>
      <c r="AR926" s="389">
        <f t="shared" si="429"/>
        <v>0</v>
      </c>
      <c r="AS926" s="453">
        <f t="shared" si="430"/>
        <v>0</v>
      </c>
      <c r="AT926" s="452">
        <f t="shared" si="431"/>
        <v>0</v>
      </c>
    </row>
    <row r="927" spans="2:46" ht="16" x14ac:dyDescent="0.2">
      <c r="B927"/>
      <c r="H927" s="387" t="str">
        <f t="shared" si="406"/>
        <v>0-0-0</v>
      </c>
      <c r="I927" s="389">
        <f t="shared" si="407"/>
        <v>0</v>
      </c>
      <c r="J927" s="455" t="str">
        <f t="shared" si="432"/>
        <v/>
      </c>
      <c r="K927" s="455">
        <f t="shared" si="408"/>
        <v>0</v>
      </c>
      <c r="L927" s="455">
        <f t="shared" si="433"/>
        <v>0</v>
      </c>
      <c r="M927" s="389" t="str">
        <f>IFERROR(IF(AD927&lt;=VLOOKUP(D927,Tournaments!$A$1:$B$1772,2,FALSE),"TRUE","FALSE"),"")</f>
        <v/>
      </c>
      <c r="N927" s="389">
        <v>1</v>
      </c>
      <c r="O927" s="389">
        <f t="shared" si="409"/>
        <v>0</v>
      </c>
      <c r="Q927" s="389">
        <f t="shared" si="410"/>
        <v>0</v>
      </c>
      <c r="R927" s="389">
        <f t="shared" si="411"/>
        <v>0</v>
      </c>
      <c r="S927" s="389">
        <f t="shared" si="412"/>
        <v>0</v>
      </c>
      <c r="U927" s="389">
        <f t="shared" si="413"/>
        <v>0</v>
      </c>
      <c r="V927" s="389" t="b">
        <f t="shared" si="414"/>
        <v>0</v>
      </c>
      <c r="W927" s="389">
        <f t="shared" si="415"/>
        <v>0</v>
      </c>
      <c r="X927" s="389">
        <f t="shared" si="416"/>
        <v>0</v>
      </c>
      <c r="Y927" s="389">
        <f t="shared" si="434"/>
        <v>1.0999999999999999E-2</v>
      </c>
      <c r="Z927" s="389">
        <f t="shared" si="417"/>
        <v>1.0999999999999999E-2</v>
      </c>
      <c r="AA927" s="389">
        <f t="shared" si="418"/>
        <v>0</v>
      </c>
      <c r="AB927" s="389">
        <f t="shared" si="419"/>
        <v>1E-4</v>
      </c>
      <c r="AC927" s="389">
        <f t="shared" si="420"/>
        <v>1E-4</v>
      </c>
      <c r="AD927" s="389">
        <f t="shared" si="421"/>
        <v>0</v>
      </c>
      <c r="AE927" s="389">
        <f t="shared" si="422"/>
        <v>0</v>
      </c>
      <c r="AG927" s="311" t="str">
        <f t="shared" si="423"/>
        <v>-</v>
      </c>
      <c r="AH927" s="453" t="str">
        <f t="shared" si="424"/>
        <v/>
      </c>
      <c r="AI927" s="453" t="str">
        <f t="shared" si="425"/>
        <v/>
      </c>
      <c r="AJ927" t="str">
        <f t="array" ref="AJ927">IF(AND(AI927&gt;1,G927&lt;&gt;""),INDEX(FS_teams,MATCH(1,(FS_Keys=AG927)*(FS_Points=I927)*(FS_teams&lt;&gt;G927),0)),"")</f>
        <v/>
      </c>
      <c r="AK927" s="390" t="str">
        <f t="array" ref="AK927">IF(AJ927&lt;&gt;"",INDEX(TM_Score1,MATCH(1,(TM_Events=D927)*(TM_Participant1=G927)*(TM_Participant2=AJ927),0)),"")</f>
        <v/>
      </c>
      <c r="AL927" s="390" t="str">
        <f t="array" ref="AL927">IF(AJ927&lt;&gt;"",INDEX(TM_Score1,MATCH(1,(TM_Events=D927)*(TM_Participant1=AJ927)*(TM_Participant2=G927),0)),"")</f>
        <v/>
      </c>
      <c r="AM927" s="389" t="str">
        <f t="array" ref="AM927">IF(ISNUMBER(AK927),INDEX(TM_Score2,MATCH(1,(TM_Events=D927)*(TM_Participant1=G927)*(TM_Participant2=AJ927),0)),"")</f>
        <v/>
      </c>
      <c r="AN927" s="389" t="str">
        <f t="array" ref="AN927">IF(ISNUMBER(AL927),INDEX(TM_Score2,MATCH(1,(TM_Events=D927)*(TM_Participant1=AJ927)*(TM_Participant2=G927),0)),"")</f>
        <v/>
      </c>
      <c r="AO927" s="389" t="str">
        <f t="shared" si="426"/>
        <v/>
      </c>
      <c r="AP927" s="389">
        <f t="shared" si="427"/>
        <v>0</v>
      </c>
      <c r="AQ927" s="389">
        <f t="shared" si="428"/>
        <v>0</v>
      </c>
      <c r="AR927" s="389">
        <f t="shared" si="429"/>
        <v>0</v>
      </c>
      <c r="AS927" s="453">
        <f t="shared" si="430"/>
        <v>0</v>
      </c>
      <c r="AT927" s="452">
        <f t="shared" si="431"/>
        <v>0</v>
      </c>
    </row>
    <row r="928" spans="2:46" ht="16" x14ac:dyDescent="0.2">
      <c r="B928"/>
      <c r="H928" s="387" t="str">
        <f t="shared" si="406"/>
        <v>0-0-0</v>
      </c>
      <c r="I928" s="389">
        <f t="shared" si="407"/>
        <v>0</v>
      </c>
      <c r="J928" s="455" t="str">
        <f t="shared" si="432"/>
        <v/>
      </c>
      <c r="K928" s="455">
        <f t="shared" si="408"/>
        <v>0</v>
      </c>
      <c r="L928" s="455">
        <f t="shared" si="433"/>
        <v>0</v>
      </c>
      <c r="M928" s="389" t="str">
        <f>IFERROR(IF(AD928&lt;=VLOOKUP(D928,Tournaments!$A$1:$B$1772,2,FALSE),"TRUE","FALSE"),"")</f>
        <v/>
      </c>
      <c r="N928" s="389">
        <v>1</v>
      </c>
      <c r="O928" s="389">
        <f t="shared" si="409"/>
        <v>0</v>
      </c>
      <c r="Q928" s="389">
        <f t="shared" si="410"/>
        <v>0</v>
      </c>
      <c r="R928" s="389">
        <f t="shared" si="411"/>
        <v>0</v>
      </c>
      <c r="S928" s="389">
        <f t="shared" si="412"/>
        <v>0</v>
      </c>
      <c r="U928" s="389">
        <f t="shared" si="413"/>
        <v>0</v>
      </c>
      <c r="V928" s="389" t="b">
        <f t="shared" si="414"/>
        <v>0</v>
      </c>
      <c r="W928" s="389">
        <f t="shared" si="415"/>
        <v>0</v>
      </c>
      <c r="X928" s="389">
        <f t="shared" si="416"/>
        <v>0</v>
      </c>
      <c r="Y928" s="389">
        <f t="shared" si="434"/>
        <v>1.0999999999999999E-2</v>
      </c>
      <c r="Z928" s="389">
        <f t="shared" si="417"/>
        <v>1.0999999999999999E-2</v>
      </c>
      <c r="AA928" s="389">
        <f t="shared" si="418"/>
        <v>0</v>
      </c>
      <c r="AB928" s="389">
        <f t="shared" si="419"/>
        <v>1E-4</v>
      </c>
      <c r="AC928" s="389">
        <f t="shared" si="420"/>
        <v>1E-4</v>
      </c>
      <c r="AD928" s="389">
        <f t="shared" si="421"/>
        <v>0</v>
      </c>
      <c r="AE928" s="389">
        <f t="shared" si="422"/>
        <v>0</v>
      </c>
      <c r="AG928" s="311" t="str">
        <f t="shared" si="423"/>
        <v>-</v>
      </c>
      <c r="AH928" s="453" t="str">
        <f t="shared" si="424"/>
        <v/>
      </c>
      <c r="AI928" s="453" t="str">
        <f t="shared" si="425"/>
        <v/>
      </c>
      <c r="AJ928" t="str">
        <f t="array" ref="AJ928">IF(AND(AI928&gt;1,G928&lt;&gt;""),INDEX(FS_teams,MATCH(1,(FS_Keys=AG928)*(FS_Points=I928)*(FS_teams&lt;&gt;G928),0)),"")</f>
        <v/>
      </c>
      <c r="AK928" s="390" t="str">
        <f t="array" ref="AK928">IF(AJ928&lt;&gt;"",INDEX(TM_Score1,MATCH(1,(TM_Events=D928)*(TM_Participant1=G928)*(TM_Participant2=AJ928),0)),"")</f>
        <v/>
      </c>
      <c r="AL928" s="390" t="str">
        <f t="array" ref="AL928">IF(AJ928&lt;&gt;"",INDEX(TM_Score1,MATCH(1,(TM_Events=D928)*(TM_Participant1=AJ928)*(TM_Participant2=G928),0)),"")</f>
        <v/>
      </c>
      <c r="AM928" s="389" t="str">
        <f t="array" ref="AM928">IF(ISNUMBER(AK928),INDEX(TM_Score2,MATCH(1,(TM_Events=D928)*(TM_Participant1=G928)*(TM_Participant2=AJ928),0)),"")</f>
        <v/>
      </c>
      <c r="AN928" s="389" t="str">
        <f t="array" ref="AN928">IF(ISNUMBER(AL928),INDEX(TM_Score2,MATCH(1,(TM_Events=D928)*(TM_Participant1=AJ928)*(TM_Participant2=G928),0)),"")</f>
        <v/>
      </c>
      <c r="AO928" s="389" t="str">
        <f t="shared" si="426"/>
        <v/>
      </c>
      <c r="AP928" s="389">
        <f t="shared" si="427"/>
        <v>0</v>
      </c>
      <c r="AQ928" s="389">
        <f t="shared" si="428"/>
        <v>0</v>
      </c>
      <c r="AR928" s="389">
        <f t="shared" si="429"/>
        <v>0</v>
      </c>
      <c r="AS928" s="453">
        <f t="shared" si="430"/>
        <v>0</v>
      </c>
      <c r="AT928" s="452">
        <f t="shared" si="431"/>
        <v>0</v>
      </c>
    </row>
    <row r="929" spans="2:46" ht="16" x14ac:dyDescent="0.2">
      <c r="B929"/>
      <c r="H929" s="387" t="str">
        <f t="shared" si="406"/>
        <v>0-0-0</v>
      </c>
      <c r="I929" s="389">
        <f t="shared" si="407"/>
        <v>0</v>
      </c>
      <c r="J929" s="455" t="str">
        <f t="shared" si="432"/>
        <v/>
      </c>
      <c r="K929" s="455">
        <f t="shared" si="408"/>
        <v>0</v>
      </c>
      <c r="L929" s="455">
        <f t="shared" si="433"/>
        <v>0</v>
      </c>
      <c r="M929" s="389" t="str">
        <f>IFERROR(IF(AD929&lt;=VLOOKUP(D929,Tournaments!$A$1:$B$1772,2,FALSE),"TRUE","FALSE"),"")</f>
        <v/>
      </c>
      <c r="N929" s="389">
        <v>1</v>
      </c>
      <c r="O929" s="389">
        <f t="shared" si="409"/>
        <v>0</v>
      </c>
      <c r="Q929" s="389">
        <f t="shared" si="410"/>
        <v>0</v>
      </c>
      <c r="R929" s="389">
        <f t="shared" si="411"/>
        <v>0</v>
      </c>
      <c r="S929" s="389">
        <f t="shared" si="412"/>
        <v>0</v>
      </c>
      <c r="U929" s="389">
        <f t="shared" si="413"/>
        <v>0</v>
      </c>
      <c r="V929" s="389" t="b">
        <f t="shared" si="414"/>
        <v>0</v>
      </c>
      <c r="W929" s="389">
        <f t="shared" si="415"/>
        <v>0</v>
      </c>
      <c r="X929" s="389">
        <f t="shared" si="416"/>
        <v>0</v>
      </c>
      <c r="Y929" s="389">
        <f t="shared" si="434"/>
        <v>1.0999999999999999E-2</v>
      </c>
      <c r="Z929" s="389">
        <f t="shared" si="417"/>
        <v>1.0999999999999999E-2</v>
      </c>
      <c r="AA929" s="389">
        <f t="shared" si="418"/>
        <v>0</v>
      </c>
      <c r="AB929" s="389">
        <f t="shared" si="419"/>
        <v>1E-4</v>
      </c>
      <c r="AC929" s="389">
        <f t="shared" si="420"/>
        <v>1E-4</v>
      </c>
      <c r="AD929" s="389">
        <f t="shared" si="421"/>
        <v>0</v>
      </c>
      <c r="AE929" s="389">
        <f t="shared" si="422"/>
        <v>0</v>
      </c>
      <c r="AG929" s="311" t="str">
        <f t="shared" si="423"/>
        <v>-</v>
      </c>
      <c r="AH929" s="453" t="str">
        <f t="shared" si="424"/>
        <v/>
      </c>
      <c r="AI929" s="453" t="str">
        <f t="shared" si="425"/>
        <v/>
      </c>
      <c r="AJ929" t="str">
        <f t="array" ref="AJ929">IF(AND(AI929&gt;1,G929&lt;&gt;""),INDEX(FS_teams,MATCH(1,(FS_Keys=AG929)*(FS_Points=I929)*(FS_teams&lt;&gt;G929),0)),"")</f>
        <v/>
      </c>
      <c r="AK929" s="390" t="str">
        <f t="array" ref="AK929">IF(AJ929&lt;&gt;"",INDEX(TM_Score1,MATCH(1,(TM_Events=D929)*(TM_Participant1=G929)*(TM_Participant2=AJ929),0)),"")</f>
        <v/>
      </c>
      <c r="AL929" s="390" t="str">
        <f t="array" ref="AL929">IF(AJ929&lt;&gt;"",INDEX(TM_Score1,MATCH(1,(TM_Events=D929)*(TM_Participant1=AJ929)*(TM_Participant2=G929),0)),"")</f>
        <v/>
      </c>
      <c r="AM929" s="389" t="str">
        <f t="array" ref="AM929">IF(ISNUMBER(AK929),INDEX(TM_Score2,MATCH(1,(TM_Events=D929)*(TM_Participant1=G929)*(TM_Participant2=AJ929),0)),"")</f>
        <v/>
      </c>
      <c r="AN929" s="389" t="str">
        <f t="array" ref="AN929">IF(ISNUMBER(AL929),INDEX(TM_Score2,MATCH(1,(TM_Events=D929)*(TM_Participant1=AJ929)*(TM_Participant2=G929),0)),"")</f>
        <v/>
      </c>
      <c r="AO929" s="389" t="str">
        <f t="shared" si="426"/>
        <v/>
      </c>
      <c r="AP929" s="389">
        <f t="shared" si="427"/>
        <v>0</v>
      </c>
      <c r="AQ929" s="389">
        <f t="shared" si="428"/>
        <v>0</v>
      </c>
      <c r="AR929" s="389">
        <f t="shared" si="429"/>
        <v>0</v>
      </c>
      <c r="AS929" s="453">
        <f t="shared" si="430"/>
        <v>0</v>
      </c>
      <c r="AT929" s="452">
        <f t="shared" si="431"/>
        <v>0</v>
      </c>
    </row>
    <row r="930" spans="2:46" ht="16" x14ac:dyDescent="0.2">
      <c r="B930"/>
      <c r="H930" s="387" t="str">
        <f t="shared" si="406"/>
        <v>0-0-0</v>
      </c>
      <c r="I930" s="389">
        <f t="shared" si="407"/>
        <v>0</v>
      </c>
      <c r="J930" s="455" t="str">
        <f t="shared" si="432"/>
        <v/>
      </c>
      <c r="K930" s="455">
        <f t="shared" si="408"/>
        <v>0</v>
      </c>
      <c r="L930" s="455">
        <f t="shared" si="433"/>
        <v>0</v>
      </c>
      <c r="M930" s="389" t="str">
        <f>IFERROR(IF(AD930&lt;=VLOOKUP(D930,Tournaments!$A$1:$B$1772,2,FALSE),"TRUE","FALSE"),"")</f>
        <v/>
      </c>
      <c r="N930" s="389">
        <v>1</v>
      </c>
      <c r="O930" s="389">
        <f t="shared" si="409"/>
        <v>0</v>
      </c>
      <c r="Q930" s="389">
        <f t="shared" si="410"/>
        <v>0</v>
      </c>
      <c r="R930" s="389">
        <f t="shared" si="411"/>
        <v>0</v>
      </c>
      <c r="S930" s="389">
        <f t="shared" si="412"/>
        <v>0</v>
      </c>
      <c r="U930" s="389">
        <f t="shared" si="413"/>
        <v>0</v>
      </c>
      <c r="V930" s="389" t="b">
        <f t="shared" si="414"/>
        <v>0</v>
      </c>
      <c r="W930" s="389">
        <f t="shared" si="415"/>
        <v>0</v>
      </c>
      <c r="X930" s="389">
        <f t="shared" si="416"/>
        <v>0</v>
      </c>
      <c r="Y930" s="389">
        <f t="shared" si="434"/>
        <v>1.0999999999999999E-2</v>
      </c>
      <c r="Z930" s="389">
        <f t="shared" si="417"/>
        <v>1.0999999999999999E-2</v>
      </c>
      <c r="AA930" s="389">
        <f t="shared" si="418"/>
        <v>0</v>
      </c>
      <c r="AB930" s="389">
        <f t="shared" si="419"/>
        <v>1E-4</v>
      </c>
      <c r="AC930" s="389">
        <f t="shared" si="420"/>
        <v>1E-4</v>
      </c>
      <c r="AD930" s="389">
        <f t="shared" si="421"/>
        <v>0</v>
      </c>
      <c r="AE930" s="389">
        <f t="shared" si="422"/>
        <v>0</v>
      </c>
      <c r="AG930" s="311" t="str">
        <f t="shared" si="423"/>
        <v>-</v>
      </c>
      <c r="AH930" s="453" t="str">
        <f t="shared" si="424"/>
        <v/>
      </c>
      <c r="AI930" s="453" t="str">
        <f t="shared" si="425"/>
        <v/>
      </c>
      <c r="AJ930" t="str">
        <f t="array" ref="AJ930">IF(AND(AI930&gt;1,G930&lt;&gt;""),INDEX(FS_teams,MATCH(1,(FS_Keys=AG930)*(FS_Points=I930)*(FS_teams&lt;&gt;G930),0)),"")</f>
        <v/>
      </c>
      <c r="AK930" s="390" t="str">
        <f t="array" ref="AK930">IF(AJ930&lt;&gt;"",INDEX(TM_Score1,MATCH(1,(TM_Events=D930)*(TM_Participant1=G930)*(TM_Participant2=AJ930),0)),"")</f>
        <v/>
      </c>
      <c r="AL930" s="390" t="str">
        <f t="array" ref="AL930">IF(AJ930&lt;&gt;"",INDEX(TM_Score1,MATCH(1,(TM_Events=D930)*(TM_Participant1=AJ930)*(TM_Participant2=G930),0)),"")</f>
        <v/>
      </c>
      <c r="AM930" s="389" t="str">
        <f t="array" ref="AM930">IF(ISNUMBER(AK930),INDEX(TM_Score2,MATCH(1,(TM_Events=D930)*(TM_Participant1=G930)*(TM_Participant2=AJ930),0)),"")</f>
        <v/>
      </c>
      <c r="AN930" s="389" t="str">
        <f t="array" ref="AN930">IF(ISNUMBER(AL930),INDEX(TM_Score2,MATCH(1,(TM_Events=D930)*(TM_Participant1=AJ930)*(TM_Participant2=G930),0)),"")</f>
        <v/>
      </c>
      <c r="AO930" s="389" t="str">
        <f t="shared" si="426"/>
        <v/>
      </c>
      <c r="AP930" s="389">
        <f t="shared" si="427"/>
        <v>0</v>
      </c>
      <c r="AQ930" s="389">
        <f t="shared" si="428"/>
        <v>0</v>
      </c>
      <c r="AR930" s="389">
        <f t="shared" si="429"/>
        <v>0</v>
      </c>
      <c r="AS930" s="453">
        <f t="shared" si="430"/>
        <v>0</v>
      </c>
      <c r="AT930" s="452">
        <f t="shared" si="431"/>
        <v>0</v>
      </c>
    </row>
    <row r="931" spans="2:46" ht="16" x14ac:dyDescent="0.2">
      <c r="B931"/>
      <c r="H931" s="387" t="str">
        <f t="shared" si="406"/>
        <v>0-0-0</v>
      </c>
      <c r="I931" s="389">
        <f t="shared" si="407"/>
        <v>0</v>
      </c>
      <c r="J931" s="455" t="str">
        <f t="shared" si="432"/>
        <v/>
      </c>
      <c r="K931" s="455">
        <f t="shared" si="408"/>
        <v>0</v>
      </c>
      <c r="L931" s="455">
        <f t="shared" si="433"/>
        <v>0</v>
      </c>
      <c r="M931" s="389" t="str">
        <f>IFERROR(IF(AD931&lt;=VLOOKUP(D931,Tournaments!$A$1:$B$1772,2,FALSE),"TRUE","FALSE"),"")</f>
        <v/>
      </c>
      <c r="N931" s="389">
        <v>1</v>
      </c>
      <c r="O931" s="389">
        <f t="shared" si="409"/>
        <v>0</v>
      </c>
      <c r="Q931" s="389">
        <f t="shared" si="410"/>
        <v>0</v>
      </c>
      <c r="R931" s="389">
        <f t="shared" si="411"/>
        <v>0</v>
      </c>
      <c r="S931" s="389">
        <f t="shared" si="412"/>
        <v>0</v>
      </c>
      <c r="U931" s="389">
        <f t="shared" si="413"/>
        <v>0</v>
      </c>
      <c r="V931" s="389" t="b">
        <f t="shared" si="414"/>
        <v>0</v>
      </c>
      <c r="W931" s="389">
        <f t="shared" si="415"/>
        <v>0</v>
      </c>
      <c r="X931" s="389">
        <f t="shared" si="416"/>
        <v>0</v>
      </c>
      <c r="Y931" s="389">
        <f t="shared" si="434"/>
        <v>1.0999999999999999E-2</v>
      </c>
      <c r="Z931" s="389">
        <f t="shared" si="417"/>
        <v>1.0999999999999999E-2</v>
      </c>
      <c r="AA931" s="389">
        <f t="shared" si="418"/>
        <v>0</v>
      </c>
      <c r="AB931" s="389">
        <f t="shared" si="419"/>
        <v>1E-4</v>
      </c>
      <c r="AC931" s="389">
        <f t="shared" si="420"/>
        <v>1E-4</v>
      </c>
      <c r="AD931" s="389">
        <f t="shared" si="421"/>
        <v>0</v>
      </c>
      <c r="AE931" s="389">
        <f t="shared" si="422"/>
        <v>0</v>
      </c>
      <c r="AG931" s="311" t="str">
        <f t="shared" si="423"/>
        <v>-</v>
      </c>
      <c r="AH931" s="453" t="str">
        <f t="shared" si="424"/>
        <v/>
      </c>
      <c r="AI931" s="453" t="str">
        <f t="shared" si="425"/>
        <v/>
      </c>
      <c r="AJ931" t="str">
        <f t="array" ref="AJ931">IF(AND(AI931&gt;1,G931&lt;&gt;""),INDEX(FS_teams,MATCH(1,(FS_Keys=AG931)*(FS_Points=I931)*(FS_teams&lt;&gt;G931),0)),"")</f>
        <v/>
      </c>
      <c r="AK931" s="390" t="str">
        <f t="array" ref="AK931">IF(AJ931&lt;&gt;"",INDEX(TM_Score1,MATCH(1,(TM_Events=D931)*(TM_Participant1=G931)*(TM_Participant2=AJ931),0)),"")</f>
        <v/>
      </c>
      <c r="AL931" s="390" t="str">
        <f t="array" ref="AL931">IF(AJ931&lt;&gt;"",INDEX(TM_Score1,MATCH(1,(TM_Events=D931)*(TM_Participant1=AJ931)*(TM_Participant2=G931),0)),"")</f>
        <v/>
      </c>
      <c r="AM931" s="389" t="str">
        <f t="array" ref="AM931">IF(ISNUMBER(AK931),INDEX(TM_Score2,MATCH(1,(TM_Events=D931)*(TM_Participant1=G931)*(TM_Participant2=AJ931),0)),"")</f>
        <v/>
      </c>
      <c r="AN931" s="389" t="str">
        <f t="array" ref="AN931">IF(ISNUMBER(AL931),INDEX(TM_Score2,MATCH(1,(TM_Events=D931)*(TM_Participant1=AJ931)*(TM_Participant2=G931),0)),"")</f>
        <v/>
      </c>
      <c r="AO931" s="389" t="str">
        <f t="shared" si="426"/>
        <v/>
      </c>
      <c r="AP931" s="389">
        <f t="shared" si="427"/>
        <v>0</v>
      </c>
      <c r="AQ931" s="389">
        <f t="shared" si="428"/>
        <v>0</v>
      </c>
      <c r="AR931" s="389">
        <f t="shared" si="429"/>
        <v>0</v>
      </c>
      <c r="AS931" s="453">
        <f t="shared" si="430"/>
        <v>0</v>
      </c>
      <c r="AT931" s="452">
        <f t="shared" si="431"/>
        <v>0</v>
      </c>
    </row>
    <row r="932" spans="2:46" ht="16" x14ac:dyDescent="0.2">
      <c r="B932"/>
      <c r="H932" s="387" t="str">
        <f t="shared" si="406"/>
        <v>0-0-0</v>
      </c>
      <c r="I932" s="389">
        <f t="shared" si="407"/>
        <v>0</v>
      </c>
      <c r="J932" s="455" t="str">
        <f t="shared" si="432"/>
        <v/>
      </c>
      <c r="K932" s="455">
        <f t="shared" si="408"/>
        <v>0</v>
      </c>
      <c r="L932" s="455">
        <f t="shared" si="433"/>
        <v>0</v>
      </c>
      <c r="M932" s="389" t="str">
        <f>IFERROR(IF(AD932&lt;=VLOOKUP(D932,Tournaments!$A$1:$B$1772,2,FALSE),"TRUE","FALSE"),"")</f>
        <v/>
      </c>
      <c r="N932" s="389">
        <v>1</v>
      </c>
      <c r="O932" s="389">
        <f t="shared" si="409"/>
        <v>0</v>
      </c>
      <c r="Q932" s="389">
        <f t="shared" si="410"/>
        <v>0</v>
      </c>
      <c r="R932" s="389">
        <f t="shared" si="411"/>
        <v>0</v>
      </c>
      <c r="S932" s="389">
        <f t="shared" si="412"/>
        <v>0</v>
      </c>
      <c r="U932" s="389">
        <f t="shared" si="413"/>
        <v>0</v>
      </c>
      <c r="V932" s="389" t="b">
        <f t="shared" si="414"/>
        <v>0</v>
      </c>
      <c r="W932" s="389">
        <f t="shared" si="415"/>
        <v>0</v>
      </c>
      <c r="X932" s="389">
        <f t="shared" si="416"/>
        <v>0</v>
      </c>
      <c r="Y932" s="389">
        <f t="shared" si="434"/>
        <v>1.0999999999999999E-2</v>
      </c>
      <c r="Z932" s="389">
        <f t="shared" si="417"/>
        <v>1.0999999999999999E-2</v>
      </c>
      <c r="AA932" s="389">
        <f t="shared" si="418"/>
        <v>0</v>
      </c>
      <c r="AB932" s="389">
        <f t="shared" si="419"/>
        <v>1E-4</v>
      </c>
      <c r="AC932" s="389">
        <f t="shared" si="420"/>
        <v>1E-4</v>
      </c>
      <c r="AD932" s="389">
        <f t="shared" si="421"/>
        <v>0</v>
      </c>
      <c r="AE932" s="389">
        <f t="shared" si="422"/>
        <v>0</v>
      </c>
      <c r="AG932" s="311" t="str">
        <f t="shared" si="423"/>
        <v>-</v>
      </c>
      <c r="AH932" s="453" t="str">
        <f t="shared" si="424"/>
        <v/>
      </c>
      <c r="AI932" s="453" t="str">
        <f t="shared" si="425"/>
        <v/>
      </c>
      <c r="AJ932" t="str">
        <f t="array" ref="AJ932">IF(AND(AI932&gt;1,G932&lt;&gt;""),INDEX(FS_teams,MATCH(1,(FS_Keys=AG932)*(FS_Points=I932)*(FS_teams&lt;&gt;G932),0)),"")</f>
        <v/>
      </c>
      <c r="AK932" s="390" t="str">
        <f t="array" ref="AK932">IF(AJ932&lt;&gt;"",INDEX(TM_Score1,MATCH(1,(TM_Events=D932)*(TM_Participant1=G932)*(TM_Participant2=AJ932),0)),"")</f>
        <v/>
      </c>
      <c r="AL932" s="390" t="str">
        <f t="array" ref="AL932">IF(AJ932&lt;&gt;"",INDEX(TM_Score1,MATCH(1,(TM_Events=D932)*(TM_Participant1=AJ932)*(TM_Participant2=G932),0)),"")</f>
        <v/>
      </c>
      <c r="AM932" s="389" t="str">
        <f t="array" ref="AM932">IF(ISNUMBER(AK932),INDEX(TM_Score2,MATCH(1,(TM_Events=D932)*(TM_Participant1=G932)*(TM_Participant2=AJ932),0)),"")</f>
        <v/>
      </c>
      <c r="AN932" s="389" t="str">
        <f t="array" ref="AN932">IF(ISNUMBER(AL932),INDEX(TM_Score2,MATCH(1,(TM_Events=D932)*(TM_Participant1=AJ932)*(TM_Participant2=G932),0)),"")</f>
        <v/>
      </c>
      <c r="AO932" s="389" t="str">
        <f t="shared" si="426"/>
        <v/>
      </c>
      <c r="AP932" s="389">
        <f t="shared" si="427"/>
        <v>0</v>
      </c>
      <c r="AQ932" s="389">
        <f t="shared" si="428"/>
        <v>0</v>
      </c>
      <c r="AR932" s="389">
        <f t="shared" si="429"/>
        <v>0</v>
      </c>
      <c r="AS932" s="453">
        <f t="shared" si="430"/>
        <v>0</v>
      </c>
      <c r="AT932" s="452">
        <f t="shared" si="431"/>
        <v>0</v>
      </c>
    </row>
    <row r="933" spans="2:46" ht="16" x14ac:dyDescent="0.2">
      <c r="B933"/>
      <c r="H933" s="387" t="str">
        <f t="shared" si="406"/>
        <v>0-0-0</v>
      </c>
      <c r="I933" s="389">
        <f t="shared" si="407"/>
        <v>0</v>
      </c>
      <c r="J933" s="455" t="str">
        <f t="shared" si="432"/>
        <v/>
      </c>
      <c r="K933" s="455">
        <f t="shared" si="408"/>
        <v>0</v>
      </c>
      <c r="L933" s="455">
        <f t="shared" si="433"/>
        <v>0</v>
      </c>
      <c r="M933" s="389" t="str">
        <f>IFERROR(IF(AD933&lt;=VLOOKUP(D933,Tournaments!$A$1:$B$1772,2,FALSE),"TRUE","FALSE"),"")</f>
        <v/>
      </c>
      <c r="N933" s="389">
        <v>1</v>
      </c>
      <c r="O933" s="389">
        <f t="shared" si="409"/>
        <v>0</v>
      </c>
      <c r="Q933" s="389">
        <f t="shared" si="410"/>
        <v>0</v>
      </c>
      <c r="R933" s="389">
        <f t="shared" si="411"/>
        <v>0</v>
      </c>
      <c r="S933" s="389">
        <f t="shared" si="412"/>
        <v>0</v>
      </c>
      <c r="U933" s="389">
        <f t="shared" si="413"/>
        <v>0</v>
      </c>
      <c r="V933" s="389" t="b">
        <f t="shared" si="414"/>
        <v>0</v>
      </c>
      <c r="W933" s="389">
        <f t="shared" si="415"/>
        <v>0</v>
      </c>
      <c r="X933" s="389">
        <f t="shared" si="416"/>
        <v>0</v>
      </c>
      <c r="Y933" s="389">
        <f t="shared" si="434"/>
        <v>1.0999999999999999E-2</v>
      </c>
      <c r="Z933" s="389">
        <f t="shared" si="417"/>
        <v>1.0999999999999999E-2</v>
      </c>
      <c r="AA933" s="389">
        <f t="shared" si="418"/>
        <v>0</v>
      </c>
      <c r="AB933" s="389">
        <f t="shared" si="419"/>
        <v>1E-4</v>
      </c>
      <c r="AC933" s="389">
        <f t="shared" si="420"/>
        <v>1E-4</v>
      </c>
      <c r="AD933" s="389">
        <f t="shared" si="421"/>
        <v>0</v>
      </c>
      <c r="AE933" s="389">
        <f t="shared" si="422"/>
        <v>0</v>
      </c>
      <c r="AG933" s="311" t="str">
        <f t="shared" si="423"/>
        <v>-</v>
      </c>
      <c r="AH933" s="453" t="str">
        <f t="shared" si="424"/>
        <v/>
      </c>
      <c r="AI933" s="453" t="str">
        <f t="shared" si="425"/>
        <v/>
      </c>
      <c r="AJ933" t="str">
        <f t="array" ref="AJ933">IF(AND(AI933&gt;1,G933&lt;&gt;""),INDEX(FS_teams,MATCH(1,(FS_Keys=AG933)*(FS_Points=I933)*(FS_teams&lt;&gt;G933),0)),"")</f>
        <v/>
      </c>
      <c r="AK933" s="390" t="str">
        <f t="array" ref="AK933">IF(AJ933&lt;&gt;"",INDEX(TM_Score1,MATCH(1,(TM_Events=D933)*(TM_Participant1=G933)*(TM_Participant2=AJ933),0)),"")</f>
        <v/>
      </c>
      <c r="AL933" s="390" t="str">
        <f t="array" ref="AL933">IF(AJ933&lt;&gt;"",INDEX(TM_Score1,MATCH(1,(TM_Events=D933)*(TM_Participant1=AJ933)*(TM_Participant2=G933),0)),"")</f>
        <v/>
      </c>
      <c r="AM933" s="389" t="str">
        <f t="array" ref="AM933">IF(ISNUMBER(AK933),INDEX(TM_Score2,MATCH(1,(TM_Events=D933)*(TM_Participant1=G933)*(TM_Participant2=AJ933),0)),"")</f>
        <v/>
      </c>
      <c r="AN933" s="389" t="str">
        <f t="array" ref="AN933">IF(ISNUMBER(AL933),INDEX(TM_Score2,MATCH(1,(TM_Events=D933)*(TM_Participant1=AJ933)*(TM_Participant2=G933),0)),"")</f>
        <v/>
      </c>
      <c r="AO933" s="389" t="str">
        <f t="shared" si="426"/>
        <v/>
      </c>
      <c r="AP933" s="389">
        <f t="shared" si="427"/>
        <v>0</v>
      </c>
      <c r="AQ933" s="389">
        <f t="shared" si="428"/>
        <v>0</v>
      </c>
      <c r="AR933" s="389">
        <f t="shared" si="429"/>
        <v>0</v>
      </c>
      <c r="AS933" s="453">
        <f t="shared" si="430"/>
        <v>0</v>
      </c>
      <c r="AT933" s="452">
        <f t="shared" si="431"/>
        <v>0</v>
      </c>
    </row>
    <row r="934" spans="2:46" ht="16" x14ac:dyDescent="0.2">
      <c r="B934"/>
      <c r="H934" s="387" t="str">
        <f t="shared" si="406"/>
        <v>0-0-0</v>
      </c>
      <c r="I934" s="389">
        <f t="shared" si="407"/>
        <v>0</v>
      </c>
      <c r="J934" s="455" t="str">
        <f t="shared" si="432"/>
        <v/>
      </c>
      <c r="K934" s="455">
        <f t="shared" si="408"/>
        <v>0</v>
      </c>
      <c r="L934" s="455">
        <f t="shared" si="433"/>
        <v>0</v>
      </c>
      <c r="M934" s="389" t="str">
        <f>IFERROR(IF(AD934&lt;=VLOOKUP(D934,Tournaments!$A$1:$B$1772,2,FALSE),"TRUE","FALSE"),"")</f>
        <v/>
      </c>
      <c r="N934" s="389">
        <v>1</v>
      </c>
      <c r="O934" s="389">
        <f t="shared" si="409"/>
        <v>0</v>
      </c>
      <c r="Q934" s="389">
        <f t="shared" si="410"/>
        <v>0</v>
      </c>
      <c r="R934" s="389">
        <f t="shared" si="411"/>
        <v>0</v>
      </c>
      <c r="S934" s="389">
        <f t="shared" si="412"/>
        <v>0</v>
      </c>
      <c r="U934" s="389">
        <f t="shared" si="413"/>
        <v>0</v>
      </c>
      <c r="V934" s="389" t="b">
        <f t="shared" si="414"/>
        <v>0</v>
      </c>
      <c r="W934" s="389">
        <f t="shared" si="415"/>
        <v>0</v>
      </c>
      <c r="X934" s="389">
        <f t="shared" si="416"/>
        <v>0</v>
      </c>
      <c r="Y934" s="389">
        <f t="shared" si="434"/>
        <v>1.0999999999999999E-2</v>
      </c>
      <c r="Z934" s="389">
        <f t="shared" si="417"/>
        <v>1.0999999999999999E-2</v>
      </c>
      <c r="AA934" s="389">
        <f t="shared" si="418"/>
        <v>0</v>
      </c>
      <c r="AB934" s="389">
        <f t="shared" si="419"/>
        <v>1E-4</v>
      </c>
      <c r="AC934" s="389">
        <f t="shared" si="420"/>
        <v>1E-4</v>
      </c>
      <c r="AD934" s="389">
        <f t="shared" si="421"/>
        <v>0</v>
      </c>
      <c r="AE934" s="389">
        <f t="shared" si="422"/>
        <v>0</v>
      </c>
      <c r="AG934" s="311" t="str">
        <f t="shared" si="423"/>
        <v>-</v>
      </c>
      <c r="AH934" s="453" t="str">
        <f t="shared" si="424"/>
        <v/>
      </c>
      <c r="AI934" s="453" t="str">
        <f t="shared" si="425"/>
        <v/>
      </c>
      <c r="AJ934" t="str">
        <f t="array" ref="AJ934">IF(AND(AI934&gt;1,G934&lt;&gt;""),INDEX(FS_teams,MATCH(1,(FS_Keys=AG934)*(FS_Points=I934)*(FS_teams&lt;&gt;G934),0)),"")</f>
        <v/>
      </c>
      <c r="AK934" s="390" t="str">
        <f t="array" ref="AK934">IF(AJ934&lt;&gt;"",INDEX(TM_Score1,MATCH(1,(TM_Events=D934)*(TM_Participant1=G934)*(TM_Participant2=AJ934),0)),"")</f>
        <v/>
      </c>
      <c r="AL934" s="390" t="str">
        <f t="array" ref="AL934">IF(AJ934&lt;&gt;"",INDEX(TM_Score1,MATCH(1,(TM_Events=D934)*(TM_Participant1=AJ934)*(TM_Participant2=G934),0)),"")</f>
        <v/>
      </c>
      <c r="AM934" s="389" t="str">
        <f t="array" ref="AM934">IF(ISNUMBER(AK934),INDEX(TM_Score2,MATCH(1,(TM_Events=D934)*(TM_Participant1=G934)*(TM_Participant2=AJ934),0)),"")</f>
        <v/>
      </c>
      <c r="AN934" s="389" t="str">
        <f t="array" ref="AN934">IF(ISNUMBER(AL934),INDEX(TM_Score2,MATCH(1,(TM_Events=D934)*(TM_Participant1=AJ934)*(TM_Participant2=G934),0)),"")</f>
        <v/>
      </c>
      <c r="AO934" s="389" t="str">
        <f t="shared" si="426"/>
        <v/>
      </c>
      <c r="AP934" s="389">
        <f t="shared" si="427"/>
        <v>0</v>
      </c>
      <c r="AQ934" s="389">
        <f t="shared" si="428"/>
        <v>0</v>
      </c>
      <c r="AR934" s="389">
        <f t="shared" si="429"/>
        <v>0</v>
      </c>
      <c r="AS934" s="453">
        <f t="shared" si="430"/>
        <v>0</v>
      </c>
      <c r="AT934" s="452">
        <f t="shared" si="431"/>
        <v>0</v>
      </c>
    </row>
    <row r="935" spans="2:46" ht="16" x14ac:dyDescent="0.2">
      <c r="B935"/>
      <c r="H935" s="387" t="str">
        <f t="shared" si="406"/>
        <v>0-0-0</v>
      </c>
      <c r="I935" s="389">
        <f t="shared" si="407"/>
        <v>0</v>
      </c>
      <c r="J935" s="455" t="str">
        <f t="shared" si="432"/>
        <v/>
      </c>
      <c r="K935" s="455">
        <f t="shared" si="408"/>
        <v>0</v>
      </c>
      <c r="L935" s="455">
        <f t="shared" si="433"/>
        <v>0</v>
      </c>
      <c r="M935" s="389" t="str">
        <f>IFERROR(IF(AD935&lt;=VLOOKUP(D935,Tournaments!$A$1:$B$1772,2,FALSE),"TRUE","FALSE"),"")</f>
        <v/>
      </c>
      <c r="N935" s="389">
        <v>1</v>
      </c>
      <c r="O935" s="389">
        <f t="shared" si="409"/>
        <v>0</v>
      </c>
      <c r="Q935" s="389">
        <f t="shared" si="410"/>
        <v>0</v>
      </c>
      <c r="R935" s="389">
        <f t="shared" si="411"/>
        <v>0</v>
      </c>
      <c r="S935" s="389">
        <f t="shared" si="412"/>
        <v>0</v>
      </c>
      <c r="U935" s="389">
        <f t="shared" si="413"/>
        <v>0</v>
      </c>
      <c r="V935" s="389" t="b">
        <f t="shared" si="414"/>
        <v>0</v>
      </c>
      <c r="W935" s="389">
        <f t="shared" si="415"/>
        <v>0</v>
      </c>
      <c r="X935" s="389">
        <f t="shared" si="416"/>
        <v>0</v>
      </c>
      <c r="Y935" s="389">
        <f t="shared" si="434"/>
        <v>1.0999999999999999E-2</v>
      </c>
      <c r="Z935" s="389">
        <f t="shared" si="417"/>
        <v>1.0999999999999999E-2</v>
      </c>
      <c r="AA935" s="389">
        <f t="shared" si="418"/>
        <v>0</v>
      </c>
      <c r="AB935" s="389">
        <f t="shared" si="419"/>
        <v>1E-4</v>
      </c>
      <c r="AC935" s="389">
        <f t="shared" si="420"/>
        <v>1E-4</v>
      </c>
      <c r="AD935" s="389">
        <f t="shared" si="421"/>
        <v>0</v>
      </c>
      <c r="AE935" s="389">
        <f t="shared" si="422"/>
        <v>0</v>
      </c>
      <c r="AG935" s="311" t="str">
        <f t="shared" si="423"/>
        <v>-</v>
      </c>
      <c r="AH935" s="453" t="str">
        <f t="shared" si="424"/>
        <v/>
      </c>
      <c r="AI935" s="453" t="str">
        <f t="shared" si="425"/>
        <v/>
      </c>
      <c r="AJ935" t="str">
        <f t="array" ref="AJ935">IF(AND(AI935&gt;1,G935&lt;&gt;""),INDEX(FS_teams,MATCH(1,(FS_Keys=AG935)*(FS_Points=I935)*(FS_teams&lt;&gt;G935),0)),"")</f>
        <v/>
      </c>
      <c r="AK935" s="390" t="str">
        <f t="array" ref="AK935">IF(AJ935&lt;&gt;"",INDEX(TM_Score1,MATCH(1,(TM_Events=D935)*(TM_Participant1=G935)*(TM_Participant2=AJ935),0)),"")</f>
        <v/>
      </c>
      <c r="AL935" s="390" t="str">
        <f t="array" ref="AL935">IF(AJ935&lt;&gt;"",INDEX(TM_Score1,MATCH(1,(TM_Events=D935)*(TM_Participant1=AJ935)*(TM_Participant2=G935),0)),"")</f>
        <v/>
      </c>
      <c r="AM935" s="389" t="str">
        <f t="array" ref="AM935">IF(ISNUMBER(AK935),INDEX(TM_Score2,MATCH(1,(TM_Events=D935)*(TM_Participant1=G935)*(TM_Participant2=AJ935),0)),"")</f>
        <v/>
      </c>
      <c r="AN935" s="389" t="str">
        <f t="array" ref="AN935">IF(ISNUMBER(AL935),INDEX(TM_Score2,MATCH(1,(TM_Events=D935)*(TM_Participant1=AJ935)*(TM_Participant2=G935),0)),"")</f>
        <v/>
      </c>
      <c r="AO935" s="389" t="str">
        <f t="shared" si="426"/>
        <v/>
      </c>
      <c r="AP935" s="389">
        <f t="shared" si="427"/>
        <v>0</v>
      </c>
      <c r="AQ935" s="389">
        <f t="shared" si="428"/>
        <v>0</v>
      </c>
      <c r="AR935" s="389">
        <f t="shared" si="429"/>
        <v>0</v>
      </c>
      <c r="AS935" s="453">
        <f t="shared" si="430"/>
        <v>0</v>
      </c>
      <c r="AT935" s="452">
        <f t="shared" si="431"/>
        <v>0</v>
      </c>
    </row>
    <row r="936" spans="2:46" ht="16" x14ac:dyDescent="0.2">
      <c r="B936"/>
      <c r="H936" s="387" t="str">
        <f t="shared" si="406"/>
        <v>0-0-0</v>
      </c>
      <c r="I936" s="389">
        <f t="shared" si="407"/>
        <v>0</v>
      </c>
      <c r="J936" s="455" t="str">
        <f t="shared" si="432"/>
        <v/>
      </c>
      <c r="K936" s="455">
        <f t="shared" si="408"/>
        <v>0</v>
      </c>
      <c r="L936" s="455">
        <f t="shared" si="433"/>
        <v>0</v>
      </c>
      <c r="M936" s="389" t="str">
        <f>IFERROR(IF(AD936&lt;=VLOOKUP(D936,Tournaments!$A$1:$B$1772,2,FALSE),"TRUE","FALSE"),"")</f>
        <v/>
      </c>
      <c r="N936" s="389">
        <v>1</v>
      </c>
      <c r="O936" s="389">
        <f t="shared" si="409"/>
        <v>0</v>
      </c>
      <c r="Q936" s="389">
        <f t="shared" si="410"/>
        <v>0</v>
      </c>
      <c r="R936" s="389">
        <f t="shared" si="411"/>
        <v>0</v>
      </c>
      <c r="S936" s="389">
        <f t="shared" si="412"/>
        <v>0</v>
      </c>
      <c r="U936" s="389">
        <f t="shared" si="413"/>
        <v>0</v>
      </c>
      <c r="V936" s="389" t="b">
        <f t="shared" si="414"/>
        <v>0</v>
      </c>
      <c r="W936" s="389">
        <f t="shared" si="415"/>
        <v>0</v>
      </c>
      <c r="X936" s="389">
        <f t="shared" si="416"/>
        <v>0</v>
      </c>
      <c r="Y936" s="389">
        <f t="shared" si="434"/>
        <v>1.0999999999999999E-2</v>
      </c>
      <c r="Z936" s="389">
        <f t="shared" si="417"/>
        <v>1.0999999999999999E-2</v>
      </c>
      <c r="AA936" s="389">
        <f t="shared" si="418"/>
        <v>0</v>
      </c>
      <c r="AB936" s="389">
        <f t="shared" si="419"/>
        <v>1E-4</v>
      </c>
      <c r="AC936" s="389">
        <f t="shared" si="420"/>
        <v>1E-4</v>
      </c>
      <c r="AD936" s="389">
        <f t="shared" si="421"/>
        <v>0</v>
      </c>
      <c r="AE936" s="389">
        <f t="shared" si="422"/>
        <v>0</v>
      </c>
      <c r="AG936" s="311" t="str">
        <f t="shared" si="423"/>
        <v>-</v>
      </c>
      <c r="AH936" s="453" t="str">
        <f t="shared" si="424"/>
        <v/>
      </c>
      <c r="AI936" s="453" t="str">
        <f t="shared" si="425"/>
        <v/>
      </c>
      <c r="AJ936" t="str">
        <f t="array" ref="AJ936">IF(AND(AI936&gt;1,G936&lt;&gt;""),INDEX(FS_teams,MATCH(1,(FS_Keys=AG936)*(FS_Points=I936)*(FS_teams&lt;&gt;G936),0)),"")</f>
        <v/>
      </c>
      <c r="AK936" s="390" t="str">
        <f t="array" ref="AK936">IF(AJ936&lt;&gt;"",INDEX(TM_Score1,MATCH(1,(TM_Events=D936)*(TM_Participant1=G936)*(TM_Participant2=AJ936),0)),"")</f>
        <v/>
      </c>
      <c r="AL936" s="390" t="str">
        <f t="array" ref="AL936">IF(AJ936&lt;&gt;"",INDEX(TM_Score1,MATCH(1,(TM_Events=D936)*(TM_Participant1=AJ936)*(TM_Participant2=G936),0)),"")</f>
        <v/>
      </c>
      <c r="AM936" s="389" t="str">
        <f t="array" ref="AM936">IF(ISNUMBER(AK936),INDEX(TM_Score2,MATCH(1,(TM_Events=D936)*(TM_Participant1=G936)*(TM_Participant2=AJ936),0)),"")</f>
        <v/>
      </c>
      <c r="AN936" s="389" t="str">
        <f t="array" ref="AN936">IF(ISNUMBER(AL936),INDEX(TM_Score2,MATCH(1,(TM_Events=D936)*(TM_Participant1=AJ936)*(TM_Participant2=G936),0)),"")</f>
        <v/>
      </c>
      <c r="AO936" s="389" t="str">
        <f t="shared" si="426"/>
        <v/>
      </c>
      <c r="AP936" s="389">
        <f t="shared" si="427"/>
        <v>0</v>
      </c>
      <c r="AQ936" s="389">
        <f t="shared" si="428"/>
        <v>0</v>
      </c>
      <c r="AR936" s="389">
        <f t="shared" si="429"/>
        <v>0</v>
      </c>
      <c r="AS936" s="453">
        <f t="shared" si="430"/>
        <v>0</v>
      </c>
      <c r="AT936" s="452">
        <f t="shared" si="431"/>
        <v>0</v>
      </c>
    </row>
    <row r="937" spans="2:46" ht="16" x14ac:dyDescent="0.2">
      <c r="B937"/>
      <c r="H937" s="387" t="str">
        <f t="shared" si="406"/>
        <v>0-0-0</v>
      </c>
      <c r="I937" s="389">
        <f t="shared" si="407"/>
        <v>0</v>
      </c>
      <c r="J937" s="455" t="str">
        <f t="shared" si="432"/>
        <v/>
      </c>
      <c r="K937" s="455">
        <f t="shared" si="408"/>
        <v>0</v>
      </c>
      <c r="L937" s="455">
        <f t="shared" si="433"/>
        <v>0</v>
      </c>
      <c r="M937" s="389" t="str">
        <f>IFERROR(IF(AD937&lt;=VLOOKUP(D937,Tournaments!$A$1:$B$1772,2,FALSE),"TRUE","FALSE"),"")</f>
        <v/>
      </c>
      <c r="N937" s="389">
        <v>1</v>
      </c>
      <c r="O937" s="389">
        <f t="shared" si="409"/>
        <v>0</v>
      </c>
      <c r="Q937" s="389">
        <f t="shared" si="410"/>
        <v>0</v>
      </c>
      <c r="R937" s="389">
        <f t="shared" si="411"/>
        <v>0</v>
      </c>
      <c r="S937" s="389">
        <f t="shared" si="412"/>
        <v>0</v>
      </c>
      <c r="U937" s="389">
        <f t="shared" si="413"/>
        <v>0</v>
      </c>
      <c r="V937" s="389" t="b">
        <f t="shared" si="414"/>
        <v>0</v>
      </c>
      <c r="W937" s="389">
        <f t="shared" si="415"/>
        <v>0</v>
      </c>
      <c r="X937" s="389">
        <f t="shared" si="416"/>
        <v>0</v>
      </c>
      <c r="Y937" s="389">
        <f t="shared" si="434"/>
        <v>1.0999999999999999E-2</v>
      </c>
      <c r="Z937" s="389">
        <f t="shared" si="417"/>
        <v>1.0999999999999999E-2</v>
      </c>
      <c r="AA937" s="389">
        <f t="shared" si="418"/>
        <v>0</v>
      </c>
      <c r="AB937" s="389">
        <f t="shared" si="419"/>
        <v>1E-4</v>
      </c>
      <c r="AC937" s="389">
        <f t="shared" si="420"/>
        <v>1E-4</v>
      </c>
      <c r="AD937" s="389">
        <f t="shared" si="421"/>
        <v>0</v>
      </c>
      <c r="AE937" s="389">
        <f t="shared" si="422"/>
        <v>0</v>
      </c>
      <c r="AG937" s="311" t="str">
        <f t="shared" si="423"/>
        <v>-</v>
      </c>
      <c r="AH937" s="453" t="str">
        <f t="shared" si="424"/>
        <v/>
      </c>
      <c r="AI937" s="453" t="str">
        <f t="shared" si="425"/>
        <v/>
      </c>
      <c r="AJ937" t="str">
        <f t="array" ref="AJ937">IF(AND(AI937&gt;1,G937&lt;&gt;""),INDEX(FS_teams,MATCH(1,(FS_Keys=AG937)*(FS_Points=I937)*(FS_teams&lt;&gt;G937),0)),"")</f>
        <v/>
      </c>
      <c r="AK937" s="390" t="str">
        <f t="array" ref="AK937">IF(AJ937&lt;&gt;"",INDEX(TM_Score1,MATCH(1,(TM_Events=D937)*(TM_Participant1=G937)*(TM_Participant2=AJ937),0)),"")</f>
        <v/>
      </c>
      <c r="AL937" s="390" t="str">
        <f t="array" ref="AL937">IF(AJ937&lt;&gt;"",INDEX(TM_Score1,MATCH(1,(TM_Events=D937)*(TM_Participant1=AJ937)*(TM_Participant2=G937),0)),"")</f>
        <v/>
      </c>
      <c r="AM937" s="389" t="str">
        <f t="array" ref="AM937">IF(ISNUMBER(AK937),INDEX(TM_Score2,MATCH(1,(TM_Events=D937)*(TM_Participant1=G937)*(TM_Participant2=AJ937),0)),"")</f>
        <v/>
      </c>
      <c r="AN937" s="389" t="str">
        <f t="array" ref="AN937">IF(ISNUMBER(AL937),INDEX(TM_Score2,MATCH(1,(TM_Events=D937)*(TM_Participant1=AJ937)*(TM_Participant2=G937),0)),"")</f>
        <v/>
      </c>
      <c r="AO937" s="389" t="str">
        <f t="shared" si="426"/>
        <v/>
      </c>
      <c r="AP937" s="389">
        <f t="shared" si="427"/>
        <v>0</v>
      </c>
      <c r="AQ937" s="389">
        <f t="shared" si="428"/>
        <v>0</v>
      </c>
      <c r="AR937" s="389">
        <f t="shared" si="429"/>
        <v>0</v>
      </c>
      <c r="AS937" s="453">
        <f t="shared" si="430"/>
        <v>0</v>
      </c>
      <c r="AT937" s="452">
        <f t="shared" si="431"/>
        <v>0</v>
      </c>
    </row>
    <row r="938" spans="2:46" ht="16" x14ac:dyDescent="0.2">
      <c r="B938"/>
      <c r="H938" s="387" t="str">
        <f t="shared" si="406"/>
        <v>0-0-0</v>
      </c>
      <c r="I938" s="389">
        <f t="shared" si="407"/>
        <v>0</v>
      </c>
      <c r="J938" s="455" t="str">
        <f t="shared" si="432"/>
        <v/>
      </c>
      <c r="K938" s="455">
        <f t="shared" si="408"/>
        <v>0</v>
      </c>
      <c r="L938" s="455">
        <f t="shared" si="433"/>
        <v>0</v>
      </c>
      <c r="M938" s="389" t="str">
        <f>IFERROR(IF(AD938&lt;=VLOOKUP(D938,Tournaments!$A$1:$B$1772,2,FALSE),"TRUE","FALSE"),"")</f>
        <v/>
      </c>
      <c r="N938" s="389">
        <v>1</v>
      </c>
      <c r="O938" s="389">
        <f t="shared" si="409"/>
        <v>0</v>
      </c>
      <c r="Q938" s="389">
        <f t="shared" si="410"/>
        <v>0</v>
      </c>
      <c r="R938" s="389">
        <f t="shared" si="411"/>
        <v>0</v>
      </c>
      <c r="S938" s="389">
        <f t="shared" si="412"/>
        <v>0</v>
      </c>
      <c r="U938" s="389">
        <f t="shared" si="413"/>
        <v>0</v>
      </c>
      <c r="V938" s="389" t="b">
        <f t="shared" si="414"/>
        <v>0</v>
      </c>
      <c r="W938" s="389">
        <f t="shared" si="415"/>
        <v>0</v>
      </c>
      <c r="X938" s="389">
        <f t="shared" si="416"/>
        <v>0</v>
      </c>
      <c r="Y938" s="389">
        <f t="shared" si="434"/>
        <v>1.0999999999999999E-2</v>
      </c>
      <c r="Z938" s="389">
        <f t="shared" si="417"/>
        <v>1.0999999999999999E-2</v>
      </c>
      <c r="AA938" s="389">
        <f t="shared" si="418"/>
        <v>0</v>
      </c>
      <c r="AB938" s="389">
        <f t="shared" si="419"/>
        <v>1E-4</v>
      </c>
      <c r="AC938" s="389">
        <f t="shared" si="420"/>
        <v>1E-4</v>
      </c>
      <c r="AD938" s="389">
        <f t="shared" si="421"/>
        <v>0</v>
      </c>
      <c r="AE938" s="389">
        <f t="shared" si="422"/>
        <v>0</v>
      </c>
      <c r="AG938" s="311" t="str">
        <f t="shared" si="423"/>
        <v>-</v>
      </c>
      <c r="AH938" s="453" t="str">
        <f t="shared" si="424"/>
        <v/>
      </c>
      <c r="AI938" s="453" t="str">
        <f t="shared" si="425"/>
        <v/>
      </c>
      <c r="AJ938" t="str">
        <f t="array" ref="AJ938">IF(AND(AI938&gt;1,G938&lt;&gt;""),INDEX(FS_teams,MATCH(1,(FS_Keys=AG938)*(FS_Points=I938)*(FS_teams&lt;&gt;G938),0)),"")</f>
        <v/>
      </c>
      <c r="AK938" s="390" t="str">
        <f t="array" ref="AK938">IF(AJ938&lt;&gt;"",INDEX(TM_Score1,MATCH(1,(TM_Events=D938)*(TM_Participant1=G938)*(TM_Participant2=AJ938),0)),"")</f>
        <v/>
      </c>
      <c r="AL938" s="390" t="str">
        <f t="array" ref="AL938">IF(AJ938&lt;&gt;"",INDEX(TM_Score1,MATCH(1,(TM_Events=D938)*(TM_Participant1=AJ938)*(TM_Participant2=G938),0)),"")</f>
        <v/>
      </c>
      <c r="AM938" s="389" t="str">
        <f t="array" ref="AM938">IF(ISNUMBER(AK938),INDEX(TM_Score2,MATCH(1,(TM_Events=D938)*(TM_Participant1=G938)*(TM_Participant2=AJ938),0)),"")</f>
        <v/>
      </c>
      <c r="AN938" s="389" t="str">
        <f t="array" ref="AN938">IF(ISNUMBER(AL938),INDEX(TM_Score2,MATCH(1,(TM_Events=D938)*(TM_Participant1=AJ938)*(TM_Participant2=G938),0)),"")</f>
        <v/>
      </c>
      <c r="AO938" s="389" t="str">
        <f t="shared" si="426"/>
        <v/>
      </c>
      <c r="AP938" s="389">
        <f t="shared" si="427"/>
        <v>0</v>
      </c>
      <c r="AQ938" s="389">
        <f t="shared" si="428"/>
        <v>0</v>
      </c>
      <c r="AR938" s="389">
        <f t="shared" si="429"/>
        <v>0</v>
      </c>
      <c r="AS938" s="453">
        <f t="shared" si="430"/>
        <v>0</v>
      </c>
      <c r="AT938" s="452">
        <f t="shared" si="431"/>
        <v>0</v>
      </c>
    </row>
    <row r="939" spans="2:46" ht="16" x14ac:dyDescent="0.2">
      <c r="B939"/>
      <c r="H939" s="387" t="str">
        <f t="shared" si="406"/>
        <v>0-0-0</v>
      </c>
      <c r="I939" s="389">
        <f t="shared" si="407"/>
        <v>0</v>
      </c>
      <c r="J939" s="455" t="str">
        <f t="shared" si="432"/>
        <v/>
      </c>
      <c r="K939" s="455">
        <f t="shared" si="408"/>
        <v>0</v>
      </c>
      <c r="L939" s="455">
        <f t="shared" si="433"/>
        <v>0</v>
      </c>
      <c r="M939" s="389" t="str">
        <f>IFERROR(IF(AD939&lt;=VLOOKUP(D939,Tournaments!$A$1:$B$1772,2,FALSE),"TRUE","FALSE"),"")</f>
        <v/>
      </c>
      <c r="N939" s="389">
        <v>1</v>
      </c>
      <c r="O939" s="389">
        <f t="shared" si="409"/>
        <v>0</v>
      </c>
      <c r="Q939" s="389">
        <f t="shared" si="410"/>
        <v>0</v>
      </c>
      <c r="R939" s="389">
        <f t="shared" si="411"/>
        <v>0</v>
      </c>
      <c r="S939" s="389">
        <f t="shared" si="412"/>
        <v>0</v>
      </c>
      <c r="U939" s="389">
        <f t="shared" si="413"/>
        <v>0</v>
      </c>
      <c r="V939" s="389" t="b">
        <f t="shared" si="414"/>
        <v>0</v>
      </c>
      <c r="W939" s="389">
        <f t="shared" si="415"/>
        <v>0</v>
      </c>
      <c r="X939" s="389">
        <f t="shared" si="416"/>
        <v>0</v>
      </c>
      <c r="Y939" s="389">
        <f t="shared" si="434"/>
        <v>1.0999999999999999E-2</v>
      </c>
      <c r="Z939" s="389">
        <f t="shared" si="417"/>
        <v>1.0999999999999999E-2</v>
      </c>
      <c r="AA939" s="389">
        <f t="shared" si="418"/>
        <v>0</v>
      </c>
      <c r="AB939" s="389">
        <f t="shared" si="419"/>
        <v>1E-4</v>
      </c>
      <c r="AC939" s="389">
        <f t="shared" si="420"/>
        <v>1E-4</v>
      </c>
      <c r="AD939" s="389">
        <f t="shared" si="421"/>
        <v>0</v>
      </c>
      <c r="AE939" s="389">
        <f t="shared" si="422"/>
        <v>0</v>
      </c>
      <c r="AG939" s="311" t="str">
        <f t="shared" si="423"/>
        <v>-</v>
      </c>
      <c r="AH939" s="453" t="str">
        <f t="shared" si="424"/>
        <v/>
      </c>
      <c r="AI939" s="453" t="str">
        <f t="shared" si="425"/>
        <v/>
      </c>
      <c r="AJ939" t="str">
        <f t="array" ref="AJ939">IF(AND(AI939&gt;1,G939&lt;&gt;""),INDEX(FS_teams,MATCH(1,(FS_Keys=AG939)*(FS_Points=I939)*(FS_teams&lt;&gt;G939),0)),"")</f>
        <v/>
      </c>
      <c r="AK939" s="390" t="str">
        <f t="array" ref="AK939">IF(AJ939&lt;&gt;"",INDEX(TM_Score1,MATCH(1,(TM_Events=D939)*(TM_Participant1=G939)*(TM_Participant2=AJ939),0)),"")</f>
        <v/>
      </c>
      <c r="AL939" s="390" t="str">
        <f t="array" ref="AL939">IF(AJ939&lt;&gt;"",INDEX(TM_Score1,MATCH(1,(TM_Events=D939)*(TM_Participant1=AJ939)*(TM_Participant2=G939),0)),"")</f>
        <v/>
      </c>
      <c r="AM939" s="389" t="str">
        <f t="array" ref="AM939">IF(ISNUMBER(AK939),INDEX(TM_Score2,MATCH(1,(TM_Events=D939)*(TM_Participant1=G939)*(TM_Participant2=AJ939),0)),"")</f>
        <v/>
      </c>
      <c r="AN939" s="389" t="str">
        <f t="array" ref="AN939">IF(ISNUMBER(AL939),INDEX(TM_Score2,MATCH(1,(TM_Events=D939)*(TM_Participant1=AJ939)*(TM_Participant2=G939),0)),"")</f>
        <v/>
      </c>
      <c r="AO939" s="389" t="str">
        <f t="shared" si="426"/>
        <v/>
      </c>
      <c r="AP939" s="389">
        <f t="shared" si="427"/>
        <v>0</v>
      </c>
      <c r="AQ939" s="389">
        <f t="shared" si="428"/>
        <v>0</v>
      </c>
      <c r="AR939" s="389">
        <f t="shared" si="429"/>
        <v>0</v>
      </c>
      <c r="AS939" s="453">
        <f t="shared" si="430"/>
        <v>0</v>
      </c>
      <c r="AT939" s="452">
        <f t="shared" si="431"/>
        <v>0</v>
      </c>
    </row>
    <row r="940" spans="2:46" ht="16" x14ac:dyDescent="0.2">
      <c r="B940"/>
      <c r="H940" s="387" t="str">
        <f t="shared" si="406"/>
        <v>0-0-0</v>
      </c>
      <c r="I940" s="389">
        <f t="shared" si="407"/>
        <v>0</v>
      </c>
      <c r="J940" s="455" t="str">
        <f t="shared" si="432"/>
        <v/>
      </c>
      <c r="K940" s="455">
        <f t="shared" si="408"/>
        <v>0</v>
      </c>
      <c r="L940" s="455">
        <f t="shared" si="433"/>
        <v>0</v>
      </c>
      <c r="M940" s="389" t="str">
        <f>IFERROR(IF(AD940&lt;=VLOOKUP(D940,Tournaments!$A$1:$B$1772,2,FALSE),"TRUE","FALSE"),"")</f>
        <v/>
      </c>
      <c r="N940" s="389">
        <v>1</v>
      </c>
      <c r="O940" s="389">
        <f t="shared" si="409"/>
        <v>0</v>
      </c>
      <c r="Q940" s="389">
        <f t="shared" si="410"/>
        <v>0</v>
      </c>
      <c r="R940" s="389">
        <f t="shared" si="411"/>
        <v>0</v>
      </c>
      <c r="S940" s="389">
        <f t="shared" si="412"/>
        <v>0</v>
      </c>
      <c r="U940" s="389">
        <f t="shared" si="413"/>
        <v>0</v>
      </c>
      <c r="V940" s="389" t="b">
        <f t="shared" si="414"/>
        <v>0</v>
      </c>
      <c r="W940" s="389">
        <f t="shared" si="415"/>
        <v>0</v>
      </c>
      <c r="X940" s="389">
        <f t="shared" si="416"/>
        <v>0</v>
      </c>
      <c r="Y940" s="389">
        <f t="shared" si="434"/>
        <v>1.0999999999999999E-2</v>
      </c>
      <c r="Z940" s="389">
        <f t="shared" si="417"/>
        <v>1.0999999999999999E-2</v>
      </c>
      <c r="AA940" s="389">
        <f t="shared" si="418"/>
        <v>0</v>
      </c>
      <c r="AB940" s="389">
        <f t="shared" si="419"/>
        <v>1E-4</v>
      </c>
      <c r="AC940" s="389">
        <f t="shared" si="420"/>
        <v>1E-4</v>
      </c>
      <c r="AD940" s="389">
        <f t="shared" si="421"/>
        <v>0</v>
      </c>
      <c r="AE940" s="389">
        <f t="shared" si="422"/>
        <v>0</v>
      </c>
      <c r="AG940" s="311" t="str">
        <f t="shared" si="423"/>
        <v>-</v>
      </c>
      <c r="AH940" s="453" t="str">
        <f t="shared" si="424"/>
        <v/>
      </c>
      <c r="AI940" s="453" t="str">
        <f t="shared" si="425"/>
        <v/>
      </c>
      <c r="AJ940" t="str">
        <f t="array" ref="AJ940">IF(AND(AI940&gt;1,G940&lt;&gt;""),INDEX(FS_teams,MATCH(1,(FS_Keys=AG940)*(FS_Points=I940)*(FS_teams&lt;&gt;G940),0)),"")</f>
        <v/>
      </c>
      <c r="AK940" s="390" t="str">
        <f t="array" ref="AK940">IF(AJ940&lt;&gt;"",INDEX(TM_Score1,MATCH(1,(TM_Events=D940)*(TM_Participant1=G940)*(TM_Participant2=AJ940),0)),"")</f>
        <v/>
      </c>
      <c r="AL940" s="390" t="str">
        <f t="array" ref="AL940">IF(AJ940&lt;&gt;"",INDEX(TM_Score1,MATCH(1,(TM_Events=D940)*(TM_Participant1=AJ940)*(TM_Participant2=G940),0)),"")</f>
        <v/>
      </c>
      <c r="AM940" s="389" t="str">
        <f t="array" ref="AM940">IF(ISNUMBER(AK940),INDEX(TM_Score2,MATCH(1,(TM_Events=D940)*(TM_Participant1=G940)*(TM_Participant2=AJ940),0)),"")</f>
        <v/>
      </c>
      <c r="AN940" s="389" t="str">
        <f t="array" ref="AN940">IF(ISNUMBER(AL940),INDEX(TM_Score2,MATCH(1,(TM_Events=D940)*(TM_Participant1=AJ940)*(TM_Participant2=G940),0)),"")</f>
        <v/>
      </c>
      <c r="AO940" s="389" t="str">
        <f t="shared" si="426"/>
        <v/>
      </c>
      <c r="AP940" s="389">
        <f t="shared" si="427"/>
        <v>0</v>
      </c>
      <c r="AQ940" s="389">
        <f t="shared" si="428"/>
        <v>0</v>
      </c>
      <c r="AR940" s="389">
        <f t="shared" si="429"/>
        <v>0</v>
      </c>
      <c r="AS940" s="453">
        <f t="shared" si="430"/>
        <v>0</v>
      </c>
      <c r="AT940" s="452">
        <f t="shared" si="431"/>
        <v>0</v>
      </c>
    </row>
    <row r="941" spans="2:46" ht="16" x14ac:dyDescent="0.2">
      <c r="B941"/>
      <c r="H941" s="387" t="str">
        <f t="shared" si="406"/>
        <v>0-0-0</v>
      </c>
      <c r="I941" s="389">
        <f t="shared" si="407"/>
        <v>0</v>
      </c>
      <c r="J941" s="455" t="str">
        <f t="shared" si="432"/>
        <v/>
      </c>
      <c r="K941" s="455">
        <f t="shared" si="408"/>
        <v>0</v>
      </c>
      <c r="L941" s="455">
        <f t="shared" si="433"/>
        <v>0</v>
      </c>
      <c r="M941" s="389" t="str">
        <f>IFERROR(IF(AD941&lt;=VLOOKUP(D941,Tournaments!$A$1:$B$1772,2,FALSE),"TRUE","FALSE"),"")</f>
        <v/>
      </c>
      <c r="N941" s="389">
        <v>1</v>
      </c>
      <c r="O941" s="389">
        <f t="shared" si="409"/>
        <v>0</v>
      </c>
      <c r="Q941" s="389">
        <f t="shared" si="410"/>
        <v>0</v>
      </c>
      <c r="R941" s="389">
        <f t="shared" si="411"/>
        <v>0</v>
      </c>
      <c r="S941" s="389">
        <f t="shared" si="412"/>
        <v>0</v>
      </c>
      <c r="U941" s="389">
        <f t="shared" si="413"/>
        <v>0</v>
      </c>
      <c r="V941" s="389" t="b">
        <f t="shared" si="414"/>
        <v>0</v>
      </c>
      <c r="W941" s="389">
        <f t="shared" si="415"/>
        <v>0</v>
      </c>
      <c r="X941" s="389">
        <f t="shared" si="416"/>
        <v>0</v>
      </c>
      <c r="Y941" s="389">
        <f t="shared" si="434"/>
        <v>1.0999999999999999E-2</v>
      </c>
      <c r="Z941" s="389">
        <f t="shared" si="417"/>
        <v>1.0999999999999999E-2</v>
      </c>
      <c r="AA941" s="389">
        <f t="shared" si="418"/>
        <v>0</v>
      </c>
      <c r="AB941" s="389">
        <f t="shared" si="419"/>
        <v>1E-4</v>
      </c>
      <c r="AC941" s="389">
        <f t="shared" si="420"/>
        <v>1E-4</v>
      </c>
      <c r="AD941" s="389">
        <f t="shared" si="421"/>
        <v>0</v>
      </c>
      <c r="AE941" s="389">
        <f t="shared" si="422"/>
        <v>0</v>
      </c>
      <c r="AG941" s="311" t="str">
        <f t="shared" si="423"/>
        <v>-</v>
      </c>
      <c r="AH941" s="453" t="str">
        <f t="shared" si="424"/>
        <v/>
      </c>
      <c r="AI941" s="453" t="str">
        <f t="shared" si="425"/>
        <v/>
      </c>
      <c r="AJ941" t="str">
        <f t="array" ref="AJ941">IF(AND(AI941&gt;1,G941&lt;&gt;""),INDEX(FS_teams,MATCH(1,(FS_Keys=AG941)*(FS_Points=I941)*(FS_teams&lt;&gt;G941),0)),"")</f>
        <v/>
      </c>
      <c r="AK941" s="390" t="str">
        <f t="array" ref="AK941">IF(AJ941&lt;&gt;"",INDEX(TM_Score1,MATCH(1,(TM_Events=D941)*(TM_Participant1=G941)*(TM_Participant2=AJ941),0)),"")</f>
        <v/>
      </c>
      <c r="AL941" s="390" t="str">
        <f t="array" ref="AL941">IF(AJ941&lt;&gt;"",INDEX(TM_Score1,MATCH(1,(TM_Events=D941)*(TM_Participant1=AJ941)*(TM_Participant2=G941),0)),"")</f>
        <v/>
      </c>
      <c r="AM941" s="389" t="str">
        <f t="array" ref="AM941">IF(ISNUMBER(AK941),INDEX(TM_Score2,MATCH(1,(TM_Events=D941)*(TM_Participant1=G941)*(TM_Participant2=AJ941),0)),"")</f>
        <v/>
      </c>
      <c r="AN941" s="389" t="str">
        <f t="array" ref="AN941">IF(ISNUMBER(AL941),INDEX(TM_Score2,MATCH(1,(TM_Events=D941)*(TM_Participant1=AJ941)*(TM_Participant2=G941),0)),"")</f>
        <v/>
      </c>
      <c r="AO941" s="389" t="str">
        <f t="shared" si="426"/>
        <v/>
      </c>
      <c r="AP941" s="389">
        <f t="shared" si="427"/>
        <v>0</v>
      </c>
      <c r="AQ941" s="389">
        <f t="shared" si="428"/>
        <v>0</v>
      </c>
      <c r="AR941" s="389">
        <f t="shared" si="429"/>
        <v>0</v>
      </c>
      <c r="AS941" s="453">
        <f t="shared" si="430"/>
        <v>0</v>
      </c>
      <c r="AT941" s="452">
        <f t="shared" si="431"/>
        <v>0</v>
      </c>
    </row>
    <row r="942" spans="2:46" ht="16" x14ac:dyDescent="0.2">
      <c r="B942"/>
      <c r="H942" s="387" t="str">
        <f t="shared" si="406"/>
        <v>0-0-0</v>
      </c>
      <c r="I942" s="389">
        <f t="shared" si="407"/>
        <v>0</v>
      </c>
      <c r="J942" s="455" t="str">
        <f t="shared" si="432"/>
        <v/>
      </c>
      <c r="K942" s="455">
        <f t="shared" si="408"/>
        <v>0</v>
      </c>
      <c r="L942" s="455">
        <f t="shared" si="433"/>
        <v>0</v>
      </c>
      <c r="M942" s="389" t="str">
        <f>IFERROR(IF(AD942&lt;=VLOOKUP(D942,Tournaments!$A$1:$B$1772,2,FALSE),"TRUE","FALSE"),"")</f>
        <v/>
      </c>
      <c r="N942" s="389">
        <v>1</v>
      </c>
      <c r="O942" s="389">
        <f t="shared" si="409"/>
        <v>0</v>
      </c>
      <c r="Q942" s="389">
        <f t="shared" si="410"/>
        <v>0</v>
      </c>
      <c r="R942" s="389">
        <f t="shared" si="411"/>
        <v>0</v>
      </c>
      <c r="S942" s="389">
        <f t="shared" si="412"/>
        <v>0</v>
      </c>
      <c r="U942" s="389">
        <f t="shared" si="413"/>
        <v>0</v>
      </c>
      <c r="V942" s="389" t="b">
        <f t="shared" si="414"/>
        <v>0</v>
      </c>
      <c r="W942" s="389">
        <f t="shared" si="415"/>
        <v>0</v>
      </c>
      <c r="X942" s="389">
        <f t="shared" si="416"/>
        <v>0</v>
      </c>
      <c r="Y942" s="389">
        <f t="shared" si="434"/>
        <v>1.0999999999999999E-2</v>
      </c>
      <c r="Z942" s="389">
        <f t="shared" si="417"/>
        <v>1.0999999999999999E-2</v>
      </c>
      <c r="AA942" s="389">
        <f t="shared" si="418"/>
        <v>0</v>
      </c>
      <c r="AB942" s="389">
        <f t="shared" si="419"/>
        <v>1E-4</v>
      </c>
      <c r="AC942" s="389">
        <f t="shared" si="420"/>
        <v>1E-4</v>
      </c>
      <c r="AD942" s="389">
        <f t="shared" si="421"/>
        <v>0</v>
      </c>
      <c r="AE942" s="389">
        <f t="shared" si="422"/>
        <v>0</v>
      </c>
      <c r="AG942" s="311" t="str">
        <f t="shared" si="423"/>
        <v>-</v>
      </c>
      <c r="AH942" s="453" t="str">
        <f t="shared" si="424"/>
        <v/>
      </c>
      <c r="AI942" s="453" t="str">
        <f t="shared" si="425"/>
        <v/>
      </c>
      <c r="AJ942" t="str">
        <f t="array" ref="AJ942">IF(AND(AI942&gt;1,G942&lt;&gt;""),INDEX(FS_teams,MATCH(1,(FS_Keys=AG942)*(FS_Points=I942)*(FS_teams&lt;&gt;G942),0)),"")</f>
        <v/>
      </c>
      <c r="AK942" s="390" t="str">
        <f t="array" ref="AK942">IF(AJ942&lt;&gt;"",INDEX(TM_Score1,MATCH(1,(TM_Events=D942)*(TM_Participant1=G942)*(TM_Participant2=AJ942),0)),"")</f>
        <v/>
      </c>
      <c r="AL942" s="390" t="str">
        <f t="array" ref="AL942">IF(AJ942&lt;&gt;"",INDEX(TM_Score1,MATCH(1,(TM_Events=D942)*(TM_Participant1=AJ942)*(TM_Participant2=G942),0)),"")</f>
        <v/>
      </c>
      <c r="AM942" s="389" t="str">
        <f t="array" ref="AM942">IF(ISNUMBER(AK942),INDEX(TM_Score2,MATCH(1,(TM_Events=D942)*(TM_Participant1=G942)*(TM_Participant2=AJ942),0)),"")</f>
        <v/>
      </c>
      <c r="AN942" s="389" t="str">
        <f t="array" ref="AN942">IF(ISNUMBER(AL942),INDEX(TM_Score2,MATCH(1,(TM_Events=D942)*(TM_Participant1=AJ942)*(TM_Participant2=G942),0)),"")</f>
        <v/>
      </c>
      <c r="AO942" s="389" t="str">
        <f t="shared" si="426"/>
        <v/>
      </c>
      <c r="AP942" s="389">
        <f t="shared" si="427"/>
        <v>0</v>
      </c>
      <c r="AQ942" s="389">
        <f t="shared" si="428"/>
        <v>0</v>
      </c>
      <c r="AR942" s="389">
        <f t="shared" si="429"/>
        <v>0</v>
      </c>
      <c r="AS942" s="453">
        <f t="shared" si="430"/>
        <v>0</v>
      </c>
      <c r="AT942" s="452">
        <f t="shared" si="431"/>
        <v>0</v>
      </c>
    </row>
    <row r="943" spans="2:46" ht="16" x14ac:dyDescent="0.2">
      <c r="B943"/>
      <c r="H943" s="387" t="str">
        <f t="shared" si="406"/>
        <v>0-0-0</v>
      </c>
      <c r="I943" s="389">
        <f t="shared" si="407"/>
        <v>0</v>
      </c>
      <c r="J943" s="455" t="str">
        <f t="shared" si="432"/>
        <v/>
      </c>
      <c r="K943" s="455">
        <f t="shared" si="408"/>
        <v>0</v>
      </c>
      <c r="L943" s="455">
        <f t="shared" si="433"/>
        <v>0</v>
      </c>
      <c r="M943" s="389" t="str">
        <f>IFERROR(IF(AD943&lt;=VLOOKUP(D943,Tournaments!$A$1:$B$1772,2,FALSE),"TRUE","FALSE"),"")</f>
        <v/>
      </c>
      <c r="N943" s="389">
        <v>1</v>
      </c>
      <c r="O943" s="389">
        <f t="shared" si="409"/>
        <v>0</v>
      </c>
      <c r="Q943" s="389">
        <f t="shared" si="410"/>
        <v>0</v>
      </c>
      <c r="R943" s="389">
        <f t="shared" si="411"/>
        <v>0</v>
      </c>
      <c r="S943" s="389">
        <f t="shared" si="412"/>
        <v>0</v>
      </c>
      <c r="U943" s="389">
        <f t="shared" si="413"/>
        <v>0</v>
      </c>
      <c r="V943" s="389" t="b">
        <f t="shared" si="414"/>
        <v>0</v>
      </c>
      <c r="W943" s="389">
        <f t="shared" si="415"/>
        <v>0</v>
      </c>
      <c r="X943" s="389">
        <f t="shared" si="416"/>
        <v>0</v>
      </c>
      <c r="Y943" s="389">
        <f t="shared" si="434"/>
        <v>1.0999999999999999E-2</v>
      </c>
      <c r="Z943" s="389">
        <f t="shared" si="417"/>
        <v>1.0999999999999999E-2</v>
      </c>
      <c r="AA943" s="389">
        <f t="shared" si="418"/>
        <v>0</v>
      </c>
      <c r="AB943" s="389">
        <f t="shared" si="419"/>
        <v>1E-4</v>
      </c>
      <c r="AC943" s="389">
        <f t="shared" si="420"/>
        <v>1E-4</v>
      </c>
      <c r="AD943" s="389">
        <f t="shared" si="421"/>
        <v>0</v>
      </c>
      <c r="AE943" s="389">
        <f t="shared" si="422"/>
        <v>0</v>
      </c>
      <c r="AG943" s="311" t="str">
        <f t="shared" si="423"/>
        <v>-</v>
      </c>
      <c r="AH943" s="453" t="str">
        <f t="shared" si="424"/>
        <v/>
      </c>
      <c r="AI943" s="453" t="str">
        <f t="shared" si="425"/>
        <v/>
      </c>
      <c r="AJ943" t="str">
        <f t="array" ref="AJ943">IF(AND(AI943&gt;1,G943&lt;&gt;""),INDEX(FS_teams,MATCH(1,(FS_Keys=AG943)*(FS_Points=I943)*(FS_teams&lt;&gt;G943),0)),"")</f>
        <v/>
      </c>
      <c r="AK943" s="390" t="str">
        <f t="array" ref="AK943">IF(AJ943&lt;&gt;"",INDEX(TM_Score1,MATCH(1,(TM_Events=D943)*(TM_Participant1=G943)*(TM_Participant2=AJ943),0)),"")</f>
        <v/>
      </c>
      <c r="AL943" s="390" t="str">
        <f t="array" ref="AL943">IF(AJ943&lt;&gt;"",INDEX(TM_Score1,MATCH(1,(TM_Events=D943)*(TM_Participant1=AJ943)*(TM_Participant2=G943),0)),"")</f>
        <v/>
      </c>
      <c r="AM943" s="389" t="str">
        <f t="array" ref="AM943">IF(ISNUMBER(AK943),INDEX(TM_Score2,MATCH(1,(TM_Events=D943)*(TM_Participant1=G943)*(TM_Participant2=AJ943),0)),"")</f>
        <v/>
      </c>
      <c r="AN943" s="389" t="str">
        <f t="array" ref="AN943">IF(ISNUMBER(AL943),INDEX(TM_Score2,MATCH(1,(TM_Events=D943)*(TM_Participant1=AJ943)*(TM_Participant2=G943),0)),"")</f>
        <v/>
      </c>
      <c r="AO943" s="389" t="str">
        <f t="shared" si="426"/>
        <v/>
      </c>
      <c r="AP943" s="389">
        <f t="shared" si="427"/>
        <v>0</v>
      </c>
      <c r="AQ943" s="389">
        <f t="shared" si="428"/>
        <v>0</v>
      </c>
      <c r="AR943" s="389">
        <f t="shared" si="429"/>
        <v>0</v>
      </c>
      <c r="AS943" s="453">
        <f t="shared" si="430"/>
        <v>0</v>
      </c>
      <c r="AT943" s="452">
        <f t="shared" si="431"/>
        <v>0</v>
      </c>
    </row>
    <row r="944" spans="2:46" ht="16" x14ac:dyDescent="0.2">
      <c r="B944"/>
      <c r="H944" s="387" t="str">
        <f t="shared" si="406"/>
        <v>0-0-0</v>
      </c>
      <c r="I944" s="389">
        <f t="shared" si="407"/>
        <v>0</v>
      </c>
      <c r="J944" s="455" t="str">
        <f t="shared" si="432"/>
        <v/>
      </c>
      <c r="K944" s="455">
        <f t="shared" si="408"/>
        <v>0</v>
      </c>
      <c r="L944" s="455">
        <f t="shared" si="433"/>
        <v>0</v>
      </c>
      <c r="M944" s="389" t="str">
        <f>IFERROR(IF(AD944&lt;=VLOOKUP(D944,Tournaments!$A$1:$B$1772,2,FALSE),"TRUE","FALSE"),"")</f>
        <v/>
      </c>
      <c r="N944" s="389">
        <v>1</v>
      </c>
      <c r="O944" s="389">
        <f t="shared" si="409"/>
        <v>0</v>
      </c>
      <c r="Q944" s="389">
        <f t="shared" si="410"/>
        <v>0</v>
      </c>
      <c r="R944" s="389">
        <f t="shared" si="411"/>
        <v>0</v>
      </c>
      <c r="S944" s="389">
        <f t="shared" si="412"/>
        <v>0</v>
      </c>
      <c r="U944" s="389">
        <f t="shared" si="413"/>
        <v>0</v>
      </c>
      <c r="V944" s="389" t="b">
        <f t="shared" si="414"/>
        <v>0</v>
      </c>
      <c r="W944" s="389">
        <f t="shared" si="415"/>
        <v>0</v>
      </c>
      <c r="X944" s="389">
        <f t="shared" si="416"/>
        <v>0</v>
      </c>
      <c r="Y944" s="389">
        <f t="shared" si="434"/>
        <v>1.0999999999999999E-2</v>
      </c>
      <c r="Z944" s="389">
        <f t="shared" si="417"/>
        <v>1.0999999999999999E-2</v>
      </c>
      <c r="AA944" s="389">
        <f t="shared" si="418"/>
        <v>0</v>
      </c>
      <c r="AB944" s="389">
        <f t="shared" si="419"/>
        <v>1E-4</v>
      </c>
      <c r="AC944" s="389">
        <f t="shared" si="420"/>
        <v>1E-4</v>
      </c>
      <c r="AD944" s="389">
        <f t="shared" si="421"/>
        <v>0</v>
      </c>
      <c r="AE944" s="389">
        <f t="shared" si="422"/>
        <v>0</v>
      </c>
      <c r="AG944" s="311" t="str">
        <f t="shared" si="423"/>
        <v>-</v>
      </c>
      <c r="AH944" s="453" t="str">
        <f t="shared" si="424"/>
        <v/>
      </c>
      <c r="AI944" s="453" t="str">
        <f t="shared" si="425"/>
        <v/>
      </c>
      <c r="AJ944" t="str">
        <f t="array" ref="AJ944">IF(AND(AI944&gt;1,G944&lt;&gt;""),INDEX(FS_teams,MATCH(1,(FS_Keys=AG944)*(FS_Points=I944)*(FS_teams&lt;&gt;G944),0)),"")</f>
        <v/>
      </c>
      <c r="AK944" s="390" t="str">
        <f t="array" ref="AK944">IF(AJ944&lt;&gt;"",INDEX(TM_Score1,MATCH(1,(TM_Events=D944)*(TM_Participant1=G944)*(TM_Participant2=AJ944),0)),"")</f>
        <v/>
      </c>
      <c r="AL944" s="390" t="str">
        <f t="array" ref="AL944">IF(AJ944&lt;&gt;"",INDEX(TM_Score1,MATCH(1,(TM_Events=D944)*(TM_Participant1=AJ944)*(TM_Participant2=G944),0)),"")</f>
        <v/>
      </c>
      <c r="AM944" s="389" t="str">
        <f t="array" ref="AM944">IF(ISNUMBER(AK944),INDEX(TM_Score2,MATCH(1,(TM_Events=D944)*(TM_Participant1=G944)*(TM_Participant2=AJ944),0)),"")</f>
        <v/>
      </c>
      <c r="AN944" s="389" t="str">
        <f t="array" ref="AN944">IF(ISNUMBER(AL944),INDEX(TM_Score2,MATCH(1,(TM_Events=D944)*(TM_Participant1=AJ944)*(TM_Participant2=G944),0)),"")</f>
        <v/>
      </c>
      <c r="AO944" s="389" t="str">
        <f t="shared" si="426"/>
        <v/>
      </c>
      <c r="AP944" s="389">
        <f t="shared" si="427"/>
        <v>0</v>
      </c>
      <c r="AQ944" s="389">
        <f t="shared" si="428"/>
        <v>0</v>
      </c>
      <c r="AR944" s="389">
        <f t="shared" si="429"/>
        <v>0</v>
      </c>
      <c r="AS944" s="453">
        <f t="shared" si="430"/>
        <v>0</v>
      </c>
      <c r="AT944" s="452">
        <f t="shared" si="431"/>
        <v>0</v>
      </c>
    </row>
    <row r="945" spans="2:46" ht="16" x14ac:dyDescent="0.2">
      <c r="B945"/>
      <c r="H945" s="387" t="str">
        <f t="shared" si="406"/>
        <v>0-0-0</v>
      </c>
      <c r="I945" s="389">
        <f t="shared" si="407"/>
        <v>0</v>
      </c>
      <c r="J945" s="455" t="str">
        <f t="shared" si="432"/>
        <v/>
      </c>
      <c r="K945" s="455">
        <f t="shared" si="408"/>
        <v>0</v>
      </c>
      <c r="L945" s="455">
        <f t="shared" si="433"/>
        <v>0</v>
      </c>
      <c r="M945" s="389" t="str">
        <f>IFERROR(IF(AD945&lt;=VLOOKUP(D945,Tournaments!$A$1:$B$1772,2,FALSE),"TRUE","FALSE"),"")</f>
        <v/>
      </c>
      <c r="N945" s="389">
        <v>1</v>
      </c>
      <c r="O945" s="389">
        <f t="shared" si="409"/>
        <v>0</v>
      </c>
      <c r="Q945" s="389">
        <f t="shared" si="410"/>
        <v>0</v>
      </c>
      <c r="R945" s="389">
        <f t="shared" si="411"/>
        <v>0</v>
      </c>
      <c r="S945" s="389">
        <f t="shared" si="412"/>
        <v>0</v>
      </c>
      <c r="U945" s="389">
        <f t="shared" si="413"/>
        <v>0</v>
      </c>
      <c r="V945" s="389" t="b">
        <f t="shared" si="414"/>
        <v>0</v>
      </c>
      <c r="W945" s="389">
        <f t="shared" si="415"/>
        <v>0</v>
      </c>
      <c r="X945" s="389">
        <f t="shared" si="416"/>
        <v>0</v>
      </c>
      <c r="Y945" s="389">
        <f t="shared" si="434"/>
        <v>1.0999999999999999E-2</v>
      </c>
      <c r="Z945" s="389">
        <f t="shared" si="417"/>
        <v>1.0999999999999999E-2</v>
      </c>
      <c r="AA945" s="389">
        <f t="shared" si="418"/>
        <v>0</v>
      </c>
      <c r="AB945" s="389">
        <f t="shared" si="419"/>
        <v>1E-4</v>
      </c>
      <c r="AC945" s="389">
        <f t="shared" si="420"/>
        <v>1E-4</v>
      </c>
      <c r="AD945" s="389">
        <f t="shared" si="421"/>
        <v>0</v>
      </c>
      <c r="AE945" s="389">
        <f t="shared" si="422"/>
        <v>0</v>
      </c>
      <c r="AG945" s="311" t="str">
        <f t="shared" si="423"/>
        <v>-</v>
      </c>
      <c r="AH945" s="453" t="str">
        <f t="shared" si="424"/>
        <v/>
      </c>
      <c r="AI945" s="453" t="str">
        <f t="shared" si="425"/>
        <v/>
      </c>
      <c r="AJ945" t="str">
        <f t="array" ref="AJ945">IF(AND(AI945&gt;1,G945&lt;&gt;""),INDEX(FS_teams,MATCH(1,(FS_Keys=AG945)*(FS_Points=I945)*(FS_teams&lt;&gt;G945),0)),"")</f>
        <v/>
      </c>
      <c r="AK945" s="390" t="str">
        <f t="array" ref="AK945">IF(AJ945&lt;&gt;"",INDEX(TM_Score1,MATCH(1,(TM_Events=D945)*(TM_Participant1=G945)*(TM_Participant2=AJ945),0)),"")</f>
        <v/>
      </c>
      <c r="AL945" s="390" t="str">
        <f t="array" ref="AL945">IF(AJ945&lt;&gt;"",INDEX(TM_Score1,MATCH(1,(TM_Events=D945)*(TM_Participant1=AJ945)*(TM_Participant2=G945),0)),"")</f>
        <v/>
      </c>
      <c r="AM945" s="389" t="str">
        <f t="array" ref="AM945">IF(ISNUMBER(AK945),INDEX(TM_Score2,MATCH(1,(TM_Events=D945)*(TM_Participant1=G945)*(TM_Participant2=AJ945),0)),"")</f>
        <v/>
      </c>
      <c r="AN945" s="389" t="str">
        <f t="array" ref="AN945">IF(ISNUMBER(AL945),INDEX(TM_Score2,MATCH(1,(TM_Events=D945)*(TM_Participant1=AJ945)*(TM_Participant2=G945),0)),"")</f>
        <v/>
      </c>
      <c r="AO945" s="389" t="str">
        <f t="shared" si="426"/>
        <v/>
      </c>
      <c r="AP945" s="389">
        <f t="shared" si="427"/>
        <v>0</v>
      </c>
      <c r="AQ945" s="389">
        <f t="shared" si="428"/>
        <v>0</v>
      </c>
      <c r="AR945" s="389">
        <f t="shared" si="429"/>
        <v>0</v>
      </c>
      <c r="AS945" s="453">
        <f t="shared" si="430"/>
        <v>0</v>
      </c>
      <c r="AT945" s="452">
        <f t="shared" si="431"/>
        <v>0</v>
      </c>
    </row>
    <row r="946" spans="2:46" ht="16" x14ac:dyDescent="0.2">
      <c r="B946"/>
      <c r="H946" s="387" t="str">
        <f t="shared" si="406"/>
        <v>0-0-0</v>
      </c>
      <c r="I946" s="389">
        <f t="shared" si="407"/>
        <v>0</v>
      </c>
      <c r="J946" s="455" t="str">
        <f t="shared" si="432"/>
        <v/>
      </c>
      <c r="K946" s="455">
        <f t="shared" si="408"/>
        <v>0</v>
      </c>
      <c r="L946" s="455">
        <f t="shared" si="433"/>
        <v>0</v>
      </c>
      <c r="M946" s="389" t="str">
        <f>IFERROR(IF(AD946&lt;=VLOOKUP(D946,Tournaments!$A$1:$B$1772,2,FALSE),"TRUE","FALSE"),"")</f>
        <v/>
      </c>
      <c r="N946" s="389">
        <v>1</v>
      </c>
      <c r="O946" s="389">
        <f t="shared" si="409"/>
        <v>0</v>
      </c>
      <c r="Q946" s="389">
        <f t="shared" si="410"/>
        <v>0</v>
      </c>
      <c r="R946" s="389">
        <f t="shared" si="411"/>
        <v>0</v>
      </c>
      <c r="S946" s="389">
        <f t="shared" si="412"/>
        <v>0</v>
      </c>
      <c r="U946" s="389">
        <f t="shared" si="413"/>
        <v>0</v>
      </c>
      <c r="V946" s="389" t="b">
        <f t="shared" si="414"/>
        <v>0</v>
      </c>
      <c r="W946" s="389">
        <f t="shared" si="415"/>
        <v>0</v>
      </c>
      <c r="X946" s="389">
        <f t="shared" si="416"/>
        <v>0</v>
      </c>
      <c r="Y946" s="389">
        <f t="shared" si="434"/>
        <v>1.0999999999999999E-2</v>
      </c>
      <c r="Z946" s="389">
        <f t="shared" si="417"/>
        <v>1.0999999999999999E-2</v>
      </c>
      <c r="AA946" s="389">
        <f t="shared" si="418"/>
        <v>0</v>
      </c>
      <c r="AB946" s="389">
        <f t="shared" si="419"/>
        <v>1E-4</v>
      </c>
      <c r="AC946" s="389">
        <f t="shared" si="420"/>
        <v>1E-4</v>
      </c>
      <c r="AD946" s="389">
        <f t="shared" si="421"/>
        <v>0</v>
      </c>
      <c r="AE946" s="389">
        <f t="shared" si="422"/>
        <v>0</v>
      </c>
      <c r="AG946" s="311" t="str">
        <f t="shared" si="423"/>
        <v>-</v>
      </c>
      <c r="AH946" s="453" t="str">
        <f t="shared" si="424"/>
        <v/>
      </c>
      <c r="AI946" s="453" t="str">
        <f t="shared" si="425"/>
        <v/>
      </c>
      <c r="AJ946" t="str">
        <f t="array" ref="AJ946">IF(AND(AI946&gt;1,G946&lt;&gt;""),INDEX(FS_teams,MATCH(1,(FS_Keys=AG946)*(FS_Points=I946)*(FS_teams&lt;&gt;G946),0)),"")</f>
        <v/>
      </c>
      <c r="AK946" s="390" t="str">
        <f t="array" ref="AK946">IF(AJ946&lt;&gt;"",INDEX(TM_Score1,MATCH(1,(TM_Events=D946)*(TM_Participant1=G946)*(TM_Participant2=AJ946),0)),"")</f>
        <v/>
      </c>
      <c r="AL946" s="390" t="str">
        <f t="array" ref="AL946">IF(AJ946&lt;&gt;"",INDEX(TM_Score1,MATCH(1,(TM_Events=D946)*(TM_Participant1=AJ946)*(TM_Participant2=G946),0)),"")</f>
        <v/>
      </c>
      <c r="AM946" s="389" t="str">
        <f t="array" ref="AM946">IF(ISNUMBER(AK946),INDEX(TM_Score2,MATCH(1,(TM_Events=D946)*(TM_Participant1=G946)*(TM_Participant2=AJ946),0)),"")</f>
        <v/>
      </c>
      <c r="AN946" s="389" t="str">
        <f t="array" ref="AN946">IF(ISNUMBER(AL946),INDEX(TM_Score2,MATCH(1,(TM_Events=D946)*(TM_Participant1=AJ946)*(TM_Participant2=G946),0)),"")</f>
        <v/>
      </c>
      <c r="AO946" s="389" t="str">
        <f t="shared" si="426"/>
        <v/>
      </c>
      <c r="AP946" s="389">
        <f t="shared" si="427"/>
        <v>0</v>
      </c>
      <c r="AQ946" s="389">
        <f t="shared" si="428"/>
        <v>0</v>
      </c>
      <c r="AR946" s="389">
        <f t="shared" si="429"/>
        <v>0</v>
      </c>
      <c r="AS946" s="453">
        <f t="shared" si="430"/>
        <v>0</v>
      </c>
      <c r="AT946" s="452">
        <f t="shared" si="431"/>
        <v>0</v>
      </c>
    </row>
    <row r="947" spans="2:46" ht="16" x14ac:dyDescent="0.2">
      <c r="B947"/>
      <c r="H947" s="387" t="str">
        <f t="shared" si="406"/>
        <v>0-0-0</v>
      </c>
      <c r="I947" s="389">
        <f t="shared" si="407"/>
        <v>0</v>
      </c>
      <c r="J947" s="455" t="str">
        <f t="shared" si="432"/>
        <v/>
      </c>
      <c r="K947" s="455">
        <f t="shared" si="408"/>
        <v>0</v>
      </c>
      <c r="L947" s="455">
        <f t="shared" si="433"/>
        <v>0</v>
      </c>
      <c r="M947" s="389" t="str">
        <f>IFERROR(IF(AD947&lt;=VLOOKUP(D947,Tournaments!$A$1:$B$1772,2,FALSE),"TRUE","FALSE"),"")</f>
        <v/>
      </c>
      <c r="N947" s="389">
        <v>1</v>
      </c>
      <c r="O947" s="389">
        <f t="shared" si="409"/>
        <v>0</v>
      </c>
      <c r="Q947" s="389">
        <f t="shared" si="410"/>
        <v>0</v>
      </c>
      <c r="R947" s="389">
        <f t="shared" si="411"/>
        <v>0</v>
      </c>
      <c r="S947" s="389">
        <f t="shared" si="412"/>
        <v>0</v>
      </c>
      <c r="U947" s="389">
        <f t="shared" si="413"/>
        <v>0</v>
      </c>
      <c r="V947" s="389" t="b">
        <f t="shared" si="414"/>
        <v>0</v>
      </c>
      <c r="W947" s="389">
        <f t="shared" si="415"/>
        <v>0</v>
      </c>
      <c r="X947" s="389">
        <f t="shared" si="416"/>
        <v>0</v>
      </c>
      <c r="Y947" s="389">
        <f t="shared" si="434"/>
        <v>1.0999999999999999E-2</v>
      </c>
      <c r="Z947" s="389">
        <f t="shared" si="417"/>
        <v>1.0999999999999999E-2</v>
      </c>
      <c r="AA947" s="389">
        <f t="shared" si="418"/>
        <v>0</v>
      </c>
      <c r="AB947" s="389">
        <f t="shared" si="419"/>
        <v>1E-4</v>
      </c>
      <c r="AC947" s="389">
        <f t="shared" si="420"/>
        <v>1E-4</v>
      </c>
      <c r="AD947" s="389">
        <f t="shared" si="421"/>
        <v>0</v>
      </c>
      <c r="AE947" s="389">
        <f t="shared" si="422"/>
        <v>0</v>
      </c>
      <c r="AG947" s="311" t="str">
        <f t="shared" si="423"/>
        <v>-</v>
      </c>
      <c r="AH947" s="453" t="str">
        <f t="shared" si="424"/>
        <v/>
      </c>
      <c r="AI947" s="453" t="str">
        <f t="shared" si="425"/>
        <v/>
      </c>
      <c r="AJ947" t="str">
        <f t="array" ref="AJ947">IF(AND(AI947&gt;1,G947&lt;&gt;""),INDEX(FS_teams,MATCH(1,(FS_Keys=AG947)*(FS_Points=I947)*(FS_teams&lt;&gt;G947),0)),"")</f>
        <v/>
      </c>
      <c r="AK947" s="390" t="str">
        <f t="array" ref="AK947">IF(AJ947&lt;&gt;"",INDEX(TM_Score1,MATCH(1,(TM_Events=D947)*(TM_Participant1=G947)*(TM_Participant2=AJ947),0)),"")</f>
        <v/>
      </c>
      <c r="AL947" s="390" t="str">
        <f t="array" ref="AL947">IF(AJ947&lt;&gt;"",INDEX(TM_Score1,MATCH(1,(TM_Events=D947)*(TM_Participant1=AJ947)*(TM_Participant2=G947),0)),"")</f>
        <v/>
      </c>
      <c r="AM947" s="389" t="str">
        <f t="array" ref="AM947">IF(ISNUMBER(AK947),INDEX(TM_Score2,MATCH(1,(TM_Events=D947)*(TM_Participant1=G947)*(TM_Participant2=AJ947),0)),"")</f>
        <v/>
      </c>
      <c r="AN947" s="389" t="str">
        <f t="array" ref="AN947">IF(ISNUMBER(AL947),INDEX(TM_Score2,MATCH(1,(TM_Events=D947)*(TM_Participant1=AJ947)*(TM_Participant2=G947),0)),"")</f>
        <v/>
      </c>
      <c r="AO947" s="389" t="str">
        <f t="shared" si="426"/>
        <v/>
      </c>
      <c r="AP947" s="389">
        <f t="shared" si="427"/>
        <v>0</v>
      </c>
      <c r="AQ947" s="389">
        <f t="shared" si="428"/>
        <v>0</v>
      </c>
      <c r="AR947" s="389">
        <f t="shared" si="429"/>
        <v>0</v>
      </c>
      <c r="AS947" s="453">
        <f t="shared" si="430"/>
        <v>0</v>
      </c>
      <c r="AT947" s="452">
        <f t="shared" si="431"/>
        <v>0</v>
      </c>
    </row>
    <row r="948" spans="2:46" ht="16" x14ac:dyDescent="0.2">
      <c r="B948"/>
      <c r="H948" s="387" t="str">
        <f t="shared" si="406"/>
        <v>0-0-0</v>
      </c>
      <c r="I948" s="389">
        <f t="shared" si="407"/>
        <v>0</v>
      </c>
      <c r="J948" s="455" t="str">
        <f t="shared" si="432"/>
        <v/>
      </c>
      <c r="K948" s="455">
        <f t="shared" si="408"/>
        <v>0</v>
      </c>
      <c r="L948" s="455">
        <f t="shared" si="433"/>
        <v>0</v>
      </c>
      <c r="M948" s="389" t="str">
        <f>IFERROR(IF(AD948&lt;=VLOOKUP(D948,Tournaments!$A$1:$B$1772,2,FALSE),"TRUE","FALSE"),"")</f>
        <v/>
      </c>
      <c r="N948" s="389">
        <v>1</v>
      </c>
      <c r="O948" s="389">
        <f t="shared" si="409"/>
        <v>0</v>
      </c>
      <c r="Q948" s="389">
        <f t="shared" si="410"/>
        <v>0</v>
      </c>
      <c r="R948" s="389">
        <f t="shared" si="411"/>
        <v>0</v>
      </c>
      <c r="S948" s="389">
        <f t="shared" si="412"/>
        <v>0</v>
      </c>
      <c r="U948" s="389">
        <f t="shared" si="413"/>
        <v>0</v>
      </c>
      <c r="V948" s="389" t="b">
        <f t="shared" si="414"/>
        <v>0</v>
      </c>
      <c r="W948" s="389">
        <f t="shared" si="415"/>
        <v>0</v>
      </c>
      <c r="X948" s="389">
        <f t="shared" si="416"/>
        <v>0</v>
      </c>
      <c r="Y948" s="389">
        <f t="shared" si="434"/>
        <v>1.0999999999999999E-2</v>
      </c>
      <c r="Z948" s="389">
        <f t="shared" si="417"/>
        <v>1.0999999999999999E-2</v>
      </c>
      <c r="AA948" s="389">
        <f t="shared" si="418"/>
        <v>0</v>
      </c>
      <c r="AB948" s="389">
        <f t="shared" si="419"/>
        <v>1E-4</v>
      </c>
      <c r="AC948" s="389">
        <f t="shared" si="420"/>
        <v>1E-4</v>
      </c>
      <c r="AD948" s="389">
        <f t="shared" si="421"/>
        <v>0</v>
      </c>
      <c r="AE948" s="389">
        <f t="shared" si="422"/>
        <v>0</v>
      </c>
      <c r="AG948" s="311" t="str">
        <f t="shared" si="423"/>
        <v>-</v>
      </c>
      <c r="AH948" s="453" t="str">
        <f t="shared" si="424"/>
        <v/>
      </c>
      <c r="AI948" s="453" t="str">
        <f t="shared" si="425"/>
        <v/>
      </c>
      <c r="AJ948" t="str">
        <f t="array" ref="AJ948">IF(AND(AI948&gt;1,G948&lt;&gt;""),INDEX(FS_teams,MATCH(1,(FS_Keys=AG948)*(FS_Points=I948)*(FS_teams&lt;&gt;G948),0)),"")</f>
        <v/>
      </c>
      <c r="AK948" s="390" t="str">
        <f t="array" ref="AK948">IF(AJ948&lt;&gt;"",INDEX(TM_Score1,MATCH(1,(TM_Events=D948)*(TM_Participant1=G948)*(TM_Participant2=AJ948),0)),"")</f>
        <v/>
      </c>
      <c r="AL948" s="390" t="str">
        <f t="array" ref="AL948">IF(AJ948&lt;&gt;"",INDEX(TM_Score1,MATCH(1,(TM_Events=D948)*(TM_Participant1=AJ948)*(TM_Participant2=G948),0)),"")</f>
        <v/>
      </c>
      <c r="AM948" s="389" t="str">
        <f t="array" ref="AM948">IF(ISNUMBER(AK948),INDEX(TM_Score2,MATCH(1,(TM_Events=D948)*(TM_Participant1=G948)*(TM_Participant2=AJ948),0)),"")</f>
        <v/>
      </c>
      <c r="AN948" s="389" t="str">
        <f t="array" ref="AN948">IF(ISNUMBER(AL948),INDEX(TM_Score2,MATCH(1,(TM_Events=D948)*(TM_Participant1=AJ948)*(TM_Participant2=G948),0)),"")</f>
        <v/>
      </c>
      <c r="AO948" s="389" t="str">
        <f t="shared" si="426"/>
        <v/>
      </c>
      <c r="AP948" s="389">
        <f t="shared" si="427"/>
        <v>0</v>
      </c>
      <c r="AQ948" s="389">
        <f t="shared" si="428"/>
        <v>0</v>
      </c>
      <c r="AR948" s="389">
        <f t="shared" si="429"/>
        <v>0</v>
      </c>
      <c r="AS948" s="453">
        <f t="shared" si="430"/>
        <v>0</v>
      </c>
      <c r="AT948" s="452">
        <f t="shared" si="431"/>
        <v>0</v>
      </c>
    </row>
    <row r="949" spans="2:46" ht="16" x14ac:dyDescent="0.2">
      <c r="B949"/>
      <c r="H949" s="387" t="str">
        <f t="shared" si="406"/>
        <v>0-0-0</v>
      </c>
      <c r="I949" s="389">
        <f t="shared" si="407"/>
        <v>0</v>
      </c>
      <c r="J949" s="455" t="str">
        <f t="shared" si="432"/>
        <v/>
      </c>
      <c r="K949" s="455">
        <f t="shared" si="408"/>
        <v>0</v>
      </c>
      <c r="L949" s="455">
        <f t="shared" si="433"/>
        <v>0</v>
      </c>
      <c r="M949" s="389" t="str">
        <f>IFERROR(IF(AD949&lt;=VLOOKUP(D949,Tournaments!$A$1:$B$1772,2,FALSE),"TRUE","FALSE"),"")</f>
        <v/>
      </c>
      <c r="N949" s="389">
        <v>1</v>
      </c>
      <c r="O949" s="389">
        <f t="shared" si="409"/>
        <v>0</v>
      </c>
      <c r="Q949" s="389">
        <f t="shared" si="410"/>
        <v>0</v>
      </c>
      <c r="R949" s="389">
        <f t="shared" si="411"/>
        <v>0</v>
      </c>
      <c r="S949" s="389">
        <f t="shared" si="412"/>
        <v>0</v>
      </c>
      <c r="U949" s="389">
        <f t="shared" si="413"/>
        <v>0</v>
      </c>
      <c r="V949" s="389" t="b">
        <f t="shared" si="414"/>
        <v>0</v>
      </c>
      <c r="W949" s="389">
        <f t="shared" si="415"/>
        <v>0</v>
      </c>
      <c r="X949" s="389">
        <f t="shared" si="416"/>
        <v>0</v>
      </c>
      <c r="Y949" s="389">
        <f t="shared" si="434"/>
        <v>1.0999999999999999E-2</v>
      </c>
      <c r="Z949" s="389">
        <f t="shared" si="417"/>
        <v>1.0999999999999999E-2</v>
      </c>
      <c r="AA949" s="389">
        <f t="shared" si="418"/>
        <v>0</v>
      </c>
      <c r="AB949" s="389">
        <f t="shared" si="419"/>
        <v>1E-4</v>
      </c>
      <c r="AC949" s="389">
        <f t="shared" si="420"/>
        <v>1E-4</v>
      </c>
      <c r="AD949" s="389">
        <f t="shared" si="421"/>
        <v>0</v>
      </c>
      <c r="AE949" s="389">
        <f t="shared" si="422"/>
        <v>0</v>
      </c>
      <c r="AG949" s="311" t="str">
        <f t="shared" si="423"/>
        <v>-</v>
      </c>
      <c r="AH949" s="453" t="str">
        <f t="shared" si="424"/>
        <v/>
      </c>
      <c r="AI949" s="453" t="str">
        <f t="shared" si="425"/>
        <v/>
      </c>
      <c r="AJ949" t="str">
        <f t="array" ref="AJ949">IF(AND(AI949&gt;1,G949&lt;&gt;""),INDEX(FS_teams,MATCH(1,(FS_Keys=AG949)*(FS_Points=I949)*(FS_teams&lt;&gt;G949),0)),"")</f>
        <v/>
      </c>
      <c r="AK949" s="390" t="str">
        <f t="array" ref="AK949">IF(AJ949&lt;&gt;"",INDEX(TM_Score1,MATCH(1,(TM_Events=D949)*(TM_Participant1=G949)*(TM_Participant2=AJ949),0)),"")</f>
        <v/>
      </c>
      <c r="AL949" s="390" t="str">
        <f t="array" ref="AL949">IF(AJ949&lt;&gt;"",INDEX(TM_Score1,MATCH(1,(TM_Events=D949)*(TM_Participant1=AJ949)*(TM_Participant2=G949),0)),"")</f>
        <v/>
      </c>
      <c r="AM949" s="389" t="str">
        <f t="array" ref="AM949">IF(ISNUMBER(AK949),INDEX(TM_Score2,MATCH(1,(TM_Events=D949)*(TM_Participant1=G949)*(TM_Participant2=AJ949),0)),"")</f>
        <v/>
      </c>
      <c r="AN949" s="389" t="str">
        <f t="array" ref="AN949">IF(ISNUMBER(AL949),INDEX(TM_Score2,MATCH(1,(TM_Events=D949)*(TM_Participant1=AJ949)*(TM_Participant2=G949),0)),"")</f>
        <v/>
      </c>
      <c r="AO949" s="389" t="str">
        <f t="shared" si="426"/>
        <v/>
      </c>
      <c r="AP949" s="389">
        <f t="shared" si="427"/>
        <v>0</v>
      </c>
      <c r="AQ949" s="389">
        <f t="shared" si="428"/>
        <v>0</v>
      </c>
      <c r="AR949" s="389">
        <f t="shared" si="429"/>
        <v>0</v>
      </c>
      <c r="AS949" s="453">
        <f t="shared" si="430"/>
        <v>0</v>
      </c>
      <c r="AT949" s="452">
        <f t="shared" si="431"/>
        <v>0</v>
      </c>
    </row>
    <row r="950" spans="2:46" ht="16" x14ac:dyDescent="0.2">
      <c r="B950"/>
      <c r="H950" s="387" t="str">
        <f t="shared" si="406"/>
        <v>0-0-0</v>
      </c>
      <c r="I950" s="389">
        <f t="shared" si="407"/>
        <v>0</v>
      </c>
      <c r="J950" s="455" t="str">
        <f t="shared" si="432"/>
        <v/>
      </c>
      <c r="K950" s="455">
        <f t="shared" si="408"/>
        <v>0</v>
      </c>
      <c r="L950" s="455">
        <f t="shared" si="433"/>
        <v>0</v>
      </c>
      <c r="M950" s="389" t="str">
        <f>IFERROR(IF(AD950&lt;=VLOOKUP(D950,Tournaments!$A$1:$B$1772,2,FALSE),"TRUE","FALSE"),"")</f>
        <v/>
      </c>
      <c r="N950" s="389">
        <v>1</v>
      </c>
      <c r="O950" s="389">
        <f t="shared" si="409"/>
        <v>0</v>
      </c>
      <c r="Q950" s="389">
        <f t="shared" si="410"/>
        <v>0</v>
      </c>
      <c r="R950" s="389">
        <f t="shared" si="411"/>
        <v>0</v>
      </c>
      <c r="S950" s="389">
        <f t="shared" si="412"/>
        <v>0</v>
      </c>
      <c r="U950" s="389">
        <f t="shared" si="413"/>
        <v>0</v>
      </c>
      <c r="V950" s="389" t="b">
        <f t="shared" si="414"/>
        <v>0</v>
      </c>
      <c r="W950" s="389">
        <f t="shared" si="415"/>
        <v>0</v>
      </c>
      <c r="X950" s="389">
        <f t="shared" si="416"/>
        <v>0</v>
      </c>
      <c r="Y950" s="389">
        <f t="shared" si="434"/>
        <v>1.0999999999999999E-2</v>
      </c>
      <c r="Z950" s="389">
        <f t="shared" si="417"/>
        <v>1.0999999999999999E-2</v>
      </c>
      <c r="AA950" s="389">
        <f t="shared" si="418"/>
        <v>0</v>
      </c>
      <c r="AB950" s="389">
        <f t="shared" si="419"/>
        <v>1E-4</v>
      </c>
      <c r="AC950" s="389">
        <f t="shared" si="420"/>
        <v>1E-4</v>
      </c>
      <c r="AD950" s="389">
        <f t="shared" si="421"/>
        <v>0</v>
      </c>
      <c r="AE950" s="389">
        <f t="shared" si="422"/>
        <v>0</v>
      </c>
      <c r="AG950" s="311" t="str">
        <f t="shared" si="423"/>
        <v>-</v>
      </c>
      <c r="AH950" s="453" t="str">
        <f t="shared" si="424"/>
        <v/>
      </c>
      <c r="AI950" s="453" t="str">
        <f t="shared" si="425"/>
        <v/>
      </c>
      <c r="AJ950" t="str">
        <f t="array" ref="AJ950">IF(AND(AI950&gt;1,G950&lt;&gt;""),INDEX(FS_teams,MATCH(1,(FS_Keys=AG950)*(FS_Points=I950)*(FS_teams&lt;&gt;G950),0)),"")</f>
        <v/>
      </c>
      <c r="AK950" s="390" t="str">
        <f t="array" ref="AK950">IF(AJ950&lt;&gt;"",INDEX(TM_Score1,MATCH(1,(TM_Events=D950)*(TM_Participant1=G950)*(TM_Participant2=AJ950),0)),"")</f>
        <v/>
      </c>
      <c r="AL950" s="390" t="str">
        <f t="array" ref="AL950">IF(AJ950&lt;&gt;"",INDEX(TM_Score1,MATCH(1,(TM_Events=D950)*(TM_Participant1=AJ950)*(TM_Participant2=G950),0)),"")</f>
        <v/>
      </c>
      <c r="AM950" s="389" t="str">
        <f t="array" ref="AM950">IF(ISNUMBER(AK950),INDEX(TM_Score2,MATCH(1,(TM_Events=D950)*(TM_Participant1=G950)*(TM_Participant2=AJ950),0)),"")</f>
        <v/>
      </c>
      <c r="AN950" s="389" t="str">
        <f t="array" ref="AN950">IF(ISNUMBER(AL950),INDEX(TM_Score2,MATCH(1,(TM_Events=D950)*(TM_Participant1=AJ950)*(TM_Participant2=G950),0)),"")</f>
        <v/>
      </c>
      <c r="AO950" s="389" t="str">
        <f t="shared" si="426"/>
        <v/>
      </c>
      <c r="AP950" s="389">
        <f t="shared" si="427"/>
        <v>0</v>
      </c>
      <c r="AQ950" s="389">
        <f t="shared" si="428"/>
        <v>0</v>
      </c>
      <c r="AR950" s="389">
        <f t="shared" si="429"/>
        <v>0</v>
      </c>
      <c r="AS950" s="453">
        <f t="shared" si="430"/>
        <v>0</v>
      </c>
      <c r="AT950" s="452">
        <f t="shared" si="431"/>
        <v>0</v>
      </c>
    </row>
    <row r="951" spans="2:46" ht="16" x14ac:dyDescent="0.2">
      <c r="B951"/>
      <c r="H951" s="387" t="str">
        <f t="shared" si="406"/>
        <v>0-0-0</v>
      </c>
      <c r="I951" s="389">
        <f t="shared" si="407"/>
        <v>0</v>
      </c>
      <c r="J951" s="455" t="str">
        <f t="shared" si="432"/>
        <v/>
      </c>
      <c r="K951" s="455">
        <f t="shared" si="408"/>
        <v>0</v>
      </c>
      <c r="L951" s="455">
        <f t="shared" si="433"/>
        <v>0</v>
      </c>
      <c r="M951" s="389" t="str">
        <f>IFERROR(IF(AD951&lt;=VLOOKUP(D951,Tournaments!$A$1:$B$1772,2,FALSE),"TRUE","FALSE"),"")</f>
        <v/>
      </c>
      <c r="N951" s="389">
        <v>1</v>
      </c>
      <c r="O951" s="389">
        <f t="shared" si="409"/>
        <v>0</v>
      </c>
      <c r="Q951" s="389">
        <f t="shared" si="410"/>
        <v>0</v>
      </c>
      <c r="R951" s="389">
        <f t="shared" si="411"/>
        <v>0</v>
      </c>
      <c r="S951" s="389">
        <f t="shared" si="412"/>
        <v>0</v>
      </c>
      <c r="U951" s="389">
        <f t="shared" si="413"/>
        <v>0</v>
      </c>
      <c r="V951" s="389" t="b">
        <f t="shared" si="414"/>
        <v>0</v>
      </c>
      <c r="W951" s="389">
        <f t="shared" si="415"/>
        <v>0</v>
      </c>
      <c r="X951" s="389">
        <f t="shared" si="416"/>
        <v>0</v>
      </c>
      <c r="Y951" s="389">
        <f t="shared" si="434"/>
        <v>1.0999999999999999E-2</v>
      </c>
      <c r="Z951" s="389">
        <f t="shared" si="417"/>
        <v>1.0999999999999999E-2</v>
      </c>
      <c r="AA951" s="389">
        <f t="shared" si="418"/>
        <v>0</v>
      </c>
      <c r="AB951" s="389">
        <f t="shared" si="419"/>
        <v>1E-4</v>
      </c>
      <c r="AC951" s="389">
        <f t="shared" si="420"/>
        <v>1E-4</v>
      </c>
      <c r="AD951" s="389">
        <f t="shared" si="421"/>
        <v>0</v>
      </c>
      <c r="AE951" s="389">
        <f t="shared" si="422"/>
        <v>0</v>
      </c>
      <c r="AG951" s="311" t="str">
        <f t="shared" si="423"/>
        <v>-</v>
      </c>
      <c r="AH951" s="453" t="str">
        <f t="shared" si="424"/>
        <v/>
      </c>
      <c r="AI951" s="453" t="str">
        <f t="shared" si="425"/>
        <v/>
      </c>
      <c r="AJ951" t="str">
        <f t="array" ref="AJ951">IF(AND(AI951&gt;1,G951&lt;&gt;""),INDEX(FS_teams,MATCH(1,(FS_Keys=AG951)*(FS_Points=I951)*(FS_teams&lt;&gt;G951),0)),"")</f>
        <v/>
      </c>
      <c r="AK951" s="390" t="str">
        <f t="array" ref="AK951">IF(AJ951&lt;&gt;"",INDEX(TM_Score1,MATCH(1,(TM_Events=D951)*(TM_Participant1=G951)*(TM_Participant2=AJ951),0)),"")</f>
        <v/>
      </c>
      <c r="AL951" s="390" t="str">
        <f t="array" ref="AL951">IF(AJ951&lt;&gt;"",INDEX(TM_Score1,MATCH(1,(TM_Events=D951)*(TM_Participant1=AJ951)*(TM_Participant2=G951),0)),"")</f>
        <v/>
      </c>
      <c r="AM951" s="389" t="str">
        <f t="array" ref="AM951">IF(ISNUMBER(AK951),INDEX(TM_Score2,MATCH(1,(TM_Events=D951)*(TM_Participant1=G951)*(TM_Participant2=AJ951),0)),"")</f>
        <v/>
      </c>
      <c r="AN951" s="389" t="str">
        <f t="array" ref="AN951">IF(ISNUMBER(AL951),INDEX(TM_Score2,MATCH(1,(TM_Events=D951)*(TM_Participant1=AJ951)*(TM_Participant2=G951),0)),"")</f>
        <v/>
      </c>
      <c r="AO951" s="389" t="str">
        <f t="shared" si="426"/>
        <v/>
      </c>
      <c r="AP951" s="389">
        <f t="shared" si="427"/>
        <v>0</v>
      </c>
      <c r="AQ951" s="389">
        <f t="shared" si="428"/>
        <v>0</v>
      </c>
      <c r="AR951" s="389">
        <f t="shared" si="429"/>
        <v>0</v>
      </c>
      <c r="AS951" s="453">
        <f t="shared" si="430"/>
        <v>0</v>
      </c>
      <c r="AT951" s="452">
        <f t="shared" si="431"/>
        <v>0</v>
      </c>
    </row>
    <row r="952" spans="2:46" ht="16" x14ac:dyDescent="0.2">
      <c r="B952"/>
      <c r="H952" s="387" t="str">
        <f t="shared" si="406"/>
        <v>0-0-0</v>
      </c>
      <c r="I952" s="389">
        <f t="shared" si="407"/>
        <v>0</v>
      </c>
      <c r="J952" s="455" t="str">
        <f t="shared" si="432"/>
        <v/>
      </c>
      <c r="K952" s="455">
        <f t="shared" si="408"/>
        <v>0</v>
      </c>
      <c r="L952" s="455">
        <f t="shared" si="433"/>
        <v>0</v>
      </c>
      <c r="M952" s="389" t="str">
        <f>IFERROR(IF(AD952&lt;=VLOOKUP(D952,Tournaments!$A$1:$B$1772,2,FALSE),"TRUE","FALSE"),"")</f>
        <v/>
      </c>
      <c r="N952" s="389">
        <v>1</v>
      </c>
      <c r="O952" s="389">
        <f t="shared" si="409"/>
        <v>0</v>
      </c>
      <c r="Q952" s="389">
        <f t="shared" si="410"/>
        <v>0</v>
      </c>
      <c r="R952" s="389">
        <f t="shared" si="411"/>
        <v>0</v>
      </c>
      <c r="S952" s="389">
        <f t="shared" si="412"/>
        <v>0</v>
      </c>
      <c r="U952" s="389">
        <f t="shared" si="413"/>
        <v>0</v>
      </c>
      <c r="V952" s="389" t="b">
        <f t="shared" si="414"/>
        <v>0</v>
      </c>
      <c r="W952" s="389">
        <f t="shared" si="415"/>
        <v>0</v>
      </c>
      <c r="X952" s="389">
        <f t="shared" si="416"/>
        <v>0</v>
      </c>
      <c r="Y952" s="389">
        <f t="shared" si="434"/>
        <v>1.0999999999999999E-2</v>
      </c>
      <c r="Z952" s="389">
        <f t="shared" si="417"/>
        <v>1.0999999999999999E-2</v>
      </c>
      <c r="AA952" s="389">
        <f t="shared" si="418"/>
        <v>0</v>
      </c>
      <c r="AB952" s="389">
        <f t="shared" si="419"/>
        <v>1E-4</v>
      </c>
      <c r="AC952" s="389">
        <f t="shared" si="420"/>
        <v>1E-4</v>
      </c>
      <c r="AD952" s="389">
        <f t="shared" si="421"/>
        <v>0</v>
      </c>
      <c r="AE952" s="389">
        <f t="shared" si="422"/>
        <v>0</v>
      </c>
      <c r="AG952" s="311" t="str">
        <f t="shared" si="423"/>
        <v>-</v>
      </c>
      <c r="AH952" s="453" t="str">
        <f t="shared" si="424"/>
        <v/>
      </c>
      <c r="AI952" s="453" t="str">
        <f t="shared" si="425"/>
        <v/>
      </c>
      <c r="AJ952" t="str">
        <f t="array" ref="AJ952">IF(AND(AI952&gt;1,G952&lt;&gt;""),INDEX(FS_teams,MATCH(1,(FS_Keys=AG952)*(FS_Points=I952)*(FS_teams&lt;&gt;G952),0)),"")</f>
        <v/>
      </c>
      <c r="AK952" s="390" t="str">
        <f t="array" ref="AK952">IF(AJ952&lt;&gt;"",INDEX(TM_Score1,MATCH(1,(TM_Events=D952)*(TM_Participant1=G952)*(TM_Participant2=AJ952),0)),"")</f>
        <v/>
      </c>
      <c r="AL952" s="390" t="str">
        <f t="array" ref="AL952">IF(AJ952&lt;&gt;"",INDEX(TM_Score1,MATCH(1,(TM_Events=D952)*(TM_Participant1=AJ952)*(TM_Participant2=G952),0)),"")</f>
        <v/>
      </c>
      <c r="AM952" s="389" t="str">
        <f t="array" ref="AM952">IF(ISNUMBER(AK952),INDEX(TM_Score2,MATCH(1,(TM_Events=D952)*(TM_Participant1=G952)*(TM_Participant2=AJ952),0)),"")</f>
        <v/>
      </c>
      <c r="AN952" s="389" t="str">
        <f t="array" ref="AN952">IF(ISNUMBER(AL952),INDEX(TM_Score2,MATCH(1,(TM_Events=D952)*(TM_Participant1=AJ952)*(TM_Participant2=G952),0)),"")</f>
        <v/>
      </c>
      <c r="AO952" s="389" t="str">
        <f t="shared" si="426"/>
        <v/>
      </c>
      <c r="AP952" s="389">
        <f t="shared" si="427"/>
        <v>0</v>
      </c>
      <c r="AQ952" s="389">
        <f t="shared" si="428"/>
        <v>0</v>
      </c>
      <c r="AR952" s="389">
        <f t="shared" si="429"/>
        <v>0</v>
      </c>
      <c r="AS952" s="453">
        <f t="shared" si="430"/>
        <v>0</v>
      </c>
      <c r="AT952" s="452">
        <f t="shared" si="431"/>
        <v>0</v>
      </c>
    </row>
    <row r="953" spans="2:46" ht="16" x14ac:dyDescent="0.2">
      <c r="B953"/>
      <c r="H953" s="387" t="str">
        <f t="shared" si="406"/>
        <v>0-0-0</v>
      </c>
      <c r="I953" s="389">
        <f t="shared" si="407"/>
        <v>0</v>
      </c>
      <c r="J953" s="455" t="str">
        <f t="shared" si="432"/>
        <v/>
      </c>
      <c r="K953" s="455">
        <f t="shared" si="408"/>
        <v>0</v>
      </c>
      <c r="L953" s="455">
        <f t="shared" si="433"/>
        <v>0</v>
      </c>
      <c r="M953" s="389" t="str">
        <f>IFERROR(IF(AD953&lt;=VLOOKUP(D953,Tournaments!$A$1:$B$1772,2,FALSE),"TRUE","FALSE"),"")</f>
        <v/>
      </c>
      <c r="N953" s="389">
        <v>1</v>
      </c>
      <c r="O953" s="389">
        <f t="shared" si="409"/>
        <v>0</v>
      </c>
      <c r="Q953" s="389">
        <f t="shared" si="410"/>
        <v>0</v>
      </c>
      <c r="R953" s="389">
        <f t="shared" si="411"/>
        <v>0</v>
      </c>
      <c r="S953" s="389">
        <f t="shared" si="412"/>
        <v>0</v>
      </c>
      <c r="U953" s="389">
        <f t="shared" si="413"/>
        <v>0</v>
      </c>
      <c r="V953" s="389" t="b">
        <f t="shared" si="414"/>
        <v>0</v>
      </c>
      <c r="W953" s="389">
        <f t="shared" si="415"/>
        <v>0</v>
      </c>
      <c r="X953" s="389">
        <f t="shared" si="416"/>
        <v>0</v>
      </c>
      <c r="Y953" s="389">
        <f t="shared" si="434"/>
        <v>1.0999999999999999E-2</v>
      </c>
      <c r="Z953" s="389">
        <f t="shared" si="417"/>
        <v>1.0999999999999999E-2</v>
      </c>
      <c r="AA953" s="389">
        <f t="shared" si="418"/>
        <v>0</v>
      </c>
      <c r="AB953" s="389">
        <f t="shared" si="419"/>
        <v>1E-4</v>
      </c>
      <c r="AC953" s="389">
        <f t="shared" si="420"/>
        <v>1E-4</v>
      </c>
      <c r="AD953" s="389">
        <f t="shared" si="421"/>
        <v>0</v>
      </c>
      <c r="AE953" s="389">
        <f t="shared" si="422"/>
        <v>0</v>
      </c>
      <c r="AG953" s="311" t="str">
        <f t="shared" si="423"/>
        <v>-</v>
      </c>
      <c r="AH953" s="453" t="str">
        <f t="shared" si="424"/>
        <v/>
      </c>
      <c r="AI953" s="453" t="str">
        <f t="shared" si="425"/>
        <v/>
      </c>
      <c r="AJ953" t="str">
        <f t="array" ref="AJ953">IF(AND(AI953&gt;1,G953&lt;&gt;""),INDEX(FS_teams,MATCH(1,(FS_Keys=AG953)*(FS_Points=I953)*(FS_teams&lt;&gt;G953),0)),"")</f>
        <v/>
      </c>
      <c r="AK953" s="390" t="str">
        <f t="array" ref="AK953">IF(AJ953&lt;&gt;"",INDEX(TM_Score1,MATCH(1,(TM_Events=D953)*(TM_Participant1=G953)*(TM_Participant2=AJ953),0)),"")</f>
        <v/>
      </c>
      <c r="AL953" s="390" t="str">
        <f t="array" ref="AL953">IF(AJ953&lt;&gt;"",INDEX(TM_Score1,MATCH(1,(TM_Events=D953)*(TM_Participant1=AJ953)*(TM_Participant2=G953),0)),"")</f>
        <v/>
      </c>
      <c r="AM953" s="389" t="str">
        <f t="array" ref="AM953">IF(ISNUMBER(AK953),INDEX(TM_Score2,MATCH(1,(TM_Events=D953)*(TM_Participant1=G953)*(TM_Participant2=AJ953),0)),"")</f>
        <v/>
      </c>
      <c r="AN953" s="389" t="str">
        <f t="array" ref="AN953">IF(ISNUMBER(AL953),INDEX(TM_Score2,MATCH(1,(TM_Events=D953)*(TM_Participant1=AJ953)*(TM_Participant2=G953),0)),"")</f>
        <v/>
      </c>
      <c r="AO953" s="389" t="str">
        <f t="shared" si="426"/>
        <v/>
      </c>
      <c r="AP953" s="389">
        <f t="shared" si="427"/>
        <v>0</v>
      </c>
      <c r="AQ953" s="389">
        <f t="shared" si="428"/>
        <v>0</v>
      </c>
      <c r="AR953" s="389">
        <f t="shared" si="429"/>
        <v>0</v>
      </c>
      <c r="AS953" s="453">
        <f t="shared" si="430"/>
        <v>0</v>
      </c>
      <c r="AT953" s="452">
        <f t="shared" si="431"/>
        <v>0</v>
      </c>
    </row>
    <row r="954" spans="2:46" ht="16" x14ac:dyDescent="0.2">
      <c r="B954"/>
      <c r="H954" s="387" t="str">
        <f t="shared" si="406"/>
        <v>0-0-0</v>
      </c>
      <c r="I954" s="389">
        <f t="shared" si="407"/>
        <v>0</v>
      </c>
      <c r="J954" s="455" t="str">
        <f t="shared" si="432"/>
        <v/>
      </c>
      <c r="K954" s="455">
        <f t="shared" si="408"/>
        <v>0</v>
      </c>
      <c r="L954" s="455">
        <f t="shared" si="433"/>
        <v>0</v>
      </c>
      <c r="M954" s="389" t="str">
        <f>IFERROR(IF(AD954&lt;=VLOOKUP(D954,Tournaments!$A$1:$B$1772,2,FALSE),"TRUE","FALSE"),"")</f>
        <v/>
      </c>
      <c r="N954" s="389">
        <v>1</v>
      </c>
      <c r="O954" s="389">
        <f t="shared" si="409"/>
        <v>0</v>
      </c>
      <c r="Q954" s="389">
        <f t="shared" si="410"/>
        <v>0</v>
      </c>
      <c r="R954" s="389">
        <f t="shared" si="411"/>
        <v>0</v>
      </c>
      <c r="S954" s="389">
        <f t="shared" si="412"/>
        <v>0</v>
      </c>
      <c r="U954" s="389">
        <f t="shared" si="413"/>
        <v>0</v>
      </c>
      <c r="V954" s="389" t="b">
        <f t="shared" si="414"/>
        <v>0</v>
      </c>
      <c r="W954" s="389">
        <f t="shared" si="415"/>
        <v>0</v>
      </c>
      <c r="X954" s="389">
        <f t="shared" si="416"/>
        <v>0</v>
      </c>
      <c r="Y954" s="389">
        <f t="shared" si="434"/>
        <v>1.0999999999999999E-2</v>
      </c>
      <c r="Z954" s="389">
        <f t="shared" si="417"/>
        <v>1.0999999999999999E-2</v>
      </c>
      <c r="AA954" s="389">
        <f t="shared" si="418"/>
        <v>0</v>
      </c>
      <c r="AB954" s="389">
        <f t="shared" si="419"/>
        <v>1E-4</v>
      </c>
      <c r="AC954" s="389">
        <f t="shared" si="420"/>
        <v>1E-4</v>
      </c>
      <c r="AD954" s="389">
        <f t="shared" si="421"/>
        <v>0</v>
      </c>
      <c r="AE954" s="389">
        <f t="shared" si="422"/>
        <v>0</v>
      </c>
      <c r="AG954" s="311" t="str">
        <f t="shared" si="423"/>
        <v>-</v>
      </c>
      <c r="AH954" s="453" t="str">
        <f t="shared" si="424"/>
        <v/>
      </c>
      <c r="AI954" s="453" t="str">
        <f t="shared" si="425"/>
        <v/>
      </c>
      <c r="AJ954" t="str">
        <f t="array" ref="AJ954">IF(AND(AI954&gt;1,G954&lt;&gt;""),INDEX(FS_teams,MATCH(1,(FS_Keys=AG954)*(FS_Points=I954)*(FS_teams&lt;&gt;G954),0)),"")</f>
        <v/>
      </c>
      <c r="AK954" s="390" t="str">
        <f t="array" ref="AK954">IF(AJ954&lt;&gt;"",INDEX(TM_Score1,MATCH(1,(TM_Events=D954)*(TM_Participant1=G954)*(TM_Participant2=AJ954),0)),"")</f>
        <v/>
      </c>
      <c r="AL954" s="390" t="str">
        <f t="array" ref="AL954">IF(AJ954&lt;&gt;"",INDEX(TM_Score1,MATCH(1,(TM_Events=D954)*(TM_Participant1=AJ954)*(TM_Participant2=G954),0)),"")</f>
        <v/>
      </c>
      <c r="AM954" s="389" t="str">
        <f t="array" ref="AM954">IF(ISNUMBER(AK954),INDEX(TM_Score2,MATCH(1,(TM_Events=D954)*(TM_Participant1=G954)*(TM_Participant2=AJ954),0)),"")</f>
        <v/>
      </c>
      <c r="AN954" s="389" t="str">
        <f t="array" ref="AN954">IF(ISNUMBER(AL954),INDEX(TM_Score2,MATCH(1,(TM_Events=D954)*(TM_Participant1=AJ954)*(TM_Participant2=G954),0)),"")</f>
        <v/>
      </c>
      <c r="AO954" s="389" t="str">
        <f t="shared" si="426"/>
        <v/>
      </c>
      <c r="AP954" s="389">
        <f t="shared" si="427"/>
        <v>0</v>
      </c>
      <c r="AQ954" s="389">
        <f t="shared" si="428"/>
        <v>0</v>
      </c>
      <c r="AR954" s="389">
        <f t="shared" si="429"/>
        <v>0</v>
      </c>
      <c r="AS954" s="453">
        <f t="shared" si="430"/>
        <v>0</v>
      </c>
      <c r="AT954" s="452">
        <f t="shared" si="431"/>
        <v>0</v>
      </c>
    </row>
    <row r="955" spans="2:46" ht="16" x14ac:dyDescent="0.2">
      <c r="B955"/>
      <c r="H955" s="387" t="str">
        <f t="shared" si="406"/>
        <v>0-0-0</v>
      </c>
      <c r="I955" s="389">
        <f t="shared" si="407"/>
        <v>0</v>
      </c>
      <c r="J955" s="455" t="str">
        <f t="shared" si="432"/>
        <v/>
      </c>
      <c r="K955" s="455">
        <f t="shared" si="408"/>
        <v>0</v>
      </c>
      <c r="L955" s="455">
        <f t="shared" si="433"/>
        <v>0</v>
      </c>
      <c r="M955" s="389" t="str">
        <f>IFERROR(IF(AD955&lt;=VLOOKUP(D955,Tournaments!$A$1:$B$1772,2,FALSE),"TRUE","FALSE"),"")</f>
        <v/>
      </c>
      <c r="N955" s="389">
        <v>1</v>
      </c>
      <c r="O955" s="389">
        <f t="shared" si="409"/>
        <v>0</v>
      </c>
      <c r="Q955" s="389">
        <f t="shared" si="410"/>
        <v>0</v>
      </c>
      <c r="R955" s="389">
        <f t="shared" si="411"/>
        <v>0</v>
      </c>
      <c r="S955" s="389">
        <f t="shared" si="412"/>
        <v>0</v>
      </c>
      <c r="U955" s="389">
        <f t="shared" si="413"/>
        <v>0</v>
      </c>
      <c r="V955" s="389" t="b">
        <f t="shared" si="414"/>
        <v>0</v>
      </c>
      <c r="W955" s="389">
        <f t="shared" si="415"/>
        <v>0</v>
      </c>
      <c r="X955" s="389">
        <f t="shared" si="416"/>
        <v>0</v>
      </c>
      <c r="Y955" s="389">
        <f t="shared" si="434"/>
        <v>1.0999999999999999E-2</v>
      </c>
      <c r="Z955" s="389">
        <f t="shared" si="417"/>
        <v>1.0999999999999999E-2</v>
      </c>
      <c r="AA955" s="389">
        <f t="shared" si="418"/>
        <v>0</v>
      </c>
      <c r="AB955" s="389">
        <f t="shared" si="419"/>
        <v>1E-4</v>
      </c>
      <c r="AC955" s="389">
        <f t="shared" si="420"/>
        <v>1E-4</v>
      </c>
      <c r="AD955" s="389">
        <f t="shared" si="421"/>
        <v>0</v>
      </c>
      <c r="AE955" s="389">
        <f t="shared" si="422"/>
        <v>0</v>
      </c>
      <c r="AG955" s="311" t="str">
        <f t="shared" si="423"/>
        <v>-</v>
      </c>
      <c r="AH955" s="453" t="str">
        <f t="shared" si="424"/>
        <v/>
      </c>
      <c r="AI955" s="453" t="str">
        <f t="shared" si="425"/>
        <v/>
      </c>
      <c r="AJ955" t="str">
        <f t="array" ref="AJ955">IF(AND(AI955&gt;1,G955&lt;&gt;""),INDEX(FS_teams,MATCH(1,(FS_Keys=AG955)*(FS_Points=I955)*(FS_teams&lt;&gt;G955),0)),"")</f>
        <v/>
      </c>
      <c r="AK955" s="390" t="str">
        <f t="array" ref="AK955">IF(AJ955&lt;&gt;"",INDEX(TM_Score1,MATCH(1,(TM_Events=D955)*(TM_Participant1=G955)*(TM_Participant2=AJ955),0)),"")</f>
        <v/>
      </c>
      <c r="AL955" s="390" t="str">
        <f t="array" ref="AL955">IF(AJ955&lt;&gt;"",INDEX(TM_Score1,MATCH(1,(TM_Events=D955)*(TM_Participant1=AJ955)*(TM_Participant2=G955),0)),"")</f>
        <v/>
      </c>
      <c r="AM955" s="389" t="str">
        <f t="array" ref="AM955">IF(ISNUMBER(AK955),INDEX(TM_Score2,MATCH(1,(TM_Events=D955)*(TM_Participant1=G955)*(TM_Participant2=AJ955),0)),"")</f>
        <v/>
      </c>
      <c r="AN955" s="389" t="str">
        <f t="array" ref="AN955">IF(ISNUMBER(AL955),INDEX(TM_Score2,MATCH(1,(TM_Events=D955)*(TM_Participant1=AJ955)*(TM_Participant2=G955),0)),"")</f>
        <v/>
      </c>
      <c r="AO955" s="389" t="str">
        <f t="shared" si="426"/>
        <v/>
      </c>
      <c r="AP955" s="389">
        <f t="shared" si="427"/>
        <v>0</v>
      </c>
      <c r="AQ955" s="389">
        <f t="shared" si="428"/>
        <v>0</v>
      </c>
      <c r="AR955" s="389">
        <f t="shared" si="429"/>
        <v>0</v>
      </c>
      <c r="AS955" s="453">
        <f t="shared" si="430"/>
        <v>0</v>
      </c>
      <c r="AT955" s="452">
        <f t="shared" si="431"/>
        <v>0</v>
      </c>
    </row>
    <row r="956" spans="2:46" ht="16" x14ac:dyDescent="0.2">
      <c r="B956"/>
      <c r="H956" s="387" t="str">
        <f t="shared" si="406"/>
        <v>0-0-0</v>
      </c>
      <c r="I956" s="389">
        <f t="shared" si="407"/>
        <v>0</v>
      </c>
      <c r="J956" s="455" t="str">
        <f t="shared" si="432"/>
        <v/>
      </c>
      <c r="K956" s="455">
        <f t="shared" si="408"/>
        <v>0</v>
      </c>
      <c r="L956" s="455">
        <f t="shared" si="433"/>
        <v>0</v>
      </c>
      <c r="M956" s="389" t="str">
        <f>IFERROR(IF(AD956&lt;=VLOOKUP(D956,Tournaments!$A$1:$B$1772,2,FALSE),"TRUE","FALSE"),"")</f>
        <v/>
      </c>
      <c r="N956" s="389">
        <v>1</v>
      </c>
      <c r="O956" s="389">
        <f t="shared" si="409"/>
        <v>0</v>
      </c>
      <c r="Q956" s="389">
        <f t="shared" si="410"/>
        <v>0</v>
      </c>
      <c r="R956" s="389">
        <f t="shared" si="411"/>
        <v>0</v>
      </c>
      <c r="S956" s="389">
        <f t="shared" si="412"/>
        <v>0</v>
      </c>
      <c r="U956" s="389">
        <f t="shared" si="413"/>
        <v>0</v>
      </c>
      <c r="V956" s="389" t="b">
        <f t="shared" si="414"/>
        <v>0</v>
      </c>
      <c r="W956" s="389">
        <f t="shared" si="415"/>
        <v>0</v>
      </c>
      <c r="X956" s="389">
        <f t="shared" si="416"/>
        <v>0</v>
      </c>
      <c r="Y956" s="389">
        <f t="shared" si="434"/>
        <v>1.0999999999999999E-2</v>
      </c>
      <c r="Z956" s="389">
        <f t="shared" si="417"/>
        <v>1.0999999999999999E-2</v>
      </c>
      <c r="AA956" s="389">
        <f t="shared" si="418"/>
        <v>0</v>
      </c>
      <c r="AB956" s="389">
        <f t="shared" si="419"/>
        <v>1E-4</v>
      </c>
      <c r="AC956" s="389">
        <f t="shared" si="420"/>
        <v>1E-4</v>
      </c>
      <c r="AD956" s="389">
        <f t="shared" si="421"/>
        <v>0</v>
      </c>
      <c r="AE956" s="389">
        <f t="shared" si="422"/>
        <v>0</v>
      </c>
      <c r="AG956" s="311" t="str">
        <f t="shared" si="423"/>
        <v>-</v>
      </c>
      <c r="AH956" s="453" t="str">
        <f t="shared" si="424"/>
        <v/>
      </c>
      <c r="AI956" s="453" t="str">
        <f t="shared" si="425"/>
        <v/>
      </c>
      <c r="AJ956" t="str">
        <f t="array" ref="AJ956">IF(AND(AI956&gt;1,G956&lt;&gt;""),INDEX(FS_teams,MATCH(1,(FS_Keys=AG956)*(FS_Points=I956)*(FS_teams&lt;&gt;G956),0)),"")</f>
        <v/>
      </c>
      <c r="AK956" s="390" t="str">
        <f t="array" ref="AK956">IF(AJ956&lt;&gt;"",INDEX(TM_Score1,MATCH(1,(TM_Events=D956)*(TM_Participant1=G956)*(TM_Participant2=AJ956),0)),"")</f>
        <v/>
      </c>
      <c r="AL956" s="390" t="str">
        <f t="array" ref="AL956">IF(AJ956&lt;&gt;"",INDEX(TM_Score1,MATCH(1,(TM_Events=D956)*(TM_Participant1=AJ956)*(TM_Participant2=G956),0)),"")</f>
        <v/>
      </c>
      <c r="AM956" s="389" t="str">
        <f t="array" ref="AM956">IF(ISNUMBER(AK956),INDEX(TM_Score2,MATCH(1,(TM_Events=D956)*(TM_Participant1=G956)*(TM_Participant2=AJ956),0)),"")</f>
        <v/>
      </c>
      <c r="AN956" s="389" t="str">
        <f t="array" ref="AN956">IF(ISNUMBER(AL956),INDEX(TM_Score2,MATCH(1,(TM_Events=D956)*(TM_Participant1=AJ956)*(TM_Participant2=G956),0)),"")</f>
        <v/>
      </c>
      <c r="AO956" s="389" t="str">
        <f t="shared" si="426"/>
        <v/>
      </c>
      <c r="AP956" s="389">
        <f t="shared" si="427"/>
        <v>0</v>
      </c>
      <c r="AQ956" s="389">
        <f t="shared" si="428"/>
        <v>0</v>
      </c>
      <c r="AR956" s="389">
        <f t="shared" si="429"/>
        <v>0</v>
      </c>
      <c r="AS956" s="453">
        <f t="shared" si="430"/>
        <v>0</v>
      </c>
      <c r="AT956" s="452">
        <f t="shared" si="431"/>
        <v>0</v>
      </c>
    </row>
    <row r="957" spans="2:46" ht="16" x14ac:dyDescent="0.2">
      <c r="B957"/>
      <c r="H957" s="387" t="str">
        <f t="shared" si="406"/>
        <v>0-0-0</v>
      </c>
      <c r="I957" s="389">
        <f t="shared" si="407"/>
        <v>0</v>
      </c>
      <c r="J957" s="455" t="str">
        <f t="shared" si="432"/>
        <v/>
      </c>
      <c r="K957" s="455">
        <f t="shared" si="408"/>
        <v>0</v>
      </c>
      <c r="L957" s="455">
        <f t="shared" si="433"/>
        <v>0</v>
      </c>
      <c r="M957" s="389" t="str">
        <f>IFERROR(IF(AD957&lt;=VLOOKUP(D957,Tournaments!$A$1:$B$1772,2,FALSE),"TRUE","FALSE"),"")</f>
        <v/>
      </c>
      <c r="N957" s="389">
        <v>1</v>
      </c>
      <c r="O957" s="389">
        <f t="shared" si="409"/>
        <v>0</v>
      </c>
      <c r="Q957" s="389">
        <f t="shared" si="410"/>
        <v>0</v>
      </c>
      <c r="R957" s="389">
        <f t="shared" si="411"/>
        <v>0</v>
      </c>
      <c r="S957" s="389">
        <f t="shared" si="412"/>
        <v>0</v>
      </c>
      <c r="U957" s="389">
        <f t="shared" si="413"/>
        <v>0</v>
      </c>
      <c r="V957" s="389" t="b">
        <f t="shared" si="414"/>
        <v>0</v>
      </c>
      <c r="W957" s="389">
        <f t="shared" si="415"/>
        <v>0</v>
      </c>
      <c r="X957" s="389">
        <f t="shared" si="416"/>
        <v>0</v>
      </c>
      <c r="Y957" s="389">
        <f t="shared" si="434"/>
        <v>1.0999999999999999E-2</v>
      </c>
      <c r="Z957" s="389">
        <f t="shared" si="417"/>
        <v>1.0999999999999999E-2</v>
      </c>
      <c r="AA957" s="389">
        <f t="shared" si="418"/>
        <v>0</v>
      </c>
      <c r="AB957" s="389">
        <f t="shared" si="419"/>
        <v>1E-4</v>
      </c>
      <c r="AC957" s="389">
        <f t="shared" si="420"/>
        <v>1E-4</v>
      </c>
      <c r="AD957" s="389">
        <f t="shared" si="421"/>
        <v>0</v>
      </c>
      <c r="AE957" s="389">
        <f t="shared" si="422"/>
        <v>0</v>
      </c>
      <c r="AG957" s="311" t="str">
        <f t="shared" si="423"/>
        <v>-</v>
      </c>
      <c r="AH957" s="453" t="str">
        <f t="shared" si="424"/>
        <v/>
      </c>
      <c r="AI957" s="453" t="str">
        <f t="shared" si="425"/>
        <v/>
      </c>
      <c r="AJ957" t="str">
        <f t="array" ref="AJ957">IF(AND(AI957&gt;1,G957&lt;&gt;""),INDEX(FS_teams,MATCH(1,(FS_Keys=AG957)*(FS_Points=I957)*(FS_teams&lt;&gt;G957),0)),"")</f>
        <v/>
      </c>
      <c r="AK957" s="390" t="str">
        <f t="array" ref="AK957">IF(AJ957&lt;&gt;"",INDEX(TM_Score1,MATCH(1,(TM_Events=D957)*(TM_Participant1=G957)*(TM_Participant2=AJ957),0)),"")</f>
        <v/>
      </c>
      <c r="AL957" s="390" t="str">
        <f t="array" ref="AL957">IF(AJ957&lt;&gt;"",INDEX(TM_Score1,MATCH(1,(TM_Events=D957)*(TM_Participant1=AJ957)*(TM_Participant2=G957),0)),"")</f>
        <v/>
      </c>
      <c r="AM957" s="389" t="str">
        <f t="array" ref="AM957">IF(ISNUMBER(AK957),INDEX(TM_Score2,MATCH(1,(TM_Events=D957)*(TM_Participant1=G957)*(TM_Participant2=AJ957),0)),"")</f>
        <v/>
      </c>
      <c r="AN957" s="389" t="str">
        <f t="array" ref="AN957">IF(ISNUMBER(AL957),INDEX(TM_Score2,MATCH(1,(TM_Events=D957)*(TM_Participant1=AJ957)*(TM_Participant2=G957),0)),"")</f>
        <v/>
      </c>
      <c r="AO957" s="389" t="str">
        <f t="shared" si="426"/>
        <v/>
      </c>
      <c r="AP957" s="389">
        <f t="shared" si="427"/>
        <v>0</v>
      </c>
      <c r="AQ957" s="389">
        <f t="shared" si="428"/>
        <v>0</v>
      </c>
      <c r="AR957" s="389">
        <f t="shared" si="429"/>
        <v>0</v>
      </c>
      <c r="AS957" s="453">
        <f t="shared" si="430"/>
        <v>0</v>
      </c>
      <c r="AT957" s="452">
        <f t="shared" si="431"/>
        <v>0</v>
      </c>
    </row>
    <row r="958" spans="2:46" ht="16" x14ac:dyDescent="0.2">
      <c r="B958"/>
      <c r="H958" s="387" t="str">
        <f t="shared" si="406"/>
        <v>0-0-0</v>
      </c>
      <c r="I958" s="389">
        <f t="shared" si="407"/>
        <v>0</v>
      </c>
      <c r="J958" s="455" t="str">
        <f t="shared" si="432"/>
        <v/>
      </c>
      <c r="K958" s="455">
        <f t="shared" si="408"/>
        <v>0</v>
      </c>
      <c r="L958" s="455">
        <f t="shared" si="433"/>
        <v>0</v>
      </c>
      <c r="M958" s="389" t="str">
        <f>IFERROR(IF(AD958&lt;=VLOOKUP(D958,Tournaments!$A$1:$B$1772,2,FALSE),"TRUE","FALSE"),"")</f>
        <v/>
      </c>
      <c r="N958" s="389">
        <v>1</v>
      </c>
      <c r="O958" s="389">
        <f t="shared" si="409"/>
        <v>0</v>
      </c>
      <c r="Q958" s="389">
        <f t="shared" si="410"/>
        <v>0</v>
      </c>
      <c r="R958" s="389">
        <f t="shared" si="411"/>
        <v>0</v>
      </c>
      <c r="S958" s="389">
        <f t="shared" si="412"/>
        <v>0</v>
      </c>
      <c r="U958" s="389">
        <f t="shared" si="413"/>
        <v>0</v>
      </c>
      <c r="V958" s="389" t="b">
        <f t="shared" si="414"/>
        <v>0</v>
      </c>
      <c r="W958" s="389">
        <f t="shared" si="415"/>
        <v>0</v>
      </c>
      <c r="X958" s="389">
        <f t="shared" si="416"/>
        <v>0</v>
      </c>
      <c r="Y958" s="389">
        <f t="shared" si="434"/>
        <v>1.0999999999999999E-2</v>
      </c>
      <c r="Z958" s="389">
        <f t="shared" si="417"/>
        <v>1.0999999999999999E-2</v>
      </c>
      <c r="AA958" s="389">
        <f t="shared" si="418"/>
        <v>0</v>
      </c>
      <c r="AB958" s="389">
        <f t="shared" si="419"/>
        <v>1E-4</v>
      </c>
      <c r="AC958" s="389">
        <f t="shared" si="420"/>
        <v>1E-4</v>
      </c>
      <c r="AD958" s="389">
        <f t="shared" si="421"/>
        <v>0</v>
      </c>
      <c r="AE958" s="389">
        <f t="shared" si="422"/>
        <v>0</v>
      </c>
      <c r="AG958" s="311" t="str">
        <f t="shared" si="423"/>
        <v>-</v>
      </c>
      <c r="AH958" s="453" t="str">
        <f t="shared" si="424"/>
        <v/>
      </c>
      <c r="AI958" s="453" t="str">
        <f t="shared" si="425"/>
        <v/>
      </c>
      <c r="AJ958" t="str">
        <f t="array" ref="AJ958">IF(AND(AI958&gt;1,G958&lt;&gt;""),INDEX(FS_teams,MATCH(1,(FS_Keys=AG958)*(FS_Points=I958)*(FS_teams&lt;&gt;G958),0)),"")</f>
        <v/>
      </c>
      <c r="AK958" s="390" t="str">
        <f t="array" ref="AK958">IF(AJ958&lt;&gt;"",INDEX(TM_Score1,MATCH(1,(TM_Events=D958)*(TM_Participant1=G958)*(TM_Participant2=AJ958),0)),"")</f>
        <v/>
      </c>
      <c r="AL958" s="390" t="str">
        <f t="array" ref="AL958">IF(AJ958&lt;&gt;"",INDEX(TM_Score1,MATCH(1,(TM_Events=D958)*(TM_Participant1=AJ958)*(TM_Participant2=G958),0)),"")</f>
        <v/>
      </c>
      <c r="AM958" s="389" t="str">
        <f t="array" ref="AM958">IF(ISNUMBER(AK958),INDEX(TM_Score2,MATCH(1,(TM_Events=D958)*(TM_Participant1=G958)*(TM_Participant2=AJ958),0)),"")</f>
        <v/>
      </c>
      <c r="AN958" s="389" t="str">
        <f t="array" ref="AN958">IF(ISNUMBER(AL958),INDEX(TM_Score2,MATCH(1,(TM_Events=D958)*(TM_Participant1=AJ958)*(TM_Participant2=G958),0)),"")</f>
        <v/>
      </c>
      <c r="AO958" s="389" t="str">
        <f t="shared" si="426"/>
        <v/>
      </c>
      <c r="AP958" s="389">
        <f t="shared" si="427"/>
        <v>0</v>
      </c>
      <c r="AQ958" s="389">
        <f t="shared" si="428"/>
        <v>0</v>
      </c>
      <c r="AR958" s="389">
        <f t="shared" si="429"/>
        <v>0</v>
      </c>
      <c r="AS958" s="453">
        <f t="shared" si="430"/>
        <v>0</v>
      </c>
      <c r="AT958" s="452">
        <f t="shared" si="431"/>
        <v>0</v>
      </c>
    </row>
    <row r="959" spans="2:46" ht="16" x14ac:dyDescent="0.2">
      <c r="B959"/>
      <c r="H959" s="387" t="str">
        <f t="shared" si="406"/>
        <v>0-0-0</v>
      </c>
      <c r="I959" s="389">
        <f t="shared" si="407"/>
        <v>0</v>
      </c>
      <c r="J959" s="455" t="str">
        <f t="shared" si="432"/>
        <v/>
      </c>
      <c r="K959" s="455">
        <f t="shared" si="408"/>
        <v>0</v>
      </c>
      <c r="L959" s="455">
        <f t="shared" si="433"/>
        <v>0</v>
      </c>
      <c r="M959" s="389" t="str">
        <f>IFERROR(IF(AD959&lt;=VLOOKUP(D959,Tournaments!$A$1:$B$1772,2,FALSE),"TRUE","FALSE"),"")</f>
        <v/>
      </c>
      <c r="N959" s="389">
        <v>1</v>
      </c>
      <c r="O959" s="389">
        <f t="shared" si="409"/>
        <v>0</v>
      </c>
      <c r="Q959" s="389">
        <f t="shared" si="410"/>
        <v>0</v>
      </c>
      <c r="R959" s="389">
        <f t="shared" si="411"/>
        <v>0</v>
      </c>
      <c r="S959" s="389">
        <f t="shared" si="412"/>
        <v>0</v>
      </c>
      <c r="U959" s="389">
        <f t="shared" si="413"/>
        <v>0</v>
      </c>
      <c r="V959" s="389" t="b">
        <f t="shared" si="414"/>
        <v>0</v>
      </c>
      <c r="W959" s="389">
        <f t="shared" si="415"/>
        <v>0</v>
      </c>
      <c r="X959" s="389">
        <f t="shared" si="416"/>
        <v>0</v>
      </c>
      <c r="Y959" s="389">
        <f t="shared" si="434"/>
        <v>1.0999999999999999E-2</v>
      </c>
      <c r="Z959" s="389">
        <f t="shared" si="417"/>
        <v>1.0999999999999999E-2</v>
      </c>
      <c r="AA959" s="389">
        <f t="shared" si="418"/>
        <v>0</v>
      </c>
      <c r="AB959" s="389">
        <f t="shared" si="419"/>
        <v>1E-4</v>
      </c>
      <c r="AC959" s="389">
        <f t="shared" si="420"/>
        <v>1E-4</v>
      </c>
      <c r="AD959" s="389">
        <f t="shared" si="421"/>
        <v>0</v>
      </c>
      <c r="AE959" s="389">
        <f t="shared" si="422"/>
        <v>0</v>
      </c>
      <c r="AG959" s="311" t="str">
        <f t="shared" si="423"/>
        <v>-</v>
      </c>
      <c r="AH959" s="453" t="str">
        <f t="shared" si="424"/>
        <v/>
      </c>
      <c r="AI959" s="453" t="str">
        <f t="shared" si="425"/>
        <v/>
      </c>
      <c r="AJ959" t="str">
        <f t="array" ref="AJ959">IF(AND(AI959&gt;1,G959&lt;&gt;""),INDEX(FS_teams,MATCH(1,(FS_Keys=AG959)*(FS_Points=I959)*(FS_teams&lt;&gt;G959),0)),"")</f>
        <v/>
      </c>
      <c r="AK959" s="390" t="str">
        <f t="array" ref="AK959">IF(AJ959&lt;&gt;"",INDEX(TM_Score1,MATCH(1,(TM_Events=D959)*(TM_Participant1=G959)*(TM_Participant2=AJ959),0)),"")</f>
        <v/>
      </c>
      <c r="AL959" s="390" t="str">
        <f t="array" ref="AL959">IF(AJ959&lt;&gt;"",INDEX(TM_Score1,MATCH(1,(TM_Events=D959)*(TM_Participant1=AJ959)*(TM_Participant2=G959),0)),"")</f>
        <v/>
      </c>
      <c r="AM959" s="389" t="str">
        <f t="array" ref="AM959">IF(ISNUMBER(AK959),INDEX(TM_Score2,MATCH(1,(TM_Events=D959)*(TM_Participant1=G959)*(TM_Participant2=AJ959),0)),"")</f>
        <v/>
      </c>
      <c r="AN959" s="389" t="str">
        <f t="array" ref="AN959">IF(ISNUMBER(AL959),INDEX(TM_Score2,MATCH(1,(TM_Events=D959)*(TM_Participant1=AJ959)*(TM_Participant2=G959),0)),"")</f>
        <v/>
      </c>
      <c r="AO959" s="389" t="str">
        <f t="shared" si="426"/>
        <v/>
      </c>
      <c r="AP959" s="389">
        <f t="shared" si="427"/>
        <v>0</v>
      </c>
      <c r="AQ959" s="389">
        <f t="shared" si="428"/>
        <v>0</v>
      </c>
      <c r="AR959" s="389">
        <f t="shared" si="429"/>
        <v>0</v>
      </c>
      <c r="AS959" s="453">
        <f t="shared" si="430"/>
        <v>0</v>
      </c>
      <c r="AT959" s="452">
        <f t="shared" si="431"/>
        <v>0</v>
      </c>
    </row>
    <row r="960" spans="2:46" ht="16" x14ac:dyDescent="0.2">
      <c r="B960"/>
      <c r="H960" s="387" t="str">
        <f t="shared" si="406"/>
        <v>0-0-0</v>
      </c>
      <c r="I960" s="389">
        <f t="shared" si="407"/>
        <v>0</v>
      </c>
      <c r="J960" s="455" t="str">
        <f t="shared" si="432"/>
        <v/>
      </c>
      <c r="K960" s="455">
        <f t="shared" si="408"/>
        <v>0</v>
      </c>
      <c r="L960" s="455">
        <f t="shared" si="433"/>
        <v>0</v>
      </c>
      <c r="M960" s="389" t="str">
        <f>IFERROR(IF(AD960&lt;=VLOOKUP(D960,Tournaments!$A$1:$B$1772,2,FALSE),"TRUE","FALSE"),"")</f>
        <v/>
      </c>
      <c r="N960" s="389">
        <v>1</v>
      </c>
      <c r="O960" s="389">
        <f t="shared" si="409"/>
        <v>0</v>
      </c>
      <c r="Q960" s="389">
        <f t="shared" si="410"/>
        <v>0</v>
      </c>
      <c r="R960" s="389">
        <f t="shared" si="411"/>
        <v>0</v>
      </c>
      <c r="S960" s="389">
        <f t="shared" si="412"/>
        <v>0</v>
      </c>
      <c r="U960" s="389">
        <f t="shared" si="413"/>
        <v>0</v>
      </c>
      <c r="V960" s="389" t="b">
        <f t="shared" si="414"/>
        <v>0</v>
      </c>
      <c r="W960" s="389">
        <f t="shared" si="415"/>
        <v>0</v>
      </c>
      <c r="X960" s="389">
        <f t="shared" si="416"/>
        <v>0</v>
      </c>
      <c r="Y960" s="389">
        <f t="shared" si="434"/>
        <v>1.0999999999999999E-2</v>
      </c>
      <c r="Z960" s="389">
        <f t="shared" si="417"/>
        <v>1.0999999999999999E-2</v>
      </c>
      <c r="AA960" s="389">
        <f t="shared" si="418"/>
        <v>0</v>
      </c>
      <c r="AB960" s="389">
        <f t="shared" si="419"/>
        <v>1E-4</v>
      </c>
      <c r="AC960" s="389">
        <f t="shared" si="420"/>
        <v>1E-4</v>
      </c>
      <c r="AD960" s="389">
        <f t="shared" si="421"/>
        <v>0</v>
      </c>
      <c r="AE960" s="389">
        <f t="shared" si="422"/>
        <v>0</v>
      </c>
      <c r="AG960" s="311" t="str">
        <f t="shared" si="423"/>
        <v>-</v>
      </c>
      <c r="AH960" s="453" t="str">
        <f t="shared" si="424"/>
        <v/>
      </c>
      <c r="AI960" s="453" t="str">
        <f t="shared" si="425"/>
        <v/>
      </c>
      <c r="AJ960" t="str">
        <f t="array" ref="AJ960">IF(AND(AI960&gt;1,G960&lt;&gt;""),INDEX(FS_teams,MATCH(1,(FS_Keys=AG960)*(FS_Points=I960)*(FS_teams&lt;&gt;G960),0)),"")</f>
        <v/>
      </c>
      <c r="AK960" s="390" t="str">
        <f t="array" ref="AK960">IF(AJ960&lt;&gt;"",INDEX(TM_Score1,MATCH(1,(TM_Events=D960)*(TM_Participant1=G960)*(TM_Participant2=AJ960),0)),"")</f>
        <v/>
      </c>
      <c r="AL960" s="390" t="str">
        <f t="array" ref="AL960">IF(AJ960&lt;&gt;"",INDEX(TM_Score1,MATCH(1,(TM_Events=D960)*(TM_Participant1=AJ960)*(TM_Participant2=G960),0)),"")</f>
        <v/>
      </c>
      <c r="AM960" s="389" t="str">
        <f t="array" ref="AM960">IF(ISNUMBER(AK960),INDEX(TM_Score2,MATCH(1,(TM_Events=D960)*(TM_Participant1=G960)*(TM_Participant2=AJ960),0)),"")</f>
        <v/>
      </c>
      <c r="AN960" s="389" t="str">
        <f t="array" ref="AN960">IF(ISNUMBER(AL960),INDEX(TM_Score2,MATCH(1,(TM_Events=D960)*(TM_Participant1=AJ960)*(TM_Participant2=G960),0)),"")</f>
        <v/>
      </c>
      <c r="AO960" s="389" t="str">
        <f t="shared" si="426"/>
        <v/>
      </c>
      <c r="AP960" s="389">
        <f t="shared" si="427"/>
        <v>0</v>
      </c>
      <c r="AQ960" s="389">
        <f t="shared" si="428"/>
        <v>0</v>
      </c>
      <c r="AR960" s="389">
        <f t="shared" si="429"/>
        <v>0</v>
      </c>
      <c r="AS960" s="453">
        <f t="shared" si="430"/>
        <v>0</v>
      </c>
      <c r="AT960" s="452">
        <f t="shared" si="431"/>
        <v>0</v>
      </c>
    </row>
    <row r="961" spans="2:46" ht="16" x14ac:dyDescent="0.2">
      <c r="B961"/>
      <c r="H961" s="387" t="str">
        <f t="shared" si="406"/>
        <v>0-0-0</v>
      </c>
      <c r="I961" s="389">
        <f t="shared" si="407"/>
        <v>0</v>
      </c>
      <c r="J961" s="455" t="str">
        <f t="shared" si="432"/>
        <v/>
      </c>
      <c r="K961" s="455">
        <f t="shared" si="408"/>
        <v>0</v>
      </c>
      <c r="L961" s="455">
        <f t="shared" si="433"/>
        <v>0</v>
      </c>
      <c r="M961" s="389" t="str">
        <f>IFERROR(IF(AD961&lt;=VLOOKUP(D961,Tournaments!$A$1:$B$1772,2,FALSE),"TRUE","FALSE"),"")</f>
        <v/>
      </c>
      <c r="N961" s="389">
        <v>1</v>
      </c>
      <c r="O961" s="389">
        <f t="shared" si="409"/>
        <v>0</v>
      </c>
      <c r="Q961" s="389">
        <f t="shared" si="410"/>
        <v>0</v>
      </c>
      <c r="R961" s="389">
        <f t="shared" si="411"/>
        <v>0</v>
      </c>
      <c r="S961" s="389">
        <f t="shared" si="412"/>
        <v>0</v>
      </c>
      <c r="U961" s="389">
        <f t="shared" si="413"/>
        <v>0</v>
      </c>
      <c r="V961" s="389" t="b">
        <f t="shared" si="414"/>
        <v>0</v>
      </c>
      <c r="W961" s="389">
        <f t="shared" si="415"/>
        <v>0</v>
      </c>
      <c r="X961" s="389">
        <f t="shared" si="416"/>
        <v>0</v>
      </c>
      <c r="Y961" s="389">
        <f t="shared" si="434"/>
        <v>1.0999999999999999E-2</v>
      </c>
      <c r="Z961" s="389">
        <f t="shared" si="417"/>
        <v>1.0999999999999999E-2</v>
      </c>
      <c r="AA961" s="389">
        <f t="shared" si="418"/>
        <v>0</v>
      </c>
      <c r="AB961" s="389">
        <f t="shared" si="419"/>
        <v>1E-4</v>
      </c>
      <c r="AC961" s="389">
        <f t="shared" si="420"/>
        <v>1E-4</v>
      </c>
      <c r="AD961" s="389">
        <f t="shared" si="421"/>
        <v>0</v>
      </c>
      <c r="AE961" s="389">
        <f t="shared" si="422"/>
        <v>0</v>
      </c>
      <c r="AG961" s="311" t="str">
        <f t="shared" si="423"/>
        <v>-</v>
      </c>
      <c r="AH961" s="453" t="str">
        <f t="shared" si="424"/>
        <v/>
      </c>
      <c r="AI961" s="453" t="str">
        <f t="shared" si="425"/>
        <v/>
      </c>
      <c r="AJ961" t="str">
        <f t="array" ref="AJ961">IF(AND(AI961&gt;1,G961&lt;&gt;""),INDEX(FS_teams,MATCH(1,(FS_Keys=AG961)*(FS_Points=I961)*(FS_teams&lt;&gt;G961),0)),"")</f>
        <v/>
      </c>
      <c r="AK961" s="390" t="str">
        <f t="array" ref="AK961">IF(AJ961&lt;&gt;"",INDEX(TM_Score1,MATCH(1,(TM_Events=D961)*(TM_Participant1=G961)*(TM_Participant2=AJ961),0)),"")</f>
        <v/>
      </c>
      <c r="AL961" s="390" t="str">
        <f t="array" ref="AL961">IF(AJ961&lt;&gt;"",INDEX(TM_Score1,MATCH(1,(TM_Events=D961)*(TM_Participant1=AJ961)*(TM_Participant2=G961),0)),"")</f>
        <v/>
      </c>
      <c r="AM961" s="389" t="str">
        <f t="array" ref="AM961">IF(ISNUMBER(AK961),INDEX(TM_Score2,MATCH(1,(TM_Events=D961)*(TM_Participant1=G961)*(TM_Participant2=AJ961),0)),"")</f>
        <v/>
      </c>
      <c r="AN961" s="389" t="str">
        <f t="array" ref="AN961">IF(ISNUMBER(AL961),INDEX(TM_Score2,MATCH(1,(TM_Events=D961)*(TM_Participant1=AJ961)*(TM_Participant2=G961),0)),"")</f>
        <v/>
      </c>
      <c r="AO961" s="389" t="str">
        <f t="shared" si="426"/>
        <v/>
      </c>
      <c r="AP961" s="389">
        <f t="shared" si="427"/>
        <v>0</v>
      </c>
      <c r="AQ961" s="389">
        <f t="shared" si="428"/>
        <v>0</v>
      </c>
      <c r="AR961" s="389">
        <f t="shared" si="429"/>
        <v>0</v>
      </c>
      <c r="AS961" s="453">
        <f t="shared" si="430"/>
        <v>0</v>
      </c>
      <c r="AT961" s="452">
        <f t="shared" si="431"/>
        <v>0</v>
      </c>
    </row>
    <row r="962" spans="2:46" ht="16" x14ac:dyDescent="0.2">
      <c r="B962"/>
      <c r="H962" s="387" t="str">
        <f t="shared" si="406"/>
        <v>0-0-0</v>
      </c>
      <c r="I962" s="389">
        <f t="shared" si="407"/>
        <v>0</v>
      </c>
      <c r="J962" s="455" t="str">
        <f t="shared" si="432"/>
        <v/>
      </c>
      <c r="K962" s="455">
        <f t="shared" si="408"/>
        <v>0</v>
      </c>
      <c r="L962" s="455">
        <f t="shared" si="433"/>
        <v>0</v>
      </c>
      <c r="M962" s="389" t="str">
        <f>IFERROR(IF(AD962&lt;=VLOOKUP(D962,Tournaments!$A$1:$B$1772,2,FALSE),"TRUE","FALSE"),"")</f>
        <v/>
      </c>
      <c r="N962" s="389">
        <v>1</v>
      </c>
      <c r="O962" s="389">
        <f t="shared" si="409"/>
        <v>0</v>
      </c>
      <c r="Q962" s="389">
        <f t="shared" si="410"/>
        <v>0</v>
      </c>
      <c r="R962" s="389">
        <f t="shared" si="411"/>
        <v>0</v>
      </c>
      <c r="S962" s="389">
        <f t="shared" si="412"/>
        <v>0</v>
      </c>
      <c r="U962" s="389">
        <f t="shared" si="413"/>
        <v>0</v>
      </c>
      <c r="V962" s="389" t="b">
        <f t="shared" si="414"/>
        <v>0</v>
      </c>
      <c r="W962" s="389">
        <f t="shared" si="415"/>
        <v>0</v>
      </c>
      <c r="X962" s="389">
        <f t="shared" si="416"/>
        <v>0</v>
      </c>
      <c r="Y962" s="389">
        <f t="shared" si="434"/>
        <v>1.0999999999999999E-2</v>
      </c>
      <c r="Z962" s="389">
        <f t="shared" si="417"/>
        <v>1.0999999999999999E-2</v>
      </c>
      <c r="AA962" s="389">
        <f t="shared" si="418"/>
        <v>0</v>
      </c>
      <c r="AB962" s="389">
        <f t="shared" si="419"/>
        <v>1E-4</v>
      </c>
      <c r="AC962" s="389">
        <f t="shared" si="420"/>
        <v>1E-4</v>
      </c>
      <c r="AD962" s="389">
        <f t="shared" si="421"/>
        <v>0</v>
      </c>
      <c r="AE962" s="389">
        <f t="shared" si="422"/>
        <v>0</v>
      </c>
      <c r="AG962" s="311" t="str">
        <f t="shared" si="423"/>
        <v>-</v>
      </c>
      <c r="AH962" s="453" t="str">
        <f t="shared" si="424"/>
        <v/>
      </c>
      <c r="AI962" s="453" t="str">
        <f t="shared" si="425"/>
        <v/>
      </c>
      <c r="AJ962" t="str">
        <f t="array" ref="AJ962">IF(AND(AI962&gt;1,G962&lt;&gt;""),INDEX(FS_teams,MATCH(1,(FS_Keys=AG962)*(FS_Points=I962)*(FS_teams&lt;&gt;G962),0)),"")</f>
        <v/>
      </c>
      <c r="AK962" s="390" t="str">
        <f t="array" ref="AK962">IF(AJ962&lt;&gt;"",INDEX(TM_Score1,MATCH(1,(TM_Events=D962)*(TM_Participant1=G962)*(TM_Participant2=AJ962),0)),"")</f>
        <v/>
      </c>
      <c r="AL962" s="390" t="str">
        <f t="array" ref="AL962">IF(AJ962&lt;&gt;"",INDEX(TM_Score1,MATCH(1,(TM_Events=D962)*(TM_Participant1=AJ962)*(TM_Participant2=G962),0)),"")</f>
        <v/>
      </c>
      <c r="AM962" s="389" t="str">
        <f t="array" ref="AM962">IF(ISNUMBER(AK962),INDEX(TM_Score2,MATCH(1,(TM_Events=D962)*(TM_Participant1=G962)*(TM_Participant2=AJ962),0)),"")</f>
        <v/>
      </c>
      <c r="AN962" s="389" t="str">
        <f t="array" ref="AN962">IF(ISNUMBER(AL962),INDEX(TM_Score2,MATCH(1,(TM_Events=D962)*(TM_Participant1=AJ962)*(TM_Participant2=G962),0)),"")</f>
        <v/>
      </c>
      <c r="AO962" s="389" t="str">
        <f t="shared" si="426"/>
        <v/>
      </c>
      <c r="AP962" s="389">
        <f t="shared" si="427"/>
        <v>0</v>
      </c>
      <c r="AQ962" s="389">
        <f t="shared" si="428"/>
        <v>0</v>
      </c>
      <c r="AR962" s="389">
        <f t="shared" si="429"/>
        <v>0</v>
      </c>
      <c r="AS962" s="453">
        <f t="shared" si="430"/>
        <v>0</v>
      </c>
      <c r="AT962" s="452">
        <f t="shared" si="431"/>
        <v>0</v>
      </c>
    </row>
    <row r="963" spans="2:46" ht="16" x14ac:dyDescent="0.2">
      <c r="B963"/>
      <c r="H963" s="387" t="str">
        <f t="shared" ref="H963:H1001" si="435">Q963&amp;"-"&amp;R963&amp;"-"&amp;S963</f>
        <v>0-0-0</v>
      </c>
      <c r="I963" s="389">
        <f t="shared" ref="I963:I1001" si="436">IF(H963&lt;&gt;"0-0-0",Q963*2+S963,0)</f>
        <v>0</v>
      </c>
      <c r="J963" s="455" t="str">
        <f t="shared" si="432"/>
        <v/>
      </c>
      <c r="K963" s="455">
        <f t="shared" ref="K963:K1026" si="437">IF(COUNTIFS(AG:AG,AG963,I:I,I963,J:J,J963)&gt;1,AS963,"")</f>
        <v>0</v>
      </c>
      <c r="L963" s="455">
        <f t="shared" si="433"/>
        <v>0</v>
      </c>
      <c r="M963" s="389" t="str">
        <f>IFERROR(IF(AD963&lt;=VLOOKUP(D963,Tournaments!$A$1:$B$1772,2,FALSE),"TRUE","FALSE"),"")</f>
        <v/>
      </c>
      <c r="N963" s="389">
        <v>1</v>
      </c>
      <c r="O963" s="389">
        <f t="shared" ref="O963:O1001" si="438">AD963</f>
        <v>0</v>
      </c>
      <c r="Q963" s="389">
        <f t="shared" ref="Q963:Q1001" si="439">AP963</f>
        <v>0</v>
      </c>
      <c r="R963" s="389">
        <f t="shared" ref="R963:R1001" si="440">AR963</f>
        <v>0</v>
      </c>
      <c r="S963" s="389">
        <f t="shared" ref="S963:S1001" si="441">AQ963</f>
        <v>0</v>
      </c>
      <c r="U963" s="389">
        <f t="shared" ref="U963:U1001" si="442">IF(E963&lt;&gt;"",COUNTIFS($D$3:$D$1001,D963,$E$3:$E$1001,E963,$I$3:$I$1001,"&gt;"&amp;I963)+COUNTIFS($D$3:$D$1001,D963,$E$3:$E$1001,E963,$I$3:$I$1001,I963),COUNTIFS($D$3:$D$1001,D963,$I$3:$I$1001,"&gt;"&amp;I963)+COUNTIFS($D$3:$D$1001,D963,$I$3:$I$1001,I963))</f>
        <v>0</v>
      </c>
      <c r="V963" s="389" t="b">
        <f t="shared" ref="V963:V1001" si="443">IFERROR(RANK(J963,$J:$J,1)/10000,FALSE)</f>
        <v>0</v>
      </c>
      <c r="W963" s="389">
        <f t="shared" ref="W963:W1001" si="444">V963-U963</f>
        <v>0</v>
      </c>
      <c r="X963" s="389">
        <f t="shared" ref="X963:X1001" si="445">IF(E963&lt;&gt;"",COUNTIFS($D:$D,$D963,$E:$E,$E963,$W:$W,"&gt;"&amp;W963)+COUNTIFS($D:$D,$D963,$E:$E,$E963,$W:$W,W963),COUNTIFS($D:$D,$D963,$W:$W,"&gt;"&amp;W963)+COUNTIFS($D:$D,$D963,$W:$W,W963))</f>
        <v>0</v>
      </c>
      <c r="Y963" s="389">
        <f t="shared" si="434"/>
        <v>1.0999999999999999E-2</v>
      </c>
      <c r="Z963" s="389">
        <f t="shared" ref="Z963:Z1001" si="446">Y963-X963</f>
        <v>1.0999999999999999E-2</v>
      </c>
      <c r="AA963" s="389">
        <f t="shared" ref="AA963:AA1001" si="447">IF(E963&lt;&gt;"",(COUNTIFS($D:$D,D963,$E:$E,E963,$Z:$Z,"&gt;"&amp;Z963)+COUNTIFS($D:$D,D963,$E:$E,E963,$Z:$Z,Z963)),(COUNTIFS($D:$D,D963,$Z:$Z,"&gt;"&amp;Z963)+COUNTIFS($D:$D,D963,$Z:$Z,Z963)))</f>
        <v>0</v>
      </c>
      <c r="AB963" s="389">
        <f t="shared" ref="AB963:AB1001" si="448">IFERROR(RANK(L963,$L:$L,1)/10000,FALSE)</f>
        <v>1E-4</v>
      </c>
      <c r="AC963" s="389">
        <f t="shared" ref="AC963:AC1001" si="449">AB963-AA963</f>
        <v>1E-4</v>
      </c>
      <c r="AD963" s="389">
        <f t="shared" ref="AD963:AD1001" si="450">IF(E963&lt;&gt;"",COUNTIFS($D:$D,$D963,$E:$E,$E963,$AC:$AC,"&gt;"&amp;AC963)+COUNTIFS($D:$D,$D963,$E:$E,$E963,$AC:$AC,AC963),COUNTIFS($D:$D,$D963,$AC:$AC,"&gt;"&amp;AC963)+COUNTIFS($D:$D,$D963,$AC:$AC,AC963))</f>
        <v>0</v>
      </c>
      <c r="AE963" s="389">
        <f t="shared" ref="AE963:AE1001" si="451">IF(E963&lt;&gt;"",COUNTIFS($D:$D,D963,$E:$E,E963,$I:$I,I963,$J:$J,J963),COUNTIFS($D:$D,D963,$I:$I,I963,$J:$J,J963))</f>
        <v>0</v>
      </c>
      <c r="AG963" s="311" t="str">
        <f t="shared" ref="AG963:AG1001" si="452">D963&amp;"-"&amp;E963</f>
        <v>-</v>
      </c>
      <c r="AH963" s="453" t="str">
        <f t="shared" ref="AH963:AH1001" si="453">IF(G963="","",COUNTIFS(FS_teams,"&lt;&gt;-1",FS_Keys,AG963,FS_Points,"&gt;"&amp;I963)+1)</f>
        <v/>
      </c>
      <c r="AI963" s="453" t="str">
        <f t="shared" ref="AI963:AI1001" si="454">IF(G963="","",COUNTIFS(FS_Keys,AG963,FS_Rank_on_Points,AH963))</f>
        <v/>
      </c>
      <c r="AJ963" t="str">
        <f t="array" ref="AJ963">IF(AND(AI963&gt;1,G963&lt;&gt;""),INDEX(FS_teams,MATCH(1,(FS_Keys=AG963)*(FS_Points=I963)*(FS_teams&lt;&gt;G963),0)),"")</f>
        <v/>
      </c>
      <c r="AK963" s="390" t="str">
        <f t="array" ref="AK963">IF(AJ963&lt;&gt;"",INDEX(TM_Score1,MATCH(1,(TM_Events=D963)*(TM_Participant1=G963)*(TM_Participant2=AJ963),0)),"")</f>
        <v/>
      </c>
      <c r="AL963" s="390" t="str">
        <f t="array" ref="AL963">IF(AJ963&lt;&gt;"",INDEX(TM_Score1,MATCH(1,(TM_Events=D963)*(TM_Participant1=AJ963)*(TM_Participant2=G963),0)),"")</f>
        <v/>
      </c>
      <c r="AM963" s="389" t="str">
        <f t="array" ref="AM963">IF(ISNUMBER(AK963),INDEX(TM_Score2,MATCH(1,(TM_Events=D963)*(TM_Participant1=G963)*(TM_Participant2=AJ963),0)),"")</f>
        <v/>
      </c>
      <c r="AN963" s="389" t="str">
        <f t="array" ref="AN963">IF(ISNUMBER(AL963),INDEX(TM_Score2,MATCH(1,(TM_Events=D963)*(TM_Participant1=AJ963)*(TM_Participant2=G963),0)),"")</f>
        <v/>
      </c>
      <c r="AO963" s="389" t="str">
        <f t="shared" ref="AO963:AO1001" si="455">IF(AJ963="","",IF(ISNUMBER(AK963),IF(AK963&gt;AM963,"Win",IF(AK963=AM963,"Tie",IF(AK963&lt;AM963,"Loss","check"))),IF(ISNUMBER(AL963),IF(AN963&gt;AL963,"Win",IF(AN963=AL963,"Tie",IF(AN963&lt;AL963,"Loss","check"))),IF(AND(ISNA(AK963),ISNA(AL963)),"did not play","check"))))</f>
        <v/>
      </c>
      <c r="AP963" s="389">
        <f t="shared" ref="AP963:AP1001" si="456">SUMIFS(TM_W1,TM_Events,D963,TM_Participant1,G963)+SUMIFS(TM_w2,TM_Events,D963,TM_Participant2,G963)</f>
        <v>0</v>
      </c>
      <c r="AQ963" s="389">
        <f t="shared" ref="AQ963:AQ1001" si="457">SUMIFS(TM_T1,TM_Events,D963,TM_Participant1,G963)+SUMIFS(TM_T2,TM_Events,D963,TM_Participant2,G963)</f>
        <v>0</v>
      </c>
      <c r="AR963" s="389">
        <f t="shared" ref="AR963:AR1001" si="458">SUMIFS(TM_L1,TM_Events,D963,TM_Participant1,G963)+SUMIFS(TM_L2,TM_Events,D963,TM_Participant2,G963)</f>
        <v>0</v>
      </c>
      <c r="AS963" s="453">
        <f t="shared" ref="AS963:AS1001" si="459">SUMIFS(Net_1,TM_Events,D963,TM_Participant1,G963)+SUMIFS(Net_2,TM_Events,D963,TM_Participant2,G963)</f>
        <v>0</v>
      </c>
      <c r="AT963" s="452">
        <f t="shared" ref="AT963:AT1001" si="460">SUMIFS(Score_1,TM_Events,D963,TM_Participant1,G963)+SUMIFS(Score_2,TM_Events,D963,TM_Participant2,G963)</f>
        <v>0</v>
      </c>
    </row>
    <row r="964" spans="2:46" ht="16" x14ac:dyDescent="0.2">
      <c r="B964"/>
      <c r="H964" s="387" t="str">
        <f t="shared" si="435"/>
        <v>0-0-0</v>
      </c>
      <c r="I964" s="389">
        <f t="shared" si="436"/>
        <v>0</v>
      </c>
      <c r="J964" s="455" t="str">
        <f t="shared" ref="J964:J1001" si="461">IF(E964&lt;&gt;"",IF(COUNTIFS($D:$D,D964,$E:$E,E964,$I:$I,I964)&lt;3,IFERROR(IF(H964&lt;&gt;"0-0-0",IF(AO964&lt;&gt;"",IF(AO964="Win",2,IF(AO964="Loss",0,1)),""),""),""),1),IF(COUNTIFS(D:D,D964,I:I,I964)&lt;3,IFERROR(IF(H964&lt;&gt;"0-0-0",IF(AO964&lt;&gt;"",IF(AO964="Win",2,IF(AO964="Loss",0,1)),""),""),""),1))</f>
        <v/>
      </c>
      <c r="K964" s="455">
        <f t="shared" si="437"/>
        <v>0</v>
      </c>
      <c r="L964" s="455">
        <f t="shared" ref="L964:L1001" si="462">IF(COUNTIFS(AG:AG,AG964,I:I,I964,J:J,J964,K:K,K964)&gt;1,AT964,"")</f>
        <v>0</v>
      </c>
      <c r="M964" s="389" t="str">
        <f>IFERROR(IF(AD964&lt;=VLOOKUP(D964,Tournaments!$A$1:$B$1772,2,FALSE),"TRUE","FALSE"),"")</f>
        <v/>
      </c>
      <c r="N964" s="389">
        <v>1</v>
      </c>
      <c r="O964" s="389">
        <f t="shared" si="438"/>
        <v>0</v>
      </c>
      <c r="Q964" s="389">
        <f t="shared" si="439"/>
        <v>0</v>
      </c>
      <c r="R964" s="389">
        <f t="shared" si="440"/>
        <v>0</v>
      </c>
      <c r="S964" s="389">
        <f t="shared" si="441"/>
        <v>0</v>
      </c>
      <c r="U964" s="389">
        <f t="shared" si="442"/>
        <v>0</v>
      </c>
      <c r="V964" s="389" t="b">
        <f t="shared" si="443"/>
        <v>0</v>
      </c>
      <c r="W964" s="389">
        <f t="shared" si="444"/>
        <v>0</v>
      </c>
      <c r="X964" s="389">
        <f t="shared" si="445"/>
        <v>0</v>
      </c>
      <c r="Y964" s="389">
        <f t="shared" ref="Y964:Y1001" si="463">IFERROR(IF(K964&gt;=0,RANK(K964,$K:$K,1)/10000,RANK(K964,$K:$K,1)/10000),FALSE)</f>
        <v>1.0999999999999999E-2</v>
      </c>
      <c r="Z964" s="389">
        <f t="shared" si="446"/>
        <v>1.0999999999999999E-2</v>
      </c>
      <c r="AA964" s="389">
        <f t="shared" si="447"/>
        <v>0</v>
      </c>
      <c r="AB964" s="389">
        <f t="shared" si="448"/>
        <v>1E-4</v>
      </c>
      <c r="AC964" s="389">
        <f t="shared" si="449"/>
        <v>1E-4</v>
      </c>
      <c r="AD964" s="389">
        <f t="shared" si="450"/>
        <v>0</v>
      </c>
      <c r="AE964" s="389">
        <f t="shared" si="451"/>
        <v>0</v>
      </c>
      <c r="AG964" s="311" t="str">
        <f t="shared" si="452"/>
        <v>-</v>
      </c>
      <c r="AH964" s="453" t="str">
        <f t="shared" si="453"/>
        <v/>
      </c>
      <c r="AI964" s="453" t="str">
        <f t="shared" si="454"/>
        <v/>
      </c>
      <c r="AJ964" t="str">
        <f t="array" ref="AJ964">IF(AND(AI964&gt;1,G964&lt;&gt;""),INDEX(FS_teams,MATCH(1,(FS_Keys=AG964)*(FS_Points=I964)*(FS_teams&lt;&gt;G964),0)),"")</f>
        <v/>
      </c>
      <c r="AK964" s="390" t="str">
        <f t="array" ref="AK964">IF(AJ964&lt;&gt;"",INDEX(TM_Score1,MATCH(1,(TM_Events=D964)*(TM_Participant1=G964)*(TM_Participant2=AJ964),0)),"")</f>
        <v/>
      </c>
      <c r="AL964" s="390" t="str">
        <f t="array" ref="AL964">IF(AJ964&lt;&gt;"",INDEX(TM_Score1,MATCH(1,(TM_Events=D964)*(TM_Participant1=AJ964)*(TM_Participant2=G964),0)),"")</f>
        <v/>
      </c>
      <c r="AM964" s="389" t="str">
        <f t="array" ref="AM964">IF(ISNUMBER(AK964),INDEX(TM_Score2,MATCH(1,(TM_Events=D964)*(TM_Participant1=G964)*(TM_Participant2=AJ964),0)),"")</f>
        <v/>
      </c>
      <c r="AN964" s="389" t="str">
        <f t="array" ref="AN964">IF(ISNUMBER(AL964),INDEX(TM_Score2,MATCH(1,(TM_Events=D964)*(TM_Participant1=AJ964)*(TM_Participant2=G964),0)),"")</f>
        <v/>
      </c>
      <c r="AO964" s="389" t="str">
        <f t="shared" si="455"/>
        <v/>
      </c>
      <c r="AP964" s="389">
        <f t="shared" si="456"/>
        <v>0</v>
      </c>
      <c r="AQ964" s="389">
        <f t="shared" si="457"/>
        <v>0</v>
      </c>
      <c r="AR964" s="389">
        <f t="shared" si="458"/>
        <v>0</v>
      </c>
      <c r="AS964" s="453">
        <f t="shared" si="459"/>
        <v>0</v>
      </c>
      <c r="AT964" s="452">
        <f t="shared" si="460"/>
        <v>0</v>
      </c>
    </row>
    <row r="965" spans="2:46" ht="16" x14ac:dyDescent="0.2">
      <c r="B965"/>
      <c r="H965" s="387" t="str">
        <f t="shared" si="435"/>
        <v>0-0-0</v>
      </c>
      <c r="I965" s="389">
        <f t="shared" si="436"/>
        <v>0</v>
      </c>
      <c r="J965" s="455" t="str">
        <f t="shared" si="461"/>
        <v/>
      </c>
      <c r="K965" s="455">
        <f t="shared" si="437"/>
        <v>0</v>
      </c>
      <c r="L965" s="455">
        <f t="shared" si="462"/>
        <v>0</v>
      </c>
      <c r="M965" s="389" t="str">
        <f>IFERROR(IF(AD965&lt;=VLOOKUP(D965,Tournaments!$A$1:$B$1772,2,FALSE),"TRUE","FALSE"),"")</f>
        <v/>
      </c>
      <c r="N965" s="389">
        <v>1</v>
      </c>
      <c r="O965" s="389">
        <f t="shared" si="438"/>
        <v>0</v>
      </c>
      <c r="Q965" s="389">
        <f t="shared" si="439"/>
        <v>0</v>
      </c>
      <c r="R965" s="389">
        <f t="shared" si="440"/>
        <v>0</v>
      </c>
      <c r="S965" s="389">
        <f t="shared" si="441"/>
        <v>0</v>
      </c>
      <c r="U965" s="389">
        <f t="shared" si="442"/>
        <v>0</v>
      </c>
      <c r="V965" s="389" t="b">
        <f t="shared" si="443"/>
        <v>0</v>
      </c>
      <c r="W965" s="389">
        <f t="shared" si="444"/>
        <v>0</v>
      </c>
      <c r="X965" s="389">
        <f t="shared" si="445"/>
        <v>0</v>
      </c>
      <c r="Y965" s="389">
        <f t="shared" si="463"/>
        <v>1.0999999999999999E-2</v>
      </c>
      <c r="Z965" s="389">
        <f t="shared" si="446"/>
        <v>1.0999999999999999E-2</v>
      </c>
      <c r="AA965" s="389">
        <f t="shared" si="447"/>
        <v>0</v>
      </c>
      <c r="AB965" s="389">
        <f t="shared" si="448"/>
        <v>1E-4</v>
      </c>
      <c r="AC965" s="389">
        <f t="shared" si="449"/>
        <v>1E-4</v>
      </c>
      <c r="AD965" s="389">
        <f t="shared" si="450"/>
        <v>0</v>
      </c>
      <c r="AE965" s="389">
        <f t="shared" si="451"/>
        <v>0</v>
      </c>
      <c r="AG965" s="311" t="str">
        <f t="shared" si="452"/>
        <v>-</v>
      </c>
      <c r="AH965" s="453" t="str">
        <f t="shared" si="453"/>
        <v/>
      </c>
      <c r="AI965" s="453" t="str">
        <f t="shared" si="454"/>
        <v/>
      </c>
      <c r="AJ965" t="str">
        <f t="array" ref="AJ965">IF(AND(AI965&gt;1,G965&lt;&gt;""),INDEX(FS_teams,MATCH(1,(FS_Keys=AG965)*(FS_Points=I965)*(FS_teams&lt;&gt;G965),0)),"")</f>
        <v/>
      </c>
      <c r="AK965" s="390" t="str">
        <f t="array" ref="AK965">IF(AJ965&lt;&gt;"",INDEX(TM_Score1,MATCH(1,(TM_Events=D965)*(TM_Participant1=G965)*(TM_Participant2=AJ965),0)),"")</f>
        <v/>
      </c>
      <c r="AL965" s="390" t="str">
        <f t="array" ref="AL965">IF(AJ965&lt;&gt;"",INDEX(TM_Score1,MATCH(1,(TM_Events=D965)*(TM_Participant1=AJ965)*(TM_Participant2=G965),0)),"")</f>
        <v/>
      </c>
      <c r="AM965" s="389" t="str">
        <f t="array" ref="AM965">IF(ISNUMBER(AK965),INDEX(TM_Score2,MATCH(1,(TM_Events=D965)*(TM_Participant1=G965)*(TM_Participant2=AJ965),0)),"")</f>
        <v/>
      </c>
      <c r="AN965" s="389" t="str">
        <f t="array" ref="AN965">IF(ISNUMBER(AL965),INDEX(TM_Score2,MATCH(1,(TM_Events=D965)*(TM_Participant1=AJ965)*(TM_Participant2=G965),0)),"")</f>
        <v/>
      </c>
      <c r="AO965" s="389" t="str">
        <f t="shared" si="455"/>
        <v/>
      </c>
      <c r="AP965" s="389">
        <f t="shared" si="456"/>
        <v>0</v>
      </c>
      <c r="AQ965" s="389">
        <f t="shared" si="457"/>
        <v>0</v>
      </c>
      <c r="AR965" s="389">
        <f t="shared" si="458"/>
        <v>0</v>
      </c>
      <c r="AS965" s="453">
        <f t="shared" si="459"/>
        <v>0</v>
      </c>
      <c r="AT965" s="452">
        <f t="shared" si="460"/>
        <v>0</v>
      </c>
    </row>
    <row r="966" spans="2:46" ht="16" x14ac:dyDescent="0.2">
      <c r="B966"/>
      <c r="H966" s="387" t="str">
        <f t="shared" si="435"/>
        <v>0-0-0</v>
      </c>
      <c r="I966" s="389">
        <f t="shared" si="436"/>
        <v>0</v>
      </c>
      <c r="J966" s="455" t="str">
        <f t="shared" si="461"/>
        <v/>
      </c>
      <c r="K966" s="455">
        <f t="shared" si="437"/>
        <v>0</v>
      </c>
      <c r="L966" s="455">
        <f t="shared" si="462"/>
        <v>0</v>
      </c>
      <c r="M966" s="389" t="str">
        <f>IFERROR(IF(AD966&lt;=VLOOKUP(D966,Tournaments!$A$1:$B$1772,2,FALSE),"TRUE","FALSE"),"")</f>
        <v/>
      </c>
      <c r="N966" s="389">
        <v>1</v>
      </c>
      <c r="O966" s="389">
        <f t="shared" si="438"/>
        <v>0</v>
      </c>
      <c r="Q966" s="389">
        <f t="shared" si="439"/>
        <v>0</v>
      </c>
      <c r="R966" s="389">
        <f t="shared" si="440"/>
        <v>0</v>
      </c>
      <c r="S966" s="389">
        <f t="shared" si="441"/>
        <v>0</v>
      </c>
      <c r="U966" s="389">
        <f t="shared" si="442"/>
        <v>0</v>
      </c>
      <c r="V966" s="389" t="b">
        <f t="shared" si="443"/>
        <v>0</v>
      </c>
      <c r="W966" s="389">
        <f t="shared" si="444"/>
        <v>0</v>
      </c>
      <c r="X966" s="389">
        <f t="shared" si="445"/>
        <v>0</v>
      </c>
      <c r="Y966" s="389">
        <f t="shared" si="463"/>
        <v>1.0999999999999999E-2</v>
      </c>
      <c r="Z966" s="389">
        <f t="shared" si="446"/>
        <v>1.0999999999999999E-2</v>
      </c>
      <c r="AA966" s="389">
        <f t="shared" si="447"/>
        <v>0</v>
      </c>
      <c r="AB966" s="389">
        <f t="shared" si="448"/>
        <v>1E-4</v>
      </c>
      <c r="AC966" s="389">
        <f t="shared" si="449"/>
        <v>1E-4</v>
      </c>
      <c r="AD966" s="389">
        <f t="shared" si="450"/>
        <v>0</v>
      </c>
      <c r="AE966" s="389">
        <f t="shared" si="451"/>
        <v>0</v>
      </c>
      <c r="AG966" s="311" t="str">
        <f t="shared" si="452"/>
        <v>-</v>
      </c>
      <c r="AH966" s="453" t="str">
        <f t="shared" si="453"/>
        <v/>
      </c>
      <c r="AI966" s="453" t="str">
        <f t="shared" si="454"/>
        <v/>
      </c>
      <c r="AJ966" t="str">
        <f t="array" ref="AJ966">IF(AND(AI966&gt;1,G966&lt;&gt;""),INDEX(FS_teams,MATCH(1,(FS_Keys=AG966)*(FS_Points=I966)*(FS_teams&lt;&gt;G966),0)),"")</f>
        <v/>
      </c>
      <c r="AK966" s="390" t="str">
        <f t="array" ref="AK966">IF(AJ966&lt;&gt;"",INDEX(TM_Score1,MATCH(1,(TM_Events=D966)*(TM_Participant1=G966)*(TM_Participant2=AJ966),0)),"")</f>
        <v/>
      </c>
      <c r="AL966" s="390" t="str">
        <f t="array" ref="AL966">IF(AJ966&lt;&gt;"",INDEX(TM_Score1,MATCH(1,(TM_Events=D966)*(TM_Participant1=AJ966)*(TM_Participant2=G966),0)),"")</f>
        <v/>
      </c>
      <c r="AM966" s="389" t="str">
        <f t="array" ref="AM966">IF(ISNUMBER(AK966),INDEX(TM_Score2,MATCH(1,(TM_Events=D966)*(TM_Participant1=G966)*(TM_Participant2=AJ966),0)),"")</f>
        <v/>
      </c>
      <c r="AN966" s="389" t="str">
        <f t="array" ref="AN966">IF(ISNUMBER(AL966),INDEX(TM_Score2,MATCH(1,(TM_Events=D966)*(TM_Participant1=AJ966)*(TM_Participant2=G966),0)),"")</f>
        <v/>
      </c>
      <c r="AO966" s="389" t="str">
        <f t="shared" si="455"/>
        <v/>
      </c>
      <c r="AP966" s="389">
        <f t="shared" si="456"/>
        <v>0</v>
      </c>
      <c r="AQ966" s="389">
        <f t="shared" si="457"/>
        <v>0</v>
      </c>
      <c r="AR966" s="389">
        <f t="shared" si="458"/>
        <v>0</v>
      </c>
      <c r="AS966" s="453">
        <f t="shared" si="459"/>
        <v>0</v>
      </c>
      <c r="AT966" s="452">
        <f t="shared" si="460"/>
        <v>0</v>
      </c>
    </row>
    <row r="967" spans="2:46" ht="16" x14ac:dyDescent="0.2">
      <c r="B967"/>
      <c r="H967" s="387" t="str">
        <f t="shared" si="435"/>
        <v>0-0-0</v>
      </c>
      <c r="I967" s="389">
        <f t="shared" si="436"/>
        <v>0</v>
      </c>
      <c r="J967" s="455" t="str">
        <f t="shared" si="461"/>
        <v/>
      </c>
      <c r="K967" s="455">
        <f t="shared" si="437"/>
        <v>0</v>
      </c>
      <c r="L967" s="455">
        <f t="shared" si="462"/>
        <v>0</v>
      </c>
      <c r="M967" s="389" t="str">
        <f>IFERROR(IF(AD967&lt;=VLOOKUP(D967,Tournaments!$A$1:$B$1772,2,FALSE),"TRUE","FALSE"),"")</f>
        <v/>
      </c>
      <c r="N967" s="389">
        <v>1</v>
      </c>
      <c r="O967" s="389">
        <f t="shared" si="438"/>
        <v>0</v>
      </c>
      <c r="Q967" s="389">
        <f t="shared" si="439"/>
        <v>0</v>
      </c>
      <c r="R967" s="389">
        <f t="shared" si="440"/>
        <v>0</v>
      </c>
      <c r="S967" s="389">
        <f t="shared" si="441"/>
        <v>0</v>
      </c>
      <c r="U967" s="389">
        <f t="shared" si="442"/>
        <v>0</v>
      </c>
      <c r="V967" s="389" t="b">
        <f t="shared" si="443"/>
        <v>0</v>
      </c>
      <c r="W967" s="389">
        <f t="shared" si="444"/>
        <v>0</v>
      </c>
      <c r="X967" s="389">
        <f t="shared" si="445"/>
        <v>0</v>
      </c>
      <c r="Y967" s="389">
        <f t="shared" si="463"/>
        <v>1.0999999999999999E-2</v>
      </c>
      <c r="Z967" s="389">
        <f t="shared" si="446"/>
        <v>1.0999999999999999E-2</v>
      </c>
      <c r="AA967" s="389">
        <f t="shared" si="447"/>
        <v>0</v>
      </c>
      <c r="AB967" s="389">
        <f t="shared" si="448"/>
        <v>1E-4</v>
      </c>
      <c r="AC967" s="389">
        <f t="shared" si="449"/>
        <v>1E-4</v>
      </c>
      <c r="AD967" s="389">
        <f t="shared" si="450"/>
        <v>0</v>
      </c>
      <c r="AE967" s="389">
        <f t="shared" si="451"/>
        <v>0</v>
      </c>
      <c r="AG967" s="311" t="str">
        <f t="shared" si="452"/>
        <v>-</v>
      </c>
      <c r="AH967" s="453" t="str">
        <f t="shared" si="453"/>
        <v/>
      </c>
      <c r="AI967" s="453" t="str">
        <f t="shared" si="454"/>
        <v/>
      </c>
      <c r="AJ967" t="str">
        <f t="array" ref="AJ967">IF(AND(AI967&gt;1,G967&lt;&gt;""),INDEX(FS_teams,MATCH(1,(FS_Keys=AG967)*(FS_Points=I967)*(FS_teams&lt;&gt;G967),0)),"")</f>
        <v/>
      </c>
      <c r="AK967" s="390" t="str">
        <f t="array" ref="AK967">IF(AJ967&lt;&gt;"",INDEX(TM_Score1,MATCH(1,(TM_Events=D967)*(TM_Participant1=G967)*(TM_Participant2=AJ967),0)),"")</f>
        <v/>
      </c>
      <c r="AL967" s="390" t="str">
        <f t="array" ref="AL967">IF(AJ967&lt;&gt;"",INDEX(TM_Score1,MATCH(1,(TM_Events=D967)*(TM_Participant1=AJ967)*(TM_Participant2=G967),0)),"")</f>
        <v/>
      </c>
      <c r="AM967" s="389" t="str">
        <f t="array" ref="AM967">IF(ISNUMBER(AK967),INDEX(TM_Score2,MATCH(1,(TM_Events=D967)*(TM_Participant1=G967)*(TM_Participant2=AJ967),0)),"")</f>
        <v/>
      </c>
      <c r="AN967" s="389" t="str">
        <f t="array" ref="AN967">IF(ISNUMBER(AL967),INDEX(TM_Score2,MATCH(1,(TM_Events=D967)*(TM_Participant1=AJ967)*(TM_Participant2=G967),0)),"")</f>
        <v/>
      </c>
      <c r="AO967" s="389" t="str">
        <f t="shared" si="455"/>
        <v/>
      </c>
      <c r="AP967" s="389">
        <f t="shared" si="456"/>
        <v>0</v>
      </c>
      <c r="AQ967" s="389">
        <f t="shared" si="457"/>
        <v>0</v>
      </c>
      <c r="AR967" s="389">
        <f t="shared" si="458"/>
        <v>0</v>
      </c>
      <c r="AS967" s="453">
        <f t="shared" si="459"/>
        <v>0</v>
      </c>
      <c r="AT967" s="452">
        <f t="shared" si="460"/>
        <v>0</v>
      </c>
    </row>
    <row r="968" spans="2:46" ht="16" x14ac:dyDescent="0.2">
      <c r="B968"/>
      <c r="H968" s="387" t="str">
        <f t="shared" si="435"/>
        <v>0-0-0</v>
      </c>
      <c r="I968" s="389">
        <f t="shared" si="436"/>
        <v>0</v>
      </c>
      <c r="J968" s="455" t="str">
        <f t="shared" si="461"/>
        <v/>
      </c>
      <c r="K968" s="455">
        <f t="shared" si="437"/>
        <v>0</v>
      </c>
      <c r="L968" s="455">
        <f t="shared" si="462"/>
        <v>0</v>
      </c>
      <c r="M968" s="389" t="str">
        <f>IFERROR(IF(AD968&lt;=VLOOKUP(D968,Tournaments!$A$1:$B$1772,2,FALSE),"TRUE","FALSE"),"")</f>
        <v/>
      </c>
      <c r="N968" s="389">
        <v>1</v>
      </c>
      <c r="O968" s="389">
        <f t="shared" si="438"/>
        <v>0</v>
      </c>
      <c r="Q968" s="389">
        <f t="shared" si="439"/>
        <v>0</v>
      </c>
      <c r="R968" s="389">
        <f t="shared" si="440"/>
        <v>0</v>
      </c>
      <c r="S968" s="389">
        <f t="shared" si="441"/>
        <v>0</v>
      </c>
      <c r="U968" s="389">
        <f t="shared" si="442"/>
        <v>0</v>
      </c>
      <c r="V968" s="389" t="b">
        <f t="shared" si="443"/>
        <v>0</v>
      </c>
      <c r="W968" s="389">
        <f t="shared" si="444"/>
        <v>0</v>
      </c>
      <c r="X968" s="389">
        <f t="shared" si="445"/>
        <v>0</v>
      </c>
      <c r="Y968" s="389">
        <f t="shared" si="463"/>
        <v>1.0999999999999999E-2</v>
      </c>
      <c r="Z968" s="389">
        <f t="shared" si="446"/>
        <v>1.0999999999999999E-2</v>
      </c>
      <c r="AA968" s="389">
        <f t="shared" si="447"/>
        <v>0</v>
      </c>
      <c r="AB968" s="389">
        <f t="shared" si="448"/>
        <v>1E-4</v>
      </c>
      <c r="AC968" s="389">
        <f t="shared" si="449"/>
        <v>1E-4</v>
      </c>
      <c r="AD968" s="389">
        <f t="shared" si="450"/>
        <v>0</v>
      </c>
      <c r="AE968" s="389">
        <f t="shared" si="451"/>
        <v>0</v>
      </c>
      <c r="AG968" s="311" t="str">
        <f t="shared" si="452"/>
        <v>-</v>
      </c>
      <c r="AH968" s="453" t="str">
        <f t="shared" si="453"/>
        <v/>
      </c>
      <c r="AI968" s="453" t="str">
        <f t="shared" si="454"/>
        <v/>
      </c>
      <c r="AJ968" t="str">
        <f t="array" ref="AJ968">IF(AND(AI968&gt;1,G968&lt;&gt;""),INDEX(FS_teams,MATCH(1,(FS_Keys=AG968)*(FS_Points=I968)*(FS_teams&lt;&gt;G968),0)),"")</f>
        <v/>
      </c>
      <c r="AK968" s="390" t="str">
        <f t="array" ref="AK968">IF(AJ968&lt;&gt;"",INDEX(TM_Score1,MATCH(1,(TM_Events=D968)*(TM_Participant1=G968)*(TM_Participant2=AJ968),0)),"")</f>
        <v/>
      </c>
      <c r="AL968" s="390" t="str">
        <f t="array" ref="AL968">IF(AJ968&lt;&gt;"",INDEX(TM_Score1,MATCH(1,(TM_Events=D968)*(TM_Participant1=AJ968)*(TM_Participant2=G968),0)),"")</f>
        <v/>
      </c>
      <c r="AM968" s="389" t="str">
        <f t="array" ref="AM968">IF(ISNUMBER(AK968),INDEX(TM_Score2,MATCH(1,(TM_Events=D968)*(TM_Participant1=G968)*(TM_Participant2=AJ968),0)),"")</f>
        <v/>
      </c>
      <c r="AN968" s="389" t="str">
        <f t="array" ref="AN968">IF(ISNUMBER(AL968),INDEX(TM_Score2,MATCH(1,(TM_Events=D968)*(TM_Participant1=AJ968)*(TM_Participant2=G968),0)),"")</f>
        <v/>
      </c>
      <c r="AO968" s="389" t="str">
        <f t="shared" si="455"/>
        <v/>
      </c>
      <c r="AP968" s="389">
        <f t="shared" si="456"/>
        <v>0</v>
      </c>
      <c r="AQ968" s="389">
        <f t="shared" si="457"/>
        <v>0</v>
      </c>
      <c r="AR968" s="389">
        <f t="shared" si="458"/>
        <v>0</v>
      </c>
      <c r="AS968" s="453">
        <f t="shared" si="459"/>
        <v>0</v>
      </c>
      <c r="AT968" s="452">
        <f t="shared" si="460"/>
        <v>0</v>
      </c>
    </row>
    <row r="969" spans="2:46" ht="16" x14ac:dyDescent="0.2">
      <c r="B969"/>
      <c r="H969" s="387" t="str">
        <f t="shared" si="435"/>
        <v>0-0-0</v>
      </c>
      <c r="I969" s="389">
        <f t="shared" si="436"/>
        <v>0</v>
      </c>
      <c r="J969" s="455" t="str">
        <f t="shared" si="461"/>
        <v/>
      </c>
      <c r="K969" s="455">
        <f t="shared" si="437"/>
        <v>0</v>
      </c>
      <c r="L969" s="455">
        <f t="shared" si="462"/>
        <v>0</v>
      </c>
      <c r="M969" s="389" t="str">
        <f>IFERROR(IF(AD969&lt;=VLOOKUP(D969,Tournaments!$A$1:$B$1772,2,FALSE),"TRUE","FALSE"),"")</f>
        <v/>
      </c>
      <c r="N969" s="389">
        <v>1</v>
      </c>
      <c r="O969" s="389">
        <f t="shared" si="438"/>
        <v>0</v>
      </c>
      <c r="Q969" s="389">
        <f t="shared" si="439"/>
        <v>0</v>
      </c>
      <c r="R969" s="389">
        <f t="shared" si="440"/>
        <v>0</v>
      </c>
      <c r="S969" s="389">
        <f t="shared" si="441"/>
        <v>0</v>
      </c>
      <c r="U969" s="389">
        <f t="shared" si="442"/>
        <v>0</v>
      </c>
      <c r="V969" s="389" t="b">
        <f t="shared" si="443"/>
        <v>0</v>
      </c>
      <c r="W969" s="389">
        <f t="shared" si="444"/>
        <v>0</v>
      </c>
      <c r="X969" s="389">
        <f t="shared" si="445"/>
        <v>0</v>
      </c>
      <c r="Y969" s="389">
        <f t="shared" si="463"/>
        <v>1.0999999999999999E-2</v>
      </c>
      <c r="Z969" s="389">
        <f t="shared" si="446"/>
        <v>1.0999999999999999E-2</v>
      </c>
      <c r="AA969" s="389">
        <f t="shared" si="447"/>
        <v>0</v>
      </c>
      <c r="AB969" s="389">
        <f t="shared" si="448"/>
        <v>1E-4</v>
      </c>
      <c r="AC969" s="389">
        <f t="shared" si="449"/>
        <v>1E-4</v>
      </c>
      <c r="AD969" s="389">
        <f t="shared" si="450"/>
        <v>0</v>
      </c>
      <c r="AE969" s="389">
        <f t="shared" si="451"/>
        <v>0</v>
      </c>
      <c r="AG969" s="311" t="str">
        <f t="shared" si="452"/>
        <v>-</v>
      </c>
      <c r="AH969" s="453" t="str">
        <f t="shared" si="453"/>
        <v/>
      </c>
      <c r="AI969" s="453" t="str">
        <f t="shared" si="454"/>
        <v/>
      </c>
      <c r="AJ969" t="str">
        <f t="array" ref="AJ969">IF(AND(AI969&gt;1,G969&lt;&gt;""),INDEX(FS_teams,MATCH(1,(FS_Keys=AG969)*(FS_Points=I969)*(FS_teams&lt;&gt;G969),0)),"")</f>
        <v/>
      </c>
      <c r="AK969" s="390" t="str">
        <f t="array" ref="AK969">IF(AJ969&lt;&gt;"",INDEX(TM_Score1,MATCH(1,(TM_Events=D969)*(TM_Participant1=G969)*(TM_Participant2=AJ969),0)),"")</f>
        <v/>
      </c>
      <c r="AL969" s="390" t="str">
        <f t="array" ref="AL969">IF(AJ969&lt;&gt;"",INDEX(TM_Score1,MATCH(1,(TM_Events=D969)*(TM_Participant1=AJ969)*(TM_Participant2=G969),0)),"")</f>
        <v/>
      </c>
      <c r="AM969" s="389" t="str">
        <f t="array" ref="AM969">IF(ISNUMBER(AK969),INDEX(TM_Score2,MATCH(1,(TM_Events=D969)*(TM_Participant1=G969)*(TM_Participant2=AJ969),0)),"")</f>
        <v/>
      </c>
      <c r="AN969" s="389" t="str">
        <f t="array" ref="AN969">IF(ISNUMBER(AL969),INDEX(TM_Score2,MATCH(1,(TM_Events=D969)*(TM_Participant1=AJ969)*(TM_Participant2=G969),0)),"")</f>
        <v/>
      </c>
      <c r="AO969" s="389" t="str">
        <f t="shared" si="455"/>
        <v/>
      </c>
      <c r="AP969" s="389">
        <f t="shared" si="456"/>
        <v>0</v>
      </c>
      <c r="AQ969" s="389">
        <f t="shared" si="457"/>
        <v>0</v>
      </c>
      <c r="AR969" s="389">
        <f t="shared" si="458"/>
        <v>0</v>
      </c>
      <c r="AS969" s="453">
        <f t="shared" si="459"/>
        <v>0</v>
      </c>
      <c r="AT969" s="452">
        <f t="shared" si="460"/>
        <v>0</v>
      </c>
    </row>
    <row r="970" spans="2:46" ht="16" x14ac:dyDescent="0.2">
      <c r="B970"/>
      <c r="H970" s="387" t="str">
        <f t="shared" si="435"/>
        <v>0-0-0</v>
      </c>
      <c r="I970" s="389">
        <f t="shared" si="436"/>
        <v>0</v>
      </c>
      <c r="J970" s="455" t="str">
        <f t="shared" si="461"/>
        <v/>
      </c>
      <c r="K970" s="455">
        <f t="shared" si="437"/>
        <v>0</v>
      </c>
      <c r="L970" s="455">
        <f t="shared" si="462"/>
        <v>0</v>
      </c>
      <c r="M970" s="389" t="str">
        <f>IFERROR(IF(AD970&lt;=VLOOKUP(D970,Tournaments!$A$1:$B$1772,2,FALSE),"TRUE","FALSE"),"")</f>
        <v/>
      </c>
      <c r="N970" s="389">
        <v>1</v>
      </c>
      <c r="O970" s="389">
        <f t="shared" si="438"/>
        <v>0</v>
      </c>
      <c r="Q970" s="389">
        <f t="shared" si="439"/>
        <v>0</v>
      </c>
      <c r="R970" s="389">
        <f t="shared" si="440"/>
        <v>0</v>
      </c>
      <c r="S970" s="389">
        <f t="shared" si="441"/>
        <v>0</v>
      </c>
      <c r="U970" s="389">
        <f t="shared" si="442"/>
        <v>0</v>
      </c>
      <c r="V970" s="389" t="b">
        <f t="shared" si="443"/>
        <v>0</v>
      </c>
      <c r="W970" s="389">
        <f t="shared" si="444"/>
        <v>0</v>
      </c>
      <c r="X970" s="389">
        <f t="shared" si="445"/>
        <v>0</v>
      </c>
      <c r="Y970" s="389">
        <f t="shared" si="463"/>
        <v>1.0999999999999999E-2</v>
      </c>
      <c r="Z970" s="389">
        <f t="shared" si="446"/>
        <v>1.0999999999999999E-2</v>
      </c>
      <c r="AA970" s="389">
        <f t="shared" si="447"/>
        <v>0</v>
      </c>
      <c r="AB970" s="389">
        <f t="shared" si="448"/>
        <v>1E-4</v>
      </c>
      <c r="AC970" s="389">
        <f t="shared" si="449"/>
        <v>1E-4</v>
      </c>
      <c r="AD970" s="389">
        <f t="shared" si="450"/>
        <v>0</v>
      </c>
      <c r="AE970" s="389">
        <f t="shared" si="451"/>
        <v>0</v>
      </c>
      <c r="AG970" s="311" t="str">
        <f t="shared" si="452"/>
        <v>-</v>
      </c>
      <c r="AH970" s="453" t="str">
        <f t="shared" si="453"/>
        <v/>
      </c>
      <c r="AI970" s="453" t="str">
        <f t="shared" si="454"/>
        <v/>
      </c>
      <c r="AJ970" t="str">
        <f t="array" ref="AJ970">IF(AND(AI970&gt;1,G970&lt;&gt;""),INDEX(FS_teams,MATCH(1,(FS_Keys=AG970)*(FS_Points=I970)*(FS_teams&lt;&gt;G970),0)),"")</f>
        <v/>
      </c>
      <c r="AK970" s="390" t="str">
        <f t="array" ref="AK970">IF(AJ970&lt;&gt;"",INDEX(TM_Score1,MATCH(1,(TM_Events=D970)*(TM_Participant1=G970)*(TM_Participant2=AJ970),0)),"")</f>
        <v/>
      </c>
      <c r="AL970" s="390" t="str">
        <f t="array" ref="AL970">IF(AJ970&lt;&gt;"",INDEX(TM_Score1,MATCH(1,(TM_Events=D970)*(TM_Participant1=AJ970)*(TM_Participant2=G970),0)),"")</f>
        <v/>
      </c>
      <c r="AM970" s="389" t="str">
        <f t="array" ref="AM970">IF(ISNUMBER(AK970),INDEX(TM_Score2,MATCH(1,(TM_Events=D970)*(TM_Participant1=G970)*(TM_Participant2=AJ970),0)),"")</f>
        <v/>
      </c>
      <c r="AN970" s="389" t="str">
        <f t="array" ref="AN970">IF(ISNUMBER(AL970),INDEX(TM_Score2,MATCH(1,(TM_Events=D970)*(TM_Participant1=AJ970)*(TM_Participant2=G970),0)),"")</f>
        <v/>
      </c>
      <c r="AO970" s="389" t="str">
        <f t="shared" si="455"/>
        <v/>
      </c>
      <c r="AP970" s="389">
        <f t="shared" si="456"/>
        <v>0</v>
      </c>
      <c r="AQ970" s="389">
        <f t="shared" si="457"/>
        <v>0</v>
      </c>
      <c r="AR970" s="389">
        <f t="shared" si="458"/>
        <v>0</v>
      </c>
      <c r="AS970" s="453">
        <f t="shared" si="459"/>
        <v>0</v>
      </c>
      <c r="AT970" s="452">
        <f t="shared" si="460"/>
        <v>0</v>
      </c>
    </row>
    <row r="971" spans="2:46" ht="16" x14ac:dyDescent="0.2">
      <c r="B971"/>
      <c r="H971" s="387" t="str">
        <f t="shared" si="435"/>
        <v>0-0-0</v>
      </c>
      <c r="I971" s="389">
        <f t="shared" si="436"/>
        <v>0</v>
      </c>
      <c r="J971" s="455" t="str">
        <f t="shared" si="461"/>
        <v/>
      </c>
      <c r="K971" s="455">
        <f t="shared" si="437"/>
        <v>0</v>
      </c>
      <c r="L971" s="455">
        <f t="shared" si="462"/>
        <v>0</v>
      </c>
      <c r="M971" s="389" t="str">
        <f>IFERROR(IF(AD971&lt;=VLOOKUP(D971,Tournaments!$A$1:$B$1772,2,FALSE),"TRUE","FALSE"),"")</f>
        <v/>
      </c>
      <c r="N971" s="389">
        <v>1</v>
      </c>
      <c r="O971" s="389">
        <f t="shared" si="438"/>
        <v>0</v>
      </c>
      <c r="Q971" s="389">
        <f t="shared" si="439"/>
        <v>0</v>
      </c>
      <c r="R971" s="389">
        <f t="shared" si="440"/>
        <v>0</v>
      </c>
      <c r="S971" s="389">
        <f t="shared" si="441"/>
        <v>0</v>
      </c>
      <c r="U971" s="389">
        <f t="shared" si="442"/>
        <v>0</v>
      </c>
      <c r="V971" s="389" t="b">
        <f t="shared" si="443"/>
        <v>0</v>
      </c>
      <c r="W971" s="389">
        <f t="shared" si="444"/>
        <v>0</v>
      </c>
      <c r="X971" s="389">
        <f t="shared" si="445"/>
        <v>0</v>
      </c>
      <c r="Y971" s="389">
        <f t="shared" si="463"/>
        <v>1.0999999999999999E-2</v>
      </c>
      <c r="Z971" s="389">
        <f t="shared" si="446"/>
        <v>1.0999999999999999E-2</v>
      </c>
      <c r="AA971" s="389">
        <f t="shared" si="447"/>
        <v>0</v>
      </c>
      <c r="AB971" s="389">
        <f t="shared" si="448"/>
        <v>1E-4</v>
      </c>
      <c r="AC971" s="389">
        <f t="shared" si="449"/>
        <v>1E-4</v>
      </c>
      <c r="AD971" s="389">
        <f t="shared" si="450"/>
        <v>0</v>
      </c>
      <c r="AE971" s="389">
        <f t="shared" si="451"/>
        <v>0</v>
      </c>
      <c r="AG971" s="311" t="str">
        <f t="shared" si="452"/>
        <v>-</v>
      </c>
      <c r="AH971" s="453" t="str">
        <f t="shared" si="453"/>
        <v/>
      </c>
      <c r="AI971" s="453" t="str">
        <f t="shared" si="454"/>
        <v/>
      </c>
      <c r="AJ971" t="str">
        <f t="array" ref="AJ971">IF(AND(AI971&gt;1,G971&lt;&gt;""),INDEX(FS_teams,MATCH(1,(FS_Keys=AG971)*(FS_Points=I971)*(FS_teams&lt;&gt;G971),0)),"")</f>
        <v/>
      </c>
      <c r="AK971" s="390" t="str">
        <f t="array" ref="AK971">IF(AJ971&lt;&gt;"",INDEX(TM_Score1,MATCH(1,(TM_Events=D971)*(TM_Participant1=G971)*(TM_Participant2=AJ971),0)),"")</f>
        <v/>
      </c>
      <c r="AL971" s="390" t="str">
        <f t="array" ref="AL971">IF(AJ971&lt;&gt;"",INDEX(TM_Score1,MATCH(1,(TM_Events=D971)*(TM_Participant1=AJ971)*(TM_Participant2=G971),0)),"")</f>
        <v/>
      </c>
      <c r="AM971" s="389" t="str">
        <f t="array" ref="AM971">IF(ISNUMBER(AK971),INDEX(TM_Score2,MATCH(1,(TM_Events=D971)*(TM_Participant1=G971)*(TM_Participant2=AJ971),0)),"")</f>
        <v/>
      </c>
      <c r="AN971" s="389" t="str">
        <f t="array" ref="AN971">IF(ISNUMBER(AL971),INDEX(TM_Score2,MATCH(1,(TM_Events=D971)*(TM_Participant1=AJ971)*(TM_Participant2=G971),0)),"")</f>
        <v/>
      </c>
      <c r="AO971" s="389" t="str">
        <f t="shared" si="455"/>
        <v/>
      </c>
      <c r="AP971" s="389">
        <f t="shared" si="456"/>
        <v>0</v>
      </c>
      <c r="AQ971" s="389">
        <f t="shared" si="457"/>
        <v>0</v>
      </c>
      <c r="AR971" s="389">
        <f t="shared" si="458"/>
        <v>0</v>
      </c>
      <c r="AS971" s="453">
        <f t="shared" si="459"/>
        <v>0</v>
      </c>
      <c r="AT971" s="452">
        <f t="shared" si="460"/>
        <v>0</v>
      </c>
    </row>
    <row r="972" spans="2:46" ht="16" x14ac:dyDescent="0.2">
      <c r="B972"/>
      <c r="H972" s="387" t="str">
        <f t="shared" si="435"/>
        <v>0-0-0</v>
      </c>
      <c r="I972" s="389">
        <f t="shared" si="436"/>
        <v>0</v>
      </c>
      <c r="J972" s="455" t="str">
        <f t="shared" si="461"/>
        <v/>
      </c>
      <c r="K972" s="455">
        <f t="shared" si="437"/>
        <v>0</v>
      </c>
      <c r="L972" s="455">
        <f t="shared" si="462"/>
        <v>0</v>
      </c>
      <c r="M972" s="389" t="str">
        <f>IFERROR(IF(AD972&lt;=VLOOKUP(D972,Tournaments!$A$1:$B$1772,2,FALSE),"TRUE","FALSE"),"")</f>
        <v/>
      </c>
      <c r="N972" s="389">
        <v>1</v>
      </c>
      <c r="O972" s="389">
        <f t="shared" si="438"/>
        <v>0</v>
      </c>
      <c r="Q972" s="389">
        <f t="shared" si="439"/>
        <v>0</v>
      </c>
      <c r="R972" s="389">
        <f t="shared" si="440"/>
        <v>0</v>
      </c>
      <c r="S972" s="389">
        <f t="shared" si="441"/>
        <v>0</v>
      </c>
      <c r="U972" s="389">
        <f t="shared" si="442"/>
        <v>0</v>
      </c>
      <c r="V972" s="389" t="b">
        <f t="shared" si="443"/>
        <v>0</v>
      </c>
      <c r="W972" s="389">
        <f t="shared" si="444"/>
        <v>0</v>
      </c>
      <c r="X972" s="389">
        <f t="shared" si="445"/>
        <v>0</v>
      </c>
      <c r="Y972" s="389">
        <f t="shared" si="463"/>
        <v>1.0999999999999999E-2</v>
      </c>
      <c r="Z972" s="389">
        <f t="shared" si="446"/>
        <v>1.0999999999999999E-2</v>
      </c>
      <c r="AA972" s="389">
        <f t="shared" si="447"/>
        <v>0</v>
      </c>
      <c r="AB972" s="389">
        <f t="shared" si="448"/>
        <v>1E-4</v>
      </c>
      <c r="AC972" s="389">
        <f t="shared" si="449"/>
        <v>1E-4</v>
      </c>
      <c r="AD972" s="389">
        <f t="shared" si="450"/>
        <v>0</v>
      </c>
      <c r="AE972" s="389">
        <f t="shared" si="451"/>
        <v>0</v>
      </c>
      <c r="AG972" s="311" t="str">
        <f t="shared" si="452"/>
        <v>-</v>
      </c>
      <c r="AH972" s="453" t="str">
        <f t="shared" si="453"/>
        <v/>
      </c>
      <c r="AI972" s="453" t="str">
        <f t="shared" si="454"/>
        <v/>
      </c>
      <c r="AJ972" t="str">
        <f t="array" ref="AJ972">IF(AND(AI972&gt;1,G972&lt;&gt;""),INDEX(FS_teams,MATCH(1,(FS_Keys=AG972)*(FS_Points=I972)*(FS_teams&lt;&gt;G972),0)),"")</f>
        <v/>
      </c>
      <c r="AK972" s="390" t="str">
        <f t="array" ref="AK972">IF(AJ972&lt;&gt;"",INDEX(TM_Score1,MATCH(1,(TM_Events=D972)*(TM_Participant1=G972)*(TM_Participant2=AJ972),0)),"")</f>
        <v/>
      </c>
      <c r="AL972" s="390" t="str">
        <f t="array" ref="AL972">IF(AJ972&lt;&gt;"",INDEX(TM_Score1,MATCH(1,(TM_Events=D972)*(TM_Participant1=AJ972)*(TM_Participant2=G972),0)),"")</f>
        <v/>
      </c>
      <c r="AM972" s="389" t="str">
        <f t="array" ref="AM972">IF(ISNUMBER(AK972),INDEX(TM_Score2,MATCH(1,(TM_Events=D972)*(TM_Participant1=G972)*(TM_Participant2=AJ972),0)),"")</f>
        <v/>
      </c>
      <c r="AN972" s="389" t="str">
        <f t="array" ref="AN972">IF(ISNUMBER(AL972),INDEX(TM_Score2,MATCH(1,(TM_Events=D972)*(TM_Participant1=AJ972)*(TM_Participant2=G972),0)),"")</f>
        <v/>
      </c>
      <c r="AO972" s="389" t="str">
        <f t="shared" si="455"/>
        <v/>
      </c>
      <c r="AP972" s="389">
        <f t="shared" si="456"/>
        <v>0</v>
      </c>
      <c r="AQ972" s="389">
        <f t="shared" si="457"/>
        <v>0</v>
      </c>
      <c r="AR972" s="389">
        <f t="shared" si="458"/>
        <v>0</v>
      </c>
      <c r="AS972" s="453">
        <f t="shared" si="459"/>
        <v>0</v>
      </c>
      <c r="AT972" s="452">
        <f t="shared" si="460"/>
        <v>0</v>
      </c>
    </row>
    <row r="973" spans="2:46" ht="16" x14ac:dyDescent="0.2">
      <c r="B973"/>
      <c r="H973" s="387" t="str">
        <f t="shared" si="435"/>
        <v>0-0-0</v>
      </c>
      <c r="I973" s="389">
        <f t="shared" si="436"/>
        <v>0</v>
      </c>
      <c r="J973" s="455" t="str">
        <f t="shared" si="461"/>
        <v/>
      </c>
      <c r="K973" s="455">
        <f t="shared" si="437"/>
        <v>0</v>
      </c>
      <c r="L973" s="455">
        <f t="shared" si="462"/>
        <v>0</v>
      </c>
      <c r="M973" s="389" t="str">
        <f>IFERROR(IF(AD973&lt;=VLOOKUP(D973,Tournaments!$A$1:$B$1772,2,FALSE),"TRUE","FALSE"),"")</f>
        <v/>
      </c>
      <c r="N973" s="389">
        <v>1</v>
      </c>
      <c r="O973" s="389">
        <f t="shared" si="438"/>
        <v>0</v>
      </c>
      <c r="Q973" s="389">
        <f t="shared" si="439"/>
        <v>0</v>
      </c>
      <c r="R973" s="389">
        <f t="shared" si="440"/>
        <v>0</v>
      </c>
      <c r="S973" s="389">
        <f t="shared" si="441"/>
        <v>0</v>
      </c>
      <c r="U973" s="389">
        <f t="shared" si="442"/>
        <v>0</v>
      </c>
      <c r="V973" s="389" t="b">
        <f t="shared" si="443"/>
        <v>0</v>
      </c>
      <c r="W973" s="389">
        <f t="shared" si="444"/>
        <v>0</v>
      </c>
      <c r="X973" s="389">
        <f t="shared" si="445"/>
        <v>0</v>
      </c>
      <c r="Y973" s="389">
        <f t="shared" si="463"/>
        <v>1.0999999999999999E-2</v>
      </c>
      <c r="Z973" s="389">
        <f t="shared" si="446"/>
        <v>1.0999999999999999E-2</v>
      </c>
      <c r="AA973" s="389">
        <f t="shared" si="447"/>
        <v>0</v>
      </c>
      <c r="AB973" s="389">
        <f t="shared" si="448"/>
        <v>1E-4</v>
      </c>
      <c r="AC973" s="389">
        <f t="shared" si="449"/>
        <v>1E-4</v>
      </c>
      <c r="AD973" s="389">
        <f t="shared" si="450"/>
        <v>0</v>
      </c>
      <c r="AE973" s="389">
        <f t="shared" si="451"/>
        <v>0</v>
      </c>
      <c r="AG973" s="311" t="str">
        <f t="shared" si="452"/>
        <v>-</v>
      </c>
      <c r="AH973" s="453" t="str">
        <f t="shared" si="453"/>
        <v/>
      </c>
      <c r="AI973" s="453" t="str">
        <f t="shared" si="454"/>
        <v/>
      </c>
      <c r="AJ973" t="str">
        <f t="array" ref="AJ973">IF(AND(AI973&gt;1,G973&lt;&gt;""),INDEX(FS_teams,MATCH(1,(FS_Keys=AG973)*(FS_Points=I973)*(FS_teams&lt;&gt;G973),0)),"")</f>
        <v/>
      </c>
      <c r="AK973" s="390" t="str">
        <f t="array" ref="AK973">IF(AJ973&lt;&gt;"",INDEX(TM_Score1,MATCH(1,(TM_Events=D973)*(TM_Participant1=G973)*(TM_Participant2=AJ973),0)),"")</f>
        <v/>
      </c>
      <c r="AL973" s="390" t="str">
        <f t="array" ref="AL973">IF(AJ973&lt;&gt;"",INDEX(TM_Score1,MATCH(1,(TM_Events=D973)*(TM_Participant1=AJ973)*(TM_Participant2=G973),0)),"")</f>
        <v/>
      </c>
      <c r="AM973" s="389" t="str">
        <f t="array" ref="AM973">IF(ISNUMBER(AK973),INDEX(TM_Score2,MATCH(1,(TM_Events=D973)*(TM_Participant1=G973)*(TM_Participant2=AJ973),0)),"")</f>
        <v/>
      </c>
      <c r="AN973" s="389" t="str">
        <f t="array" ref="AN973">IF(ISNUMBER(AL973),INDEX(TM_Score2,MATCH(1,(TM_Events=D973)*(TM_Participant1=AJ973)*(TM_Participant2=G973),0)),"")</f>
        <v/>
      </c>
      <c r="AO973" s="389" t="str">
        <f t="shared" si="455"/>
        <v/>
      </c>
      <c r="AP973" s="389">
        <f t="shared" si="456"/>
        <v>0</v>
      </c>
      <c r="AQ973" s="389">
        <f t="shared" si="457"/>
        <v>0</v>
      </c>
      <c r="AR973" s="389">
        <f t="shared" si="458"/>
        <v>0</v>
      </c>
      <c r="AS973" s="453">
        <f t="shared" si="459"/>
        <v>0</v>
      </c>
      <c r="AT973" s="452">
        <f t="shared" si="460"/>
        <v>0</v>
      </c>
    </row>
    <row r="974" spans="2:46" ht="16" x14ac:dyDescent="0.2">
      <c r="B974"/>
      <c r="H974" s="387" t="str">
        <f t="shared" si="435"/>
        <v>0-0-0</v>
      </c>
      <c r="I974" s="389">
        <f t="shared" si="436"/>
        <v>0</v>
      </c>
      <c r="J974" s="455" t="str">
        <f t="shared" si="461"/>
        <v/>
      </c>
      <c r="K974" s="455">
        <f t="shared" si="437"/>
        <v>0</v>
      </c>
      <c r="L974" s="455">
        <f t="shared" si="462"/>
        <v>0</v>
      </c>
      <c r="M974" s="389" t="str">
        <f>IFERROR(IF(AD974&lt;=VLOOKUP(D974,Tournaments!$A$1:$B$1772,2,FALSE),"TRUE","FALSE"),"")</f>
        <v/>
      </c>
      <c r="N974" s="389">
        <v>1</v>
      </c>
      <c r="O974" s="389">
        <f t="shared" si="438"/>
        <v>0</v>
      </c>
      <c r="Q974" s="389">
        <f t="shared" si="439"/>
        <v>0</v>
      </c>
      <c r="R974" s="389">
        <f t="shared" si="440"/>
        <v>0</v>
      </c>
      <c r="S974" s="389">
        <f t="shared" si="441"/>
        <v>0</v>
      </c>
      <c r="U974" s="389">
        <f t="shared" si="442"/>
        <v>0</v>
      </c>
      <c r="V974" s="389" t="b">
        <f t="shared" si="443"/>
        <v>0</v>
      </c>
      <c r="W974" s="389">
        <f t="shared" si="444"/>
        <v>0</v>
      </c>
      <c r="X974" s="389">
        <f t="shared" si="445"/>
        <v>0</v>
      </c>
      <c r="Y974" s="389">
        <f t="shared" si="463"/>
        <v>1.0999999999999999E-2</v>
      </c>
      <c r="Z974" s="389">
        <f t="shared" si="446"/>
        <v>1.0999999999999999E-2</v>
      </c>
      <c r="AA974" s="389">
        <f t="shared" si="447"/>
        <v>0</v>
      </c>
      <c r="AB974" s="389">
        <f t="shared" si="448"/>
        <v>1E-4</v>
      </c>
      <c r="AC974" s="389">
        <f t="shared" si="449"/>
        <v>1E-4</v>
      </c>
      <c r="AD974" s="389">
        <f t="shared" si="450"/>
        <v>0</v>
      </c>
      <c r="AE974" s="389">
        <f t="shared" si="451"/>
        <v>0</v>
      </c>
      <c r="AG974" s="311" t="str">
        <f t="shared" si="452"/>
        <v>-</v>
      </c>
      <c r="AH974" s="453" t="str">
        <f t="shared" si="453"/>
        <v/>
      </c>
      <c r="AI974" s="453" t="str">
        <f t="shared" si="454"/>
        <v/>
      </c>
      <c r="AJ974" t="str">
        <f t="array" ref="AJ974">IF(AND(AI974&gt;1,G974&lt;&gt;""),INDEX(FS_teams,MATCH(1,(FS_Keys=AG974)*(FS_Points=I974)*(FS_teams&lt;&gt;G974),0)),"")</f>
        <v/>
      </c>
      <c r="AK974" s="390" t="str">
        <f t="array" ref="AK974">IF(AJ974&lt;&gt;"",INDEX(TM_Score1,MATCH(1,(TM_Events=D974)*(TM_Participant1=G974)*(TM_Participant2=AJ974),0)),"")</f>
        <v/>
      </c>
      <c r="AL974" s="390" t="str">
        <f t="array" ref="AL974">IF(AJ974&lt;&gt;"",INDEX(TM_Score1,MATCH(1,(TM_Events=D974)*(TM_Participant1=AJ974)*(TM_Participant2=G974),0)),"")</f>
        <v/>
      </c>
      <c r="AM974" s="389" t="str">
        <f t="array" ref="AM974">IF(ISNUMBER(AK974),INDEX(TM_Score2,MATCH(1,(TM_Events=D974)*(TM_Participant1=G974)*(TM_Participant2=AJ974),0)),"")</f>
        <v/>
      </c>
      <c r="AN974" s="389" t="str">
        <f t="array" ref="AN974">IF(ISNUMBER(AL974),INDEX(TM_Score2,MATCH(1,(TM_Events=D974)*(TM_Participant1=AJ974)*(TM_Participant2=G974),0)),"")</f>
        <v/>
      </c>
      <c r="AO974" s="389" t="str">
        <f t="shared" si="455"/>
        <v/>
      </c>
      <c r="AP974" s="389">
        <f t="shared" si="456"/>
        <v>0</v>
      </c>
      <c r="AQ974" s="389">
        <f t="shared" si="457"/>
        <v>0</v>
      </c>
      <c r="AR974" s="389">
        <f t="shared" si="458"/>
        <v>0</v>
      </c>
      <c r="AS974" s="453">
        <f t="shared" si="459"/>
        <v>0</v>
      </c>
      <c r="AT974" s="452">
        <f t="shared" si="460"/>
        <v>0</v>
      </c>
    </row>
    <row r="975" spans="2:46" ht="16" x14ac:dyDescent="0.2">
      <c r="B975"/>
      <c r="H975" s="387" t="str">
        <f t="shared" si="435"/>
        <v>0-0-0</v>
      </c>
      <c r="I975" s="389">
        <f t="shared" si="436"/>
        <v>0</v>
      </c>
      <c r="J975" s="455" t="str">
        <f t="shared" si="461"/>
        <v/>
      </c>
      <c r="K975" s="455">
        <f t="shared" si="437"/>
        <v>0</v>
      </c>
      <c r="L975" s="455">
        <f t="shared" si="462"/>
        <v>0</v>
      </c>
      <c r="M975" s="389" t="str">
        <f>IFERROR(IF(AD975&lt;=VLOOKUP(D975,Tournaments!$A$1:$B$1772,2,FALSE),"TRUE","FALSE"),"")</f>
        <v/>
      </c>
      <c r="N975" s="389">
        <v>1</v>
      </c>
      <c r="O975" s="389">
        <f t="shared" si="438"/>
        <v>0</v>
      </c>
      <c r="Q975" s="389">
        <f t="shared" si="439"/>
        <v>0</v>
      </c>
      <c r="R975" s="389">
        <f t="shared" si="440"/>
        <v>0</v>
      </c>
      <c r="S975" s="389">
        <f t="shared" si="441"/>
        <v>0</v>
      </c>
      <c r="U975" s="389">
        <f t="shared" si="442"/>
        <v>0</v>
      </c>
      <c r="V975" s="389" t="b">
        <f t="shared" si="443"/>
        <v>0</v>
      </c>
      <c r="W975" s="389">
        <f t="shared" si="444"/>
        <v>0</v>
      </c>
      <c r="X975" s="389">
        <f t="shared" si="445"/>
        <v>0</v>
      </c>
      <c r="Y975" s="389">
        <f t="shared" si="463"/>
        <v>1.0999999999999999E-2</v>
      </c>
      <c r="Z975" s="389">
        <f t="shared" si="446"/>
        <v>1.0999999999999999E-2</v>
      </c>
      <c r="AA975" s="389">
        <f t="shared" si="447"/>
        <v>0</v>
      </c>
      <c r="AB975" s="389">
        <f t="shared" si="448"/>
        <v>1E-4</v>
      </c>
      <c r="AC975" s="389">
        <f t="shared" si="449"/>
        <v>1E-4</v>
      </c>
      <c r="AD975" s="389">
        <f t="shared" si="450"/>
        <v>0</v>
      </c>
      <c r="AE975" s="389">
        <f t="shared" si="451"/>
        <v>0</v>
      </c>
      <c r="AG975" s="311" t="str">
        <f t="shared" si="452"/>
        <v>-</v>
      </c>
      <c r="AH975" s="453" t="str">
        <f t="shared" si="453"/>
        <v/>
      </c>
      <c r="AI975" s="453" t="str">
        <f t="shared" si="454"/>
        <v/>
      </c>
      <c r="AJ975" t="str">
        <f t="array" ref="AJ975">IF(AND(AI975&gt;1,G975&lt;&gt;""),INDEX(FS_teams,MATCH(1,(FS_Keys=AG975)*(FS_Points=I975)*(FS_teams&lt;&gt;G975),0)),"")</f>
        <v/>
      </c>
      <c r="AK975" s="390" t="str">
        <f t="array" ref="AK975">IF(AJ975&lt;&gt;"",INDEX(TM_Score1,MATCH(1,(TM_Events=D975)*(TM_Participant1=G975)*(TM_Participant2=AJ975),0)),"")</f>
        <v/>
      </c>
      <c r="AL975" s="390" t="str">
        <f t="array" ref="AL975">IF(AJ975&lt;&gt;"",INDEX(TM_Score1,MATCH(1,(TM_Events=D975)*(TM_Participant1=AJ975)*(TM_Participant2=G975),0)),"")</f>
        <v/>
      </c>
      <c r="AM975" s="389" t="str">
        <f t="array" ref="AM975">IF(ISNUMBER(AK975),INDEX(TM_Score2,MATCH(1,(TM_Events=D975)*(TM_Participant1=G975)*(TM_Participant2=AJ975),0)),"")</f>
        <v/>
      </c>
      <c r="AN975" s="389" t="str">
        <f t="array" ref="AN975">IF(ISNUMBER(AL975),INDEX(TM_Score2,MATCH(1,(TM_Events=D975)*(TM_Participant1=AJ975)*(TM_Participant2=G975),0)),"")</f>
        <v/>
      </c>
      <c r="AO975" s="389" t="str">
        <f t="shared" si="455"/>
        <v/>
      </c>
      <c r="AP975" s="389">
        <f t="shared" si="456"/>
        <v>0</v>
      </c>
      <c r="AQ975" s="389">
        <f t="shared" si="457"/>
        <v>0</v>
      </c>
      <c r="AR975" s="389">
        <f t="shared" si="458"/>
        <v>0</v>
      </c>
      <c r="AS975" s="453">
        <f t="shared" si="459"/>
        <v>0</v>
      </c>
      <c r="AT975" s="452">
        <f t="shared" si="460"/>
        <v>0</v>
      </c>
    </row>
    <row r="976" spans="2:46" ht="16" x14ac:dyDescent="0.2">
      <c r="B976"/>
      <c r="H976" s="387" t="str">
        <f t="shared" si="435"/>
        <v>0-0-0</v>
      </c>
      <c r="I976" s="389">
        <f t="shared" si="436"/>
        <v>0</v>
      </c>
      <c r="J976" s="455" t="str">
        <f t="shared" si="461"/>
        <v/>
      </c>
      <c r="K976" s="455">
        <f t="shared" si="437"/>
        <v>0</v>
      </c>
      <c r="L976" s="455">
        <f t="shared" si="462"/>
        <v>0</v>
      </c>
      <c r="M976" s="389" t="str">
        <f>IFERROR(IF(AD976&lt;=VLOOKUP(D976,Tournaments!$A$1:$B$1772,2,FALSE),"TRUE","FALSE"),"")</f>
        <v/>
      </c>
      <c r="N976" s="389">
        <v>1</v>
      </c>
      <c r="O976" s="389">
        <f t="shared" si="438"/>
        <v>0</v>
      </c>
      <c r="Q976" s="389">
        <f t="shared" si="439"/>
        <v>0</v>
      </c>
      <c r="R976" s="389">
        <f t="shared" si="440"/>
        <v>0</v>
      </c>
      <c r="S976" s="389">
        <f t="shared" si="441"/>
        <v>0</v>
      </c>
      <c r="U976" s="389">
        <f t="shared" si="442"/>
        <v>0</v>
      </c>
      <c r="V976" s="389" t="b">
        <f t="shared" si="443"/>
        <v>0</v>
      </c>
      <c r="W976" s="389">
        <f t="shared" si="444"/>
        <v>0</v>
      </c>
      <c r="X976" s="389">
        <f t="shared" si="445"/>
        <v>0</v>
      </c>
      <c r="Y976" s="389">
        <f t="shared" si="463"/>
        <v>1.0999999999999999E-2</v>
      </c>
      <c r="Z976" s="389">
        <f t="shared" si="446"/>
        <v>1.0999999999999999E-2</v>
      </c>
      <c r="AA976" s="389">
        <f t="shared" si="447"/>
        <v>0</v>
      </c>
      <c r="AB976" s="389">
        <f t="shared" si="448"/>
        <v>1E-4</v>
      </c>
      <c r="AC976" s="389">
        <f t="shared" si="449"/>
        <v>1E-4</v>
      </c>
      <c r="AD976" s="389">
        <f t="shared" si="450"/>
        <v>0</v>
      </c>
      <c r="AE976" s="389">
        <f t="shared" si="451"/>
        <v>0</v>
      </c>
      <c r="AG976" s="311" t="str">
        <f t="shared" si="452"/>
        <v>-</v>
      </c>
      <c r="AH976" s="453" t="str">
        <f t="shared" si="453"/>
        <v/>
      </c>
      <c r="AI976" s="453" t="str">
        <f t="shared" si="454"/>
        <v/>
      </c>
      <c r="AJ976" t="str">
        <f t="array" ref="AJ976">IF(AND(AI976&gt;1,G976&lt;&gt;""),INDEX(FS_teams,MATCH(1,(FS_Keys=AG976)*(FS_Points=I976)*(FS_teams&lt;&gt;G976),0)),"")</f>
        <v/>
      </c>
      <c r="AK976" s="390" t="str">
        <f t="array" ref="AK976">IF(AJ976&lt;&gt;"",INDEX(TM_Score1,MATCH(1,(TM_Events=D976)*(TM_Participant1=G976)*(TM_Participant2=AJ976),0)),"")</f>
        <v/>
      </c>
      <c r="AL976" s="390" t="str">
        <f t="array" ref="AL976">IF(AJ976&lt;&gt;"",INDEX(TM_Score1,MATCH(1,(TM_Events=D976)*(TM_Participant1=AJ976)*(TM_Participant2=G976),0)),"")</f>
        <v/>
      </c>
      <c r="AM976" s="389" t="str">
        <f t="array" ref="AM976">IF(ISNUMBER(AK976),INDEX(TM_Score2,MATCH(1,(TM_Events=D976)*(TM_Participant1=G976)*(TM_Participant2=AJ976),0)),"")</f>
        <v/>
      </c>
      <c r="AN976" s="389" t="str">
        <f t="array" ref="AN976">IF(ISNUMBER(AL976),INDEX(TM_Score2,MATCH(1,(TM_Events=D976)*(TM_Participant1=AJ976)*(TM_Participant2=G976),0)),"")</f>
        <v/>
      </c>
      <c r="AO976" s="389" t="str">
        <f t="shared" si="455"/>
        <v/>
      </c>
      <c r="AP976" s="389">
        <f t="shared" si="456"/>
        <v>0</v>
      </c>
      <c r="AQ976" s="389">
        <f t="shared" si="457"/>
        <v>0</v>
      </c>
      <c r="AR976" s="389">
        <f t="shared" si="458"/>
        <v>0</v>
      </c>
      <c r="AS976" s="453">
        <f t="shared" si="459"/>
        <v>0</v>
      </c>
      <c r="AT976" s="452">
        <f t="shared" si="460"/>
        <v>0</v>
      </c>
    </row>
    <row r="977" spans="2:46" ht="16" x14ac:dyDescent="0.2">
      <c r="B977"/>
      <c r="H977" s="387" t="str">
        <f t="shared" si="435"/>
        <v>0-0-0</v>
      </c>
      <c r="I977" s="389">
        <f t="shared" si="436"/>
        <v>0</v>
      </c>
      <c r="J977" s="455" t="str">
        <f t="shared" si="461"/>
        <v/>
      </c>
      <c r="K977" s="455">
        <f t="shared" si="437"/>
        <v>0</v>
      </c>
      <c r="L977" s="455">
        <f t="shared" si="462"/>
        <v>0</v>
      </c>
      <c r="M977" s="389" t="str">
        <f>IFERROR(IF(AD977&lt;=VLOOKUP(D977,Tournaments!$A$1:$B$1772,2,FALSE),"TRUE","FALSE"),"")</f>
        <v/>
      </c>
      <c r="N977" s="389">
        <v>1</v>
      </c>
      <c r="O977" s="389">
        <f t="shared" si="438"/>
        <v>0</v>
      </c>
      <c r="Q977" s="389">
        <f t="shared" si="439"/>
        <v>0</v>
      </c>
      <c r="R977" s="389">
        <f t="shared" si="440"/>
        <v>0</v>
      </c>
      <c r="S977" s="389">
        <f t="shared" si="441"/>
        <v>0</v>
      </c>
      <c r="U977" s="389">
        <f t="shared" si="442"/>
        <v>0</v>
      </c>
      <c r="V977" s="389" t="b">
        <f t="shared" si="443"/>
        <v>0</v>
      </c>
      <c r="W977" s="389">
        <f t="shared" si="444"/>
        <v>0</v>
      </c>
      <c r="X977" s="389">
        <f t="shared" si="445"/>
        <v>0</v>
      </c>
      <c r="Y977" s="389">
        <f t="shared" si="463"/>
        <v>1.0999999999999999E-2</v>
      </c>
      <c r="Z977" s="389">
        <f t="shared" si="446"/>
        <v>1.0999999999999999E-2</v>
      </c>
      <c r="AA977" s="389">
        <f t="shared" si="447"/>
        <v>0</v>
      </c>
      <c r="AB977" s="389">
        <f t="shared" si="448"/>
        <v>1E-4</v>
      </c>
      <c r="AC977" s="389">
        <f t="shared" si="449"/>
        <v>1E-4</v>
      </c>
      <c r="AD977" s="389">
        <f t="shared" si="450"/>
        <v>0</v>
      </c>
      <c r="AE977" s="389">
        <f t="shared" si="451"/>
        <v>0</v>
      </c>
      <c r="AG977" s="311" t="str">
        <f t="shared" si="452"/>
        <v>-</v>
      </c>
      <c r="AH977" s="453" t="str">
        <f t="shared" si="453"/>
        <v/>
      </c>
      <c r="AI977" s="453" t="str">
        <f t="shared" si="454"/>
        <v/>
      </c>
      <c r="AJ977" t="str">
        <f t="array" ref="AJ977">IF(AND(AI977&gt;1,G977&lt;&gt;""),INDEX(FS_teams,MATCH(1,(FS_Keys=AG977)*(FS_Points=I977)*(FS_teams&lt;&gt;G977),0)),"")</f>
        <v/>
      </c>
      <c r="AK977" s="390" t="str">
        <f t="array" ref="AK977">IF(AJ977&lt;&gt;"",INDEX(TM_Score1,MATCH(1,(TM_Events=D977)*(TM_Participant1=G977)*(TM_Participant2=AJ977),0)),"")</f>
        <v/>
      </c>
      <c r="AL977" s="390" t="str">
        <f t="array" ref="AL977">IF(AJ977&lt;&gt;"",INDEX(TM_Score1,MATCH(1,(TM_Events=D977)*(TM_Participant1=AJ977)*(TM_Participant2=G977),0)),"")</f>
        <v/>
      </c>
      <c r="AM977" s="389" t="str">
        <f t="array" ref="AM977">IF(ISNUMBER(AK977),INDEX(TM_Score2,MATCH(1,(TM_Events=D977)*(TM_Participant1=G977)*(TM_Participant2=AJ977),0)),"")</f>
        <v/>
      </c>
      <c r="AN977" s="389" t="str">
        <f t="array" ref="AN977">IF(ISNUMBER(AL977),INDEX(TM_Score2,MATCH(1,(TM_Events=D977)*(TM_Participant1=AJ977)*(TM_Participant2=G977),0)),"")</f>
        <v/>
      </c>
      <c r="AO977" s="389" t="str">
        <f t="shared" si="455"/>
        <v/>
      </c>
      <c r="AP977" s="389">
        <f t="shared" si="456"/>
        <v>0</v>
      </c>
      <c r="AQ977" s="389">
        <f t="shared" si="457"/>
        <v>0</v>
      </c>
      <c r="AR977" s="389">
        <f t="shared" si="458"/>
        <v>0</v>
      </c>
      <c r="AS977" s="453">
        <f t="shared" si="459"/>
        <v>0</v>
      </c>
      <c r="AT977" s="452">
        <f t="shared" si="460"/>
        <v>0</v>
      </c>
    </row>
    <row r="978" spans="2:46" ht="16" x14ac:dyDescent="0.2">
      <c r="B978"/>
      <c r="H978" s="387" t="str">
        <f t="shared" si="435"/>
        <v>0-0-0</v>
      </c>
      <c r="I978" s="389">
        <f t="shared" si="436"/>
        <v>0</v>
      </c>
      <c r="J978" s="455" t="str">
        <f t="shared" si="461"/>
        <v/>
      </c>
      <c r="K978" s="455">
        <f t="shared" si="437"/>
        <v>0</v>
      </c>
      <c r="L978" s="455">
        <f t="shared" si="462"/>
        <v>0</v>
      </c>
      <c r="M978" s="389" t="str">
        <f>IFERROR(IF(AD978&lt;=VLOOKUP(D978,Tournaments!$A$1:$B$1772,2,FALSE),"TRUE","FALSE"),"")</f>
        <v/>
      </c>
      <c r="N978" s="389">
        <v>1</v>
      </c>
      <c r="O978" s="389">
        <f t="shared" si="438"/>
        <v>0</v>
      </c>
      <c r="Q978" s="389">
        <f t="shared" si="439"/>
        <v>0</v>
      </c>
      <c r="R978" s="389">
        <f t="shared" si="440"/>
        <v>0</v>
      </c>
      <c r="S978" s="389">
        <f t="shared" si="441"/>
        <v>0</v>
      </c>
      <c r="U978" s="389">
        <f t="shared" si="442"/>
        <v>0</v>
      </c>
      <c r="V978" s="389" t="b">
        <f t="shared" si="443"/>
        <v>0</v>
      </c>
      <c r="W978" s="389">
        <f t="shared" si="444"/>
        <v>0</v>
      </c>
      <c r="X978" s="389">
        <f t="shared" si="445"/>
        <v>0</v>
      </c>
      <c r="Y978" s="389">
        <f t="shared" si="463"/>
        <v>1.0999999999999999E-2</v>
      </c>
      <c r="Z978" s="389">
        <f t="shared" si="446"/>
        <v>1.0999999999999999E-2</v>
      </c>
      <c r="AA978" s="389">
        <f t="shared" si="447"/>
        <v>0</v>
      </c>
      <c r="AB978" s="389">
        <f t="shared" si="448"/>
        <v>1E-4</v>
      </c>
      <c r="AC978" s="389">
        <f t="shared" si="449"/>
        <v>1E-4</v>
      </c>
      <c r="AD978" s="389">
        <f t="shared" si="450"/>
        <v>0</v>
      </c>
      <c r="AE978" s="389">
        <f t="shared" si="451"/>
        <v>0</v>
      </c>
      <c r="AG978" s="311" t="str">
        <f t="shared" si="452"/>
        <v>-</v>
      </c>
      <c r="AH978" s="453" t="str">
        <f t="shared" si="453"/>
        <v/>
      </c>
      <c r="AI978" s="453" t="str">
        <f t="shared" si="454"/>
        <v/>
      </c>
      <c r="AJ978" t="str">
        <f t="array" ref="AJ978">IF(AND(AI978&gt;1,G978&lt;&gt;""),INDEX(FS_teams,MATCH(1,(FS_Keys=AG978)*(FS_Points=I978)*(FS_teams&lt;&gt;G978),0)),"")</f>
        <v/>
      </c>
      <c r="AK978" s="390" t="str">
        <f t="array" ref="AK978">IF(AJ978&lt;&gt;"",INDEX(TM_Score1,MATCH(1,(TM_Events=D978)*(TM_Participant1=G978)*(TM_Participant2=AJ978),0)),"")</f>
        <v/>
      </c>
      <c r="AL978" s="390" t="str">
        <f t="array" ref="AL978">IF(AJ978&lt;&gt;"",INDEX(TM_Score1,MATCH(1,(TM_Events=D978)*(TM_Participant1=AJ978)*(TM_Participant2=G978),0)),"")</f>
        <v/>
      </c>
      <c r="AM978" s="389" t="str">
        <f t="array" ref="AM978">IF(ISNUMBER(AK978),INDEX(TM_Score2,MATCH(1,(TM_Events=D978)*(TM_Participant1=G978)*(TM_Participant2=AJ978),0)),"")</f>
        <v/>
      </c>
      <c r="AN978" s="389" t="str">
        <f t="array" ref="AN978">IF(ISNUMBER(AL978),INDEX(TM_Score2,MATCH(1,(TM_Events=D978)*(TM_Participant1=AJ978)*(TM_Participant2=G978),0)),"")</f>
        <v/>
      </c>
      <c r="AO978" s="389" t="str">
        <f t="shared" si="455"/>
        <v/>
      </c>
      <c r="AP978" s="389">
        <f t="shared" si="456"/>
        <v>0</v>
      </c>
      <c r="AQ978" s="389">
        <f t="shared" si="457"/>
        <v>0</v>
      </c>
      <c r="AR978" s="389">
        <f t="shared" si="458"/>
        <v>0</v>
      </c>
      <c r="AS978" s="453">
        <f t="shared" si="459"/>
        <v>0</v>
      </c>
      <c r="AT978" s="452">
        <f t="shared" si="460"/>
        <v>0</v>
      </c>
    </row>
    <row r="979" spans="2:46" ht="16" x14ac:dyDescent="0.2">
      <c r="B979"/>
      <c r="H979" s="387" t="str">
        <f t="shared" si="435"/>
        <v>0-0-0</v>
      </c>
      <c r="I979" s="389">
        <f t="shared" si="436"/>
        <v>0</v>
      </c>
      <c r="J979" s="455" t="str">
        <f t="shared" si="461"/>
        <v/>
      </c>
      <c r="K979" s="455">
        <f t="shared" si="437"/>
        <v>0</v>
      </c>
      <c r="L979" s="455">
        <f t="shared" si="462"/>
        <v>0</v>
      </c>
      <c r="M979" s="389" t="str">
        <f>IFERROR(IF(AD979&lt;=VLOOKUP(D979,Tournaments!$A$1:$B$1772,2,FALSE),"TRUE","FALSE"),"")</f>
        <v/>
      </c>
      <c r="N979" s="389">
        <v>1</v>
      </c>
      <c r="O979" s="389">
        <f t="shared" si="438"/>
        <v>0</v>
      </c>
      <c r="Q979" s="389">
        <f t="shared" si="439"/>
        <v>0</v>
      </c>
      <c r="R979" s="389">
        <f t="shared" si="440"/>
        <v>0</v>
      </c>
      <c r="S979" s="389">
        <f t="shared" si="441"/>
        <v>0</v>
      </c>
      <c r="U979" s="389">
        <f t="shared" si="442"/>
        <v>0</v>
      </c>
      <c r="V979" s="389" t="b">
        <f t="shared" si="443"/>
        <v>0</v>
      </c>
      <c r="W979" s="389">
        <f t="shared" si="444"/>
        <v>0</v>
      </c>
      <c r="X979" s="389">
        <f t="shared" si="445"/>
        <v>0</v>
      </c>
      <c r="Y979" s="389">
        <f t="shared" si="463"/>
        <v>1.0999999999999999E-2</v>
      </c>
      <c r="Z979" s="389">
        <f t="shared" si="446"/>
        <v>1.0999999999999999E-2</v>
      </c>
      <c r="AA979" s="389">
        <f t="shared" si="447"/>
        <v>0</v>
      </c>
      <c r="AB979" s="389">
        <f t="shared" si="448"/>
        <v>1E-4</v>
      </c>
      <c r="AC979" s="389">
        <f t="shared" si="449"/>
        <v>1E-4</v>
      </c>
      <c r="AD979" s="389">
        <f t="shared" si="450"/>
        <v>0</v>
      </c>
      <c r="AE979" s="389">
        <f t="shared" si="451"/>
        <v>0</v>
      </c>
      <c r="AG979" s="311" t="str">
        <f t="shared" si="452"/>
        <v>-</v>
      </c>
      <c r="AH979" s="453" t="str">
        <f t="shared" si="453"/>
        <v/>
      </c>
      <c r="AI979" s="453" t="str">
        <f t="shared" si="454"/>
        <v/>
      </c>
      <c r="AJ979" t="str">
        <f t="array" ref="AJ979">IF(AND(AI979&gt;1,G979&lt;&gt;""),INDEX(FS_teams,MATCH(1,(FS_Keys=AG979)*(FS_Points=I979)*(FS_teams&lt;&gt;G979),0)),"")</f>
        <v/>
      </c>
      <c r="AK979" s="390" t="str">
        <f t="array" ref="AK979">IF(AJ979&lt;&gt;"",INDEX(TM_Score1,MATCH(1,(TM_Events=D979)*(TM_Participant1=G979)*(TM_Participant2=AJ979),0)),"")</f>
        <v/>
      </c>
      <c r="AL979" s="390" t="str">
        <f t="array" ref="AL979">IF(AJ979&lt;&gt;"",INDEX(TM_Score1,MATCH(1,(TM_Events=D979)*(TM_Participant1=AJ979)*(TM_Participant2=G979),0)),"")</f>
        <v/>
      </c>
      <c r="AM979" s="389" t="str">
        <f t="array" ref="AM979">IF(ISNUMBER(AK979),INDEX(TM_Score2,MATCH(1,(TM_Events=D979)*(TM_Participant1=G979)*(TM_Participant2=AJ979),0)),"")</f>
        <v/>
      </c>
      <c r="AN979" s="389" t="str">
        <f t="array" ref="AN979">IF(ISNUMBER(AL979),INDEX(TM_Score2,MATCH(1,(TM_Events=D979)*(TM_Participant1=AJ979)*(TM_Participant2=G979),0)),"")</f>
        <v/>
      </c>
      <c r="AO979" s="389" t="str">
        <f t="shared" si="455"/>
        <v/>
      </c>
      <c r="AP979" s="389">
        <f t="shared" si="456"/>
        <v>0</v>
      </c>
      <c r="AQ979" s="389">
        <f t="shared" si="457"/>
        <v>0</v>
      </c>
      <c r="AR979" s="389">
        <f t="shared" si="458"/>
        <v>0</v>
      </c>
      <c r="AS979" s="453">
        <f t="shared" si="459"/>
        <v>0</v>
      </c>
      <c r="AT979" s="452">
        <f t="shared" si="460"/>
        <v>0</v>
      </c>
    </row>
    <row r="980" spans="2:46" ht="16" x14ac:dyDescent="0.2">
      <c r="B980"/>
      <c r="H980" s="387" t="str">
        <f t="shared" si="435"/>
        <v>0-0-0</v>
      </c>
      <c r="I980" s="389">
        <f t="shared" si="436"/>
        <v>0</v>
      </c>
      <c r="J980" s="455" t="str">
        <f t="shared" si="461"/>
        <v/>
      </c>
      <c r="K980" s="455">
        <f t="shared" si="437"/>
        <v>0</v>
      </c>
      <c r="L980" s="455">
        <f t="shared" si="462"/>
        <v>0</v>
      </c>
      <c r="M980" s="389" t="str">
        <f>IFERROR(IF(AD980&lt;=VLOOKUP(D980,Tournaments!$A$1:$B$1772,2,FALSE),"TRUE","FALSE"),"")</f>
        <v/>
      </c>
      <c r="N980" s="389">
        <v>1</v>
      </c>
      <c r="O980" s="389">
        <f t="shared" si="438"/>
        <v>0</v>
      </c>
      <c r="Q980" s="389">
        <f t="shared" si="439"/>
        <v>0</v>
      </c>
      <c r="R980" s="389">
        <f t="shared" si="440"/>
        <v>0</v>
      </c>
      <c r="S980" s="389">
        <f t="shared" si="441"/>
        <v>0</v>
      </c>
      <c r="U980" s="389">
        <f t="shared" si="442"/>
        <v>0</v>
      </c>
      <c r="V980" s="389" t="b">
        <f t="shared" si="443"/>
        <v>0</v>
      </c>
      <c r="W980" s="389">
        <f t="shared" si="444"/>
        <v>0</v>
      </c>
      <c r="X980" s="389">
        <f t="shared" si="445"/>
        <v>0</v>
      </c>
      <c r="Y980" s="389">
        <f t="shared" si="463"/>
        <v>1.0999999999999999E-2</v>
      </c>
      <c r="Z980" s="389">
        <f t="shared" si="446"/>
        <v>1.0999999999999999E-2</v>
      </c>
      <c r="AA980" s="389">
        <f t="shared" si="447"/>
        <v>0</v>
      </c>
      <c r="AB980" s="389">
        <f t="shared" si="448"/>
        <v>1E-4</v>
      </c>
      <c r="AC980" s="389">
        <f t="shared" si="449"/>
        <v>1E-4</v>
      </c>
      <c r="AD980" s="389">
        <f t="shared" si="450"/>
        <v>0</v>
      </c>
      <c r="AE980" s="389">
        <f t="shared" si="451"/>
        <v>0</v>
      </c>
      <c r="AG980" s="311" t="str">
        <f t="shared" si="452"/>
        <v>-</v>
      </c>
      <c r="AH980" s="453" t="str">
        <f t="shared" si="453"/>
        <v/>
      </c>
      <c r="AI980" s="453" t="str">
        <f t="shared" si="454"/>
        <v/>
      </c>
      <c r="AJ980" t="str">
        <f t="array" ref="AJ980">IF(AND(AI980&gt;1,G980&lt;&gt;""),INDEX(FS_teams,MATCH(1,(FS_Keys=AG980)*(FS_Points=I980)*(FS_teams&lt;&gt;G980),0)),"")</f>
        <v/>
      </c>
      <c r="AK980" s="390" t="str">
        <f t="array" ref="AK980">IF(AJ980&lt;&gt;"",INDEX(TM_Score1,MATCH(1,(TM_Events=D980)*(TM_Participant1=G980)*(TM_Participant2=AJ980),0)),"")</f>
        <v/>
      </c>
      <c r="AL980" s="390" t="str">
        <f t="array" ref="AL980">IF(AJ980&lt;&gt;"",INDEX(TM_Score1,MATCH(1,(TM_Events=D980)*(TM_Participant1=AJ980)*(TM_Participant2=G980),0)),"")</f>
        <v/>
      </c>
      <c r="AM980" s="389" t="str">
        <f t="array" ref="AM980">IF(ISNUMBER(AK980),INDEX(TM_Score2,MATCH(1,(TM_Events=D980)*(TM_Participant1=G980)*(TM_Participant2=AJ980),0)),"")</f>
        <v/>
      </c>
      <c r="AN980" s="389" t="str">
        <f t="array" ref="AN980">IF(ISNUMBER(AL980),INDEX(TM_Score2,MATCH(1,(TM_Events=D980)*(TM_Participant1=AJ980)*(TM_Participant2=G980),0)),"")</f>
        <v/>
      </c>
      <c r="AO980" s="389" t="str">
        <f t="shared" si="455"/>
        <v/>
      </c>
      <c r="AP980" s="389">
        <f t="shared" si="456"/>
        <v>0</v>
      </c>
      <c r="AQ980" s="389">
        <f t="shared" si="457"/>
        <v>0</v>
      </c>
      <c r="AR980" s="389">
        <f t="shared" si="458"/>
        <v>0</v>
      </c>
      <c r="AS980" s="453">
        <f t="shared" si="459"/>
        <v>0</v>
      </c>
      <c r="AT980" s="452">
        <f t="shared" si="460"/>
        <v>0</v>
      </c>
    </row>
    <row r="981" spans="2:46" ht="16" x14ac:dyDescent="0.2">
      <c r="B981"/>
      <c r="H981" s="387" t="str">
        <f t="shared" si="435"/>
        <v>0-0-0</v>
      </c>
      <c r="I981" s="389">
        <f t="shared" si="436"/>
        <v>0</v>
      </c>
      <c r="J981" s="455" t="str">
        <f t="shared" si="461"/>
        <v/>
      </c>
      <c r="K981" s="455">
        <f t="shared" si="437"/>
        <v>0</v>
      </c>
      <c r="L981" s="455">
        <f t="shared" si="462"/>
        <v>0</v>
      </c>
      <c r="M981" s="389" t="str">
        <f>IFERROR(IF(AD981&lt;=VLOOKUP(D981,Tournaments!$A$1:$B$1772,2,FALSE),"TRUE","FALSE"),"")</f>
        <v/>
      </c>
      <c r="N981" s="389">
        <v>1</v>
      </c>
      <c r="O981" s="389">
        <f t="shared" si="438"/>
        <v>0</v>
      </c>
      <c r="Q981" s="389">
        <f t="shared" si="439"/>
        <v>0</v>
      </c>
      <c r="R981" s="389">
        <f t="shared" si="440"/>
        <v>0</v>
      </c>
      <c r="S981" s="389">
        <f t="shared" si="441"/>
        <v>0</v>
      </c>
      <c r="U981" s="389">
        <f t="shared" si="442"/>
        <v>0</v>
      </c>
      <c r="V981" s="389" t="b">
        <f t="shared" si="443"/>
        <v>0</v>
      </c>
      <c r="W981" s="389">
        <f t="shared" si="444"/>
        <v>0</v>
      </c>
      <c r="X981" s="389">
        <f t="shared" si="445"/>
        <v>0</v>
      </c>
      <c r="Y981" s="389">
        <f t="shared" si="463"/>
        <v>1.0999999999999999E-2</v>
      </c>
      <c r="Z981" s="389">
        <f t="shared" si="446"/>
        <v>1.0999999999999999E-2</v>
      </c>
      <c r="AA981" s="389">
        <f t="shared" si="447"/>
        <v>0</v>
      </c>
      <c r="AB981" s="389">
        <f t="shared" si="448"/>
        <v>1E-4</v>
      </c>
      <c r="AC981" s="389">
        <f t="shared" si="449"/>
        <v>1E-4</v>
      </c>
      <c r="AD981" s="389">
        <f t="shared" si="450"/>
        <v>0</v>
      </c>
      <c r="AE981" s="389">
        <f t="shared" si="451"/>
        <v>0</v>
      </c>
      <c r="AG981" s="311" t="str">
        <f t="shared" si="452"/>
        <v>-</v>
      </c>
      <c r="AH981" s="453" t="str">
        <f t="shared" si="453"/>
        <v/>
      </c>
      <c r="AI981" s="453" t="str">
        <f t="shared" si="454"/>
        <v/>
      </c>
      <c r="AJ981" t="str">
        <f t="array" ref="AJ981">IF(AND(AI981&gt;1,G981&lt;&gt;""),INDEX(FS_teams,MATCH(1,(FS_Keys=AG981)*(FS_Points=I981)*(FS_teams&lt;&gt;G981),0)),"")</f>
        <v/>
      </c>
      <c r="AK981" s="390" t="str">
        <f t="array" ref="AK981">IF(AJ981&lt;&gt;"",INDEX(TM_Score1,MATCH(1,(TM_Events=D981)*(TM_Participant1=G981)*(TM_Participant2=AJ981),0)),"")</f>
        <v/>
      </c>
      <c r="AL981" s="390" t="str">
        <f t="array" ref="AL981">IF(AJ981&lt;&gt;"",INDEX(TM_Score1,MATCH(1,(TM_Events=D981)*(TM_Participant1=AJ981)*(TM_Participant2=G981),0)),"")</f>
        <v/>
      </c>
      <c r="AM981" s="389" t="str">
        <f t="array" ref="AM981">IF(ISNUMBER(AK981),INDEX(TM_Score2,MATCH(1,(TM_Events=D981)*(TM_Participant1=G981)*(TM_Participant2=AJ981),0)),"")</f>
        <v/>
      </c>
      <c r="AN981" s="389" t="str">
        <f t="array" ref="AN981">IF(ISNUMBER(AL981),INDEX(TM_Score2,MATCH(1,(TM_Events=D981)*(TM_Participant1=AJ981)*(TM_Participant2=G981),0)),"")</f>
        <v/>
      </c>
      <c r="AO981" s="389" t="str">
        <f t="shared" si="455"/>
        <v/>
      </c>
      <c r="AP981" s="389">
        <f t="shared" si="456"/>
        <v>0</v>
      </c>
      <c r="AQ981" s="389">
        <f t="shared" si="457"/>
        <v>0</v>
      </c>
      <c r="AR981" s="389">
        <f t="shared" si="458"/>
        <v>0</v>
      </c>
      <c r="AS981" s="453">
        <f t="shared" si="459"/>
        <v>0</v>
      </c>
      <c r="AT981" s="452">
        <f t="shared" si="460"/>
        <v>0</v>
      </c>
    </row>
    <row r="982" spans="2:46" ht="16" x14ac:dyDescent="0.2">
      <c r="B982"/>
      <c r="H982" s="387" t="str">
        <f t="shared" si="435"/>
        <v>0-0-0</v>
      </c>
      <c r="I982" s="389">
        <f t="shared" si="436"/>
        <v>0</v>
      </c>
      <c r="J982" s="455" t="str">
        <f t="shared" si="461"/>
        <v/>
      </c>
      <c r="K982" s="455">
        <f t="shared" si="437"/>
        <v>0</v>
      </c>
      <c r="L982" s="455">
        <f t="shared" si="462"/>
        <v>0</v>
      </c>
      <c r="M982" s="389" t="str">
        <f>IFERROR(IF(AD982&lt;=VLOOKUP(D982,Tournaments!$A$1:$B$1772,2,FALSE),"TRUE","FALSE"),"")</f>
        <v/>
      </c>
      <c r="N982" s="389">
        <v>1</v>
      </c>
      <c r="O982" s="389">
        <f t="shared" si="438"/>
        <v>0</v>
      </c>
      <c r="Q982" s="389">
        <f t="shared" si="439"/>
        <v>0</v>
      </c>
      <c r="R982" s="389">
        <f t="shared" si="440"/>
        <v>0</v>
      </c>
      <c r="S982" s="389">
        <f t="shared" si="441"/>
        <v>0</v>
      </c>
      <c r="U982" s="389">
        <f t="shared" si="442"/>
        <v>0</v>
      </c>
      <c r="V982" s="389" t="b">
        <f t="shared" si="443"/>
        <v>0</v>
      </c>
      <c r="W982" s="389">
        <f t="shared" si="444"/>
        <v>0</v>
      </c>
      <c r="X982" s="389">
        <f t="shared" si="445"/>
        <v>0</v>
      </c>
      <c r="Y982" s="389">
        <f t="shared" si="463"/>
        <v>1.0999999999999999E-2</v>
      </c>
      <c r="Z982" s="389">
        <f t="shared" si="446"/>
        <v>1.0999999999999999E-2</v>
      </c>
      <c r="AA982" s="389">
        <f t="shared" si="447"/>
        <v>0</v>
      </c>
      <c r="AB982" s="389">
        <f t="shared" si="448"/>
        <v>1E-4</v>
      </c>
      <c r="AC982" s="389">
        <f t="shared" si="449"/>
        <v>1E-4</v>
      </c>
      <c r="AD982" s="389">
        <f t="shared" si="450"/>
        <v>0</v>
      </c>
      <c r="AE982" s="389">
        <f t="shared" si="451"/>
        <v>0</v>
      </c>
      <c r="AG982" s="311" t="str">
        <f t="shared" si="452"/>
        <v>-</v>
      </c>
      <c r="AH982" s="453" t="str">
        <f t="shared" si="453"/>
        <v/>
      </c>
      <c r="AI982" s="453" t="str">
        <f t="shared" si="454"/>
        <v/>
      </c>
      <c r="AJ982" t="str">
        <f t="array" ref="AJ982">IF(AND(AI982&gt;1,G982&lt;&gt;""),INDEX(FS_teams,MATCH(1,(FS_Keys=AG982)*(FS_Points=I982)*(FS_teams&lt;&gt;G982),0)),"")</f>
        <v/>
      </c>
      <c r="AK982" s="390" t="str">
        <f t="array" ref="AK982">IF(AJ982&lt;&gt;"",INDEX(TM_Score1,MATCH(1,(TM_Events=D982)*(TM_Participant1=G982)*(TM_Participant2=AJ982),0)),"")</f>
        <v/>
      </c>
      <c r="AL982" s="390" t="str">
        <f t="array" ref="AL982">IF(AJ982&lt;&gt;"",INDEX(TM_Score1,MATCH(1,(TM_Events=D982)*(TM_Participant1=AJ982)*(TM_Participant2=G982),0)),"")</f>
        <v/>
      </c>
      <c r="AM982" s="389" t="str">
        <f t="array" ref="AM982">IF(ISNUMBER(AK982),INDEX(TM_Score2,MATCH(1,(TM_Events=D982)*(TM_Participant1=G982)*(TM_Participant2=AJ982),0)),"")</f>
        <v/>
      </c>
      <c r="AN982" s="389" t="str">
        <f t="array" ref="AN982">IF(ISNUMBER(AL982),INDEX(TM_Score2,MATCH(1,(TM_Events=D982)*(TM_Participant1=AJ982)*(TM_Participant2=G982),0)),"")</f>
        <v/>
      </c>
      <c r="AO982" s="389" t="str">
        <f t="shared" si="455"/>
        <v/>
      </c>
      <c r="AP982" s="389">
        <f t="shared" si="456"/>
        <v>0</v>
      </c>
      <c r="AQ982" s="389">
        <f t="shared" si="457"/>
        <v>0</v>
      </c>
      <c r="AR982" s="389">
        <f t="shared" si="458"/>
        <v>0</v>
      </c>
      <c r="AS982" s="453">
        <f t="shared" si="459"/>
        <v>0</v>
      </c>
      <c r="AT982" s="452">
        <f t="shared" si="460"/>
        <v>0</v>
      </c>
    </row>
    <row r="983" spans="2:46" ht="16" x14ac:dyDescent="0.2">
      <c r="B983"/>
      <c r="H983" s="387" t="str">
        <f t="shared" si="435"/>
        <v>0-0-0</v>
      </c>
      <c r="I983" s="389">
        <f t="shared" si="436"/>
        <v>0</v>
      </c>
      <c r="J983" s="455" t="str">
        <f t="shared" si="461"/>
        <v/>
      </c>
      <c r="K983" s="455">
        <f t="shared" si="437"/>
        <v>0</v>
      </c>
      <c r="L983" s="455">
        <f t="shared" si="462"/>
        <v>0</v>
      </c>
      <c r="M983" s="389" t="str">
        <f>IFERROR(IF(AD983&lt;=VLOOKUP(D983,Tournaments!$A$1:$B$1772,2,FALSE),"TRUE","FALSE"),"")</f>
        <v/>
      </c>
      <c r="N983" s="389">
        <v>1</v>
      </c>
      <c r="O983" s="389">
        <f t="shared" si="438"/>
        <v>0</v>
      </c>
      <c r="Q983" s="389">
        <f t="shared" si="439"/>
        <v>0</v>
      </c>
      <c r="R983" s="389">
        <f t="shared" si="440"/>
        <v>0</v>
      </c>
      <c r="S983" s="389">
        <f t="shared" si="441"/>
        <v>0</v>
      </c>
      <c r="U983" s="389">
        <f t="shared" si="442"/>
        <v>0</v>
      </c>
      <c r="V983" s="389" t="b">
        <f t="shared" si="443"/>
        <v>0</v>
      </c>
      <c r="W983" s="389">
        <f t="shared" si="444"/>
        <v>0</v>
      </c>
      <c r="X983" s="389">
        <f t="shared" si="445"/>
        <v>0</v>
      </c>
      <c r="Y983" s="389">
        <f t="shared" si="463"/>
        <v>1.0999999999999999E-2</v>
      </c>
      <c r="Z983" s="389">
        <f t="shared" si="446"/>
        <v>1.0999999999999999E-2</v>
      </c>
      <c r="AA983" s="389">
        <f t="shared" si="447"/>
        <v>0</v>
      </c>
      <c r="AB983" s="389">
        <f t="shared" si="448"/>
        <v>1E-4</v>
      </c>
      <c r="AC983" s="389">
        <f t="shared" si="449"/>
        <v>1E-4</v>
      </c>
      <c r="AD983" s="389">
        <f t="shared" si="450"/>
        <v>0</v>
      </c>
      <c r="AE983" s="389">
        <f t="shared" si="451"/>
        <v>0</v>
      </c>
      <c r="AG983" s="311" t="str">
        <f t="shared" si="452"/>
        <v>-</v>
      </c>
      <c r="AH983" s="453" t="str">
        <f t="shared" si="453"/>
        <v/>
      </c>
      <c r="AI983" s="453" t="str">
        <f t="shared" si="454"/>
        <v/>
      </c>
      <c r="AJ983" t="str">
        <f t="array" ref="AJ983">IF(AND(AI983&gt;1,G983&lt;&gt;""),INDEX(FS_teams,MATCH(1,(FS_Keys=AG983)*(FS_Points=I983)*(FS_teams&lt;&gt;G983),0)),"")</f>
        <v/>
      </c>
      <c r="AK983" s="390" t="str">
        <f t="array" ref="AK983">IF(AJ983&lt;&gt;"",INDEX(TM_Score1,MATCH(1,(TM_Events=D983)*(TM_Participant1=G983)*(TM_Participant2=AJ983),0)),"")</f>
        <v/>
      </c>
      <c r="AL983" s="390" t="str">
        <f t="array" ref="AL983">IF(AJ983&lt;&gt;"",INDEX(TM_Score1,MATCH(1,(TM_Events=D983)*(TM_Participant1=AJ983)*(TM_Participant2=G983),0)),"")</f>
        <v/>
      </c>
      <c r="AM983" s="389" t="str">
        <f t="array" ref="AM983">IF(ISNUMBER(AK983),INDEX(TM_Score2,MATCH(1,(TM_Events=D983)*(TM_Participant1=G983)*(TM_Participant2=AJ983),0)),"")</f>
        <v/>
      </c>
      <c r="AN983" s="389" t="str">
        <f t="array" ref="AN983">IF(ISNUMBER(AL983),INDEX(TM_Score2,MATCH(1,(TM_Events=D983)*(TM_Participant1=AJ983)*(TM_Participant2=G983),0)),"")</f>
        <v/>
      </c>
      <c r="AO983" s="389" t="str">
        <f t="shared" si="455"/>
        <v/>
      </c>
      <c r="AP983" s="389">
        <f t="shared" si="456"/>
        <v>0</v>
      </c>
      <c r="AQ983" s="389">
        <f t="shared" si="457"/>
        <v>0</v>
      </c>
      <c r="AR983" s="389">
        <f t="shared" si="458"/>
        <v>0</v>
      </c>
      <c r="AS983" s="453">
        <f t="shared" si="459"/>
        <v>0</v>
      </c>
      <c r="AT983" s="452">
        <f t="shared" si="460"/>
        <v>0</v>
      </c>
    </row>
    <row r="984" spans="2:46" ht="16" x14ac:dyDescent="0.2">
      <c r="B984"/>
      <c r="H984" s="387" t="str">
        <f t="shared" si="435"/>
        <v>0-0-0</v>
      </c>
      <c r="I984" s="389">
        <f t="shared" si="436"/>
        <v>0</v>
      </c>
      <c r="J984" s="455" t="str">
        <f t="shared" si="461"/>
        <v/>
      </c>
      <c r="K984" s="455">
        <f t="shared" si="437"/>
        <v>0</v>
      </c>
      <c r="L984" s="455">
        <f t="shared" si="462"/>
        <v>0</v>
      </c>
      <c r="M984" s="389" t="str">
        <f>IFERROR(IF(AD984&lt;=VLOOKUP(D984,Tournaments!$A$1:$B$1772,2,FALSE),"TRUE","FALSE"),"")</f>
        <v/>
      </c>
      <c r="N984" s="389">
        <v>1</v>
      </c>
      <c r="O984" s="389">
        <f t="shared" si="438"/>
        <v>0</v>
      </c>
      <c r="Q984" s="389">
        <f t="shared" si="439"/>
        <v>0</v>
      </c>
      <c r="R984" s="389">
        <f t="shared" si="440"/>
        <v>0</v>
      </c>
      <c r="S984" s="389">
        <f t="shared" si="441"/>
        <v>0</v>
      </c>
      <c r="U984" s="389">
        <f t="shared" si="442"/>
        <v>0</v>
      </c>
      <c r="V984" s="389" t="b">
        <f t="shared" si="443"/>
        <v>0</v>
      </c>
      <c r="W984" s="389">
        <f t="shared" si="444"/>
        <v>0</v>
      </c>
      <c r="X984" s="389">
        <f t="shared" si="445"/>
        <v>0</v>
      </c>
      <c r="Y984" s="389">
        <f t="shared" si="463"/>
        <v>1.0999999999999999E-2</v>
      </c>
      <c r="Z984" s="389">
        <f t="shared" si="446"/>
        <v>1.0999999999999999E-2</v>
      </c>
      <c r="AA984" s="389">
        <f t="shared" si="447"/>
        <v>0</v>
      </c>
      <c r="AB984" s="389">
        <f t="shared" si="448"/>
        <v>1E-4</v>
      </c>
      <c r="AC984" s="389">
        <f t="shared" si="449"/>
        <v>1E-4</v>
      </c>
      <c r="AD984" s="389">
        <f t="shared" si="450"/>
        <v>0</v>
      </c>
      <c r="AE984" s="389">
        <f t="shared" si="451"/>
        <v>0</v>
      </c>
      <c r="AG984" s="311" t="str">
        <f t="shared" si="452"/>
        <v>-</v>
      </c>
      <c r="AH984" s="453" t="str">
        <f t="shared" si="453"/>
        <v/>
      </c>
      <c r="AI984" s="453" t="str">
        <f t="shared" si="454"/>
        <v/>
      </c>
      <c r="AJ984" t="str">
        <f t="array" ref="AJ984">IF(AND(AI984&gt;1,G984&lt;&gt;""),INDEX(FS_teams,MATCH(1,(FS_Keys=AG984)*(FS_Points=I984)*(FS_teams&lt;&gt;G984),0)),"")</f>
        <v/>
      </c>
      <c r="AK984" s="390" t="str">
        <f t="array" ref="AK984">IF(AJ984&lt;&gt;"",INDEX(TM_Score1,MATCH(1,(TM_Events=D984)*(TM_Participant1=G984)*(TM_Participant2=AJ984),0)),"")</f>
        <v/>
      </c>
      <c r="AL984" s="390" t="str">
        <f t="array" ref="AL984">IF(AJ984&lt;&gt;"",INDEX(TM_Score1,MATCH(1,(TM_Events=D984)*(TM_Participant1=AJ984)*(TM_Participant2=G984),0)),"")</f>
        <v/>
      </c>
      <c r="AM984" s="389" t="str">
        <f t="array" ref="AM984">IF(ISNUMBER(AK984),INDEX(TM_Score2,MATCH(1,(TM_Events=D984)*(TM_Participant1=G984)*(TM_Participant2=AJ984),0)),"")</f>
        <v/>
      </c>
      <c r="AN984" s="389" t="str">
        <f t="array" ref="AN984">IF(ISNUMBER(AL984),INDEX(TM_Score2,MATCH(1,(TM_Events=D984)*(TM_Participant1=AJ984)*(TM_Participant2=G984),0)),"")</f>
        <v/>
      </c>
      <c r="AO984" s="389" t="str">
        <f t="shared" si="455"/>
        <v/>
      </c>
      <c r="AP984" s="389">
        <f t="shared" si="456"/>
        <v>0</v>
      </c>
      <c r="AQ984" s="389">
        <f t="shared" si="457"/>
        <v>0</v>
      </c>
      <c r="AR984" s="389">
        <f t="shared" si="458"/>
        <v>0</v>
      </c>
      <c r="AS984" s="453">
        <f t="shared" si="459"/>
        <v>0</v>
      </c>
      <c r="AT984" s="452">
        <f t="shared" si="460"/>
        <v>0</v>
      </c>
    </row>
    <row r="985" spans="2:46" ht="16" x14ac:dyDescent="0.2">
      <c r="B985"/>
      <c r="H985" s="387" t="str">
        <f t="shared" si="435"/>
        <v>0-0-0</v>
      </c>
      <c r="I985" s="389">
        <f t="shared" si="436"/>
        <v>0</v>
      </c>
      <c r="J985" s="455" t="str">
        <f t="shared" si="461"/>
        <v/>
      </c>
      <c r="K985" s="455">
        <f t="shared" si="437"/>
        <v>0</v>
      </c>
      <c r="L985" s="455">
        <f t="shared" si="462"/>
        <v>0</v>
      </c>
      <c r="M985" s="389" t="str">
        <f>IFERROR(IF(AD985&lt;=VLOOKUP(D985,Tournaments!$A$1:$B$1772,2,FALSE),"TRUE","FALSE"),"")</f>
        <v/>
      </c>
      <c r="N985" s="389">
        <v>1</v>
      </c>
      <c r="O985" s="389">
        <f t="shared" si="438"/>
        <v>0</v>
      </c>
      <c r="Q985" s="389">
        <f t="shared" si="439"/>
        <v>0</v>
      </c>
      <c r="R985" s="389">
        <f t="shared" si="440"/>
        <v>0</v>
      </c>
      <c r="S985" s="389">
        <f t="shared" si="441"/>
        <v>0</v>
      </c>
      <c r="U985" s="389">
        <f t="shared" si="442"/>
        <v>0</v>
      </c>
      <c r="V985" s="389" t="b">
        <f t="shared" si="443"/>
        <v>0</v>
      </c>
      <c r="W985" s="389">
        <f t="shared" si="444"/>
        <v>0</v>
      </c>
      <c r="X985" s="389">
        <f t="shared" si="445"/>
        <v>0</v>
      </c>
      <c r="Y985" s="389">
        <f t="shared" si="463"/>
        <v>1.0999999999999999E-2</v>
      </c>
      <c r="Z985" s="389">
        <f t="shared" si="446"/>
        <v>1.0999999999999999E-2</v>
      </c>
      <c r="AA985" s="389">
        <f t="shared" si="447"/>
        <v>0</v>
      </c>
      <c r="AB985" s="389">
        <f t="shared" si="448"/>
        <v>1E-4</v>
      </c>
      <c r="AC985" s="389">
        <f t="shared" si="449"/>
        <v>1E-4</v>
      </c>
      <c r="AD985" s="389">
        <f t="shared" si="450"/>
        <v>0</v>
      </c>
      <c r="AE985" s="389">
        <f t="shared" si="451"/>
        <v>0</v>
      </c>
      <c r="AG985" s="311" t="str">
        <f t="shared" si="452"/>
        <v>-</v>
      </c>
      <c r="AH985" s="453" t="str">
        <f t="shared" si="453"/>
        <v/>
      </c>
      <c r="AI985" s="453" t="str">
        <f t="shared" si="454"/>
        <v/>
      </c>
      <c r="AJ985" t="str">
        <f t="array" ref="AJ985">IF(AND(AI985&gt;1,G985&lt;&gt;""),INDEX(FS_teams,MATCH(1,(FS_Keys=AG985)*(FS_Points=I985)*(FS_teams&lt;&gt;G985),0)),"")</f>
        <v/>
      </c>
      <c r="AK985" s="390" t="str">
        <f t="array" ref="AK985">IF(AJ985&lt;&gt;"",INDEX(TM_Score1,MATCH(1,(TM_Events=D985)*(TM_Participant1=G985)*(TM_Participant2=AJ985),0)),"")</f>
        <v/>
      </c>
      <c r="AL985" s="390" t="str">
        <f t="array" ref="AL985">IF(AJ985&lt;&gt;"",INDEX(TM_Score1,MATCH(1,(TM_Events=D985)*(TM_Participant1=AJ985)*(TM_Participant2=G985),0)),"")</f>
        <v/>
      </c>
      <c r="AM985" s="389" t="str">
        <f t="array" ref="AM985">IF(ISNUMBER(AK985),INDEX(TM_Score2,MATCH(1,(TM_Events=D985)*(TM_Participant1=G985)*(TM_Participant2=AJ985),0)),"")</f>
        <v/>
      </c>
      <c r="AN985" s="389" t="str">
        <f t="array" ref="AN985">IF(ISNUMBER(AL985),INDEX(TM_Score2,MATCH(1,(TM_Events=D985)*(TM_Participant1=AJ985)*(TM_Participant2=G985),0)),"")</f>
        <v/>
      </c>
      <c r="AO985" s="389" t="str">
        <f t="shared" si="455"/>
        <v/>
      </c>
      <c r="AP985" s="389">
        <f t="shared" si="456"/>
        <v>0</v>
      </c>
      <c r="AQ985" s="389">
        <f t="shared" si="457"/>
        <v>0</v>
      </c>
      <c r="AR985" s="389">
        <f t="shared" si="458"/>
        <v>0</v>
      </c>
      <c r="AS985" s="453">
        <f t="shared" si="459"/>
        <v>0</v>
      </c>
      <c r="AT985" s="452">
        <f t="shared" si="460"/>
        <v>0</v>
      </c>
    </row>
    <row r="986" spans="2:46" ht="16" x14ac:dyDescent="0.2">
      <c r="B986"/>
      <c r="H986" s="387" t="str">
        <f t="shared" si="435"/>
        <v>0-0-0</v>
      </c>
      <c r="I986" s="389">
        <f t="shared" si="436"/>
        <v>0</v>
      </c>
      <c r="J986" s="455" t="str">
        <f t="shared" si="461"/>
        <v/>
      </c>
      <c r="K986" s="455">
        <f t="shared" si="437"/>
        <v>0</v>
      </c>
      <c r="L986" s="455">
        <f t="shared" si="462"/>
        <v>0</v>
      </c>
      <c r="M986" s="389" t="str">
        <f>IFERROR(IF(AD986&lt;=VLOOKUP(D986,Tournaments!$A$1:$B$1772,2,FALSE),"TRUE","FALSE"),"")</f>
        <v/>
      </c>
      <c r="N986" s="389">
        <v>1</v>
      </c>
      <c r="O986" s="389">
        <f t="shared" si="438"/>
        <v>0</v>
      </c>
      <c r="Q986" s="389">
        <f t="shared" si="439"/>
        <v>0</v>
      </c>
      <c r="R986" s="389">
        <f t="shared" si="440"/>
        <v>0</v>
      </c>
      <c r="S986" s="389">
        <f t="shared" si="441"/>
        <v>0</v>
      </c>
      <c r="U986" s="389">
        <f t="shared" si="442"/>
        <v>0</v>
      </c>
      <c r="V986" s="389" t="b">
        <f t="shared" si="443"/>
        <v>0</v>
      </c>
      <c r="W986" s="389">
        <f t="shared" si="444"/>
        <v>0</v>
      </c>
      <c r="X986" s="389">
        <f t="shared" si="445"/>
        <v>0</v>
      </c>
      <c r="Y986" s="389">
        <f t="shared" si="463"/>
        <v>1.0999999999999999E-2</v>
      </c>
      <c r="Z986" s="389">
        <f t="shared" si="446"/>
        <v>1.0999999999999999E-2</v>
      </c>
      <c r="AA986" s="389">
        <f t="shared" si="447"/>
        <v>0</v>
      </c>
      <c r="AB986" s="389">
        <f t="shared" si="448"/>
        <v>1E-4</v>
      </c>
      <c r="AC986" s="389">
        <f t="shared" si="449"/>
        <v>1E-4</v>
      </c>
      <c r="AD986" s="389">
        <f t="shared" si="450"/>
        <v>0</v>
      </c>
      <c r="AE986" s="389">
        <f t="shared" si="451"/>
        <v>0</v>
      </c>
      <c r="AG986" s="311" t="str">
        <f t="shared" si="452"/>
        <v>-</v>
      </c>
      <c r="AH986" s="453" t="str">
        <f t="shared" si="453"/>
        <v/>
      </c>
      <c r="AI986" s="453" t="str">
        <f t="shared" si="454"/>
        <v/>
      </c>
      <c r="AJ986" t="str">
        <f t="array" ref="AJ986">IF(AND(AI986&gt;1,G986&lt;&gt;""),INDEX(FS_teams,MATCH(1,(FS_Keys=AG986)*(FS_Points=I986)*(FS_teams&lt;&gt;G986),0)),"")</f>
        <v/>
      </c>
      <c r="AK986" s="390" t="str">
        <f t="array" ref="AK986">IF(AJ986&lt;&gt;"",INDEX(TM_Score1,MATCH(1,(TM_Events=D986)*(TM_Participant1=G986)*(TM_Participant2=AJ986),0)),"")</f>
        <v/>
      </c>
      <c r="AL986" s="390" t="str">
        <f t="array" ref="AL986">IF(AJ986&lt;&gt;"",INDEX(TM_Score1,MATCH(1,(TM_Events=D986)*(TM_Participant1=AJ986)*(TM_Participant2=G986),0)),"")</f>
        <v/>
      </c>
      <c r="AM986" s="389" t="str">
        <f t="array" ref="AM986">IF(ISNUMBER(AK986),INDEX(TM_Score2,MATCH(1,(TM_Events=D986)*(TM_Participant1=G986)*(TM_Participant2=AJ986),0)),"")</f>
        <v/>
      </c>
      <c r="AN986" s="389" t="str">
        <f t="array" ref="AN986">IF(ISNUMBER(AL986),INDEX(TM_Score2,MATCH(1,(TM_Events=D986)*(TM_Participant1=AJ986)*(TM_Participant2=G986),0)),"")</f>
        <v/>
      </c>
      <c r="AO986" s="389" t="str">
        <f t="shared" si="455"/>
        <v/>
      </c>
      <c r="AP986" s="389">
        <f t="shared" si="456"/>
        <v>0</v>
      </c>
      <c r="AQ986" s="389">
        <f t="shared" si="457"/>
        <v>0</v>
      </c>
      <c r="AR986" s="389">
        <f t="shared" si="458"/>
        <v>0</v>
      </c>
      <c r="AS986" s="453">
        <f t="shared" si="459"/>
        <v>0</v>
      </c>
      <c r="AT986" s="452">
        <f t="shared" si="460"/>
        <v>0</v>
      </c>
    </row>
    <row r="987" spans="2:46" ht="16" x14ac:dyDescent="0.2">
      <c r="B987"/>
      <c r="H987" s="387" t="str">
        <f t="shared" si="435"/>
        <v>0-0-0</v>
      </c>
      <c r="I987" s="389">
        <f t="shared" si="436"/>
        <v>0</v>
      </c>
      <c r="J987" s="455" t="str">
        <f t="shared" si="461"/>
        <v/>
      </c>
      <c r="K987" s="455">
        <f t="shared" si="437"/>
        <v>0</v>
      </c>
      <c r="L987" s="455">
        <f t="shared" si="462"/>
        <v>0</v>
      </c>
      <c r="M987" s="389" t="str">
        <f>IFERROR(IF(AD987&lt;=VLOOKUP(D987,Tournaments!$A$1:$B$1772,2,FALSE),"TRUE","FALSE"),"")</f>
        <v/>
      </c>
      <c r="N987" s="389">
        <v>1</v>
      </c>
      <c r="O987" s="389">
        <f t="shared" si="438"/>
        <v>0</v>
      </c>
      <c r="Q987" s="389">
        <f t="shared" si="439"/>
        <v>0</v>
      </c>
      <c r="R987" s="389">
        <f t="shared" si="440"/>
        <v>0</v>
      </c>
      <c r="S987" s="389">
        <f t="shared" si="441"/>
        <v>0</v>
      </c>
      <c r="U987" s="389">
        <f t="shared" si="442"/>
        <v>0</v>
      </c>
      <c r="V987" s="389" t="b">
        <f t="shared" si="443"/>
        <v>0</v>
      </c>
      <c r="W987" s="389">
        <f t="shared" si="444"/>
        <v>0</v>
      </c>
      <c r="X987" s="389">
        <f t="shared" si="445"/>
        <v>0</v>
      </c>
      <c r="Y987" s="389">
        <f t="shared" si="463"/>
        <v>1.0999999999999999E-2</v>
      </c>
      <c r="Z987" s="389">
        <f t="shared" si="446"/>
        <v>1.0999999999999999E-2</v>
      </c>
      <c r="AA987" s="389">
        <f t="shared" si="447"/>
        <v>0</v>
      </c>
      <c r="AB987" s="389">
        <f t="shared" si="448"/>
        <v>1E-4</v>
      </c>
      <c r="AC987" s="389">
        <f t="shared" si="449"/>
        <v>1E-4</v>
      </c>
      <c r="AD987" s="389">
        <f t="shared" si="450"/>
        <v>0</v>
      </c>
      <c r="AE987" s="389">
        <f t="shared" si="451"/>
        <v>0</v>
      </c>
      <c r="AG987" s="311" t="str">
        <f t="shared" si="452"/>
        <v>-</v>
      </c>
      <c r="AH987" s="453" t="str">
        <f t="shared" si="453"/>
        <v/>
      </c>
      <c r="AI987" s="453" t="str">
        <f t="shared" si="454"/>
        <v/>
      </c>
      <c r="AJ987" t="str">
        <f t="array" ref="AJ987">IF(AND(AI987&gt;1,G987&lt;&gt;""),INDEX(FS_teams,MATCH(1,(FS_Keys=AG987)*(FS_Points=I987)*(FS_teams&lt;&gt;G987),0)),"")</f>
        <v/>
      </c>
      <c r="AK987" s="390" t="str">
        <f t="array" ref="AK987">IF(AJ987&lt;&gt;"",INDEX(TM_Score1,MATCH(1,(TM_Events=D987)*(TM_Participant1=G987)*(TM_Participant2=AJ987),0)),"")</f>
        <v/>
      </c>
      <c r="AL987" s="390" t="str">
        <f t="array" ref="AL987">IF(AJ987&lt;&gt;"",INDEX(TM_Score1,MATCH(1,(TM_Events=D987)*(TM_Participant1=AJ987)*(TM_Participant2=G987),0)),"")</f>
        <v/>
      </c>
      <c r="AM987" s="389" t="str">
        <f t="array" ref="AM987">IF(ISNUMBER(AK987),INDEX(TM_Score2,MATCH(1,(TM_Events=D987)*(TM_Participant1=G987)*(TM_Participant2=AJ987),0)),"")</f>
        <v/>
      </c>
      <c r="AN987" s="389" t="str">
        <f t="array" ref="AN987">IF(ISNUMBER(AL987),INDEX(TM_Score2,MATCH(1,(TM_Events=D987)*(TM_Participant1=AJ987)*(TM_Participant2=G987),0)),"")</f>
        <v/>
      </c>
      <c r="AO987" s="389" t="str">
        <f t="shared" si="455"/>
        <v/>
      </c>
      <c r="AP987" s="389">
        <f t="shared" si="456"/>
        <v>0</v>
      </c>
      <c r="AQ987" s="389">
        <f t="shared" si="457"/>
        <v>0</v>
      </c>
      <c r="AR987" s="389">
        <f t="shared" si="458"/>
        <v>0</v>
      </c>
      <c r="AS987" s="453">
        <f t="shared" si="459"/>
        <v>0</v>
      </c>
      <c r="AT987" s="452">
        <f t="shared" si="460"/>
        <v>0</v>
      </c>
    </row>
    <row r="988" spans="2:46" ht="16" x14ac:dyDescent="0.2">
      <c r="B988"/>
      <c r="H988" s="387" t="str">
        <f t="shared" si="435"/>
        <v>0-0-0</v>
      </c>
      <c r="I988" s="389">
        <f t="shared" si="436"/>
        <v>0</v>
      </c>
      <c r="J988" s="455" t="str">
        <f t="shared" si="461"/>
        <v/>
      </c>
      <c r="K988" s="455">
        <f t="shared" si="437"/>
        <v>0</v>
      </c>
      <c r="L988" s="455">
        <f t="shared" si="462"/>
        <v>0</v>
      </c>
      <c r="M988" s="389" t="str">
        <f>IFERROR(IF(AD988&lt;=VLOOKUP(D988,Tournaments!$A$1:$B$1772,2,FALSE),"TRUE","FALSE"),"")</f>
        <v/>
      </c>
      <c r="N988" s="389">
        <v>1</v>
      </c>
      <c r="O988" s="389">
        <f t="shared" si="438"/>
        <v>0</v>
      </c>
      <c r="Q988" s="389">
        <f t="shared" si="439"/>
        <v>0</v>
      </c>
      <c r="R988" s="389">
        <f t="shared" si="440"/>
        <v>0</v>
      </c>
      <c r="S988" s="389">
        <f t="shared" si="441"/>
        <v>0</v>
      </c>
      <c r="U988" s="389">
        <f t="shared" si="442"/>
        <v>0</v>
      </c>
      <c r="V988" s="389" t="b">
        <f t="shared" si="443"/>
        <v>0</v>
      </c>
      <c r="W988" s="389">
        <f t="shared" si="444"/>
        <v>0</v>
      </c>
      <c r="X988" s="389">
        <f t="shared" si="445"/>
        <v>0</v>
      </c>
      <c r="Y988" s="389">
        <f t="shared" si="463"/>
        <v>1.0999999999999999E-2</v>
      </c>
      <c r="Z988" s="389">
        <f t="shared" si="446"/>
        <v>1.0999999999999999E-2</v>
      </c>
      <c r="AA988" s="389">
        <f t="shared" si="447"/>
        <v>0</v>
      </c>
      <c r="AB988" s="389">
        <f t="shared" si="448"/>
        <v>1E-4</v>
      </c>
      <c r="AC988" s="389">
        <f t="shared" si="449"/>
        <v>1E-4</v>
      </c>
      <c r="AD988" s="389">
        <f t="shared" si="450"/>
        <v>0</v>
      </c>
      <c r="AE988" s="389">
        <f t="shared" si="451"/>
        <v>0</v>
      </c>
      <c r="AG988" s="311" t="str">
        <f t="shared" si="452"/>
        <v>-</v>
      </c>
      <c r="AH988" s="453" t="str">
        <f t="shared" si="453"/>
        <v/>
      </c>
      <c r="AI988" s="453" t="str">
        <f t="shared" si="454"/>
        <v/>
      </c>
      <c r="AJ988" t="str">
        <f t="array" ref="AJ988">IF(AND(AI988&gt;1,G988&lt;&gt;""),INDEX(FS_teams,MATCH(1,(FS_Keys=AG988)*(FS_Points=I988)*(FS_teams&lt;&gt;G988),0)),"")</f>
        <v/>
      </c>
      <c r="AK988" s="390" t="str">
        <f t="array" ref="AK988">IF(AJ988&lt;&gt;"",INDEX(TM_Score1,MATCH(1,(TM_Events=D988)*(TM_Participant1=G988)*(TM_Participant2=AJ988),0)),"")</f>
        <v/>
      </c>
      <c r="AL988" s="390" t="str">
        <f t="array" ref="AL988">IF(AJ988&lt;&gt;"",INDEX(TM_Score1,MATCH(1,(TM_Events=D988)*(TM_Participant1=AJ988)*(TM_Participant2=G988),0)),"")</f>
        <v/>
      </c>
      <c r="AM988" s="389" t="str">
        <f t="array" ref="AM988">IF(ISNUMBER(AK988),INDEX(TM_Score2,MATCH(1,(TM_Events=D988)*(TM_Participant1=G988)*(TM_Participant2=AJ988),0)),"")</f>
        <v/>
      </c>
      <c r="AN988" s="389" t="str">
        <f t="array" ref="AN988">IF(ISNUMBER(AL988),INDEX(TM_Score2,MATCH(1,(TM_Events=D988)*(TM_Participant1=AJ988)*(TM_Participant2=G988),0)),"")</f>
        <v/>
      </c>
      <c r="AO988" s="389" t="str">
        <f t="shared" si="455"/>
        <v/>
      </c>
      <c r="AP988" s="389">
        <f t="shared" si="456"/>
        <v>0</v>
      </c>
      <c r="AQ988" s="389">
        <f t="shared" si="457"/>
        <v>0</v>
      </c>
      <c r="AR988" s="389">
        <f t="shared" si="458"/>
        <v>0</v>
      </c>
      <c r="AS988" s="453">
        <f t="shared" si="459"/>
        <v>0</v>
      </c>
      <c r="AT988" s="452">
        <f t="shared" si="460"/>
        <v>0</v>
      </c>
    </row>
    <row r="989" spans="2:46" ht="16" x14ac:dyDescent="0.2">
      <c r="B989"/>
      <c r="H989" s="387" t="str">
        <f t="shared" si="435"/>
        <v>0-0-0</v>
      </c>
      <c r="I989" s="389">
        <f t="shared" si="436"/>
        <v>0</v>
      </c>
      <c r="J989" s="455" t="str">
        <f t="shared" si="461"/>
        <v/>
      </c>
      <c r="K989" s="455">
        <f t="shared" si="437"/>
        <v>0</v>
      </c>
      <c r="L989" s="455">
        <f t="shared" si="462"/>
        <v>0</v>
      </c>
      <c r="M989" s="389" t="str">
        <f>IFERROR(IF(AD989&lt;=VLOOKUP(D989,Tournaments!$A$1:$B$1772,2,FALSE),"TRUE","FALSE"),"")</f>
        <v/>
      </c>
      <c r="N989" s="389">
        <v>1</v>
      </c>
      <c r="O989" s="389">
        <f t="shared" si="438"/>
        <v>0</v>
      </c>
      <c r="Q989" s="389">
        <f t="shared" si="439"/>
        <v>0</v>
      </c>
      <c r="R989" s="389">
        <f t="shared" si="440"/>
        <v>0</v>
      </c>
      <c r="S989" s="389">
        <f t="shared" si="441"/>
        <v>0</v>
      </c>
      <c r="U989" s="389">
        <f t="shared" si="442"/>
        <v>0</v>
      </c>
      <c r="V989" s="389" t="b">
        <f t="shared" si="443"/>
        <v>0</v>
      </c>
      <c r="W989" s="389">
        <f t="shared" si="444"/>
        <v>0</v>
      </c>
      <c r="X989" s="389">
        <f t="shared" si="445"/>
        <v>0</v>
      </c>
      <c r="Y989" s="389">
        <f t="shared" si="463"/>
        <v>1.0999999999999999E-2</v>
      </c>
      <c r="Z989" s="389">
        <f t="shared" si="446"/>
        <v>1.0999999999999999E-2</v>
      </c>
      <c r="AA989" s="389">
        <f t="shared" si="447"/>
        <v>0</v>
      </c>
      <c r="AB989" s="389">
        <f t="shared" si="448"/>
        <v>1E-4</v>
      </c>
      <c r="AC989" s="389">
        <f t="shared" si="449"/>
        <v>1E-4</v>
      </c>
      <c r="AD989" s="389">
        <f t="shared" si="450"/>
        <v>0</v>
      </c>
      <c r="AE989" s="389">
        <f t="shared" si="451"/>
        <v>0</v>
      </c>
      <c r="AG989" s="311" t="str">
        <f t="shared" si="452"/>
        <v>-</v>
      </c>
      <c r="AH989" s="453" t="str">
        <f t="shared" si="453"/>
        <v/>
      </c>
      <c r="AI989" s="453" t="str">
        <f t="shared" si="454"/>
        <v/>
      </c>
      <c r="AJ989" t="str">
        <f t="array" ref="AJ989">IF(AND(AI989&gt;1,G989&lt;&gt;""),INDEX(FS_teams,MATCH(1,(FS_Keys=AG989)*(FS_Points=I989)*(FS_teams&lt;&gt;G989),0)),"")</f>
        <v/>
      </c>
      <c r="AK989" s="390" t="str">
        <f t="array" ref="AK989">IF(AJ989&lt;&gt;"",INDEX(TM_Score1,MATCH(1,(TM_Events=D989)*(TM_Participant1=G989)*(TM_Participant2=AJ989),0)),"")</f>
        <v/>
      </c>
      <c r="AL989" s="390" t="str">
        <f t="array" ref="AL989">IF(AJ989&lt;&gt;"",INDEX(TM_Score1,MATCH(1,(TM_Events=D989)*(TM_Participant1=AJ989)*(TM_Participant2=G989),0)),"")</f>
        <v/>
      </c>
      <c r="AM989" s="389" t="str">
        <f t="array" ref="AM989">IF(ISNUMBER(AK989),INDEX(TM_Score2,MATCH(1,(TM_Events=D989)*(TM_Participant1=G989)*(TM_Participant2=AJ989),0)),"")</f>
        <v/>
      </c>
      <c r="AN989" s="389" t="str">
        <f t="array" ref="AN989">IF(ISNUMBER(AL989),INDEX(TM_Score2,MATCH(1,(TM_Events=D989)*(TM_Participant1=AJ989)*(TM_Participant2=G989),0)),"")</f>
        <v/>
      </c>
      <c r="AO989" s="389" t="str">
        <f t="shared" si="455"/>
        <v/>
      </c>
      <c r="AP989" s="389">
        <f t="shared" si="456"/>
        <v>0</v>
      </c>
      <c r="AQ989" s="389">
        <f t="shared" si="457"/>
        <v>0</v>
      </c>
      <c r="AR989" s="389">
        <f t="shared" si="458"/>
        <v>0</v>
      </c>
      <c r="AS989" s="453">
        <f t="shared" si="459"/>
        <v>0</v>
      </c>
      <c r="AT989" s="452">
        <f t="shared" si="460"/>
        <v>0</v>
      </c>
    </row>
    <row r="990" spans="2:46" ht="16" x14ac:dyDescent="0.2">
      <c r="B990"/>
      <c r="H990" s="387" t="str">
        <f t="shared" si="435"/>
        <v>0-0-0</v>
      </c>
      <c r="I990" s="389">
        <f t="shared" si="436"/>
        <v>0</v>
      </c>
      <c r="J990" s="455" t="str">
        <f t="shared" si="461"/>
        <v/>
      </c>
      <c r="K990" s="455">
        <f t="shared" si="437"/>
        <v>0</v>
      </c>
      <c r="L990" s="455">
        <f t="shared" si="462"/>
        <v>0</v>
      </c>
      <c r="M990" s="389" t="str">
        <f>IFERROR(IF(AD990&lt;=VLOOKUP(D990,Tournaments!$A$1:$B$1772,2,FALSE),"TRUE","FALSE"),"")</f>
        <v/>
      </c>
      <c r="N990" s="389">
        <v>1</v>
      </c>
      <c r="O990" s="389">
        <f t="shared" si="438"/>
        <v>0</v>
      </c>
      <c r="Q990" s="389">
        <f t="shared" si="439"/>
        <v>0</v>
      </c>
      <c r="R990" s="389">
        <f t="shared" si="440"/>
        <v>0</v>
      </c>
      <c r="S990" s="389">
        <f t="shared" si="441"/>
        <v>0</v>
      </c>
      <c r="U990" s="389">
        <f t="shared" si="442"/>
        <v>0</v>
      </c>
      <c r="V990" s="389" t="b">
        <f t="shared" si="443"/>
        <v>0</v>
      </c>
      <c r="W990" s="389">
        <f t="shared" si="444"/>
        <v>0</v>
      </c>
      <c r="X990" s="389">
        <f t="shared" si="445"/>
        <v>0</v>
      </c>
      <c r="Y990" s="389">
        <f t="shared" si="463"/>
        <v>1.0999999999999999E-2</v>
      </c>
      <c r="Z990" s="389">
        <f t="shared" si="446"/>
        <v>1.0999999999999999E-2</v>
      </c>
      <c r="AA990" s="389">
        <f t="shared" si="447"/>
        <v>0</v>
      </c>
      <c r="AB990" s="389">
        <f t="shared" si="448"/>
        <v>1E-4</v>
      </c>
      <c r="AC990" s="389">
        <f t="shared" si="449"/>
        <v>1E-4</v>
      </c>
      <c r="AD990" s="389">
        <f t="shared" si="450"/>
        <v>0</v>
      </c>
      <c r="AE990" s="389">
        <f t="shared" si="451"/>
        <v>0</v>
      </c>
      <c r="AG990" s="311" t="str">
        <f t="shared" si="452"/>
        <v>-</v>
      </c>
      <c r="AH990" s="453" t="str">
        <f t="shared" si="453"/>
        <v/>
      </c>
      <c r="AI990" s="453" t="str">
        <f t="shared" si="454"/>
        <v/>
      </c>
      <c r="AJ990" t="str">
        <f t="array" ref="AJ990">IF(AND(AI990&gt;1,G990&lt;&gt;""),INDEX(FS_teams,MATCH(1,(FS_Keys=AG990)*(FS_Points=I990)*(FS_teams&lt;&gt;G990),0)),"")</f>
        <v/>
      </c>
      <c r="AK990" s="390" t="str">
        <f t="array" ref="AK990">IF(AJ990&lt;&gt;"",INDEX(TM_Score1,MATCH(1,(TM_Events=D990)*(TM_Participant1=G990)*(TM_Participant2=AJ990),0)),"")</f>
        <v/>
      </c>
      <c r="AL990" s="390" t="str">
        <f t="array" ref="AL990">IF(AJ990&lt;&gt;"",INDEX(TM_Score1,MATCH(1,(TM_Events=D990)*(TM_Participant1=AJ990)*(TM_Participant2=G990),0)),"")</f>
        <v/>
      </c>
      <c r="AM990" s="389" t="str">
        <f t="array" ref="AM990">IF(ISNUMBER(AK990),INDEX(TM_Score2,MATCH(1,(TM_Events=D990)*(TM_Participant1=G990)*(TM_Participant2=AJ990),0)),"")</f>
        <v/>
      </c>
      <c r="AN990" s="389" t="str">
        <f t="array" ref="AN990">IF(ISNUMBER(AL990),INDEX(TM_Score2,MATCH(1,(TM_Events=D990)*(TM_Participant1=AJ990)*(TM_Participant2=G990),0)),"")</f>
        <v/>
      </c>
      <c r="AO990" s="389" t="str">
        <f t="shared" si="455"/>
        <v/>
      </c>
      <c r="AP990" s="389">
        <f t="shared" si="456"/>
        <v>0</v>
      </c>
      <c r="AQ990" s="389">
        <f t="shared" si="457"/>
        <v>0</v>
      </c>
      <c r="AR990" s="389">
        <f t="shared" si="458"/>
        <v>0</v>
      </c>
      <c r="AS990" s="453">
        <f t="shared" si="459"/>
        <v>0</v>
      </c>
      <c r="AT990" s="452">
        <f t="shared" si="460"/>
        <v>0</v>
      </c>
    </row>
    <row r="991" spans="2:46" ht="16" x14ac:dyDescent="0.2">
      <c r="B991"/>
      <c r="H991" s="387" t="str">
        <f t="shared" si="435"/>
        <v>0-0-0</v>
      </c>
      <c r="I991" s="389">
        <f t="shared" si="436"/>
        <v>0</v>
      </c>
      <c r="J991" s="455" t="str">
        <f t="shared" si="461"/>
        <v/>
      </c>
      <c r="K991" s="455">
        <f t="shared" si="437"/>
        <v>0</v>
      </c>
      <c r="L991" s="455">
        <f t="shared" si="462"/>
        <v>0</v>
      </c>
      <c r="M991" s="389" t="str">
        <f>IFERROR(IF(AD991&lt;=VLOOKUP(D991,Tournaments!$A$1:$B$1772,2,FALSE),"TRUE","FALSE"),"")</f>
        <v/>
      </c>
      <c r="N991" s="389">
        <v>1</v>
      </c>
      <c r="O991" s="389">
        <f t="shared" si="438"/>
        <v>0</v>
      </c>
      <c r="Q991" s="389">
        <f t="shared" si="439"/>
        <v>0</v>
      </c>
      <c r="R991" s="389">
        <f t="shared" si="440"/>
        <v>0</v>
      </c>
      <c r="S991" s="389">
        <f t="shared" si="441"/>
        <v>0</v>
      </c>
      <c r="U991" s="389">
        <f t="shared" si="442"/>
        <v>0</v>
      </c>
      <c r="V991" s="389" t="b">
        <f t="shared" si="443"/>
        <v>0</v>
      </c>
      <c r="W991" s="389">
        <f t="shared" si="444"/>
        <v>0</v>
      </c>
      <c r="X991" s="389">
        <f t="shared" si="445"/>
        <v>0</v>
      </c>
      <c r="Y991" s="389">
        <f t="shared" si="463"/>
        <v>1.0999999999999999E-2</v>
      </c>
      <c r="Z991" s="389">
        <f t="shared" si="446"/>
        <v>1.0999999999999999E-2</v>
      </c>
      <c r="AA991" s="389">
        <f t="shared" si="447"/>
        <v>0</v>
      </c>
      <c r="AB991" s="389">
        <f t="shared" si="448"/>
        <v>1E-4</v>
      </c>
      <c r="AC991" s="389">
        <f t="shared" si="449"/>
        <v>1E-4</v>
      </c>
      <c r="AD991" s="389">
        <f t="shared" si="450"/>
        <v>0</v>
      </c>
      <c r="AE991" s="389">
        <f t="shared" si="451"/>
        <v>0</v>
      </c>
      <c r="AG991" s="311" t="str">
        <f t="shared" si="452"/>
        <v>-</v>
      </c>
      <c r="AH991" s="453" t="str">
        <f t="shared" si="453"/>
        <v/>
      </c>
      <c r="AI991" s="453" t="str">
        <f t="shared" si="454"/>
        <v/>
      </c>
      <c r="AJ991" t="str">
        <f t="array" ref="AJ991">IF(AND(AI991&gt;1,G991&lt;&gt;""),INDEX(FS_teams,MATCH(1,(FS_Keys=AG991)*(FS_Points=I991)*(FS_teams&lt;&gt;G991),0)),"")</f>
        <v/>
      </c>
      <c r="AK991" s="390" t="str">
        <f t="array" ref="AK991">IF(AJ991&lt;&gt;"",INDEX(TM_Score1,MATCH(1,(TM_Events=D991)*(TM_Participant1=G991)*(TM_Participant2=AJ991),0)),"")</f>
        <v/>
      </c>
      <c r="AL991" s="390" t="str">
        <f t="array" ref="AL991">IF(AJ991&lt;&gt;"",INDEX(TM_Score1,MATCH(1,(TM_Events=D991)*(TM_Participant1=AJ991)*(TM_Participant2=G991),0)),"")</f>
        <v/>
      </c>
      <c r="AM991" s="389" t="str">
        <f t="array" ref="AM991">IF(ISNUMBER(AK991),INDEX(TM_Score2,MATCH(1,(TM_Events=D991)*(TM_Participant1=G991)*(TM_Participant2=AJ991),0)),"")</f>
        <v/>
      </c>
      <c r="AN991" s="389" t="str">
        <f t="array" ref="AN991">IF(ISNUMBER(AL991),INDEX(TM_Score2,MATCH(1,(TM_Events=D991)*(TM_Participant1=AJ991)*(TM_Participant2=G991),0)),"")</f>
        <v/>
      </c>
      <c r="AO991" s="389" t="str">
        <f t="shared" si="455"/>
        <v/>
      </c>
      <c r="AP991" s="389">
        <f t="shared" si="456"/>
        <v>0</v>
      </c>
      <c r="AQ991" s="389">
        <f t="shared" si="457"/>
        <v>0</v>
      </c>
      <c r="AR991" s="389">
        <f t="shared" si="458"/>
        <v>0</v>
      </c>
      <c r="AS991" s="453">
        <f t="shared" si="459"/>
        <v>0</v>
      </c>
      <c r="AT991" s="452">
        <f t="shared" si="460"/>
        <v>0</v>
      </c>
    </row>
    <row r="992" spans="2:46" ht="16" x14ac:dyDescent="0.2">
      <c r="B992"/>
      <c r="H992" s="387" t="str">
        <f t="shared" si="435"/>
        <v>0-0-0</v>
      </c>
      <c r="I992" s="389">
        <f t="shared" si="436"/>
        <v>0</v>
      </c>
      <c r="J992" s="455" t="str">
        <f t="shared" si="461"/>
        <v/>
      </c>
      <c r="K992" s="455">
        <f t="shared" si="437"/>
        <v>0</v>
      </c>
      <c r="L992" s="455">
        <f t="shared" si="462"/>
        <v>0</v>
      </c>
      <c r="M992" s="389" t="str">
        <f>IFERROR(IF(AD992&lt;=VLOOKUP(D992,Tournaments!$A$1:$B$1772,2,FALSE),"TRUE","FALSE"),"")</f>
        <v/>
      </c>
      <c r="N992" s="389">
        <v>1</v>
      </c>
      <c r="O992" s="389">
        <f t="shared" si="438"/>
        <v>0</v>
      </c>
      <c r="Q992" s="389">
        <f t="shared" si="439"/>
        <v>0</v>
      </c>
      <c r="R992" s="389">
        <f t="shared" si="440"/>
        <v>0</v>
      </c>
      <c r="S992" s="389">
        <f t="shared" si="441"/>
        <v>0</v>
      </c>
      <c r="U992" s="389">
        <f t="shared" si="442"/>
        <v>0</v>
      </c>
      <c r="V992" s="389" t="b">
        <f t="shared" si="443"/>
        <v>0</v>
      </c>
      <c r="W992" s="389">
        <f t="shared" si="444"/>
        <v>0</v>
      </c>
      <c r="X992" s="389">
        <f t="shared" si="445"/>
        <v>0</v>
      </c>
      <c r="Y992" s="389">
        <f t="shared" si="463"/>
        <v>1.0999999999999999E-2</v>
      </c>
      <c r="Z992" s="389">
        <f t="shared" si="446"/>
        <v>1.0999999999999999E-2</v>
      </c>
      <c r="AA992" s="389">
        <f t="shared" si="447"/>
        <v>0</v>
      </c>
      <c r="AB992" s="389">
        <f t="shared" si="448"/>
        <v>1E-4</v>
      </c>
      <c r="AC992" s="389">
        <f t="shared" si="449"/>
        <v>1E-4</v>
      </c>
      <c r="AD992" s="389">
        <f t="shared" si="450"/>
        <v>0</v>
      </c>
      <c r="AE992" s="389">
        <f t="shared" si="451"/>
        <v>0</v>
      </c>
      <c r="AG992" s="311" t="str">
        <f t="shared" si="452"/>
        <v>-</v>
      </c>
      <c r="AH992" s="453" t="str">
        <f t="shared" si="453"/>
        <v/>
      </c>
      <c r="AI992" s="453" t="str">
        <f t="shared" si="454"/>
        <v/>
      </c>
      <c r="AJ992" t="str">
        <f t="array" ref="AJ992">IF(AND(AI992&gt;1,G992&lt;&gt;""),INDEX(FS_teams,MATCH(1,(FS_Keys=AG992)*(FS_Points=I992)*(FS_teams&lt;&gt;G992),0)),"")</f>
        <v/>
      </c>
      <c r="AK992" s="390" t="str">
        <f t="array" ref="AK992">IF(AJ992&lt;&gt;"",INDEX(TM_Score1,MATCH(1,(TM_Events=D992)*(TM_Participant1=G992)*(TM_Participant2=AJ992),0)),"")</f>
        <v/>
      </c>
      <c r="AL992" s="390" t="str">
        <f t="array" ref="AL992">IF(AJ992&lt;&gt;"",INDEX(TM_Score1,MATCH(1,(TM_Events=D992)*(TM_Participant1=AJ992)*(TM_Participant2=G992),0)),"")</f>
        <v/>
      </c>
      <c r="AM992" s="389" t="str">
        <f t="array" ref="AM992">IF(ISNUMBER(AK992),INDEX(TM_Score2,MATCH(1,(TM_Events=D992)*(TM_Participant1=G992)*(TM_Participant2=AJ992),0)),"")</f>
        <v/>
      </c>
      <c r="AN992" s="389" t="str">
        <f t="array" ref="AN992">IF(ISNUMBER(AL992),INDEX(TM_Score2,MATCH(1,(TM_Events=D992)*(TM_Participant1=AJ992)*(TM_Participant2=G992),0)),"")</f>
        <v/>
      </c>
      <c r="AO992" s="389" t="str">
        <f t="shared" si="455"/>
        <v/>
      </c>
      <c r="AP992" s="389">
        <f t="shared" si="456"/>
        <v>0</v>
      </c>
      <c r="AQ992" s="389">
        <f t="shared" si="457"/>
        <v>0</v>
      </c>
      <c r="AR992" s="389">
        <f t="shared" si="458"/>
        <v>0</v>
      </c>
      <c r="AS992" s="453">
        <f t="shared" si="459"/>
        <v>0</v>
      </c>
      <c r="AT992" s="452">
        <f t="shared" si="460"/>
        <v>0</v>
      </c>
    </row>
    <row r="993" spans="2:46" ht="16" x14ac:dyDescent="0.2">
      <c r="B993"/>
      <c r="H993" s="387" t="str">
        <f t="shared" si="435"/>
        <v>0-0-0</v>
      </c>
      <c r="I993" s="389">
        <f t="shared" si="436"/>
        <v>0</v>
      </c>
      <c r="J993" s="455" t="str">
        <f t="shared" si="461"/>
        <v/>
      </c>
      <c r="K993" s="455">
        <f t="shared" si="437"/>
        <v>0</v>
      </c>
      <c r="L993" s="455">
        <f t="shared" si="462"/>
        <v>0</v>
      </c>
      <c r="M993" s="389" t="str">
        <f>IFERROR(IF(AD993&lt;=VLOOKUP(D993,Tournaments!$A$1:$B$1772,2,FALSE),"TRUE","FALSE"),"")</f>
        <v/>
      </c>
      <c r="N993" s="389">
        <v>1</v>
      </c>
      <c r="O993" s="389">
        <f t="shared" si="438"/>
        <v>0</v>
      </c>
      <c r="Q993" s="389">
        <f t="shared" si="439"/>
        <v>0</v>
      </c>
      <c r="R993" s="389">
        <f t="shared" si="440"/>
        <v>0</v>
      </c>
      <c r="S993" s="389">
        <f t="shared" si="441"/>
        <v>0</v>
      </c>
      <c r="U993" s="389">
        <f t="shared" si="442"/>
        <v>0</v>
      </c>
      <c r="V993" s="389" t="b">
        <f t="shared" si="443"/>
        <v>0</v>
      </c>
      <c r="W993" s="389">
        <f t="shared" si="444"/>
        <v>0</v>
      </c>
      <c r="X993" s="389">
        <f t="shared" si="445"/>
        <v>0</v>
      </c>
      <c r="Y993" s="389">
        <f t="shared" si="463"/>
        <v>1.0999999999999999E-2</v>
      </c>
      <c r="Z993" s="389">
        <f t="shared" si="446"/>
        <v>1.0999999999999999E-2</v>
      </c>
      <c r="AA993" s="389">
        <f t="shared" si="447"/>
        <v>0</v>
      </c>
      <c r="AB993" s="389">
        <f t="shared" si="448"/>
        <v>1E-4</v>
      </c>
      <c r="AC993" s="389">
        <f t="shared" si="449"/>
        <v>1E-4</v>
      </c>
      <c r="AD993" s="389">
        <f t="shared" si="450"/>
        <v>0</v>
      </c>
      <c r="AE993" s="389">
        <f t="shared" si="451"/>
        <v>0</v>
      </c>
      <c r="AG993" s="311" t="str">
        <f t="shared" si="452"/>
        <v>-</v>
      </c>
      <c r="AH993" s="453" t="str">
        <f t="shared" si="453"/>
        <v/>
      </c>
      <c r="AI993" s="453" t="str">
        <f t="shared" si="454"/>
        <v/>
      </c>
      <c r="AJ993" t="str">
        <f t="array" ref="AJ993">IF(AND(AI993&gt;1,G993&lt;&gt;""),INDEX(FS_teams,MATCH(1,(FS_Keys=AG993)*(FS_Points=I993)*(FS_teams&lt;&gt;G993),0)),"")</f>
        <v/>
      </c>
      <c r="AK993" s="390" t="str">
        <f t="array" ref="AK993">IF(AJ993&lt;&gt;"",INDEX(TM_Score1,MATCH(1,(TM_Events=D993)*(TM_Participant1=G993)*(TM_Participant2=AJ993),0)),"")</f>
        <v/>
      </c>
      <c r="AL993" s="390" t="str">
        <f t="array" ref="AL993">IF(AJ993&lt;&gt;"",INDEX(TM_Score1,MATCH(1,(TM_Events=D993)*(TM_Participant1=AJ993)*(TM_Participant2=G993),0)),"")</f>
        <v/>
      </c>
      <c r="AM993" s="389" t="str">
        <f t="array" ref="AM993">IF(ISNUMBER(AK993),INDEX(TM_Score2,MATCH(1,(TM_Events=D993)*(TM_Participant1=G993)*(TM_Participant2=AJ993),0)),"")</f>
        <v/>
      </c>
      <c r="AN993" s="389" t="str">
        <f t="array" ref="AN993">IF(ISNUMBER(AL993),INDEX(TM_Score2,MATCH(1,(TM_Events=D993)*(TM_Participant1=AJ993)*(TM_Participant2=G993),0)),"")</f>
        <v/>
      </c>
      <c r="AO993" s="389" t="str">
        <f t="shared" si="455"/>
        <v/>
      </c>
      <c r="AP993" s="389">
        <f t="shared" si="456"/>
        <v>0</v>
      </c>
      <c r="AQ993" s="389">
        <f t="shared" si="457"/>
        <v>0</v>
      </c>
      <c r="AR993" s="389">
        <f t="shared" si="458"/>
        <v>0</v>
      </c>
      <c r="AS993" s="453">
        <f t="shared" si="459"/>
        <v>0</v>
      </c>
      <c r="AT993" s="452">
        <f t="shared" si="460"/>
        <v>0</v>
      </c>
    </row>
    <row r="994" spans="2:46" ht="16" x14ac:dyDescent="0.2">
      <c r="B994"/>
      <c r="H994" s="387" t="str">
        <f t="shared" si="435"/>
        <v>0-0-0</v>
      </c>
      <c r="I994" s="389">
        <f t="shared" si="436"/>
        <v>0</v>
      </c>
      <c r="J994" s="455" t="str">
        <f t="shared" si="461"/>
        <v/>
      </c>
      <c r="K994" s="455">
        <f t="shared" si="437"/>
        <v>0</v>
      </c>
      <c r="L994" s="455">
        <f t="shared" si="462"/>
        <v>0</v>
      </c>
      <c r="M994" s="389" t="str">
        <f>IFERROR(IF(AD994&lt;=VLOOKUP(D994,Tournaments!$A$1:$B$1772,2,FALSE),"TRUE","FALSE"),"")</f>
        <v/>
      </c>
      <c r="N994" s="389">
        <v>1</v>
      </c>
      <c r="O994" s="389">
        <f t="shared" si="438"/>
        <v>0</v>
      </c>
      <c r="Q994" s="389">
        <f t="shared" si="439"/>
        <v>0</v>
      </c>
      <c r="R994" s="389">
        <f t="shared" si="440"/>
        <v>0</v>
      </c>
      <c r="S994" s="389">
        <f t="shared" si="441"/>
        <v>0</v>
      </c>
      <c r="U994" s="389">
        <f t="shared" si="442"/>
        <v>0</v>
      </c>
      <c r="V994" s="389" t="b">
        <f t="shared" si="443"/>
        <v>0</v>
      </c>
      <c r="W994" s="389">
        <f t="shared" si="444"/>
        <v>0</v>
      </c>
      <c r="X994" s="389">
        <f t="shared" si="445"/>
        <v>0</v>
      </c>
      <c r="Y994" s="389">
        <f t="shared" si="463"/>
        <v>1.0999999999999999E-2</v>
      </c>
      <c r="Z994" s="389">
        <f t="shared" si="446"/>
        <v>1.0999999999999999E-2</v>
      </c>
      <c r="AA994" s="389">
        <f t="shared" si="447"/>
        <v>0</v>
      </c>
      <c r="AB994" s="389">
        <f t="shared" si="448"/>
        <v>1E-4</v>
      </c>
      <c r="AC994" s="389">
        <f t="shared" si="449"/>
        <v>1E-4</v>
      </c>
      <c r="AD994" s="389">
        <f t="shared" si="450"/>
        <v>0</v>
      </c>
      <c r="AE994" s="389">
        <f t="shared" si="451"/>
        <v>0</v>
      </c>
      <c r="AG994" s="311" t="str">
        <f t="shared" si="452"/>
        <v>-</v>
      </c>
      <c r="AH994" s="453" t="str">
        <f t="shared" si="453"/>
        <v/>
      </c>
      <c r="AI994" s="453" t="str">
        <f t="shared" si="454"/>
        <v/>
      </c>
      <c r="AJ994" t="str">
        <f t="array" ref="AJ994">IF(AND(AI994&gt;1,G994&lt;&gt;""),INDEX(FS_teams,MATCH(1,(FS_Keys=AG994)*(FS_Points=I994)*(FS_teams&lt;&gt;G994),0)),"")</f>
        <v/>
      </c>
      <c r="AK994" s="390" t="str">
        <f t="array" ref="AK994">IF(AJ994&lt;&gt;"",INDEX(TM_Score1,MATCH(1,(TM_Events=D994)*(TM_Participant1=G994)*(TM_Participant2=AJ994),0)),"")</f>
        <v/>
      </c>
      <c r="AL994" s="390" t="str">
        <f t="array" ref="AL994">IF(AJ994&lt;&gt;"",INDEX(TM_Score1,MATCH(1,(TM_Events=D994)*(TM_Participant1=AJ994)*(TM_Participant2=G994),0)),"")</f>
        <v/>
      </c>
      <c r="AM994" s="389" t="str">
        <f t="array" ref="AM994">IF(ISNUMBER(AK994),INDEX(TM_Score2,MATCH(1,(TM_Events=D994)*(TM_Participant1=G994)*(TM_Participant2=AJ994),0)),"")</f>
        <v/>
      </c>
      <c r="AN994" s="389" t="str">
        <f t="array" ref="AN994">IF(ISNUMBER(AL994),INDEX(TM_Score2,MATCH(1,(TM_Events=D994)*(TM_Participant1=AJ994)*(TM_Participant2=G994),0)),"")</f>
        <v/>
      </c>
      <c r="AO994" s="389" t="str">
        <f t="shared" si="455"/>
        <v/>
      </c>
      <c r="AP994" s="389">
        <f t="shared" si="456"/>
        <v>0</v>
      </c>
      <c r="AQ994" s="389">
        <f t="shared" si="457"/>
        <v>0</v>
      </c>
      <c r="AR994" s="389">
        <f t="shared" si="458"/>
        <v>0</v>
      </c>
      <c r="AS994" s="453">
        <f t="shared" si="459"/>
        <v>0</v>
      </c>
      <c r="AT994" s="452">
        <f t="shared" si="460"/>
        <v>0</v>
      </c>
    </row>
    <row r="995" spans="2:46" ht="16" x14ac:dyDescent="0.2">
      <c r="B995"/>
      <c r="H995" s="387" t="str">
        <f t="shared" si="435"/>
        <v>0-0-0</v>
      </c>
      <c r="I995" s="389">
        <f t="shared" si="436"/>
        <v>0</v>
      </c>
      <c r="J995" s="455" t="str">
        <f t="shared" si="461"/>
        <v/>
      </c>
      <c r="K995" s="455">
        <f t="shared" si="437"/>
        <v>0</v>
      </c>
      <c r="L995" s="455">
        <f t="shared" si="462"/>
        <v>0</v>
      </c>
      <c r="M995" s="389" t="str">
        <f>IFERROR(IF(AD995&lt;=VLOOKUP(D995,Tournaments!$A$1:$B$1772,2,FALSE),"TRUE","FALSE"),"")</f>
        <v/>
      </c>
      <c r="N995" s="389">
        <v>1</v>
      </c>
      <c r="O995" s="389">
        <f t="shared" si="438"/>
        <v>0</v>
      </c>
      <c r="Q995" s="389">
        <f t="shared" si="439"/>
        <v>0</v>
      </c>
      <c r="R995" s="389">
        <f t="shared" si="440"/>
        <v>0</v>
      </c>
      <c r="S995" s="389">
        <f t="shared" si="441"/>
        <v>0</v>
      </c>
      <c r="U995" s="389">
        <f t="shared" si="442"/>
        <v>0</v>
      </c>
      <c r="V995" s="389" t="b">
        <f t="shared" si="443"/>
        <v>0</v>
      </c>
      <c r="W995" s="389">
        <f t="shared" si="444"/>
        <v>0</v>
      </c>
      <c r="X995" s="389">
        <f t="shared" si="445"/>
        <v>0</v>
      </c>
      <c r="Y995" s="389">
        <f t="shared" si="463"/>
        <v>1.0999999999999999E-2</v>
      </c>
      <c r="Z995" s="389">
        <f t="shared" si="446"/>
        <v>1.0999999999999999E-2</v>
      </c>
      <c r="AA995" s="389">
        <f t="shared" si="447"/>
        <v>0</v>
      </c>
      <c r="AB995" s="389">
        <f t="shared" si="448"/>
        <v>1E-4</v>
      </c>
      <c r="AC995" s="389">
        <f t="shared" si="449"/>
        <v>1E-4</v>
      </c>
      <c r="AD995" s="389">
        <f t="shared" si="450"/>
        <v>0</v>
      </c>
      <c r="AE995" s="389">
        <f t="shared" si="451"/>
        <v>0</v>
      </c>
      <c r="AG995" s="311" t="str">
        <f t="shared" si="452"/>
        <v>-</v>
      </c>
      <c r="AH995" s="453" t="str">
        <f t="shared" si="453"/>
        <v/>
      </c>
      <c r="AI995" s="453" t="str">
        <f t="shared" si="454"/>
        <v/>
      </c>
      <c r="AJ995" t="str">
        <f t="array" ref="AJ995">IF(AND(AI995&gt;1,G995&lt;&gt;""),INDEX(FS_teams,MATCH(1,(FS_Keys=AG995)*(FS_Points=I995)*(FS_teams&lt;&gt;G995),0)),"")</f>
        <v/>
      </c>
      <c r="AK995" s="390" t="str">
        <f t="array" ref="AK995">IF(AJ995&lt;&gt;"",INDEX(TM_Score1,MATCH(1,(TM_Events=D995)*(TM_Participant1=G995)*(TM_Participant2=AJ995),0)),"")</f>
        <v/>
      </c>
      <c r="AL995" s="390" t="str">
        <f t="array" ref="AL995">IF(AJ995&lt;&gt;"",INDEX(TM_Score1,MATCH(1,(TM_Events=D995)*(TM_Participant1=AJ995)*(TM_Participant2=G995),0)),"")</f>
        <v/>
      </c>
      <c r="AM995" s="389" t="str">
        <f t="array" ref="AM995">IF(ISNUMBER(AK995),INDEX(TM_Score2,MATCH(1,(TM_Events=D995)*(TM_Participant1=G995)*(TM_Participant2=AJ995),0)),"")</f>
        <v/>
      </c>
      <c r="AN995" s="389" t="str">
        <f t="array" ref="AN995">IF(ISNUMBER(AL995),INDEX(TM_Score2,MATCH(1,(TM_Events=D995)*(TM_Participant1=AJ995)*(TM_Participant2=G995),0)),"")</f>
        <v/>
      </c>
      <c r="AO995" s="389" t="str">
        <f t="shared" si="455"/>
        <v/>
      </c>
      <c r="AP995" s="389">
        <f t="shared" si="456"/>
        <v>0</v>
      </c>
      <c r="AQ995" s="389">
        <f t="shared" si="457"/>
        <v>0</v>
      </c>
      <c r="AR995" s="389">
        <f t="shared" si="458"/>
        <v>0</v>
      </c>
      <c r="AS995" s="453">
        <f t="shared" si="459"/>
        <v>0</v>
      </c>
      <c r="AT995" s="452">
        <f t="shared" si="460"/>
        <v>0</v>
      </c>
    </row>
    <row r="996" spans="2:46" ht="16" x14ac:dyDescent="0.2">
      <c r="B996"/>
      <c r="H996" s="387" t="str">
        <f t="shared" si="435"/>
        <v>0-0-0</v>
      </c>
      <c r="I996" s="389">
        <f t="shared" si="436"/>
        <v>0</v>
      </c>
      <c r="J996" s="455" t="str">
        <f t="shared" si="461"/>
        <v/>
      </c>
      <c r="K996" s="455">
        <f t="shared" si="437"/>
        <v>0</v>
      </c>
      <c r="L996" s="455">
        <f t="shared" si="462"/>
        <v>0</v>
      </c>
      <c r="M996" s="389" t="str">
        <f>IFERROR(IF(AD996&lt;=VLOOKUP(D996,Tournaments!$A$1:$B$1772,2,FALSE),"TRUE","FALSE"),"")</f>
        <v/>
      </c>
      <c r="N996" s="389">
        <v>1</v>
      </c>
      <c r="O996" s="389">
        <f t="shared" si="438"/>
        <v>0</v>
      </c>
      <c r="Q996" s="389">
        <f t="shared" si="439"/>
        <v>0</v>
      </c>
      <c r="R996" s="389">
        <f t="shared" si="440"/>
        <v>0</v>
      </c>
      <c r="S996" s="389">
        <f t="shared" si="441"/>
        <v>0</v>
      </c>
      <c r="U996" s="389">
        <f t="shared" si="442"/>
        <v>0</v>
      </c>
      <c r="V996" s="389" t="b">
        <f t="shared" si="443"/>
        <v>0</v>
      </c>
      <c r="W996" s="389">
        <f t="shared" si="444"/>
        <v>0</v>
      </c>
      <c r="X996" s="389">
        <f t="shared" si="445"/>
        <v>0</v>
      </c>
      <c r="Y996" s="389">
        <f t="shared" si="463"/>
        <v>1.0999999999999999E-2</v>
      </c>
      <c r="Z996" s="389">
        <f t="shared" si="446"/>
        <v>1.0999999999999999E-2</v>
      </c>
      <c r="AA996" s="389">
        <f t="shared" si="447"/>
        <v>0</v>
      </c>
      <c r="AB996" s="389">
        <f t="shared" si="448"/>
        <v>1E-4</v>
      </c>
      <c r="AC996" s="389">
        <f t="shared" si="449"/>
        <v>1E-4</v>
      </c>
      <c r="AD996" s="389">
        <f t="shared" si="450"/>
        <v>0</v>
      </c>
      <c r="AE996" s="389">
        <f t="shared" si="451"/>
        <v>0</v>
      </c>
      <c r="AG996" s="311" t="str">
        <f t="shared" si="452"/>
        <v>-</v>
      </c>
      <c r="AH996" s="453" t="str">
        <f t="shared" si="453"/>
        <v/>
      </c>
      <c r="AI996" s="453" t="str">
        <f t="shared" si="454"/>
        <v/>
      </c>
      <c r="AJ996" t="str">
        <f t="array" ref="AJ996">IF(AND(AI996&gt;1,G996&lt;&gt;""),INDEX(FS_teams,MATCH(1,(FS_Keys=AG996)*(FS_Points=I996)*(FS_teams&lt;&gt;G996),0)),"")</f>
        <v/>
      </c>
      <c r="AK996" s="390" t="str">
        <f t="array" ref="AK996">IF(AJ996&lt;&gt;"",INDEX(TM_Score1,MATCH(1,(TM_Events=D996)*(TM_Participant1=G996)*(TM_Participant2=AJ996),0)),"")</f>
        <v/>
      </c>
      <c r="AL996" s="390" t="str">
        <f t="array" ref="AL996">IF(AJ996&lt;&gt;"",INDEX(TM_Score1,MATCH(1,(TM_Events=D996)*(TM_Participant1=AJ996)*(TM_Participant2=G996),0)),"")</f>
        <v/>
      </c>
      <c r="AM996" s="389" t="str">
        <f t="array" ref="AM996">IF(ISNUMBER(AK996),INDEX(TM_Score2,MATCH(1,(TM_Events=D996)*(TM_Participant1=G996)*(TM_Participant2=AJ996),0)),"")</f>
        <v/>
      </c>
      <c r="AN996" s="389" t="str">
        <f t="array" ref="AN996">IF(ISNUMBER(AL996),INDEX(TM_Score2,MATCH(1,(TM_Events=D996)*(TM_Participant1=AJ996)*(TM_Participant2=G996),0)),"")</f>
        <v/>
      </c>
      <c r="AO996" s="389" t="str">
        <f t="shared" si="455"/>
        <v/>
      </c>
      <c r="AP996" s="389">
        <f t="shared" si="456"/>
        <v>0</v>
      </c>
      <c r="AQ996" s="389">
        <f t="shared" si="457"/>
        <v>0</v>
      </c>
      <c r="AR996" s="389">
        <f t="shared" si="458"/>
        <v>0</v>
      </c>
      <c r="AS996" s="453">
        <f t="shared" si="459"/>
        <v>0</v>
      </c>
      <c r="AT996" s="452">
        <f t="shared" si="460"/>
        <v>0</v>
      </c>
    </row>
    <row r="997" spans="2:46" ht="16" x14ac:dyDescent="0.2">
      <c r="B997"/>
      <c r="H997" s="387" t="str">
        <f t="shared" si="435"/>
        <v>0-0-0</v>
      </c>
      <c r="I997" s="389">
        <f t="shared" si="436"/>
        <v>0</v>
      </c>
      <c r="J997" s="455" t="str">
        <f t="shared" si="461"/>
        <v/>
      </c>
      <c r="K997" s="455">
        <f t="shared" si="437"/>
        <v>0</v>
      </c>
      <c r="L997" s="455">
        <f t="shared" si="462"/>
        <v>0</v>
      </c>
      <c r="M997" s="389" t="str">
        <f>IFERROR(IF(AD997&lt;=VLOOKUP(D997,Tournaments!$A$1:$B$1772,2,FALSE),"TRUE","FALSE"),"")</f>
        <v/>
      </c>
      <c r="N997" s="389">
        <v>1</v>
      </c>
      <c r="O997" s="389">
        <f t="shared" si="438"/>
        <v>0</v>
      </c>
      <c r="Q997" s="389">
        <f t="shared" si="439"/>
        <v>0</v>
      </c>
      <c r="R997" s="389">
        <f t="shared" si="440"/>
        <v>0</v>
      </c>
      <c r="S997" s="389">
        <f t="shared" si="441"/>
        <v>0</v>
      </c>
      <c r="U997" s="389">
        <f t="shared" si="442"/>
        <v>0</v>
      </c>
      <c r="V997" s="389" t="b">
        <f t="shared" si="443"/>
        <v>0</v>
      </c>
      <c r="W997" s="389">
        <f t="shared" si="444"/>
        <v>0</v>
      </c>
      <c r="X997" s="389">
        <f t="shared" si="445"/>
        <v>0</v>
      </c>
      <c r="Y997" s="389">
        <f t="shared" si="463"/>
        <v>1.0999999999999999E-2</v>
      </c>
      <c r="Z997" s="389">
        <f t="shared" si="446"/>
        <v>1.0999999999999999E-2</v>
      </c>
      <c r="AA997" s="389">
        <f t="shared" si="447"/>
        <v>0</v>
      </c>
      <c r="AB997" s="389">
        <f t="shared" si="448"/>
        <v>1E-4</v>
      </c>
      <c r="AC997" s="389">
        <f t="shared" si="449"/>
        <v>1E-4</v>
      </c>
      <c r="AD997" s="389">
        <f t="shared" si="450"/>
        <v>0</v>
      </c>
      <c r="AE997" s="389">
        <f t="shared" si="451"/>
        <v>0</v>
      </c>
      <c r="AG997" s="311" t="str">
        <f t="shared" si="452"/>
        <v>-</v>
      </c>
      <c r="AH997" s="453" t="str">
        <f t="shared" si="453"/>
        <v/>
      </c>
      <c r="AI997" s="453" t="str">
        <f t="shared" si="454"/>
        <v/>
      </c>
      <c r="AJ997" t="str">
        <f t="array" ref="AJ997">IF(AND(AI997&gt;1,G997&lt;&gt;""),INDEX(FS_teams,MATCH(1,(FS_Keys=AG997)*(FS_Points=I997)*(FS_teams&lt;&gt;G997),0)),"")</f>
        <v/>
      </c>
      <c r="AK997" s="390" t="str">
        <f t="array" ref="AK997">IF(AJ997&lt;&gt;"",INDEX(TM_Score1,MATCH(1,(TM_Events=D997)*(TM_Participant1=G997)*(TM_Participant2=AJ997),0)),"")</f>
        <v/>
      </c>
      <c r="AL997" s="390" t="str">
        <f t="array" ref="AL997">IF(AJ997&lt;&gt;"",INDEX(TM_Score1,MATCH(1,(TM_Events=D997)*(TM_Participant1=AJ997)*(TM_Participant2=G997),0)),"")</f>
        <v/>
      </c>
      <c r="AM997" s="389" t="str">
        <f t="array" ref="AM997">IF(ISNUMBER(AK997),INDEX(TM_Score2,MATCH(1,(TM_Events=D997)*(TM_Participant1=G997)*(TM_Participant2=AJ997),0)),"")</f>
        <v/>
      </c>
      <c r="AN997" s="389" t="str">
        <f t="array" ref="AN997">IF(ISNUMBER(AL997),INDEX(TM_Score2,MATCH(1,(TM_Events=D997)*(TM_Participant1=AJ997)*(TM_Participant2=G997),0)),"")</f>
        <v/>
      </c>
      <c r="AO997" s="389" t="str">
        <f t="shared" si="455"/>
        <v/>
      </c>
      <c r="AP997" s="389">
        <f t="shared" si="456"/>
        <v>0</v>
      </c>
      <c r="AQ997" s="389">
        <f t="shared" si="457"/>
        <v>0</v>
      </c>
      <c r="AR997" s="389">
        <f t="shared" si="458"/>
        <v>0</v>
      </c>
      <c r="AS997" s="453">
        <f t="shared" si="459"/>
        <v>0</v>
      </c>
      <c r="AT997" s="452">
        <f t="shared" si="460"/>
        <v>0</v>
      </c>
    </row>
    <row r="998" spans="2:46" ht="16" x14ac:dyDescent="0.2">
      <c r="B998"/>
      <c r="H998" s="387" t="str">
        <f t="shared" si="435"/>
        <v>0-0-0</v>
      </c>
      <c r="I998" s="389">
        <f t="shared" si="436"/>
        <v>0</v>
      </c>
      <c r="J998" s="455" t="str">
        <f t="shared" si="461"/>
        <v/>
      </c>
      <c r="K998" s="455">
        <f t="shared" si="437"/>
        <v>0</v>
      </c>
      <c r="L998" s="455">
        <f t="shared" si="462"/>
        <v>0</v>
      </c>
      <c r="M998" s="389" t="str">
        <f>IFERROR(IF(AD998&lt;=VLOOKUP(D998,Tournaments!$A$1:$B$1772,2,FALSE),"TRUE","FALSE"),"")</f>
        <v/>
      </c>
      <c r="N998" s="389">
        <v>1</v>
      </c>
      <c r="O998" s="389">
        <f t="shared" si="438"/>
        <v>0</v>
      </c>
      <c r="Q998" s="389">
        <f t="shared" si="439"/>
        <v>0</v>
      </c>
      <c r="R998" s="389">
        <f t="shared" si="440"/>
        <v>0</v>
      </c>
      <c r="S998" s="389">
        <f t="shared" si="441"/>
        <v>0</v>
      </c>
      <c r="U998" s="389">
        <f t="shared" si="442"/>
        <v>0</v>
      </c>
      <c r="V998" s="389" t="b">
        <f t="shared" si="443"/>
        <v>0</v>
      </c>
      <c r="W998" s="389">
        <f t="shared" si="444"/>
        <v>0</v>
      </c>
      <c r="X998" s="389">
        <f t="shared" si="445"/>
        <v>0</v>
      </c>
      <c r="Y998" s="389">
        <f t="shared" si="463"/>
        <v>1.0999999999999999E-2</v>
      </c>
      <c r="Z998" s="389">
        <f t="shared" si="446"/>
        <v>1.0999999999999999E-2</v>
      </c>
      <c r="AA998" s="389">
        <f t="shared" si="447"/>
        <v>0</v>
      </c>
      <c r="AB998" s="389">
        <f t="shared" si="448"/>
        <v>1E-4</v>
      </c>
      <c r="AC998" s="389">
        <f t="shared" si="449"/>
        <v>1E-4</v>
      </c>
      <c r="AD998" s="389">
        <f t="shared" si="450"/>
        <v>0</v>
      </c>
      <c r="AE998" s="389">
        <f t="shared" si="451"/>
        <v>0</v>
      </c>
      <c r="AG998" s="311" t="str">
        <f t="shared" si="452"/>
        <v>-</v>
      </c>
      <c r="AH998" s="453" t="str">
        <f t="shared" si="453"/>
        <v/>
      </c>
      <c r="AI998" s="453" t="str">
        <f t="shared" si="454"/>
        <v/>
      </c>
      <c r="AJ998" t="str">
        <f t="array" ref="AJ998">IF(AND(AI998&gt;1,G998&lt;&gt;""),INDEX(FS_teams,MATCH(1,(FS_Keys=AG998)*(FS_Points=I998)*(FS_teams&lt;&gt;G998),0)),"")</f>
        <v/>
      </c>
      <c r="AK998" s="390" t="str">
        <f t="array" ref="AK998">IF(AJ998&lt;&gt;"",INDEX(TM_Score1,MATCH(1,(TM_Events=D998)*(TM_Participant1=G998)*(TM_Participant2=AJ998),0)),"")</f>
        <v/>
      </c>
      <c r="AL998" s="390" t="str">
        <f t="array" ref="AL998">IF(AJ998&lt;&gt;"",INDEX(TM_Score1,MATCH(1,(TM_Events=D998)*(TM_Participant1=AJ998)*(TM_Participant2=G998),0)),"")</f>
        <v/>
      </c>
      <c r="AM998" s="389" t="str">
        <f t="array" ref="AM998">IF(ISNUMBER(AK998),INDEX(TM_Score2,MATCH(1,(TM_Events=D998)*(TM_Participant1=G998)*(TM_Participant2=AJ998),0)),"")</f>
        <v/>
      </c>
      <c r="AN998" s="389" t="str">
        <f t="array" ref="AN998">IF(ISNUMBER(AL998),INDEX(TM_Score2,MATCH(1,(TM_Events=D998)*(TM_Participant1=AJ998)*(TM_Participant2=G998),0)),"")</f>
        <v/>
      </c>
      <c r="AO998" s="389" t="str">
        <f t="shared" si="455"/>
        <v/>
      </c>
      <c r="AP998" s="389">
        <f t="shared" si="456"/>
        <v>0</v>
      </c>
      <c r="AQ998" s="389">
        <f t="shared" si="457"/>
        <v>0</v>
      </c>
      <c r="AR998" s="389">
        <f t="shared" si="458"/>
        <v>0</v>
      </c>
      <c r="AS998" s="453">
        <f t="shared" si="459"/>
        <v>0</v>
      </c>
      <c r="AT998" s="452">
        <f t="shared" si="460"/>
        <v>0</v>
      </c>
    </row>
    <row r="999" spans="2:46" ht="16" x14ac:dyDescent="0.2">
      <c r="B999"/>
      <c r="H999" s="387" t="str">
        <f t="shared" si="435"/>
        <v>0-0-0</v>
      </c>
      <c r="I999" s="389">
        <f t="shared" si="436"/>
        <v>0</v>
      </c>
      <c r="J999" s="455" t="str">
        <f t="shared" si="461"/>
        <v/>
      </c>
      <c r="K999" s="455">
        <f t="shared" si="437"/>
        <v>0</v>
      </c>
      <c r="L999" s="455">
        <f t="shared" si="462"/>
        <v>0</v>
      </c>
      <c r="M999" s="389" t="str">
        <f>IFERROR(IF(AD999&lt;=VLOOKUP(D999,Tournaments!$A$1:$B$1772,2,FALSE),"TRUE","FALSE"),"")</f>
        <v/>
      </c>
      <c r="N999" s="389">
        <v>1</v>
      </c>
      <c r="O999" s="389">
        <f t="shared" si="438"/>
        <v>0</v>
      </c>
      <c r="Q999" s="389">
        <f t="shared" si="439"/>
        <v>0</v>
      </c>
      <c r="R999" s="389">
        <f t="shared" si="440"/>
        <v>0</v>
      </c>
      <c r="S999" s="389">
        <f t="shared" si="441"/>
        <v>0</v>
      </c>
      <c r="U999" s="389">
        <f t="shared" si="442"/>
        <v>0</v>
      </c>
      <c r="V999" s="389" t="b">
        <f t="shared" si="443"/>
        <v>0</v>
      </c>
      <c r="W999" s="389">
        <f t="shared" si="444"/>
        <v>0</v>
      </c>
      <c r="X999" s="389">
        <f t="shared" si="445"/>
        <v>0</v>
      </c>
      <c r="Y999" s="389">
        <f t="shared" si="463"/>
        <v>1.0999999999999999E-2</v>
      </c>
      <c r="Z999" s="389">
        <f t="shared" si="446"/>
        <v>1.0999999999999999E-2</v>
      </c>
      <c r="AA999" s="389">
        <f t="shared" si="447"/>
        <v>0</v>
      </c>
      <c r="AB999" s="389">
        <f t="shared" si="448"/>
        <v>1E-4</v>
      </c>
      <c r="AC999" s="389">
        <f t="shared" si="449"/>
        <v>1E-4</v>
      </c>
      <c r="AD999" s="389">
        <f t="shared" si="450"/>
        <v>0</v>
      </c>
      <c r="AE999" s="389">
        <f t="shared" si="451"/>
        <v>0</v>
      </c>
      <c r="AG999" s="311" t="str">
        <f t="shared" si="452"/>
        <v>-</v>
      </c>
      <c r="AH999" s="453" t="str">
        <f t="shared" si="453"/>
        <v/>
      </c>
      <c r="AI999" s="453" t="str">
        <f t="shared" si="454"/>
        <v/>
      </c>
      <c r="AJ999" t="str">
        <f t="array" ref="AJ999">IF(AND(AI999&gt;1,G999&lt;&gt;""),INDEX(FS_teams,MATCH(1,(FS_Keys=AG999)*(FS_Points=I999)*(FS_teams&lt;&gt;G999),0)),"")</f>
        <v/>
      </c>
      <c r="AK999" s="390" t="str">
        <f t="array" ref="AK999">IF(AJ999&lt;&gt;"",INDEX(TM_Score1,MATCH(1,(TM_Events=D999)*(TM_Participant1=G999)*(TM_Participant2=AJ999),0)),"")</f>
        <v/>
      </c>
      <c r="AL999" s="390" t="str">
        <f t="array" ref="AL999">IF(AJ999&lt;&gt;"",INDEX(TM_Score1,MATCH(1,(TM_Events=D999)*(TM_Participant1=AJ999)*(TM_Participant2=G999),0)),"")</f>
        <v/>
      </c>
      <c r="AM999" s="389" t="str">
        <f t="array" ref="AM999">IF(ISNUMBER(AK999),INDEX(TM_Score2,MATCH(1,(TM_Events=D999)*(TM_Participant1=G999)*(TM_Participant2=AJ999),0)),"")</f>
        <v/>
      </c>
      <c r="AN999" s="389" t="str">
        <f t="array" ref="AN999">IF(ISNUMBER(AL999),INDEX(TM_Score2,MATCH(1,(TM_Events=D999)*(TM_Participant1=AJ999)*(TM_Participant2=G999),0)),"")</f>
        <v/>
      </c>
      <c r="AO999" s="389" t="str">
        <f t="shared" si="455"/>
        <v/>
      </c>
      <c r="AP999" s="389">
        <f t="shared" si="456"/>
        <v>0</v>
      </c>
      <c r="AQ999" s="389">
        <f t="shared" si="457"/>
        <v>0</v>
      </c>
      <c r="AR999" s="389">
        <f t="shared" si="458"/>
        <v>0</v>
      </c>
      <c r="AS999" s="453">
        <f t="shared" si="459"/>
        <v>0</v>
      </c>
      <c r="AT999" s="452">
        <f t="shared" si="460"/>
        <v>0</v>
      </c>
    </row>
    <row r="1000" spans="2:46" ht="16" x14ac:dyDescent="0.2">
      <c r="B1000"/>
      <c r="H1000" s="387" t="str">
        <f t="shared" si="435"/>
        <v>0-0-0</v>
      </c>
      <c r="I1000" s="389">
        <f t="shared" si="436"/>
        <v>0</v>
      </c>
      <c r="J1000" s="455" t="str">
        <f t="shared" si="461"/>
        <v/>
      </c>
      <c r="K1000" s="455">
        <f t="shared" si="437"/>
        <v>0</v>
      </c>
      <c r="L1000" s="455">
        <f t="shared" si="462"/>
        <v>0</v>
      </c>
      <c r="M1000" s="389" t="str">
        <f>IFERROR(IF(AD1000&lt;=VLOOKUP(D1000,Tournaments!$A$1:$B$1772,2,FALSE),"TRUE","FALSE"),"")</f>
        <v/>
      </c>
      <c r="N1000" s="389">
        <v>1</v>
      </c>
      <c r="O1000" s="389">
        <f t="shared" si="438"/>
        <v>0</v>
      </c>
      <c r="Q1000" s="389">
        <f t="shared" si="439"/>
        <v>0</v>
      </c>
      <c r="R1000" s="389">
        <f t="shared" si="440"/>
        <v>0</v>
      </c>
      <c r="S1000" s="389">
        <f t="shared" si="441"/>
        <v>0</v>
      </c>
      <c r="U1000" s="389">
        <f t="shared" si="442"/>
        <v>0</v>
      </c>
      <c r="V1000" s="389" t="b">
        <f t="shared" si="443"/>
        <v>0</v>
      </c>
      <c r="W1000" s="389">
        <f t="shared" si="444"/>
        <v>0</v>
      </c>
      <c r="X1000" s="389">
        <f t="shared" si="445"/>
        <v>0</v>
      </c>
      <c r="Y1000" s="389">
        <f t="shared" si="463"/>
        <v>1.0999999999999999E-2</v>
      </c>
      <c r="Z1000" s="389">
        <f t="shared" si="446"/>
        <v>1.0999999999999999E-2</v>
      </c>
      <c r="AA1000" s="389">
        <f t="shared" si="447"/>
        <v>0</v>
      </c>
      <c r="AB1000" s="389">
        <f t="shared" si="448"/>
        <v>1E-4</v>
      </c>
      <c r="AC1000" s="389">
        <f t="shared" si="449"/>
        <v>1E-4</v>
      </c>
      <c r="AD1000" s="389">
        <f t="shared" si="450"/>
        <v>0</v>
      </c>
      <c r="AE1000" s="389">
        <f t="shared" si="451"/>
        <v>0</v>
      </c>
      <c r="AG1000" s="311" t="str">
        <f t="shared" si="452"/>
        <v>-</v>
      </c>
      <c r="AH1000" s="453" t="str">
        <f t="shared" si="453"/>
        <v/>
      </c>
      <c r="AI1000" s="453" t="str">
        <f t="shared" si="454"/>
        <v/>
      </c>
      <c r="AJ1000" t="str">
        <f t="array" ref="AJ1000">IF(AND(AI1000&gt;1,G1000&lt;&gt;""),INDEX(FS_teams,MATCH(1,(FS_Keys=AG1000)*(FS_Points=I1000)*(FS_teams&lt;&gt;G1000),0)),"")</f>
        <v/>
      </c>
      <c r="AK1000" s="390" t="str">
        <f t="array" ref="AK1000">IF(AJ1000&lt;&gt;"",INDEX(TM_Score1,MATCH(1,(TM_Events=D1000)*(TM_Participant1=G1000)*(TM_Participant2=AJ1000),0)),"")</f>
        <v/>
      </c>
      <c r="AL1000" s="390" t="str">
        <f t="array" ref="AL1000">IF(AJ1000&lt;&gt;"",INDEX(TM_Score1,MATCH(1,(TM_Events=D1000)*(TM_Participant1=AJ1000)*(TM_Participant2=G1000),0)),"")</f>
        <v/>
      </c>
      <c r="AM1000" s="389" t="str">
        <f t="array" ref="AM1000">IF(ISNUMBER(AK1000),INDEX(TM_Score2,MATCH(1,(TM_Events=D1000)*(TM_Participant1=G1000)*(TM_Participant2=AJ1000),0)),"")</f>
        <v/>
      </c>
      <c r="AN1000" s="389" t="str">
        <f t="array" ref="AN1000">IF(ISNUMBER(AL1000),INDEX(TM_Score2,MATCH(1,(TM_Events=D1000)*(TM_Participant1=AJ1000)*(TM_Participant2=G1000),0)),"")</f>
        <v/>
      </c>
      <c r="AO1000" s="389" t="str">
        <f t="shared" si="455"/>
        <v/>
      </c>
      <c r="AP1000" s="389">
        <f t="shared" si="456"/>
        <v>0</v>
      </c>
      <c r="AQ1000" s="389">
        <f t="shared" si="457"/>
        <v>0</v>
      </c>
      <c r="AR1000" s="389">
        <f t="shared" si="458"/>
        <v>0</v>
      </c>
      <c r="AS1000" s="453">
        <f t="shared" si="459"/>
        <v>0</v>
      </c>
      <c r="AT1000" s="452">
        <f t="shared" si="460"/>
        <v>0</v>
      </c>
    </row>
    <row r="1001" spans="2:46" ht="16" x14ac:dyDescent="0.2">
      <c r="B1001"/>
      <c r="H1001" s="387" t="str">
        <f t="shared" si="435"/>
        <v>0-0-0</v>
      </c>
      <c r="I1001" s="389">
        <f t="shared" si="436"/>
        <v>0</v>
      </c>
      <c r="J1001" s="455" t="str">
        <f t="shared" si="461"/>
        <v/>
      </c>
      <c r="K1001" s="455">
        <f t="shared" si="437"/>
        <v>0</v>
      </c>
      <c r="L1001" s="455">
        <f t="shared" si="462"/>
        <v>0</v>
      </c>
      <c r="M1001" s="389" t="str">
        <f>IFERROR(IF(AD1001&lt;=VLOOKUP(D1001,Tournaments!$A$1:$B$1772,2,FALSE),"TRUE","FALSE"),"")</f>
        <v/>
      </c>
      <c r="N1001" s="389">
        <v>1</v>
      </c>
      <c r="O1001" s="389">
        <f t="shared" si="438"/>
        <v>0</v>
      </c>
      <c r="Q1001" s="389">
        <f t="shared" si="439"/>
        <v>0</v>
      </c>
      <c r="R1001" s="389">
        <f t="shared" si="440"/>
        <v>0</v>
      </c>
      <c r="S1001" s="389">
        <f t="shared" si="441"/>
        <v>0</v>
      </c>
      <c r="U1001" s="389">
        <f t="shared" si="442"/>
        <v>0</v>
      </c>
      <c r="V1001" s="389" t="b">
        <f t="shared" si="443"/>
        <v>0</v>
      </c>
      <c r="W1001" s="389">
        <f t="shared" si="444"/>
        <v>0</v>
      </c>
      <c r="X1001" s="389">
        <f t="shared" si="445"/>
        <v>0</v>
      </c>
      <c r="Y1001" s="389">
        <f t="shared" si="463"/>
        <v>1.0999999999999999E-2</v>
      </c>
      <c r="Z1001" s="389">
        <f t="shared" si="446"/>
        <v>1.0999999999999999E-2</v>
      </c>
      <c r="AA1001" s="389">
        <f t="shared" si="447"/>
        <v>0</v>
      </c>
      <c r="AB1001" s="389">
        <f t="shared" si="448"/>
        <v>1E-4</v>
      </c>
      <c r="AC1001" s="389">
        <f t="shared" si="449"/>
        <v>1E-4</v>
      </c>
      <c r="AD1001" s="389">
        <f t="shared" si="450"/>
        <v>0</v>
      </c>
      <c r="AE1001" s="389">
        <f t="shared" si="451"/>
        <v>0</v>
      </c>
      <c r="AG1001" s="311" t="str">
        <f t="shared" si="452"/>
        <v>-</v>
      </c>
      <c r="AH1001" s="453" t="str">
        <f t="shared" si="453"/>
        <v/>
      </c>
      <c r="AI1001" s="453" t="str">
        <f t="shared" si="454"/>
        <v/>
      </c>
      <c r="AJ1001" t="str">
        <f t="array" ref="AJ1001">IF(AND(AI1001&gt;1,G1001&lt;&gt;""),INDEX(FS_teams,MATCH(1,(FS_Keys=AG1001)*(FS_Points=I1001)*(FS_teams&lt;&gt;G1001),0)),"")</f>
        <v/>
      </c>
      <c r="AK1001" s="390" t="str">
        <f t="array" ref="AK1001">IF(AJ1001&lt;&gt;"",INDEX(TM_Score1,MATCH(1,(TM_Events=D1001)*(TM_Participant1=G1001)*(TM_Participant2=AJ1001),0)),"")</f>
        <v/>
      </c>
      <c r="AL1001" s="390" t="str">
        <f t="array" ref="AL1001">IF(AJ1001&lt;&gt;"",INDEX(TM_Score1,MATCH(1,(TM_Events=D1001)*(TM_Participant1=AJ1001)*(TM_Participant2=G1001),0)),"")</f>
        <v/>
      </c>
      <c r="AM1001" s="389" t="str">
        <f t="array" ref="AM1001">IF(ISNUMBER(AK1001),INDEX(TM_Score2,MATCH(1,(TM_Events=D1001)*(TM_Participant1=G1001)*(TM_Participant2=AJ1001),0)),"")</f>
        <v/>
      </c>
      <c r="AN1001" s="389" t="str">
        <f t="array" ref="AN1001">IF(ISNUMBER(AL1001),INDEX(TM_Score2,MATCH(1,(TM_Events=D1001)*(TM_Participant1=AJ1001)*(TM_Participant2=G1001),0)),"")</f>
        <v/>
      </c>
      <c r="AO1001" s="389" t="str">
        <f t="shared" si="455"/>
        <v/>
      </c>
      <c r="AP1001" s="389">
        <f t="shared" si="456"/>
        <v>0</v>
      </c>
      <c r="AQ1001" s="389">
        <f t="shared" si="457"/>
        <v>0</v>
      </c>
      <c r="AR1001" s="389">
        <f t="shared" si="458"/>
        <v>0</v>
      </c>
      <c r="AS1001" s="453">
        <f t="shared" si="459"/>
        <v>0</v>
      </c>
      <c r="AT1001" s="452">
        <f t="shared" si="460"/>
        <v>0</v>
      </c>
    </row>
    <row r="1002" spans="2:46" x14ac:dyDescent="0.2">
      <c r="B1002"/>
    </row>
    <row r="1003" spans="2:46" x14ac:dyDescent="0.2">
      <c r="B1003"/>
    </row>
    <row r="1004" spans="2:46" x14ac:dyDescent="0.2">
      <c r="B1004"/>
    </row>
    <row r="1005" spans="2:46" x14ac:dyDescent="0.2">
      <c r="B1005"/>
    </row>
    <row r="1006" spans="2:46" x14ac:dyDescent="0.2">
      <c r="B1006"/>
    </row>
    <row r="1007" spans="2:46" x14ac:dyDescent="0.2">
      <c r="B1007"/>
    </row>
    <row r="1008" spans="2:46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  <row r="1104" spans="2:2" x14ac:dyDescent="0.2">
      <c r="B1104"/>
    </row>
    <row r="1105" spans="2:2" x14ac:dyDescent="0.2">
      <c r="B1105"/>
    </row>
    <row r="1106" spans="2:2" x14ac:dyDescent="0.2">
      <c r="B1106"/>
    </row>
    <row r="1107" spans="2:2" x14ac:dyDescent="0.2">
      <c r="B1107"/>
    </row>
    <row r="1108" spans="2:2" x14ac:dyDescent="0.2">
      <c r="B1108"/>
    </row>
    <row r="1109" spans="2:2" x14ac:dyDescent="0.2">
      <c r="B1109"/>
    </row>
    <row r="1110" spans="2:2" x14ac:dyDescent="0.2">
      <c r="B1110"/>
    </row>
    <row r="1111" spans="2:2" x14ac:dyDescent="0.2">
      <c r="B1111"/>
    </row>
    <row r="1112" spans="2:2" x14ac:dyDescent="0.2">
      <c r="B1112"/>
    </row>
    <row r="1113" spans="2:2" x14ac:dyDescent="0.2">
      <c r="B1113"/>
    </row>
    <row r="1114" spans="2:2" x14ac:dyDescent="0.2">
      <c r="B1114"/>
    </row>
    <row r="1115" spans="2:2" x14ac:dyDescent="0.2">
      <c r="B1115"/>
    </row>
    <row r="1116" spans="2:2" x14ac:dyDescent="0.2">
      <c r="B1116"/>
    </row>
    <row r="1117" spans="2:2" x14ac:dyDescent="0.2">
      <c r="B1117"/>
    </row>
    <row r="1118" spans="2:2" x14ac:dyDescent="0.2">
      <c r="B1118"/>
    </row>
    <row r="1119" spans="2:2" x14ac:dyDescent="0.2">
      <c r="B1119"/>
    </row>
    <row r="1120" spans="2:2" x14ac:dyDescent="0.2">
      <c r="B1120"/>
    </row>
    <row r="1121" spans="2:2" x14ac:dyDescent="0.2">
      <c r="B1121"/>
    </row>
    <row r="1122" spans="2:2" x14ac:dyDescent="0.2">
      <c r="B1122"/>
    </row>
    <row r="1123" spans="2:2" x14ac:dyDescent="0.2">
      <c r="B1123"/>
    </row>
    <row r="1124" spans="2:2" x14ac:dyDescent="0.2">
      <c r="B1124"/>
    </row>
    <row r="1125" spans="2:2" x14ac:dyDescent="0.2">
      <c r="B1125"/>
    </row>
    <row r="1126" spans="2:2" x14ac:dyDescent="0.2">
      <c r="B1126"/>
    </row>
    <row r="1127" spans="2:2" x14ac:dyDescent="0.2">
      <c r="B1127"/>
    </row>
    <row r="1128" spans="2:2" x14ac:dyDescent="0.2">
      <c r="B1128"/>
    </row>
    <row r="1129" spans="2:2" x14ac:dyDescent="0.2">
      <c r="B1129"/>
    </row>
    <row r="1130" spans="2:2" x14ac:dyDescent="0.2">
      <c r="B1130"/>
    </row>
    <row r="1131" spans="2:2" x14ac:dyDescent="0.2">
      <c r="B1131"/>
    </row>
    <row r="1132" spans="2:2" x14ac:dyDescent="0.2">
      <c r="B1132"/>
    </row>
    <row r="1133" spans="2:2" x14ac:dyDescent="0.2">
      <c r="B1133"/>
    </row>
    <row r="1134" spans="2:2" x14ac:dyDescent="0.2">
      <c r="B1134"/>
    </row>
    <row r="1135" spans="2:2" x14ac:dyDescent="0.2">
      <c r="B1135"/>
    </row>
    <row r="1136" spans="2:2" x14ac:dyDescent="0.2">
      <c r="B1136"/>
    </row>
    <row r="1137" spans="2:2" x14ac:dyDescent="0.2">
      <c r="B1137"/>
    </row>
    <row r="1138" spans="2:2" x14ac:dyDescent="0.2">
      <c r="B1138"/>
    </row>
    <row r="1139" spans="2:2" x14ac:dyDescent="0.2">
      <c r="B1139"/>
    </row>
    <row r="1140" spans="2:2" x14ac:dyDescent="0.2">
      <c r="B1140"/>
    </row>
    <row r="1141" spans="2:2" x14ac:dyDescent="0.2">
      <c r="B1141"/>
    </row>
    <row r="1142" spans="2:2" x14ac:dyDescent="0.2">
      <c r="B1142"/>
    </row>
    <row r="1143" spans="2:2" x14ac:dyDescent="0.2">
      <c r="B1143"/>
    </row>
    <row r="1144" spans="2:2" x14ac:dyDescent="0.2">
      <c r="B1144"/>
    </row>
    <row r="1145" spans="2:2" x14ac:dyDescent="0.2">
      <c r="B1145"/>
    </row>
    <row r="1146" spans="2:2" x14ac:dyDescent="0.2">
      <c r="B1146"/>
    </row>
    <row r="1147" spans="2:2" x14ac:dyDescent="0.2">
      <c r="B1147"/>
    </row>
    <row r="1148" spans="2:2" x14ac:dyDescent="0.2">
      <c r="B1148"/>
    </row>
    <row r="1149" spans="2:2" x14ac:dyDescent="0.2">
      <c r="B1149"/>
    </row>
    <row r="1150" spans="2:2" x14ac:dyDescent="0.2">
      <c r="B1150"/>
    </row>
    <row r="1151" spans="2:2" x14ac:dyDescent="0.2">
      <c r="B1151"/>
    </row>
    <row r="1152" spans="2:2" x14ac:dyDescent="0.2">
      <c r="B1152"/>
    </row>
    <row r="1153" spans="2:2" x14ac:dyDescent="0.2">
      <c r="B1153"/>
    </row>
    <row r="1154" spans="2:2" x14ac:dyDescent="0.2">
      <c r="B1154"/>
    </row>
    <row r="1155" spans="2:2" x14ac:dyDescent="0.2">
      <c r="B1155"/>
    </row>
    <row r="1156" spans="2:2" x14ac:dyDescent="0.2">
      <c r="B1156"/>
    </row>
    <row r="1157" spans="2:2" x14ac:dyDescent="0.2">
      <c r="B1157"/>
    </row>
    <row r="1158" spans="2:2" x14ac:dyDescent="0.2">
      <c r="B1158"/>
    </row>
    <row r="1159" spans="2:2" x14ac:dyDescent="0.2">
      <c r="B1159"/>
    </row>
    <row r="1160" spans="2:2" x14ac:dyDescent="0.2">
      <c r="B1160"/>
    </row>
    <row r="1161" spans="2:2" x14ac:dyDescent="0.2">
      <c r="B1161"/>
    </row>
    <row r="1162" spans="2:2" x14ac:dyDescent="0.2">
      <c r="B1162"/>
    </row>
    <row r="1163" spans="2:2" x14ac:dyDescent="0.2">
      <c r="B1163"/>
    </row>
    <row r="1164" spans="2:2" x14ac:dyDescent="0.2">
      <c r="B1164"/>
    </row>
    <row r="1165" spans="2:2" x14ac:dyDescent="0.2">
      <c r="B1165"/>
    </row>
    <row r="1166" spans="2:2" x14ac:dyDescent="0.2">
      <c r="B1166"/>
    </row>
    <row r="1167" spans="2:2" x14ac:dyDescent="0.2">
      <c r="B1167"/>
    </row>
    <row r="1168" spans="2:2" x14ac:dyDescent="0.2">
      <c r="B1168"/>
    </row>
    <row r="1169" spans="2:2" x14ac:dyDescent="0.2">
      <c r="B1169"/>
    </row>
    <row r="1170" spans="2:2" x14ac:dyDescent="0.2">
      <c r="B1170"/>
    </row>
    <row r="1171" spans="2:2" x14ac:dyDescent="0.2">
      <c r="B1171"/>
    </row>
    <row r="1172" spans="2:2" x14ac:dyDescent="0.2">
      <c r="B1172"/>
    </row>
    <row r="1173" spans="2:2" x14ac:dyDescent="0.2">
      <c r="B1173"/>
    </row>
    <row r="1174" spans="2:2" x14ac:dyDescent="0.2">
      <c r="B1174"/>
    </row>
    <row r="1175" spans="2:2" x14ac:dyDescent="0.2">
      <c r="B1175"/>
    </row>
    <row r="1176" spans="2:2" x14ac:dyDescent="0.2">
      <c r="B1176"/>
    </row>
    <row r="1177" spans="2:2" x14ac:dyDescent="0.2">
      <c r="B1177"/>
    </row>
    <row r="1178" spans="2:2" x14ac:dyDescent="0.2">
      <c r="B1178"/>
    </row>
    <row r="1179" spans="2:2" x14ac:dyDescent="0.2">
      <c r="B1179"/>
    </row>
    <row r="1180" spans="2:2" x14ac:dyDescent="0.2">
      <c r="B1180"/>
    </row>
    <row r="1181" spans="2:2" x14ac:dyDescent="0.2">
      <c r="B1181"/>
    </row>
    <row r="1182" spans="2:2" x14ac:dyDescent="0.2">
      <c r="B1182"/>
    </row>
    <row r="1183" spans="2:2" x14ac:dyDescent="0.2">
      <c r="B1183"/>
    </row>
    <row r="1184" spans="2:2" x14ac:dyDescent="0.2">
      <c r="B1184"/>
    </row>
    <row r="1185" spans="2:2" x14ac:dyDescent="0.2">
      <c r="B1185"/>
    </row>
    <row r="1186" spans="2:2" x14ac:dyDescent="0.2">
      <c r="B1186"/>
    </row>
    <row r="1187" spans="2:2" x14ac:dyDescent="0.2">
      <c r="B1187"/>
    </row>
    <row r="1188" spans="2:2" x14ac:dyDescent="0.2">
      <c r="B1188"/>
    </row>
    <row r="1189" spans="2:2" x14ac:dyDescent="0.2">
      <c r="B1189"/>
    </row>
    <row r="1190" spans="2:2" x14ac:dyDescent="0.2">
      <c r="B1190"/>
    </row>
    <row r="1191" spans="2:2" x14ac:dyDescent="0.2">
      <c r="B1191"/>
    </row>
    <row r="1192" spans="2:2" x14ac:dyDescent="0.2">
      <c r="B1192"/>
    </row>
    <row r="1193" spans="2:2" x14ac:dyDescent="0.2">
      <c r="B1193"/>
    </row>
    <row r="1194" spans="2:2" x14ac:dyDescent="0.2">
      <c r="B1194"/>
    </row>
    <row r="1195" spans="2:2" x14ac:dyDescent="0.2">
      <c r="B1195"/>
    </row>
    <row r="1196" spans="2:2" x14ac:dyDescent="0.2">
      <c r="B1196"/>
    </row>
    <row r="1197" spans="2:2" x14ac:dyDescent="0.2">
      <c r="B1197"/>
    </row>
    <row r="1198" spans="2:2" x14ac:dyDescent="0.2">
      <c r="B1198"/>
    </row>
    <row r="1199" spans="2:2" x14ac:dyDescent="0.2">
      <c r="B1199"/>
    </row>
    <row r="1200" spans="2:2" x14ac:dyDescent="0.2">
      <c r="B1200"/>
    </row>
    <row r="1201" spans="2:2" x14ac:dyDescent="0.2">
      <c r="B1201"/>
    </row>
    <row r="1202" spans="2:2" x14ac:dyDescent="0.2">
      <c r="B1202"/>
    </row>
    <row r="1203" spans="2:2" x14ac:dyDescent="0.2">
      <c r="B1203"/>
    </row>
    <row r="1204" spans="2:2" x14ac:dyDescent="0.2">
      <c r="B1204"/>
    </row>
    <row r="1205" spans="2:2" x14ac:dyDescent="0.2">
      <c r="B1205"/>
    </row>
    <row r="1206" spans="2:2" x14ac:dyDescent="0.2">
      <c r="B1206"/>
    </row>
    <row r="1207" spans="2:2" x14ac:dyDescent="0.2">
      <c r="B1207"/>
    </row>
    <row r="1208" spans="2:2" x14ac:dyDescent="0.2">
      <c r="B1208"/>
    </row>
    <row r="1209" spans="2:2" x14ac:dyDescent="0.2">
      <c r="B1209"/>
    </row>
    <row r="1210" spans="2:2" x14ac:dyDescent="0.2">
      <c r="B1210"/>
    </row>
    <row r="1211" spans="2:2" x14ac:dyDescent="0.2">
      <c r="B1211"/>
    </row>
    <row r="1212" spans="2:2" x14ac:dyDescent="0.2">
      <c r="B1212"/>
    </row>
    <row r="1213" spans="2:2" x14ac:dyDescent="0.2">
      <c r="B1213"/>
    </row>
    <row r="1214" spans="2:2" x14ac:dyDescent="0.2">
      <c r="B1214"/>
    </row>
    <row r="1215" spans="2:2" x14ac:dyDescent="0.2">
      <c r="B1215"/>
    </row>
    <row r="1216" spans="2:2" x14ac:dyDescent="0.2">
      <c r="B1216"/>
    </row>
    <row r="1217" spans="2:2" x14ac:dyDescent="0.2">
      <c r="B1217"/>
    </row>
    <row r="1218" spans="2:2" x14ac:dyDescent="0.2">
      <c r="B1218"/>
    </row>
    <row r="1219" spans="2:2" x14ac:dyDescent="0.2">
      <c r="B1219"/>
    </row>
    <row r="1220" spans="2:2" x14ac:dyDescent="0.2">
      <c r="B1220"/>
    </row>
    <row r="1221" spans="2:2" x14ac:dyDescent="0.2">
      <c r="B1221"/>
    </row>
    <row r="1222" spans="2:2" x14ac:dyDescent="0.2">
      <c r="B1222"/>
    </row>
    <row r="1223" spans="2:2" x14ac:dyDescent="0.2">
      <c r="B1223"/>
    </row>
    <row r="1224" spans="2:2" x14ac:dyDescent="0.2">
      <c r="B1224"/>
    </row>
    <row r="1225" spans="2:2" x14ac:dyDescent="0.2">
      <c r="B1225"/>
    </row>
    <row r="1226" spans="2:2" x14ac:dyDescent="0.2">
      <c r="B1226"/>
    </row>
    <row r="1227" spans="2:2" x14ac:dyDescent="0.2">
      <c r="B1227"/>
    </row>
    <row r="1228" spans="2:2" x14ac:dyDescent="0.2">
      <c r="B1228"/>
    </row>
    <row r="1229" spans="2:2" x14ac:dyDescent="0.2">
      <c r="B1229"/>
    </row>
    <row r="1230" spans="2:2" x14ac:dyDescent="0.2">
      <c r="B1230"/>
    </row>
    <row r="1231" spans="2:2" x14ac:dyDescent="0.2">
      <c r="B1231"/>
    </row>
    <row r="1232" spans="2:2" x14ac:dyDescent="0.2">
      <c r="B1232"/>
    </row>
    <row r="1233" spans="2:2" x14ac:dyDescent="0.2">
      <c r="B1233"/>
    </row>
    <row r="1234" spans="2:2" x14ac:dyDescent="0.2">
      <c r="B1234"/>
    </row>
    <row r="1235" spans="2:2" x14ac:dyDescent="0.2">
      <c r="B1235"/>
    </row>
    <row r="1236" spans="2:2" x14ac:dyDescent="0.2">
      <c r="B1236"/>
    </row>
    <row r="1237" spans="2:2" x14ac:dyDescent="0.2">
      <c r="B1237"/>
    </row>
    <row r="1238" spans="2:2" x14ac:dyDescent="0.2">
      <c r="B1238"/>
    </row>
    <row r="1239" spans="2:2" x14ac:dyDescent="0.2">
      <c r="B1239"/>
    </row>
    <row r="1240" spans="2:2" x14ac:dyDescent="0.2">
      <c r="B1240"/>
    </row>
    <row r="1241" spans="2:2" x14ac:dyDescent="0.2">
      <c r="B1241"/>
    </row>
    <row r="1242" spans="2:2" x14ac:dyDescent="0.2">
      <c r="B1242"/>
    </row>
    <row r="1243" spans="2:2" x14ac:dyDescent="0.2">
      <c r="B1243"/>
    </row>
    <row r="1244" spans="2:2" x14ac:dyDescent="0.2">
      <c r="B1244"/>
    </row>
    <row r="1245" spans="2:2" x14ac:dyDescent="0.2">
      <c r="B1245"/>
    </row>
    <row r="1246" spans="2:2" x14ac:dyDescent="0.2">
      <c r="B1246"/>
    </row>
    <row r="1247" spans="2:2" x14ac:dyDescent="0.2">
      <c r="B1247"/>
    </row>
    <row r="1248" spans="2:2" x14ac:dyDescent="0.2">
      <c r="B1248"/>
    </row>
    <row r="1249" spans="2:2" x14ac:dyDescent="0.2">
      <c r="B1249"/>
    </row>
    <row r="1250" spans="2:2" x14ac:dyDescent="0.2">
      <c r="B1250"/>
    </row>
    <row r="1251" spans="2:2" x14ac:dyDescent="0.2">
      <c r="B1251"/>
    </row>
    <row r="1252" spans="2:2" x14ac:dyDescent="0.2">
      <c r="B1252"/>
    </row>
    <row r="1253" spans="2:2" x14ac:dyDescent="0.2">
      <c r="B1253"/>
    </row>
    <row r="1254" spans="2:2" x14ac:dyDescent="0.2">
      <c r="B1254"/>
    </row>
    <row r="1255" spans="2:2" x14ac:dyDescent="0.2">
      <c r="B1255"/>
    </row>
    <row r="1256" spans="2:2" x14ac:dyDescent="0.2">
      <c r="B1256"/>
    </row>
    <row r="1257" spans="2:2" x14ac:dyDescent="0.2">
      <c r="B1257"/>
    </row>
    <row r="1258" spans="2:2" x14ac:dyDescent="0.2">
      <c r="B1258"/>
    </row>
    <row r="1259" spans="2:2" x14ac:dyDescent="0.2">
      <c r="B1259"/>
    </row>
    <row r="1260" spans="2:2" x14ac:dyDescent="0.2">
      <c r="B1260"/>
    </row>
    <row r="1261" spans="2:2" x14ac:dyDescent="0.2">
      <c r="B1261"/>
    </row>
    <row r="1262" spans="2:2" x14ac:dyDescent="0.2">
      <c r="B1262"/>
    </row>
    <row r="1263" spans="2:2" x14ac:dyDescent="0.2">
      <c r="B1263"/>
    </row>
    <row r="1264" spans="2:2" x14ac:dyDescent="0.2">
      <c r="B1264"/>
    </row>
    <row r="1265" spans="2:2" x14ac:dyDescent="0.2">
      <c r="B1265"/>
    </row>
    <row r="1266" spans="2:2" x14ac:dyDescent="0.2">
      <c r="B1266"/>
    </row>
    <row r="1267" spans="2:2" x14ac:dyDescent="0.2">
      <c r="B1267"/>
    </row>
    <row r="1268" spans="2:2" x14ac:dyDescent="0.2">
      <c r="B1268"/>
    </row>
    <row r="1269" spans="2:2" x14ac:dyDescent="0.2">
      <c r="B1269"/>
    </row>
    <row r="1270" spans="2:2" x14ac:dyDescent="0.2">
      <c r="B1270"/>
    </row>
    <row r="1271" spans="2:2" x14ac:dyDescent="0.2">
      <c r="B1271"/>
    </row>
    <row r="1272" spans="2:2" x14ac:dyDescent="0.2">
      <c r="B1272"/>
    </row>
    <row r="1273" spans="2:2" x14ac:dyDescent="0.2">
      <c r="B1273"/>
    </row>
    <row r="1274" spans="2:2" x14ac:dyDescent="0.2">
      <c r="B1274"/>
    </row>
    <row r="1275" spans="2:2" x14ac:dyDescent="0.2">
      <c r="B1275"/>
    </row>
    <row r="1276" spans="2:2" x14ac:dyDescent="0.2">
      <c r="B1276"/>
    </row>
    <row r="1277" spans="2:2" x14ac:dyDescent="0.2">
      <c r="B1277"/>
    </row>
    <row r="1278" spans="2:2" x14ac:dyDescent="0.2">
      <c r="B1278"/>
    </row>
    <row r="1279" spans="2:2" x14ac:dyDescent="0.2">
      <c r="B1279"/>
    </row>
    <row r="1280" spans="2:2" x14ac:dyDescent="0.2">
      <c r="B1280"/>
    </row>
    <row r="1281" spans="2:2" x14ac:dyDescent="0.2">
      <c r="B1281"/>
    </row>
    <row r="1282" spans="2:2" x14ac:dyDescent="0.2">
      <c r="B1282"/>
    </row>
    <row r="1283" spans="2:2" x14ac:dyDescent="0.2">
      <c r="B1283"/>
    </row>
    <row r="1284" spans="2:2" x14ac:dyDescent="0.2">
      <c r="B1284"/>
    </row>
    <row r="1285" spans="2:2" x14ac:dyDescent="0.2">
      <c r="B1285"/>
    </row>
    <row r="1286" spans="2:2" x14ac:dyDescent="0.2">
      <c r="B1286"/>
    </row>
    <row r="1287" spans="2:2" x14ac:dyDescent="0.2">
      <c r="B1287"/>
    </row>
    <row r="1288" spans="2:2" x14ac:dyDescent="0.2">
      <c r="B1288"/>
    </row>
    <row r="1289" spans="2:2" x14ac:dyDescent="0.2">
      <c r="B1289"/>
    </row>
    <row r="1290" spans="2:2" x14ac:dyDescent="0.2">
      <c r="B1290"/>
    </row>
    <row r="1291" spans="2:2" x14ac:dyDescent="0.2">
      <c r="B1291"/>
    </row>
    <row r="1292" spans="2:2" x14ac:dyDescent="0.2">
      <c r="B1292"/>
    </row>
    <row r="1293" spans="2:2" x14ac:dyDescent="0.2">
      <c r="B1293"/>
    </row>
    <row r="1294" spans="2:2" x14ac:dyDescent="0.2">
      <c r="B1294"/>
    </row>
    <row r="1295" spans="2:2" x14ac:dyDescent="0.2">
      <c r="B1295"/>
    </row>
    <row r="1296" spans="2:2" x14ac:dyDescent="0.2">
      <c r="B1296"/>
    </row>
    <row r="1297" spans="2:2" x14ac:dyDescent="0.2">
      <c r="B1297"/>
    </row>
    <row r="1298" spans="2:2" x14ac:dyDescent="0.2">
      <c r="B1298"/>
    </row>
    <row r="1299" spans="2:2" x14ac:dyDescent="0.2">
      <c r="B1299"/>
    </row>
    <row r="1300" spans="2:2" x14ac:dyDescent="0.2">
      <c r="B1300"/>
    </row>
    <row r="1301" spans="2:2" x14ac:dyDescent="0.2">
      <c r="B1301"/>
    </row>
    <row r="1302" spans="2:2" x14ac:dyDescent="0.2">
      <c r="B1302"/>
    </row>
    <row r="1303" spans="2:2" x14ac:dyDescent="0.2">
      <c r="B1303"/>
    </row>
    <row r="1304" spans="2:2" x14ac:dyDescent="0.2">
      <c r="B1304"/>
    </row>
    <row r="1305" spans="2:2" x14ac:dyDescent="0.2">
      <c r="B1305"/>
    </row>
    <row r="1306" spans="2:2" x14ac:dyDescent="0.2">
      <c r="B1306"/>
    </row>
    <row r="1307" spans="2:2" x14ac:dyDescent="0.2">
      <c r="B1307"/>
    </row>
    <row r="1308" spans="2:2" x14ac:dyDescent="0.2">
      <c r="B1308"/>
    </row>
    <row r="1309" spans="2:2" x14ac:dyDescent="0.2">
      <c r="B1309"/>
    </row>
    <row r="1310" spans="2:2" x14ac:dyDescent="0.2">
      <c r="B1310"/>
    </row>
    <row r="1311" spans="2:2" x14ac:dyDescent="0.2">
      <c r="B1311"/>
    </row>
    <row r="1312" spans="2:2" x14ac:dyDescent="0.2">
      <c r="B1312"/>
    </row>
    <row r="1313" spans="2:2" x14ac:dyDescent="0.2">
      <c r="B1313"/>
    </row>
    <row r="1314" spans="2:2" x14ac:dyDescent="0.2">
      <c r="B1314"/>
    </row>
    <row r="1315" spans="2:2" x14ac:dyDescent="0.2">
      <c r="B1315"/>
    </row>
    <row r="1316" spans="2:2" x14ac:dyDescent="0.2">
      <c r="B1316"/>
    </row>
    <row r="1317" spans="2:2" x14ac:dyDescent="0.2">
      <c r="B1317"/>
    </row>
    <row r="1318" spans="2:2" x14ac:dyDescent="0.2">
      <c r="B1318"/>
    </row>
    <row r="1319" spans="2:2" x14ac:dyDescent="0.2">
      <c r="B1319"/>
    </row>
    <row r="1320" spans="2:2" x14ac:dyDescent="0.2">
      <c r="B1320"/>
    </row>
    <row r="1321" spans="2:2" x14ac:dyDescent="0.2">
      <c r="B1321"/>
    </row>
    <row r="1322" spans="2:2" x14ac:dyDescent="0.2">
      <c r="B1322"/>
    </row>
    <row r="1323" spans="2:2" x14ac:dyDescent="0.2">
      <c r="B1323"/>
    </row>
    <row r="1324" spans="2:2" x14ac:dyDescent="0.2">
      <c r="B1324"/>
    </row>
    <row r="1325" spans="2:2" x14ac:dyDescent="0.2">
      <c r="B1325"/>
    </row>
    <row r="1326" spans="2:2" x14ac:dyDescent="0.2">
      <c r="B1326"/>
    </row>
    <row r="1327" spans="2:2" x14ac:dyDescent="0.2">
      <c r="B1327"/>
    </row>
    <row r="1328" spans="2:2" x14ac:dyDescent="0.2">
      <c r="B1328"/>
    </row>
    <row r="1329" spans="2:2" x14ac:dyDescent="0.2">
      <c r="B1329"/>
    </row>
    <row r="1330" spans="2:2" x14ac:dyDescent="0.2">
      <c r="B1330"/>
    </row>
    <row r="1331" spans="2:2" x14ac:dyDescent="0.2">
      <c r="B1331"/>
    </row>
    <row r="1332" spans="2:2" x14ac:dyDescent="0.2">
      <c r="B1332"/>
    </row>
    <row r="1333" spans="2:2" x14ac:dyDescent="0.2">
      <c r="B1333"/>
    </row>
    <row r="1334" spans="2:2" x14ac:dyDescent="0.2">
      <c r="B1334"/>
    </row>
    <row r="1335" spans="2:2" x14ac:dyDescent="0.2">
      <c r="B1335"/>
    </row>
    <row r="1336" spans="2:2" x14ac:dyDescent="0.2">
      <c r="B1336"/>
    </row>
    <row r="1337" spans="2:2" x14ac:dyDescent="0.2">
      <c r="B1337"/>
    </row>
    <row r="1338" spans="2:2" x14ac:dyDescent="0.2">
      <c r="B1338"/>
    </row>
    <row r="1339" spans="2:2" x14ac:dyDescent="0.2">
      <c r="B1339"/>
    </row>
    <row r="1340" spans="2:2" x14ac:dyDescent="0.2">
      <c r="B1340"/>
    </row>
    <row r="1341" spans="2:2" x14ac:dyDescent="0.2">
      <c r="B1341"/>
    </row>
    <row r="1342" spans="2:2" x14ac:dyDescent="0.2">
      <c r="B1342"/>
    </row>
    <row r="1343" spans="2:2" x14ac:dyDescent="0.2">
      <c r="B1343"/>
    </row>
    <row r="1344" spans="2:2" x14ac:dyDescent="0.2">
      <c r="B1344"/>
    </row>
    <row r="1345" spans="2:2" x14ac:dyDescent="0.2">
      <c r="B1345"/>
    </row>
    <row r="1346" spans="2:2" x14ac:dyDescent="0.2">
      <c r="B1346"/>
    </row>
    <row r="1347" spans="2:2" x14ac:dyDescent="0.2">
      <c r="B1347"/>
    </row>
    <row r="1348" spans="2:2" x14ac:dyDescent="0.2">
      <c r="B1348"/>
    </row>
    <row r="1349" spans="2:2" x14ac:dyDescent="0.2">
      <c r="B1349"/>
    </row>
    <row r="1350" spans="2:2" x14ac:dyDescent="0.2">
      <c r="B1350"/>
    </row>
    <row r="1351" spans="2:2" x14ac:dyDescent="0.2">
      <c r="B1351"/>
    </row>
    <row r="1352" spans="2:2" x14ac:dyDescent="0.2">
      <c r="B1352"/>
    </row>
    <row r="1353" spans="2:2" x14ac:dyDescent="0.2">
      <c r="B1353"/>
    </row>
    <row r="1354" spans="2:2" x14ac:dyDescent="0.2">
      <c r="B1354"/>
    </row>
    <row r="1355" spans="2:2" x14ac:dyDescent="0.2">
      <c r="B1355"/>
    </row>
    <row r="1356" spans="2:2" x14ac:dyDescent="0.2">
      <c r="B1356"/>
    </row>
    <row r="1357" spans="2:2" x14ac:dyDescent="0.2">
      <c r="B1357"/>
    </row>
    <row r="1358" spans="2:2" x14ac:dyDescent="0.2">
      <c r="B1358"/>
    </row>
    <row r="1359" spans="2:2" x14ac:dyDescent="0.2">
      <c r="B1359"/>
    </row>
    <row r="1360" spans="2:2" x14ac:dyDescent="0.2">
      <c r="B1360"/>
    </row>
    <row r="1361" spans="2:2" x14ac:dyDescent="0.2">
      <c r="B1361"/>
    </row>
    <row r="1362" spans="2:2" x14ac:dyDescent="0.2">
      <c r="B1362"/>
    </row>
    <row r="1363" spans="2:2" x14ac:dyDescent="0.2">
      <c r="B1363"/>
    </row>
    <row r="1364" spans="2:2" x14ac:dyDescent="0.2">
      <c r="B1364"/>
    </row>
    <row r="1365" spans="2:2" x14ac:dyDescent="0.2">
      <c r="B1365"/>
    </row>
    <row r="1366" spans="2:2" x14ac:dyDescent="0.2">
      <c r="B1366"/>
    </row>
    <row r="1367" spans="2:2" x14ac:dyDescent="0.2">
      <c r="B1367"/>
    </row>
    <row r="1368" spans="2:2" x14ac:dyDescent="0.2">
      <c r="B1368"/>
    </row>
    <row r="1369" spans="2:2" x14ac:dyDescent="0.2">
      <c r="B1369"/>
    </row>
    <row r="1370" spans="2:2" x14ac:dyDescent="0.2">
      <c r="B1370"/>
    </row>
    <row r="1371" spans="2:2" x14ac:dyDescent="0.2">
      <c r="B1371"/>
    </row>
    <row r="1372" spans="2:2" x14ac:dyDescent="0.2">
      <c r="B1372"/>
    </row>
    <row r="1373" spans="2:2" x14ac:dyDescent="0.2">
      <c r="B1373"/>
    </row>
    <row r="1374" spans="2:2" x14ac:dyDescent="0.2">
      <c r="B1374"/>
    </row>
    <row r="1375" spans="2:2" x14ac:dyDescent="0.2">
      <c r="B1375"/>
    </row>
    <row r="1376" spans="2:2" x14ac:dyDescent="0.2">
      <c r="B1376"/>
    </row>
    <row r="1377" spans="2:2" x14ac:dyDescent="0.2">
      <c r="B1377"/>
    </row>
    <row r="1378" spans="2:2" x14ac:dyDescent="0.2">
      <c r="B1378"/>
    </row>
    <row r="1379" spans="2:2" x14ac:dyDescent="0.2">
      <c r="B1379"/>
    </row>
    <row r="1380" spans="2:2" x14ac:dyDescent="0.2">
      <c r="B1380"/>
    </row>
    <row r="1381" spans="2:2" x14ac:dyDescent="0.2">
      <c r="B1381"/>
    </row>
    <row r="1382" spans="2:2" x14ac:dyDescent="0.2">
      <c r="B1382"/>
    </row>
    <row r="1383" spans="2:2" x14ac:dyDescent="0.2">
      <c r="B1383"/>
    </row>
    <row r="1384" spans="2:2" x14ac:dyDescent="0.2">
      <c r="B1384"/>
    </row>
    <row r="1385" spans="2:2" x14ac:dyDescent="0.2">
      <c r="B1385"/>
    </row>
    <row r="1386" spans="2:2" x14ac:dyDescent="0.2">
      <c r="B1386"/>
    </row>
    <row r="1387" spans="2:2" x14ac:dyDescent="0.2">
      <c r="B1387"/>
    </row>
    <row r="1388" spans="2:2" x14ac:dyDescent="0.2">
      <c r="B1388"/>
    </row>
    <row r="1389" spans="2:2" x14ac:dyDescent="0.2">
      <c r="B1389"/>
    </row>
    <row r="1390" spans="2:2" x14ac:dyDescent="0.2">
      <c r="B1390"/>
    </row>
    <row r="1391" spans="2:2" x14ac:dyDescent="0.2">
      <c r="B1391"/>
    </row>
    <row r="1392" spans="2:2" x14ac:dyDescent="0.2">
      <c r="B1392"/>
    </row>
    <row r="1393" spans="2:2" x14ac:dyDescent="0.2">
      <c r="B1393"/>
    </row>
    <row r="1394" spans="2:2" x14ac:dyDescent="0.2">
      <c r="B1394"/>
    </row>
    <row r="1395" spans="2:2" x14ac:dyDescent="0.2">
      <c r="B1395"/>
    </row>
    <row r="1396" spans="2:2" x14ac:dyDescent="0.2">
      <c r="B1396"/>
    </row>
    <row r="1397" spans="2:2" x14ac:dyDescent="0.2">
      <c r="B1397"/>
    </row>
    <row r="1398" spans="2:2" x14ac:dyDescent="0.2">
      <c r="B1398"/>
    </row>
    <row r="1399" spans="2:2" x14ac:dyDescent="0.2">
      <c r="B1399"/>
    </row>
    <row r="1400" spans="2:2" x14ac:dyDescent="0.2">
      <c r="B1400"/>
    </row>
    <row r="1401" spans="2:2" x14ac:dyDescent="0.2">
      <c r="B1401"/>
    </row>
    <row r="1402" spans="2:2" x14ac:dyDescent="0.2">
      <c r="B1402"/>
    </row>
    <row r="1403" spans="2:2" x14ac:dyDescent="0.2">
      <c r="B1403"/>
    </row>
    <row r="1404" spans="2:2" x14ac:dyDescent="0.2">
      <c r="B1404"/>
    </row>
    <row r="1405" spans="2:2" x14ac:dyDescent="0.2">
      <c r="B1405"/>
    </row>
    <row r="1406" spans="2:2" x14ac:dyDescent="0.2">
      <c r="B1406"/>
    </row>
    <row r="1407" spans="2:2" x14ac:dyDescent="0.2">
      <c r="B1407"/>
    </row>
    <row r="1408" spans="2:2" x14ac:dyDescent="0.2">
      <c r="B1408"/>
    </row>
    <row r="1409" spans="2:2" x14ac:dyDescent="0.2">
      <c r="B1409"/>
    </row>
    <row r="1410" spans="2:2" x14ac:dyDescent="0.2">
      <c r="B1410"/>
    </row>
    <row r="1411" spans="2:2" x14ac:dyDescent="0.2">
      <c r="B1411"/>
    </row>
    <row r="1412" spans="2:2" x14ac:dyDescent="0.2">
      <c r="B1412"/>
    </row>
    <row r="1413" spans="2:2" x14ac:dyDescent="0.2">
      <c r="B1413"/>
    </row>
    <row r="1414" spans="2:2" x14ac:dyDescent="0.2">
      <c r="B1414"/>
    </row>
    <row r="1415" spans="2:2" x14ac:dyDescent="0.2">
      <c r="B1415"/>
    </row>
    <row r="1416" spans="2:2" x14ac:dyDescent="0.2">
      <c r="B1416"/>
    </row>
    <row r="1417" spans="2:2" x14ac:dyDescent="0.2">
      <c r="B1417"/>
    </row>
    <row r="1418" spans="2:2" x14ac:dyDescent="0.2">
      <c r="B1418"/>
    </row>
    <row r="1419" spans="2:2" x14ac:dyDescent="0.2">
      <c r="B1419"/>
    </row>
    <row r="1420" spans="2:2" x14ac:dyDescent="0.2">
      <c r="B1420"/>
    </row>
    <row r="1421" spans="2:2" x14ac:dyDescent="0.2">
      <c r="B1421"/>
    </row>
    <row r="1422" spans="2:2" x14ac:dyDescent="0.2">
      <c r="B1422"/>
    </row>
    <row r="1423" spans="2:2" x14ac:dyDescent="0.2">
      <c r="B1423"/>
    </row>
    <row r="1424" spans="2:2" x14ac:dyDescent="0.2">
      <c r="B1424"/>
    </row>
    <row r="1425" spans="2:2" x14ac:dyDescent="0.2">
      <c r="B1425"/>
    </row>
    <row r="1426" spans="2:2" x14ac:dyDescent="0.2">
      <c r="B1426"/>
    </row>
    <row r="1427" spans="2:2" x14ac:dyDescent="0.2">
      <c r="B1427"/>
    </row>
    <row r="1428" spans="2:2" x14ac:dyDescent="0.2">
      <c r="B1428"/>
    </row>
    <row r="1429" spans="2:2" x14ac:dyDescent="0.2">
      <c r="B1429"/>
    </row>
    <row r="1430" spans="2:2" x14ac:dyDescent="0.2">
      <c r="B1430"/>
    </row>
    <row r="1431" spans="2:2" x14ac:dyDescent="0.2">
      <c r="B1431"/>
    </row>
    <row r="1432" spans="2:2" x14ac:dyDescent="0.2">
      <c r="B1432"/>
    </row>
    <row r="1433" spans="2:2" x14ac:dyDescent="0.2">
      <c r="B1433"/>
    </row>
    <row r="1434" spans="2:2" x14ac:dyDescent="0.2">
      <c r="B1434"/>
    </row>
    <row r="1435" spans="2:2" x14ac:dyDescent="0.2">
      <c r="B1435"/>
    </row>
    <row r="1436" spans="2:2" x14ac:dyDescent="0.2">
      <c r="B1436"/>
    </row>
    <row r="1437" spans="2:2" x14ac:dyDescent="0.2">
      <c r="B1437"/>
    </row>
    <row r="1438" spans="2:2" x14ac:dyDescent="0.2">
      <c r="B1438"/>
    </row>
    <row r="1439" spans="2:2" x14ac:dyDescent="0.2">
      <c r="B1439"/>
    </row>
    <row r="1440" spans="2:2" x14ac:dyDescent="0.2">
      <c r="B1440"/>
    </row>
    <row r="1441" spans="2:2" x14ac:dyDescent="0.2">
      <c r="B1441"/>
    </row>
    <row r="1442" spans="2:2" x14ac:dyDescent="0.2">
      <c r="B1442"/>
    </row>
    <row r="1443" spans="2:2" x14ac:dyDescent="0.2">
      <c r="B1443"/>
    </row>
    <row r="1444" spans="2:2" x14ac:dyDescent="0.2">
      <c r="B1444"/>
    </row>
    <row r="1445" spans="2:2" x14ac:dyDescent="0.2">
      <c r="B1445"/>
    </row>
    <row r="1446" spans="2:2" x14ac:dyDescent="0.2">
      <c r="B1446"/>
    </row>
    <row r="1447" spans="2:2" x14ac:dyDescent="0.2">
      <c r="B1447"/>
    </row>
    <row r="1448" spans="2:2" x14ac:dyDescent="0.2">
      <c r="B1448"/>
    </row>
    <row r="1449" spans="2:2" x14ac:dyDescent="0.2">
      <c r="B1449"/>
    </row>
    <row r="1450" spans="2:2" x14ac:dyDescent="0.2">
      <c r="B1450"/>
    </row>
    <row r="1451" spans="2:2" x14ac:dyDescent="0.2">
      <c r="B1451"/>
    </row>
    <row r="1452" spans="2:2" x14ac:dyDescent="0.2">
      <c r="B1452"/>
    </row>
    <row r="1453" spans="2:2" x14ac:dyDescent="0.2">
      <c r="B1453"/>
    </row>
    <row r="1454" spans="2:2" x14ac:dyDescent="0.2">
      <c r="B1454"/>
    </row>
    <row r="1455" spans="2:2" x14ac:dyDescent="0.2">
      <c r="B1455"/>
    </row>
    <row r="1456" spans="2:2" x14ac:dyDescent="0.2">
      <c r="B1456"/>
    </row>
    <row r="1457" spans="2:2" x14ac:dyDescent="0.2">
      <c r="B1457"/>
    </row>
    <row r="1458" spans="2:2" x14ac:dyDescent="0.2">
      <c r="B1458"/>
    </row>
    <row r="1459" spans="2:2" x14ac:dyDescent="0.2">
      <c r="B1459"/>
    </row>
    <row r="1460" spans="2:2" x14ac:dyDescent="0.2">
      <c r="B1460"/>
    </row>
    <row r="1461" spans="2:2" x14ac:dyDescent="0.2">
      <c r="B1461"/>
    </row>
    <row r="1462" spans="2:2" x14ac:dyDescent="0.2">
      <c r="B1462"/>
    </row>
    <row r="1463" spans="2:2" x14ac:dyDescent="0.2">
      <c r="B1463"/>
    </row>
    <row r="1464" spans="2:2" x14ac:dyDescent="0.2">
      <c r="B1464"/>
    </row>
    <row r="1465" spans="2:2" x14ac:dyDescent="0.2">
      <c r="B1465"/>
    </row>
    <row r="1466" spans="2:2" x14ac:dyDescent="0.2">
      <c r="B1466"/>
    </row>
    <row r="1467" spans="2:2" x14ac:dyDescent="0.2">
      <c r="B1467"/>
    </row>
    <row r="1468" spans="2:2" x14ac:dyDescent="0.2">
      <c r="B1468"/>
    </row>
    <row r="1469" spans="2:2" x14ac:dyDescent="0.2">
      <c r="B1469"/>
    </row>
    <row r="1470" spans="2:2" x14ac:dyDescent="0.2">
      <c r="B1470"/>
    </row>
    <row r="1471" spans="2:2" x14ac:dyDescent="0.2">
      <c r="B1471"/>
    </row>
    <row r="1472" spans="2:2" x14ac:dyDescent="0.2">
      <c r="B1472"/>
    </row>
    <row r="1473" spans="2:2" x14ac:dyDescent="0.2">
      <c r="B1473"/>
    </row>
    <row r="1474" spans="2:2" x14ac:dyDescent="0.2">
      <c r="B1474"/>
    </row>
    <row r="1475" spans="2:2" x14ac:dyDescent="0.2">
      <c r="B1475"/>
    </row>
    <row r="1476" spans="2:2" x14ac:dyDescent="0.2">
      <c r="B1476"/>
    </row>
    <row r="1477" spans="2:2" x14ac:dyDescent="0.2">
      <c r="B1477"/>
    </row>
    <row r="1478" spans="2:2" x14ac:dyDescent="0.2">
      <c r="B1478"/>
    </row>
    <row r="1479" spans="2:2" x14ac:dyDescent="0.2">
      <c r="B1479"/>
    </row>
    <row r="1480" spans="2:2" x14ac:dyDescent="0.2">
      <c r="B1480"/>
    </row>
    <row r="1481" spans="2:2" x14ac:dyDescent="0.2">
      <c r="B1481"/>
    </row>
    <row r="1482" spans="2:2" x14ac:dyDescent="0.2">
      <c r="B1482"/>
    </row>
    <row r="1483" spans="2:2" x14ac:dyDescent="0.2">
      <c r="B1483"/>
    </row>
    <row r="1484" spans="2:2" x14ac:dyDescent="0.2">
      <c r="B1484"/>
    </row>
    <row r="1485" spans="2:2" x14ac:dyDescent="0.2">
      <c r="B1485"/>
    </row>
    <row r="1486" spans="2:2" x14ac:dyDescent="0.2">
      <c r="B1486"/>
    </row>
    <row r="1487" spans="2:2" x14ac:dyDescent="0.2">
      <c r="B1487"/>
    </row>
    <row r="1488" spans="2:2" x14ac:dyDescent="0.2">
      <c r="B1488"/>
    </row>
    <row r="1489" spans="2:2" x14ac:dyDescent="0.2">
      <c r="B1489"/>
    </row>
    <row r="1490" spans="2:2" x14ac:dyDescent="0.2">
      <c r="B1490"/>
    </row>
    <row r="1491" spans="2:2" x14ac:dyDescent="0.2">
      <c r="B1491"/>
    </row>
    <row r="1492" spans="2:2" x14ac:dyDescent="0.2">
      <c r="B1492"/>
    </row>
    <row r="1493" spans="2:2" x14ac:dyDescent="0.2">
      <c r="B1493"/>
    </row>
    <row r="1494" spans="2:2" x14ac:dyDescent="0.2">
      <c r="B1494"/>
    </row>
    <row r="1495" spans="2:2" x14ac:dyDescent="0.2">
      <c r="B1495"/>
    </row>
    <row r="1496" spans="2:2" x14ac:dyDescent="0.2">
      <c r="B1496"/>
    </row>
    <row r="1497" spans="2:2" x14ac:dyDescent="0.2">
      <c r="B1497"/>
    </row>
    <row r="1498" spans="2:2" x14ac:dyDescent="0.2">
      <c r="B1498"/>
    </row>
    <row r="1499" spans="2:2" x14ac:dyDescent="0.2">
      <c r="B1499"/>
    </row>
    <row r="1500" spans="2:2" x14ac:dyDescent="0.2">
      <c r="B1500"/>
    </row>
    <row r="1501" spans="2:2" x14ac:dyDescent="0.2">
      <c r="B1501"/>
    </row>
    <row r="1502" spans="2:2" x14ac:dyDescent="0.2">
      <c r="B1502"/>
    </row>
    <row r="1503" spans="2:2" x14ac:dyDescent="0.2">
      <c r="B1503"/>
    </row>
    <row r="1504" spans="2:2" x14ac:dyDescent="0.2">
      <c r="B1504"/>
    </row>
    <row r="1505" spans="2:2" x14ac:dyDescent="0.2">
      <c r="B1505"/>
    </row>
    <row r="1506" spans="2:2" x14ac:dyDescent="0.2">
      <c r="B1506"/>
    </row>
    <row r="1507" spans="2:2" x14ac:dyDescent="0.2">
      <c r="B1507"/>
    </row>
    <row r="1508" spans="2:2" x14ac:dyDescent="0.2">
      <c r="B1508"/>
    </row>
    <row r="1509" spans="2:2" x14ac:dyDescent="0.2">
      <c r="B1509"/>
    </row>
    <row r="1510" spans="2:2" x14ac:dyDescent="0.2">
      <c r="B1510"/>
    </row>
    <row r="1511" spans="2:2" x14ac:dyDescent="0.2">
      <c r="B1511"/>
    </row>
    <row r="1512" spans="2:2" x14ac:dyDescent="0.2">
      <c r="B1512"/>
    </row>
    <row r="1513" spans="2:2" x14ac:dyDescent="0.2">
      <c r="B1513"/>
    </row>
    <row r="1514" spans="2:2" x14ac:dyDescent="0.2">
      <c r="B1514"/>
    </row>
    <row r="1515" spans="2:2" x14ac:dyDescent="0.2">
      <c r="B1515"/>
    </row>
    <row r="1516" spans="2:2" x14ac:dyDescent="0.2">
      <c r="B1516"/>
    </row>
    <row r="1517" spans="2:2" x14ac:dyDescent="0.2">
      <c r="B1517"/>
    </row>
    <row r="1518" spans="2:2" x14ac:dyDescent="0.2">
      <c r="B1518"/>
    </row>
    <row r="1519" spans="2:2" x14ac:dyDescent="0.2">
      <c r="B1519"/>
    </row>
    <row r="1520" spans="2:2" x14ac:dyDescent="0.2">
      <c r="B1520"/>
    </row>
    <row r="1521" spans="2:2" x14ac:dyDescent="0.2">
      <c r="B1521"/>
    </row>
    <row r="1522" spans="2:2" x14ac:dyDescent="0.2">
      <c r="B1522"/>
    </row>
    <row r="1523" spans="2:2" x14ac:dyDescent="0.2">
      <c r="B1523"/>
    </row>
    <row r="1524" spans="2:2" x14ac:dyDescent="0.2">
      <c r="B1524"/>
    </row>
    <row r="1525" spans="2:2" x14ac:dyDescent="0.2">
      <c r="B1525"/>
    </row>
    <row r="1526" spans="2:2" x14ac:dyDescent="0.2">
      <c r="B1526"/>
    </row>
    <row r="1527" spans="2:2" x14ac:dyDescent="0.2">
      <c r="B1527"/>
    </row>
    <row r="1528" spans="2:2" x14ac:dyDescent="0.2">
      <c r="B1528"/>
    </row>
    <row r="1529" spans="2:2" x14ac:dyDescent="0.2">
      <c r="B1529"/>
    </row>
    <row r="1530" spans="2:2" x14ac:dyDescent="0.2">
      <c r="B1530"/>
    </row>
    <row r="1531" spans="2:2" x14ac:dyDescent="0.2">
      <c r="B1531"/>
    </row>
    <row r="1532" spans="2:2" x14ac:dyDescent="0.2">
      <c r="B1532"/>
    </row>
    <row r="1533" spans="2:2" x14ac:dyDescent="0.2">
      <c r="B1533"/>
    </row>
    <row r="1534" spans="2:2" x14ac:dyDescent="0.2">
      <c r="B1534"/>
    </row>
    <row r="1535" spans="2:2" x14ac:dyDescent="0.2">
      <c r="B1535"/>
    </row>
    <row r="1536" spans="2:2" x14ac:dyDescent="0.2">
      <c r="B1536"/>
    </row>
    <row r="1537" spans="2:2" x14ac:dyDescent="0.2">
      <c r="B1537"/>
    </row>
    <row r="1538" spans="2:2" x14ac:dyDescent="0.2">
      <c r="B1538"/>
    </row>
    <row r="1539" spans="2:2" x14ac:dyDescent="0.2">
      <c r="B1539"/>
    </row>
    <row r="1540" spans="2:2" x14ac:dyDescent="0.2">
      <c r="B1540"/>
    </row>
    <row r="1541" spans="2:2" x14ac:dyDescent="0.2">
      <c r="B1541"/>
    </row>
    <row r="1542" spans="2:2" x14ac:dyDescent="0.2">
      <c r="B1542"/>
    </row>
    <row r="1543" spans="2:2" x14ac:dyDescent="0.2">
      <c r="B1543"/>
    </row>
    <row r="1544" spans="2:2" x14ac:dyDescent="0.2">
      <c r="B1544"/>
    </row>
    <row r="1545" spans="2:2" x14ac:dyDescent="0.2">
      <c r="B1545" s="355"/>
    </row>
    <row r="1546" spans="2:2" x14ac:dyDescent="0.2">
      <c r="B1546" s="355"/>
    </row>
    <row r="1547" spans="2:2" x14ac:dyDescent="0.2">
      <c r="B1547" s="355"/>
    </row>
    <row r="1548" spans="2:2" x14ac:dyDescent="0.2">
      <c r="B1548" s="355"/>
    </row>
    <row r="1549" spans="2:2" x14ac:dyDescent="0.2">
      <c r="B1549" s="355"/>
    </row>
    <row r="1550" spans="2:2" x14ac:dyDescent="0.2">
      <c r="B1550" s="355"/>
    </row>
    <row r="1551" spans="2:2" x14ac:dyDescent="0.2">
      <c r="B1551" s="355"/>
    </row>
    <row r="1552" spans="2:2" x14ac:dyDescent="0.2">
      <c r="B1552" s="355"/>
    </row>
    <row r="1553" spans="2:2" x14ac:dyDescent="0.2">
      <c r="B1553" s="355"/>
    </row>
    <row r="1554" spans="2:2" x14ac:dyDescent="0.2">
      <c r="B1554" s="355"/>
    </row>
    <row r="1555" spans="2:2" x14ac:dyDescent="0.2">
      <c r="B1555" s="355"/>
    </row>
    <row r="1556" spans="2:2" x14ac:dyDescent="0.2">
      <c r="B1556" s="355"/>
    </row>
    <row r="1557" spans="2:2" x14ac:dyDescent="0.2">
      <c r="B1557" s="355"/>
    </row>
    <row r="1558" spans="2:2" x14ac:dyDescent="0.2">
      <c r="B1558" s="355"/>
    </row>
    <row r="1559" spans="2:2" x14ac:dyDescent="0.2">
      <c r="B1559" s="355"/>
    </row>
    <row r="1560" spans="2:2" x14ac:dyDescent="0.2">
      <c r="B1560" s="355"/>
    </row>
    <row r="1561" spans="2:2" x14ac:dyDescent="0.2">
      <c r="B1561" s="355"/>
    </row>
    <row r="1562" spans="2:2" x14ac:dyDescent="0.2">
      <c r="B1562" s="355"/>
    </row>
    <row r="1563" spans="2:2" x14ac:dyDescent="0.2">
      <c r="B1563" s="355"/>
    </row>
    <row r="1564" spans="2:2" x14ac:dyDescent="0.2">
      <c r="B1564" s="355"/>
    </row>
    <row r="1565" spans="2:2" x14ac:dyDescent="0.2">
      <c r="B1565" s="355"/>
    </row>
    <row r="1566" spans="2:2" x14ac:dyDescent="0.2">
      <c r="B1566" s="355"/>
    </row>
    <row r="1567" spans="2:2" x14ac:dyDescent="0.2">
      <c r="B1567" s="355"/>
    </row>
    <row r="1568" spans="2:2" x14ac:dyDescent="0.2">
      <c r="B1568" s="355"/>
    </row>
    <row r="1569" spans="2:2" x14ac:dyDescent="0.2">
      <c r="B1569" s="355"/>
    </row>
    <row r="1570" spans="2:2" x14ac:dyDescent="0.2">
      <c r="B1570" s="355"/>
    </row>
    <row r="1571" spans="2:2" x14ac:dyDescent="0.2">
      <c r="B1571" s="355"/>
    </row>
    <row r="1572" spans="2:2" x14ac:dyDescent="0.2">
      <c r="B1572" s="355"/>
    </row>
    <row r="1573" spans="2:2" x14ac:dyDescent="0.2">
      <c r="B1573" s="355"/>
    </row>
    <row r="1574" spans="2:2" x14ac:dyDescent="0.2">
      <c r="B1574" s="355"/>
    </row>
    <row r="1575" spans="2:2" x14ac:dyDescent="0.2">
      <c r="B1575" s="355"/>
    </row>
    <row r="1576" spans="2:2" x14ac:dyDescent="0.2">
      <c r="B1576" s="355"/>
    </row>
    <row r="1577" spans="2:2" x14ac:dyDescent="0.2">
      <c r="B1577" s="355"/>
    </row>
    <row r="1578" spans="2:2" x14ac:dyDescent="0.2">
      <c r="B1578" s="355"/>
    </row>
    <row r="1579" spans="2:2" x14ac:dyDescent="0.2">
      <c r="B1579" s="355"/>
    </row>
    <row r="1580" spans="2:2" x14ac:dyDescent="0.2">
      <c r="B1580" s="355"/>
    </row>
    <row r="1581" spans="2:2" x14ac:dyDescent="0.2">
      <c r="B1581" s="355"/>
    </row>
    <row r="1582" spans="2:2" x14ac:dyDescent="0.2">
      <c r="B1582" s="355"/>
    </row>
    <row r="1583" spans="2:2" x14ac:dyDescent="0.2">
      <c r="B1583" s="355"/>
    </row>
    <row r="1584" spans="2:2" x14ac:dyDescent="0.2">
      <c r="B1584" s="355"/>
    </row>
    <row r="1585" spans="2:2" x14ac:dyDescent="0.2">
      <c r="B1585" s="355"/>
    </row>
    <row r="1586" spans="2:2" x14ac:dyDescent="0.2">
      <c r="B1586" s="355"/>
    </row>
    <row r="1587" spans="2:2" x14ac:dyDescent="0.2">
      <c r="B1587" s="355"/>
    </row>
    <row r="1588" spans="2:2" x14ac:dyDescent="0.2">
      <c r="B1588" s="355"/>
    </row>
    <row r="1589" spans="2:2" x14ac:dyDescent="0.2">
      <c r="B1589" s="355"/>
    </row>
    <row r="1590" spans="2:2" x14ac:dyDescent="0.2">
      <c r="B1590" s="355"/>
    </row>
    <row r="1591" spans="2:2" x14ac:dyDescent="0.2">
      <c r="B1591" s="355"/>
    </row>
    <row r="1592" spans="2:2" x14ac:dyDescent="0.2">
      <c r="B1592" s="355"/>
    </row>
    <row r="1593" spans="2:2" x14ac:dyDescent="0.2">
      <c r="B1593" s="355"/>
    </row>
    <row r="1594" spans="2:2" x14ac:dyDescent="0.2">
      <c r="B1594" s="355"/>
    </row>
    <row r="1595" spans="2:2" x14ac:dyDescent="0.2">
      <c r="B1595" s="355"/>
    </row>
    <row r="1596" spans="2:2" x14ac:dyDescent="0.2">
      <c r="B1596" s="355"/>
    </row>
    <row r="1597" spans="2:2" x14ac:dyDescent="0.2">
      <c r="B1597" s="355"/>
    </row>
    <row r="1598" spans="2:2" x14ac:dyDescent="0.2">
      <c r="B1598" s="355"/>
    </row>
    <row r="1599" spans="2:2" x14ac:dyDescent="0.2">
      <c r="B1599" s="355"/>
    </row>
    <row r="1600" spans="2:2" x14ac:dyDescent="0.2">
      <c r="B1600" s="355"/>
    </row>
    <row r="1601" spans="2:2" x14ac:dyDescent="0.2">
      <c r="B1601" s="355"/>
    </row>
    <row r="1602" spans="2:2" x14ac:dyDescent="0.2">
      <c r="B1602" s="355"/>
    </row>
    <row r="1603" spans="2:2" x14ac:dyDescent="0.2">
      <c r="B1603" s="355"/>
    </row>
    <row r="1604" spans="2:2" x14ac:dyDescent="0.2">
      <c r="B1604" s="355"/>
    </row>
    <row r="1605" spans="2:2" x14ac:dyDescent="0.2">
      <c r="B1605" s="355"/>
    </row>
    <row r="1606" spans="2:2" x14ac:dyDescent="0.2">
      <c r="B1606" s="355"/>
    </row>
    <row r="1607" spans="2:2" x14ac:dyDescent="0.2">
      <c r="B1607" s="355"/>
    </row>
    <row r="1608" spans="2:2" x14ac:dyDescent="0.2">
      <c r="B1608" s="355"/>
    </row>
    <row r="1609" spans="2:2" x14ac:dyDescent="0.2">
      <c r="B1609" s="355"/>
    </row>
    <row r="1610" spans="2:2" x14ac:dyDescent="0.2">
      <c r="B1610" s="355"/>
    </row>
    <row r="1611" spans="2:2" x14ac:dyDescent="0.2">
      <c r="B1611" s="355"/>
    </row>
    <row r="1612" spans="2:2" x14ac:dyDescent="0.2">
      <c r="B1612" s="355"/>
    </row>
    <row r="1613" spans="2:2" x14ac:dyDescent="0.2">
      <c r="B1613" s="355"/>
    </row>
    <row r="1614" spans="2:2" x14ac:dyDescent="0.2">
      <c r="B1614" s="355"/>
    </row>
    <row r="1615" spans="2:2" x14ac:dyDescent="0.2">
      <c r="B1615" s="355"/>
    </row>
    <row r="1616" spans="2:2" x14ac:dyDescent="0.2">
      <c r="B1616" s="355"/>
    </row>
    <row r="1617" spans="2:2" x14ac:dyDescent="0.2">
      <c r="B1617" s="355"/>
    </row>
    <row r="1618" spans="2:2" x14ac:dyDescent="0.2">
      <c r="B1618" s="355"/>
    </row>
    <row r="1619" spans="2:2" x14ac:dyDescent="0.2">
      <c r="B1619" s="355"/>
    </row>
    <row r="1620" spans="2:2" x14ac:dyDescent="0.2">
      <c r="B1620" s="355"/>
    </row>
    <row r="1621" spans="2:2" x14ac:dyDescent="0.2">
      <c r="B1621" s="355"/>
    </row>
    <row r="1622" spans="2:2" x14ac:dyDescent="0.2">
      <c r="B1622" s="355"/>
    </row>
    <row r="1623" spans="2:2" x14ac:dyDescent="0.2">
      <c r="B1623" s="355"/>
    </row>
    <row r="1624" spans="2:2" x14ac:dyDescent="0.2">
      <c r="B1624" s="355"/>
    </row>
    <row r="1625" spans="2:2" x14ac:dyDescent="0.2">
      <c r="B1625" s="355"/>
    </row>
    <row r="1626" spans="2:2" x14ac:dyDescent="0.2">
      <c r="B1626" s="355"/>
    </row>
    <row r="1627" spans="2:2" x14ac:dyDescent="0.2">
      <c r="B1627" s="355"/>
    </row>
    <row r="1628" spans="2:2" x14ac:dyDescent="0.2">
      <c r="B1628" s="355"/>
    </row>
    <row r="1629" spans="2:2" x14ac:dyDescent="0.2">
      <c r="B1629" s="355"/>
    </row>
    <row r="1630" spans="2:2" x14ac:dyDescent="0.2">
      <c r="B1630" s="355"/>
    </row>
    <row r="1631" spans="2:2" x14ac:dyDescent="0.2">
      <c r="B1631" s="355"/>
    </row>
    <row r="1632" spans="2:2" x14ac:dyDescent="0.2">
      <c r="B1632" s="355"/>
    </row>
    <row r="1633" spans="2:2" x14ac:dyDescent="0.2">
      <c r="B1633" s="355"/>
    </row>
    <row r="1634" spans="2:2" x14ac:dyDescent="0.2">
      <c r="B1634" s="355"/>
    </row>
    <row r="1635" spans="2:2" x14ac:dyDescent="0.2">
      <c r="B1635" s="355"/>
    </row>
    <row r="1636" spans="2:2" x14ac:dyDescent="0.2">
      <c r="B1636" s="355"/>
    </row>
    <row r="1637" spans="2:2" x14ac:dyDescent="0.2">
      <c r="B1637" s="355"/>
    </row>
    <row r="1638" spans="2:2" x14ac:dyDescent="0.2">
      <c r="B1638" s="355"/>
    </row>
    <row r="1639" spans="2:2" x14ac:dyDescent="0.2">
      <c r="B1639" s="355"/>
    </row>
    <row r="1640" spans="2:2" x14ac:dyDescent="0.2">
      <c r="B1640" s="355"/>
    </row>
    <row r="1641" spans="2:2" x14ac:dyDescent="0.2">
      <c r="B1641" s="355"/>
    </row>
    <row r="1642" spans="2:2" x14ac:dyDescent="0.2">
      <c r="B1642" s="355"/>
    </row>
    <row r="1643" spans="2:2" x14ac:dyDescent="0.2">
      <c r="B1643" s="355"/>
    </row>
    <row r="1644" spans="2:2" x14ac:dyDescent="0.2">
      <c r="B1644" s="355"/>
    </row>
    <row r="1645" spans="2:2" x14ac:dyDescent="0.2">
      <c r="B1645" s="355"/>
    </row>
    <row r="1646" spans="2:2" x14ac:dyDescent="0.2">
      <c r="B1646" s="355"/>
    </row>
    <row r="1647" spans="2:2" x14ac:dyDescent="0.2">
      <c r="B1647" s="355"/>
    </row>
    <row r="1648" spans="2:2" x14ac:dyDescent="0.2">
      <c r="B1648" s="355"/>
    </row>
    <row r="1649" spans="2:2" x14ac:dyDescent="0.2">
      <c r="B1649" s="355"/>
    </row>
    <row r="1650" spans="2:2" x14ac:dyDescent="0.2">
      <c r="B1650" s="355"/>
    </row>
    <row r="1651" spans="2:2" x14ac:dyDescent="0.2">
      <c r="B1651" s="355"/>
    </row>
    <row r="1652" spans="2:2" x14ac:dyDescent="0.2">
      <c r="B1652" s="355"/>
    </row>
    <row r="1653" spans="2:2" x14ac:dyDescent="0.2">
      <c r="B1653" s="355"/>
    </row>
    <row r="1654" spans="2:2" x14ac:dyDescent="0.2">
      <c r="B1654" s="355"/>
    </row>
    <row r="1655" spans="2:2" x14ac:dyDescent="0.2">
      <c r="B1655" s="355"/>
    </row>
    <row r="1656" spans="2:2" x14ac:dyDescent="0.2">
      <c r="B1656" s="355"/>
    </row>
    <row r="1657" spans="2:2" x14ac:dyDescent="0.2">
      <c r="B1657" s="355"/>
    </row>
    <row r="1658" spans="2:2" x14ac:dyDescent="0.2">
      <c r="B1658" s="355"/>
    </row>
    <row r="1659" spans="2:2" x14ac:dyDescent="0.2">
      <c r="B1659" s="355"/>
    </row>
    <row r="1660" spans="2:2" x14ac:dyDescent="0.2">
      <c r="B1660" s="355"/>
    </row>
    <row r="1661" spans="2:2" x14ac:dyDescent="0.2">
      <c r="B1661" s="355"/>
    </row>
    <row r="1662" spans="2:2" x14ac:dyDescent="0.2">
      <c r="B1662" s="355"/>
    </row>
    <row r="1663" spans="2:2" x14ac:dyDescent="0.2">
      <c r="B1663" s="355"/>
    </row>
    <row r="1664" spans="2:2" x14ac:dyDescent="0.2">
      <c r="B1664" s="355"/>
    </row>
    <row r="1665" spans="2:2" x14ac:dyDescent="0.2">
      <c r="B1665" s="355"/>
    </row>
    <row r="1666" spans="2:2" x14ac:dyDescent="0.2">
      <c r="B1666" s="355"/>
    </row>
    <row r="1667" spans="2:2" x14ac:dyDescent="0.2">
      <c r="B1667" s="355"/>
    </row>
    <row r="1668" spans="2:2" x14ac:dyDescent="0.2">
      <c r="B1668" s="355"/>
    </row>
    <row r="1669" spans="2:2" x14ac:dyDescent="0.2">
      <c r="B1669" s="355"/>
    </row>
    <row r="1670" spans="2:2" x14ac:dyDescent="0.2">
      <c r="B1670" s="355"/>
    </row>
    <row r="1671" spans="2:2" x14ac:dyDescent="0.2">
      <c r="B1671" s="355"/>
    </row>
    <row r="1672" spans="2:2" x14ac:dyDescent="0.2">
      <c r="B1672" s="355"/>
    </row>
    <row r="1673" spans="2:2" x14ac:dyDescent="0.2">
      <c r="B1673" s="355"/>
    </row>
    <row r="1674" spans="2:2" x14ac:dyDescent="0.2">
      <c r="B1674" s="355"/>
    </row>
    <row r="1675" spans="2:2" x14ac:dyDescent="0.2">
      <c r="B1675" s="355"/>
    </row>
    <row r="1676" spans="2:2" x14ac:dyDescent="0.2">
      <c r="B1676" s="355"/>
    </row>
    <row r="1677" spans="2:2" x14ac:dyDescent="0.2">
      <c r="B1677" s="355"/>
    </row>
    <row r="1678" spans="2:2" x14ac:dyDescent="0.2">
      <c r="B1678" s="355"/>
    </row>
    <row r="1679" spans="2:2" x14ac:dyDescent="0.2">
      <c r="B1679" s="355"/>
    </row>
    <row r="1680" spans="2:2" x14ac:dyDescent="0.2">
      <c r="B1680" s="355"/>
    </row>
    <row r="1681" spans="2:2" x14ac:dyDescent="0.2">
      <c r="B1681" s="355"/>
    </row>
    <row r="1682" spans="2:2" x14ac:dyDescent="0.2">
      <c r="B1682" s="355"/>
    </row>
    <row r="1683" spans="2:2" x14ac:dyDescent="0.2">
      <c r="B1683" s="355"/>
    </row>
    <row r="1684" spans="2:2" x14ac:dyDescent="0.2">
      <c r="B1684" s="355"/>
    </row>
    <row r="1685" spans="2:2" x14ac:dyDescent="0.2">
      <c r="B1685" s="355"/>
    </row>
    <row r="1686" spans="2:2" x14ac:dyDescent="0.2">
      <c r="B1686" s="355"/>
    </row>
    <row r="1687" spans="2:2" x14ac:dyDescent="0.2">
      <c r="B1687" s="355"/>
    </row>
    <row r="1688" spans="2:2" x14ac:dyDescent="0.2">
      <c r="B1688" s="355"/>
    </row>
    <row r="1689" spans="2:2" x14ac:dyDescent="0.2">
      <c r="B1689" s="355"/>
    </row>
    <row r="1690" spans="2:2" x14ac:dyDescent="0.2">
      <c r="B1690" s="355"/>
    </row>
    <row r="1691" spans="2:2" x14ac:dyDescent="0.2">
      <c r="B1691" s="355"/>
    </row>
    <row r="1692" spans="2:2" x14ac:dyDescent="0.2">
      <c r="B1692" s="355"/>
    </row>
    <row r="1693" spans="2:2" x14ac:dyDescent="0.2">
      <c r="B1693" s="355"/>
    </row>
    <row r="1694" spans="2:2" x14ac:dyDescent="0.2">
      <c r="B1694" s="355"/>
    </row>
  </sheetData>
  <autoFilter ref="D2:O1001" xr:uid="{00000000-0009-0000-0000-000006000000}"/>
  <sortState ref="D3:O426">
    <sortCondition ref="D3:D426"/>
    <sortCondition ref="E3:E426"/>
    <sortCondition descending="1" ref="I3:I426"/>
    <sortCondition descending="1" ref="J3:J426"/>
    <sortCondition descending="1" ref="K3:K426"/>
    <sortCondition descending="1" ref="L3:L426"/>
  </sortState>
  <conditionalFormatting sqref="D1:O1500">
    <cfRule type="expression" dxfId="142" priority="1">
      <formula>ISNUMBER(FIND("New",INDIRECT("d"&amp;ROW())))</formula>
    </cfRule>
    <cfRule type="expression" dxfId="141" priority="2">
      <formula>ISNUMBER(FIND("Volley",INDIRECT("d"&amp;ROW())))</formula>
    </cfRule>
    <cfRule type="expression" dxfId="140" priority="3">
      <formula>ISNUMBER(FIND("Kick",INDIRECT("d"&amp;ROW())))</formula>
    </cfRule>
    <cfRule type="expression" dxfId="139" priority="4">
      <formula>ISNUMBER(FIND("Flag",INDIRECT("d"&amp;ROW())))</formula>
    </cfRule>
    <cfRule type="expression" dxfId="138" priority="5">
      <formula>ISNUMBER(FIND("Mini",INDIRECT("d"&amp;ROW())))</formula>
    </cfRule>
    <cfRule type="expression" dxfId="137" priority="6">
      <formula>ISNUMBER(FIND("Basket",INDIRECT("d"&amp;ROW())))</formula>
    </cfRule>
  </conditionalFormatting>
  <pageMargins left="0.7" right="0.7" top="0.75" bottom="0.75" header="0.3" footer="0.3"/>
  <pageSetup scale="1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1:AE1514"/>
  <sheetViews>
    <sheetView topLeftCell="O1" zoomScaleNormal="100" workbookViewId="0">
      <selection activeCell="U27" sqref="U27"/>
    </sheetView>
  </sheetViews>
  <sheetFormatPr baseColWidth="10" defaultColWidth="9.1640625" defaultRowHeight="16" x14ac:dyDescent="0.2"/>
  <cols>
    <col min="1" max="2" width="9.1640625" style="131"/>
    <col min="3" max="3" width="44.33203125" style="131" customWidth="1"/>
    <col min="4" max="6" width="24.1640625" style="131" customWidth="1"/>
    <col min="7" max="7" width="35.1640625" style="131" customWidth="1"/>
    <col min="8" max="8" width="24.1640625" style="131" customWidth="1"/>
    <col min="9" max="9" width="35.1640625" style="131" customWidth="1"/>
    <col min="10" max="11" width="24.1640625" style="131" customWidth="1"/>
    <col min="12" max="12" width="14.83203125" style="131" customWidth="1"/>
    <col min="13" max="14" width="24.1640625" style="131" customWidth="1"/>
    <col min="15" max="15" width="9.1640625" style="131"/>
    <col min="16" max="16" width="26.6640625" style="131" bestFit="1" customWidth="1"/>
    <col min="17" max="17" width="14.33203125" style="131" bestFit="1" customWidth="1"/>
    <col min="18" max="18" width="14.33203125" style="131" customWidth="1"/>
    <col min="19" max="19" width="31.6640625" style="131" customWidth="1"/>
    <col min="20" max="20" width="12.6640625" style="131" bestFit="1" customWidth="1"/>
    <col min="21" max="21" width="25.6640625" style="131" bestFit="1" customWidth="1"/>
    <col min="22" max="23" width="9.1640625" style="131"/>
    <col min="24" max="24" width="20.1640625" style="131" customWidth="1"/>
    <col min="25" max="25" width="9.1640625" style="131"/>
    <col min="26" max="26" width="25.83203125" style="131" customWidth="1"/>
    <col min="27" max="28" width="9.1640625" style="131"/>
    <col min="29" max="29" width="36.33203125" style="132" bestFit="1" customWidth="1"/>
    <col min="30" max="31" width="9" style="132" customWidth="1"/>
    <col min="32" max="16384" width="9.1640625" style="131"/>
  </cols>
  <sheetData>
    <row r="1" spans="2:26" x14ac:dyDescent="0.2">
      <c r="C1" s="131" t="s">
        <v>404</v>
      </c>
      <c r="D1" s="131" t="s">
        <v>405</v>
      </c>
      <c r="E1" s="131" t="s">
        <v>406</v>
      </c>
      <c r="F1" s="131" t="s">
        <v>189</v>
      </c>
      <c r="I1" s="132"/>
    </row>
    <row r="3" spans="2:26" x14ac:dyDescent="0.2">
      <c r="C3" s="133" t="s">
        <v>407</v>
      </c>
      <c r="D3" s="133" t="s">
        <v>408</v>
      </c>
      <c r="E3" s="133" t="s">
        <v>409</v>
      </c>
      <c r="F3" s="133" t="s">
        <v>23</v>
      </c>
      <c r="G3" s="133" t="s">
        <v>410</v>
      </c>
      <c r="H3" s="132"/>
      <c r="I3" s="133" t="s">
        <v>9</v>
      </c>
      <c r="J3" s="133" t="s">
        <v>23</v>
      </c>
      <c r="K3" s="133" t="s">
        <v>28</v>
      </c>
      <c r="L3" s="132"/>
      <c r="M3" s="133" t="s">
        <v>408</v>
      </c>
      <c r="N3" s="133" t="s">
        <v>411</v>
      </c>
      <c r="P3" s="133" t="s">
        <v>391</v>
      </c>
      <c r="Q3" s="326" t="s">
        <v>773</v>
      </c>
      <c r="R3"/>
      <c r="S3" s="133" t="s">
        <v>412</v>
      </c>
      <c r="T3"/>
      <c r="U3" s="133" t="s">
        <v>413</v>
      </c>
      <c r="V3" s="326" t="s">
        <v>772</v>
      </c>
      <c r="W3"/>
      <c r="X3" s="133" t="s">
        <v>24</v>
      </c>
      <c r="Z3" s="133" t="s">
        <v>23</v>
      </c>
    </row>
    <row r="4" spans="2:26" x14ac:dyDescent="0.2">
      <c r="B4" s="132"/>
      <c r="C4" s="131" t="s">
        <v>526</v>
      </c>
      <c r="D4" s="131" t="s">
        <v>414</v>
      </c>
      <c r="E4" s="131" t="str">
        <f t="shared" ref="E4:E26" si="0">VLOOKUP(D4,country_short,2,0)</f>
        <v>COL1</v>
      </c>
      <c r="F4" s="131" t="s">
        <v>415</v>
      </c>
      <c r="G4" s="131" t="str">
        <f t="shared" ref="G4:G26" si="1">F4&amp;" "&amp; D4</f>
        <v>Adults FEMALE COLOMBIA 1</v>
      </c>
      <c r="I4" s="134" t="s">
        <v>30</v>
      </c>
      <c r="J4" s="134" t="s">
        <v>189</v>
      </c>
      <c r="K4" s="134" t="s">
        <v>163</v>
      </c>
      <c r="M4" s="131" t="s">
        <v>405</v>
      </c>
      <c r="N4" s="131" t="s">
        <v>406</v>
      </c>
      <c r="P4" s="135" t="s">
        <v>683</v>
      </c>
      <c r="Q4" s="131">
        <v>32</v>
      </c>
      <c r="S4" s="136">
        <v>3.4722222222222224E-2</v>
      </c>
      <c r="U4" s="137">
        <v>43055</v>
      </c>
      <c r="V4" s="131">
        <v>22</v>
      </c>
      <c r="X4" s="131" t="s">
        <v>163</v>
      </c>
      <c r="Z4" s="131" t="s">
        <v>189</v>
      </c>
    </row>
    <row r="5" spans="2:26" x14ac:dyDescent="0.2">
      <c r="B5" s="132"/>
      <c r="C5" s="131" t="s">
        <v>527</v>
      </c>
      <c r="D5" s="131" t="s">
        <v>416</v>
      </c>
      <c r="E5" s="131" t="str">
        <f t="shared" si="0"/>
        <v>ARG1</v>
      </c>
      <c r="F5" s="131" t="s">
        <v>415</v>
      </c>
      <c r="G5" s="131" t="str">
        <f t="shared" si="1"/>
        <v>Adults FEMALE ARGENTINA 1</v>
      </c>
      <c r="I5" s="134" t="s">
        <v>31</v>
      </c>
      <c r="J5" s="134" t="s">
        <v>189</v>
      </c>
      <c r="K5" s="134" t="s">
        <v>164</v>
      </c>
      <c r="M5" s="131" t="s">
        <v>417</v>
      </c>
      <c r="N5" s="131" t="s">
        <v>418</v>
      </c>
      <c r="P5" s="135" t="s">
        <v>684</v>
      </c>
      <c r="Q5" s="131">
        <v>32</v>
      </c>
      <c r="U5" s="137">
        <v>43057</v>
      </c>
      <c r="V5" s="131">
        <v>21</v>
      </c>
      <c r="X5" s="131" t="s">
        <v>164</v>
      </c>
      <c r="Z5" s="131" t="s">
        <v>190</v>
      </c>
    </row>
    <row r="6" spans="2:26" x14ac:dyDescent="0.2">
      <c r="B6" s="132"/>
      <c r="C6" s="131" t="s">
        <v>528</v>
      </c>
      <c r="D6" s="131" t="s">
        <v>419</v>
      </c>
      <c r="E6" s="131" t="str">
        <f t="shared" si="0"/>
        <v>MEX</v>
      </c>
      <c r="F6" s="131" t="s">
        <v>415</v>
      </c>
      <c r="G6" s="131" t="str">
        <f t="shared" si="1"/>
        <v>Adults FEMALE MEXICO</v>
      </c>
      <c r="I6" s="134" t="s">
        <v>32</v>
      </c>
      <c r="J6" s="134" t="s">
        <v>189</v>
      </c>
      <c r="K6" s="134" t="s">
        <v>169</v>
      </c>
      <c r="M6" s="145" t="s">
        <v>419</v>
      </c>
      <c r="N6" s="145" t="s">
        <v>420</v>
      </c>
      <c r="P6" s="135" t="s">
        <v>689</v>
      </c>
      <c r="Q6" s="131">
        <v>12</v>
      </c>
      <c r="U6" s="137">
        <v>43058</v>
      </c>
      <c r="V6" s="131">
        <v>11</v>
      </c>
      <c r="X6" s="131" t="s">
        <v>169</v>
      </c>
      <c r="Z6" s="131" t="s">
        <v>191</v>
      </c>
    </row>
    <row r="7" spans="2:26" x14ac:dyDescent="0.2">
      <c r="B7" s="132"/>
      <c r="C7" s="131" t="s">
        <v>529</v>
      </c>
      <c r="D7" s="131" t="s">
        <v>421</v>
      </c>
      <c r="E7" s="131" t="str">
        <f t="shared" si="0"/>
        <v>PER</v>
      </c>
      <c r="F7" s="131" t="s">
        <v>415</v>
      </c>
      <c r="G7" s="131" t="str">
        <f t="shared" si="1"/>
        <v>Adults FEMALE PERU</v>
      </c>
      <c r="I7" s="134" t="s">
        <v>33</v>
      </c>
      <c r="J7" s="134" t="s">
        <v>189</v>
      </c>
      <c r="K7" s="134" t="s">
        <v>168</v>
      </c>
      <c r="M7" s="131" t="s">
        <v>414</v>
      </c>
      <c r="N7" s="131" t="s">
        <v>422</v>
      </c>
      <c r="P7" s="135" t="s">
        <v>690</v>
      </c>
      <c r="Q7" s="131">
        <v>12</v>
      </c>
      <c r="S7" s="133" t="s">
        <v>423</v>
      </c>
      <c r="U7" s="137">
        <v>43059</v>
      </c>
      <c r="V7" s="131">
        <v>22</v>
      </c>
      <c r="X7" s="131" t="s">
        <v>165</v>
      </c>
      <c r="Z7" s="131" t="s">
        <v>192</v>
      </c>
    </row>
    <row r="8" spans="2:26" x14ac:dyDescent="0.2">
      <c r="B8" s="132"/>
      <c r="C8" s="131" t="s">
        <v>530</v>
      </c>
      <c r="D8" s="131" t="s">
        <v>424</v>
      </c>
      <c r="E8" s="131" t="str">
        <f t="shared" si="0"/>
        <v>USA1</v>
      </c>
      <c r="F8" s="131" t="s">
        <v>415</v>
      </c>
      <c r="G8" s="131" t="str">
        <f t="shared" si="1"/>
        <v>Adults FEMALE USA 1</v>
      </c>
      <c r="I8" s="134" t="s">
        <v>34</v>
      </c>
      <c r="J8" s="134" t="s">
        <v>190</v>
      </c>
      <c r="K8" s="134" t="s">
        <v>163</v>
      </c>
      <c r="M8" s="131" t="s">
        <v>425</v>
      </c>
      <c r="N8" s="131" t="s">
        <v>426</v>
      </c>
      <c r="P8" s="135" t="s">
        <v>691</v>
      </c>
      <c r="Q8" s="131">
        <v>12</v>
      </c>
      <c r="S8" s="138">
        <v>0.33333333333333331</v>
      </c>
      <c r="T8" s="139"/>
      <c r="U8" s="137">
        <v>43060</v>
      </c>
      <c r="V8" s="131">
        <v>22</v>
      </c>
      <c r="X8" s="131" t="s">
        <v>427</v>
      </c>
      <c r="Z8" s="131" t="s">
        <v>193</v>
      </c>
    </row>
    <row r="9" spans="2:26" x14ac:dyDescent="0.2">
      <c r="B9" s="132"/>
      <c r="C9" s="131" t="s">
        <v>531</v>
      </c>
      <c r="D9" s="131" t="s">
        <v>417</v>
      </c>
      <c r="E9" s="131" t="str">
        <f t="shared" si="0"/>
        <v>VEN1</v>
      </c>
      <c r="F9" s="131" t="s">
        <v>415</v>
      </c>
      <c r="G9" s="131" t="str">
        <f t="shared" si="1"/>
        <v>Adults FEMALE VENEZUELA 1</v>
      </c>
      <c r="I9" s="134" t="s">
        <v>35</v>
      </c>
      <c r="J9" s="134" t="s">
        <v>190</v>
      </c>
      <c r="K9" s="134" t="s">
        <v>164</v>
      </c>
      <c r="M9" s="131" t="s">
        <v>424</v>
      </c>
      <c r="N9" s="131" t="s">
        <v>428</v>
      </c>
      <c r="P9" s="135" t="s">
        <v>709</v>
      </c>
      <c r="Q9" s="131">
        <v>11</v>
      </c>
      <c r="S9" s="140">
        <f t="shared" ref="S9:S27" si="2">S8+Time_Slots</f>
        <v>0.36805555555555552</v>
      </c>
      <c r="T9" s="139"/>
      <c r="U9" s="137">
        <v>43061</v>
      </c>
      <c r="V9" s="131">
        <v>22</v>
      </c>
      <c r="X9" s="131" t="s">
        <v>166</v>
      </c>
      <c r="Z9" s="131" t="s">
        <v>194</v>
      </c>
    </row>
    <row r="10" spans="2:26" x14ac:dyDescent="0.2">
      <c r="B10" s="132"/>
      <c r="C10" s="131" t="s">
        <v>532</v>
      </c>
      <c r="D10" s="131" t="s">
        <v>429</v>
      </c>
      <c r="E10" s="131" t="str">
        <f t="shared" si="0"/>
        <v>ALL</v>
      </c>
      <c r="F10" s="131" t="s">
        <v>415</v>
      </c>
      <c r="G10" s="131" t="str">
        <f>F10&amp;" "&amp; D10</f>
        <v>Adults FEMALE ALL</v>
      </c>
      <c r="I10" s="146" t="s">
        <v>36</v>
      </c>
      <c r="J10" s="134" t="s">
        <v>190</v>
      </c>
      <c r="K10" s="134" t="s">
        <v>169</v>
      </c>
      <c r="M10" s="131" t="s">
        <v>416</v>
      </c>
      <c r="N10" s="131" t="s">
        <v>430</v>
      </c>
      <c r="P10" s="135" t="s">
        <v>698</v>
      </c>
      <c r="Q10" s="131">
        <v>11</v>
      </c>
      <c r="S10" s="140">
        <f t="shared" si="2"/>
        <v>0.40277777777777773</v>
      </c>
      <c r="T10" s="139"/>
      <c r="U10" s="137">
        <v>43062</v>
      </c>
      <c r="V10" s="131">
        <v>11</v>
      </c>
      <c r="X10" s="131" t="s">
        <v>167</v>
      </c>
      <c r="Z10" s="131" t="s">
        <v>195</v>
      </c>
    </row>
    <row r="11" spans="2:26" x14ac:dyDescent="0.2">
      <c r="B11" s="132"/>
      <c r="C11" s="131" t="s">
        <v>533</v>
      </c>
      <c r="D11" s="131" t="s">
        <v>416</v>
      </c>
      <c r="E11" s="131" t="str">
        <f t="shared" si="0"/>
        <v>ARG1</v>
      </c>
      <c r="F11" s="131" t="s">
        <v>431</v>
      </c>
      <c r="G11" s="131" t="str">
        <f t="shared" si="1"/>
        <v>Adults MALE ARGENTINA 1</v>
      </c>
      <c r="I11" s="146" t="s">
        <v>37</v>
      </c>
      <c r="J11" s="134" t="s">
        <v>190</v>
      </c>
      <c r="K11" s="134" t="s">
        <v>168</v>
      </c>
      <c r="M11" s="131" t="s">
        <v>432</v>
      </c>
      <c r="N11" s="131" t="s">
        <v>433</v>
      </c>
      <c r="P11" s="135" t="s">
        <v>699</v>
      </c>
      <c r="Q11" s="131">
        <v>11</v>
      </c>
      <c r="S11" s="140">
        <f t="shared" si="2"/>
        <v>0.43749999999999994</v>
      </c>
      <c r="T11" s="139"/>
      <c r="U11" s="137">
        <v>43063</v>
      </c>
      <c r="V11" s="131">
        <v>11</v>
      </c>
      <c r="X11" s="141" t="s">
        <v>148</v>
      </c>
      <c r="Z11" s="131" t="s">
        <v>196</v>
      </c>
    </row>
    <row r="12" spans="2:26" x14ac:dyDescent="0.2">
      <c r="B12" s="132"/>
      <c r="C12" s="131" t="s">
        <v>534</v>
      </c>
      <c r="D12" s="131" t="s">
        <v>434</v>
      </c>
      <c r="E12" s="131" t="str">
        <f>VLOOKUP(D12,country_short,2,0)</f>
        <v>ARG2</v>
      </c>
      <c r="F12" s="131" t="s">
        <v>431</v>
      </c>
      <c r="G12" s="131" t="str">
        <f t="shared" si="1"/>
        <v>Adults MALE ARGENTINA 2</v>
      </c>
      <c r="I12" s="134" t="s">
        <v>38</v>
      </c>
      <c r="J12" s="134" t="s">
        <v>191</v>
      </c>
      <c r="K12" s="134" t="s">
        <v>163</v>
      </c>
      <c r="L12" s="145" t="s">
        <v>204</v>
      </c>
      <c r="M12" s="145" t="s">
        <v>777</v>
      </c>
      <c r="N12" s="145" t="s">
        <v>778</v>
      </c>
      <c r="P12" s="135" t="s">
        <v>688</v>
      </c>
      <c r="Q12" s="131">
        <v>11</v>
      </c>
      <c r="S12" s="140">
        <f>S11+Time_Slots</f>
        <v>0.47222222222222215</v>
      </c>
      <c r="T12" s="139"/>
      <c r="U12" s="137">
        <v>43064</v>
      </c>
      <c r="V12" s="131">
        <v>21</v>
      </c>
      <c r="X12" s="131" t="s">
        <v>163</v>
      </c>
      <c r="Z12" s="131" t="s">
        <v>197</v>
      </c>
    </row>
    <row r="13" spans="2:26" x14ac:dyDescent="0.2">
      <c r="B13" s="132"/>
      <c r="C13" s="131" t="s">
        <v>535</v>
      </c>
      <c r="D13" s="131" t="s">
        <v>437</v>
      </c>
      <c r="E13" s="131" t="str">
        <f>VLOOKUP(D13,country_short,2,0)</f>
        <v>ARG3</v>
      </c>
      <c r="F13" s="131" t="s">
        <v>431</v>
      </c>
      <c r="G13" s="131" t="str">
        <f>F13&amp;" "&amp; D13</f>
        <v>Adults MALE ARGENTINA 3</v>
      </c>
      <c r="I13" s="134" t="s">
        <v>39</v>
      </c>
      <c r="J13" s="134" t="s">
        <v>191</v>
      </c>
      <c r="K13" s="134" t="s">
        <v>164</v>
      </c>
      <c r="M13" s="131" t="s">
        <v>435</v>
      </c>
      <c r="N13" s="131" t="s">
        <v>436</v>
      </c>
      <c r="P13" s="135" t="s">
        <v>695</v>
      </c>
      <c r="Q13" s="131">
        <v>11</v>
      </c>
      <c r="S13" s="140">
        <f t="shared" si="2"/>
        <v>0.50694444444444442</v>
      </c>
      <c r="T13" s="139"/>
      <c r="U13" s="137">
        <v>43065</v>
      </c>
      <c r="V13" s="131">
        <v>21</v>
      </c>
      <c r="X13" s="132" t="s">
        <v>227</v>
      </c>
      <c r="Z13" s="131" t="s">
        <v>198</v>
      </c>
    </row>
    <row r="14" spans="2:26" x14ac:dyDescent="0.2">
      <c r="B14" s="132"/>
      <c r="C14" s="131" t="s">
        <v>536</v>
      </c>
      <c r="D14" s="131" t="s">
        <v>414</v>
      </c>
      <c r="E14" s="131" t="str">
        <f t="shared" si="0"/>
        <v>COL1</v>
      </c>
      <c r="F14" s="131" t="s">
        <v>431</v>
      </c>
      <c r="G14" s="131" t="str">
        <f t="shared" si="1"/>
        <v>Adults MALE COLOMBIA 1</v>
      </c>
      <c r="I14" s="134" t="s">
        <v>41</v>
      </c>
      <c r="J14" s="134" t="s">
        <v>191</v>
      </c>
      <c r="K14" s="134" t="s">
        <v>427</v>
      </c>
      <c r="M14" s="131" t="s">
        <v>434</v>
      </c>
      <c r="N14" s="131" t="s">
        <v>438</v>
      </c>
      <c r="P14" s="135" t="s">
        <v>693</v>
      </c>
      <c r="Q14" s="131">
        <v>11</v>
      </c>
      <c r="S14" s="140">
        <f t="shared" si="2"/>
        <v>0.54166666666666663</v>
      </c>
      <c r="T14" s="139"/>
      <c r="U14" s="137">
        <v>43055</v>
      </c>
      <c r="V14" s="131">
        <v>22</v>
      </c>
      <c r="X14" s="132" t="s">
        <v>168</v>
      </c>
      <c r="Z14" s="131" t="s">
        <v>199</v>
      </c>
    </row>
    <row r="15" spans="2:26" x14ac:dyDescent="0.2">
      <c r="B15" s="132"/>
      <c r="C15" s="131" t="s">
        <v>537</v>
      </c>
      <c r="D15" s="131" t="s">
        <v>419</v>
      </c>
      <c r="E15" s="131" t="str">
        <f t="shared" si="0"/>
        <v>MEX</v>
      </c>
      <c r="F15" s="131" t="s">
        <v>431</v>
      </c>
      <c r="G15" s="131" t="str">
        <f t="shared" si="1"/>
        <v>Adults MALE MEXICO</v>
      </c>
      <c r="I15" s="134" t="s">
        <v>42</v>
      </c>
      <c r="J15" s="134" t="s">
        <v>191</v>
      </c>
      <c r="K15" s="134" t="s">
        <v>168</v>
      </c>
      <c r="M15" s="131" t="s">
        <v>439</v>
      </c>
      <c r="N15" s="131" t="s">
        <v>440</v>
      </c>
      <c r="P15" s="135" t="s">
        <v>692</v>
      </c>
      <c r="Q15" s="131">
        <v>11</v>
      </c>
      <c r="S15" s="140">
        <f t="shared" si="2"/>
        <v>0.57638888888888884</v>
      </c>
      <c r="T15" s="139"/>
      <c r="V15" s="145" t="s">
        <v>774</v>
      </c>
      <c r="X15" s="132" t="s">
        <v>167</v>
      </c>
      <c r="Z15" s="131" t="s">
        <v>200</v>
      </c>
    </row>
    <row r="16" spans="2:26" x14ac:dyDescent="0.2">
      <c r="B16" s="132"/>
      <c r="C16" s="131" t="s">
        <v>538</v>
      </c>
      <c r="D16" s="131" t="s">
        <v>421</v>
      </c>
      <c r="E16" s="131" t="str">
        <f t="shared" si="0"/>
        <v>PER</v>
      </c>
      <c r="F16" s="131" t="s">
        <v>431</v>
      </c>
      <c r="G16" s="131" t="str">
        <f t="shared" si="1"/>
        <v>Adults MALE PERU</v>
      </c>
      <c r="I16" s="132" t="s">
        <v>523</v>
      </c>
      <c r="J16" s="134" t="s">
        <v>191</v>
      </c>
      <c r="K16" s="134" t="s">
        <v>169</v>
      </c>
      <c r="M16" s="145" t="s">
        <v>726</v>
      </c>
      <c r="N16" s="145" t="s">
        <v>727</v>
      </c>
      <c r="P16" s="135" t="s">
        <v>694</v>
      </c>
      <c r="Q16" s="131">
        <v>11</v>
      </c>
      <c r="S16" s="140">
        <f>S15+Time_Slots</f>
        <v>0.61111111111111105</v>
      </c>
      <c r="T16" s="139"/>
      <c r="Z16" s="131" t="s">
        <v>201</v>
      </c>
    </row>
    <row r="17" spans="2:26" x14ac:dyDescent="0.2">
      <c r="B17" s="132"/>
      <c r="C17" s="131" t="s">
        <v>539</v>
      </c>
      <c r="D17" s="131" t="s">
        <v>424</v>
      </c>
      <c r="E17" s="131" t="str">
        <f t="shared" si="0"/>
        <v>USA1</v>
      </c>
      <c r="F17" s="131" t="s">
        <v>431</v>
      </c>
      <c r="G17" s="131" t="str">
        <f t="shared" si="1"/>
        <v>Adults MALE USA 1</v>
      </c>
      <c r="I17" s="134" t="s">
        <v>43</v>
      </c>
      <c r="J17" s="134" t="s">
        <v>192</v>
      </c>
      <c r="K17" s="134" t="s">
        <v>163</v>
      </c>
      <c r="M17" s="131" t="s">
        <v>421</v>
      </c>
      <c r="N17" s="131" t="s">
        <v>441</v>
      </c>
      <c r="P17" s="135" t="s">
        <v>702</v>
      </c>
      <c r="Q17" s="131">
        <v>22</v>
      </c>
      <c r="S17" s="140">
        <f t="shared" si="2"/>
        <v>0.64583333333333326</v>
      </c>
      <c r="T17" s="139"/>
      <c r="X17" s="132"/>
      <c r="Z17" s="131" t="s">
        <v>202</v>
      </c>
    </row>
    <row r="18" spans="2:26" x14ac:dyDescent="0.2">
      <c r="B18" s="132"/>
      <c r="C18" s="131" t="s">
        <v>540</v>
      </c>
      <c r="D18" s="131" t="s">
        <v>432</v>
      </c>
      <c r="E18" s="131" t="str">
        <f t="shared" si="0"/>
        <v>USA2</v>
      </c>
      <c r="F18" s="131" t="s">
        <v>431</v>
      </c>
      <c r="G18" s="131" t="str">
        <f t="shared" si="1"/>
        <v>Adults MALE USA 2</v>
      </c>
      <c r="I18" s="134" t="s">
        <v>44</v>
      </c>
      <c r="J18" s="134" t="s">
        <v>192</v>
      </c>
      <c r="K18" s="134" t="s">
        <v>164</v>
      </c>
      <c r="M18" s="131" t="s">
        <v>442</v>
      </c>
      <c r="N18" s="131" t="s">
        <v>443</v>
      </c>
      <c r="P18" s="135" t="s">
        <v>701</v>
      </c>
      <c r="Q18" s="131">
        <v>22</v>
      </c>
      <c r="S18" s="140">
        <f t="shared" si="2"/>
        <v>0.68055555555555547</v>
      </c>
      <c r="T18" s="139"/>
      <c r="X18" s="132"/>
      <c r="Z18" s="131" t="s">
        <v>203</v>
      </c>
    </row>
    <row r="19" spans="2:26" x14ac:dyDescent="0.2">
      <c r="B19" s="132"/>
      <c r="C19" s="131" t="s">
        <v>541</v>
      </c>
      <c r="D19" s="131" t="s">
        <v>439</v>
      </c>
      <c r="E19" s="131" t="str">
        <f>VLOOKUP(D19,country_short,2,0)</f>
        <v>ISR1</v>
      </c>
      <c r="F19" s="131" t="s">
        <v>431</v>
      </c>
      <c r="G19" s="131" t="str">
        <f>F19&amp;" "&amp; D19</f>
        <v>Adults MALE ISRAEL 1</v>
      </c>
      <c r="I19" s="134" t="s">
        <v>45</v>
      </c>
      <c r="J19" s="134" t="s">
        <v>192</v>
      </c>
      <c r="K19" s="134" t="s">
        <v>427</v>
      </c>
      <c r="M19" s="131" t="s">
        <v>444</v>
      </c>
      <c r="N19" s="131" t="s">
        <v>445</v>
      </c>
      <c r="P19" s="135" t="s">
        <v>703</v>
      </c>
      <c r="Q19" s="131">
        <v>21</v>
      </c>
      <c r="S19" s="140">
        <f t="shared" si="2"/>
        <v>0.71527777777777768</v>
      </c>
      <c r="T19" s="139"/>
      <c r="X19" s="132"/>
      <c r="Z19" s="131" t="s">
        <v>449</v>
      </c>
    </row>
    <row r="20" spans="2:26" x14ac:dyDescent="0.2">
      <c r="B20" s="132"/>
      <c r="C20" s="131" t="s">
        <v>542</v>
      </c>
      <c r="D20" s="131" t="s">
        <v>417</v>
      </c>
      <c r="E20" s="131" t="str">
        <f t="shared" si="0"/>
        <v>VEN1</v>
      </c>
      <c r="F20" s="131" t="s">
        <v>431</v>
      </c>
      <c r="G20" s="131" t="str">
        <f t="shared" si="1"/>
        <v>Adults MALE VENEZUELA 1</v>
      </c>
      <c r="I20" s="134" t="s">
        <v>46</v>
      </c>
      <c r="J20" s="134" t="s">
        <v>192</v>
      </c>
      <c r="K20" s="134" t="s">
        <v>166</v>
      </c>
      <c r="M20" s="131" t="s">
        <v>446</v>
      </c>
      <c r="N20" s="131" t="s">
        <v>446</v>
      </c>
      <c r="P20" s="135" t="s">
        <v>704</v>
      </c>
      <c r="Q20" s="131">
        <v>21</v>
      </c>
      <c r="S20" s="140">
        <f t="shared" si="2"/>
        <v>0.74999999999999989</v>
      </c>
      <c r="T20" s="139"/>
      <c r="X20" s="132"/>
      <c r="Z20" s="131" t="s">
        <v>452</v>
      </c>
    </row>
    <row r="21" spans="2:26" x14ac:dyDescent="0.2">
      <c r="B21" s="132"/>
      <c r="C21" s="131" t="s">
        <v>543</v>
      </c>
      <c r="D21" s="131" t="s">
        <v>429</v>
      </c>
      <c r="E21" s="131" t="str">
        <f t="shared" si="0"/>
        <v>ALL</v>
      </c>
      <c r="F21" s="131" t="s">
        <v>431</v>
      </c>
      <c r="G21" s="131" t="str">
        <f>F21&amp;" "&amp; D21</f>
        <v>Adults MALE ALL</v>
      </c>
      <c r="I21" s="134" t="s">
        <v>47</v>
      </c>
      <c r="J21" s="134" t="s">
        <v>192</v>
      </c>
      <c r="K21" s="134" t="s">
        <v>168</v>
      </c>
      <c r="M21" s="131" t="s">
        <v>447</v>
      </c>
      <c r="N21" s="131" t="s">
        <v>448</v>
      </c>
      <c r="P21" s="135" t="s">
        <v>705</v>
      </c>
      <c r="Q21" s="131">
        <v>21</v>
      </c>
      <c r="S21" s="140">
        <f t="shared" si="2"/>
        <v>0.7847222222222221</v>
      </c>
      <c r="T21" s="139"/>
      <c r="X21" s="132"/>
    </row>
    <row r="22" spans="2:26" x14ac:dyDescent="0.2">
      <c r="B22" s="132"/>
      <c r="C22" s="131" t="s">
        <v>544</v>
      </c>
      <c r="D22" s="131" t="s">
        <v>416</v>
      </c>
      <c r="E22" s="131" t="str">
        <f t="shared" si="0"/>
        <v>ARG1</v>
      </c>
      <c r="F22" s="131" t="s">
        <v>189</v>
      </c>
      <c r="G22" s="131" t="str">
        <f t="shared" si="1"/>
        <v>CHILDREN A COED ARGENTINA 1</v>
      </c>
      <c r="I22" s="134" t="s">
        <v>48</v>
      </c>
      <c r="J22" s="134" t="s">
        <v>193</v>
      </c>
      <c r="K22" s="134" t="s">
        <v>163</v>
      </c>
      <c r="M22" s="131" t="s">
        <v>450</v>
      </c>
      <c r="N22" s="131" t="s">
        <v>451</v>
      </c>
      <c r="P22" s="135" t="s">
        <v>706</v>
      </c>
      <c r="Q22" s="131">
        <v>21</v>
      </c>
      <c r="S22" s="140">
        <f t="shared" si="2"/>
        <v>0.81944444444444431</v>
      </c>
      <c r="T22" s="139"/>
      <c r="X22" s="132"/>
      <c r="Z22" s="132"/>
    </row>
    <row r="23" spans="2:26" x14ac:dyDescent="0.2">
      <c r="B23" s="132"/>
      <c r="C23" s="131" t="s">
        <v>545</v>
      </c>
      <c r="D23" s="131" t="s">
        <v>414</v>
      </c>
      <c r="E23" s="131" t="str">
        <f t="shared" si="0"/>
        <v>COL1</v>
      </c>
      <c r="F23" s="131" t="s">
        <v>189</v>
      </c>
      <c r="G23" s="131" t="str">
        <f t="shared" si="1"/>
        <v>CHILDREN A COED COLOMBIA 1</v>
      </c>
      <c r="I23" s="134" t="s">
        <v>49</v>
      </c>
      <c r="J23" s="134" t="s">
        <v>193</v>
      </c>
      <c r="K23" s="134" t="s">
        <v>164</v>
      </c>
      <c r="M23" s="131" t="s">
        <v>453</v>
      </c>
      <c r="N23" s="131" t="s">
        <v>453</v>
      </c>
      <c r="P23" s="132" t="s">
        <v>707</v>
      </c>
      <c r="Q23" s="131">
        <v>21</v>
      </c>
      <c r="S23" s="140">
        <f t="shared" si="2"/>
        <v>0.85416666666666652</v>
      </c>
      <c r="T23" s="139"/>
      <c r="X23" s="132"/>
      <c r="Z23" s="132"/>
    </row>
    <row r="24" spans="2:26" x14ac:dyDescent="0.2">
      <c r="B24" s="132"/>
      <c r="C24" s="131" t="s">
        <v>546</v>
      </c>
      <c r="D24" s="131" t="s">
        <v>405</v>
      </c>
      <c r="E24" s="131" t="str">
        <f t="shared" si="0"/>
        <v>COL2</v>
      </c>
      <c r="F24" s="131" t="s">
        <v>189</v>
      </c>
      <c r="G24" s="131" t="str">
        <f t="shared" si="1"/>
        <v>CHILDREN A COED COLOMBIA 2</v>
      </c>
      <c r="I24" s="134" t="s">
        <v>51</v>
      </c>
      <c r="J24" s="134" t="s">
        <v>193</v>
      </c>
      <c r="K24" s="134" t="s">
        <v>427</v>
      </c>
      <c r="M24" s="131" t="s">
        <v>454</v>
      </c>
      <c r="N24" s="131" t="s">
        <v>455</v>
      </c>
      <c r="P24" s="132" t="s">
        <v>708</v>
      </c>
      <c r="Q24" s="131">
        <v>21</v>
      </c>
      <c r="S24" s="140">
        <f t="shared" si="2"/>
        <v>0.88888888888888873</v>
      </c>
      <c r="T24" s="139"/>
      <c r="X24" s="132"/>
      <c r="Z24" s="132"/>
    </row>
    <row r="25" spans="2:26" x14ac:dyDescent="0.2">
      <c r="B25" s="132"/>
      <c r="C25" s="131" t="s">
        <v>547</v>
      </c>
      <c r="D25" s="131" t="s">
        <v>419</v>
      </c>
      <c r="E25" s="131" t="str">
        <f t="shared" si="0"/>
        <v>MEX</v>
      </c>
      <c r="F25" s="131" t="s">
        <v>189</v>
      </c>
      <c r="G25" s="131" t="str">
        <f t="shared" si="1"/>
        <v>CHILDREN A COED MEXICO</v>
      </c>
      <c r="I25" s="134" t="s">
        <v>52</v>
      </c>
      <c r="J25" s="134" t="s">
        <v>193</v>
      </c>
      <c r="K25" s="134" t="s">
        <v>168</v>
      </c>
      <c r="M25" s="131" t="s">
        <v>417</v>
      </c>
      <c r="N25" s="131" t="s">
        <v>418</v>
      </c>
      <c r="P25" s="135" t="s">
        <v>696</v>
      </c>
      <c r="Q25" s="131">
        <v>11</v>
      </c>
      <c r="S25" s="140">
        <f t="shared" si="2"/>
        <v>0.92361111111111094</v>
      </c>
      <c r="T25" s="139"/>
      <c r="X25" s="132"/>
      <c r="Z25" s="132"/>
    </row>
    <row r="26" spans="2:26" x14ac:dyDescent="0.2">
      <c r="B26" s="132"/>
      <c r="C26" s="131" t="s">
        <v>548</v>
      </c>
      <c r="D26" s="131" t="s">
        <v>424</v>
      </c>
      <c r="E26" s="131" t="str">
        <f t="shared" si="0"/>
        <v>USA1</v>
      </c>
      <c r="F26" s="131" t="s">
        <v>189</v>
      </c>
      <c r="G26" s="131" t="str">
        <f t="shared" si="1"/>
        <v>CHILDREN A COED USA 1</v>
      </c>
      <c r="I26" s="134" t="s">
        <v>53</v>
      </c>
      <c r="J26" s="134" t="s">
        <v>194</v>
      </c>
      <c r="K26" s="134" t="s">
        <v>163</v>
      </c>
      <c r="M26" s="131" t="s">
        <v>456</v>
      </c>
      <c r="N26" s="131" t="s">
        <v>457</v>
      </c>
      <c r="P26" s="135" t="s">
        <v>697</v>
      </c>
      <c r="Q26" s="131">
        <v>11</v>
      </c>
      <c r="S26" s="140">
        <f t="shared" si="2"/>
        <v>0.95833333333333315</v>
      </c>
      <c r="T26" s="139"/>
      <c r="X26" s="132"/>
      <c r="Z26" s="132"/>
    </row>
    <row r="27" spans="2:26" x14ac:dyDescent="0.2">
      <c r="B27" s="132"/>
      <c r="C27" s="131" t="s">
        <v>775</v>
      </c>
      <c r="D27" s="131" t="s">
        <v>432</v>
      </c>
      <c r="E27" s="131" t="str">
        <f t="shared" ref="E27" si="3">VLOOKUP(D27,country_short,2,0)</f>
        <v>USA2</v>
      </c>
      <c r="F27" s="131" t="s">
        <v>189</v>
      </c>
      <c r="G27" s="131" t="str">
        <f t="shared" ref="G27" si="4">F27&amp;" "&amp; D27</f>
        <v>CHILDREN A COED USA 2</v>
      </c>
      <c r="I27" s="134" t="s">
        <v>54</v>
      </c>
      <c r="J27" s="134" t="s">
        <v>194</v>
      </c>
      <c r="K27" s="134" t="s">
        <v>164</v>
      </c>
      <c r="M27" s="131" t="s">
        <v>437</v>
      </c>
      <c r="N27" s="131" t="s">
        <v>458</v>
      </c>
      <c r="P27" s="135" t="s">
        <v>700</v>
      </c>
      <c r="Q27" s="131">
        <v>11</v>
      </c>
      <c r="S27" s="140">
        <f t="shared" si="2"/>
        <v>0.99305555555555536</v>
      </c>
      <c r="T27" s="139"/>
      <c r="X27" s="132"/>
      <c r="Z27" s="132"/>
    </row>
    <row r="28" spans="2:26" x14ac:dyDescent="0.2">
      <c r="B28" s="132"/>
      <c r="C28" s="131" t="s">
        <v>549</v>
      </c>
      <c r="D28" s="131" t="s">
        <v>417</v>
      </c>
      <c r="E28" s="131" t="str">
        <f t="shared" ref="E28:E34" si="5">VLOOKUP(D28,country_short,2,0)</f>
        <v>VEN1</v>
      </c>
      <c r="F28" s="131" t="s">
        <v>189</v>
      </c>
      <c r="G28" s="131" t="str">
        <f t="shared" ref="G28:G43" si="6">F28&amp;" "&amp; D28</f>
        <v>CHILDREN A COED VENEZUELA 1</v>
      </c>
      <c r="I28" s="134" t="s">
        <v>55</v>
      </c>
      <c r="J28" s="134" t="s">
        <v>194</v>
      </c>
      <c r="K28" s="134" t="s">
        <v>166</v>
      </c>
      <c r="M28" s="145" t="s">
        <v>712</v>
      </c>
      <c r="N28" s="145" t="s">
        <v>713</v>
      </c>
      <c r="P28" s="144" t="s">
        <v>686</v>
      </c>
      <c r="Q28" s="131">
        <v>32</v>
      </c>
      <c r="U28" s="132"/>
      <c r="V28" s="132"/>
      <c r="W28" s="132"/>
      <c r="X28" s="132"/>
      <c r="Z28" s="132"/>
    </row>
    <row r="29" spans="2:26" x14ac:dyDescent="0.2">
      <c r="B29" s="132"/>
      <c r="C29" s="131" t="s">
        <v>550</v>
      </c>
      <c r="D29" s="131" t="s">
        <v>425</v>
      </c>
      <c r="E29" s="131" t="str">
        <f t="shared" si="5"/>
        <v>VEN2</v>
      </c>
      <c r="F29" s="131" t="s">
        <v>189</v>
      </c>
      <c r="G29" s="131" t="str">
        <f t="shared" si="6"/>
        <v>CHILDREN A COED VENEZUELA 2</v>
      </c>
      <c r="I29" s="134" t="s">
        <v>56</v>
      </c>
      <c r="J29" s="134" t="s">
        <v>194</v>
      </c>
      <c r="K29" s="134" t="s">
        <v>427</v>
      </c>
      <c r="M29" s="145" t="s">
        <v>714</v>
      </c>
      <c r="N29" s="145" t="s">
        <v>715</v>
      </c>
      <c r="P29" s="135" t="s">
        <v>687</v>
      </c>
      <c r="Q29" s="131">
        <v>32</v>
      </c>
      <c r="X29" s="132"/>
      <c r="Z29" s="132"/>
    </row>
    <row r="30" spans="2:26" x14ac:dyDescent="0.2">
      <c r="B30" s="132"/>
      <c r="C30" s="131" t="s">
        <v>551</v>
      </c>
      <c r="D30" s="131" t="s">
        <v>429</v>
      </c>
      <c r="E30" s="131" t="str">
        <f t="shared" si="5"/>
        <v>ALL</v>
      </c>
      <c r="F30" s="131" t="s">
        <v>189</v>
      </c>
      <c r="G30" s="131" t="str">
        <f t="shared" si="6"/>
        <v>CHILDREN A COED ALL</v>
      </c>
      <c r="I30" s="134" t="s">
        <v>57</v>
      </c>
      <c r="J30" s="134" t="s">
        <v>194</v>
      </c>
      <c r="K30" s="134" t="s">
        <v>168</v>
      </c>
      <c r="M30" s="131" t="s">
        <v>429</v>
      </c>
      <c r="N30" s="131" t="s">
        <v>429</v>
      </c>
      <c r="P30" s="135" t="s">
        <v>685</v>
      </c>
      <c r="Q30" s="131">
        <v>32</v>
      </c>
      <c r="S30" s="133" t="s">
        <v>459</v>
      </c>
      <c r="X30" s="132"/>
      <c r="Z30" s="132"/>
    </row>
    <row r="31" spans="2:26" x14ac:dyDescent="0.2">
      <c r="B31" s="132"/>
      <c r="C31" s="131" t="s">
        <v>552</v>
      </c>
      <c r="D31" s="131" t="s">
        <v>416</v>
      </c>
      <c r="E31" s="131" t="str">
        <f t="shared" si="5"/>
        <v>ARG1</v>
      </c>
      <c r="F31" s="131" t="s">
        <v>190</v>
      </c>
      <c r="G31" s="131" t="str">
        <f t="shared" si="6"/>
        <v>CHILDREN B COED ARGENTINA 1</v>
      </c>
      <c r="I31" s="134" t="s">
        <v>58</v>
      </c>
      <c r="J31" s="134" t="s">
        <v>195</v>
      </c>
      <c r="K31" s="134" t="s">
        <v>163</v>
      </c>
      <c r="M31" s="132"/>
      <c r="P31" s="135"/>
      <c r="Q31" s="145" t="s">
        <v>774</v>
      </c>
      <c r="S31" s="138" t="str">
        <f>TEXT(S8,"HH:MM:SS AM/PM")</f>
        <v>08:00:00 AM</v>
      </c>
      <c r="X31" s="132"/>
      <c r="Z31" s="132"/>
    </row>
    <row r="32" spans="2:26" x14ac:dyDescent="0.2">
      <c r="B32" s="132"/>
      <c r="C32" s="131" t="s">
        <v>553</v>
      </c>
      <c r="D32" s="131" t="s">
        <v>434</v>
      </c>
      <c r="E32" s="131" t="str">
        <f t="shared" si="5"/>
        <v>ARG2</v>
      </c>
      <c r="F32" s="131" t="s">
        <v>190</v>
      </c>
      <c r="G32" s="131" t="str">
        <f t="shared" si="6"/>
        <v>CHILDREN B COED ARGENTINA 2</v>
      </c>
      <c r="I32" s="134" t="s">
        <v>59</v>
      </c>
      <c r="J32" s="134" t="s">
        <v>195</v>
      </c>
      <c r="K32" s="134" t="s">
        <v>164</v>
      </c>
      <c r="M32" s="132"/>
      <c r="N32" s="145" t="s">
        <v>525</v>
      </c>
      <c r="P32" s="135"/>
      <c r="S32" s="138" t="str">
        <f t="shared" ref="S32:S39" si="7">TEXT(S9,"HH:MM:SS AM/PM")</f>
        <v>08:50:00 AM</v>
      </c>
      <c r="X32" s="132"/>
      <c r="Z32" s="132"/>
    </row>
    <row r="33" spans="2:26" x14ac:dyDescent="0.2">
      <c r="B33" s="132"/>
      <c r="C33" s="131" t="s">
        <v>554</v>
      </c>
      <c r="D33" s="131" t="s">
        <v>414</v>
      </c>
      <c r="E33" s="131" t="str">
        <f t="shared" si="5"/>
        <v>COL1</v>
      </c>
      <c r="F33" s="131" t="s">
        <v>190</v>
      </c>
      <c r="G33" s="131" t="str">
        <f t="shared" si="6"/>
        <v>CHILDREN B COED COLOMBIA 1</v>
      </c>
      <c r="I33" s="134" t="s">
        <v>60</v>
      </c>
      <c r="J33" s="134" t="s">
        <v>195</v>
      </c>
      <c r="K33" s="134" t="s">
        <v>427</v>
      </c>
      <c r="M33" s="132"/>
      <c r="P33" s="132"/>
      <c r="S33" s="138" t="str">
        <f t="shared" si="7"/>
        <v>09:40:00 AM</v>
      </c>
      <c r="X33" s="132"/>
      <c r="Z33" s="132"/>
    </row>
    <row r="34" spans="2:26" x14ac:dyDescent="0.2">
      <c r="B34" s="132"/>
      <c r="C34" s="131" t="s">
        <v>555</v>
      </c>
      <c r="D34" s="131" t="s">
        <v>405</v>
      </c>
      <c r="E34" s="131" t="str">
        <f t="shared" si="5"/>
        <v>COL2</v>
      </c>
      <c r="F34" s="131" t="s">
        <v>190</v>
      </c>
      <c r="G34" s="131" t="str">
        <f t="shared" si="6"/>
        <v>CHILDREN B COED COLOMBIA 2</v>
      </c>
      <c r="I34" s="134" t="s">
        <v>61</v>
      </c>
      <c r="J34" s="134" t="s">
        <v>195</v>
      </c>
      <c r="K34" s="134" t="s">
        <v>167</v>
      </c>
      <c r="M34" s="132"/>
      <c r="P34" s="132"/>
      <c r="S34" s="138" t="str">
        <f t="shared" si="7"/>
        <v>10:30:00 AM</v>
      </c>
      <c r="X34" s="132"/>
      <c r="Z34" s="132"/>
    </row>
    <row r="35" spans="2:26" x14ac:dyDescent="0.2">
      <c r="B35" s="132"/>
      <c r="C35" s="131" t="s">
        <v>556</v>
      </c>
      <c r="D35" s="131" t="s">
        <v>439</v>
      </c>
      <c r="E35" s="131" t="s">
        <v>440</v>
      </c>
      <c r="F35" s="131" t="s">
        <v>190</v>
      </c>
      <c r="G35" s="131" t="str">
        <f t="shared" si="6"/>
        <v>CHILDREN B COED ISRAEL 1</v>
      </c>
      <c r="I35" s="132" t="s">
        <v>145</v>
      </c>
      <c r="J35" s="134" t="s">
        <v>195</v>
      </c>
      <c r="K35" s="134" t="s">
        <v>168</v>
      </c>
      <c r="M35" s="132"/>
      <c r="P35" s="132"/>
      <c r="S35" s="138" t="str">
        <f>TEXT(S12,"HH:MM:SS AM/PM")</f>
        <v>11:20:00 AM</v>
      </c>
      <c r="X35" s="132"/>
      <c r="Z35" s="132"/>
    </row>
    <row r="36" spans="2:26" x14ac:dyDescent="0.2">
      <c r="B36" s="132"/>
      <c r="C36" s="131" t="s">
        <v>557</v>
      </c>
      <c r="D36" s="131" t="s">
        <v>419</v>
      </c>
      <c r="E36" s="131" t="str">
        <f t="shared" ref="E36:E43" si="8">VLOOKUP(D36,country_short,2,0)</f>
        <v>MEX</v>
      </c>
      <c r="F36" s="131" t="s">
        <v>190</v>
      </c>
      <c r="G36" s="131" t="str">
        <f t="shared" si="6"/>
        <v>CHILDREN B COED MEXICO</v>
      </c>
      <c r="I36" s="134" t="s">
        <v>62</v>
      </c>
      <c r="J36" s="134" t="s">
        <v>196</v>
      </c>
      <c r="K36" s="134" t="s">
        <v>163</v>
      </c>
      <c r="M36" s="132"/>
      <c r="P36" s="132"/>
      <c r="S36" s="138" t="str">
        <f>TEXT(S13,"HH:MM:SS AM/PM")</f>
        <v>12:10:00 PM</v>
      </c>
      <c r="X36" s="132"/>
      <c r="Z36" s="132"/>
    </row>
    <row r="37" spans="2:26" x14ac:dyDescent="0.2">
      <c r="B37" s="132"/>
      <c r="C37" s="131" t="s">
        <v>558</v>
      </c>
      <c r="D37" s="131" t="s">
        <v>424</v>
      </c>
      <c r="E37" s="131" t="str">
        <f t="shared" si="8"/>
        <v>USA1</v>
      </c>
      <c r="F37" s="131" t="s">
        <v>190</v>
      </c>
      <c r="G37" s="131" t="str">
        <f t="shared" si="6"/>
        <v>CHILDREN B COED USA 1</v>
      </c>
      <c r="I37" s="134" t="s">
        <v>63</v>
      </c>
      <c r="J37" s="134" t="s">
        <v>196</v>
      </c>
      <c r="K37" s="134" t="s">
        <v>164</v>
      </c>
      <c r="M37" s="132"/>
      <c r="P37" s="132"/>
      <c r="S37" s="138" t="str">
        <f>TEXT(S14,"HH:MM:SS AM/PM")</f>
        <v>01:00:00 PM</v>
      </c>
      <c r="X37" s="132"/>
      <c r="Z37" s="132"/>
    </row>
    <row r="38" spans="2:26" x14ac:dyDescent="0.2">
      <c r="B38" s="132"/>
      <c r="C38" s="131" t="s">
        <v>559</v>
      </c>
      <c r="D38" s="131" t="s">
        <v>432</v>
      </c>
      <c r="E38" s="131" t="str">
        <f t="shared" si="8"/>
        <v>USA2</v>
      </c>
      <c r="F38" s="131" t="s">
        <v>190</v>
      </c>
      <c r="G38" s="131" t="str">
        <f t="shared" si="6"/>
        <v>CHILDREN B COED USA 2</v>
      </c>
      <c r="I38" s="134" t="s">
        <v>64</v>
      </c>
      <c r="J38" s="134" t="s">
        <v>196</v>
      </c>
      <c r="K38" s="134" t="s">
        <v>427</v>
      </c>
      <c r="M38" s="132"/>
      <c r="P38" s="132"/>
      <c r="S38" s="138" t="str">
        <f>TEXT(S15,"HH:MM:SS AM/PM")</f>
        <v>01:50:00 PM</v>
      </c>
      <c r="X38" s="132"/>
      <c r="Z38" s="132"/>
    </row>
    <row r="39" spans="2:26" x14ac:dyDescent="0.2">
      <c r="B39" s="132"/>
      <c r="C39" s="131" t="s">
        <v>560</v>
      </c>
      <c r="D39" s="131" t="s">
        <v>417</v>
      </c>
      <c r="E39" s="131" t="str">
        <f t="shared" si="8"/>
        <v>VEN1</v>
      </c>
      <c r="F39" s="131" t="s">
        <v>190</v>
      </c>
      <c r="G39" s="131" t="str">
        <f t="shared" si="6"/>
        <v>CHILDREN B COED VENEZUELA 1</v>
      </c>
      <c r="I39" s="134" t="s">
        <v>65</v>
      </c>
      <c r="J39" s="134" t="s">
        <v>196</v>
      </c>
      <c r="K39" s="134" t="s">
        <v>166</v>
      </c>
      <c r="M39" s="132"/>
      <c r="P39" s="132"/>
      <c r="S39" s="138" t="str">
        <f t="shared" si="7"/>
        <v>02:40:00 PM</v>
      </c>
      <c r="X39" s="132"/>
      <c r="Z39" s="132"/>
    </row>
    <row r="40" spans="2:26" x14ac:dyDescent="0.2">
      <c r="B40" s="132"/>
      <c r="C40" s="131" t="s">
        <v>561</v>
      </c>
      <c r="D40" s="131" t="s">
        <v>425</v>
      </c>
      <c r="E40" s="131" t="str">
        <f t="shared" si="8"/>
        <v>VEN2</v>
      </c>
      <c r="F40" s="131" t="s">
        <v>190</v>
      </c>
      <c r="G40" s="131" t="str">
        <f t="shared" si="6"/>
        <v>CHILDREN B COED VENEZUELA 2</v>
      </c>
      <c r="I40" s="134" t="s">
        <v>66</v>
      </c>
      <c r="J40" s="134" t="s">
        <v>196</v>
      </c>
      <c r="K40" s="134" t="s">
        <v>167</v>
      </c>
      <c r="M40" s="132"/>
      <c r="P40" s="132"/>
      <c r="S40" s="138" t="str">
        <f t="shared" ref="S40:S50" si="9">TEXT(S17,"HH:MM:SS AM/PM")</f>
        <v>03:30:00 PM</v>
      </c>
      <c r="X40" s="132"/>
      <c r="Z40" s="132"/>
    </row>
    <row r="41" spans="2:26" x14ac:dyDescent="0.2">
      <c r="B41" s="132"/>
      <c r="C41" s="131" t="s">
        <v>562</v>
      </c>
      <c r="D41" s="131" t="s">
        <v>435</v>
      </c>
      <c r="E41" s="131" t="str">
        <f t="shared" si="8"/>
        <v>VEN3</v>
      </c>
      <c r="F41" s="131" t="s">
        <v>190</v>
      </c>
      <c r="G41" s="131" t="str">
        <f t="shared" si="6"/>
        <v>CHILDREN B COED VENEZUELA 3</v>
      </c>
      <c r="I41" s="146" t="s">
        <v>732</v>
      </c>
      <c r="J41" s="134" t="s">
        <v>196</v>
      </c>
      <c r="K41" s="146" t="s">
        <v>168</v>
      </c>
      <c r="M41" s="132"/>
      <c r="P41" s="132"/>
      <c r="S41" s="138" t="str">
        <f t="shared" si="9"/>
        <v>04:20:00 PM</v>
      </c>
      <c r="X41" s="132"/>
      <c r="Z41" s="132"/>
    </row>
    <row r="42" spans="2:26" x14ac:dyDescent="0.2">
      <c r="B42" s="132"/>
      <c r="C42" s="131" t="s">
        <v>563</v>
      </c>
      <c r="D42" s="131" t="s">
        <v>429</v>
      </c>
      <c r="E42" s="131" t="str">
        <f t="shared" si="8"/>
        <v>ALL</v>
      </c>
      <c r="F42" s="131" t="s">
        <v>190</v>
      </c>
      <c r="G42" s="131" t="str">
        <f t="shared" si="6"/>
        <v>CHILDREN B COED ALL</v>
      </c>
      <c r="I42" s="134" t="s">
        <v>460</v>
      </c>
      <c r="J42" s="134" t="s">
        <v>197</v>
      </c>
      <c r="K42" s="134" t="s">
        <v>163</v>
      </c>
      <c r="M42" s="132"/>
      <c r="P42" s="132"/>
      <c r="S42" s="138" t="str">
        <f t="shared" si="9"/>
        <v>05:10:00 PM</v>
      </c>
      <c r="X42" s="132"/>
      <c r="Z42" s="132"/>
    </row>
    <row r="43" spans="2:26" x14ac:dyDescent="0.2">
      <c r="B43" s="132"/>
      <c r="C43" s="131" t="s">
        <v>564</v>
      </c>
      <c r="D43" s="131" t="s">
        <v>416</v>
      </c>
      <c r="E43" s="131" t="str">
        <f t="shared" si="8"/>
        <v>ARG1</v>
      </c>
      <c r="F43" s="131" t="s">
        <v>191</v>
      </c>
      <c r="G43" s="131" t="str">
        <f t="shared" si="6"/>
        <v>CHILDREN C FEMALE ARGENTINA 1</v>
      </c>
      <c r="I43" s="134" t="s">
        <v>68</v>
      </c>
      <c r="J43" s="134" t="s">
        <v>197</v>
      </c>
      <c r="K43" s="134" t="s">
        <v>164</v>
      </c>
      <c r="M43" s="132"/>
      <c r="P43" s="132"/>
      <c r="S43" s="138" t="str">
        <f t="shared" si="9"/>
        <v>06:00:00 PM</v>
      </c>
      <c r="X43" s="132"/>
      <c r="Z43" s="132"/>
    </row>
    <row r="44" spans="2:26" x14ac:dyDescent="0.2">
      <c r="B44" s="132"/>
      <c r="C44" s="131" t="s">
        <v>565</v>
      </c>
      <c r="D44" s="131" t="s">
        <v>414</v>
      </c>
      <c r="E44" s="131" t="str">
        <f t="shared" ref="E44:E71" si="10">VLOOKUP(D44,country_short,2,0)</f>
        <v>COL1</v>
      </c>
      <c r="F44" s="131" t="s">
        <v>191</v>
      </c>
      <c r="G44" s="131" t="str">
        <f t="shared" ref="G44:G75" si="11">F44&amp;" "&amp; D44</f>
        <v>CHILDREN C FEMALE COLOMBIA 1</v>
      </c>
      <c r="I44" s="134" t="s">
        <v>69</v>
      </c>
      <c r="J44" s="134" t="s">
        <v>197</v>
      </c>
      <c r="K44" s="134" t="s">
        <v>166</v>
      </c>
      <c r="M44" s="132"/>
      <c r="P44" s="132"/>
      <c r="S44" s="138" t="str">
        <f t="shared" si="9"/>
        <v>06:50:00 PM</v>
      </c>
      <c r="X44" s="132"/>
      <c r="Z44" s="132"/>
    </row>
    <row r="45" spans="2:26" x14ac:dyDescent="0.2">
      <c r="B45" s="132"/>
      <c r="C45" s="131" t="s">
        <v>566</v>
      </c>
      <c r="D45" s="131" t="s">
        <v>419</v>
      </c>
      <c r="E45" s="131" t="str">
        <f t="shared" si="10"/>
        <v>MEX</v>
      </c>
      <c r="F45" s="131" t="s">
        <v>191</v>
      </c>
      <c r="G45" s="131" t="str">
        <f t="shared" si="11"/>
        <v>CHILDREN C FEMALE MEXICO</v>
      </c>
      <c r="I45" s="134" t="s">
        <v>70</v>
      </c>
      <c r="J45" s="134" t="s">
        <v>197</v>
      </c>
      <c r="K45" s="134" t="s">
        <v>167</v>
      </c>
      <c r="M45" s="132"/>
      <c r="P45" s="132"/>
      <c r="S45" s="138" t="str">
        <f t="shared" si="9"/>
        <v>07:40:00 PM</v>
      </c>
      <c r="X45" s="132"/>
      <c r="Z45" s="132"/>
    </row>
    <row r="46" spans="2:26" x14ac:dyDescent="0.2">
      <c r="B46" s="132"/>
      <c r="C46" s="131" t="s">
        <v>567</v>
      </c>
      <c r="D46" s="131" t="s">
        <v>424</v>
      </c>
      <c r="E46" s="131" t="str">
        <f t="shared" si="10"/>
        <v>USA1</v>
      </c>
      <c r="F46" s="131" t="s">
        <v>191</v>
      </c>
      <c r="G46" s="131" t="str">
        <f t="shared" si="11"/>
        <v>CHILDREN C FEMALE USA 1</v>
      </c>
      <c r="I46" s="134" t="s">
        <v>71</v>
      </c>
      <c r="J46" s="134" t="s">
        <v>198</v>
      </c>
      <c r="K46" s="134" t="s">
        <v>163</v>
      </c>
      <c r="M46" s="132"/>
      <c r="P46" s="132"/>
      <c r="S46" s="138" t="str">
        <f t="shared" si="9"/>
        <v>08:30:00 PM</v>
      </c>
      <c r="X46" s="132"/>
      <c r="Z46" s="132"/>
    </row>
    <row r="47" spans="2:26" x14ac:dyDescent="0.2">
      <c r="B47" s="132"/>
      <c r="C47" s="131" t="s">
        <v>568</v>
      </c>
      <c r="D47" s="131" t="s">
        <v>432</v>
      </c>
      <c r="E47" s="131" t="str">
        <f>VLOOKUP(D47,country_short,2,0)</f>
        <v>USA2</v>
      </c>
      <c r="F47" s="131" t="s">
        <v>191</v>
      </c>
      <c r="G47" s="131" t="str">
        <f t="shared" si="11"/>
        <v>CHILDREN C FEMALE USA 2</v>
      </c>
      <c r="I47" s="134" t="s">
        <v>72</v>
      </c>
      <c r="J47" s="134" t="s">
        <v>198</v>
      </c>
      <c r="K47" s="134" t="s">
        <v>164</v>
      </c>
      <c r="M47" s="132"/>
      <c r="P47" s="132"/>
      <c r="S47" s="138" t="str">
        <f t="shared" si="9"/>
        <v>09:20:00 PM</v>
      </c>
      <c r="X47" s="132"/>
      <c r="Z47" s="132"/>
    </row>
    <row r="48" spans="2:26" x14ac:dyDescent="0.2">
      <c r="B48" s="132"/>
      <c r="C48" s="131" t="s">
        <v>569</v>
      </c>
      <c r="D48" s="131" t="s">
        <v>417</v>
      </c>
      <c r="E48" s="131" t="str">
        <f t="shared" si="10"/>
        <v>VEN1</v>
      </c>
      <c r="F48" s="131" t="s">
        <v>191</v>
      </c>
      <c r="G48" s="131" t="str">
        <f t="shared" si="11"/>
        <v>CHILDREN C FEMALE VENEZUELA 1</v>
      </c>
      <c r="I48" s="134" t="s">
        <v>73</v>
      </c>
      <c r="J48" s="134" t="s">
        <v>198</v>
      </c>
      <c r="K48" s="134" t="s">
        <v>166</v>
      </c>
      <c r="M48" s="132"/>
      <c r="P48" s="132"/>
      <c r="S48" s="138" t="str">
        <f t="shared" si="9"/>
        <v>10:10:00 PM</v>
      </c>
      <c r="X48" s="132"/>
      <c r="Z48" s="132"/>
    </row>
    <row r="49" spans="2:26" x14ac:dyDescent="0.2">
      <c r="B49" s="132"/>
      <c r="C49" s="131" t="s">
        <v>570</v>
      </c>
      <c r="D49" s="131" t="s">
        <v>425</v>
      </c>
      <c r="E49" s="131" t="str">
        <f>VLOOKUP(D49,country_short,2,0)</f>
        <v>VEN2</v>
      </c>
      <c r="F49" s="131" t="s">
        <v>191</v>
      </c>
      <c r="G49" s="131" t="str">
        <f t="shared" si="11"/>
        <v>CHILDREN C FEMALE VENEZUELA 2</v>
      </c>
      <c r="I49" s="134" t="s">
        <v>74</v>
      </c>
      <c r="J49" s="134" t="s">
        <v>198</v>
      </c>
      <c r="K49" s="134" t="s">
        <v>167</v>
      </c>
      <c r="M49" s="132"/>
      <c r="P49" s="132"/>
      <c r="S49" s="138" t="str">
        <f t="shared" si="9"/>
        <v>11:00:00 PM</v>
      </c>
      <c r="X49" s="132"/>
      <c r="Z49" s="132"/>
    </row>
    <row r="50" spans="2:26" x14ac:dyDescent="0.2">
      <c r="B50" s="132"/>
      <c r="C50" s="131" t="s">
        <v>571</v>
      </c>
      <c r="D50" s="131" t="s">
        <v>429</v>
      </c>
      <c r="E50" s="131" t="str">
        <f>VLOOKUP(D50,country_short,2,0)</f>
        <v>ALL</v>
      </c>
      <c r="F50" s="131" t="s">
        <v>191</v>
      </c>
      <c r="G50" s="131" t="str">
        <f t="shared" si="11"/>
        <v>CHILDREN C FEMALE ALL</v>
      </c>
      <c r="I50" s="134" t="s">
        <v>75</v>
      </c>
      <c r="J50" s="134" t="s">
        <v>199</v>
      </c>
      <c r="K50" s="134" t="s">
        <v>163</v>
      </c>
      <c r="M50" s="132"/>
      <c r="P50" s="132"/>
      <c r="S50" s="138" t="str">
        <f t="shared" si="9"/>
        <v>11:50:00 PM</v>
      </c>
      <c r="X50" s="132"/>
      <c r="Z50" s="132"/>
    </row>
    <row r="51" spans="2:26" x14ac:dyDescent="0.2">
      <c r="B51" s="132"/>
      <c r="C51" s="131" t="s">
        <v>572</v>
      </c>
      <c r="D51" s="131" t="s">
        <v>416</v>
      </c>
      <c r="E51" s="131" t="str">
        <f t="shared" si="10"/>
        <v>ARG1</v>
      </c>
      <c r="F51" s="131" t="s">
        <v>192</v>
      </c>
      <c r="G51" s="131" t="str">
        <f t="shared" si="11"/>
        <v>CHILDREN C MALE ARGENTINA 1</v>
      </c>
      <c r="I51" s="134" t="s">
        <v>76</v>
      </c>
      <c r="J51" s="134" t="s">
        <v>199</v>
      </c>
      <c r="K51" s="134" t="s">
        <v>164</v>
      </c>
      <c r="M51" s="132"/>
      <c r="P51" s="132"/>
      <c r="X51" s="132"/>
      <c r="Z51" s="132"/>
    </row>
    <row r="52" spans="2:26" x14ac:dyDescent="0.2">
      <c r="B52" s="132"/>
      <c r="C52" s="131" t="s">
        <v>573</v>
      </c>
      <c r="D52" s="131" t="s">
        <v>434</v>
      </c>
      <c r="E52" s="131" t="str">
        <f>VLOOKUP(D52,country_short,2,0)</f>
        <v>ARG2</v>
      </c>
      <c r="F52" s="131" t="s">
        <v>192</v>
      </c>
      <c r="G52" s="131" t="str">
        <f t="shared" si="11"/>
        <v>CHILDREN C MALE ARGENTINA 2</v>
      </c>
      <c r="I52" s="134" t="s">
        <v>77</v>
      </c>
      <c r="J52" s="134" t="s">
        <v>199</v>
      </c>
      <c r="K52" s="134" t="s">
        <v>166</v>
      </c>
      <c r="M52" s="132"/>
      <c r="P52" s="132"/>
      <c r="X52" s="132"/>
      <c r="Z52" s="132"/>
    </row>
    <row r="53" spans="2:26" x14ac:dyDescent="0.2">
      <c r="B53" s="132"/>
      <c r="C53" s="131" t="s">
        <v>574</v>
      </c>
      <c r="D53" s="131" t="s">
        <v>414</v>
      </c>
      <c r="E53" s="131" t="str">
        <f t="shared" si="10"/>
        <v>COL1</v>
      </c>
      <c r="F53" s="131" t="s">
        <v>192</v>
      </c>
      <c r="G53" s="131" t="str">
        <f t="shared" si="11"/>
        <v>CHILDREN C MALE COLOMBIA 1</v>
      </c>
      <c r="I53" s="134" t="s">
        <v>78</v>
      </c>
      <c r="J53" s="134" t="s">
        <v>199</v>
      </c>
      <c r="K53" s="134" t="s">
        <v>167</v>
      </c>
      <c r="M53" s="132"/>
      <c r="X53" s="132"/>
      <c r="Z53" s="132"/>
    </row>
    <row r="54" spans="2:26" x14ac:dyDescent="0.2">
      <c r="B54" s="132"/>
      <c r="C54" s="131" t="s">
        <v>575</v>
      </c>
      <c r="D54" s="131" t="s">
        <v>405</v>
      </c>
      <c r="E54" s="131" t="str">
        <f t="shared" si="10"/>
        <v>COL2</v>
      </c>
      <c r="F54" s="131" t="s">
        <v>192</v>
      </c>
      <c r="G54" s="131" t="str">
        <f t="shared" si="11"/>
        <v>CHILDREN C MALE COLOMBIA 2</v>
      </c>
      <c r="I54" s="134" t="s">
        <v>461</v>
      </c>
      <c r="J54" s="134" t="s">
        <v>415</v>
      </c>
      <c r="K54" s="134" t="s">
        <v>163</v>
      </c>
      <c r="M54" s="132"/>
      <c r="X54" s="132"/>
      <c r="Z54" s="132"/>
    </row>
    <row r="55" spans="2:26" x14ac:dyDescent="0.2">
      <c r="B55" s="132"/>
      <c r="C55" s="131" t="s">
        <v>576</v>
      </c>
      <c r="D55" s="131" t="s">
        <v>439</v>
      </c>
      <c r="E55" s="131" t="str">
        <f t="shared" si="10"/>
        <v>ISR1</v>
      </c>
      <c r="F55" s="131" t="s">
        <v>192</v>
      </c>
      <c r="G55" s="131" t="str">
        <f t="shared" si="11"/>
        <v>CHILDREN C MALE ISRAEL 1</v>
      </c>
      <c r="I55" s="134" t="s">
        <v>462</v>
      </c>
      <c r="J55" s="134" t="s">
        <v>415</v>
      </c>
      <c r="K55" s="134" t="s">
        <v>164</v>
      </c>
      <c r="M55" s="132"/>
      <c r="X55" s="132"/>
      <c r="Z55" s="132"/>
    </row>
    <row r="56" spans="2:26" x14ac:dyDescent="0.2">
      <c r="B56" s="132"/>
      <c r="C56" s="131" t="s">
        <v>577</v>
      </c>
      <c r="D56" s="131" t="s">
        <v>419</v>
      </c>
      <c r="E56" s="131" t="str">
        <f t="shared" si="10"/>
        <v>MEX</v>
      </c>
      <c r="F56" s="131" t="s">
        <v>192</v>
      </c>
      <c r="G56" s="131" t="str">
        <f t="shared" si="11"/>
        <v>CHILDREN C MALE MEXICO</v>
      </c>
      <c r="I56" s="134" t="s">
        <v>463</v>
      </c>
      <c r="J56" s="134" t="s">
        <v>415</v>
      </c>
      <c r="K56" s="134" t="s">
        <v>427</v>
      </c>
      <c r="M56" s="132"/>
      <c r="X56" s="132"/>
      <c r="Z56" s="132"/>
    </row>
    <row r="57" spans="2:26" x14ac:dyDescent="0.2">
      <c r="B57" s="132"/>
      <c r="C57" s="131" t="s">
        <v>578</v>
      </c>
      <c r="D57" s="131" t="s">
        <v>424</v>
      </c>
      <c r="E57" s="131" t="str">
        <f t="shared" si="10"/>
        <v>USA1</v>
      </c>
      <c r="F57" s="131" t="s">
        <v>192</v>
      </c>
      <c r="G57" s="131" t="str">
        <f t="shared" si="11"/>
        <v>CHILDREN C MALE USA 1</v>
      </c>
      <c r="I57" s="134" t="s">
        <v>79</v>
      </c>
      <c r="J57" s="134" t="s">
        <v>415</v>
      </c>
      <c r="K57" s="134" t="s">
        <v>168</v>
      </c>
      <c r="M57" s="132"/>
      <c r="X57" s="132"/>
      <c r="Z57" s="132"/>
    </row>
    <row r="58" spans="2:26" x14ac:dyDescent="0.2">
      <c r="B58" s="132"/>
      <c r="C58" s="131" t="s">
        <v>579</v>
      </c>
      <c r="D58" s="131" t="s">
        <v>432</v>
      </c>
      <c r="E58" s="131" t="str">
        <f t="shared" si="10"/>
        <v>USA2</v>
      </c>
      <c r="F58" s="131" t="s">
        <v>192</v>
      </c>
      <c r="G58" s="131" t="str">
        <f t="shared" si="11"/>
        <v>CHILDREN C MALE USA 2</v>
      </c>
      <c r="I58" s="134" t="s">
        <v>80</v>
      </c>
      <c r="J58" s="134" t="s">
        <v>415</v>
      </c>
      <c r="K58" s="134" t="s">
        <v>167</v>
      </c>
      <c r="M58" s="132"/>
      <c r="X58" s="132"/>
      <c r="Z58" s="132"/>
    </row>
    <row r="59" spans="2:26" x14ac:dyDescent="0.2">
      <c r="B59" s="132"/>
      <c r="C59" s="131" t="s">
        <v>580</v>
      </c>
      <c r="D59" s="131" t="s">
        <v>417</v>
      </c>
      <c r="E59" s="131" t="str">
        <f t="shared" si="10"/>
        <v>VEN1</v>
      </c>
      <c r="F59" s="131" t="s">
        <v>192</v>
      </c>
      <c r="G59" s="131" t="str">
        <f t="shared" si="11"/>
        <v>CHILDREN C MALE VENEZUELA 1</v>
      </c>
      <c r="I59" s="134" t="s">
        <v>81</v>
      </c>
      <c r="J59" s="134" t="s">
        <v>431</v>
      </c>
      <c r="K59" s="134" t="s">
        <v>163</v>
      </c>
      <c r="M59" s="132"/>
      <c r="X59" s="132"/>
      <c r="Z59" s="132"/>
    </row>
    <row r="60" spans="2:26" x14ac:dyDescent="0.2">
      <c r="B60" s="132"/>
      <c r="C60" s="131" t="s">
        <v>581</v>
      </c>
      <c r="D60" s="131" t="s">
        <v>425</v>
      </c>
      <c r="E60" s="131" t="str">
        <f t="shared" si="10"/>
        <v>VEN2</v>
      </c>
      <c r="F60" s="131" t="s">
        <v>192</v>
      </c>
      <c r="G60" s="131" t="str">
        <f t="shared" si="11"/>
        <v>CHILDREN C MALE VENEZUELA 2</v>
      </c>
      <c r="I60" s="134" t="s">
        <v>85</v>
      </c>
      <c r="J60" s="134" t="s">
        <v>431</v>
      </c>
      <c r="K60" s="134" t="s">
        <v>164</v>
      </c>
      <c r="M60" s="132"/>
      <c r="X60" s="132"/>
      <c r="Z60" s="132"/>
    </row>
    <row r="61" spans="2:26" x14ac:dyDescent="0.2">
      <c r="B61" s="132"/>
      <c r="C61" s="131" t="s">
        <v>582</v>
      </c>
      <c r="D61" s="131" t="s">
        <v>429</v>
      </c>
      <c r="E61" s="131" t="str">
        <f t="shared" si="10"/>
        <v>ALL</v>
      </c>
      <c r="F61" s="131" t="s">
        <v>192</v>
      </c>
      <c r="G61" s="131" t="str">
        <f t="shared" si="11"/>
        <v>CHILDREN C MALE ALL</v>
      </c>
      <c r="I61" s="134" t="s">
        <v>464</v>
      </c>
      <c r="J61" s="134" t="s">
        <v>431</v>
      </c>
      <c r="K61" s="134" t="s">
        <v>427</v>
      </c>
      <c r="M61" s="132"/>
      <c r="X61" s="132"/>
      <c r="Z61" s="132"/>
    </row>
    <row r="62" spans="2:26" x14ac:dyDescent="0.2">
      <c r="B62" s="132"/>
      <c r="C62" s="131" t="s">
        <v>583</v>
      </c>
      <c r="D62" s="131" t="s">
        <v>416</v>
      </c>
      <c r="E62" s="131" t="str">
        <f t="shared" si="10"/>
        <v>ARG1</v>
      </c>
      <c r="F62" s="131" t="s">
        <v>193</v>
      </c>
      <c r="G62" s="131" t="str">
        <f t="shared" si="11"/>
        <v>CHILDREN D FEMALE ARGENTINA 1</v>
      </c>
      <c r="I62" s="134" t="s">
        <v>86</v>
      </c>
      <c r="J62" s="134" t="s">
        <v>431</v>
      </c>
      <c r="K62" s="134" t="s">
        <v>167</v>
      </c>
      <c r="M62" s="132"/>
      <c r="X62" s="132"/>
      <c r="Z62" s="132"/>
    </row>
    <row r="63" spans="2:26" x14ac:dyDescent="0.2">
      <c r="B63" s="132"/>
      <c r="C63" s="131" t="s">
        <v>584</v>
      </c>
      <c r="D63" s="131" t="s">
        <v>434</v>
      </c>
      <c r="E63" s="131" t="str">
        <f>VLOOKUP(D63,country_short,2,0)</f>
        <v>ARG2</v>
      </c>
      <c r="F63" s="131" t="s">
        <v>193</v>
      </c>
      <c r="G63" s="131" t="str">
        <f t="shared" si="11"/>
        <v>CHILDREN D FEMALE ARGENTINA 2</v>
      </c>
      <c r="I63" s="134" t="s">
        <v>465</v>
      </c>
      <c r="J63" s="134" t="s">
        <v>431</v>
      </c>
      <c r="K63" s="134" t="s">
        <v>166</v>
      </c>
      <c r="M63" s="132"/>
      <c r="X63" s="132"/>
      <c r="Z63" s="132"/>
    </row>
    <row r="64" spans="2:26" x14ac:dyDescent="0.2">
      <c r="B64" s="132"/>
      <c r="C64" s="131" t="s">
        <v>585</v>
      </c>
      <c r="D64" s="131" t="s">
        <v>405</v>
      </c>
      <c r="E64" s="131" t="str">
        <f t="shared" si="10"/>
        <v>COL2</v>
      </c>
      <c r="F64" s="131" t="s">
        <v>193</v>
      </c>
      <c r="G64" s="131" t="str">
        <f t="shared" si="11"/>
        <v>CHILDREN D FEMALE COLOMBIA 2</v>
      </c>
      <c r="I64" s="134" t="s">
        <v>517</v>
      </c>
      <c r="J64" s="134" t="s">
        <v>466</v>
      </c>
      <c r="K64" s="134" t="s">
        <v>163</v>
      </c>
      <c r="M64" s="132"/>
      <c r="X64" s="132"/>
      <c r="Z64" s="132"/>
    </row>
    <row r="65" spans="2:26" x14ac:dyDescent="0.2">
      <c r="B65" s="132"/>
      <c r="C65" s="131" t="s">
        <v>586</v>
      </c>
      <c r="D65" s="131" t="s">
        <v>414</v>
      </c>
      <c r="E65" s="131" t="str">
        <f t="shared" si="10"/>
        <v>COL1</v>
      </c>
      <c r="F65" s="131" t="s">
        <v>193</v>
      </c>
      <c r="G65" s="131" t="str">
        <f t="shared" si="11"/>
        <v>CHILDREN D FEMALE COLOMBIA 1</v>
      </c>
      <c r="I65" s="134" t="s">
        <v>516</v>
      </c>
      <c r="J65" s="134" t="s">
        <v>466</v>
      </c>
      <c r="K65" s="134" t="s">
        <v>167</v>
      </c>
      <c r="M65" s="132"/>
      <c r="X65" s="132"/>
      <c r="Z65" s="132"/>
    </row>
    <row r="66" spans="2:26" x14ac:dyDescent="0.2">
      <c r="B66" s="132"/>
      <c r="C66" s="145" t="s">
        <v>724</v>
      </c>
      <c r="D66" s="131" t="s">
        <v>419</v>
      </c>
      <c r="E66" s="131" t="str">
        <f t="shared" si="10"/>
        <v>MEX</v>
      </c>
      <c r="F66" s="131" t="s">
        <v>193</v>
      </c>
      <c r="G66" s="131" t="str">
        <f t="shared" si="11"/>
        <v>CHILDREN D FEMALE MEXICO</v>
      </c>
      <c r="I66" s="134" t="s">
        <v>512</v>
      </c>
      <c r="J66" s="134" t="s">
        <v>203</v>
      </c>
      <c r="K66" s="134" t="s">
        <v>163</v>
      </c>
      <c r="M66" s="132"/>
      <c r="X66" s="132"/>
      <c r="Z66" s="132"/>
    </row>
    <row r="67" spans="2:26" x14ac:dyDescent="0.2">
      <c r="B67" s="132"/>
      <c r="C67" s="145" t="s">
        <v>725</v>
      </c>
      <c r="D67" s="145" t="s">
        <v>726</v>
      </c>
      <c r="E67" s="131" t="str">
        <f t="shared" si="10"/>
        <v>ISR</v>
      </c>
      <c r="F67" s="131" t="s">
        <v>193</v>
      </c>
      <c r="G67" s="131" t="str">
        <f t="shared" si="11"/>
        <v>CHILDREN D FEMALE ISRAEL</v>
      </c>
      <c r="I67" s="134" t="s">
        <v>513</v>
      </c>
      <c r="J67" s="134" t="s">
        <v>203</v>
      </c>
      <c r="K67" s="134" t="s">
        <v>164</v>
      </c>
      <c r="M67" s="132"/>
      <c r="X67" s="132"/>
      <c r="Z67" s="132"/>
    </row>
    <row r="68" spans="2:26" x14ac:dyDescent="0.2">
      <c r="B68" s="132"/>
      <c r="C68" s="131" t="s">
        <v>587</v>
      </c>
      <c r="D68" s="131" t="s">
        <v>424</v>
      </c>
      <c r="E68" s="131" t="str">
        <f t="shared" si="10"/>
        <v>USA1</v>
      </c>
      <c r="F68" s="131" t="s">
        <v>193</v>
      </c>
      <c r="G68" s="131" t="str">
        <f t="shared" si="11"/>
        <v>CHILDREN D FEMALE USA 1</v>
      </c>
      <c r="I68" s="134" t="s">
        <v>514</v>
      </c>
      <c r="J68" s="134" t="s">
        <v>203</v>
      </c>
      <c r="K68" s="134" t="s">
        <v>166</v>
      </c>
      <c r="X68" s="132"/>
      <c r="Z68" s="132"/>
    </row>
    <row r="69" spans="2:26" x14ac:dyDescent="0.2">
      <c r="B69" s="132"/>
      <c r="C69" s="131" t="s">
        <v>588</v>
      </c>
      <c r="D69" s="131" t="s">
        <v>432</v>
      </c>
      <c r="E69" s="131" t="str">
        <f t="shared" si="10"/>
        <v>USA2</v>
      </c>
      <c r="F69" s="131" t="s">
        <v>193</v>
      </c>
      <c r="G69" s="131" t="str">
        <f t="shared" si="11"/>
        <v>CHILDREN D FEMALE USA 2</v>
      </c>
      <c r="I69" s="134" t="s">
        <v>515</v>
      </c>
      <c r="J69" s="134" t="s">
        <v>203</v>
      </c>
      <c r="K69" s="134" t="s">
        <v>167</v>
      </c>
      <c r="X69" s="132"/>
      <c r="Z69" s="132"/>
    </row>
    <row r="70" spans="2:26" x14ac:dyDescent="0.2">
      <c r="B70" s="132"/>
      <c r="C70" s="131" t="s">
        <v>589</v>
      </c>
      <c r="D70" s="131" t="s">
        <v>417</v>
      </c>
      <c r="E70" s="131" t="str">
        <f t="shared" si="10"/>
        <v>VEN1</v>
      </c>
      <c r="F70" s="131" t="s">
        <v>193</v>
      </c>
      <c r="G70" s="131" t="str">
        <f t="shared" si="11"/>
        <v>CHILDREN D FEMALE VENEZUELA 1</v>
      </c>
      <c r="I70" s="134" t="s">
        <v>137</v>
      </c>
      <c r="J70" s="131" t="s">
        <v>467</v>
      </c>
      <c r="K70" s="134" t="s">
        <v>163</v>
      </c>
      <c r="X70" s="132"/>
      <c r="Z70" s="132"/>
    </row>
    <row r="71" spans="2:26" x14ac:dyDescent="0.2">
      <c r="B71" s="132"/>
      <c r="C71" s="131" t="s">
        <v>590</v>
      </c>
      <c r="D71" s="131" t="s">
        <v>425</v>
      </c>
      <c r="E71" s="131" t="str">
        <f t="shared" si="10"/>
        <v>VEN2</v>
      </c>
      <c r="F71" s="131" t="s">
        <v>193</v>
      </c>
      <c r="G71" s="131" t="str">
        <f t="shared" si="11"/>
        <v>CHILDREN D FEMALE VENEZUELA 2</v>
      </c>
      <c r="I71" s="134" t="s">
        <v>138</v>
      </c>
      <c r="J71" s="131" t="s">
        <v>467</v>
      </c>
      <c r="K71" s="134" t="s">
        <v>164</v>
      </c>
      <c r="X71" s="132"/>
      <c r="Z71" s="132"/>
    </row>
    <row r="72" spans="2:26" x14ac:dyDescent="0.2">
      <c r="B72" s="132"/>
      <c r="C72" s="131" t="s">
        <v>591</v>
      </c>
      <c r="D72" s="131" t="s">
        <v>429</v>
      </c>
      <c r="E72" s="131" t="str">
        <f t="shared" ref="E72:E78" si="12">VLOOKUP(D72,country_short,2,0)</f>
        <v>ALL</v>
      </c>
      <c r="F72" s="131" t="s">
        <v>193</v>
      </c>
      <c r="G72" s="131" t="str">
        <f t="shared" si="11"/>
        <v>CHILDREN D FEMALE ALL</v>
      </c>
      <c r="I72" s="134" t="s">
        <v>139</v>
      </c>
      <c r="J72" s="131" t="s">
        <v>467</v>
      </c>
      <c r="K72" s="134" t="s">
        <v>166</v>
      </c>
      <c r="X72" s="132"/>
      <c r="Z72" s="132"/>
    </row>
    <row r="73" spans="2:26" x14ac:dyDescent="0.2">
      <c r="B73" s="132"/>
      <c r="C73" s="131" t="s">
        <v>592</v>
      </c>
      <c r="D73" s="131" t="s">
        <v>416</v>
      </c>
      <c r="E73" s="131" t="str">
        <f t="shared" si="12"/>
        <v>ARG1</v>
      </c>
      <c r="F73" s="131" t="s">
        <v>194</v>
      </c>
      <c r="G73" s="131" t="str">
        <f t="shared" si="11"/>
        <v>CHILDREN D MALE ARGENTINA 1</v>
      </c>
      <c r="I73" s="134" t="s">
        <v>140</v>
      </c>
      <c r="J73" s="131" t="s">
        <v>467</v>
      </c>
      <c r="K73" s="134" t="s">
        <v>167</v>
      </c>
      <c r="X73" s="132"/>
      <c r="Z73" s="132"/>
    </row>
    <row r="74" spans="2:26" x14ac:dyDescent="0.2">
      <c r="B74" s="132"/>
      <c r="C74" s="131" t="s">
        <v>598</v>
      </c>
      <c r="D74" s="131" t="s">
        <v>434</v>
      </c>
      <c r="E74" s="131" t="str">
        <f t="shared" si="12"/>
        <v>ARG2</v>
      </c>
      <c r="F74" s="131" t="s">
        <v>194</v>
      </c>
      <c r="G74" s="131" t="str">
        <f t="shared" si="11"/>
        <v>CHILDREN D MALE ARGENTINA 2</v>
      </c>
      <c r="I74" s="134" t="s">
        <v>468</v>
      </c>
      <c r="J74" s="134" t="s">
        <v>189</v>
      </c>
      <c r="K74" s="134" t="s">
        <v>163</v>
      </c>
      <c r="X74" s="132"/>
      <c r="Z74" s="132"/>
    </row>
    <row r="75" spans="2:26" x14ac:dyDescent="0.2">
      <c r="B75" s="132"/>
      <c r="C75" s="131" t="s">
        <v>593</v>
      </c>
      <c r="D75" s="131" t="s">
        <v>414</v>
      </c>
      <c r="E75" s="131" t="str">
        <f t="shared" si="12"/>
        <v>COL1</v>
      </c>
      <c r="F75" s="131" t="s">
        <v>194</v>
      </c>
      <c r="G75" s="131" t="str">
        <f t="shared" si="11"/>
        <v>CHILDREN D MALE COLOMBIA 1</v>
      </c>
      <c r="I75" s="134" t="s">
        <v>469</v>
      </c>
      <c r="J75" s="134" t="s">
        <v>189</v>
      </c>
      <c r="K75" s="134" t="s">
        <v>164</v>
      </c>
      <c r="X75" s="132"/>
      <c r="Z75" s="132"/>
    </row>
    <row r="76" spans="2:26" x14ac:dyDescent="0.2">
      <c r="B76" s="132"/>
      <c r="C76" s="131" t="s">
        <v>599</v>
      </c>
      <c r="D76" s="131" t="s">
        <v>405</v>
      </c>
      <c r="E76" s="131" t="str">
        <f t="shared" si="12"/>
        <v>COL2</v>
      </c>
      <c r="F76" s="131" t="s">
        <v>194</v>
      </c>
      <c r="G76" s="131" t="str">
        <f t="shared" ref="G76:G92" si="13">F76&amp;" "&amp; D76</f>
        <v>CHILDREN D MALE COLOMBIA 2</v>
      </c>
      <c r="I76" s="134" t="s">
        <v>470</v>
      </c>
      <c r="J76" s="134" t="s">
        <v>189</v>
      </c>
      <c r="K76" s="134" t="s">
        <v>169</v>
      </c>
      <c r="X76" s="132"/>
      <c r="Z76" s="132"/>
    </row>
    <row r="77" spans="2:26" x14ac:dyDescent="0.2">
      <c r="B77" s="132"/>
      <c r="C77" s="131" t="s">
        <v>600</v>
      </c>
      <c r="D77" s="131" t="s">
        <v>439</v>
      </c>
      <c r="E77" s="131" t="str">
        <f t="shared" si="12"/>
        <v>ISR1</v>
      </c>
      <c r="F77" s="131" t="s">
        <v>194</v>
      </c>
      <c r="G77" s="131" t="str">
        <f t="shared" si="13"/>
        <v>CHILDREN D MALE ISRAEL 1</v>
      </c>
      <c r="I77" s="134" t="s">
        <v>471</v>
      </c>
      <c r="J77" s="134" t="s">
        <v>189</v>
      </c>
      <c r="K77" s="134" t="s">
        <v>168</v>
      </c>
      <c r="X77" s="132"/>
      <c r="Z77" s="132"/>
    </row>
    <row r="78" spans="2:26" x14ac:dyDescent="0.2">
      <c r="B78" s="132"/>
      <c r="C78" s="131" t="s">
        <v>601</v>
      </c>
      <c r="D78" s="131" t="s">
        <v>419</v>
      </c>
      <c r="E78" s="131" t="str">
        <f t="shared" si="12"/>
        <v>MEX</v>
      </c>
      <c r="F78" s="131" t="s">
        <v>194</v>
      </c>
      <c r="G78" s="131" t="str">
        <f t="shared" si="13"/>
        <v>CHILDREN D MALE MEXICO</v>
      </c>
      <c r="I78" s="134" t="s">
        <v>472</v>
      </c>
      <c r="J78" s="134" t="s">
        <v>190</v>
      </c>
      <c r="K78" s="134" t="s">
        <v>163</v>
      </c>
      <c r="X78" s="132"/>
      <c r="Z78" s="132"/>
    </row>
    <row r="79" spans="2:26" x14ac:dyDescent="0.2">
      <c r="B79" s="132"/>
      <c r="C79" s="131" t="s">
        <v>594</v>
      </c>
      <c r="D79" s="131" t="s">
        <v>421</v>
      </c>
      <c r="E79" s="131" t="s">
        <v>441</v>
      </c>
      <c r="F79" s="131" t="s">
        <v>194</v>
      </c>
      <c r="G79" s="131" t="str">
        <f t="shared" si="13"/>
        <v>CHILDREN D MALE PERU</v>
      </c>
      <c r="I79" s="134" t="s">
        <v>473</v>
      </c>
      <c r="J79" s="134" t="s">
        <v>190</v>
      </c>
      <c r="K79" s="134" t="s">
        <v>164</v>
      </c>
      <c r="X79" s="132"/>
      <c r="Z79" s="132"/>
    </row>
    <row r="80" spans="2:26" x14ac:dyDescent="0.2">
      <c r="B80" s="132"/>
      <c r="C80" s="131" t="s">
        <v>595</v>
      </c>
      <c r="D80" s="131" t="s">
        <v>424</v>
      </c>
      <c r="E80" s="131" t="str">
        <f t="shared" ref="E80:E92" si="14">VLOOKUP(D80,country_short,2,0)</f>
        <v>USA1</v>
      </c>
      <c r="F80" s="131" t="s">
        <v>194</v>
      </c>
      <c r="G80" s="131" t="str">
        <f t="shared" si="13"/>
        <v>CHILDREN D MALE USA 1</v>
      </c>
      <c r="I80" s="134" t="s">
        <v>474</v>
      </c>
      <c r="J80" s="134" t="s">
        <v>190</v>
      </c>
      <c r="K80" s="134" t="s">
        <v>169</v>
      </c>
      <c r="X80" s="132"/>
      <c r="Z80" s="132"/>
    </row>
    <row r="81" spans="2:26" x14ac:dyDescent="0.2">
      <c r="B81" s="132"/>
      <c r="C81" s="131" t="s">
        <v>596</v>
      </c>
      <c r="D81" s="131" t="s">
        <v>432</v>
      </c>
      <c r="E81" s="131" t="str">
        <f t="shared" si="14"/>
        <v>USA2</v>
      </c>
      <c r="F81" s="131" t="s">
        <v>194</v>
      </c>
      <c r="G81" s="131" t="str">
        <f t="shared" si="13"/>
        <v>CHILDREN D MALE USA 2</v>
      </c>
      <c r="I81" s="134" t="s">
        <v>475</v>
      </c>
      <c r="J81" s="134" t="s">
        <v>190</v>
      </c>
      <c r="K81" s="134" t="s">
        <v>168</v>
      </c>
      <c r="X81" s="132"/>
      <c r="Z81" s="132"/>
    </row>
    <row r="82" spans="2:26" x14ac:dyDescent="0.2">
      <c r="B82" s="132"/>
      <c r="C82" s="131" t="s">
        <v>597</v>
      </c>
      <c r="D82" s="131" t="s">
        <v>417</v>
      </c>
      <c r="E82" s="131" t="str">
        <f t="shared" si="14"/>
        <v>VEN1</v>
      </c>
      <c r="F82" s="131" t="s">
        <v>194</v>
      </c>
      <c r="G82" s="131" t="str">
        <f t="shared" si="13"/>
        <v>CHILDREN D MALE VENEZUELA 1</v>
      </c>
      <c r="I82" s="134" t="s">
        <v>476</v>
      </c>
      <c r="J82" s="134" t="s">
        <v>191</v>
      </c>
      <c r="K82" s="134" t="s">
        <v>163</v>
      </c>
      <c r="X82" s="132"/>
      <c r="Z82" s="132"/>
    </row>
    <row r="83" spans="2:26" x14ac:dyDescent="0.2">
      <c r="B83" s="132"/>
      <c r="C83" s="131" t="s">
        <v>602</v>
      </c>
      <c r="D83" s="131" t="s">
        <v>425</v>
      </c>
      <c r="E83" s="131" t="str">
        <f t="shared" si="14"/>
        <v>VEN2</v>
      </c>
      <c r="F83" s="131" t="s">
        <v>194</v>
      </c>
      <c r="G83" s="131" t="str">
        <f t="shared" si="13"/>
        <v>CHILDREN D MALE VENEZUELA 2</v>
      </c>
      <c r="I83" s="134" t="s">
        <v>477</v>
      </c>
      <c r="J83" s="134" t="s">
        <v>191</v>
      </c>
      <c r="K83" s="134" t="s">
        <v>164</v>
      </c>
      <c r="X83" s="132"/>
      <c r="Z83" s="132"/>
    </row>
    <row r="84" spans="2:26" x14ac:dyDescent="0.2">
      <c r="B84" s="132"/>
      <c r="C84" s="131" t="s">
        <v>603</v>
      </c>
      <c r="D84" s="131" t="s">
        <v>435</v>
      </c>
      <c r="E84" s="131" t="str">
        <f t="shared" si="14"/>
        <v>VEN3</v>
      </c>
      <c r="F84" s="131" t="s">
        <v>194</v>
      </c>
      <c r="G84" s="131" t="str">
        <f t="shared" si="13"/>
        <v>CHILDREN D MALE VENEZUELA 3</v>
      </c>
      <c r="I84" s="134" t="s">
        <v>478</v>
      </c>
      <c r="J84" s="134" t="s">
        <v>191</v>
      </c>
      <c r="K84" s="134" t="s">
        <v>427</v>
      </c>
      <c r="X84" s="132"/>
      <c r="Z84" s="132"/>
    </row>
    <row r="85" spans="2:26" x14ac:dyDescent="0.2">
      <c r="B85" s="132"/>
      <c r="C85" s="131" t="s">
        <v>604</v>
      </c>
      <c r="D85" s="131" t="s">
        <v>429</v>
      </c>
      <c r="E85" s="131" t="str">
        <f t="shared" si="14"/>
        <v>ALL</v>
      </c>
      <c r="F85" s="131" t="s">
        <v>194</v>
      </c>
      <c r="G85" s="131" t="str">
        <f t="shared" si="13"/>
        <v>CHILDREN D MALE ALL</v>
      </c>
      <c r="I85" s="134" t="s">
        <v>479</v>
      </c>
      <c r="J85" s="134" t="s">
        <v>191</v>
      </c>
      <c r="K85" s="134" t="s">
        <v>168</v>
      </c>
      <c r="X85" s="132"/>
      <c r="Z85" s="132"/>
    </row>
    <row r="86" spans="2:26" x14ac:dyDescent="0.2">
      <c r="B86" s="132"/>
      <c r="C86" s="131" t="s">
        <v>605</v>
      </c>
      <c r="D86" s="131" t="s">
        <v>416</v>
      </c>
      <c r="E86" s="131" t="str">
        <f t="shared" si="14"/>
        <v>ARG1</v>
      </c>
      <c r="F86" s="131" t="s">
        <v>195</v>
      </c>
      <c r="G86" s="131" t="str">
        <f t="shared" si="13"/>
        <v>CHILDREN E FEMALE ARGENTINA 1</v>
      </c>
      <c r="I86" s="134" t="s">
        <v>519</v>
      </c>
      <c r="J86" s="134" t="s">
        <v>191</v>
      </c>
      <c r="K86" s="134" t="s">
        <v>169</v>
      </c>
      <c r="X86" s="132"/>
      <c r="Z86" s="132"/>
    </row>
    <row r="87" spans="2:26" x14ac:dyDescent="0.2">
      <c r="B87" s="132"/>
      <c r="C87" s="131" t="s">
        <v>606</v>
      </c>
      <c r="D87" s="131" t="s">
        <v>414</v>
      </c>
      <c r="E87" s="131" t="str">
        <f t="shared" si="14"/>
        <v>COL1</v>
      </c>
      <c r="F87" s="131" t="s">
        <v>195</v>
      </c>
      <c r="G87" s="131" t="str">
        <f t="shared" si="13"/>
        <v>CHILDREN E FEMALE COLOMBIA 1</v>
      </c>
      <c r="I87" s="134" t="s">
        <v>95</v>
      </c>
      <c r="J87" s="134" t="s">
        <v>192</v>
      </c>
      <c r="K87" s="134" t="s">
        <v>163</v>
      </c>
      <c r="X87" s="132"/>
      <c r="Z87" s="132"/>
    </row>
    <row r="88" spans="2:26" x14ac:dyDescent="0.2">
      <c r="B88" s="132"/>
      <c r="C88" s="131" t="s">
        <v>611</v>
      </c>
      <c r="D88" s="131" t="s">
        <v>405</v>
      </c>
      <c r="E88" s="131" t="str">
        <f t="shared" si="14"/>
        <v>COL2</v>
      </c>
      <c r="F88" s="131" t="s">
        <v>195</v>
      </c>
      <c r="G88" s="131" t="str">
        <f t="shared" si="13"/>
        <v>CHILDREN E FEMALE COLOMBIA 2</v>
      </c>
      <c r="I88" s="134" t="s">
        <v>96</v>
      </c>
      <c r="J88" s="134" t="s">
        <v>192</v>
      </c>
      <c r="K88" s="134" t="s">
        <v>164</v>
      </c>
      <c r="X88" s="132"/>
      <c r="Z88" s="132"/>
    </row>
    <row r="89" spans="2:26" x14ac:dyDescent="0.2">
      <c r="B89" s="132"/>
      <c r="C89" s="131" t="s">
        <v>607</v>
      </c>
      <c r="D89" s="131" t="s">
        <v>439</v>
      </c>
      <c r="E89" s="131" t="str">
        <f t="shared" si="14"/>
        <v>ISR1</v>
      </c>
      <c r="F89" s="131" t="s">
        <v>195</v>
      </c>
      <c r="G89" s="131" t="str">
        <f t="shared" si="13"/>
        <v>CHILDREN E FEMALE ISRAEL 1</v>
      </c>
      <c r="I89" s="134" t="s">
        <v>97</v>
      </c>
      <c r="J89" s="134" t="s">
        <v>192</v>
      </c>
      <c r="K89" s="134" t="s">
        <v>427</v>
      </c>
      <c r="X89" s="132"/>
      <c r="Z89" s="132"/>
    </row>
    <row r="90" spans="2:26" x14ac:dyDescent="0.2">
      <c r="B90" s="132"/>
      <c r="C90" s="145" t="s">
        <v>608</v>
      </c>
      <c r="D90" s="131" t="s">
        <v>419</v>
      </c>
      <c r="E90" s="131" t="str">
        <f t="shared" si="14"/>
        <v>MEX</v>
      </c>
      <c r="F90" s="131" t="s">
        <v>195</v>
      </c>
      <c r="G90" s="131" t="str">
        <f t="shared" si="13"/>
        <v>CHILDREN E FEMALE MEXICO</v>
      </c>
      <c r="I90" s="134" t="s">
        <v>98</v>
      </c>
      <c r="J90" s="134" t="s">
        <v>192</v>
      </c>
      <c r="K90" s="134" t="s">
        <v>166</v>
      </c>
      <c r="X90" s="132"/>
      <c r="Z90" s="132"/>
    </row>
    <row r="91" spans="2:26" x14ac:dyDescent="0.2">
      <c r="B91" s="132"/>
      <c r="C91" s="131" t="s">
        <v>612</v>
      </c>
      <c r="D91" s="131" t="s">
        <v>421</v>
      </c>
      <c r="E91" s="131" t="str">
        <f t="shared" si="14"/>
        <v>PER</v>
      </c>
      <c r="F91" s="131" t="s">
        <v>195</v>
      </c>
      <c r="G91" s="131" t="str">
        <f t="shared" si="13"/>
        <v>CHILDREN E FEMALE PERU</v>
      </c>
      <c r="I91" s="134" t="s">
        <v>480</v>
      </c>
      <c r="J91" s="134" t="s">
        <v>192</v>
      </c>
      <c r="K91" s="134" t="s">
        <v>168</v>
      </c>
      <c r="X91" s="132"/>
      <c r="Z91" s="132"/>
    </row>
    <row r="92" spans="2:26" x14ac:dyDescent="0.2">
      <c r="B92" s="132"/>
      <c r="C92" s="131" t="s">
        <v>609</v>
      </c>
      <c r="D92" s="131" t="s">
        <v>424</v>
      </c>
      <c r="E92" s="131" t="str">
        <f t="shared" si="14"/>
        <v>USA1</v>
      </c>
      <c r="F92" s="131" t="s">
        <v>195</v>
      </c>
      <c r="G92" s="131" t="str">
        <f t="shared" si="13"/>
        <v>CHILDREN E FEMALE USA 1</v>
      </c>
      <c r="I92" s="134" t="s">
        <v>100</v>
      </c>
      <c r="J92" s="134" t="s">
        <v>193</v>
      </c>
      <c r="K92" s="134" t="s">
        <v>163</v>
      </c>
      <c r="X92" s="132"/>
      <c r="Z92" s="132"/>
    </row>
    <row r="93" spans="2:26" x14ac:dyDescent="0.2">
      <c r="B93" s="132"/>
      <c r="C93" s="131" t="s">
        <v>610</v>
      </c>
      <c r="D93" s="131" t="s">
        <v>432</v>
      </c>
      <c r="E93" s="131" t="str">
        <f t="shared" ref="E93:E101" si="15">VLOOKUP(D93,country_short,2,0)</f>
        <v>USA2</v>
      </c>
      <c r="F93" s="131" t="s">
        <v>195</v>
      </c>
      <c r="G93" s="131" t="str">
        <f t="shared" ref="G93:G101" si="16">F93&amp;" "&amp; D93</f>
        <v>CHILDREN E FEMALE USA 2</v>
      </c>
      <c r="I93" s="134" t="s">
        <v>481</v>
      </c>
      <c r="J93" s="134" t="s">
        <v>193</v>
      </c>
      <c r="K93" s="134" t="s">
        <v>164</v>
      </c>
      <c r="X93" s="132"/>
      <c r="Z93" s="132"/>
    </row>
    <row r="94" spans="2:26" x14ac:dyDescent="0.2">
      <c r="B94" s="132"/>
      <c r="C94" s="131" t="s">
        <v>613</v>
      </c>
      <c r="D94" s="131" t="s">
        <v>417</v>
      </c>
      <c r="E94" s="131" t="str">
        <f t="shared" si="15"/>
        <v>VEN1</v>
      </c>
      <c r="F94" s="131" t="s">
        <v>195</v>
      </c>
      <c r="G94" s="131" t="str">
        <f t="shared" si="16"/>
        <v>CHILDREN E FEMALE VENEZUELA 1</v>
      </c>
      <c r="I94" s="134" t="s">
        <v>102</v>
      </c>
      <c r="J94" s="134" t="s">
        <v>193</v>
      </c>
      <c r="K94" s="134" t="s">
        <v>427</v>
      </c>
      <c r="X94" s="132"/>
      <c r="Z94" s="132"/>
    </row>
    <row r="95" spans="2:26" x14ac:dyDescent="0.2">
      <c r="B95" s="132"/>
      <c r="C95" s="131" t="s">
        <v>614</v>
      </c>
      <c r="D95" s="131" t="s">
        <v>425</v>
      </c>
      <c r="E95" s="131" t="str">
        <f t="shared" si="15"/>
        <v>VEN2</v>
      </c>
      <c r="F95" s="131" t="s">
        <v>195</v>
      </c>
      <c r="G95" s="131" t="str">
        <f t="shared" si="16"/>
        <v>CHILDREN E FEMALE VENEZUELA 2</v>
      </c>
      <c r="I95" s="134" t="s">
        <v>103</v>
      </c>
      <c r="J95" s="134" t="s">
        <v>193</v>
      </c>
      <c r="K95" s="134" t="s">
        <v>168</v>
      </c>
      <c r="X95" s="132"/>
      <c r="Z95" s="132"/>
    </row>
    <row r="96" spans="2:26" x14ac:dyDescent="0.2">
      <c r="B96" s="132"/>
      <c r="C96" s="131" t="s">
        <v>615</v>
      </c>
      <c r="D96" s="131" t="s">
        <v>429</v>
      </c>
      <c r="E96" s="131" t="str">
        <f t="shared" si="15"/>
        <v>ALL</v>
      </c>
      <c r="F96" s="131" t="s">
        <v>195</v>
      </c>
      <c r="G96" s="131" t="str">
        <f t="shared" si="16"/>
        <v>CHILDREN E FEMALE ALL</v>
      </c>
      <c r="I96" s="134" t="s">
        <v>482</v>
      </c>
      <c r="J96" s="134" t="s">
        <v>194</v>
      </c>
      <c r="K96" s="134" t="s">
        <v>163</v>
      </c>
      <c r="X96" s="132"/>
      <c r="Z96" s="132"/>
    </row>
    <row r="97" spans="2:26" x14ac:dyDescent="0.2">
      <c r="B97" s="132"/>
      <c r="C97" s="131" t="s">
        <v>616</v>
      </c>
      <c r="D97" s="131" t="s">
        <v>416</v>
      </c>
      <c r="E97" s="131" t="str">
        <f t="shared" si="15"/>
        <v>ARG1</v>
      </c>
      <c r="F97" s="131" t="s">
        <v>196</v>
      </c>
      <c r="G97" s="131" t="str">
        <f t="shared" si="16"/>
        <v>CHILDREN E MALE ARGENTINA 1</v>
      </c>
      <c r="I97" s="134" t="s">
        <v>483</v>
      </c>
      <c r="J97" s="134" t="s">
        <v>194</v>
      </c>
      <c r="K97" s="134" t="s">
        <v>164</v>
      </c>
      <c r="X97" s="132"/>
      <c r="Z97" s="132"/>
    </row>
    <row r="98" spans="2:26" x14ac:dyDescent="0.2">
      <c r="B98" s="132"/>
      <c r="C98" s="131" t="s">
        <v>617</v>
      </c>
      <c r="D98" s="131" t="s">
        <v>434</v>
      </c>
      <c r="E98" s="131" t="str">
        <f>VLOOKUP(D98,country_short,2,0)</f>
        <v>ARG2</v>
      </c>
      <c r="F98" s="131" t="s">
        <v>196</v>
      </c>
      <c r="G98" s="131" t="str">
        <f>F98&amp;" "&amp; D98</f>
        <v>CHILDREN E MALE ARGENTINA 2</v>
      </c>
      <c r="I98" s="134" t="s">
        <v>484</v>
      </c>
      <c r="J98" s="134" t="s">
        <v>194</v>
      </c>
      <c r="K98" s="134" t="s">
        <v>166</v>
      </c>
      <c r="X98" s="132"/>
      <c r="Z98" s="132"/>
    </row>
    <row r="99" spans="2:26" x14ac:dyDescent="0.2">
      <c r="B99" s="132"/>
      <c r="C99" s="131" t="s">
        <v>618</v>
      </c>
      <c r="D99" s="131" t="s">
        <v>414</v>
      </c>
      <c r="E99" s="131" t="str">
        <f>VLOOKUP(D99,country_short,2,0)</f>
        <v>COL1</v>
      </c>
      <c r="F99" s="131" t="s">
        <v>196</v>
      </c>
      <c r="G99" s="131" t="str">
        <f>F99&amp;" "&amp; D99</f>
        <v>CHILDREN E MALE COLOMBIA 1</v>
      </c>
      <c r="I99" s="134" t="s">
        <v>485</v>
      </c>
      <c r="J99" s="134" t="s">
        <v>194</v>
      </c>
      <c r="K99" s="134" t="s">
        <v>427</v>
      </c>
      <c r="X99" s="132"/>
      <c r="Z99" s="132"/>
    </row>
    <row r="100" spans="2:26" x14ac:dyDescent="0.2">
      <c r="B100" s="132"/>
      <c r="C100" s="131" t="s">
        <v>623</v>
      </c>
      <c r="D100" s="131" t="s">
        <v>439</v>
      </c>
      <c r="E100" s="131" t="str">
        <f t="shared" si="15"/>
        <v>ISR1</v>
      </c>
      <c r="F100" s="131" t="s">
        <v>196</v>
      </c>
      <c r="G100" s="131" t="str">
        <f t="shared" si="16"/>
        <v>CHILDREN E MALE ISRAEL 1</v>
      </c>
      <c r="I100" s="134" t="s">
        <v>486</v>
      </c>
      <c r="J100" s="134" t="s">
        <v>194</v>
      </c>
      <c r="K100" s="134" t="s">
        <v>168</v>
      </c>
      <c r="X100" s="132"/>
      <c r="Z100" s="132"/>
    </row>
    <row r="101" spans="2:26" x14ac:dyDescent="0.2">
      <c r="B101" s="132"/>
      <c r="C101" s="145" t="s">
        <v>717</v>
      </c>
      <c r="D101" s="145" t="s">
        <v>712</v>
      </c>
      <c r="E101" s="131" t="str">
        <f t="shared" si="15"/>
        <v>MEX1</v>
      </c>
      <c r="F101" s="131" t="s">
        <v>196</v>
      </c>
      <c r="G101" s="131" t="str">
        <f t="shared" si="16"/>
        <v>CHILDREN E MALE MEXICO 1</v>
      </c>
      <c r="I101" s="134" t="s">
        <v>108</v>
      </c>
      <c r="J101" s="134" t="s">
        <v>195</v>
      </c>
      <c r="K101" s="134" t="s">
        <v>163</v>
      </c>
      <c r="X101" s="132"/>
      <c r="Z101" s="132"/>
    </row>
    <row r="102" spans="2:26" x14ac:dyDescent="0.2">
      <c r="B102" s="132"/>
      <c r="C102" s="145" t="s">
        <v>718</v>
      </c>
      <c r="D102" s="145" t="s">
        <v>714</v>
      </c>
      <c r="E102" s="131" t="str">
        <f>VLOOKUP(D102,country_short,2,0)</f>
        <v>MEX2</v>
      </c>
      <c r="F102" s="131" t="s">
        <v>196</v>
      </c>
      <c r="G102" s="131" t="str">
        <f>F102&amp;" "&amp; D102</f>
        <v>CHILDREN E MALE MEXICO 2</v>
      </c>
      <c r="I102" s="134" t="s">
        <v>111</v>
      </c>
      <c r="J102" s="134" t="s">
        <v>195</v>
      </c>
      <c r="K102" s="134" t="s">
        <v>167</v>
      </c>
      <c r="X102" s="132"/>
      <c r="Z102" s="132"/>
    </row>
    <row r="103" spans="2:26" x14ac:dyDescent="0.2">
      <c r="B103" s="132"/>
      <c r="C103" s="131" t="s">
        <v>620</v>
      </c>
      <c r="D103" s="131" t="s">
        <v>421</v>
      </c>
      <c r="E103" s="131" t="str">
        <f t="shared" ref="E103:E134" si="17">VLOOKUP(D103,country_short,2,0)</f>
        <v>PER</v>
      </c>
      <c r="F103" s="131" t="s">
        <v>196</v>
      </c>
      <c r="G103" s="131" t="str">
        <f t="shared" ref="G103:G132" si="18">F103&amp;" "&amp; D103</f>
        <v>CHILDREN E MALE PERU</v>
      </c>
      <c r="I103" s="132" t="s">
        <v>146</v>
      </c>
      <c r="J103" s="134" t="s">
        <v>195</v>
      </c>
      <c r="K103" s="134" t="s">
        <v>168</v>
      </c>
      <c r="X103" s="132"/>
      <c r="Z103" s="132"/>
    </row>
    <row r="104" spans="2:26" x14ac:dyDescent="0.2">
      <c r="B104" s="132"/>
      <c r="C104" s="131" t="s">
        <v>621</v>
      </c>
      <c r="D104" s="131" t="s">
        <v>424</v>
      </c>
      <c r="E104" s="131" t="str">
        <f t="shared" si="17"/>
        <v>USA1</v>
      </c>
      <c r="F104" s="131" t="s">
        <v>196</v>
      </c>
      <c r="G104" s="131" t="str">
        <f t="shared" si="18"/>
        <v>CHILDREN E MALE USA 1</v>
      </c>
      <c r="I104" s="134" t="s">
        <v>113</v>
      </c>
      <c r="J104" s="134" t="s">
        <v>196</v>
      </c>
      <c r="K104" s="134" t="s">
        <v>164</v>
      </c>
      <c r="X104" s="132"/>
      <c r="Z104" s="132"/>
    </row>
    <row r="105" spans="2:26" x14ac:dyDescent="0.2">
      <c r="B105" s="132"/>
      <c r="C105" s="131" t="s">
        <v>622</v>
      </c>
      <c r="D105" s="131" t="s">
        <v>432</v>
      </c>
      <c r="E105" s="131" t="str">
        <f t="shared" si="17"/>
        <v>USA2</v>
      </c>
      <c r="F105" s="131" t="s">
        <v>196</v>
      </c>
      <c r="G105" s="131" t="str">
        <f t="shared" si="18"/>
        <v>CHILDREN E MALE USA 2</v>
      </c>
      <c r="I105" s="134" t="s">
        <v>114</v>
      </c>
      <c r="J105" s="134" t="s">
        <v>196</v>
      </c>
      <c r="K105" s="134" t="s">
        <v>427</v>
      </c>
      <c r="X105" s="132"/>
      <c r="Z105" s="132"/>
    </row>
    <row r="106" spans="2:26" x14ac:dyDescent="0.2">
      <c r="B106" s="132"/>
      <c r="C106" s="131" t="s">
        <v>624</v>
      </c>
      <c r="D106" s="131" t="s">
        <v>417</v>
      </c>
      <c r="E106" s="131" t="str">
        <f t="shared" si="17"/>
        <v>VEN1</v>
      </c>
      <c r="F106" s="131" t="s">
        <v>196</v>
      </c>
      <c r="G106" s="131" t="str">
        <f t="shared" si="18"/>
        <v>CHILDREN E MALE VENEZUELA 1</v>
      </c>
      <c r="I106" s="134" t="s">
        <v>487</v>
      </c>
      <c r="J106" s="134" t="s">
        <v>196</v>
      </c>
      <c r="K106" s="134" t="s">
        <v>166</v>
      </c>
      <c r="X106" s="132"/>
      <c r="Z106" s="132"/>
    </row>
    <row r="107" spans="2:26" x14ac:dyDescent="0.2">
      <c r="B107" s="132"/>
      <c r="C107" s="131" t="s">
        <v>625</v>
      </c>
      <c r="D107" s="131" t="s">
        <v>425</v>
      </c>
      <c r="E107" s="131" t="str">
        <f t="shared" si="17"/>
        <v>VEN2</v>
      </c>
      <c r="F107" s="131" t="s">
        <v>196</v>
      </c>
      <c r="G107" s="131" t="str">
        <f t="shared" si="18"/>
        <v>CHILDREN E MALE VENEZUELA 2</v>
      </c>
      <c r="I107" s="134" t="s">
        <v>115</v>
      </c>
      <c r="J107" s="134" t="s">
        <v>196</v>
      </c>
      <c r="K107" s="134" t="s">
        <v>167</v>
      </c>
      <c r="X107" s="132"/>
      <c r="Z107" s="132"/>
    </row>
    <row r="108" spans="2:26" x14ac:dyDescent="0.2">
      <c r="B108" s="132"/>
      <c r="C108" s="131" t="s">
        <v>716</v>
      </c>
      <c r="D108" s="131" t="s">
        <v>435</v>
      </c>
      <c r="E108" s="131" t="str">
        <f t="shared" si="17"/>
        <v>VEN3</v>
      </c>
      <c r="F108" s="131" t="s">
        <v>196</v>
      </c>
      <c r="G108" s="131" t="str">
        <f t="shared" si="18"/>
        <v>CHILDREN E MALE VENEZUELA 3</v>
      </c>
      <c r="I108" s="134" t="s">
        <v>488</v>
      </c>
      <c r="J108" s="134" t="s">
        <v>197</v>
      </c>
      <c r="K108" s="134" t="s">
        <v>163</v>
      </c>
      <c r="X108" s="132"/>
      <c r="Z108" s="132"/>
    </row>
    <row r="109" spans="2:26" x14ac:dyDescent="0.2">
      <c r="B109" s="132"/>
      <c r="C109" s="131" t="s">
        <v>626</v>
      </c>
      <c r="D109" s="131" t="s">
        <v>429</v>
      </c>
      <c r="E109" s="131" t="str">
        <f t="shared" si="17"/>
        <v>ALL</v>
      </c>
      <c r="F109" s="131" t="s">
        <v>196</v>
      </c>
      <c r="G109" s="131" t="str">
        <f t="shared" si="18"/>
        <v>CHILDREN E MALE ALL</v>
      </c>
      <c r="I109" s="134" t="s">
        <v>117</v>
      </c>
      <c r="J109" s="134" t="s">
        <v>197</v>
      </c>
      <c r="K109" s="134" t="s">
        <v>164</v>
      </c>
      <c r="X109" s="132"/>
      <c r="Z109" s="132"/>
    </row>
    <row r="110" spans="2:26" x14ac:dyDescent="0.2">
      <c r="B110" s="132"/>
      <c r="C110" s="131" t="s">
        <v>627</v>
      </c>
      <c r="D110" s="131" t="s">
        <v>453</v>
      </c>
      <c r="E110" s="131" t="str">
        <f t="shared" si="17"/>
        <v>ACC</v>
      </c>
      <c r="F110" s="131" t="s">
        <v>203</v>
      </c>
      <c r="G110" s="131" t="str">
        <f t="shared" si="18"/>
        <v>COLLEGE ACC</v>
      </c>
      <c r="I110" s="134" t="s">
        <v>111</v>
      </c>
      <c r="J110" s="134" t="s">
        <v>195</v>
      </c>
      <c r="K110" s="134" t="s">
        <v>167</v>
      </c>
      <c r="X110" s="132"/>
      <c r="Z110" s="132"/>
    </row>
    <row r="111" spans="2:26" x14ac:dyDescent="0.2">
      <c r="B111" s="132"/>
      <c r="C111" s="131" t="s">
        <v>628</v>
      </c>
      <c r="D111" s="131" t="s">
        <v>444</v>
      </c>
      <c r="E111" s="131" t="str">
        <f t="shared" si="17"/>
        <v>BIG10</v>
      </c>
      <c r="F111" s="131" t="s">
        <v>203</v>
      </c>
      <c r="G111" s="131" t="str">
        <f t="shared" si="18"/>
        <v>COLLEGE BIG 10</v>
      </c>
      <c r="I111" s="134" t="s">
        <v>118</v>
      </c>
      <c r="J111" s="134" t="s">
        <v>197</v>
      </c>
      <c r="K111" s="134" t="s">
        <v>166</v>
      </c>
      <c r="X111" s="132"/>
      <c r="Z111" s="132"/>
    </row>
    <row r="112" spans="2:26" x14ac:dyDescent="0.2">
      <c r="B112" s="132"/>
      <c r="C112" s="131" t="s">
        <v>629</v>
      </c>
      <c r="D112" s="131" t="s">
        <v>442</v>
      </c>
      <c r="E112" s="131" t="str">
        <f t="shared" si="17"/>
        <v>BIG12</v>
      </c>
      <c r="F112" s="131" t="s">
        <v>203</v>
      </c>
      <c r="G112" s="131" t="str">
        <f t="shared" si="18"/>
        <v>COLLEGE BIG 12</v>
      </c>
      <c r="I112" s="134" t="s">
        <v>119</v>
      </c>
      <c r="J112" s="134" t="s">
        <v>197</v>
      </c>
      <c r="K112" s="134" t="s">
        <v>167</v>
      </c>
      <c r="X112" s="132"/>
      <c r="Z112" s="132"/>
    </row>
    <row r="113" spans="2:26" x14ac:dyDescent="0.2">
      <c r="B113" s="132"/>
      <c r="C113" s="131" t="s">
        <v>630</v>
      </c>
      <c r="D113" s="131" t="s">
        <v>447</v>
      </c>
      <c r="E113" s="131" t="str">
        <f t="shared" si="17"/>
        <v>BIGEAST</v>
      </c>
      <c r="F113" s="131" t="s">
        <v>203</v>
      </c>
      <c r="G113" s="131" t="str">
        <f t="shared" si="18"/>
        <v>COLLEGE BIG EAST</v>
      </c>
      <c r="I113" s="134" t="s">
        <v>120</v>
      </c>
      <c r="J113" s="134" t="s">
        <v>198</v>
      </c>
      <c r="K113" s="134" t="s">
        <v>163</v>
      </c>
      <c r="X113" s="132"/>
      <c r="Z113" s="132"/>
    </row>
    <row r="114" spans="2:26" x14ac:dyDescent="0.2">
      <c r="B114" s="132"/>
      <c r="C114" s="131" t="s">
        <v>631</v>
      </c>
      <c r="D114" s="131" t="s">
        <v>450</v>
      </c>
      <c r="E114" s="131" t="str">
        <f t="shared" si="17"/>
        <v>PACK12</v>
      </c>
      <c r="F114" s="131" t="s">
        <v>203</v>
      </c>
      <c r="G114" s="131" t="str">
        <f t="shared" si="18"/>
        <v>COLLEGE PACK 12</v>
      </c>
      <c r="I114" s="134" t="s">
        <v>121</v>
      </c>
      <c r="J114" s="134" t="s">
        <v>198</v>
      </c>
      <c r="K114" s="134" t="s">
        <v>164</v>
      </c>
      <c r="X114" s="132"/>
      <c r="Z114" s="132"/>
    </row>
    <row r="115" spans="2:26" x14ac:dyDescent="0.2">
      <c r="C115" s="131" t="s">
        <v>632</v>
      </c>
      <c r="D115" s="131" t="s">
        <v>446</v>
      </c>
      <c r="E115" s="131" t="str">
        <f t="shared" si="17"/>
        <v>SEC</v>
      </c>
      <c r="F115" s="131" t="s">
        <v>203</v>
      </c>
      <c r="G115" s="131" t="str">
        <f t="shared" si="18"/>
        <v>COLLEGE SEC</v>
      </c>
      <c r="I115" s="134" t="s">
        <v>489</v>
      </c>
      <c r="J115" s="134" t="s">
        <v>198</v>
      </c>
      <c r="K115" s="134" t="s">
        <v>166</v>
      </c>
      <c r="X115" s="132"/>
      <c r="Z115" s="132"/>
    </row>
    <row r="116" spans="2:26" x14ac:dyDescent="0.2">
      <c r="C116" s="131" t="s">
        <v>633</v>
      </c>
      <c r="D116" s="131" t="s">
        <v>444</v>
      </c>
      <c r="E116" s="131" t="str">
        <f t="shared" si="17"/>
        <v>BIG10</v>
      </c>
      <c r="F116" s="131" t="s">
        <v>467</v>
      </c>
      <c r="G116" s="131" t="str">
        <f t="shared" si="18"/>
        <v>COLLEGE GIRLS BIG 10</v>
      </c>
      <c r="I116" s="134" t="s">
        <v>122</v>
      </c>
      <c r="J116" s="134" t="s">
        <v>198</v>
      </c>
      <c r="K116" s="134" t="s">
        <v>166</v>
      </c>
      <c r="X116" s="132"/>
      <c r="Z116" s="132"/>
    </row>
    <row r="117" spans="2:26" x14ac:dyDescent="0.2">
      <c r="C117" s="131" t="s">
        <v>634</v>
      </c>
      <c r="D117" s="131" t="s">
        <v>442</v>
      </c>
      <c r="E117" s="131" t="str">
        <f t="shared" si="17"/>
        <v>BIG12</v>
      </c>
      <c r="F117" s="131" t="s">
        <v>467</v>
      </c>
      <c r="G117" s="131" t="str">
        <f t="shared" si="18"/>
        <v>COLLEGE GIRLS BIG 12</v>
      </c>
      <c r="I117" s="134" t="s">
        <v>490</v>
      </c>
      <c r="J117" s="134" t="s">
        <v>198</v>
      </c>
      <c r="K117" s="134" t="s">
        <v>167</v>
      </c>
      <c r="X117" s="132"/>
      <c r="Z117" s="132"/>
    </row>
    <row r="118" spans="2:26" x14ac:dyDescent="0.2">
      <c r="C118" s="131" t="s">
        <v>635</v>
      </c>
      <c r="D118" s="131" t="s">
        <v>447</v>
      </c>
      <c r="E118" s="131" t="str">
        <f t="shared" si="17"/>
        <v>BIGEAST</v>
      </c>
      <c r="F118" s="131" t="s">
        <v>467</v>
      </c>
      <c r="G118" s="131" t="str">
        <f t="shared" si="18"/>
        <v>COLLEGE GIRLS BIG EAST</v>
      </c>
      <c r="I118" s="134" t="s">
        <v>491</v>
      </c>
      <c r="J118" s="134" t="s">
        <v>199</v>
      </c>
      <c r="K118" s="134" t="s">
        <v>163</v>
      </c>
      <c r="Z118" s="132"/>
    </row>
    <row r="119" spans="2:26" x14ac:dyDescent="0.2">
      <c r="C119" s="131" t="s">
        <v>636</v>
      </c>
      <c r="D119" s="131" t="s">
        <v>429</v>
      </c>
      <c r="E119" s="131" t="str">
        <f t="shared" si="17"/>
        <v>ALL</v>
      </c>
      <c r="F119" s="131" t="s">
        <v>467</v>
      </c>
      <c r="G119" s="131" t="str">
        <f t="shared" si="18"/>
        <v>COLLEGE GIRLS ALL</v>
      </c>
      <c r="I119" s="134" t="s">
        <v>492</v>
      </c>
      <c r="J119" s="134" t="s">
        <v>199</v>
      </c>
      <c r="K119" s="134" t="s">
        <v>164</v>
      </c>
      <c r="Z119" s="132"/>
    </row>
    <row r="120" spans="2:26" x14ac:dyDescent="0.2">
      <c r="C120" s="131" t="s">
        <v>637</v>
      </c>
      <c r="D120" s="131" t="s">
        <v>416</v>
      </c>
      <c r="E120" s="131" t="str">
        <f t="shared" si="17"/>
        <v>ARG1</v>
      </c>
      <c r="F120" s="131" t="s">
        <v>198</v>
      </c>
      <c r="G120" s="131" t="str">
        <f t="shared" si="18"/>
        <v>JUNIORS A MALE ARGENTINA 1</v>
      </c>
      <c r="I120" s="134" t="s">
        <v>493</v>
      </c>
      <c r="J120" s="134" t="s">
        <v>199</v>
      </c>
      <c r="K120" s="134" t="s">
        <v>166</v>
      </c>
      <c r="Z120" s="132"/>
    </row>
    <row r="121" spans="2:26" x14ac:dyDescent="0.2">
      <c r="C121" s="131" t="s">
        <v>638</v>
      </c>
      <c r="D121" s="131" t="s">
        <v>434</v>
      </c>
      <c r="E121" s="131" t="str">
        <f t="shared" si="17"/>
        <v>ARG2</v>
      </c>
      <c r="F121" s="131" t="s">
        <v>198</v>
      </c>
      <c r="G121" s="131" t="str">
        <f t="shared" si="18"/>
        <v>JUNIORS A MALE ARGENTINA 2</v>
      </c>
      <c r="I121" s="134" t="s">
        <v>494</v>
      </c>
      <c r="J121" s="134" t="s">
        <v>199</v>
      </c>
      <c r="K121" s="134" t="s">
        <v>167</v>
      </c>
      <c r="Z121" s="132"/>
    </row>
    <row r="122" spans="2:26" x14ac:dyDescent="0.2">
      <c r="C122" s="131" t="s">
        <v>639</v>
      </c>
      <c r="D122" s="131" t="s">
        <v>414</v>
      </c>
      <c r="E122" s="131" t="str">
        <f t="shared" si="17"/>
        <v>COL1</v>
      </c>
      <c r="F122" s="131" t="s">
        <v>198</v>
      </c>
      <c r="G122" s="131" t="str">
        <f t="shared" si="18"/>
        <v>JUNIORS A MALE COLOMBIA 1</v>
      </c>
      <c r="I122" s="134" t="s">
        <v>127</v>
      </c>
      <c r="J122" s="134" t="s">
        <v>199</v>
      </c>
      <c r="K122" s="134" t="s">
        <v>167</v>
      </c>
      <c r="L122" s="132"/>
      <c r="M122" s="132"/>
    </row>
    <row r="123" spans="2:26" x14ac:dyDescent="0.2">
      <c r="C123" s="131" t="s">
        <v>644</v>
      </c>
      <c r="D123" s="131" t="s">
        <v>439</v>
      </c>
      <c r="E123" s="131" t="str">
        <f t="shared" si="17"/>
        <v>ISR1</v>
      </c>
      <c r="F123" s="131" t="s">
        <v>198</v>
      </c>
      <c r="G123" s="131" t="str">
        <f t="shared" si="18"/>
        <v>JUNIORS A MALE ISRAEL 1</v>
      </c>
      <c r="I123" s="134" t="s">
        <v>129</v>
      </c>
      <c r="J123" s="134" t="s">
        <v>415</v>
      </c>
      <c r="K123" s="134" t="s">
        <v>167</v>
      </c>
      <c r="L123" s="132"/>
      <c r="M123" s="132"/>
    </row>
    <row r="124" spans="2:26" x14ac:dyDescent="0.2">
      <c r="C124" s="145" t="s">
        <v>719</v>
      </c>
      <c r="D124" s="145" t="s">
        <v>712</v>
      </c>
      <c r="E124" s="131" t="str">
        <f t="shared" si="17"/>
        <v>MEX1</v>
      </c>
      <c r="F124" s="131" t="s">
        <v>198</v>
      </c>
      <c r="G124" s="131" t="str">
        <f t="shared" si="18"/>
        <v>JUNIORS A MALE MEXICO 1</v>
      </c>
      <c r="I124" s="134" t="s">
        <v>128</v>
      </c>
      <c r="J124" s="134" t="s">
        <v>415</v>
      </c>
      <c r="K124" s="134" t="s">
        <v>168</v>
      </c>
      <c r="L124" s="132"/>
      <c r="M124" s="132"/>
    </row>
    <row r="125" spans="2:26" x14ac:dyDescent="0.2">
      <c r="C125" s="145" t="s">
        <v>720</v>
      </c>
      <c r="D125" s="145" t="s">
        <v>714</v>
      </c>
      <c r="E125" s="131" t="str">
        <f t="shared" si="17"/>
        <v>MEX2</v>
      </c>
      <c r="F125" s="131" t="s">
        <v>198</v>
      </c>
      <c r="G125" s="131" t="str">
        <f t="shared" si="18"/>
        <v>JUNIORS A MALE MEXICO 2</v>
      </c>
      <c r="I125" s="134" t="s">
        <v>131</v>
      </c>
      <c r="J125" s="134" t="s">
        <v>431</v>
      </c>
      <c r="K125" s="134" t="s">
        <v>164</v>
      </c>
      <c r="L125" s="132"/>
      <c r="M125" s="132"/>
    </row>
    <row r="126" spans="2:26" x14ac:dyDescent="0.2">
      <c r="C126" s="131" t="s">
        <v>641</v>
      </c>
      <c r="D126" s="131" t="s">
        <v>421</v>
      </c>
      <c r="E126" s="131" t="str">
        <f t="shared" si="17"/>
        <v>PER</v>
      </c>
      <c r="F126" s="131" t="s">
        <v>198</v>
      </c>
      <c r="G126" s="131" t="str">
        <f t="shared" si="18"/>
        <v>JUNIORS A MALE PERU</v>
      </c>
      <c r="I126" s="134" t="s">
        <v>495</v>
      </c>
      <c r="J126" s="134" t="s">
        <v>431</v>
      </c>
      <c r="K126" s="134" t="s">
        <v>166</v>
      </c>
      <c r="L126" s="132"/>
      <c r="M126" s="132"/>
    </row>
    <row r="127" spans="2:26" x14ac:dyDescent="0.2">
      <c r="C127" s="131" t="s">
        <v>642</v>
      </c>
      <c r="D127" s="131" t="s">
        <v>424</v>
      </c>
      <c r="E127" s="131" t="str">
        <f t="shared" si="17"/>
        <v>USA1</v>
      </c>
      <c r="F127" s="131" t="s">
        <v>198</v>
      </c>
      <c r="G127" s="131" t="str">
        <f t="shared" si="18"/>
        <v>JUNIORS A MALE USA 1</v>
      </c>
      <c r="I127" s="134" t="s">
        <v>730</v>
      </c>
      <c r="J127" s="134" t="s">
        <v>203</v>
      </c>
      <c r="K127" s="134" t="s">
        <v>163</v>
      </c>
      <c r="L127" s="132"/>
      <c r="M127" s="132"/>
    </row>
    <row r="128" spans="2:26" x14ac:dyDescent="0.2">
      <c r="C128" s="131" t="s">
        <v>643</v>
      </c>
      <c r="D128" s="131" t="s">
        <v>432</v>
      </c>
      <c r="E128" s="131" t="str">
        <f t="shared" si="17"/>
        <v>USA2</v>
      </c>
      <c r="F128" s="131" t="s">
        <v>198</v>
      </c>
      <c r="G128" s="131" t="str">
        <f t="shared" si="18"/>
        <v>JUNIORS A MALE USA 2</v>
      </c>
      <c r="I128" s="134" t="s">
        <v>731</v>
      </c>
      <c r="J128" s="134" t="s">
        <v>203</v>
      </c>
      <c r="K128" s="134" t="s">
        <v>164</v>
      </c>
      <c r="L128" s="132"/>
      <c r="M128" s="132"/>
    </row>
    <row r="129" spans="3:13" x14ac:dyDescent="0.2">
      <c r="C129" s="131" t="s">
        <v>645</v>
      </c>
      <c r="D129" s="131" t="s">
        <v>417</v>
      </c>
      <c r="E129" s="131" t="str">
        <f t="shared" si="17"/>
        <v>VEN1</v>
      </c>
      <c r="F129" s="131" t="s">
        <v>198</v>
      </c>
      <c r="G129" s="131" t="str">
        <f t="shared" si="18"/>
        <v>JUNIORS A MALE VENEZUELA 1</v>
      </c>
      <c r="I129" s="134" t="s">
        <v>729</v>
      </c>
      <c r="J129" s="134" t="s">
        <v>203</v>
      </c>
      <c r="K129" s="134" t="s">
        <v>166</v>
      </c>
      <c r="L129" s="132"/>
      <c r="M129" s="132"/>
    </row>
    <row r="130" spans="3:13" x14ac:dyDescent="0.2">
      <c r="C130" s="131" t="s">
        <v>646</v>
      </c>
      <c r="D130" s="131" t="s">
        <v>425</v>
      </c>
      <c r="E130" s="131" t="str">
        <f t="shared" si="17"/>
        <v>VEN2</v>
      </c>
      <c r="F130" s="131" t="s">
        <v>198</v>
      </c>
      <c r="G130" s="131" t="str">
        <f t="shared" si="18"/>
        <v>JUNIORS A MALE VENEZUELA 2</v>
      </c>
      <c r="I130" s="134" t="s">
        <v>728</v>
      </c>
      <c r="J130" s="134" t="s">
        <v>203</v>
      </c>
      <c r="K130" s="134" t="s">
        <v>167</v>
      </c>
      <c r="L130" s="132"/>
      <c r="M130" s="132"/>
    </row>
    <row r="131" spans="3:13" x14ac:dyDescent="0.2">
      <c r="C131" s="131" t="s">
        <v>647</v>
      </c>
      <c r="D131" s="131" t="s">
        <v>429</v>
      </c>
      <c r="E131" s="131" t="str">
        <f t="shared" si="17"/>
        <v>ALL</v>
      </c>
      <c r="F131" s="131" t="s">
        <v>198</v>
      </c>
      <c r="G131" s="131" t="str">
        <f t="shared" si="18"/>
        <v>JUNIORS A MALE ALL</v>
      </c>
      <c r="H131" s="132"/>
      <c r="I131" s="134" t="s">
        <v>112</v>
      </c>
      <c r="J131" s="134" t="s">
        <v>196</v>
      </c>
      <c r="K131" s="134" t="s">
        <v>163</v>
      </c>
      <c r="L131" s="132"/>
      <c r="M131" s="132"/>
    </row>
    <row r="132" spans="3:13" x14ac:dyDescent="0.2">
      <c r="C132" s="131" t="s">
        <v>648</v>
      </c>
      <c r="D132" s="131" t="s">
        <v>416</v>
      </c>
      <c r="E132" s="131" t="str">
        <f t="shared" si="17"/>
        <v>ARG1</v>
      </c>
      <c r="F132" s="131" t="s">
        <v>199</v>
      </c>
      <c r="G132" s="131" t="str">
        <f t="shared" si="18"/>
        <v>JUNIORS B MALE ARGENTINA 1</v>
      </c>
      <c r="H132" s="132"/>
      <c r="I132" s="132" t="s">
        <v>496</v>
      </c>
      <c r="J132" s="134" t="s">
        <v>195</v>
      </c>
      <c r="K132" s="134" t="s">
        <v>427</v>
      </c>
      <c r="L132" s="132"/>
      <c r="M132" s="132"/>
    </row>
    <row r="133" spans="3:13" x14ac:dyDescent="0.2">
      <c r="C133" s="131" t="s">
        <v>649</v>
      </c>
      <c r="D133" s="131" t="s">
        <v>434</v>
      </c>
      <c r="E133" s="131" t="str">
        <f t="shared" si="17"/>
        <v>ARG2</v>
      </c>
      <c r="F133" s="131" t="s">
        <v>199</v>
      </c>
      <c r="G133" s="131" t="str">
        <f t="shared" ref="G133:G139" si="19">F133&amp;" "&amp; D133</f>
        <v>JUNIORS B MALE ARGENTINA 2</v>
      </c>
      <c r="H133" s="132"/>
      <c r="I133" s="132" t="s">
        <v>497</v>
      </c>
      <c r="J133" s="134" t="s">
        <v>498</v>
      </c>
      <c r="K133" s="134" t="s">
        <v>163</v>
      </c>
      <c r="L133" s="132"/>
      <c r="M133" s="132"/>
    </row>
    <row r="134" spans="3:13" x14ac:dyDescent="0.2">
      <c r="C134" s="131" t="s">
        <v>650</v>
      </c>
      <c r="D134" s="131" t="s">
        <v>414</v>
      </c>
      <c r="E134" s="131" t="str">
        <f t="shared" si="17"/>
        <v>COL1</v>
      </c>
      <c r="F134" s="131" t="s">
        <v>199</v>
      </c>
      <c r="G134" s="131" t="str">
        <f t="shared" si="19"/>
        <v>JUNIORS B MALE COLOMBIA 1</v>
      </c>
      <c r="H134" s="132"/>
      <c r="I134" s="132" t="s">
        <v>524</v>
      </c>
      <c r="J134" s="134" t="s">
        <v>498</v>
      </c>
      <c r="K134" s="134" t="s">
        <v>167</v>
      </c>
      <c r="L134" s="132"/>
      <c r="M134" s="132"/>
    </row>
    <row r="135" spans="3:13" x14ac:dyDescent="0.2">
      <c r="C135" s="131" t="s">
        <v>651</v>
      </c>
      <c r="D135" s="131" t="s">
        <v>439</v>
      </c>
      <c r="E135" s="131" t="str">
        <f t="shared" ref="E135:E154" si="20">VLOOKUP(D135,country_short,2,0)</f>
        <v>ISR1</v>
      </c>
      <c r="F135" s="131" t="s">
        <v>199</v>
      </c>
      <c r="G135" s="131" t="str">
        <f t="shared" si="19"/>
        <v>JUNIORS B MALE ISRAEL 1</v>
      </c>
      <c r="H135" s="132"/>
      <c r="I135" s="132" t="s">
        <v>132</v>
      </c>
      <c r="J135" s="134" t="s">
        <v>431</v>
      </c>
      <c r="K135" s="134" t="s">
        <v>167</v>
      </c>
      <c r="L135" s="132"/>
      <c r="M135" s="132"/>
    </row>
    <row r="136" spans="3:13" x14ac:dyDescent="0.2">
      <c r="C136" s="131" t="s">
        <v>652</v>
      </c>
      <c r="D136" s="131" t="s">
        <v>419</v>
      </c>
      <c r="E136" s="131" t="str">
        <f t="shared" si="20"/>
        <v>MEX</v>
      </c>
      <c r="F136" s="131" t="s">
        <v>199</v>
      </c>
      <c r="G136" s="131" t="str">
        <f t="shared" si="19"/>
        <v>JUNIORS B MALE MEXICO</v>
      </c>
      <c r="H136" s="132"/>
      <c r="I136" s="132" t="s">
        <v>499</v>
      </c>
      <c r="J136" s="134" t="s">
        <v>195</v>
      </c>
      <c r="K136" s="134" t="s">
        <v>166</v>
      </c>
      <c r="L136" s="132"/>
      <c r="M136" s="132"/>
    </row>
    <row r="137" spans="3:13" x14ac:dyDescent="0.2">
      <c r="C137" s="131" t="s">
        <v>653</v>
      </c>
      <c r="D137" s="131" t="s">
        <v>421</v>
      </c>
      <c r="E137" s="131" t="str">
        <f t="shared" si="20"/>
        <v>PER</v>
      </c>
      <c r="F137" s="131" t="s">
        <v>199</v>
      </c>
      <c r="G137" s="131" t="str">
        <f t="shared" si="19"/>
        <v>JUNIORS B MALE PERU</v>
      </c>
      <c r="H137" s="132"/>
      <c r="I137" s="132" t="s">
        <v>500</v>
      </c>
      <c r="J137" s="134" t="s">
        <v>195</v>
      </c>
      <c r="K137" s="134" t="s">
        <v>164</v>
      </c>
      <c r="L137" s="132"/>
      <c r="M137" s="132"/>
    </row>
    <row r="138" spans="3:13" x14ac:dyDescent="0.2">
      <c r="C138" s="131" t="s">
        <v>654</v>
      </c>
      <c r="D138" s="131" t="s">
        <v>424</v>
      </c>
      <c r="E138" s="131" t="str">
        <f t="shared" si="20"/>
        <v>USA1</v>
      </c>
      <c r="F138" s="131" t="s">
        <v>199</v>
      </c>
      <c r="G138" s="131" t="str">
        <f t="shared" si="19"/>
        <v>JUNIORS B MALE USA 1</v>
      </c>
      <c r="H138" s="132"/>
      <c r="I138" s="132" t="s">
        <v>501</v>
      </c>
      <c r="J138" s="134" t="s">
        <v>431</v>
      </c>
      <c r="K138" s="134" t="s">
        <v>163</v>
      </c>
      <c r="L138" s="132"/>
      <c r="M138" s="132"/>
    </row>
    <row r="139" spans="3:13" x14ac:dyDescent="0.2">
      <c r="C139" s="131" t="s">
        <v>655</v>
      </c>
      <c r="D139" s="131" t="s">
        <v>432</v>
      </c>
      <c r="E139" s="131" t="str">
        <f t="shared" si="20"/>
        <v>USA2</v>
      </c>
      <c r="F139" s="131" t="s">
        <v>199</v>
      </c>
      <c r="G139" s="131" t="str">
        <f t="shared" si="19"/>
        <v>JUNIORS B MALE USA 2</v>
      </c>
      <c r="H139" s="132"/>
      <c r="I139" s="132" t="s">
        <v>142</v>
      </c>
      <c r="J139" s="131" t="s">
        <v>467</v>
      </c>
      <c r="K139" s="134" t="s">
        <v>164</v>
      </c>
      <c r="L139" s="132"/>
      <c r="M139" s="132"/>
    </row>
    <row r="140" spans="3:13" x14ac:dyDescent="0.2">
      <c r="C140" s="131" t="s">
        <v>656</v>
      </c>
      <c r="D140" s="131" t="s">
        <v>417</v>
      </c>
      <c r="E140" s="131" t="str">
        <f t="shared" si="20"/>
        <v>VEN1</v>
      </c>
      <c r="F140" s="131" t="s">
        <v>199</v>
      </c>
      <c r="G140" s="131" t="str">
        <f t="shared" ref="G140:G151" si="21">F140&amp;" "&amp; D140</f>
        <v>JUNIORS B MALE VENEZUELA 1</v>
      </c>
      <c r="H140" s="132"/>
      <c r="I140" s="132" t="s">
        <v>143</v>
      </c>
      <c r="J140" s="131" t="s">
        <v>467</v>
      </c>
      <c r="K140" s="134" t="s">
        <v>166</v>
      </c>
      <c r="L140" s="132"/>
      <c r="M140" s="132"/>
    </row>
    <row r="141" spans="3:13" x14ac:dyDescent="0.2">
      <c r="C141" s="131" t="s">
        <v>657</v>
      </c>
      <c r="D141" s="131" t="s">
        <v>425</v>
      </c>
      <c r="E141" s="131" t="str">
        <f t="shared" si="20"/>
        <v>VEN2</v>
      </c>
      <c r="F141" s="131" t="s">
        <v>199</v>
      </c>
      <c r="G141" s="131" t="str">
        <f>F141&amp;" "&amp; D141</f>
        <v>JUNIORS B MALE VENEZUELA 2</v>
      </c>
      <c r="H141" s="132"/>
      <c r="I141" s="132" t="s">
        <v>141</v>
      </c>
      <c r="J141" s="131" t="s">
        <v>467</v>
      </c>
      <c r="K141" s="134" t="s">
        <v>163</v>
      </c>
      <c r="L141" s="132"/>
      <c r="M141" s="132"/>
    </row>
    <row r="142" spans="3:13" x14ac:dyDescent="0.2">
      <c r="C142" s="131" t="s">
        <v>658</v>
      </c>
      <c r="D142" s="131" t="s">
        <v>429</v>
      </c>
      <c r="E142" s="131" t="str">
        <f t="shared" si="20"/>
        <v>ALL</v>
      </c>
      <c r="F142" s="131" t="s">
        <v>199</v>
      </c>
      <c r="G142" s="131" t="str">
        <f>F142&amp;" "&amp; D142</f>
        <v>JUNIORS B MALE ALL</v>
      </c>
      <c r="H142" s="132"/>
      <c r="I142" s="132" t="s">
        <v>144</v>
      </c>
      <c r="J142" s="131" t="s">
        <v>467</v>
      </c>
      <c r="K142" s="134" t="s">
        <v>167</v>
      </c>
      <c r="L142" s="132"/>
      <c r="M142" s="132"/>
    </row>
    <row r="143" spans="3:13" x14ac:dyDescent="0.2">
      <c r="C143" s="131" t="s">
        <v>659</v>
      </c>
      <c r="D143" s="131" t="s">
        <v>416</v>
      </c>
      <c r="E143" s="131" t="str">
        <f t="shared" si="20"/>
        <v>ARG1</v>
      </c>
      <c r="F143" s="131" t="s">
        <v>197</v>
      </c>
      <c r="G143" s="131" t="str">
        <f t="shared" si="21"/>
        <v>JUNIORS FEMALE ARGENTINA 1</v>
      </c>
      <c r="H143" s="132"/>
      <c r="I143" s="132" t="s">
        <v>520</v>
      </c>
      <c r="J143" s="134" t="s">
        <v>193</v>
      </c>
      <c r="K143" s="132" t="s">
        <v>167</v>
      </c>
      <c r="L143" s="132"/>
      <c r="M143" s="132"/>
    </row>
    <row r="144" spans="3:13" x14ac:dyDescent="0.2">
      <c r="C144" s="131" t="s">
        <v>666</v>
      </c>
      <c r="D144" s="131" t="s">
        <v>414</v>
      </c>
      <c r="E144" s="131" t="str">
        <f t="shared" si="20"/>
        <v>COL1</v>
      </c>
      <c r="F144" s="131" t="s">
        <v>197</v>
      </c>
      <c r="G144" s="131" t="str">
        <f t="shared" si="21"/>
        <v>JUNIORS FEMALE COLOMBIA 1</v>
      </c>
      <c r="H144" s="132"/>
      <c r="I144" s="132" t="s">
        <v>67</v>
      </c>
      <c r="J144" s="132" t="s">
        <v>197</v>
      </c>
      <c r="K144" s="134" t="s">
        <v>163</v>
      </c>
      <c r="L144" s="132"/>
      <c r="M144" s="132"/>
    </row>
    <row r="145" spans="3:13" x14ac:dyDescent="0.2">
      <c r="C145" s="131" t="s">
        <v>660</v>
      </c>
      <c r="D145" s="131" t="s">
        <v>405</v>
      </c>
      <c r="E145" s="131" t="str">
        <f t="shared" si="20"/>
        <v>COL2</v>
      </c>
      <c r="F145" s="131" t="s">
        <v>197</v>
      </c>
      <c r="G145" s="131" t="str">
        <f t="shared" si="21"/>
        <v>JUNIORS FEMALE COLOMBIA 2</v>
      </c>
      <c r="H145" s="132"/>
      <c r="I145" s="132" t="s">
        <v>502</v>
      </c>
      <c r="J145" s="132" t="s">
        <v>197</v>
      </c>
      <c r="K145" s="134" t="s">
        <v>427</v>
      </c>
      <c r="L145" s="132"/>
      <c r="M145" s="132"/>
    </row>
    <row r="146" spans="3:13" x14ac:dyDescent="0.2">
      <c r="C146" s="131" t="s">
        <v>661</v>
      </c>
      <c r="D146" s="131" t="s">
        <v>439</v>
      </c>
      <c r="E146" s="131" t="str">
        <f t="shared" si="20"/>
        <v>ISR1</v>
      </c>
      <c r="F146" s="131" t="s">
        <v>197</v>
      </c>
      <c r="G146" s="131" t="str">
        <f t="shared" si="21"/>
        <v>JUNIORS FEMALE ISRAEL 1</v>
      </c>
      <c r="H146" s="132"/>
      <c r="I146" s="132" t="s">
        <v>503</v>
      </c>
      <c r="J146" s="132" t="s">
        <v>198</v>
      </c>
      <c r="K146" s="134" t="s">
        <v>427</v>
      </c>
      <c r="L146" s="132"/>
      <c r="M146" s="132"/>
    </row>
    <row r="147" spans="3:13" x14ac:dyDescent="0.2">
      <c r="C147" s="131" t="s">
        <v>662</v>
      </c>
      <c r="D147" s="131" t="s">
        <v>456</v>
      </c>
      <c r="E147" s="131" t="str">
        <f t="shared" si="20"/>
        <v>ISR2</v>
      </c>
      <c r="F147" s="131" t="s">
        <v>197</v>
      </c>
      <c r="G147" s="131" t="str">
        <f>F147&amp;" "&amp; D147</f>
        <v>JUNIORS FEMALE ISRAEL 2</v>
      </c>
      <c r="H147" s="132"/>
      <c r="I147" s="132" t="s">
        <v>504</v>
      </c>
      <c r="J147" s="132" t="s">
        <v>199</v>
      </c>
      <c r="K147" s="134" t="s">
        <v>427</v>
      </c>
      <c r="L147" s="132"/>
      <c r="M147" s="132"/>
    </row>
    <row r="148" spans="3:13" x14ac:dyDescent="0.2">
      <c r="C148" s="131" t="s">
        <v>663</v>
      </c>
      <c r="D148" s="131" t="s">
        <v>419</v>
      </c>
      <c r="E148" s="131" t="str">
        <f t="shared" si="20"/>
        <v>MEX</v>
      </c>
      <c r="F148" s="131" t="s">
        <v>197</v>
      </c>
      <c r="G148" s="131" t="str">
        <f t="shared" si="21"/>
        <v>JUNIORS FEMALE MEXICO</v>
      </c>
      <c r="H148" s="132"/>
      <c r="I148" s="132" t="s">
        <v>87</v>
      </c>
      <c r="J148" s="134" t="s">
        <v>203</v>
      </c>
      <c r="K148" s="134" t="s">
        <v>167</v>
      </c>
      <c r="L148" s="132"/>
      <c r="M148" s="132"/>
    </row>
    <row r="149" spans="3:13" x14ac:dyDescent="0.2">
      <c r="C149" s="131" t="s">
        <v>664</v>
      </c>
      <c r="D149" s="131" t="s">
        <v>421</v>
      </c>
      <c r="E149" s="131" t="str">
        <f t="shared" si="20"/>
        <v>PER</v>
      </c>
      <c r="F149" s="131" t="s">
        <v>197</v>
      </c>
      <c r="G149" s="131" t="str">
        <f t="shared" si="21"/>
        <v>JUNIORS FEMALE PERU</v>
      </c>
      <c r="H149" s="132"/>
      <c r="I149" s="132" t="s">
        <v>88</v>
      </c>
      <c r="J149" s="134" t="s">
        <v>190</v>
      </c>
      <c r="K149" s="134" t="s">
        <v>163</v>
      </c>
      <c r="L149" s="132"/>
      <c r="M149" s="132"/>
    </row>
    <row r="150" spans="3:13" x14ac:dyDescent="0.2">
      <c r="C150" s="131" t="s">
        <v>665</v>
      </c>
      <c r="D150" s="131" t="s">
        <v>424</v>
      </c>
      <c r="E150" s="131" t="str">
        <f t="shared" si="20"/>
        <v>USA1</v>
      </c>
      <c r="F150" s="131" t="s">
        <v>197</v>
      </c>
      <c r="G150" s="131" t="str">
        <f t="shared" si="21"/>
        <v>JUNIORS FEMALE USA 1</v>
      </c>
      <c r="H150" s="132"/>
      <c r="I150" s="132" t="s">
        <v>89</v>
      </c>
      <c r="J150" s="134" t="s">
        <v>190</v>
      </c>
      <c r="K150" s="134" t="s">
        <v>164</v>
      </c>
      <c r="L150" s="132"/>
      <c r="M150" s="132"/>
    </row>
    <row r="151" spans="3:13" x14ac:dyDescent="0.2">
      <c r="C151" s="131" t="s">
        <v>667</v>
      </c>
      <c r="D151" s="131" t="s">
        <v>432</v>
      </c>
      <c r="E151" s="131" t="str">
        <f t="shared" si="20"/>
        <v>USA2</v>
      </c>
      <c r="F151" s="131" t="s">
        <v>197</v>
      </c>
      <c r="G151" s="131" t="str">
        <f t="shared" si="21"/>
        <v>JUNIORS FEMALE USA 2</v>
      </c>
      <c r="H151" s="132"/>
      <c r="I151" s="132" t="s">
        <v>90</v>
      </c>
      <c r="J151" s="134" t="s">
        <v>190</v>
      </c>
      <c r="K151" s="134" t="s">
        <v>169</v>
      </c>
      <c r="L151" s="132"/>
      <c r="M151" s="132"/>
    </row>
    <row r="152" spans="3:13" x14ac:dyDescent="0.2">
      <c r="C152" s="131" t="s">
        <v>776</v>
      </c>
      <c r="D152" s="131" t="s">
        <v>777</v>
      </c>
      <c r="E152" s="131" t="str">
        <f t="shared" si="20"/>
        <v>USA3</v>
      </c>
      <c r="F152" s="131" t="s">
        <v>197</v>
      </c>
      <c r="G152" s="131" t="str">
        <f t="shared" ref="G152" si="22">F152&amp;" "&amp; D152</f>
        <v>JUNIORS FEMALE USA 3</v>
      </c>
      <c r="H152" s="132"/>
      <c r="I152" s="132" t="s">
        <v>91</v>
      </c>
      <c r="J152" s="134" t="s">
        <v>190</v>
      </c>
      <c r="K152" s="134" t="s">
        <v>168</v>
      </c>
      <c r="L152" s="132"/>
      <c r="M152" s="132"/>
    </row>
    <row r="153" spans="3:13" x14ac:dyDescent="0.2">
      <c r="C153" s="131" t="s">
        <v>668</v>
      </c>
      <c r="D153" s="131" t="s">
        <v>417</v>
      </c>
      <c r="E153" s="131" t="str">
        <f t="shared" si="20"/>
        <v>VEN1</v>
      </c>
      <c r="F153" s="131" t="s">
        <v>197</v>
      </c>
      <c r="G153" s="131" t="str">
        <f t="shared" ref="G153:G165" si="23">F153&amp;" "&amp; D153</f>
        <v>JUNIORS FEMALE VENEZUELA 1</v>
      </c>
      <c r="H153" s="132"/>
      <c r="I153" s="132" t="s">
        <v>92</v>
      </c>
      <c r="J153" s="134" t="s">
        <v>191</v>
      </c>
      <c r="K153" s="134" t="s">
        <v>163</v>
      </c>
      <c r="L153" s="132"/>
      <c r="M153" s="132"/>
    </row>
    <row r="154" spans="3:13" x14ac:dyDescent="0.2">
      <c r="C154" s="131" t="s">
        <v>669</v>
      </c>
      <c r="D154" s="131" t="s">
        <v>425</v>
      </c>
      <c r="E154" s="131" t="str">
        <f t="shared" si="20"/>
        <v>VEN2</v>
      </c>
      <c r="F154" s="131" t="s">
        <v>197</v>
      </c>
      <c r="G154" s="131" t="str">
        <f t="shared" si="23"/>
        <v>JUNIORS FEMALE VENEZUELA 2</v>
      </c>
      <c r="H154" s="132"/>
      <c r="I154" s="132" t="s">
        <v>93</v>
      </c>
      <c r="J154" s="134" t="s">
        <v>191</v>
      </c>
      <c r="K154" s="134" t="s">
        <v>164</v>
      </c>
      <c r="L154" s="132"/>
      <c r="M154" s="132"/>
    </row>
    <row r="155" spans="3:13" x14ac:dyDescent="0.2">
      <c r="C155" s="131" t="s">
        <v>670</v>
      </c>
      <c r="D155" s="131" t="s">
        <v>435</v>
      </c>
      <c r="E155" s="131" t="str">
        <f>VLOOKUP(D155,country_short,2,0)</f>
        <v>VEN3</v>
      </c>
      <c r="F155" s="131" t="s">
        <v>197</v>
      </c>
      <c r="G155" s="131" t="str">
        <f t="shared" si="23"/>
        <v>JUNIORS FEMALE VENEZUELA 3</v>
      </c>
      <c r="H155" s="132"/>
      <c r="I155" s="132" t="s">
        <v>94</v>
      </c>
      <c r="J155" s="134" t="s">
        <v>191</v>
      </c>
      <c r="K155" s="134" t="s">
        <v>168</v>
      </c>
      <c r="L155" s="132"/>
      <c r="M155" s="132"/>
    </row>
    <row r="156" spans="3:13" x14ac:dyDescent="0.2">
      <c r="C156" s="131" t="s">
        <v>671</v>
      </c>
      <c r="D156" s="131" t="s">
        <v>429</v>
      </c>
      <c r="E156" s="131" t="str">
        <f>VLOOKUP(D156,country_short,2,0)</f>
        <v>ALL</v>
      </c>
      <c r="F156" s="131" t="s">
        <v>197</v>
      </c>
      <c r="G156" s="131" t="str">
        <f t="shared" si="23"/>
        <v>JUNIORS FEMALE ALL</v>
      </c>
      <c r="H156" s="132"/>
      <c r="I156" s="132" t="s">
        <v>521</v>
      </c>
      <c r="J156" s="134" t="s">
        <v>191</v>
      </c>
      <c r="K156" s="134" t="s">
        <v>167</v>
      </c>
      <c r="L156" s="132"/>
      <c r="M156" s="132"/>
    </row>
    <row r="157" spans="3:13" x14ac:dyDescent="0.2">
      <c r="C157" s="131" t="s">
        <v>672</v>
      </c>
      <c r="D157" s="131" t="s">
        <v>416</v>
      </c>
      <c r="E157" s="131" t="str">
        <f>VLOOKUP(D157,country_short,2,0)</f>
        <v>ARG1</v>
      </c>
      <c r="F157" s="131" t="s">
        <v>466</v>
      </c>
      <c r="G157" s="131" t="str">
        <f t="shared" si="23"/>
        <v>VETERANs MAlE ARGENTINA 1</v>
      </c>
      <c r="H157" s="132"/>
      <c r="I157" s="132" t="s">
        <v>99</v>
      </c>
      <c r="J157" s="134" t="s">
        <v>192</v>
      </c>
      <c r="K157" s="134" t="s">
        <v>168</v>
      </c>
      <c r="L157" s="132"/>
      <c r="M157" s="132"/>
    </row>
    <row r="158" spans="3:13" x14ac:dyDescent="0.2">
      <c r="C158" s="131" t="s">
        <v>673</v>
      </c>
      <c r="D158" s="131" t="s">
        <v>434</v>
      </c>
      <c r="E158" s="131" t="str">
        <f>VLOOKUP(D158,country_short,2,0)</f>
        <v>ARG2</v>
      </c>
      <c r="F158" s="131" t="s">
        <v>466</v>
      </c>
      <c r="G158" s="131" t="str">
        <f t="shared" si="23"/>
        <v>VETERANs MAlE ARGENTINA 2</v>
      </c>
      <c r="H158" s="132"/>
      <c r="I158" s="132" t="s">
        <v>101</v>
      </c>
      <c r="J158" s="134" t="s">
        <v>193</v>
      </c>
      <c r="K158" s="134" t="s">
        <v>164</v>
      </c>
      <c r="L158" s="132"/>
      <c r="M158" s="132"/>
    </row>
    <row r="159" spans="3:13" x14ac:dyDescent="0.2">
      <c r="C159" s="131" t="s">
        <v>674</v>
      </c>
      <c r="D159" s="131" t="s">
        <v>414</v>
      </c>
      <c r="E159" s="131" t="str">
        <f>VLOOKUP(D159,country_short,2,0)</f>
        <v>COL1</v>
      </c>
      <c r="F159" s="131" t="s">
        <v>466</v>
      </c>
      <c r="G159" s="131" t="str">
        <f t="shared" si="23"/>
        <v>VETERANs MAlE COLOMBIA 1</v>
      </c>
      <c r="H159" s="132"/>
      <c r="I159" s="132" t="s">
        <v>522</v>
      </c>
      <c r="J159" s="134" t="s">
        <v>193</v>
      </c>
      <c r="K159" s="134" t="s">
        <v>167</v>
      </c>
      <c r="L159" s="132"/>
      <c r="M159" s="132"/>
    </row>
    <row r="160" spans="3:13" x14ac:dyDescent="0.2">
      <c r="C160" s="131" t="s">
        <v>675</v>
      </c>
      <c r="D160" s="131" t="s">
        <v>419</v>
      </c>
      <c r="E160" s="131" t="str">
        <f t="shared" ref="E160:E165" si="24">VLOOKUP(D160,country_short,2,0)</f>
        <v>MEX</v>
      </c>
      <c r="F160" s="131" t="s">
        <v>466</v>
      </c>
      <c r="G160" s="131" t="str">
        <f t="shared" si="23"/>
        <v>VETERANs MAlE MEXICO</v>
      </c>
      <c r="H160" s="132"/>
      <c r="I160" s="132" t="s">
        <v>104</v>
      </c>
      <c r="J160" s="134" t="s">
        <v>194</v>
      </c>
      <c r="K160" s="134" t="s">
        <v>163</v>
      </c>
      <c r="L160" s="132"/>
      <c r="M160" s="132"/>
    </row>
    <row r="161" spans="3:13" x14ac:dyDescent="0.2">
      <c r="C161" s="131" t="s">
        <v>676</v>
      </c>
      <c r="D161" s="131" t="s">
        <v>421</v>
      </c>
      <c r="E161" s="131" t="str">
        <f t="shared" si="24"/>
        <v>PER</v>
      </c>
      <c r="F161" s="131" t="s">
        <v>466</v>
      </c>
      <c r="G161" s="131" t="str">
        <f t="shared" si="23"/>
        <v>VETERANs MAlE PERU</v>
      </c>
      <c r="H161" s="132"/>
      <c r="I161" s="132" t="s">
        <v>105</v>
      </c>
      <c r="J161" s="134" t="s">
        <v>194</v>
      </c>
      <c r="K161" s="134" t="s">
        <v>164</v>
      </c>
      <c r="L161" s="132"/>
      <c r="M161" s="132"/>
    </row>
    <row r="162" spans="3:13" x14ac:dyDescent="0.2">
      <c r="C162" s="131" t="s">
        <v>677</v>
      </c>
      <c r="D162" s="131" t="s">
        <v>424</v>
      </c>
      <c r="E162" s="131" t="str">
        <f t="shared" si="24"/>
        <v>USA1</v>
      </c>
      <c r="F162" s="131" t="s">
        <v>466</v>
      </c>
      <c r="G162" s="131" t="str">
        <f t="shared" si="23"/>
        <v>VETERANs MAlE USA 1</v>
      </c>
      <c r="H162" s="132"/>
      <c r="I162" s="132" t="s">
        <v>106</v>
      </c>
      <c r="J162" s="134" t="s">
        <v>194</v>
      </c>
      <c r="K162" s="134" t="s">
        <v>166</v>
      </c>
      <c r="L162" s="132"/>
      <c r="M162" s="132"/>
    </row>
    <row r="163" spans="3:13" x14ac:dyDescent="0.2">
      <c r="C163" s="131" t="s">
        <v>678</v>
      </c>
      <c r="D163" s="131" t="s">
        <v>417</v>
      </c>
      <c r="E163" s="131" t="str">
        <f t="shared" si="24"/>
        <v>VEN1</v>
      </c>
      <c r="F163" s="131" t="s">
        <v>466</v>
      </c>
      <c r="G163" s="131" t="str">
        <f t="shared" si="23"/>
        <v>VETERANs MAlE VENEZUELA 1</v>
      </c>
      <c r="H163" s="132"/>
      <c r="I163" s="132" t="s">
        <v>107</v>
      </c>
      <c r="J163" s="134" t="s">
        <v>194</v>
      </c>
      <c r="K163" s="134" t="s">
        <v>168</v>
      </c>
      <c r="L163" s="132"/>
      <c r="M163" s="132"/>
    </row>
    <row r="164" spans="3:13" x14ac:dyDescent="0.2">
      <c r="C164" s="145" t="s">
        <v>721</v>
      </c>
      <c r="D164" s="145" t="s">
        <v>439</v>
      </c>
      <c r="E164" s="131" t="str">
        <f t="shared" si="24"/>
        <v>ISR1</v>
      </c>
      <c r="F164" s="131" t="s">
        <v>466</v>
      </c>
      <c r="G164" s="131" t="str">
        <f t="shared" si="23"/>
        <v>VETERANs MAlE ISRAEL 1</v>
      </c>
      <c r="H164" s="132"/>
      <c r="I164" s="132" t="s">
        <v>109</v>
      </c>
      <c r="J164" s="134" t="s">
        <v>195</v>
      </c>
      <c r="K164" s="134" t="s">
        <v>164</v>
      </c>
      <c r="L164" s="132"/>
      <c r="M164" s="132"/>
    </row>
    <row r="165" spans="3:13" x14ac:dyDescent="0.2">
      <c r="C165" s="131" t="s">
        <v>679</v>
      </c>
      <c r="D165" s="131" t="s">
        <v>429</v>
      </c>
      <c r="E165" s="131" t="str">
        <f t="shared" si="24"/>
        <v>ALL</v>
      </c>
      <c r="F165" s="131" t="s">
        <v>466</v>
      </c>
      <c r="G165" s="131" t="str">
        <f t="shared" si="23"/>
        <v>VETERANs MAlE ALL</v>
      </c>
      <c r="H165" s="132"/>
      <c r="I165" s="132" t="s">
        <v>110</v>
      </c>
      <c r="J165" s="134" t="s">
        <v>195</v>
      </c>
      <c r="K165" s="134" t="s">
        <v>427</v>
      </c>
      <c r="L165" s="132"/>
      <c r="M165" s="132"/>
    </row>
    <row r="166" spans="3:13" x14ac:dyDescent="0.2">
      <c r="E166" s="132"/>
      <c r="G166" s="132"/>
      <c r="H166" s="132"/>
      <c r="I166" s="132" t="s">
        <v>116</v>
      </c>
      <c r="J166" s="134" t="s">
        <v>197</v>
      </c>
      <c r="K166" s="134" t="s">
        <v>163</v>
      </c>
      <c r="L166" s="132"/>
      <c r="M166" s="132"/>
    </row>
    <row r="167" spans="3:13" x14ac:dyDescent="0.2">
      <c r="E167" s="132"/>
      <c r="G167" s="132"/>
      <c r="H167" s="132"/>
      <c r="I167" s="132" t="s">
        <v>123</v>
      </c>
      <c r="J167" s="134" t="s">
        <v>198</v>
      </c>
      <c r="K167" s="134" t="s">
        <v>167</v>
      </c>
      <c r="L167" s="132"/>
      <c r="M167" s="132"/>
    </row>
    <row r="168" spans="3:13" x14ac:dyDescent="0.2">
      <c r="E168" s="132"/>
      <c r="G168" s="132"/>
      <c r="H168" s="132"/>
      <c r="I168" s="132" t="s">
        <v>124</v>
      </c>
      <c r="J168" s="134" t="s">
        <v>199</v>
      </c>
      <c r="K168" s="134" t="s">
        <v>163</v>
      </c>
      <c r="L168" s="132"/>
      <c r="M168" s="132"/>
    </row>
    <row r="169" spans="3:13" x14ac:dyDescent="0.2">
      <c r="E169" s="132"/>
      <c r="G169" s="132"/>
      <c r="H169" s="132"/>
      <c r="I169" s="132" t="s">
        <v>125</v>
      </c>
      <c r="J169" s="134" t="s">
        <v>199</v>
      </c>
      <c r="K169" s="134" t="s">
        <v>164</v>
      </c>
      <c r="L169" s="132"/>
      <c r="M169" s="132"/>
    </row>
    <row r="170" spans="3:13" x14ac:dyDescent="0.2">
      <c r="E170" s="132"/>
      <c r="G170" s="132"/>
      <c r="H170" s="132"/>
      <c r="I170" s="132" t="s">
        <v>126</v>
      </c>
      <c r="J170" s="134" t="s">
        <v>199</v>
      </c>
      <c r="K170" s="134" t="s">
        <v>166</v>
      </c>
      <c r="L170" s="132"/>
      <c r="M170" s="132"/>
    </row>
    <row r="171" spans="3:13" x14ac:dyDescent="0.2">
      <c r="E171" s="132"/>
      <c r="G171" s="132"/>
      <c r="H171" s="132"/>
      <c r="I171" s="132" t="s">
        <v>505</v>
      </c>
      <c r="J171" s="134" t="s">
        <v>415</v>
      </c>
      <c r="K171" s="134" t="s">
        <v>163</v>
      </c>
      <c r="L171" s="132"/>
      <c r="M171" s="132"/>
    </row>
    <row r="172" spans="3:13" x14ac:dyDescent="0.2">
      <c r="E172" s="132"/>
      <c r="G172" s="132"/>
      <c r="H172" s="132"/>
      <c r="I172" s="142" t="s">
        <v>147</v>
      </c>
      <c r="J172" s="134" t="s">
        <v>415</v>
      </c>
      <c r="K172" s="141" t="s">
        <v>148</v>
      </c>
      <c r="L172" s="132"/>
      <c r="M172" s="132"/>
    </row>
    <row r="173" spans="3:13" x14ac:dyDescent="0.2">
      <c r="E173" s="132"/>
      <c r="G173" s="132"/>
      <c r="H173" s="132"/>
      <c r="I173" s="142" t="s">
        <v>149</v>
      </c>
      <c r="J173" s="134" t="s">
        <v>431</v>
      </c>
      <c r="K173" s="141" t="s">
        <v>148</v>
      </c>
      <c r="L173" s="132"/>
      <c r="M173" s="132"/>
    </row>
    <row r="174" spans="3:13" x14ac:dyDescent="0.2">
      <c r="E174" s="132"/>
      <c r="G174" s="132"/>
      <c r="H174" s="132"/>
      <c r="I174" s="142" t="s">
        <v>150</v>
      </c>
      <c r="J174" s="134" t="s">
        <v>189</v>
      </c>
      <c r="K174" s="141" t="s">
        <v>148</v>
      </c>
      <c r="L174" s="132"/>
      <c r="M174" s="132"/>
    </row>
    <row r="175" spans="3:13" x14ac:dyDescent="0.2">
      <c r="E175" s="132"/>
      <c r="G175" s="132"/>
      <c r="H175" s="132"/>
      <c r="I175" s="142" t="s">
        <v>151</v>
      </c>
      <c r="J175" s="134" t="s">
        <v>190</v>
      </c>
      <c r="K175" s="141" t="s">
        <v>148</v>
      </c>
      <c r="L175" s="132"/>
      <c r="M175" s="132"/>
    </row>
    <row r="176" spans="3:13" x14ac:dyDescent="0.2">
      <c r="E176" s="132"/>
      <c r="G176" s="132"/>
      <c r="H176" s="132"/>
      <c r="I176" s="142" t="s">
        <v>152</v>
      </c>
      <c r="J176" s="134" t="s">
        <v>191</v>
      </c>
      <c r="K176" s="141" t="s">
        <v>148</v>
      </c>
      <c r="L176" s="132"/>
      <c r="M176" s="132"/>
    </row>
    <row r="177" spans="5:13" x14ac:dyDescent="0.2">
      <c r="E177" s="132"/>
      <c r="G177" s="132"/>
      <c r="H177" s="132"/>
      <c r="I177" s="142" t="s">
        <v>153</v>
      </c>
      <c r="J177" s="134" t="s">
        <v>192</v>
      </c>
      <c r="K177" s="141" t="s">
        <v>148</v>
      </c>
      <c r="L177" s="132"/>
      <c r="M177" s="132"/>
    </row>
    <row r="178" spans="5:13" x14ac:dyDescent="0.2">
      <c r="E178" s="132"/>
      <c r="G178" s="132"/>
      <c r="H178" s="132"/>
      <c r="I178" s="142" t="s">
        <v>154</v>
      </c>
      <c r="J178" s="134" t="s">
        <v>193</v>
      </c>
      <c r="K178" s="141" t="s">
        <v>148</v>
      </c>
      <c r="L178" s="132"/>
      <c r="M178" s="132"/>
    </row>
    <row r="179" spans="5:13" x14ac:dyDescent="0.2">
      <c r="E179" s="132"/>
      <c r="G179" s="132"/>
      <c r="H179" s="132"/>
      <c r="I179" s="142" t="s">
        <v>156</v>
      </c>
      <c r="J179" s="134" t="s">
        <v>194</v>
      </c>
      <c r="K179" s="141" t="s">
        <v>148</v>
      </c>
      <c r="L179" s="132"/>
      <c r="M179" s="132"/>
    </row>
    <row r="180" spans="5:13" x14ac:dyDescent="0.2">
      <c r="E180" s="132"/>
      <c r="G180" s="132"/>
      <c r="H180" s="132"/>
      <c r="I180" s="142" t="s">
        <v>157</v>
      </c>
      <c r="J180" s="134" t="s">
        <v>195</v>
      </c>
      <c r="K180" s="141" t="s">
        <v>148</v>
      </c>
      <c r="L180" s="132"/>
      <c r="M180" s="132"/>
    </row>
    <row r="181" spans="5:13" x14ac:dyDescent="0.2">
      <c r="E181" s="132"/>
      <c r="G181" s="132"/>
      <c r="H181" s="132"/>
      <c r="I181" s="142" t="s">
        <v>158</v>
      </c>
      <c r="J181" s="134" t="s">
        <v>196</v>
      </c>
      <c r="K181" s="141" t="s">
        <v>148</v>
      </c>
      <c r="L181" s="132"/>
      <c r="M181" s="132"/>
    </row>
    <row r="182" spans="5:13" x14ac:dyDescent="0.2">
      <c r="E182" s="132"/>
      <c r="G182" s="132"/>
      <c r="H182" s="132"/>
      <c r="I182" s="142" t="s">
        <v>159</v>
      </c>
      <c r="J182" s="134" t="s">
        <v>198</v>
      </c>
      <c r="K182" s="141" t="s">
        <v>148</v>
      </c>
      <c r="L182" s="132"/>
      <c r="M182" s="132"/>
    </row>
    <row r="183" spans="5:13" x14ac:dyDescent="0.2">
      <c r="E183" s="132"/>
      <c r="G183" s="132"/>
      <c r="H183" s="132"/>
      <c r="I183" s="142" t="s">
        <v>160</v>
      </c>
      <c r="J183" s="134" t="s">
        <v>199</v>
      </c>
      <c r="K183" s="141" t="s">
        <v>148</v>
      </c>
      <c r="L183" s="132"/>
      <c r="M183" s="132"/>
    </row>
    <row r="184" spans="5:13" x14ac:dyDescent="0.2">
      <c r="E184" s="132"/>
      <c r="G184" s="132"/>
      <c r="H184" s="132"/>
      <c r="I184" s="142" t="s">
        <v>161</v>
      </c>
      <c r="J184" s="134" t="s">
        <v>197</v>
      </c>
      <c r="K184" s="141" t="s">
        <v>148</v>
      </c>
      <c r="L184" s="132"/>
      <c r="M184" s="132"/>
    </row>
    <row r="185" spans="5:13" x14ac:dyDescent="0.2">
      <c r="E185" s="132"/>
      <c r="G185" s="132"/>
      <c r="H185" s="132"/>
      <c r="I185" s="142" t="s">
        <v>162</v>
      </c>
      <c r="J185" s="134" t="s">
        <v>466</v>
      </c>
      <c r="K185" s="141" t="s">
        <v>148</v>
      </c>
      <c r="L185" s="132"/>
      <c r="M185" s="132"/>
    </row>
    <row r="186" spans="5:13" x14ac:dyDescent="0.2">
      <c r="E186" s="132"/>
      <c r="G186" s="132"/>
      <c r="H186" s="132"/>
      <c r="I186" s="143" t="s">
        <v>291</v>
      </c>
      <c r="J186" s="134" t="s">
        <v>191</v>
      </c>
      <c r="K186" s="132" t="s">
        <v>227</v>
      </c>
      <c r="L186" s="132"/>
      <c r="M186" s="132"/>
    </row>
    <row r="187" spans="5:13" x14ac:dyDescent="0.2">
      <c r="E187" s="132"/>
      <c r="G187" s="132"/>
      <c r="H187" s="132"/>
      <c r="I187" s="143" t="s">
        <v>292</v>
      </c>
      <c r="J187" s="134" t="s">
        <v>192</v>
      </c>
      <c r="K187" s="132" t="s">
        <v>227</v>
      </c>
      <c r="L187" s="132"/>
      <c r="M187" s="132"/>
    </row>
    <row r="188" spans="5:13" x14ac:dyDescent="0.2">
      <c r="E188" s="132"/>
      <c r="G188" s="132"/>
      <c r="H188" s="132"/>
      <c r="I188" s="143" t="s">
        <v>293</v>
      </c>
      <c r="J188" s="134" t="s">
        <v>189</v>
      </c>
      <c r="K188" s="132" t="s">
        <v>227</v>
      </c>
      <c r="L188" s="132"/>
      <c r="M188" s="132"/>
    </row>
    <row r="189" spans="5:13" x14ac:dyDescent="0.2">
      <c r="E189" s="132"/>
      <c r="G189" s="132"/>
      <c r="H189" s="132"/>
      <c r="I189" s="143" t="s">
        <v>294</v>
      </c>
      <c r="J189" s="134" t="s">
        <v>190</v>
      </c>
      <c r="K189" s="132" t="s">
        <v>227</v>
      </c>
      <c r="L189" s="132"/>
      <c r="M189" s="132"/>
    </row>
    <row r="190" spans="5:13" x14ac:dyDescent="0.2">
      <c r="E190" s="132"/>
      <c r="G190" s="132"/>
      <c r="H190" s="132"/>
      <c r="I190" s="143" t="s">
        <v>297</v>
      </c>
      <c r="J190" s="134" t="s">
        <v>195</v>
      </c>
      <c r="K190" s="132" t="s">
        <v>227</v>
      </c>
      <c r="L190" s="132"/>
      <c r="M190" s="132"/>
    </row>
    <row r="191" spans="5:13" x14ac:dyDescent="0.2">
      <c r="E191" s="132"/>
      <c r="G191" s="132"/>
      <c r="H191" s="132"/>
      <c r="I191" s="143" t="s">
        <v>298</v>
      </c>
      <c r="J191" s="134" t="s">
        <v>196</v>
      </c>
      <c r="K191" s="132" t="s">
        <v>227</v>
      </c>
      <c r="L191" s="132"/>
      <c r="M191" s="132"/>
    </row>
    <row r="192" spans="5:13" x14ac:dyDescent="0.2">
      <c r="E192" s="132"/>
      <c r="G192" s="132"/>
      <c r="H192" s="132"/>
      <c r="I192" s="143" t="s">
        <v>300</v>
      </c>
      <c r="J192" s="134" t="s">
        <v>194</v>
      </c>
      <c r="K192" s="132" t="s">
        <v>227</v>
      </c>
      <c r="L192" s="132"/>
      <c r="M192" s="132"/>
    </row>
    <row r="193" spans="5:13" x14ac:dyDescent="0.2">
      <c r="E193" s="132"/>
      <c r="G193" s="132"/>
      <c r="H193" s="132"/>
      <c r="I193" s="143" t="s">
        <v>301</v>
      </c>
      <c r="J193" s="134" t="s">
        <v>193</v>
      </c>
      <c r="K193" s="132" t="s">
        <v>227</v>
      </c>
      <c r="L193" s="132"/>
      <c r="M193" s="132"/>
    </row>
    <row r="194" spans="5:13" x14ac:dyDescent="0.2">
      <c r="E194" s="132"/>
      <c r="G194" s="132"/>
      <c r="H194" s="132"/>
      <c r="I194" s="143" t="s">
        <v>295</v>
      </c>
      <c r="J194" s="134" t="s">
        <v>198</v>
      </c>
      <c r="K194" s="132" t="s">
        <v>227</v>
      </c>
      <c r="L194" s="132"/>
      <c r="M194" s="132"/>
    </row>
    <row r="195" spans="5:13" x14ac:dyDescent="0.2">
      <c r="E195" s="132"/>
      <c r="G195" s="132"/>
      <c r="H195" s="132"/>
      <c r="I195" s="143" t="s">
        <v>296</v>
      </c>
      <c r="J195" s="134" t="s">
        <v>199</v>
      </c>
      <c r="K195" s="132" t="s">
        <v>227</v>
      </c>
      <c r="L195" s="132"/>
      <c r="M195" s="132"/>
    </row>
    <row r="196" spans="5:13" x14ac:dyDescent="0.2">
      <c r="E196" s="132"/>
      <c r="G196" s="132"/>
      <c r="H196" s="132"/>
      <c r="I196" s="143" t="s">
        <v>299</v>
      </c>
      <c r="J196" s="134" t="s">
        <v>197</v>
      </c>
      <c r="K196" s="132" t="s">
        <v>227</v>
      </c>
      <c r="L196" s="132"/>
      <c r="M196" s="132"/>
    </row>
    <row r="197" spans="5:13" x14ac:dyDescent="0.2">
      <c r="E197" s="132"/>
      <c r="G197" s="132"/>
      <c r="H197" s="132"/>
      <c r="I197" s="132" t="s">
        <v>130</v>
      </c>
      <c r="J197" s="134" t="s">
        <v>431</v>
      </c>
      <c r="K197" s="134" t="s">
        <v>163</v>
      </c>
      <c r="L197" s="132"/>
      <c r="M197" s="132"/>
    </row>
    <row r="198" spans="5:13" x14ac:dyDescent="0.2">
      <c r="E198" s="132"/>
      <c r="G198" s="132"/>
      <c r="H198" s="132"/>
      <c r="I198" s="132" t="s">
        <v>132</v>
      </c>
      <c r="J198" s="134" t="s">
        <v>431</v>
      </c>
      <c r="K198" s="134" t="s">
        <v>167</v>
      </c>
      <c r="L198" s="132"/>
      <c r="M198" s="132"/>
    </row>
    <row r="199" spans="5:13" x14ac:dyDescent="0.2">
      <c r="E199" s="132"/>
      <c r="G199" s="132"/>
      <c r="H199" s="132"/>
      <c r="I199" s="132" t="s">
        <v>133</v>
      </c>
      <c r="J199" s="134" t="s">
        <v>498</v>
      </c>
      <c r="K199" s="134" t="s">
        <v>163</v>
      </c>
      <c r="L199" s="132"/>
      <c r="M199" s="132"/>
    </row>
    <row r="200" spans="5:13" x14ac:dyDescent="0.2">
      <c r="E200" s="132"/>
      <c r="G200" s="132"/>
      <c r="H200" s="132"/>
      <c r="I200" s="132" t="s">
        <v>134</v>
      </c>
      <c r="J200" s="134" t="s">
        <v>498</v>
      </c>
      <c r="K200" s="134" t="s">
        <v>167</v>
      </c>
      <c r="L200" s="132"/>
      <c r="M200" s="132"/>
    </row>
    <row r="201" spans="5:13" x14ac:dyDescent="0.2">
      <c r="E201" s="132"/>
      <c r="G201" s="132"/>
      <c r="H201" s="132"/>
      <c r="I201" s="132" t="s">
        <v>135</v>
      </c>
      <c r="J201" s="134" t="s">
        <v>203</v>
      </c>
      <c r="K201" s="134" t="s">
        <v>164</v>
      </c>
      <c r="L201" s="132"/>
      <c r="M201" s="132"/>
    </row>
    <row r="202" spans="5:13" x14ac:dyDescent="0.2">
      <c r="E202" s="132"/>
      <c r="G202" s="132"/>
      <c r="H202" s="132"/>
      <c r="I202" s="132" t="s">
        <v>136</v>
      </c>
      <c r="J202" s="134" t="s">
        <v>203</v>
      </c>
      <c r="K202" s="134" t="s">
        <v>167</v>
      </c>
      <c r="L202" s="132"/>
      <c r="M202" s="132"/>
    </row>
    <row r="203" spans="5:13" x14ac:dyDescent="0.2">
      <c r="E203" s="132"/>
      <c r="G203" s="132"/>
      <c r="H203" s="132"/>
      <c r="I203" s="143"/>
      <c r="J203" s="134"/>
      <c r="K203" s="132"/>
      <c r="L203" s="132"/>
      <c r="M203" s="132"/>
    </row>
    <row r="204" spans="5:13" x14ac:dyDescent="0.2">
      <c r="E204" s="132"/>
      <c r="G204" s="132"/>
      <c r="H204" s="132"/>
      <c r="I204" s="143"/>
      <c r="J204" s="134"/>
      <c r="K204" s="132"/>
      <c r="L204" s="132"/>
      <c r="M204" s="132"/>
    </row>
    <row r="205" spans="5:13" x14ac:dyDescent="0.2">
      <c r="E205" s="132"/>
      <c r="G205" s="132"/>
      <c r="H205" s="132"/>
      <c r="I205" s="143"/>
      <c r="J205" s="134"/>
      <c r="K205" s="132"/>
      <c r="L205" s="132"/>
      <c r="M205" s="132"/>
    </row>
    <row r="206" spans="5:13" x14ac:dyDescent="0.2">
      <c r="E206" s="132"/>
      <c r="G206" s="132"/>
      <c r="H206" s="132"/>
      <c r="I206" s="143"/>
      <c r="J206" s="134"/>
      <c r="K206" s="132"/>
      <c r="L206" s="132"/>
      <c r="M206" s="132"/>
    </row>
    <row r="207" spans="5:13" x14ac:dyDescent="0.2">
      <c r="E207" s="132"/>
      <c r="G207" s="132"/>
      <c r="H207" s="132"/>
      <c r="I207" s="143"/>
      <c r="J207" s="134"/>
      <c r="K207" s="132"/>
      <c r="L207" s="132"/>
      <c r="M207" s="132"/>
    </row>
    <row r="208" spans="5:13" x14ac:dyDescent="0.2">
      <c r="E208" s="132"/>
      <c r="G208" s="132"/>
      <c r="H208" s="132"/>
      <c r="I208" s="143"/>
      <c r="J208" s="134"/>
      <c r="K208" s="132"/>
      <c r="L208" s="132"/>
      <c r="M208" s="132"/>
    </row>
    <row r="209" spans="5:13" x14ac:dyDescent="0.2">
      <c r="E209" s="132"/>
      <c r="G209" s="132"/>
      <c r="H209" s="132"/>
      <c r="I209" s="143"/>
      <c r="J209" s="134"/>
      <c r="K209" s="132"/>
      <c r="L209" s="132"/>
      <c r="M209" s="132"/>
    </row>
    <row r="210" spans="5:13" x14ac:dyDescent="0.2">
      <c r="E210" s="132"/>
      <c r="G210" s="132"/>
      <c r="H210" s="132"/>
      <c r="I210" s="143"/>
      <c r="J210" s="134"/>
      <c r="K210" s="132"/>
      <c r="L210" s="132"/>
      <c r="M210" s="132"/>
    </row>
    <row r="211" spans="5:13" x14ac:dyDescent="0.2">
      <c r="E211" s="132"/>
      <c r="G211" s="132"/>
      <c r="H211" s="132"/>
      <c r="I211" s="143"/>
      <c r="J211" s="134"/>
      <c r="K211" s="132"/>
      <c r="L211" s="132"/>
      <c r="M211" s="132"/>
    </row>
    <row r="212" spans="5:13" x14ac:dyDescent="0.2">
      <c r="E212" s="132"/>
      <c r="G212" s="132"/>
      <c r="H212" s="132"/>
      <c r="I212" s="143"/>
      <c r="J212" s="134"/>
      <c r="K212" s="132"/>
      <c r="L212" s="132"/>
      <c r="M212" s="132"/>
    </row>
    <row r="213" spans="5:13" x14ac:dyDescent="0.2">
      <c r="E213" s="132"/>
      <c r="G213" s="132"/>
      <c r="H213" s="132"/>
      <c r="I213" s="143"/>
      <c r="J213" s="134"/>
      <c r="K213" s="132"/>
      <c r="L213" s="132"/>
      <c r="M213" s="132"/>
    </row>
    <row r="214" spans="5:13" x14ac:dyDescent="0.2">
      <c r="E214" s="132"/>
      <c r="G214" s="132"/>
      <c r="H214" s="132"/>
      <c r="I214" s="132"/>
      <c r="K214" s="132"/>
      <c r="L214" s="132"/>
      <c r="M214" s="132"/>
    </row>
    <row r="215" spans="5:13" x14ac:dyDescent="0.2">
      <c r="E215" s="132"/>
      <c r="G215" s="132"/>
      <c r="H215" s="132"/>
      <c r="I215" s="132"/>
      <c r="K215" s="132"/>
      <c r="L215" s="132"/>
      <c r="M215" s="132"/>
    </row>
    <row r="216" spans="5:13" x14ac:dyDescent="0.2">
      <c r="E216" s="132"/>
      <c r="G216" s="132"/>
      <c r="H216" s="132"/>
      <c r="I216" s="132"/>
      <c r="K216" s="132"/>
      <c r="L216" s="132"/>
      <c r="M216" s="132"/>
    </row>
    <row r="217" spans="5:13" x14ac:dyDescent="0.2">
      <c r="E217" s="132"/>
      <c r="G217" s="132"/>
      <c r="H217" s="132"/>
      <c r="I217" s="132"/>
      <c r="K217" s="132"/>
      <c r="L217" s="132"/>
      <c r="M217" s="132"/>
    </row>
    <row r="218" spans="5:13" x14ac:dyDescent="0.2">
      <c r="E218" s="132"/>
      <c r="G218" s="132"/>
      <c r="H218" s="132"/>
      <c r="I218" s="132"/>
      <c r="K218" s="132"/>
      <c r="L218" s="132"/>
      <c r="M218" s="132"/>
    </row>
    <row r="219" spans="5:13" x14ac:dyDescent="0.2">
      <c r="E219" s="132"/>
      <c r="G219" s="132"/>
      <c r="H219" s="132"/>
      <c r="I219" s="132"/>
      <c r="K219" s="132"/>
      <c r="L219" s="132"/>
      <c r="M219" s="132"/>
    </row>
    <row r="220" spans="5:13" x14ac:dyDescent="0.2">
      <c r="E220" s="132"/>
      <c r="G220" s="132"/>
      <c r="H220" s="132"/>
      <c r="I220" s="132"/>
      <c r="J220" s="132"/>
      <c r="K220" s="132"/>
      <c r="L220" s="132"/>
      <c r="M220" s="132"/>
    </row>
    <row r="221" spans="5:13" x14ac:dyDescent="0.2">
      <c r="E221" s="132"/>
      <c r="G221" s="132"/>
      <c r="H221" s="132"/>
      <c r="I221" s="132"/>
      <c r="J221" s="132"/>
      <c r="K221" s="132"/>
      <c r="L221" s="132"/>
      <c r="M221" s="132"/>
    </row>
    <row r="222" spans="5:13" x14ac:dyDescent="0.2">
      <c r="E222" s="132"/>
      <c r="G222" s="132"/>
      <c r="H222" s="132"/>
      <c r="I222" s="132"/>
      <c r="J222" s="132"/>
      <c r="K222" s="132"/>
      <c r="L222" s="132"/>
      <c r="M222" s="132"/>
    </row>
    <row r="223" spans="5:13" x14ac:dyDescent="0.2">
      <c r="E223" s="132"/>
      <c r="G223" s="132"/>
      <c r="H223" s="132"/>
      <c r="I223" s="132"/>
      <c r="J223" s="132"/>
      <c r="K223" s="132"/>
      <c r="L223" s="132"/>
      <c r="M223" s="132"/>
    </row>
    <row r="224" spans="5:13" x14ac:dyDescent="0.2">
      <c r="E224" s="132"/>
      <c r="G224" s="132"/>
      <c r="H224" s="132"/>
      <c r="I224" s="132"/>
      <c r="J224" s="132"/>
      <c r="K224" s="132"/>
      <c r="L224" s="132"/>
      <c r="M224" s="132"/>
    </row>
    <row r="225" spans="5:13" x14ac:dyDescent="0.2">
      <c r="E225" s="132"/>
      <c r="G225" s="132"/>
      <c r="H225" s="132"/>
      <c r="I225" s="132"/>
      <c r="J225" s="132"/>
      <c r="K225" s="132"/>
      <c r="L225" s="132"/>
      <c r="M225" s="132"/>
    </row>
    <row r="226" spans="5:13" x14ac:dyDescent="0.2">
      <c r="E226" s="132"/>
      <c r="G226" s="132"/>
      <c r="H226" s="132"/>
      <c r="I226" s="132"/>
      <c r="J226" s="132"/>
      <c r="K226" s="132"/>
      <c r="L226" s="132"/>
      <c r="M226" s="132"/>
    </row>
    <row r="227" spans="5:13" x14ac:dyDescent="0.2">
      <c r="E227" s="132"/>
      <c r="G227" s="132"/>
      <c r="H227" s="132"/>
      <c r="I227" s="132"/>
      <c r="J227" s="132"/>
      <c r="K227" s="132"/>
      <c r="L227" s="132"/>
      <c r="M227" s="132"/>
    </row>
    <row r="228" spans="5:13" x14ac:dyDescent="0.2">
      <c r="E228" s="132"/>
      <c r="G228" s="132"/>
      <c r="H228" s="132"/>
      <c r="I228" s="132"/>
      <c r="J228" s="132"/>
      <c r="K228" s="132"/>
      <c r="L228" s="132"/>
      <c r="M228" s="132"/>
    </row>
    <row r="229" spans="5:13" x14ac:dyDescent="0.2">
      <c r="E229" s="132"/>
      <c r="G229" s="132"/>
      <c r="H229" s="132"/>
      <c r="I229" s="132"/>
      <c r="J229" s="132"/>
      <c r="K229" s="132"/>
      <c r="L229" s="132"/>
      <c r="M229" s="132"/>
    </row>
    <row r="230" spans="5:13" x14ac:dyDescent="0.2">
      <c r="E230" s="132"/>
      <c r="G230" s="132"/>
      <c r="H230" s="132"/>
      <c r="I230" s="132"/>
      <c r="J230" s="132"/>
      <c r="K230" s="132"/>
      <c r="L230" s="132"/>
      <c r="M230" s="132"/>
    </row>
    <row r="231" spans="5:13" x14ac:dyDescent="0.2">
      <c r="E231" s="132"/>
      <c r="G231" s="132"/>
      <c r="H231" s="132"/>
      <c r="I231" s="132"/>
      <c r="J231" s="132"/>
      <c r="K231" s="132"/>
      <c r="L231" s="132"/>
      <c r="M231" s="132"/>
    </row>
    <row r="232" spans="5:13" x14ac:dyDescent="0.2">
      <c r="E232" s="132"/>
      <c r="G232" s="132"/>
      <c r="H232" s="132"/>
      <c r="I232" s="132"/>
      <c r="J232" s="132"/>
      <c r="K232" s="132"/>
      <c r="L232" s="132"/>
      <c r="M232" s="132"/>
    </row>
    <row r="233" spans="5:13" x14ac:dyDescent="0.2">
      <c r="E233" s="132"/>
      <c r="G233" s="132"/>
      <c r="H233" s="132"/>
      <c r="I233" s="132"/>
      <c r="J233" s="132"/>
      <c r="K233" s="132"/>
      <c r="L233" s="132"/>
      <c r="M233" s="132"/>
    </row>
    <row r="234" spans="5:13" x14ac:dyDescent="0.2">
      <c r="E234" s="132"/>
      <c r="G234" s="132"/>
      <c r="H234" s="132"/>
      <c r="I234" s="132"/>
      <c r="J234" s="132"/>
      <c r="K234" s="132"/>
      <c r="L234" s="132"/>
      <c r="M234" s="132"/>
    </row>
    <row r="235" spans="5:13" x14ac:dyDescent="0.2">
      <c r="E235" s="132"/>
      <c r="G235" s="132"/>
      <c r="H235" s="132"/>
      <c r="I235" s="132"/>
      <c r="J235" s="132"/>
      <c r="K235" s="132"/>
      <c r="L235" s="132"/>
      <c r="M235" s="132"/>
    </row>
    <row r="236" spans="5:13" x14ac:dyDescent="0.2">
      <c r="E236" s="132"/>
      <c r="G236" s="132"/>
      <c r="H236" s="132"/>
      <c r="I236" s="132"/>
      <c r="J236" s="132"/>
      <c r="K236" s="132"/>
      <c r="L236" s="132"/>
      <c r="M236" s="132"/>
    </row>
    <row r="237" spans="5:13" x14ac:dyDescent="0.2">
      <c r="E237" s="132"/>
      <c r="G237" s="132"/>
      <c r="H237" s="132"/>
      <c r="I237" s="132"/>
      <c r="J237" s="132"/>
      <c r="K237" s="132"/>
      <c r="L237" s="132"/>
      <c r="M237" s="132"/>
    </row>
    <row r="238" spans="5:13" x14ac:dyDescent="0.2">
      <c r="E238" s="132"/>
      <c r="G238" s="132"/>
      <c r="H238" s="132"/>
      <c r="I238" s="132"/>
      <c r="J238" s="132"/>
      <c r="K238" s="132"/>
      <c r="L238" s="132"/>
      <c r="M238" s="132"/>
    </row>
    <row r="239" spans="5:13" x14ac:dyDescent="0.2">
      <c r="E239" s="132"/>
      <c r="G239" s="132"/>
      <c r="H239" s="132"/>
      <c r="I239" s="132"/>
      <c r="J239" s="132"/>
      <c r="K239" s="132"/>
      <c r="L239" s="132"/>
      <c r="M239" s="132"/>
    </row>
    <row r="240" spans="5:13" x14ac:dyDescent="0.2">
      <c r="E240" s="132"/>
      <c r="G240" s="132"/>
      <c r="H240" s="132"/>
      <c r="I240" s="132"/>
      <c r="J240" s="132"/>
      <c r="K240" s="132"/>
      <c r="L240" s="132"/>
      <c r="M240" s="132"/>
    </row>
    <row r="241" spans="5:13" x14ac:dyDescent="0.2">
      <c r="E241" s="132"/>
      <c r="G241" s="132"/>
      <c r="H241" s="132"/>
      <c r="I241" s="132"/>
      <c r="J241" s="132"/>
      <c r="K241" s="132"/>
      <c r="L241" s="132"/>
      <c r="M241" s="132"/>
    </row>
    <row r="242" spans="5:13" x14ac:dyDescent="0.2">
      <c r="E242" s="132"/>
      <c r="G242" s="132"/>
      <c r="H242" s="132"/>
      <c r="I242" s="132"/>
      <c r="J242" s="132"/>
      <c r="K242" s="132"/>
      <c r="L242" s="132"/>
      <c r="M242" s="132"/>
    </row>
    <row r="243" spans="5:13" x14ac:dyDescent="0.2">
      <c r="E243" s="132"/>
      <c r="G243" s="132"/>
      <c r="H243" s="132"/>
      <c r="I243" s="132"/>
      <c r="J243" s="132"/>
      <c r="K243" s="132"/>
      <c r="L243" s="132"/>
      <c r="M243" s="132"/>
    </row>
    <row r="244" spans="5:13" x14ac:dyDescent="0.2">
      <c r="E244" s="132"/>
      <c r="G244" s="132"/>
      <c r="H244" s="132"/>
      <c r="I244" s="132"/>
      <c r="J244" s="132"/>
      <c r="K244" s="132"/>
      <c r="L244" s="132"/>
      <c r="M244" s="132"/>
    </row>
    <row r="245" spans="5:13" x14ac:dyDescent="0.2">
      <c r="E245" s="132"/>
      <c r="G245" s="132"/>
      <c r="H245" s="132"/>
      <c r="I245" s="132"/>
      <c r="J245" s="132"/>
      <c r="K245" s="132"/>
      <c r="L245" s="132"/>
      <c r="M245" s="132"/>
    </row>
    <row r="246" spans="5:13" x14ac:dyDescent="0.2">
      <c r="E246" s="132"/>
      <c r="G246" s="132"/>
      <c r="H246" s="132"/>
      <c r="I246" s="132"/>
      <c r="J246" s="132"/>
      <c r="K246" s="132"/>
      <c r="L246" s="132"/>
      <c r="M246" s="132"/>
    </row>
    <row r="247" spans="5:13" x14ac:dyDescent="0.2">
      <c r="E247" s="132"/>
      <c r="G247" s="132"/>
      <c r="H247" s="132"/>
      <c r="I247" s="132"/>
      <c r="J247" s="132"/>
      <c r="K247" s="132"/>
      <c r="L247" s="132"/>
      <c r="M247" s="132"/>
    </row>
    <row r="248" spans="5:13" x14ac:dyDescent="0.2">
      <c r="E248" s="132"/>
      <c r="G248" s="132"/>
      <c r="H248" s="132"/>
      <c r="I248" s="132"/>
      <c r="J248" s="132"/>
      <c r="K248" s="132"/>
      <c r="L248" s="132"/>
      <c r="M248" s="132"/>
    </row>
    <row r="249" spans="5:13" x14ac:dyDescent="0.2">
      <c r="E249" s="132"/>
      <c r="G249" s="132"/>
      <c r="H249" s="132"/>
      <c r="I249" s="132"/>
      <c r="J249" s="132"/>
      <c r="K249" s="132"/>
      <c r="L249" s="132"/>
      <c r="M249" s="132"/>
    </row>
    <row r="250" spans="5:13" x14ac:dyDescent="0.2">
      <c r="E250" s="132"/>
      <c r="G250" s="132"/>
      <c r="H250" s="132"/>
      <c r="I250" s="132"/>
      <c r="J250" s="132"/>
      <c r="K250" s="132"/>
      <c r="L250" s="132"/>
      <c r="M250" s="132"/>
    </row>
    <row r="251" spans="5:13" x14ac:dyDescent="0.2">
      <c r="E251" s="132"/>
      <c r="G251" s="132"/>
      <c r="H251" s="132"/>
      <c r="I251" s="132"/>
      <c r="J251" s="132"/>
      <c r="K251" s="132"/>
      <c r="L251" s="132"/>
      <c r="M251" s="132"/>
    </row>
    <row r="252" spans="5:13" x14ac:dyDescent="0.2">
      <c r="E252" s="132"/>
      <c r="G252" s="132"/>
      <c r="H252" s="132"/>
      <c r="I252" s="132"/>
      <c r="J252" s="132"/>
      <c r="K252" s="132"/>
      <c r="L252" s="132"/>
      <c r="M252" s="132"/>
    </row>
    <row r="253" spans="5:13" x14ac:dyDescent="0.2">
      <c r="E253" s="132"/>
      <c r="G253" s="132"/>
      <c r="H253" s="132"/>
      <c r="I253" s="132"/>
      <c r="J253" s="132"/>
      <c r="K253" s="132"/>
      <c r="L253" s="132"/>
      <c r="M253" s="132"/>
    </row>
    <row r="254" spans="5:13" x14ac:dyDescent="0.2">
      <c r="E254" s="132"/>
      <c r="G254" s="132"/>
      <c r="H254" s="132"/>
      <c r="I254" s="132"/>
      <c r="J254" s="132"/>
      <c r="K254" s="132"/>
      <c r="L254" s="132"/>
      <c r="M254" s="132"/>
    </row>
    <row r="255" spans="5:13" x14ac:dyDescent="0.2">
      <c r="E255" s="132"/>
      <c r="G255" s="132"/>
      <c r="H255" s="132"/>
      <c r="I255" s="132"/>
      <c r="J255" s="132"/>
      <c r="K255" s="132"/>
      <c r="L255" s="132"/>
      <c r="M255" s="132"/>
    </row>
    <row r="256" spans="5:13" x14ac:dyDescent="0.2">
      <c r="E256" s="132"/>
      <c r="G256" s="132"/>
      <c r="H256" s="132"/>
      <c r="I256" s="132"/>
      <c r="J256" s="132"/>
      <c r="K256" s="132"/>
      <c r="L256" s="132"/>
      <c r="M256" s="132"/>
    </row>
    <row r="257" spans="5:16" x14ac:dyDescent="0.2">
      <c r="E257" s="132"/>
      <c r="G257" s="132"/>
      <c r="H257" s="132"/>
      <c r="I257" s="132"/>
      <c r="J257" s="132"/>
      <c r="K257" s="132"/>
      <c r="L257" s="132"/>
      <c r="M257" s="132"/>
    </row>
    <row r="258" spans="5:16" x14ac:dyDescent="0.2">
      <c r="E258" s="132"/>
      <c r="G258" s="132"/>
      <c r="H258" s="132"/>
      <c r="I258" s="132"/>
      <c r="J258" s="132"/>
      <c r="K258" s="132"/>
      <c r="L258" s="132"/>
      <c r="M258" s="132"/>
    </row>
    <row r="259" spans="5:16" x14ac:dyDescent="0.2">
      <c r="E259" s="132"/>
      <c r="G259" s="132"/>
      <c r="H259" s="132"/>
      <c r="I259" s="132"/>
      <c r="J259" s="132"/>
      <c r="K259" s="132"/>
      <c r="L259" s="132"/>
      <c r="M259" s="132"/>
    </row>
    <row r="260" spans="5:16" x14ac:dyDescent="0.2">
      <c r="E260" s="132"/>
      <c r="G260" s="132"/>
      <c r="H260" s="132"/>
      <c r="I260" s="132"/>
      <c r="J260" s="132"/>
      <c r="K260" s="132"/>
      <c r="L260" s="132"/>
      <c r="M260" s="132"/>
    </row>
    <row r="261" spans="5:16" x14ac:dyDescent="0.2">
      <c r="E261" s="132"/>
      <c r="G261" s="132"/>
      <c r="H261" s="132"/>
      <c r="I261" s="132"/>
      <c r="J261" s="132"/>
      <c r="K261" s="132"/>
      <c r="L261" s="132"/>
      <c r="M261" s="132"/>
    </row>
    <row r="262" spans="5:16" x14ac:dyDescent="0.2">
      <c r="E262" s="132"/>
      <c r="G262" s="132"/>
      <c r="H262" s="132"/>
      <c r="I262" s="132"/>
      <c r="J262" s="132"/>
      <c r="K262" s="132"/>
      <c r="L262" s="132"/>
      <c r="M262" s="132"/>
    </row>
    <row r="263" spans="5:16" x14ac:dyDescent="0.2">
      <c r="E263" s="132"/>
      <c r="G263" s="132"/>
      <c r="H263" s="132"/>
      <c r="I263" s="132"/>
      <c r="J263" s="132"/>
      <c r="K263" s="132"/>
      <c r="L263" s="132"/>
      <c r="M263" s="132"/>
    </row>
    <row r="264" spans="5:16" x14ac:dyDescent="0.2">
      <c r="E264" s="132"/>
      <c r="G264" s="132"/>
      <c r="H264" s="132"/>
      <c r="I264" s="132"/>
      <c r="J264" s="132"/>
      <c r="K264" s="132"/>
      <c r="L264" s="132"/>
      <c r="M264" s="132"/>
    </row>
    <row r="265" spans="5:16" x14ac:dyDescent="0.2">
      <c r="E265" s="132"/>
      <c r="G265" s="132"/>
      <c r="H265" s="132"/>
      <c r="I265" s="132"/>
      <c r="J265" s="132"/>
      <c r="K265" s="132"/>
      <c r="L265" s="132"/>
      <c r="M265" s="132"/>
    </row>
    <row r="266" spans="5:16" x14ac:dyDescent="0.2">
      <c r="E266" s="132"/>
      <c r="G266" s="132"/>
      <c r="H266" s="132"/>
      <c r="I266" s="132"/>
      <c r="J266" s="132"/>
      <c r="K266" s="132"/>
      <c r="L266" s="132"/>
      <c r="M266" s="132"/>
    </row>
    <row r="267" spans="5:16" x14ac:dyDescent="0.2">
      <c r="E267" s="132"/>
      <c r="G267" s="132"/>
      <c r="H267" s="132"/>
      <c r="I267" s="132"/>
      <c r="J267" s="132"/>
      <c r="K267" s="132"/>
      <c r="L267" s="132"/>
      <c r="M267" s="132"/>
      <c r="P267" s="132"/>
    </row>
    <row r="268" spans="5:16" x14ac:dyDescent="0.2">
      <c r="E268" s="132"/>
      <c r="G268" s="132"/>
      <c r="H268" s="132"/>
      <c r="I268" s="132"/>
      <c r="J268" s="132"/>
      <c r="K268" s="132"/>
      <c r="L268" s="132"/>
      <c r="M268" s="132"/>
      <c r="P268" s="132"/>
    </row>
    <row r="269" spans="5:16" x14ac:dyDescent="0.2">
      <c r="E269" s="132"/>
      <c r="G269" s="132"/>
      <c r="H269" s="132"/>
      <c r="I269" s="132"/>
      <c r="J269" s="132"/>
      <c r="K269" s="132"/>
      <c r="L269" s="132"/>
      <c r="M269" s="132"/>
      <c r="P269" s="132"/>
    </row>
    <row r="270" spans="5:16" x14ac:dyDescent="0.2">
      <c r="E270" s="132"/>
      <c r="G270" s="132"/>
      <c r="H270" s="132"/>
      <c r="I270" s="132"/>
      <c r="J270" s="132"/>
      <c r="K270" s="132"/>
      <c r="L270" s="132"/>
      <c r="M270" s="132"/>
      <c r="P270" s="132"/>
    </row>
    <row r="271" spans="5:16" x14ac:dyDescent="0.2">
      <c r="E271" s="132"/>
      <c r="G271" s="132"/>
      <c r="H271" s="132"/>
      <c r="I271" s="132"/>
      <c r="J271" s="132"/>
      <c r="K271" s="132"/>
      <c r="L271" s="132"/>
      <c r="M271" s="132"/>
      <c r="P271" s="132"/>
    </row>
    <row r="272" spans="5:16" x14ac:dyDescent="0.2">
      <c r="E272" s="132"/>
      <c r="G272" s="132"/>
      <c r="H272" s="132"/>
      <c r="I272" s="132"/>
      <c r="J272" s="132"/>
      <c r="K272" s="132"/>
      <c r="L272" s="132"/>
      <c r="M272" s="132"/>
      <c r="P272" s="132"/>
    </row>
    <row r="273" spans="3:16" x14ac:dyDescent="0.2">
      <c r="E273" s="132"/>
      <c r="G273" s="132"/>
      <c r="H273" s="132"/>
      <c r="I273" s="132"/>
      <c r="J273" s="132"/>
      <c r="K273" s="132"/>
      <c r="L273" s="132"/>
      <c r="M273" s="132"/>
      <c r="P273" s="132"/>
    </row>
    <row r="274" spans="3:16" x14ac:dyDescent="0.2">
      <c r="E274" s="132"/>
      <c r="G274" s="132"/>
      <c r="H274" s="132"/>
      <c r="I274" s="132"/>
      <c r="J274" s="132"/>
      <c r="K274" s="132"/>
      <c r="L274" s="132"/>
      <c r="M274" s="132"/>
      <c r="P274" s="132"/>
    </row>
    <row r="275" spans="3:16" x14ac:dyDescent="0.2">
      <c r="E275" s="132"/>
      <c r="G275" s="132"/>
      <c r="H275" s="132"/>
      <c r="I275" s="132"/>
      <c r="J275" s="132"/>
      <c r="K275" s="132"/>
      <c r="L275" s="132"/>
      <c r="M275" s="132"/>
      <c r="P275" s="132"/>
    </row>
    <row r="276" spans="3:16" x14ac:dyDescent="0.2">
      <c r="E276" s="132"/>
      <c r="G276" s="132"/>
      <c r="H276" s="132"/>
      <c r="I276" s="132"/>
      <c r="J276" s="132"/>
      <c r="K276" s="132"/>
      <c r="L276" s="132"/>
      <c r="M276" s="132"/>
      <c r="P276" s="132"/>
    </row>
    <row r="277" spans="3:16" x14ac:dyDescent="0.2">
      <c r="E277" s="132"/>
      <c r="G277" s="132"/>
      <c r="H277" s="132"/>
      <c r="I277" s="132"/>
      <c r="J277" s="132"/>
      <c r="K277" s="132"/>
      <c r="L277" s="132"/>
      <c r="M277" s="132"/>
      <c r="P277" s="132"/>
    </row>
    <row r="278" spans="3:16" x14ac:dyDescent="0.2">
      <c r="E278" s="132"/>
      <c r="G278" s="132"/>
      <c r="H278" s="132"/>
      <c r="I278" s="132"/>
      <c r="J278" s="132"/>
      <c r="K278" s="132"/>
      <c r="L278" s="132"/>
      <c r="M278" s="132"/>
      <c r="P278" s="132"/>
    </row>
    <row r="279" spans="3:16" x14ac:dyDescent="0.2">
      <c r="E279" s="132"/>
      <c r="G279" s="132"/>
      <c r="H279" s="132"/>
      <c r="I279" s="132"/>
      <c r="J279" s="132"/>
      <c r="K279" s="132"/>
      <c r="L279" s="132"/>
      <c r="M279" s="132"/>
      <c r="P279" s="132"/>
    </row>
    <row r="280" spans="3:16" x14ac:dyDescent="0.2">
      <c r="E280" s="132"/>
      <c r="G280" s="132"/>
      <c r="H280" s="132"/>
      <c r="I280" s="132"/>
      <c r="J280" s="132"/>
      <c r="K280" s="132"/>
      <c r="L280" s="132"/>
      <c r="M280" s="132"/>
      <c r="P280" s="132"/>
    </row>
    <row r="281" spans="3:16" x14ac:dyDescent="0.2">
      <c r="E281" s="132"/>
      <c r="G281" s="132"/>
      <c r="H281" s="132"/>
      <c r="I281" s="132"/>
      <c r="J281" s="132"/>
      <c r="K281" s="132"/>
      <c r="L281" s="132"/>
      <c r="M281" s="132"/>
      <c r="P281" s="132"/>
    </row>
    <row r="282" spans="3:16" x14ac:dyDescent="0.2">
      <c r="E282" s="132"/>
      <c r="G282" s="132"/>
      <c r="H282" s="132"/>
      <c r="I282" s="132"/>
      <c r="J282" s="132"/>
      <c r="K282" s="132"/>
      <c r="L282" s="132"/>
      <c r="M282" s="132"/>
      <c r="P282" s="132"/>
    </row>
    <row r="283" spans="3:16" x14ac:dyDescent="0.2">
      <c r="E283" s="132"/>
      <c r="G283" s="132"/>
      <c r="H283" s="132"/>
      <c r="I283" s="132"/>
      <c r="J283" s="132"/>
      <c r="K283" s="132"/>
      <c r="L283" s="132"/>
      <c r="M283" s="132"/>
      <c r="P283" s="132"/>
    </row>
    <row r="284" spans="3:16" x14ac:dyDescent="0.2">
      <c r="C284" s="132"/>
      <c r="D284" s="132"/>
      <c r="E284" s="132"/>
      <c r="G284" s="132"/>
      <c r="H284" s="132"/>
      <c r="I284" s="132"/>
      <c r="J284" s="132"/>
      <c r="K284" s="132"/>
      <c r="L284" s="132"/>
      <c r="M284" s="132"/>
      <c r="P284" s="132"/>
    </row>
    <row r="285" spans="3:16" x14ac:dyDescent="0.2">
      <c r="C285" s="132"/>
      <c r="D285" s="132"/>
      <c r="E285" s="132"/>
      <c r="G285" s="132"/>
      <c r="H285" s="132"/>
      <c r="I285" s="132"/>
      <c r="J285" s="132"/>
      <c r="K285" s="132"/>
      <c r="L285" s="132"/>
      <c r="M285" s="132"/>
      <c r="P285" s="132"/>
    </row>
    <row r="286" spans="3:16" x14ac:dyDescent="0.2">
      <c r="C286" s="132"/>
      <c r="D286" s="132"/>
      <c r="E286" s="132"/>
      <c r="G286" s="132"/>
      <c r="H286" s="132"/>
      <c r="I286" s="132"/>
      <c r="J286" s="132"/>
      <c r="K286" s="132"/>
      <c r="L286" s="132"/>
      <c r="M286" s="132"/>
      <c r="P286" s="132"/>
    </row>
    <row r="287" spans="3:16" x14ac:dyDescent="0.2">
      <c r="C287" s="132"/>
      <c r="D287" s="132"/>
      <c r="E287" s="132"/>
      <c r="G287" s="132"/>
      <c r="H287" s="132"/>
      <c r="I287" s="132"/>
      <c r="J287" s="132"/>
      <c r="K287" s="132"/>
      <c r="L287" s="132"/>
      <c r="M287" s="132"/>
      <c r="P287" s="132"/>
    </row>
    <row r="288" spans="3:16" x14ac:dyDescent="0.2">
      <c r="C288" s="132"/>
      <c r="D288" s="132"/>
      <c r="E288" s="132"/>
      <c r="G288" s="132"/>
      <c r="H288" s="132"/>
      <c r="I288" s="132"/>
      <c r="J288" s="132"/>
      <c r="K288" s="132"/>
      <c r="L288" s="132"/>
      <c r="M288" s="132"/>
      <c r="P288" s="132"/>
    </row>
    <row r="289" spans="3:16" x14ac:dyDescent="0.2">
      <c r="C289" s="132"/>
      <c r="D289" s="132"/>
      <c r="E289" s="132"/>
      <c r="G289" s="132"/>
      <c r="H289" s="132"/>
      <c r="I289" s="132"/>
      <c r="J289" s="132"/>
      <c r="K289" s="132"/>
      <c r="L289" s="132"/>
      <c r="M289" s="132"/>
      <c r="P289" s="132"/>
    </row>
    <row r="290" spans="3:16" x14ac:dyDescent="0.2">
      <c r="C290" s="132"/>
      <c r="D290" s="132"/>
      <c r="E290" s="132"/>
      <c r="G290" s="132"/>
      <c r="H290" s="132"/>
      <c r="I290" s="132"/>
      <c r="J290" s="132"/>
      <c r="K290" s="132"/>
      <c r="L290" s="132"/>
      <c r="M290" s="132"/>
      <c r="P290" s="132"/>
    </row>
    <row r="291" spans="3:16" x14ac:dyDescent="0.2">
      <c r="C291" s="132"/>
      <c r="D291" s="132"/>
      <c r="E291" s="132"/>
      <c r="G291" s="132"/>
      <c r="H291" s="132"/>
      <c r="I291" s="132"/>
      <c r="J291" s="132"/>
      <c r="K291" s="132"/>
      <c r="L291" s="132"/>
      <c r="M291" s="132"/>
      <c r="P291" s="132"/>
    </row>
    <row r="292" spans="3:16" x14ac:dyDescent="0.2">
      <c r="C292" s="132"/>
      <c r="D292" s="132"/>
      <c r="E292" s="132"/>
      <c r="G292" s="132"/>
      <c r="H292" s="132"/>
      <c r="I292" s="132"/>
      <c r="J292" s="132"/>
      <c r="K292" s="132"/>
      <c r="L292" s="132"/>
      <c r="M292" s="132"/>
      <c r="P292" s="132"/>
    </row>
    <row r="293" spans="3:16" x14ac:dyDescent="0.2">
      <c r="C293" s="132"/>
      <c r="D293" s="132"/>
      <c r="E293" s="132"/>
      <c r="G293" s="132"/>
      <c r="H293" s="132"/>
      <c r="I293" s="132"/>
      <c r="J293" s="132"/>
      <c r="K293" s="132"/>
      <c r="L293" s="132"/>
      <c r="M293" s="132"/>
      <c r="P293" s="132"/>
    </row>
    <row r="294" spans="3:16" x14ac:dyDescent="0.2">
      <c r="C294" s="132"/>
      <c r="D294" s="132"/>
      <c r="E294" s="132"/>
      <c r="G294" s="132"/>
      <c r="H294" s="132"/>
      <c r="I294" s="132"/>
      <c r="J294" s="132"/>
      <c r="K294" s="132"/>
      <c r="L294" s="132"/>
      <c r="M294" s="132"/>
      <c r="P294" s="132"/>
    </row>
    <row r="295" spans="3:16" x14ac:dyDescent="0.2">
      <c r="C295" s="132"/>
      <c r="D295" s="132"/>
      <c r="E295" s="132"/>
      <c r="G295" s="132"/>
      <c r="H295" s="132"/>
      <c r="I295" s="132"/>
      <c r="J295" s="132"/>
      <c r="K295" s="132"/>
      <c r="L295" s="132"/>
      <c r="M295" s="132"/>
      <c r="P295" s="132"/>
    </row>
    <row r="296" spans="3:16" x14ac:dyDescent="0.2">
      <c r="C296" s="132"/>
      <c r="D296" s="132"/>
      <c r="E296" s="132"/>
      <c r="G296" s="132"/>
      <c r="H296" s="132"/>
      <c r="I296" s="132"/>
      <c r="J296" s="132"/>
      <c r="K296" s="132"/>
      <c r="L296" s="132"/>
      <c r="M296" s="132"/>
      <c r="P296" s="132"/>
    </row>
    <row r="297" spans="3:16" x14ac:dyDescent="0.2">
      <c r="C297" s="132"/>
      <c r="D297" s="132"/>
      <c r="E297" s="132"/>
      <c r="G297" s="132"/>
      <c r="H297" s="132"/>
      <c r="I297" s="132"/>
      <c r="J297" s="132"/>
      <c r="K297" s="132"/>
      <c r="L297" s="132"/>
      <c r="M297" s="132"/>
      <c r="P297" s="132"/>
    </row>
    <row r="298" spans="3:16" x14ac:dyDescent="0.2">
      <c r="C298" s="132"/>
      <c r="D298" s="132"/>
      <c r="E298" s="132"/>
      <c r="G298" s="132"/>
      <c r="H298" s="132"/>
      <c r="I298" s="132"/>
      <c r="J298" s="132"/>
      <c r="K298" s="132"/>
      <c r="L298" s="132"/>
      <c r="M298" s="132"/>
      <c r="P298" s="132"/>
    </row>
    <row r="299" spans="3:16" x14ac:dyDescent="0.2">
      <c r="C299" s="132"/>
      <c r="D299" s="132"/>
      <c r="E299" s="132"/>
      <c r="G299" s="132"/>
      <c r="H299" s="132"/>
      <c r="I299" s="132"/>
      <c r="J299" s="132"/>
      <c r="K299" s="132"/>
      <c r="L299" s="132"/>
      <c r="M299" s="132"/>
      <c r="P299" s="132"/>
    </row>
    <row r="300" spans="3:16" x14ac:dyDescent="0.2">
      <c r="C300" s="132"/>
      <c r="D300" s="132"/>
      <c r="E300" s="132"/>
      <c r="G300" s="132"/>
      <c r="H300" s="132"/>
      <c r="I300" s="132"/>
      <c r="J300" s="132"/>
      <c r="K300" s="132"/>
      <c r="L300" s="132"/>
      <c r="M300" s="132"/>
      <c r="P300" s="132"/>
    </row>
    <row r="301" spans="3:16" x14ac:dyDescent="0.2">
      <c r="C301" s="132"/>
      <c r="D301" s="132"/>
      <c r="E301" s="132"/>
      <c r="G301" s="132"/>
      <c r="H301" s="132"/>
      <c r="I301" s="132"/>
      <c r="J301" s="132"/>
      <c r="K301" s="132"/>
      <c r="L301" s="132"/>
      <c r="M301" s="132"/>
      <c r="P301" s="132"/>
    </row>
    <row r="302" spans="3:16" x14ac:dyDescent="0.2">
      <c r="C302" s="132"/>
      <c r="D302" s="132"/>
      <c r="E302" s="132"/>
      <c r="G302" s="132"/>
      <c r="H302" s="132"/>
      <c r="I302" s="132"/>
      <c r="J302" s="132"/>
      <c r="K302" s="132"/>
      <c r="L302" s="132"/>
      <c r="M302" s="132"/>
      <c r="P302" s="132"/>
    </row>
    <row r="303" spans="3:16" x14ac:dyDescent="0.2">
      <c r="C303" s="132"/>
      <c r="D303" s="132"/>
      <c r="E303" s="132"/>
      <c r="G303" s="132"/>
      <c r="H303" s="132"/>
      <c r="I303" s="132"/>
      <c r="J303" s="132"/>
      <c r="K303" s="132"/>
      <c r="L303" s="132"/>
      <c r="M303" s="132"/>
      <c r="P303" s="132"/>
    </row>
    <row r="304" spans="3:16" x14ac:dyDescent="0.2">
      <c r="C304" s="132"/>
      <c r="D304" s="132"/>
      <c r="E304" s="132"/>
      <c r="G304" s="132"/>
      <c r="H304" s="132"/>
      <c r="I304" s="132"/>
      <c r="J304" s="132"/>
      <c r="K304" s="132"/>
      <c r="L304" s="132"/>
      <c r="M304" s="132"/>
      <c r="P304" s="132"/>
    </row>
    <row r="305" spans="3:16" x14ac:dyDescent="0.2">
      <c r="C305" s="132"/>
      <c r="D305" s="132"/>
      <c r="E305" s="132"/>
      <c r="G305" s="132"/>
      <c r="H305" s="132"/>
      <c r="I305" s="132"/>
      <c r="J305" s="132"/>
      <c r="K305" s="132"/>
      <c r="L305" s="132"/>
      <c r="M305" s="132"/>
      <c r="P305" s="132"/>
    </row>
    <row r="306" spans="3:16" x14ac:dyDescent="0.2">
      <c r="C306" s="132"/>
      <c r="D306" s="132"/>
      <c r="E306" s="132"/>
      <c r="G306" s="132"/>
      <c r="H306" s="132"/>
      <c r="I306" s="132"/>
      <c r="J306" s="132"/>
      <c r="K306" s="132"/>
      <c r="L306" s="132"/>
      <c r="M306" s="132"/>
      <c r="P306" s="132"/>
    </row>
    <row r="307" spans="3:16" x14ac:dyDescent="0.2">
      <c r="C307" s="132"/>
      <c r="D307" s="132"/>
      <c r="E307" s="132"/>
      <c r="G307" s="132"/>
      <c r="H307" s="132"/>
      <c r="I307" s="132"/>
      <c r="J307" s="132"/>
      <c r="K307" s="132"/>
      <c r="L307" s="132"/>
      <c r="M307" s="132"/>
      <c r="P307" s="132"/>
    </row>
    <row r="308" spans="3:16" x14ac:dyDescent="0.2">
      <c r="C308" s="132"/>
      <c r="D308" s="132"/>
      <c r="E308" s="132"/>
      <c r="G308" s="132"/>
      <c r="H308" s="132"/>
      <c r="I308" s="132"/>
      <c r="J308" s="132"/>
      <c r="K308" s="132"/>
      <c r="L308" s="132"/>
      <c r="M308" s="132"/>
      <c r="P308" s="132"/>
    </row>
    <row r="309" spans="3:16" x14ac:dyDescent="0.2">
      <c r="C309" s="132"/>
      <c r="D309" s="132"/>
      <c r="E309" s="132"/>
      <c r="G309" s="132"/>
      <c r="H309" s="132"/>
      <c r="I309" s="132"/>
      <c r="J309" s="132"/>
      <c r="K309" s="132"/>
      <c r="L309" s="132"/>
      <c r="M309" s="132"/>
      <c r="P309" s="132"/>
    </row>
    <row r="310" spans="3:16" x14ac:dyDescent="0.2">
      <c r="C310" s="132"/>
      <c r="D310" s="132"/>
      <c r="E310" s="132"/>
      <c r="G310" s="132"/>
      <c r="H310" s="132"/>
      <c r="I310" s="132"/>
      <c r="J310" s="132"/>
      <c r="K310" s="132"/>
      <c r="L310" s="132"/>
      <c r="M310" s="132"/>
      <c r="P310" s="132"/>
    </row>
    <row r="311" spans="3:16" x14ac:dyDescent="0.2">
      <c r="C311" s="132"/>
      <c r="D311" s="132"/>
      <c r="E311" s="132"/>
      <c r="G311" s="132"/>
      <c r="H311" s="132"/>
      <c r="I311" s="132"/>
      <c r="J311" s="132"/>
      <c r="K311" s="132"/>
      <c r="L311" s="132"/>
      <c r="M311" s="132"/>
      <c r="P311" s="132"/>
    </row>
    <row r="312" spans="3:16" x14ac:dyDescent="0.2">
      <c r="C312" s="132"/>
      <c r="D312" s="132"/>
      <c r="E312" s="132"/>
      <c r="G312" s="132"/>
      <c r="H312" s="132"/>
      <c r="I312" s="132"/>
      <c r="J312" s="132"/>
      <c r="K312" s="132"/>
      <c r="L312" s="132"/>
      <c r="M312" s="132"/>
      <c r="P312" s="132"/>
    </row>
    <row r="313" spans="3:16" x14ac:dyDescent="0.2">
      <c r="C313" s="132"/>
      <c r="D313" s="132"/>
      <c r="E313" s="132"/>
      <c r="G313" s="132"/>
      <c r="H313" s="132"/>
      <c r="I313" s="132"/>
      <c r="J313" s="132"/>
      <c r="K313" s="132"/>
      <c r="L313" s="132"/>
      <c r="M313" s="132"/>
      <c r="P313" s="132"/>
    </row>
    <row r="314" spans="3:16" x14ac:dyDescent="0.2">
      <c r="C314" s="132"/>
      <c r="D314" s="132"/>
      <c r="E314" s="132"/>
      <c r="G314" s="132"/>
      <c r="H314" s="132"/>
      <c r="I314" s="132"/>
      <c r="J314" s="132"/>
      <c r="K314" s="132"/>
      <c r="L314" s="132"/>
      <c r="M314" s="132"/>
      <c r="P314" s="132"/>
    </row>
    <row r="315" spans="3:16" x14ac:dyDescent="0.2">
      <c r="C315" s="132"/>
      <c r="D315" s="132"/>
      <c r="E315" s="132"/>
      <c r="G315" s="132"/>
      <c r="H315" s="132"/>
      <c r="I315" s="132"/>
      <c r="J315" s="132"/>
      <c r="K315" s="132"/>
      <c r="L315" s="132"/>
      <c r="M315" s="132"/>
      <c r="P315" s="132"/>
    </row>
    <row r="316" spans="3:16" x14ac:dyDescent="0.2">
      <c r="C316" s="132"/>
      <c r="D316" s="132"/>
      <c r="E316" s="132"/>
      <c r="G316" s="132"/>
      <c r="H316" s="132"/>
      <c r="I316" s="132"/>
      <c r="J316" s="132"/>
      <c r="K316" s="132"/>
      <c r="L316" s="132"/>
      <c r="M316" s="132"/>
      <c r="P316" s="132"/>
    </row>
    <row r="317" spans="3:16" x14ac:dyDescent="0.2">
      <c r="C317" s="132"/>
      <c r="D317" s="132"/>
      <c r="E317" s="132"/>
      <c r="G317" s="132"/>
      <c r="H317" s="132"/>
      <c r="I317" s="132"/>
      <c r="J317" s="132"/>
      <c r="K317" s="132"/>
      <c r="L317" s="132"/>
      <c r="M317" s="132"/>
      <c r="P317" s="132"/>
    </row>
    <row r="318" spans="3:16" x14ac:dyDescent="0.2">
      <c r="C318" s="132"/>
      <c r="D318" s="132"/>
      <c r="E318" s="132"/>
      <c r="G318" s="132"/>
      <c r="H318" s="132"/>
      <c r="I318" s="132"/>
      <c r="J318" s="132"/>
      <c r="K318" s="132"/>
      <c r="L318" s="132"/>
      <c r="M318" s="132"/>
      <c r="P318" s="132"/>
    </row>
    <row r="319" spans="3:16" x14ac:dyDescent="0.2">
      <c r="C319" s="132"/>
      <c r="D319" s="132"/>
      <c r="E319" s="132"/>
      <c r="G319" s="132"/>
      <c r="H319" s="132"/>
      <c r="I319" s="132"/>
      <c r="J319" s="132"/>
      <c r="K319" s="132"/>
      <c r="L319" s="132"/>
      <c r="M319" s="132"/>
      <c r="P319" s="132"/>
    </row>
    <row r="320" spans="3:16" x14ac:dyDescent="0.2">
      <c r="C320" s="132"/>
      <c r="D320" s="132"/>
      <c r="E320" s="132"/>
      <c r="G320" s="132"/>
      <c r="H320" s="132"/>
      <c r="I320" s="132"/>
      <c r="J320" s="132"/>
      <c r="K320" s="132"/>
      <c r="L320" s="132"/>
      <c r="M320" s="132"/>
      <c r="P320" s="132"/>
    </row>
    <row r="321" spans="3:16" x14ac:dyDescent="0.2">
      <c r="C321" s="132"/>
      <c r="D321" s="132"/>
      <c r="E321" s="132"/>
      <c r="G321" s="132"/>
      <c r="H321" s="132"/>
      <c r="I321" s="132"/>
      <c r="J321" s="132"/>
      <c r="K321" s="132"/>
      <c r="L321" s="132"/>
      <c r="M321" s="132"/>
      <c r="P321" s="132"/>
    </row>
    <row r="322" spans="3:16" x14ac:dyDescent="0.2">
      <c r="C322" s="132"/>
      <c r="D322" s="132"/>
      <c r="E322" s="132"/>
      <c r="G322" s="132"/>
      <c r="H322" s="132"/>
      <c r="I322" s="132"/>
      <c r="J322" s="132"/>
      <c r="K322" s="132"/>
      <c r="L322" s="132"/>
      <c r="M322" s="132"/>
      <c r="P322" s="132"/>
    </row>
    <row r="323" spans="3:16" x14ac:dyDescent="0.2">
      <c r="C323" s="132"/>
      <c r="D323" s="132"/>
      <c r="E323" s="132"/>
      <c r="G323" s="132"/>
      <c r="H323" s="132"/>
      <c r="I323" s="132"/>
      <c r="J323" s="132"/>
      <c r="K323" s="132"/>
      <c r="L323" s="132"/>
      <c r="M323" s="132"/>
      <c r="P323" s="132"/>
    </row>
    <row r="324" spans="3:16" x14ac:dyDescent="0.2">
      <c r="C324" s="132"/>
      <c r="D324" s="132"/>
      <c r="E324" s="132"/>
      <c r="G324" s="132"/>
      <c r="H324" s="132"/>
      <c r="I324" s="132"/>
      <c r="J324" s="132"/>
      <c r="K324" s="132"/>
      <c r="L324" s="132"/>
      <c r="M324" s="132"/>
      <c r="P324" s="132"/>
    </row>
    <row r="325" spans="3:16" x14ac:dyDescent="0.2">
      <c r="C325" s="132"/>
      <c r="D325" s="132"/>
      <c r="E325" s="132"/>
      <c r="G325" s="132"/>
      <c r="H325" s="132"/>
      <c r="I325" s="132"/>
      <c r="J325" s="132"/>
      <c r="K325" s="132"/>
      <c r="L325" s="132"/>
      <c r="M325" s="132"/>
      <c r="P325" s="132"/>
    </row>
    <row r="326" spans="3:16" x14ac:dyDescent="0.2">
      <c r="C326" s="132"/>
      <c r="D326" s="132"/>
      <c r="E326" s="132"/>
      <c r="G326" s="132"/>
      <c r="H326" s="132"/>
      <c r="I326" s="132"/>
      <c r="J326" s="132"/>
      <c r="K326" s="132"/>
      <c r="L326" s="132"/>
      <c r="M326" s="132"/>
      <c r="P326" s="132"/>
    </row>
    <row r="327" spans="3:16" x14ac:dyDescent="0.2">
      <c r="C327" s="132"/>
      <c r="D327" s="132"/>
      <c r="E327" s="132"/>
      <c r="G327" s="132"/>
      <c r="H327" s="132"/>
      <c r="I327" s="132"/>
      <c r="J327" s="132"/>
      <c r="K327" s="132"/>
      <c r="L327" s="132"/>
      <c r="M327" s="132"/>
      <c r="P327" s="132"/>
    </row>
    <row r="328" spans="3:16" x14ac:dyDescent="0.2">
      <c r="C328" s="132"/>
      <c r="D328" s="132"/>
      <c r="E328" s="132"/>
      <c r="G328" s="132"/>
      <c r="H328" s="132"/>
      <c r="I328" s="132"/>
      <c r="J328" s="132"/>
      <c r="K328" s="132"/>
      <c r="L328" s="132"/>
      <c r="M328" s="132"/>
      <c r="P328" s="132"/>
    </row>
    <row r="329" spans="3:16" x14ac:dyDescent="0.2">
      <c r="C329" s="132"/>
      <c r="D329" s="132"/>
      <c r="E329" s="132"/>
      <c r="G329" s="132"/>
      <c r="H329" s="132"/>
      <c r="I329" s="132"/>
      <c r="J329" s="132"/>
      <c r="K329" s="132"/>
      <c r="L329" s="132"/>
      <c r="M329" s="132"/>
      <c r="P329" s="132"/>
    </row>
    <row r="330" spans="3:16" x14ac:dyDescent="0.2">
      <c r="C330" s="132"/>
      <c r="D330" s="132"/>
      <c r="E330" s="132"/>
      <c r="G330" s="132"/>
      <c r="H330" s="132"/>
      <c r="I330" s="132"/>
      <c r="J330" s="132"/>
      <c r="K330" s="132"/>
      <c r="L330" s="132"/>
      <c r="M330" s="132"/>
      <c r="P330" s="132"/>
    </row>
    <row r="331" spans="3:16" x14ac:dyDescent="0.2">
      <c r="C331" s="132"/>
      <c r="D331" s="132"/>
      <c r="E331" s="132"/>
      <c r="G331" s="132"/>
      <c r="H331" s="132"/>
      <c r="I331" s="132"/>
      <c r="J331" s="132"/>
      <c r="K331" s="132"/>
      <c r="L331" s="132"/>
      <c r="M331" s="132"/>
      <c r="P331" s="132"/>
    </row>
    <row r="332" spans="3:16" x14ac:dyDescent="0.2">
      <c r="C332" s="132"/>
      <c r="D332" s="132"/>
      <c r="E332" s="132"/>
      <c r="G332" s="132"/>
      <c r="H332" s="132"/>
      <c r="I332" s="132"/>
      <c r="J332" s="132"/>
      <c r="K332" s="132"/>
      <c r="L332" s="132"/>
      <c r="M332" s="132"/>
      <c r="P332" s="132"/>
    </row>
    <row r="333" spans="3:16" x14ac:dyDescent="0.2">
      <c r="C333" s="132"/>
      <c r="D333" s="132"/>
      <c r="E333" s="132"/>
      <c r="G333" s="132"/>
      <c r="H333" s="132"/>
      <c r="I333" s="132"/>
      <c r="J333" s="132"/>
      <c r="K333" s="132"/>
      <c r="L333" s="132"/>
      <c r="M333" s="132"/>
      <c r="P333" s="132"/>
    </row>
    <row r="334" spans="3:16" x14ac:dyDescent="0.2">
      <c r="C334" s="132"/>
      <c r="D334" s="132"/>
      <c r="E334" s="132"/>
      <c r="G334" s="132"/>
      <c r="H334" s="132"/>
      <c r="I334" s="132"/>
      <c r="J334" s="132"/>
      <c r="K334" s="132"/>
      <c r="L334" s="132"/>
      <c r="M334" s="132"/>
      <c r="P334" s="132"/>
    </row>
    <row r="335" spans="3:16" x14ac:dyDescent="0.2">
      <c r="C335" s="132"/>
      <c r="D335" s="132"/>
      <c r="E335" s="132"/>
      <c r="G335" s="132"/>
      <c r="H335" s="132"/>
      <c r="I335" s="132"/>
      <c r="J335" s="132"/>
      <c r="K335" s="132"/>
      <c r="L335" s="132"/>
      <c r="M335" s="132"/>
      <c r="P335" s="132"/>
    </row>
    <row r="336" spans="3:16" x14ac:dyDescent="0.2">
      <c r="C336" s="132"/>
      <c r="D336" s="132"/>
      <c r="E336" s="132"/>
      <c r="G336" s="132"/>
      <c r="H336" s="132"/>
      <c r="I336" s="132"/>
      <c r="J336" s="132"/>
      <c r="K336" s="132"/>
      <c r="L336" s="132"/>
      <c r="M336" s="132"/>
      <c r="P336" s="132"/>
    </row>
    <row r="337" spans="3:16" x14ac:dyDescent="0.2">
      <c r="C337" s="132"/>
      <c r="D337" s="132"/>
      <c r="E337" s="132"/>
      <c r="G337" s="132"/>
      <c r="H337" s="132"/>
      <c r="I337" s="132"/>
      <c r="J337" s="132"/>
      <c r="K337" s="132"/>
      <c r="L337" s="132"/>
      <c r="M337" s="132"/>
      <c r="P337" s="132"/>
    </row>
    <row r="338" spans="3:16" x14ac:dyDescent="0.2">
      <c r="C338" s="132"/>
      <c r="D338" s="132"/>
      <c r="E338" s="132"/>
      <c r="G338" s="132"/>
      <c r="H338" s="132"/>
      <c r="I338" s="132"/>
      <c r="J338" s="132"/>
      <c r="K338" s="132"/>
      <c r="L338" s="132"/>
      <c r="M338" s="132"/>
      <c r="P338" s="132"/>
    </row>
    <row r="339" spans="3:16" x14ac:dyDescent="0.2">
      <c r="C339" s="132"/>
      <c r="D339" s="132"/>
      <c r="E339" s="132"/>
      <c r="G339" s="132"/>
      <c r="H339" s="132"/>
      <c r="I339" s="132"/>
      <c r="J339" s="132"/>
      <c r="K339" s="132"/>
      <c r="L339" s="132"/>
      <c r="M339" s="132"/>
      <c r="P339" s="132"/>
    </row>
    <row r="340" spans="3:16" x14ac:dyDescent="0.2">
      <c r="C340" s="132"/>
      <c r="D340" s="132"/>
      <c r="E340" s="132"/>
      <c r="G340" s="132"/>
      <c r="H340" s="132"/>
      <c r="I340" s="132"/>
      <c r="J340" s="132"/>
      <c r="K340" s="132"/>
      <c r="L340" s="132"/>
      <c r="M340" s="132"/>
      <c r="P340" s="132"/>
    </row>
    <row r="341" spans="3:16" x14ac:dyDescent="0.2">
      <c r="C341" s="132"/>
      <c r="D341" s="132"/>
      <c r="E341" s="132"/>
      <c r="G341" s="132"/>
      <c r="H341" s="132"/>
      <c r="I341" s="132"/>
      <c r="J341" s="132"/>
      <c r="K341" s="132"/>
      <c r="L341" s="132"/>
      <c r="M341" s="132"/>
      <c r="P341" s="132"/>
    </row>
    <row r="342" spans="3:16" x14ac:dyDescent="0.2">
      <c r="C342" s="132"/>
      <c r="D342" s="132"/>
      <c r="E342" s="132"/>
      <c r="G342" s="132"/>
      <c r="H342" s="132"/>
      <c r="I342" s="132"/>
      <c r="J342" s="132"/>
      <c r="K342" s="132"/>
      <c r="L342" s="132"/>
      <c r="M342" s="132"/>
      <c r="P342" s="132"/>
    </row>
    <row r="343" spans="3:16" x14ac:dyDescent="0.2">
      <c r="C343" s="132"/>
      <c r="D343" s="132"/>
      <c r="E343" s="132"/>
      <c r="G343" s="132"/>
      <c r="H343" s="132"/>
      <c r="I343" s="132"/>
      <c r="J343" s="132"/>
      <c r="K343" s="132"/>
      <c r="L343" s="132"/>
      <c r="M343" s="132"/>
      <c r="P343" s="132"/>
    </row>
    <row r="344" spans="3:16" x14ac:dyDescent="0.2">
      <c r="C344" s="132"/>
      <c r="D344" s="132"/>
      <c r="E344" s="132"/>
      <c r="G344" s="132"/>
      <c r="H344" s="132"/>
      <c r="I344" s="132"/>
      <c r="J344" s="132"/>
      <c r="K344" s="132"/>
      <c r="L344" s="132"/>
      <c r="M344" s="132"/>
      <c r="P344" s="132"/>
    </row>
    <row r="345" spans="3:16" x14ac:dyDescent="0.2">
      <c r="C345" s="132"/>
      <c r="D345" s="132"/>
      <c r="E345" s="132"/>
      <c r="G345" s="132"/>
      <c r="H345" s="132"/>
      <c r="I345" s="132"/>
      <c r="J345" s="132"/>
      <c r="K345" s="132"/>
      <c r="L345" s="132"/>
      <c r="M345" s="132"/>
      <c r="P345" s="132"/>
    </row>
    <row r="346" spans="3:16" x14ac:dyDescent="0.2">
      <c r="C346" s="132"/>
      <c r="D346" s="132"/>
      <c r="E346" s="132"/>
      <c r="G346" s="132"/>
      <c r="H346" s="132"/>
      <c r="I346" s="132"/>
      <c r="J346" s="132"/>
      <c r="K346" s="132"/>
      <c r="L346" s="132"/>
      <c r="M346" s="132"/>
      <c r="P346" s="132"/>
    </row>
    <row r="347" spans="3:16" x14ac:dyDescent="0.2">
      <c r="C347" s="132"/>
      <c r="D347" s="132"/>
      <c r="E347" s="132"/>
      <c r="G347" s="132"/>
      <c r="H347" s="132"/>
      <c r="I347" s="132"/>
      <c r="J347" s="132"/>
      <c r="K347" s="132"/>
      <c r="L347" s="132"/>
      <c r="M347" s="132"/>
      <c r="P347" s="132"/>
    </row>
    <row r="348" spans="3:16" x14ac:dyDescent="0.2">
      <c r="C348" s="132"/>
      <c r="D348" s="132"/>
      <c r="E348" s="132"/>
      <c r="G348" s="132"/>
      <c r="H348" s="132"/>
      <c r="I348" s="132"/>
      <c r="J348" s="132"/>
      <c r="K348" s="132"/>
      <c r="L348" s="132"/>
      <c r="M348" s="132"/>
      <c r="P348" s="132"/>
    </row>
    <row r="349" spans="3:16" x14ac:dyDescent="0.2">
      <c r="C349" s="132"/>
      <c r="D349" s="132"/>
      <c r="E349" s="132"/>
      <c r="G349" s="132"/>
      <c r="H349" s="132"/>
      <c r="I349" s="132"/>
      <c r="J349" s="132"/>
      <c r="K349" s="132"/>
      <c r="L349" s="132"/>
      <c r="M349" s="132"/>
      <c r="P349" s="132"/>
    </row>
    <row r="350" spans="3:16" x14ac:dyDescent="0.2">
      <c r="C350" s="132"/>
      <c r="D350" s="132"/>
      <c r="E350" s="132"/>
      <c r="G350" s="132"/>
      <c r="H350" s="132"/>
      <c r="I350" s="132"/>
      <c r="J350" s="132"/>
      <c r="K350" s="132"/>
      <c r="L350" s="132"/>
      <c r="M350" s="132"/>
      <c r="P350" s="132"/>
    </row>
    <row r="351" spans="3:16" x14ac:dyDescent="0.2">
      <c r="C351" s="132"/>
      <c r="D351" s="132"/>
      <c r="E351" s="132"/>
      <c r="G351" s="132"/>
      <c r="H351" s="132"/>
      <c r="I351" s="132"/>
      <c r="J351" s="132"/>
      <c r="K351" s="132"/>
      <c r="L351" s="132"/>
      <c r="M351" s="132"/>
      <c r="P351" s="132"/>
    </row>
    <row r="352" spans="3:16" x14ac:dyDescent="0.2">
      <c r="C352" s="132"/>
      <c r="D352" s="132"/>
      <c r="E352" s="132"/>
      <c r="G352" s="132"/>
      <c r="H352" s="132"/>
      <c r="I352" s="132"/>
      <c r="J352" s="132"/>
      <c r="K352" s="132"/>
      <c r="L352" s="132"/>
      <c r="M352" s="132"/>
      <c r="P352" s="132"/>
    </row>
    <row r="353" spans="3:16" x14ac:dyDescent="0.2">
      <c r="C353" s="132"/>
      <c r="D353" s="132"/>
      <c r="E353" s="132"/>
      <c r="G353" s="132"/>
      <c r="H353" s="132"/>
      <c r="I353" s="132"/>
      <c r="J353" s="132"/>
      <c r="K353" s="132"/>
      <c r="L353" s="132"/>
      <c r="M353" s="132"/>
      <c r="P353" s="132"/>
    </row>
    <row r="354" spans="3:16" x14ac:dyDescent="0.2">
      <c r="C354" s="132"/>
      <c r="D354" s="132"/>
      <c r="E354" s="132"/>
      <c r="G354" s="132"/>
      <c r="H354" s="132"/>
      <c r="I354" s="132"/>
      <c r="J354" s="132"/>
      <c r="K354" s="132"/>
      <c r="L354" s="132"/>
      <c r="M354" s="132"/>
      <c r="P354" s="132"/>
    </row>
    <row r="355" spans="3:16" x14ac:dyDescent="0.2">
      <c r="C355" s="132"/>
      <c r="D355" s="132"/>
      <c r="E355" s="132"/>
      <c r="G355" s="132"/>
      <c r="H355" s="132"/>
      <c r="I355" s="132"/>
      <c r="J355" s="132"/>
      <c r="K355" s="132"/>
      <c r="L355" s="132"/>
      <c r="M355" s="132"/>
      <c r="P355" s="132"/>
    </row>
    <row r="356" spans="3:16" x14ac:dyDescent="0.2">
      <c r="C356" s="132"/>
      <c r="D356" s="132"/>
      <c r="E356" s="132"/>
      <c r="G356" s="132"/>
      <c r="H356" s="132"/>
      <c r="I356" s="132"/>
      <c r="J356" s="132"/>
      <c r="K356" s="132"/>
      <c r="L356" s="132"/>
      <c r="M356" s="132"/>
      <c r="P356" s="132"/>
    </row>
    <row r="357" spans="3:16" x14ac:dyDescent="0.2">
      <c r="C357" s="132"/>
      <c r="D357" s="132"/>
      <c r="E357" s="132"/>
      <c r="G357" s="132"/>
      <c r="H357" s="132"/>
      <c r="I357" s="132"/>
      <c r="J357" s="132"/>
      <c r="K357" s="132"/>
      <c r="L357" s="132"/>
      <c r="M357" s="132"/>
      <c r="P357" s="132"/>
    </row>
    <row r="358" spans="3:16" x14ac:dyDescent="0.2">
      <c r="C358" s="132"/>
      <c r="D358" s="132"/>
      <c r="E358" s="132"/>
      <c r="G358" s="132"/>
      <c r="H358" s="132"/>
      <c r="I358" s="132"/>
      <c r="J358" s="132"/>
      <c r="K358" s="132"/>
      <c r="L358" s="132"/>
      <c r="M358" s="132"/>
      <c r="P358" s="132"/>
    </row>
    <row r="359" spans="3:16" x14ac:dyDescent="0.2">
      <c r="C359" s="132"/>
      <c r="D359" s="132"/>
      <c r="E359" s="132"/>
      <c r="G359" s="132"/>
      <c r="H359" s="132"/>
      <c r="I359" s="132"/>
      <c r="J359" s="132"/>
      <c r="K359" s="132"/>
      <c r="L359" s="132"/>
      <c r="M359" s="132"/>
      <c r="P359" s="132"/>
    </row>
    <row r="360" spans="3:16" x14ac:dyDescent="0.2">
      <c r="C360" s="132"/>
      <c r="D360" s="132"/>
      <c r="E360" s="132"/>
      <c r="G360" s="132"/>
      <c r="H360" s="132"/>
      <c r="I360" s="132"/>
      <c r="J360" s="132"/>
      <c r="K360" s="132"/>
      <c r="L360" s="132"/>
      <c r="M360" s="132"/>
      <c r="P360" s="132"/>
    </row>
    <row r="361" spans="3:16" x14ac:dyDescent="0.2">
      <c r="C361" s="132"/>
      <c r="D361" s="132"/>
      <c r="E361" s="132"/>
      <c r="G361" s="132"/>
      <c r="H361" s="132"/>
      <c r="I361" s="132"/>
      <c r="J361" s="132"/>
      <c r="K361" s="132"/>
      <c r="L361" s="132"/>
      <c r="M361" s="132"/>
      <c r="P361" s="132"/>
    </row>
    <row r="362" spans="3:16" x14ac:dyDescent="0.2">
      <c r="C362" s="132"/>
      <c r="D362" s="132"/>
      <c r="E362" s="132"/>
      <c r="G362" s="132"/>
      <c r="H362" s="132"/>
      <c r="I362" s="132"/>
      <c r="J362" s="132"/>
      <c r="K362" s="132"/>
      <c r="L362" s="132"/>
      <c r="M362" s="132"/>
      <c r="P362" s="132"/>
    </row>
    <row r="363" spans="3:16" x14ac:dyDescent="0.2">
      <c r="C363" s="132"/>
      <c r="D363" s="132"/>
      <c r="E363" s="132"/>
      <c r="G363" s="132"/>
      <c r="H363" s="132"/>
      <c r="I363" s="132"/>
      <c r="J363" s="132"/>
      <c r="K363" s="132"/>
      <c r="L363" s="132"/>
      <c r="M363" s="132"/>
      <c r="P363" s="132"/>
    </row>
    <row r="364" spans="3:16" x14ac:dyDescent="0.2">
      <c r="C364" s="132"/>
      <c r="D364" s="132"/>
      <c r="E364" s="132"/>
      <c r="G364" s="132"/>
      <c r="H364" s="132"/>
      <c r="I364" s="132"/>
      <c r="J364" s="132"/>
      <c r="K364" s="132"/>
      <c r="L364" s="132"/>
      <c r="M364" s="132"/>
      <c r="P364" s="132"/>
    </row>
    <row r="365" spans="3:16" x14ac:dyDescent="0.2">
      <c r="C365" s="132"/>
      <c r="D365" s="132"/>
      <c r="E365" s="132"/>
      <c r="G365" s="132"/>
      <c r="H365" s="132"/>
      <c r="I365" s="132"/>
      <c r="J365" s="132"/>
      <c r="K365" s="132"/>
      <c r="L365" s="132"/>
      <c r="M365" s="132"/>
      <c r="P365" s="132"/>
    </row>
    <row r="366" spans="3:16" x14ac:dyDescent="0.2">
      <c r="C366" s="132"/>
      <c r="D366" s="132"/>
      <c r="E366" s="132"/>
      <c r="G366" s="132"/>
      <c r="H366" s="132"/>
      <c r="I366" s="132"/>
      <c r="J366" s="132"/>
      <c r="K366" s="132"/>
      <c r="L366" s="132"/>
      <c r="M366" s="132"/>
      <c r="P366" s="132"/>
    </row>
    <row r="367" spans="3:16" x14ac:dyDescent="0.2">
      <c r="C367" s="132"/>
      <c r="D367" s="132"/>
      <c r="E367" s="132"/>
      <c r="G367" s="132"/>
      <c r="H367" s="132"/>
      <c r="I367" s="132"/>
      <c r="J367" s="132"/>
      <c r="K367" s="132"/>
      <c r="L367" s="132"/>
      <c r="M367" s="132"/>
      <c r="P367" s="132"/>
    </row>
    <row r="368" spans="3:16" x14ac:dyDescent="0.2">
      <c r="C368" s="132"/>
      <c r="D368" s="132"/>
      <c r="E368" s="132"/>
      <c r="G368" s="132"/>
      <c r="H368" s="132"/>
      <c r="I368" s="132"/>
      <c r="J368" s="132"/>
      <c r="K368" s="132"/>
      <c r="L368" s="132"/>
      <c r="M368" s="132"/>
      <c r="P368" s="132"/>
    </row>
    <row r="369" spans="3:16" x14ac:dyDescent="0.2">
      <c r="C369" s="132"/>
      <c r="D369" s="132"/>
      <c r="E369" s="132"/>
      <c r="G369" s="132"/>
      <c r="H369" s="132"/>
      <c r="I369" s="132"/>
      <c r="J369" s="132"/>
      <c r="K369" s="132"/>
      <c r="L369" s="132"/>
      <c r="M369" s="132"/>
      <c r="P369" s="132"/>
    </row>
    <row r="370" spans="3:16" x14ac:dyDescent="0.2">
      <c r="C370" s="132"/>
      <c r="D370" s="132"/>
      <c r="E370" s="132"/>
      <c r="G370" s="132"/>
      <c r="H370" s="132"/>
      <c r="I370" s="132"/>
      <c r="J370" s="132"/>
      <c r="K370" s="132"/>
      <c r="L370" s="132"/>
      <c r="M370" s="132"/>
      <c r="P370" s="132"/>
    </row>
    <row r="371" spans="3:16" x14ac:dyDescent="0.2">
      <c r="C371" s="132"/>
      <c r="D371" s="132"/>
      <c r="E371" s="132"/>
      <c r="G371" s="132"/>
      <c r="H371" s="132"/>
      <c r="I371" s="132"/>
      <c r="J371" s="132"/>
      <c r="K371" s="132"/>
      <c r="L371" s="132"/>
      <c r="M371" s="132"/>
      <c r="P371" s="132"/>
    </row>
    <row r="372" spans="3:16" x14ac:dyDescent="0.2">
      <c r="C372" s="132"/>
      <c r="D372" s="132"/>
      <c r="E372" s="132"/>
      <c r="G372" s="132"/>
      <c r="H372" s="132"/>
      <c r="I372" s="132"/>
      <c r="J372" s="132"/>
      <c r="K372" s="132"/>
      <c r="L372" s="132"/>
      <c r="M372" s="132"/>
      <c r="P372" s="132"/>
    </row>
    <row r="373" spans="3:16" x14ac:dyDescent="0.2">
      <c r="C373" s="132"/>
      <c r="D373" s="132"/>
      <c r="E373" s="132"/>
      <c r="G373" s="132"/>
      <c r="H373" s="132"/>
      <c r="I373" s="132"/>
      <c r="J373" s="132"/>
      <c r="K373" s="132"/>
      <c r="L373" s="132"/>
      <c r="M373" s="132"/>
      <c r="P373" s="132"/>
    </row>
    <row r="374" spans="3:16" x14ac:dyDescent="0.2">
      <c r="C374" s="132"/>
      <c r="D374" s="132"/>
      <c r="E374" s="132"/>
      <c r="G374" s="132"/>
      <c r="H374" s="132"/>
      <c r="I374" s="132"/>
      <c r="J374" s="132"/>
      <c r="K374" s="132"/>
      <c r="L374" s="132"/>
      <c r="M374" s="132"/>
      <c r="P374" s="132"/>
    </row>
    <row r="375" spans="3:16" x14ac:dyDescent="0.2">
      <c r="C375" s="132"/>
      <c r="D375" s="132"/>
      <c r="E375" s="132"/>
      <c r="G375" s="132"/>
      <c r="H375" s="132"/>
      <c r="I375" s="132"/>
      <c r="J375" s="132"/>
      <c r="K375" s="132"/>
      <c r="L375" s="132"/>
      <c r="M375" s="132"/>
      <c r="P375" s="132"/>
    </row>
    <row r="376" spans="3:16" x14ac:dyDescent="0.2">
      <c r="C376" s="132"/>
      <c r="D376" s="132"/>
      <c r="E376" s="132"/>
      <c r="G376" s="132"/>
      <c r="H376" s="132"/>
      <c r="I376" s="132"/>
      <c r="J376" s="132"/>
      <c r="K376" s="132"/>
      <c r="L376" s="132"/>
      <c r="M376" s="132"/>
      <c r="P376" s="132"/>
    </row>
    <row r="377" spans="3:16" x14ac:dyDescent="0.2">
      <c r="C377" s="132"/>
      <c r="D377" s="132"/>
      <c r="E377" s="132"/>
      <c r="G377" s="132"/>
      <c r="H377" s="132"/>
      <c r="I377" s="132"/>
      <c r="J377" s="132"/>
      <c r="K377" s="132"/>
      <c r="L377" s="132"/>
      <c r="M377" s="132"/>
      <c r="P377" s="132"/>
    </row>
    <row r="378" spans="3:16" x14ac:dyDescent="0.2">
      <c r="C378" s="132"/>
      <c r="D378" s="132"/>
      <c r="E378" s="132"/>
      <c r="G378" s="132"/>
      <c r="H378" s="132"/>
      <c r="I378" s="132"/>
      <c r="J378" s="132"/>
      <c r="K378" s="132"/>
      <c r="L378" s="132"/>
      <c r="M378" s="132"/>
      <c r="P378" s="132"/>
    </row>
    <row r="379" spans="3:16" x14ac:dyDescent="0.2">
      <c r="C379" s="132"/>
      <c r="D379" s="132"/>
      <c r="E379" s="132"/>
      <c r="G379" s="132"/>
      <c r="H379" s="132"/>
      <c r="I379" s="132"/>
      <c r="J379" s="132"/>
      <c r="K379" s="132"/>
      <c r="L379" s="132"/>
      <c r="M379" s="132"/>
      <c r="P379" s="132"/>
    </row>
    <row r="380" spans="3:16" x14ac:dyDescent="0.2">
      <c r="C380" s="132"/>
      <c r="D380" s="132"/>
      <c r="E380" s="132"/>
      <c r="G380" s="132"/>
      <c r="H380" s="132"/>
      <c r="I380" s="132"/>
      <c r="J380" s="132"/>
      <c r="K380" s="132"/>
      <c r="L380" s="132"/>
      <c r="M380" s="132"/>
      <c r="P380" s="132"/>
    </row>
    <row r="381" spans="3:16" x14ac:dyDescent="0.2">
      <c r="C381" s="132"/>
      <c r="D381" s="132"/>
      <c r="E381" s="132"/>
      <c r="G381" s="132"/>
      <c r="H381" s="132"/>
      <c r="I381" s="132"/>
      <c r="J381" s="132"/>
      <c r="K381" s="132"/>
      <c r="L381" s="132"/>
      <c r="M381" s="132"/>
      <c r="P381" s="132"/>
    </row>
    <row r="382" spans="3:16" x14ac:dyDescent="0.2">
      <c r="C382" s="132"/>
      <c r="D382" s="132"/>
      <c r="E382" s="132"/>
      <c r="G382" s="132"/>
      <c r="H382" s="132"/>
      <c r="I382" s="132"/>
      <c r="J382" s="132"/>
      <c r="K382" s="132"/>
      <c r="L382" s="132"/>
      <c r="M382" s="132"/>
      <c r="P382" s="132"/>
    </row>
    <row r="383" spans="3:16" x14ac:dyDescent="0.2">
      <c r="C383" s="132"/>
      <c r="D383" s="132"/>
      <c r="E383" s="132"/>
      <c r="G383" s="132"/>
      <c r="H383" s="132"/>
      <c r="I383" s="132"/>
      <c r="J383" s="132"/>
      <c r="K383" s="132"/>
      <c r="L383" s="132"/>
      <c r="M383" s="132"/>
      <c r="P383" s="132"/>
    </row>
    <row r="384" spans="3:16" x14ac:dyDescent="0.2">
      <c r="C384" s="132"/>
      <c r="D384" s="132"/>
      <c r="E384" s="132"/>
      <c r="G384" s="132"/>
      <c r="H384" s="132"/>
      <c r="I384" s="132"/>
      <c r="J384" s="132"/>
      <c r="K384" s="132"/>
      <c r="L384" s="132"/>
      <c r="M384" s="132"/>
      <c r="P384" s="132"/>
    </row>
    <row r="385" spans="3:16" x14ac:dyDescent="0.2">
      <c r="C385" s="132"/>
      <c r="D385" s="132"/>
      <c r="E385" s="132"/>
      <c r="G385" s="132"/>
      <c r="H385" s="132"/>
      <c r="I385" s="132"/>
      <c r="J385" s="132"/>
      <c r="K385" s="132"/>
      <c r="L385" s="132"/>
      <c r="M385" s="132"/>
      <c r="P385" s="132"/>
    </row>
    <row r="386" spans="3:16" x14ac:dyDescent="0.2">
      <c r="C386" s="132"/>
      <c r="D386" s="132"/>
      <c r="E386" s="132"/>
      <c r="G386" s="132"/>
      <c r="H386" s="132"/>
      <c r="I386" s="132"/>
      <c r="J386" s="132"/>
      <c r="K386" s="132"/>
      <c r="L386" s="132"/>
      <c r="M386" s="132"/>
      <c r="P386" s="132"/>
    </row>
    <row r="387" spans="3:16" x14ac:dyDescent="0.2">
      <c r="C387" s="132"/>
      <c r="D387" s="132"/>
      <c r="E387" s="132"/>
      <c r="G387" s="132"/>
      <c r="H387" s="132"/>
      <c r="I387" s="132"/>
      <c r="J387" s="132"/>
      <c r="K387" s="132"/>
      <c r="L387" s="132"/>
      <c r="M387" s="132"/>
      <c r="P387" s="132"/>
    </row>
    <row r="388" spans="3:16" x14ac:dyDescent="0.2">
      <c r="C388" s="132"/>
      <c r="D388" s="132"/>
      <c r="E388" s="132"/>
      <c r="G388" s="132"/>
      <c r="H388" s="132"/>
      <c r="I388" s="132"/>
      <c r="J388" s="132"/>
      <c r="K388" s="132"/>
      <c r="L388" s="132"/>
      <c r="M388" s="132"/>
      <c r="P388" s="132"/>
    </row>
    <row r="389" spans="3:16" x14ac:dyDescent="0.2">
      <c r="C389" s="132"/>
      <c r="D389" s="132"/>
      <c r="E389" s="132"/>
      <c r="G389" s="132"/>
      <c r="H389" s="132"/>
      <c r="I389" s="132"/>
      <c r="J389" s="132"/>
      <c r="K389" s="132"/>
      <c r="L389" s="132"/>
      <c r="M389" s="132"/>
      <c r="P389" s="132"/>
    </row>
    <row r="390" spans="3:16" x14ac:dyDescent="0.2">
      <c r="C390" s="132"/>
      <c r="D390" s="132"/>
      <c r="E390" s="132"/>
      <c r="G390" s="132"/>
      <c r="H390" s="132"/>
      <c r="I390" s="132"/>
      <c r="J390" s="132"/>
      <c r="K390" s="132"/>
      <c r="L390" s="132"/>
      <c r="M390" s="132"/>
      <c r="P390" s="132"/>
    </row>
    <row r="391" spans="3:16" x14ac:dyDescent="0.2">
      <c r="C391" s="132"/>
      <c r="D391" s="132"/>
      <c r="E391" s="132"/>
      <c r="G391" s="132"/>
      <c r="H391" s="132"/>
      <c r="I391" s="132"/>
      <c r="J391" s="132"/>
      <c r="K391" s="132"/>
      <c r="L391" s="132"/>
      <c r="M391" s="132"/>
      <c r="P391" s="132"/>
    </row>
    <row r="392" spans="3:16" x14ac:dyDescent="0.2">
      <c r="C392" s="132"/>
      <c r="D392" s="132"/>
      <c r="E392" s="132"/>
      <c r="G392" s="132"/>
      <c r="H392" s="132"/>
      <c r="I392" s="132"/>
      <c r="J392" s="132"/>
      <c r="K392" s="132"/>
      <c r="L392" s="132"/>
      <c r="M392" s="132"/>
      <c r="P392" s="132"/>
    </row>
    <row r="393" spans="3:16" x14ac:dyDescent="0.2">
      <c r="C393" s="132"/>
      <c r="D393" s="132"/>
      <c r="E393" s="132"/>
      <c r="G393" s="132"/>
      <c r="H393" s="132"/>
      <c r="I393" s="132"/>
      <c r="J393" s="132"/>
      <c r="K393" s="132"/>
      <c r="L393" s="132"/>
      <c r="M393" s="132"/>
      <c r="P393" s="132"/>
    </row>
    <row r="394" spans="3:16" x14ac:dyDescent="0.2">
      <c r="C394" s="132"/>
      <c r="D394" s="132"/>
      <c r="E394" s="132"/>
      <c r="G394" s="132"/>
      <c r="H394" s="132"/>
      <c r="I394" s="132"/>
      <c r="J394" s="132"/>
      <c r="K394" s="132"/>
      <c r="L394" s="132"/>
      <c r="M394" s="132"/>
      <c r="P394" s="132"/>
    </row>
    <row r="395" spans="3:16" x14ac:dyDescent="0.2">
      <c r="C395" s="132"/>
      <c r="D395" s="132"/>
      <c r="E395" s="132"/>
      <c r="G395" s="132"/>
      <c r="H395" s="132"/>
      <c r="I395" s="132"/>
      <c r="J395" s="132"/>
      <c r="K395" s="132"/>
      <c r="L395" s="132"/>
      <c r="M395" s="132"/>
      <c r="P395" s="132"/>
    </row>
    <row r="396" spans="3:16" x14ac:dyDescent="0.2">
      <c r="C396" s="132"/>
      <c r="D396" s="132"/>
      <c r="E396" s="132"/>
      <c r="G396" s="132"/>
      <c r="H396" s="132"/>
      <c r="I396" s="132"/>
      <c r="J396" s="132"/>
      <c r="K396" s="132"/>
      <c r="L396" s="132"/>
      <c r="M396" s="132"/>
      <c r="P396" s="132"/>
    </row>
    <row r="397" spans="3:16" x14ac:dyDescent="0.2">
      <c r="C397" s="132"/>
      <c r="D397" s="132"/>
      <c r="E397" s="132"/>
      <c r="G397" s="132"/>
      <c r="H397" s="132"/>
      <c r="I397" s="132"/>
      <c r="J397" s="132"/>
      <c r="K397" s="132"/>
      <c r="L397" s="132"/>
      <c r="M397" s="132"/>
      <c r="P397" s="132"/>
    </row>
    <row r="398" spans="3:16" x14ac:dyDescent="0.2">
      <c r="C398" s="132"/>
      <c r="D398" s="132"/>
      <c r="E398" s="132"/>
      <c r="G398" s="132"/>
      <c r="H398" s="132"/>
      <c r="I398" s="132"/>
      <c r="J398" s="132"/>
      <c r="K398" s="132"/>
      <c r="L398" s="132"/>
      <c r="M398" s="132"/>
      <c r="P398" s="132"/>
    </row>
    <row r="399" spans="3:16" x14ac:dyDescent="0.2">
      <c r="C399" s="132"/>
      <c r="D399" s="132"/>
      <c r="E399" s="132"/>
      <c r="G399" s="132"/>
      <c r="H399" s="132"/>
      <c r="I399" s="132"/>
      <c r="J399" s="132"/>
      <c r="K399" s="132"/>
      <c r="L399" s="132"/>
      <c r="M399" s="132"/>
      <c r="P399" s="132"/>
    </row>
    <row r="400" spans="3:16" x14ac:dyDescent="0.2">
      <c r="C400" s="132"/>
      <c r="D400" s="132"/>
      <c r="E400" s="132"/>
      <c r="G400" s="132"/>
      <c r="H400" s="132"/>
      <c r="I400" s="132"/>
      <c r="J400" s="132"/>
      <c r="K400" s="132"/>
      <c r="L400" s="132"/>
      <c r="M400" s="132"/>
      <c r="P400" s="132"/>
    </row>
    <row r="401" spans="3:16" x14ac:dyDescent="0.2">
      <c r="C401" s="132"/>
      <c r="D401" s="132"/>
      <c r="E401" s="132"/>
      <c r="G401" s="132"/>
      <c r="H401" s="132"/>
      <c r="I401" s="132"/>
      <c r="J401" s="132"/>
      <c r="K401" s="132"/>
      <c r="L401" s="132"/>
      <c r="M401" s="132"/>
      <c r="P401" s="132"/>
    </row>
    <row r="402" spans="3:16" x14ac:dyDescent="0.2">
      <c r="C402" s="132"/>
      <c r="D402" s="132"/>
      <c r="E402" s="132"/>
      <c r="G402" s="132"/>
      <c r="H402" s="132"/>
      <c r="I402" s="132"/>
      <c r="J402" s="132"/>
      <c r="K402" s="132"/>
      <c r="L402" s="132"/>
      <c r="M402" s="132"/>
      <c r="P402" s="132"/>
    </row>
    <row r="403" spans="3:16" x14ac:dyDescent="0.2">
      <c r="C403" s="132"/>
      <c r="D403" s="132"/>
      <c r="E403" s="132"/>
      <c r="G403" s="132"/>
      <c r="H403" s="132"/>
      <c r="I403" s="132"/>
      <c r="J403" s="132"/>
      <c r="K403" s="132"/>
      <c r="L403" s="132"/>
      <c r="M403" s="132"/>
      <c r="P403" s="132"/>
    </row>
    <row r="404" spans="3:16" x14ac:dyDescent="0.2">
      <c r="C404" s="132"/>
      <c r="D404" s="132"/>
      <c r="E404" s="132"/>
      <c r="G404" s="132"/>
      <c r="H404" s="132"/>
      <c r="I404" s="132"/>
      <c r="J404" s="132"/>
      <c r="K404" s="132"/>
      <c r="L404" s="132"/>
      <c r="M404" s="132"/>
      <c r="P404" s="132"/>
    </row>
    <row r="405" spans="3:16" x14ac:dyDescent="0.2">
      <c r="C405" s="132"/>
      <c r="D405" s="132"/>
      <c r="E405" s="132"/>
      <c r="G405" s="132"/>
      <c r="H405" s="132"/>
      <c r="I405" s="132"/>
      <c r="J405" s="132"/>
      <c r="K405" s="132"/>
      <c r="L405" s="132"/>
      <c r="M405" s="132"/>
      <c r="P405" s="132"/>
    </row>
    <row r="406" spans="3:16" x14ac:dyDescent="0.2">
      <c r="C406" s="132"/>
      <c r="D406" s="132"/>
      <c r="E406" s="132"/>
      <c r="G406" s="132"/>
      <c r="H406" s="132"/>
      <c r="I406" s="132"/>
      <c r="J406" s="132"/>
      <c r="K406" s="132"/>
      <c r="L406" s="132"/>
      <c r="M406" s="132"/>
      <c r="P406" s="132"/>
    </row>
    <row r="407" spans="3:16" x14ac:dyDescent="0.2">
      <c r="C407" s="132"/>
      <c r="D407" s="132"/>
      <c r="E407" s="132"/>
      <c r="G407" s="132"/>
      <c r="H407" s="132"/>
      <c r="I407" s="132"/>
      <c r="J407" s="132"/>
      <c r="K407" s="132"/>
      <c r="L407" s="132"/>
      <c r="M407" s="132"/>
      <c r="P407" s="132"/>
    </row>
    <row r="408" spans="3:16" x14ac:dyDescent="0.2">
      <c r="C408" s="132"/>
      <c r="D408" s="132"/>
      <c r="E408" s="132"/>
      <c r="G408" s="132"/>
      <c r="H408" s="132"/>
      <c r="I408" s="132"/>
      <c r="J408" s="132"/>
      <c r="K408" s="132"/>
      <c r="L408" s="132"/>
      <c r="M408" s="132"/>
      <c r="P408" s="132"/>
    </row>
    <row r="409" spans="3:16" x14ac:dyDescent="0.2">
      <c r="C409" s="132"/>
      <c r="D409" s="132"/>
      <c r="E409" s="132"/>
      <c r="G409" s="132"/>
      <c r="H409" s="132"/>
      <c r="I409" s="132"/>
      <c r="J409" s="132"/>
      <c r="K409" s="132"/>
      <c r="L409" s="132"/>
      <c r="M409" s="132"/>
      <c r="P409" s="132"/>
    </row>
    <row r="410" spans="3:16" x14ac:dyDescent="0.2">
      <c r="C410" s="132"/>
      <c r="D410" s="132"/>
      <c r="E410" s="132"/>
      <c r="G410" s="132"/>
      <c r="H410" s="132"/>
      <c r="I410" s="132"/>
      <c r="J410" s="132"/>
      <c r="K410" s="132"/>
      <c r="L410" s="132"/>
      <c r="M410" s="132"/>
      <c r="P410" s="132"/>
    </row>
    <row r="411" spans="3:16" x14ac:dyDescent="0.2">
      <c r="C411" s="132"/>
      <c r="D411" s="132"/>
      <c r="E411" s="132"/>
      <c r="G411" s="132"/>
      <c r="H411" s="132"/>
      <c r="I411" s="132"/>
      <c r="J411" s="132"/>
      <c r="K411" s="132"/>
      <c r="L411" s="132"/>
      <c r="M411" s="132"/>
      <c r="P411" s="132"/>
    </row>
    <row r="412" spans="3:16" x14ac:dyDescent="0.2">
      <c r="C412" s="132"/>
      <c r="D412" s="132"/>
      <c r="E412" s="132"/>
      <c r="G412" s="132"/>
      <c r="H412" s="132"/>
      <c r="I412" s="132"/>
      <c r="J412" s="132"/>
      <c r="K412" s="132"/>
      <c r="L412" s="132"/>
      <c r="M412" s="132"/>
      <c r="P412" s="132"/>
    </row>
    <row r="413" spans="3:16" x14ac:dyDescent="0.2">
      <c r="C413" s="132"/>
      <c r="D413" s="132"/>
      <c r="E413" s="132"/>
      <c r="G413" s="132"/>
      <c r="H413" s="132"/>
      <c r="I413" s="132"/>
      <c r="J413" s="132"/>
      <c r="K413" s="132"/>
      <c r="L413" s="132"/>
      <c r="M413" s="132"/>
      <c r="P413" s="132"/>
    </row>
    <row r="414" spans="3:16" x14ac:dyDescent="0.2">
      <c r="C414" s="132"/>
      <c r="D414" s="132"/>
      <c r="E414" s="132"/>
      <c r="G414" s="132"/>
      <c r="H414" s="132"/>
      <c r="I414" s="132"/>
      <c r="J414" s="132"/>
      <c r="K414" s="132"/>
      <c r="L414" s="132"/>
      <c r="M414" s="132"/>
      <c r="P414" s="132"/>
    </row>
    <row r="415" spans="3:16" x14ac:dyDescent="0.2">
      <c r="C415" s="132"/>
      <c r="D415" s="132"/>
      <c r="E415" s="132"/>
      <c r="G415" s="132"/>
      <c r="H415" s="132"/>
      <c r="I415" s="132"/>
      <c r="J415" s="132"/>
      <c r="K415" s="132"/>
      <c r="L415" s="132"/>
      <c r="M415" s="132"/>
      <c r="P415" s="132"/>
    </row>
    <row r="416" spans="3:16" x14ac:dyDescent="0.2">
      <c r="C416" s="132"/>
      <c r="D416" s="132"/>
      <c r="E416" s="132"/>
      <c r="G416" s="132"/>
      <c r="H416" s="132"/>
      <c r="I416" s="132"/>
      <c r="J416" s="132"/>
      <c r="K416" s="132"/>
      <c r="L416" s="132"/>
      <c r="M416" s="132"/>
      <c r="P416" s="132"/>
    </row>
    <row r="417" spans="3:16" x14ac:dyDescent="0.2">
      <c r="C417" s="132"/>
      <c r="D417" s="132"/>
      <c r="E417" s="132"/>
      <c r="G417" s="132"/>
      <c r="H417" s="132"/>
      <c r="I417" s="132"/>
      <c r="J417" s="132"/>
      <c r="K417" s="132"/>
      <c r="L417" s="132"/>
      <c r="M417" s="132"/>
      <c r="P417" s="132"/>
    </row>
    <row r="418" spans="3:16" x14ac:dyDescent="0.2">
      <c r="C418" s="132"/>
      <c r="D418" s="132"/>
      <c r="E418" s="132"/>
      <c r="G418" s="132"/>
      <c r="H418" s="132"/>
      <c r="I418" s="132"/>
      <c r="J418" s="132"/>
      <c r="K418" s="132"/>
      <c r="L418" s="132"/>
      <c r="M418" s="132"/>
      <c r="P418" s="132"/>
    </row>
    <row r="419" spans="3:16" x14ac:dyDescent="0.2">
      <c r="C419" s="132"/>
      <c r="D419" s="132"/>
      <c r="E419" s="132"/>
      <c r="G419" s="132"/>
      <c r="H419" s="132"/>
      <c r="I419" s="132"/>
      <c r="J419" s="132"/>
      <c r="K419" s="132"/>
      <c r="L419" s="132"/>
      <c r="M419" s="132"/>
      <c r="P419" s="132"/>
    </row>
    <row r="420" spans="3:16" x14ac:dyDescent="0.2">
      <c r="C420" s="132"/>
      <c r="D420" s="132"/>
      <c r="E420" s="132"/>
      <c r="G420" s="132"/>
      <c r="H420" s="132"/>
      <c r="I420" s="132"/>
      <c r="J420" s="132"/>
      <c r="K420" s="132"/>
      <c r="L420" s="132"/>
      <c r="M420" s="132"/>
      <c r="P420" s="132"/>
    </row>
    <row r="421" spans="3:16" x14ac:dyDescent="0.2">
      <c r="C421" s="132"/>
      <c r="D421" s="132"/>
      <c r="E421" s="132"/>
      <c r="G421" s="132"/>
      <c r="H421" s="132"/>
      <c r="I421" s="132"/>
      <c r="J421" s="132"/>
      <c r="K421" s="132"/>
      <c r="L421" s="132"/>
      <c r="M421" s="132"/>
      <c r="P421" s="132"/>
    </row>
    <row r="422" spans="3:16" x14ac:dyDescent="0.2">
      <c r="C422" s="132"/>
      <c r="D422" s="132"/>
      <c r="E422" s="132"/>
      <c r="G422" s="132"/>
      <c r="H422" s="132"/>
      <c r="I422" s="132"/>
      <c r="J422" s="132"/>
      <c r="K422" s="132"/>
      <c r="L422" s="132"/>
      <c r="M422" s="132"/>
      <c r="P422" s="132"/>
    </row>
    <row r="423" spans="3:16" x14ac:dyDescent="0.2">
      <c r="C423" s="132"/>
      <c r="D423" s="132"/>
      <c r="E423" s="132"/>
      <c r="G423" s="132"/>
      <c r="H423" s="132"/>
      <c r="I423" s="132"/>
      <c r="J423" s="132"/>
      <c r="K423" s="132"/>
      <c r="L423" s="132"/>
      <c r="M423" s="132"/>
      <c r="P423" s="132"/>
    </row>
    <row r="424" spans="3:16" x14ac:dyDescent="0.2">
      <c r="C424" s="132"/>
      <c r="D424" s="132"/>
      <c r="E424" s="132"/>
      <c r="G424" s="132"/>
      <c r="H424" s="132"/>
      <c r="I424" s="132"/>
      <c r="J424" s="132"/>
      <c r="K424" s="132"/>
      <c r="L424" s="132"/>
      <c r="M424" s="132"/>
      <c r="P424" s="132"/>
    </row>
    <row r="425" spans="3:16" x14ac:dyDescent="0.2">
      <c r="C425" s="132"/>
      <c r="D425" s="132"/>
      <c r="E425" s="132"/>
      <c r="G425" s="132"/>
      <c r="H425" s="132"/>
      <c r="I425" s="132"/>
      <c r="J425" s="132"/>
      <c r="K425" s="132"/>
      <c r="L425" s="132"/>
      <c r="M425" s="132"/>
      <c r="P425" s="132"/>
    </row>
    <row r="426" spans="3:16" x14ac:dyDescent="0.2">
      <c r="C426" s="132"/>
      <c r="D426" s="132"/>
      <c r="E426" s="132"/>
      <c r="G426" s="132"/>
      <c r="H426" s="132"/>
      <c r="I426" s="132"/>
      <c r="J426" s="132"/>
      <c r="K426" s="132"/>
      <c r="L426" s="132"/>
      <c r="M426" s="132"/>
      <c r="P426" s="132"/>
    </row>
    <row r="427" spans="3:16" x14ac:dyDescent="0.2">
      <c r="C427" s="132"/>
      <c r="D427" s="132"/>
      <c r="E427" s="132"/>
      <c r="G427" s="132"/>
      <c r="H427" s="132"/>
      <c r="I427" s="132"/>
      <c r="J427" s="132"/>
      <c r="K427" s="132"/>
      <c r="L427" s="132"/>
      <c r="M427" s="132"/>
      <c r="P427" s="132"/>
    </row>
    <row r="428" spans="3:16" x14ac:dyDescent="0.2">
      <c r="C428" s="132"/>
      <c r="D428" s="132"/>
      <c r="E428" s="132"/>
      <c r="G428" s="132"/>
      <c r="H428" s="132"/>
      <c r="I428" s="132"/>
      <c r="J428" s="132"/>
      <c r="K428" s="132"/>
      <c r="L428" s="132"/>
      <c r="M428" s="132"/>
      <c r="P428" s="132"/>
    </row>
    <row r="429" spans="3:16" x14ac:dyDescent="0.2">
      <c r="C429" s="132"/>
      <c r="D429" s="132"/>
      <c r="E429" s="132"/>
      <c r="G429" s="132"/>
      <c r="H429" s="132"/>
      <c r="I429" s="132"/>
      <c r="J429" s="132"/>
      <c r="K429" s="132"/>
      <c r="L429" s="132"/>
      <c r="M429" s="132"/>
      <c r="P429" s="132"/>
    </row>
    <row r="430" spans="3:16" x14ac:dyDescent="0.2">
      <c r="C430" s="132"/>
      <c r="D430" s="132"/>
      <c r="E430" s="132"/>
      <c r="G430" s="132"/>
      <c r="H430" s="132"/>
      <c r="I430" s="132"/>
      <c r="J430" s="132"/>
      <c r="K430" s="132"/>
      <c r="L430" s="132"/>
      <c r="M430" s="132"/>
      <c r="P430" s="132"/>
    </row>
    <row r="431" spans="3:16" x14ac:dyDescent="0.2">
      <c r="C431" s="132"/>
      <c r="D431" s="132"/>
      <c r="E431" s="132"/>
      <c r="G431" s="132"/>
      <c r="H431" s="132"/>
      <c r="I431" s="132"/>
      <c r="J431" s="132"/>
      <c r="K431" s="132"/>
      <c r="L431" s="132"/>
      <c r="M431" s="132"/>
      <c r="P431" s="132"/>
    </row>
    <row r="432" spans="3:16" x14ac:dyDescent="0.2">
      <c r="C432" s="132"/>
      <c r="D432" s="132"/>
      <c r="E432" s="132"/>
      <c r="G432" s="132"/>
      <c r="H432" s="132"/>
      <c r="I432" s="132"/>
      <c r="J432" s="132"/>
      <c r="K432" s="132"/>
      <c r="L432" s="132"/>
      <c r="M432" s="132"/>
      <c r="P432" s="132"/>
    </row>
    <row r="433" spans="3:16" x14ac:dyDescent="0.2">
      <c r="C433" s="132"/>
      <c r="D433" s="132"/>
      <c r="E433" s="132"/>
      <c r="G433" s="132"/>
      <c r="H433" s="132"/>
      <c r="I433" s="132"/>
      <c r="J433" s="132"/>
      <c r="K433" s="132"/>
      <c r="L433" s="132"/>
      <c r="M433" s="132"/>
      <c r="P433" s="132"/>
    </row>
    <row r="434" spans="3:16" x14ac:dyDescent="0.2">
      <c r="C434" s="132"/>
      <c r="D434" s="132"/>
      <c r="E434" s="132"/>
      <c r="G434" s="132"/>
      <c r="H434" s="132"/>
      <c r="I434" s="132"/>
      <c r="J434" s="132"/>
      <c r="K434" s="132"/>
      <c r="L434" s="132"/>
      <c r="M434" s="132"/>
      <c r="P434" s="132"/>
    </row>
    <row r="435" spans="3:16" x14ac:dyDescent="0.2">
      <c r="C435" s="132"/>
      <c r="D435" s="132"/>
      <c r="E435" s="132"/>
      <c r="G435" s="132"/>
      <c r="H435" s="132"/>
      <c r="I435" s="132"/>
      <c r="J435" s="132"/>
      <c r="K435" s="132"/>
      <c r="L435" s="132"/>
      <c r="M435" s="132"/>
      <c r="P435" s="132"/>
    </row>
    <row r="436" spans="3:16" x14ac:dyDescent="0.2">
      <c r="C436" s="132"/>
      <c r="D436" s="132"/>
      <c r="E436" s="132"/>
      <c r="G436" s="132"/>
      <c r="H436" s="132"/>
      <c r="I436" s="132"/>
      <c r="J436" s="132"/>
      <c r="K436" s="132"/>
      <c r="L436" s="132"/>
      <c r="M436" s="132"/>
      <c r="P436" s="132"/>
    </row>
    <row r="437" spans="3:16" x14ac:dyDescent="0.2">
      <c r="C437" s="132"/>
      <c r="D437" s="132"/>
      <c r="E437" s="132"/>
      <c r="G437" s="132"/>
      <c r="H437" s="132"/>
      <c r="I437" s="132"/>
      <c r="J437" s="132"/>
      <c r="K437" s="132"/>
      <c r="L437" s="132"/>
      <c r="M437" s="132"/>
      <c r="P437" s="132"/>
    </row>
    <row r="438" spans="3:16" x14ac:dyDescent="0.2">
      <c r="C438" s="132"/>
      <c r="D438" s="132"/>
      <c r="E438" s="132"/>
      <c r="G438" s="132"/>
      <c r="H438" s="132"/>
      <c r="I438" s="132"/>
      <c r="J438" s="132"/>
      <c r="K438" s="132"/>
      <c r="L438" s="132"/>
      <c r="M438" s="132"/>
      <c r="P438" s="132"/>
    </row>
    <row r="439" spans="3:16" x14ac:dyDescent="0.2">
      <c r="C439" s="132"/>
      <c r="D439" s="132"/>
      <c r="E439" s="132"/>
      <c r="G439" s="132"/>
      <c r="H439" s="132"/>
      <c r="I439" s="132"/>
      <c r="J439" s="132"/>
      <c r="K439" s="132"/>
      <c r="L439" s="132"/>
      <c r="M439" s="132"/>
      <c r="P439" s="132"/>
    </row>
    <row r="440" spans="3:16" x14ac:dyDescent="0.2">
      <c r="C440" s="132"/>
      <c r="D440" s="132"/>
      <c r="E440" s="132"/>
      <c r="G440" s="132"/>
      <c r="H440" s="132"/>
      <c r="I440" s="132"/>
      <c r="J440" s="132"/>
      <c r="K440" s="132"/>
      <c r="L440" s="132"/>
      <c r="M440" s="132"/>
      <c r="P440" s="132"/>
    </row>
    <row r="441" spans="3:16" x14ac:dyDescent="0.2">
      <c r="C441" s="132"/>
      <c r="D441" s="132"/>
      <c r="E441" s="132"/>
      <c r="G441" s="132"/>
      <c r="H441" s="132"/>
      <c r="I441" s="132"/>
      <c r="J441" s="132"/>
      <c r="K441" s="132"/>
      <c r="L441" s="132"/>
      <c r="M441" s="132"/>
      <c r="P441" s="132"/>
    </row>
    <row r="442" spans="3:16" x14ac:dyDescent="0.2">
      <c r="C442" s="132"/>
      <c r="D442" s="132"/>
      <c r="E442" s="132"/>
      <c r="G442" s="132"/>
      <c r="H442" s="132"/>
      <c r="I442" s="132"/>
      <c r="J442" s="132"/>
      <c r="K442" s="132"/>
      <c r="L442" s="132"/>
      <c r="M442" s="132"/>
      <c r="P442" s="132"/>
    </row>
    <row r="443" spans="3:16" x14ac:dyDescent="0.2">
      <c r="C443" s="132"/>
      <c r="D443" s="132"/>
      <c r="E443" s="132"/>
      <c r="G443" s="132"/>
      <c r="H443" s="132"/>
      <c r="I443" s="132"/>
      <c r="J443" s="132"/>
      <c r="K443" s="132"/>
      <c r="L443" s="132"/>
      <c r="M443" s="132"/>
      <c r="P443" s="132"/>
    </row>
    <row r="444" spans="3:16" x14ac:dyDescent="0.2">
      <c r="C444" s="132"/>
      <c r="D444" s="132"/>
      <c r="E444" s="132"/>
      <c r="G444" s="132"/>
      <c r="H444" s="132"/>
      <c r="I444" s="132"/>
      <c r="J444" s="132"/>
      <c r="K444" s="132"/>
      <c r="L444" s="132"/>
      <c r="M444" s="132"/>
      <c r="P444" s="132"/>
    </row>
    <row r="445" spans="3:16" x14ac:dyDescent="0.2">
      <c r="C445" s="132"/>
      <c r="D445" s="132"/>
      <c r="E445" s="132"/>
      <c r="G445" s="132"/>
      <c r="H445" s="132"/>
      <c r="I445" s="132"/>
      <c r="J445" s="132"/>
      <c r="K445" s="132"/>
      <c r="L445" s="132"/>
      <c r="M445" s="132"/>
      <c r="P445" s="132"/>
    </row>
    <row r="446" spans="3:16" x14ac:dyDescent="0.2">
      <c r="C446" s="132"/>
      <c r="D446" s="132"/>
      <c r="E446" s="132"/>
      <c r="G446" s="132"/>
      <c r="H446" s="132"/>
      <c r="I446" s="132"/>
      <c r="J446" s="132"/>
      <c r="K446" s="132"/>
      <c r="L446" s="132"/>
      <c r="M446" s="132"/>
      <c r="P446" s="132"/>
    </row>
    <row r="447" spans="3:16" x14ac:dyDescent="0.2">
      <c r="C447" s="132"/>
      <c r="D447" s="132"/>
      <c r="E447" s="132"/>
      <c r="G447" s="132"/>
      <c r="H447" s="132"/>
      <c r="I447" s="132"/>
      <c r="J447" s="132"/>
      <c r="K447" s="132"/>
      <c r="L447" s="132"/>
      <c r="M447" s="132"/>
      <c r="P447" s="132"/>
    </row>
    <row r="448" spans="3:16" x14ac:dyDescent="0.2">
      <c r="C448" s="132"/>
      <c r="D448" s="132"/>
      <c r="E448" s="132"/>
      <c r="G448" s="132"/>
      <c r="H448" s="132"/>
      <c r="I448" s="132"/>
      <c r="J448" s="132"/>
      <c r="K448" s="132"/>
      <c r="L448" s="132"/>
      <c r="M448" s="132"/>
      <c r="P448" s="132"/>
    </row>
    <row r="449" spans="3:16" x14ac:dyDescent="0.2">
      <c r="C449" s="132"/>
      <c r="D449" s="132"/>
      <c r="E449" s="132"/>
      <c r="G449" s="132"/>
      <c r="H449" s="132"/>
      <c r="I449" s="132"/>
      <c r="J449" s="132"/>
      <c r="K449" s="132"/>
      <c r="L449" s="132"/>
      <c r="M449" s="132"/>
      <c r="P449" s="132"/>
    </row>
    <row r="450" spans="3:16" x14ac:dyDescent="0.2">
      <c r="C450" s="132"/>
      <c r="D450" s="132"/>
      <c r="E450" s="132"/>
      <c r="G450" s="132"/>
      <c r="H450" s="132"/>
      <c r="I450" s="132"/>
      <c r="J450" s="132"/>
      <c r="K450" s="132"/>
      <c r="L450" s="132"/>
      <c r="M450" s="132"/>
      <c r="P450" s="132"/>
    </row>
    <row r="451" spans="3:16" x14ac:dyDescent="0.2">
      <c r="C451" s="132"/>
      <c r="D451" s="132"/>
      <c r="E451" s="132"/>
      <c r="G451" s="132"/>
      <c r="H451" s="132"/>
      <c r="I451" s="132"/>
      <c r="J451" s="132"/>
      <c r="K451" s="132"/>
      <c r="L451" s="132"/>
      <c r="M451" s="132"/>
      <c r="P451" s="132"/>
    </row>
    <row r="452" spans="3:16" x14ac:dyDescent="0.2">
      <c r="C452" s="132"/>
      <c r="D452" s="132"/>
      <c r="E452" s="132"/>
      <c r="G452" s="132"/>
      <c r="H452" s="132"/>
      <c r="I452" s="132"/>
      <c r="J452" s="132"/>
      <c r="K452" s="132"/>
      <c r="L452" s="132"/>
      <c r="M452" s="132"/>
      <c r="P452" s="132"/>
    </row>
    <row r="453" spans="3:16" x14ac:dyDescent="0.2">
      <c r="C453" s="132"/>
      <c r="D453" s="132"/>
      <c r="E453" s="132"/>
      <c r="G453" s="132"/>
      <c r="H453" s="132"/>
      <c r="I453" s="132"/>
      <c r="J453" s="132"/>
      <c r="K453" s="132"/>
      <c r="L453" s="132"/>
      <c r="M453" s="132"/>
      <c r="P453" s="132"/>
    </row>
    <row r="454" spans="3:16" x14ac:dyDescent="0.2">
      <c r="C454" s="132"/>
      <c r="D454" s="132"/>
      <c r="E454" s="132"/>
      <c r="G454" s="132"/>
      <c r="H454" s="132"/>
      <c r="I454" s="132"/>
      <c r="J454" s="132"/>
      <c r="K454" s="132"/>
      <c r="L454" s="132"/>
      <c r="M454" s="132"/>
      <c r="P454" s="132"/>
    </row>
    <row r="455" spans="3:16" x14ac:dyDescent="0.2">
      <c r="C455" s="132"/>
      <c r="D455" s="132"/>
      <c r="E455" s="132"/>
      <c r="G455" s="132"/>
      <c r="H455" s="132"/>
      <c r="I455" s="132"/>
      <c r="J455" s="132"/>
      <c r="K455" s="132"/>
      <c r="L455" s="132"/>
      <c r="M455" s="132"/>
      <c r="P455" s="132"/>
    </row>
    <row r="456" spans="3:16" x14ac:dyDescent="0.2">
      <c r="C456" s="132"/>
      <c r="D456" s="132"/>
      <c r="E456" s="132"/>
      <c r="G456" s="132"/>
      <c r="H456" s="132"/>
      <c r="I456" s="132"/>
      <c r="J456" s="132"/>
      <c r="K456" s="132"/>
      <c r="L456" s="132"/>
      <c r="M456" s="132"/>
      <c r="P456" s="132"/>
    </row>
    <row r="457" spans="3:16" x14ac:dyDescent="0.2">
      <c r="C457" s="132"/>
      <c r="D457" s="132"/>
      <c r="E457" s="132"/>
      <c r="G457" s="132"/>
      <c r="H457" s="132"/>
      <c r="I457" s="132"/>
      <c r="J457" s="132"/>
      <c r="K457" s="132"/>
      <c r="L457" s="132"/>
      <c r="M457" s="132"/>
      <c r="P457" s="132"/>
    </row>
    <row r="458" spans="3:16" x14ac:dyDescent="0.2">
      <c r="C458" s="132"/>
      <c r="D458" s="132"/>
      <c r="E458" s="132"/>
      <c r="G458" s="132"/>
      <c r="H458" s="132"/>
      <c r="I458" s="132"/>
      <c r="J458" s="132"/>
      <c r="K458" s="132"/>
      <c r="L458" s="132"/>
      <c r="M458" s="132"/>
      <c r="P458" s="132"/>
    </row>
    <row r="459" spans="3:16" x14ac:dyDescent="0.2">
      <c r="C459" s="132"/>
      <c r="D459" s="132"/>
      <c r="E459" s="132"/>
      <c r="G459" s="132"/>
      <c r="H459" s="132"/>
      <c r="I459" s="132"/>
      <c r="J459" s="132"/>
      <c r="K459" s="132"/>
      <c r="L459" s="132"/>
      <c r="M459" s="132"/>
      <c r="P459" s="132"/>
    </row>
    <row r="460" spans="3:16" x14ac:dyDescent="0.2">
      <c r="C460" s="132"/>
      <c r="D460" s="132"/>
      <c r="E460" s="132"/>
      <c r="G460" s="132"/>
      <c r="H460" s="132"/>
      <c r="I460" s="132"/>
      <c r="J460" s="132"/>
      <c r="K460" s="132"/>
      <c r="L460" s="132"/>
      <c r="M460" s="132"/>
      <c r="P460" s="132"/>
    </row>
    <row r="461" spans="3:16" x14ac:dyDescent="0.2">
      <c r="C461" s="132"/>
      <c r="D461" s="132"/>
      <c r="E461" s="132"/>
      <c r="G461" s="132"/>
      <c r="H461" s="132"/>
      <c r="I461" s="132"/>
      <c r="J461" s="132"/>
      <c r="K461" s="132"/>
      <c r="L461" s="132"/>
      <c r="M461" s="132"/>
      <c r="P461" s="132"/>
    </row>
    <row r="462" spans="3:16" x14ac:dyDescent="0.2">
      <c r="C462" s="132"/>
      <c r="D462" s="132"/>
      <c r="E462" s="132"/>
      <c r="G462" s="132"/>
      <c r="H462" s="132"/>
      <c r="I462" s="132"/>
      <c r="J462" s="132"/>
      <c r="K462" s="132"/>
      <c r="L462" s="132"/>
      <c r="M462" s="132"/>
      <c r="P462" s="132"/>
    </row>
    <row r="463" spans="3:16" x14ac:dyDescent="0.2">
      <c r="C463" s="132"/>
      <c r="D463" s="132"/>
      <c r="E463" s="132"/>
      <c r="G463" s="132"/>
      <c r="H463" s="132"/>
      <c r="I463" s="132"/>
      <c r="J463" s="132"/>
      <c r="K463" s="132"/>
      <c r="L463" s="132"/>
      <c r="M463" s="132"/>
      <c r="P463" s="132"/>
    </row>
    <row r="464" spans="3:16" x14ac:dyDescent="0.2">
      <c r="C464" s="132"/>
      <c r="D464" s="132"/>
      <c r="E464" s="132"/>
      <c r="G464" s="132"/>
      <c r="H464" s="132"/>
      <c r="I464" s="132"/>
      <c r="J464" s="132"/>
      <c r="K464" s="132"/>
      <c r="L464" s="132"/>
      <c r="M464" s="132"/>
      <c r="P464" s="132"/>
    </row>
    <row r="465" spans="3:16" x14ac:dyDescent="0.2">
      <c r="C465" s="132"/>
      <c r="D465" s="132"/>
      <c r="E465" s="132"/>
      <c r="G465" s="132"/>
      <c r="H465" s="132"/>
      <c r="I465" s="132"/>
      <c r="J465" s="132"/>
      <c r="K465" s="132"/>
      <c r="L465" s="132"/>
      <c r="M465" s="132"/>
      <c r="P465" s="132"/>
    </row>
    <row r="466" spans="3:16" x14ac:dyDescent="0.2">
      <c r="C466" s="132"/>
      <c r="D466" s="132"/>
      <c r="E466" s="132"/>
      <c r="G466" s="132"/>
      <c r="H466" s="132"/>
      <c r="I466" s="132"/>
      <c r="J466" s="132"/>
      <c r="K466" s="132"/>
      <c r="L466" s="132"/>
      <c r="M466" s="132"/>
      <c r="P466" s="132"/>
    </row>
    <row r="467" spans="3:16" x14ac:dyDescent="0.2">
      <c r="C467" s="132"/>
      <c r="D467" s="132"/>
      <c r="E467" s="132"/>
      <c r="G467" s="132"/>
      <c r="H467" s="132"/>
      <c r="I467" s="132"/>
      <c r="J467" s="132"/>
      <c r="K467" s="132"/>
      <c r="L467" s="132"/>
      <c r="M467" s="132"/>
      <c r="P467" s="132"/>
    </row>
    <row r="468" spans="3:16" x14ac:dyDescent="0.2">
      <c r="C468" s="132"/>
      <c r="D468" s="132"/>
      <c r="E468" s="132"/>
      <c r="G468" s="132"/>
      <c r="H468" s="132"/>
      <c r="I468" s="132"/>
      <c r="J468" s="132"/>
      <c r="K468" s="132"/>
      <c r="L468" s="132"/>
      <c r="M468" s="132"/>
      <c r="P468" s="132"/>
    </row>
    <row r="469" spans="3:16" x14ac:dyDescent="0.2">
      <c r="C469" s="132"/>
      <c r="D469" s="132"/>
      <c r="E469" s="132"/>
      <c r="G469" s="132"/>
      <c r="H469" s="132"/>
      <c r="I469" s="132"/>
      <c r="J469" s="132"/>
      <c r="K469" s="132"/>
      <c r="L469" s="132"/>
      <c r="M469" s="132"/>
      <c r="P469" s="132"/>
    </row>
    <row r="470" spans="3:16" x14ac:dyDescent="0.2">
      <c r="C470" s="132"/>
      <c r="D470" s="132"/>
      <c r="E470" s="132"/>
      <c r="G470" s="132"/>
      <c r="H470" s="132"/>
      <c r="I470" s="132"/>
      <c r="J470" s="132"/>
      <c r="K470" s="132"/>
      <c r="L470" s="132"/>
      <c r="M470" s="132"/>
      <c r="P470" s="132"/>
    </row>
    <row r="471" spans="3:16" x14ac:dyDescent="0.2">
      <c r="C471" s="132"/>
      <c r="D471" s="132"/>
      <c r="E471" s="132"/>
      <c r="G471" s="132"/>
      <c r="H471" s="132"/>
      <c r="I471" s="132"/>
      <c r="J471" s="132"/>
      <c r="K471" s="132"/>
      <c r="L471" s="132"/>
      <c r="M471" s="132"/>
      <c r="P471" s="132"/>
    </row>
    <row r="472" spans="3:16" x14ac:dyDescent="0.2">
      <c r="C472" s="132"/>
      <c r="D472" s="132"/>
      <c r="E472" s="132"/>
      <c r="G472" s="132"/>
      <c r="H472" s="132"/>
      <c r="I472" s="132"/>
      <c r="J472" s="132"/>
      <c r="K472" s="132"/>
      <c r="L472" s="132"/>
      <c r="M472" s="132"/>
      <c r="P472" s="132"/>
    </row>
    <row r="473" spans="3:16" x14ac:dyDescent="0.2">
      <c r="C473" s="132"/>
      <c r="D473" s="132"/>
      <c r="E473" s="132"/>
      <c r="G473" s="132"/>
      <c r="H473" s="132"/>
      <c r="I473" s="132"/>
      <c r="J473" s="132"/>
      <c r="K473" s="132"/>
      <c r="L473" s="132"/>
      <c r="M473" s="132"/>
      <c r="P473" s="132"/>
    </row>
    <row r="474" spans="3:16" x14ac:dyDescent="0.2">
      <c r="C474" s="132"/>
      <c r="D474" s="132"/>
      <c r="E474" s="132"/>
      <c r="G474" s="132"/>
      <c r="H474" s="132"/>
      <c r="I474" s="132"/>
      <c r="J474" s="132"/>
      <c r="K474" s="132"/>
      <c r="L474" s="132"/>
      <c r="M474" s="132"/>
      <c r="P474" s="132"/>
    </row>
    <row r="475" spans="3:16" x14ac:dyDescent="0.2">
      <c r="C475" s="132"/>
      <c r="D475" s="132"/>
      <c r="E475" s="132"/>
      <c r="G475" s="132"/>
      <c r="H475" s="132"/>
      <c r="I475" s="132"/>
      <c r="J475" s="132"/>
      <c r="K475" s="132"/>
      <c r="L475" s="132"/>
      <c r="M475" s="132"/>
      <c r="P475" s="132"/>
    </row>
    <row r="476" spans="3:16" x14ac:dyDescent="0.2">
      <c r="C476" s="132"/>
      <c r="D476" s="132"/>
      <c r="E476" s="132"/>
      <c r="G476" s="132"/>
      <c r="H476" s="132"/>
      <c r="I476" s="132"/>
      <c r="J476" s="132"/>
      <c r="K476" s="132"/>
      <c r="L476" s="132"/>
      <c r="M476" s="132"/>
      <c r="P476" s="132"/>
    </row>
    <row r="477" spans="3:16" x14ac:dyDescent="0.2">
      <c r="C477" s="132"/>
      <c r="D477" s="132"/>
      <c r="E477" s="132"/>
      <c r="G477" s="132"/>
      <c r="H477" s="132"/>
      <c r="I477" s="132"/>
      <c r="J477" s="132"/>
      <c r="K477" s="132"/>
      <c r="L477" s="132"/>
      <c r="M477" s="132"/>
      <c r="P477" s="132"/>
    </row>
    <row r="478" spans="3:16" x14ac:dyDescent="0.2">
      <c r="C478" s="132"/>
      <c r="D478" s="132"/>
      <c r="E478" s="132"/>
      <c r="G478" s="132"/>
      <c r="H478" s="132"/>
      <c r="I478" s="132"/>
      <c r="J478" s="132"/>
      <c r="K478" s="132"/>
      <c r="L478" s="132"/>
      <c r="M478" s="132"/>
      <c r="P478" s="132"/>
    </row>
    <row r="479" spans="3:16" x14ac:dyDescent="0.2">
      <c r="C479" s="132"/>
      <c r="D479" s="132"/>
      <c r="E479" s="132"/>
      <c r="G479" s="132"/>
      <c r="H479" s="132"/>
      <c r="I479" s="132"/>
      <c r="J479" s="132"/>
      <c r="K479" s="132"/>
      <c r="L479" s="132"/>
      <c r="M479" s="132"/>
      <c r="P479" s="132"/>
    </row>
    <row r="480" spans="3:16" x14ac:dyDescent="0.2">
      <c r="C480" s="132"/>
      <c r="D480" s="132"/>
      <c r="E480" s="132"/>
      <c r="G480" s="132"/>
      <c r="H480" s="132"/>
      <c r="I480" s="132"/>
      <c r="J480" s="132"/>
      <c r="K480" s="132"/>
      <c r="L480" s="132"/>
      <c r="M480" s="132"/>
      <c r="P480" s="132"/>
    </row>
    <row r="481" spans="3:16" x14ac:dyDescent="0.2">
      <c r="C481" s="132"/>
      <c r="D481" s="132"/>
      <c r="E481" s="132"/>
      <c r="G481" s="132"/>
      <c r="H481" s="132"/>
      <c r="I481" s="132"/>
      <c r="J481" s="132"/>
      <c r="K481" s="132"/>
      <c r="L481" s="132"/>
      <c r="M481" s="132"/>
      <c r="P481" s="132"/>
    </row>
    <row r="482" spans="3:16" x14ac:dyDescent="0.2">
      <c r="C482" s="132"/>
      <c r="D482" s="132"/>
      <c r="E482" s="132"/>
      <c r="G482" s="132"/>
      <c r="H482" s="132"/>
      <c r="I482" s="132"/>
      <c r="J482" s="132"/>
      <c r="K482" s="132"/>
      <c r="L482" s="132"/>
      <c r="M482" s="132"/>
      <c r="P482" s="132"/>
    </row>
    <row r="483" spans="3:16" x14ac:dyDescent="0.2">
      <c r="C483" s="132"/>
      <c r="D483" s="132"/>
      <c r="E483" s="132"/>
      <c r="G483" s="132"/>
      <c r="H483" s="132"/>
      <c r="I483" s="132"/>
      <c r="J483" s="132"/>
      <c r="K483" s="132"/>
      <c r="L483" s="132"/>
      <c r="M483" s="132"/>
      <c r="P483" s="132"/>
    </row>
    <row r="484" spans="3:16" x14ac:dyDescent="0.2">
      <c r="C484" s="132"/>
      <c r="D484" s="132"/>
      <c r="E484" s="132"/>
      <c r="G484" s="132"/>
      <c r="H484" s="132"/>
      <c r="I484" s="132"/>
      <c r="J484" s="132"/>
      <c r="K484" s="132"/>
      <c r="L484" s="132"/>
      <c r="M484" s="132"/>
      <c r="P484" s="132"/>
    </row>
    <row r="485" spans="3:16" x14ac:dyDescent="0.2">
      <c r="C485" s="132"/>
      <c r="D485" s="132"/>
      <c r="E485" s="132"/>
      <c r="G485" s="132"/>
      <c r="H485" s="132"/>
      <c r="I485" s="132"/>
      <c r="J485" s="132"/>
      <c r="K485" s="132"/>
      <c r="L485" s="132"/>
      <c r="M485" s="132"/>
      <c r="P485" s="132"/>
    </row>
    <row r="486" spans="3:16" x14ac:dyDescent="0.2">
      <c r="C486" s="132"/>
      <c r="D486" s="132"/>
      <c r="E486" s="132"/>
      <c r="G486" s="132"/>
      <c r="H486" s="132"/>
      <c r="I486" s="132"/>
      <c r="J486" s="132"/>
      <c r="K486" s="132"/>
      <c r="L486" s="132"/>
      <c r="M486" s="132"/>
      <c r="P486" s="132"/>
    </row>
    <row r="487" spans="3:16" x14ac:dyDescent="0.2">
      <c r="C487" s="132"/>
      <c r="D487" s="132"/>
      <c r="E487" s="132"/>
      <c r="G487" s="132"/>
      <c r="H487" s="132"/>
      <c r="I487" s="132"/>
      <c r="J487" s="132"/>
      <c r="K487" s="132"/>
      <c r="L487" s="132"/>
      <c r="M487" s="132"/>
      <c r="P487" s="132"/>
    </row>
    <row r="488" spans="3:16" x14ac:dyDescent="0.2">
      <c r="C488" s="132"/>
      <c r="D488" s="132"/>
      <c r="E488" s="132"/>
      <c r="G488" s="132"/>
      <c r="H488" s="132"/>
      <c r="I488" s="132"/>
      <c r="J488" s="132"/>
      <c r="K488" s="132"/>
      <c r="L488" s="132"/>
      <c r="M488" s="132"/>
      <c r="P488" s="132"/>
    </row>
    <row r="489" spans="3:16" x14ac:dyDescent="0.2">
      <c r="C489" s="132"/>
      <c r="D489" s="132"/>
      <c r="E489" s="132"/>
      <c r="G489" s="132"/>
      <c r="H489" s="132"/>
      <c r="I489" s="132"/>
      <c r="J489" s="132"/>
      <c r="K489" s="132"/>
      <c r="L489" s="132"/>
      <c r="M489" s="132"/>
      <c r="P489" s="132"/>
    </row>
    <row r="490" spans="3:16" x14ac:dyDescent="0.2">
      <c r="C490" s="132"/>
      <c r="D490" s="132"/>
      <c r="E490" s="132"/>
      <c r="G490" s="132"/>
      <c r="H490" s="132"/>
      <c r="I490" s="132"/>
      <c r="J490" s="132"/>
      <c r="K490" s="132"/>
      <c r="L490" s="132"/>
      <c r="M490" s="132"/>
      <c r="P490" s="132"/>
    </row>
    <row r="491" spans="3:16" x14ac:dyDescent="0.2">
      <c r="C491" s="132"/>
      <c r="D491" s="132"/>
      <c r="E491" s="132"/>
      <c r="G491" s="132"/>
      <c r="H491" s="132"/>
      <c r="I491" s="132"/>
      <c r="J491" s="132"/>
      <c r="K491" s="132"/>
      <c r="L491" s="132"/>
      <c r="M491" s="132"/>
      <c r="P491" s="132"/>
    </row>
    <row r="492" spans="3:16" x14ac:dyDescent="0.2">
      <c r="C492" s="132"/>
      <c r="D492" s="132"/>
      <c r="E492" s="132"/>
      <c r="G492" s="132"/>
      <c r="H492" s="132"/>
      <c r="I492" s="132"/>
      <c r="J492" s="132"/>
      <c r="K492" s="132"/>
      <c r="L492" s="132"/>
      <c r="M492" s="132"/>
      <c r="P492" s="132"/>
    </row>
    <row r="493" spans="3:16" x14ac:dyDescent="0.2">
      <c r="C493" s="132"/>
      <c r="D493" s="132"/>
      <c r="E493" s="132"/>
      <c r="G493" s="132"/>
      <c r="H493" s="132"/>
      <c r="I493" s="132"/>
      <c r="J493" s="132"/>
      <c r="K493" s="132"/>
      <c r="L493" s="132"/>
      <c r="M493" s="132"/>
      <c r="P493" s="132"/>
    </row>
    <row r="494" spans="3:16" x14ac:dyDescent="0.2">
      <c r="C494" s="132"/>
      <c r="D494" s="132"/>
      <c r="E494" s="132"/>
      <c r="G494" s="132"/>
      <c r="H494" s="132"/>
      <c r="I494" s="132"/>
      <c r="J494" s="132"/>
      <c r="K494" s="132"/>
      <c r="L494" s="132"/>
      <c r="M494" s="132"/>
      <c r="P494" s="132"/>
    </row>
    <row r="495" spans="3:16" x14ac:dyDescent="0.2">
      <c r="C495" s="132"/>
      <c r="D495" s="132"/>
      <c r="E495" s="132"/>
      <c r="G495" s="132"/>
      <c r="H495" s="132"/>
      <c r="I495" s="132"/>
      <c r="J495" s="132"/>
      <c r="K495" s="132"/>
      <c r="L495" s="132"/>
      <c r="M495" s="132"/>
      <c r="P495" s="132"/>
    </row>
    <row r="496" spans="3:16" x14ac:dyDescent="0.2">
      <c r="C496" s="132"/>
      <c r="D496" s="132"/>
      <c r="E496" s="132"/>
      <c r="G496" s="132"/>
      <c r="H496" s="132"/>
      <c r="I496" s="132"/>
      <c r="J496" s="132"/>
      <c r="K496" s="132"/>
      <c r="L496" s="132"/>
      <c r="M496" s="132"/>
      <c r="P496" s="132"/>
    </row>
    <row r="497" spans="3:16" x14ac:dyDescent="0.2">
      <c r="C497" s="132"/>
      <c r="D497" s="132"/>
      <c r="E497" s="132"/>
      <c r="G497" s="132"/>
      <c r="H497" s="132"/>
      <c r="I497" s="132"/>
      <c r="J497" s="132"/>
      <c r="K497" s="132"/>
      <c r="L497" s="132"/>
      <c r="M497" s="132"/>
      <c r="P497" s="132"/>
    </row>
    <row r="498" spans="3:16" x14ac:dyDescent="0.2">
      <c r="C498" s="132"/>
      <c r="D498" s="132"/>
      <c r="E498" s="132"/>
      <c r="G498" s="132"/>
      <c r="H498" s="132"/>
      <c r="I498" s="132"/>
      <c r="J498" s="132"/>
      <c r="K498" s="132"/>
      <c r="L498" s="132"/>
      <c r="M498" s="132"/>
      <c r="P498" s="132"/>
    </row>
    <row r="499" spans="3:16" x14ac:dyDescent="0.2">
      <c r="C499" s="132"/>
      <c r="D499" s="132"/>
      <c r="E499" s="132"/>
      <c r="G499" s="132"/>
      <c r="H499" s="132"/>
      <c r="I499" s="132"/>
      <c r="J499" s="132"/>
      <c r="K499" s="132"/>
      <c r="L499" s="132"/>
      <c r="M499" s="132"/>
      <c r="P499" s="132"/>
    </row>
    <row r="500" spans="3:16" x14ac:dyDescent="0.2">
      <c r="C500" s="132"/>
      <c r="D500" s="132"/>
      <c r="E500" s="132"/>
      <c r="G500" s="132"/>
      <c r="H500" s="132"/>
      <c r="I500" s="132"/>
      <c r="J500" s="132"/>
      <c r="K500" s="132"/>
      <c r="L500" s="132"/>
      <c r="M500" s="132"/>
      <c r="P500" s="132"/>
    </row>
    <row r="501" spans="3:16" x14ac:dyDescent="0.2">
      <c r="C501" s="132"/>
      <c r="D501" s="132"/>
      <c r="E501" s="132"/>
      <c r="G501" s="132"/>
      <c r="H501" s="132"/>
      <c r="I501" s="132"/>
      <c r="J501" s="132"/>
      <c r="K501" s="132"/>
      <c r="L501" s="132"/>
      <c r="M501" s="132"/>
      <c r="P501" s="132"/>
    </row>
    <row r="502" spans="3:16" x14ac:dyDescent="0.2">
      <c r="C502" s="132"/>
      <c r="D502" s="132"/>
      <c r="E502" s="132"/>
      <c r="G502" s="132"/>
      <c r="H502" s="132"/>
      <c r="I502" s="132"/>
      <c r="J502" s="132"/>
      <c r="K502" s="132"/>
      <c r="L502" s="132"/>
      <c r="M502" s="132"/>
      <c r="P502" s="132"/>
    </row>
    <row r="503" spans="3:16" x14ac:dyDescent="0.2">
      <c r="C503" s="132"/>
      <c r="D503" s="132"/>
      <c r="E503" s="132"/>
      <c r="G503" s="132"/>
      <c r="H503" s="132"/>
      <c r="I503" s="132"/>
      <c r="J503" s="132"/>
      <c r="K503" s="132"/>
      <c r="L503" s="132"/>
      <c r="M503" s="132"/>
      <c r="P503" s="132"/>
    </row>
    <row r="504" spans="3:16" x14ac:dyDescent="0.2">
      <c r="C504" s="132"/>
      <c r="D504" s="132"/>
      <c r="E504" s="132"/>
      <c r="G504" s="132"/>
      <c r="H504" s="132"/>
      <c r="I504" s="132"/>
      <c r="J504" s="132"/>
      <c r="K504" s="132"/>
      <c r="L504" s="132"/>
      <c r="M504" s="132"/>
      <c r="P504" s="132"/>
    </row>
    <row r="505" spans="3:16" x14ac:dyDescent="0.2">
      <c r="C505" s="132"/>
      <c r="D505" s="132"/>
      <c r="E505" s="132"/>
      <c r="G505" s="132"/>
      <c r="H505" s="132"/>
      <c r="I505" s="132"/>
      <c r="J505" s="132"/>
      <c r="K505" s="132"/>
      <c r="L505" s="132"/>
      <c r="M505" s="132"/>
      <c r="P505" s="132"/>
    </row>
    <row r="506" spans="3:16" x14ac:dyDescent="0.2">
      <c r="C506" s="132"/>
      <c r="D506" s="132"/>
      <c r="E506" s="132"/>
      <c r="G506" s="132"/>
      <c r="H506" s="132"/>
      <c r="I506" s="132"/>
      <c r="J506" s="132"/>
      <c r="K506" s="132"/>
      <c r="L506" s="132"/>
      <c r="M506" s="132"/>
      <c r="P506" s="132"/>
    </row>
    <row r="507" spans="3:16" x14ac:dyDescent="0.2">
      <c r="C507" s="132"/>
      <c r="D507" s="132"/>
      <c r="E507" s="132"/>
      <c r="G507" s="132"/>
      <c r="H507" s="132"/>
      <c r="I507" s="132"/>
      <c r="J507" s="132"/>
      <c r="K507" s="132"/>
      <c r="L507" s="132"/>
      <c r="M507" s="132"/>
      <c r="P507" s="132"/>
    </row>
    <row r="508" spans="3:16" x14ac:dyDescent="0.2">
      <c r="C508" s="132"/>
      <c r="D508" s="132"/>
      <c r="E508" s="132"/>
      <c r="G508" s="132"/>
      <c r="H508" s="132"/>
      <c r="I508" s="132"/>
      <c r="J508" s="132"/>
      <c r="K508" s="132"/>
      <c r="L508" s="132"/>
      <c r="M508" s="132"/>
      <c r="P508" s="132"/>
    </row>
    <row r="509" spans="3:16" x14ac:dyDescent="0.2">
      <c r="C509" s="132"/>
      <c r="D509" s="132"/>
      <c r="E509" s="132"/>
      <c r="G509" s="132"/>
      <c r="H509" s="132"/>
      <c r="I509" s="132"/>
      <c r="J509" s="132"/>
      <c r="K509" s="132"/>
      <c r="L509" s="132"/>
      <c r="M509" s="132"/>
      <c r="P509" s="132"/>
    </row>
    <row r="510" spans="3:16" x14ac:dyDescent="0.2">
      <c r="C510" s="132"/>
      <c r="D510" s="132"/>
      <c r="E510" s="132"/>
      <c r="G510" s="132"/>
      <c r="H510" s="132"/>
      <c r="I510" s="132"/>
      <c r="J510" s="132"/>
      <c r="K510" s="132"/>
      <c r="L510" s="132"/>
      <c r="M510" s="132"/>
      <c r="P510" s="132"/>
    </row>
    <row r="511" spans="3:16" x14ac:dyDescent="0.2">
      <c r="C511" s="132"/>
      <c r="D511" s="132"/>
      <c r="E511" s="132"/>
      <c r="G511" s="132"/>
      <c r="H511" s="132"/>
      <c r="I511" s="132"/>
      <c r="J511" s="132"/>
      <c r="K511" s="132"/>
      <c r="L511" s="132"/>
      <c r="M511" s="132"/>
      <c r="P511" s="132"/>
    </row>
    <row r="512" spans="3:16" x14ac:dyDescent="0.2">
      <c r="C512" s="132"/>
      <c r="D512" s="132"/>
      <c r="E512" s="132"/>
      <c r="G512" s="132"/>
      <c r="H512" s="132"/>
      <c r="I512" s="132"/>
      <c r="J512" s="132"/>
      <c r="K512" s="132"/>
      <c r="L512" s="132"/>
      <c r="M512" s="132"/>
      <c r="P512" s="132"/>
    </row>
    <row r="513" spans="3:16" x14ac:dyDescent="0.2">
      <c r="C513" s="132"/>
      <c r="D513" s="132"/>
      <c r="E513" s="132"/>
      <c r="G513" s="132"/>
      <c r="H513" s="132"/>
      <c r="I513" s="132"/>
      <c r="J513" s="132"/>
      <c r="K513" s="132"/>
      <c r="L513" s="132"/>
      <c r="M513" s="132"/>
      <c r="P513" s="132"/>
    </row>
    <row r="514" spans="3:16" x14ac:dyDescent="0.2">
      <c r="C514" s="132"/>
      <c r="D514" s="132"/>
      <c r="E514" s="132"/>
      <c r="G514" s="132"/>
      <c r="H514" s="132"/>
      <c r="I514" s="132"/>
      <c r="J514" s="132"/>
      <c r="K514" s="132"/>
      <c r="L514" s="132"/>
      <c r="M514" s="132"/>
      <c r="P514" s="132"/>
    </row>
    <row r="515" spans="3:16" x14ac:dyDescent="0.2">
      <c r="C515" s="132"/>
      <c r="D515" s="132"/>
      <c r="E515" s="132"/>
      <c r="G515" s="132"/>
      <c r="H515" s="132"/>
      <c r="I515" s="132"/>
      <c r="J515" s="132"/>
      <c r="K515" s="132"/>
      <c r="L515" s="132"/>
      <c r="M515" s="132"/>
      <c r="P515" s="132"/>
    </row>
    <row r="516" spans="3:16" x14ac:dyDescent="0.2">
      <c r="C516" s="132"/>
      <c r="D516" s="132"/>
      <c r="E516" s="132"/>
      <c r="G516" s="132"/>
      <c r="H516" s="132"/>
      <c r="I516" s="132"/>
      <c r="J516" s="132"/>
      <c r="K516" s="132"/>
      <c r="L516" s="132"/>
      <c r="M516" s="132"/>
      <c r="P516" s="132"/>
    </row>
    <row r="517" spans="3:16" x14ac:dyDescent="0.2">
      <c r="C517" s="132"/>
      <c r="D517" s="132"/>
      <c r="E517" s="132"/>
      <c r="G517" s="132"/>
      <c r="H517" s="132"/>
      <c r="I517" s="132"/>
      <c r="J517" s="132"/>
      <c r="K517" s="132"/>
      <c r="L517" s="132"/>
      <c r="M517" s="132"/>
      <c r="P517" s="132"/>
    </row>
    <row r="518" spans="3:16" x14ac:dyDescent="0.2">
      <c r="C518" s="132"/>
      <c r="D518" s="132"/>
      <c r="E518" s="132"/>
      <c r="G518" s="132"/>
      <c r="H518" s="132"/>
      <c r="I518" s="132"/>
      <c r="J518" s="132"/>
      <c r="K518" s="132"/>
      <c r="L518" s="132"/>
      <c r="M518" s="132"/>
      <c r="P518" s="132"/>
    </row>
    <row r="519" spans="3:16" x14ac:dyDescent="0.2">
      <c r="C519" s="132"/>
      <c r="D519" s="132"/>
      <c r="E519" s="132"/>
      <c r="G519" s="132"/>
      <c r="H519" s="132"/>
      <c r="I519" s="132"/>
      <c r="J519" s="132"/>
      <c r="K519" s="132"/>
      <c r="L519" s="132"/>
      <c r="M519" s="132"/>
      <c r="P519" s="132"/>
    </row>
    <row r="520" spans="3:16" x14ac:dyDescent="0.2">
      <c r="C520" s="132"/>
      <c r="D520" s="132"/>
      <c r="E520" s="132"/>
      <c r="G520" s="132"/>
      <c r="H520" s="132"/>
      <c r="I520" s="132"/>
      <c r="J520" s="132"/>
      <c r="K520" s="132"/>
      <c r="L520" s="132"/>
      <c r="M520" s="132"/>
      <c r="P520" s="132"/>
    </row>
    <row r="521" spans="3:16" x14ac:dyDescent="0.2">
      <c r="C521" s="132"/>
      <c r="D521" s="132"/>
      <c r="E521" s="132"/>
      <c r="G521" s="132"/>
      <c r="H521" s="132"/>
      <c r="I521" s="132"/>
      <c r="J521" s="132"/>
      <c r="K521" s="132"/>
      <c r="L521" s="132"/>
      <c r="M521" s="132"/>
      <c r="P521" s="132"/>
    </row>
    <row r="522" spans="3:16" x14ac:dyDescent="0.2">
      <c r="C522" s="132"/>
      <c r="D522" s="132"/>
      <c r="E522" s="132"/>
      <c r="G522" s="132"/>
      <c r="H522" s="132"/>
      <c r="I522" s="132"/>
      <c r="J522" s="132"/>
      <c r="K522" s="132"/>
      <c r="L522" s="132"/>
      <c r="M522" s="132"/>
      <c r="P522" s="132"/>
    </row>
    <row r="523" spans="3:16" x14ac:dyDescent="0.2">
      <c r="C523" s="132"/>
      <c r="D523" s="132"/>
      <c r="E523" s="132"/>
      <c r="G523" s="132"/>
      <c r="H523" s="132"/>
      <c r="I523" s="132"/>
      <c r="J523" s="132"/>
      <c r="K523" s="132"/>
      <c r="L523" s="132"/>
      <c r="M523" s="132"/>
      <c r="P523" s="132"/>
    </row>
    <row r="524" spans="3:16" x14ac:dyDescent="0.2">
      <c r="C524" s="132"/>
      <c r="D524" s="132"/>
      <c r="E524" s="132"/>
      <c r="G524" s="132"/>
      <c r="H524" s="132"/>
      <c r="I524" s="132"/>
      <c r="J524" s="132"/>
      <c r="K524" s="132"/>
      <c r="L524" s="132"/>
      <c r="M524" s="132"/>
      <c r="P524" s="132"/>
    </row>
    <row r="525" spans="3:16" x14ac:dyDescent="0.2">
      <c r="C525" s="132"/>
      <c r="D525" s="132"/>
      <c r="E525" s="132"/>
      <c r="G525" s="132"/>
      <c r="H525" s="132"/>
      <c r="I525" s="132"/>
      <c r="J525" s="132"/>
      <c r="K525" s="132"/>
      <c r="L525" s="132"/>
      <c r="M525" s="132"/>
      <c r="P525" s="132"/>
    </row>
    <row r="526" spans="3:16" x14ac:dyDescent="0.2">
      <c r="C526" s="132"/>
      <c r="D526" s="132"/>
      <c r="E526" s="132"/>
      <c r="G526" s="132"/>
      <c r="H526" s="132"/>
      <c r="I526" s="132"/>
      <c r="J526" s="132"/>
      <c r="K526" s="132"/>
      <c r="L526" s="132"/>
      <c r="M526" s="132"/>
      <c r="P526" s="132"/>
    </row>
    <row r="527" spans="3:16" x14ac:dyDescent="0.2">
      <c r="C527" s="132"/>
      <c r="D527" s="132"/>
      <c r="E527" s="132"/>
      <c r="G527" s="132"/>
      <c r="H527" s="132"/>
      <c r="I527" s="132"/>
      <c r="J527" s="132"/>
      <c r="K527" s="132"/>
      <c r="L527" s="132"/>
      <c r="M527" s="132"/>
      <c r="P527" s="132"/>
    </row>
    <row r="528" spans="3:16" x14ac:dyDescent="0.2">
      <c r="C528" s="132"/>
      <c r="D528" s="132"/>
      <c r="E528" s="132"/>
      <c r="G528" s="132"/>
      <c r="H528" s="132"/>
      <c r="I528" s="132"/>
      <c r="J528" s="132"/>
      <c r="K528" s="132"/>
      <c r="L528" s="132"/>
      <c r="M528" s="132"/>
      <c r="P528" s="132"/>
    </row>
    <row r="529" spans="3:16" x14ac:dyDescent="0.2">
      <c r="C529" s="132"/>
      <c r="D529" s="132"/>
      <c r="E529" s="132"/>
      <c r="G529" s="132"/>
      <c r="H529" s="132"/>
      <c r="I529" s="132"/>
      <c r="J529" s="132"/>
      <c r="K529" s="132"/>
      <c r="L529" s="132"/>
      <c r="M529" s="132"/>
      <c r="P529" s="132"/>
    </row>
    <row r="530" spans="3:16" x14ac:dyDescent="0.2">
      <c r="C530" s="132"/>
      <c r="D530" s="132"/>
      <c r="E530" s="132"/>
      <c r="G530" s="132"/>
      <c r="H530" s="132"/>
      <c r="I530" s="132"/>
      <c r="J530" s="132"/>
      <c r="K530" s="132"/>
      <c r="L530" s="132"/>
      <c r="M530" s="132"/>
      <c r="P530" s="132"/>
    </row>
    <row r="531" spans="3:16" x14ac:dyDescent="0.2">
      <c r="C531" s="132"/>
      <c r="D531" s="132"/>
      <c r="E531" s="132"/>
      <c r="G531" s="132"/>
      <c r="H531" s="132"/>
      <c r="I531" s="132"/>
      <c r="J531" s="132"/>
      <c r="K531" s="132"/>
      <c r="L531" s="132"/>
      <c r="M531" s="132"/>
      <c r="P531" s="132"/>
    </row>
    <row r="532" spans="3:16" x14ac:dyDescent="0.2">
      <c r="C532" s="132"/>
      <c r="D532" s="132"/>
      <c r="E532" s="132"/>
      <c r="G532" s="132"/>
      <c r="H532" s="132"/>
      <c r="I532" s="132"/>
      <c r="J532" s="132"/>
      <c r="K532" s="132"/>
      <c r="L532" s="132"/>
      <c r="M532" s="132"/>
      <c r="P532" s="132"/>
    </row>
    <row r="533" spans="3:16" x14ac:dyDescent="0.2">
      <c r="C533" s="132"/>
      <c r="D533" s="132"/>
      <c r="E533" s="132"/>
      <c r="G533" s="132"/>
      <c r="H533" s="132"/>
      <c r="I533" s="132"/>
      <c r="J533" s="132"/>
      <c r="K533" s="132"/>
      <c r="L533" s="132"/>
      <c r="M533" s="132"/>
      <c r="P533" s="132"/>
    </row>
    <row r="534" spans="3:16" x14ac:dyDescent="0.2">
      <c r="C534" s="132"/>
      <c r="D534" s="132"/>
      <c r="E534" s="132"/>
      <c r="G534" s="132"/>
      <c r="H534" s="132"/>
      <c r="I534" s="132"/>
      <c r="J534" s="132"/>
      <c r="K534" s="132"/>
      <c r="L534" s="132"/>
      <c r="M534" s="132"/>
      <c r="P534" s="132"/>
    </row>
    <row r="535" spans="3:16" x14ac:dyDescent="0.2">
      <c r="C535" s="132"/>
      <c r="D535" s="132"/>
      <c r="E535" s="132"/>
      <c r="G535" s="132"/>
      <c r="H535" s="132"/>
      <c r="I535" s="132"/>
      <c r="J535" s="132"/>
      <c r="K535" s="132"/>
      <c r="L535" s="132"/>
      <c r="M535" s="132"/>
      <c r="P535" s="132"/>
    </row>
    <row r="536" spans="3:16" x14ac:dyDescent="0.2">
      <c r="C536" s="132"/>
      <c r="D536" s="132"/>
      <c r="E536" s="132"/>
      <c r="G536" s="132"/>
      <c r="H536" s="132"/>
      <c r="I536" s="132"/>
      <c r="J536" s="132"/>
      <c r="K536" s="132"/>
      <c r="L536" s="132"/>
      <c r="M536" s="132"/>
      <c r="P536" s="132"/>
    </row>
    <row r="537" spans="3:16" x14ac:dyDescent="0.2">
      <c r="C537" s="132"/>
      <c r="D537" s="132"/>
      <c r="E537" s="132"/>
      <c r="G537" s="132"/>
      <c r="H537" s="132"/>
      <c r="I537" s="132"/>
      <c r="J537" s="132"/>
      <c r="K537" s="132"/>
      <c r="L537" s="132"/>
      <c r="M537" s="132"/>
      <c r="P537" s="132"/>
    </row>
    <row r="538" spans="3:16" x14ac:dyDescent="0.2">
      <c r="C538" s="132"/>
      <c r="D538" s="132"/>
      <c r="E538" s="132"/>
      <c r="G538" s="132"/>
      <c r="H538" s="132"/>
      <c r="I538" s="132"/>
      <c r="J538" s="132"/>
      <c r="K538" s="132"/>
      <c r="L538" s="132"/>
      <c r="M538" s="132"/>
      <c r="P538" s="132"/>
    </row>
    <row r="539" spans="3:16" x14ac:dyDescent="0.2">
      <c r="C539" s="132"/>
      <c r="D539" s="132"/>
      <c r="E539" s="132"/>
      <c r="G539" s="132"/>
      <c r="H539" s="132"/>
      <c r="I539" s="132"/>
      <c r="J539" s="132"/>
      <c r="K539" s="132"/>
      <c r="L539" s="132"/>
      <c r="M539" s="132"/>
      <c r="P539" s="132"/>
    </row>
    <row r="540" spans="3:16" x14ac:dyDescent="0.2">
      <c r="C540" s="132"/>
      <c r="D540" s="132"/>
      <c r="E540" s="132"/>
      <c r="G540" s="132"/>
      <c r="H540" s="132"/>
      <c r="I540" s="132"/>
      <c r="J540" s="132"/>
      <c r="K540" s="132"/>
      <c r="L540" s="132"/>
      <c r="M540" s="132"/>
      <c r="P540" s="132"/>
    </row>
    <row r="541" spans="3:16" x14ac:dyDescent="0.2">
      <c r="C541" s="132"/>
      <c r="D541" s="132"/>
      <c r="E541" s="132"/>
      <c r="G541" s="132"/>
      <c r="H541" s="132"/>
      <c r="I541" s="132"/>
      <c r="J541" s="132"/>
      <c r="K541" s="132"/>
      <c r="L541" s="132"/>
      <c r="M541" s="132"/>
      <c r="P541" s="132"/>
    </row>
    <row r="542" spans="3:16" x14ac:dyDescent="0.2">
      <c r="C542" s="132"/>
      <c r="D542" s="132"/>
      <c r="E542" s="132"/>
      <c r="G542" s="132"/>
      <c r="H542" s="132"/>
      <c r="I542" s="132"/>
      <c r="J542" s="132"/>
      <c r="K542" s="132"/>
      <c r="L542" s="132"/>
      <c r="M542" s="132"/>
      <c r="P542" s="132"/>
    </row>
    <row r="543" spans="3:16" x14ac:dyDescent="0.2">
      <c r="C543" s="132"/>
      <c r="D543" s="132"/>
      <c r="E543" s="132"/>
      <c r="G543" s="132"/>
      <c r="H543" s="132"/>
      <c r="I543" s="132"/>
      <c r="J543" s="132"/>
      <c r="K543" s="132"/>
      <c r="L543" s="132"/>
      <c r="M543" s="132"/>
      <c r="P543" s="132"/>
    </row>
    <row r="544" spans="3:16" x14ac:dyDescent="0.2">
      <c r="C544" s="132"/>
      <c r="D544" s="132"/>
      <c r="E544" s="132"/>
      <c r="G544" s="132"/>
      <c r="H544" s="132"/>
      <c r="I544" s="132"/>
      <c r="J544" s="132"/>
      <c r="K544" s="132"/>
      <c r="L544" s="132"/>
      <c r="M544" s="132"/>
      <c r="P544" s="132"/>
    </row>
    <row r="545" spans="3:16" x14ac:dyDescent="0.2">
      <c r="C545" s="132"/>
      <c r="D545" s="132"/>
      <c r="E545" s="132"/>
      <c r="G545" s="132"/>
      <c r="H545" s="132"/>
      <c r="I545" s="132"/>
      <c r="J545" s="132"/>
      <c r="K545" s="132"/>
      <c r="L545" s="132"/>
      <c r="M545" s="132"/>
      <c r="P545" s="132"/>
    </row>
    <row r="546" spans="3:16" x14ac:dyDescent="0.2">
      <c r="C546" s="132"/>
      <c r="D546" s="132"/>
      <c r="E546" s="132"/>
      <c r="G546" s="132"/>
      <c r="H546" s="132"/>
      <c r="I546" s="132"/>
      <c r="J546" s="132"/>
      <c r="K546" s="132"/>
      <c r="L546" s="132"/>
      <c r="M546" s="132"/>
      <c r="P546" s="132"/>
    </row>
    <row r="547" spans="3:16" x14ac:dyDescent="0.2">
      <c r="C547" s="132"/>
      <c r="D547" s="132"/>
      <c r="E547" s="132"/>
      <c r="G547" s="132"/>
      <c r="H547" s="132"/>
      <c r="I547" s="132"/>
      <c r="J547" s="132"/>
      <c r="K547" s="132"/>
      <c r="L547" s="132"/>
      <c r="M547" s="132"/>
      <c r="P547" s="132"/>
    </row>
    <row r="548" spans="3:16" x14ac:dyDescent="0.2">
      <c r="C548" s="132"/>
      <c r="D548" s="132"/>
      <c r="E548" s="132"/>
      <c r="G548" s="132"/>
      <c r="H548" s="132"/>
      <c r="I548" s="132"/>
      <c r="J548" s="132"/>
      <c r="K548" s="132"/>
      <c r="L548" s="132"/>
      <c r="M548" s="132"/>
      <c r="P548" s="132"/>
    </row>
    <row r="549" spans="3:16" x14ac:dyDescent="0.2">
      <c r="C549" s="132"/>
      <c r="D549" s="132"/>
      <c r="E549" s="132"/>
      <c r="G549" s="132"/>
      <c r="H549" s="132"/>
      <c r="I549" s="132"/>
      <c r="J549" s="132"/>
      <c r="K549" s="132"/>
      <c r="L549" s="132"/>
      <c r="M549" s="132"/>
      <c r="P549" s="132"/>
    </row>
    <row r="550" spans="3:16" x14ac:dyDescent="0.2">
      <c r="C550" s="132"/>
      <c r="D550" s="132"/>
      <c r="E550" s="132"/>
      <c r="G550" s="132"/>
      <c r="H550" s="132"/>
      <c r="I550" s="132"/>
      <c r="J550" s="132"/>
      <c r="K550" s="132"/>
      <c r="L550" s="132"/>
      <c r="M550" s="132"/>
      <c r="P550" s="132"/>
    </row>
    <row r="551" spans="3:16" x14ac:dyDescent="0.2">
      <c r="C551" s="132"/>
      <c r="D551" s="132"/>
      <c r="E551" s="132"/>
      <c r="G551" s="132"/>
      <c r="H551" s="132"/>
      <c r="I551" s="132"/>
      <c r="J551" s="132"/>
      <c r="K551" s="132"/>
      <c r="L551" s="132"/>
      <c r="M551" s="132"/>
      <c r="P551" s="132"/>
    </row>
    <row r="552" spans="3:16" x14ac:dyDescent="0.2">
      <c r="C552" s="132"/>
      <c r="D552" s="132"/>
      <c r="E552" s="132"/>
      <c r="G552" s="132"/>
      <c r="H552" s="132"/>
      <c r="I552" s="132"/>
      <c r="J552" s="132"/>
      <c r="K552" s="132"/>
      <c r="L552" s="132"/>
      <c r="M552" s="132"/>
      <c r="P552" s="132"/>
    </row>
    <row r="553" spans="3:16" x14ac:dyDescent="0.2">
      <c r="C553" s="132"/>
      <c r="D553" s="132"/>
      <c r="E553" s="132"/>
      <c r="G553" s="132"/>
      <c r="H553" s="132"/>
      <c r="I553" s="132"/>
      <c r="J553" s="132"/>
      <c r="K553" s="132"/>
      <c r="L553" s="132"/>
      <c r="M553" s="132"/>
      <c r="P553" s="132"/>
    </row>
    <row r="554" spans="3:16" x14ac:dyDescent="0.2">
      <c r="C554" s="132"/>
      <c r="D554" s="132"/>
      <c r="E554" s="132"/>
      <c r="G554" s="132"/>
      <c r="H554" s="132"/>
      <c r="I554" s="132"/>
      <c r="J554" s="132"/>
      <c r="K554" s="132"/>
      <c r="L554" s="132"/>
      <c r="M554" s="132"/>
      <c r="P554" s="132"/>
    </row>
    <row r="555" spans="3:16" x14ac:dyDescent="0.2">
      <c r="C555" s="132"/>
      <c r="D555" s="132"/>
      <c r="E555" s="132"/>
      <c r="G555" s="132"/>
      <c r="H555" s="132"/>
      <c r="I555" s="132"/>
      <c r="J555" s="132"/>
      <c r="K555" s="132"/>
      <c r="L555" s="132"/>
      <c r="M555" s="132"/>
      <c r="P555" s="132"/>
    </row>
    <row r="556" spans="3:16" x14ac:dyDescent="0.2">
      <c r="C556" s="132"/>
      <c r="D556" s="132"/>
      <c r="E556" s="132"/>
      <c r="G556" s="132"/>
      <c r="H556" s="132"/>
      <c r="I556" s="132"/>
      <c r="J556" s="132"/>
      <c r="K556" s="132"/>
      <c r="L556" s="132"/>
      <c r="M556" s="132"/>
      <c r="P556" s="132"/>
    </row>
    <row r="557" spans="3:16" x14ac:dyDescent="0.2">
      <c r="C557" s="132"/>
      <c r="D557" s="132"/>
      <c r="E557" s="132"/>
      <c r="G557" s="132"/>
      <c r="H557" s="132"/>
      <c r="I557" s="132"/>
      <c r="J557" s="132"/>
      <c r="K557" s="132"/>
      <c r="L557" s="132"/>
      <c r="M557" s="132"/>
      <c r="P557" s="132"/>
    </row>
    <row r="558" spans="3:16" x14ac:dyDescent="0.2">
      <c r="C558" s="132"/>
      <c r="D558" s="132"/>
      <c r="E558" s="132"/>
      <c r="G558" s="132"/>
      <c r="H558" s="132"/>
      <c r="I558" s="132"/>
      <c r="J558" s="132"/>
      <c r="K558" s="132"/>
      <c r="L558" s="132"/>
      <c r="M558" s="132"/>
      <c r="P558" s="132"/>
    </row>
    <row r="559" spans="3:16" x14ac:dyDescent="0.2">
      <c r="C559" s="132"/>
      <c r="D559" s="132"/>
      <c r="E559" s="132"/>
      <c r="G559" s="132"/>
      <c r="H559" s="132"/>
      <c r="I559" s="132"/>
      <c r="J559" s="132"/>
      <c r="K559" s="132"/>
      <c r="L559" s="132"/>
      <c r="M559" s="132"/>
      <c r="P559" s="132"/>
    </row>
    <row r="560" spans="3:16" x14ac:dyDescent="0.2">
      <c r="C560" s="132"/>
      <c r="D560" s="132"/>
      <c r="E560" s="132"/>
      <c r="G560" s="132"/>
      <c r="H560" s="132"/>
      <c r="I560" s="132"/>
      <c r="J560" s="132"/>
      <c r="K560" s="132"/>
      <c r="L560" s="132"/>
      <c r="M560" s="132"/>
      <c r="P560" s="132"/>
    </row>
    <row r="561" spans="3:16" x14ac:dyDescent="0.2">
      <c r="C561" s="132"/>
      <c r="D561" s="132"/>
      <c r="E561" s="132"/>
      <c r="G561" s="132"/>
      <c r="H561" s="132"/>
      <c r="I561" s="132"/>
      <c r="J561" s="132"/>
      <c r="K561" s="132"/>
      <c r="L561" s="132"/>
      <c r="M561" s="132"/>
      <c r="P561" s="132"/>
    </row>
    <row r="562" spans="3:16" x14ac:dyDescent="0.2">
      <c r="C562" s="132"/>
      <c r="D562" s="132"/>
      <c r="E562" s="132"/>
      <c r="G562" s="132"/>
      <c r="H562" s="132"/>
      <c r="I562" s="132"/>
      <c r="J562" s="132"/>
      <c r="K562" s="132"/>
      <c r="L562" s="132"/>
      <c r="M562" s="132"/>
      <c r="P562" s="132"/>
    </row>
    <row r="563" spans="3:16" x14ac:dyDescent="0.2">
      <c r="C563" s="132"/>
      <c r="D563" s="132"/>
      <c r="E563" s="132"/>
      <c r="G563" s="132"/>
      <c r="H563" s="132"/>
      <c r="I563" s="132"/>
      <c r="J563" s="132"/>
      <c r="K563" s="132"/>
      <c r="L563" s="132"/>
      <c r="M563" s="132"/>
      <c r="P563" s="132"/>
    </row>
    <row r="564" spans="3:16" x14ac:dyDescent="0.2">
      <c r="C564" s="132"/>
      <c r="D564" s="132"/>
      <c r="E564" s="132"/>
      <c r="G564" s="132"/>
      <c r="H564" s="132"/>
      <c r="I564" s="132"/>
      <c r="J564" s="132"/>
      <c r="K564" s="132"/>
      <c r="L564" s="132"/>
      <c r="M564" s="132"/>
      <c r="P564" s="132"/>
    </row>
    <row r="565" spans="3:16" x14ac:dyDescent="0.2">
      <c r="C565" s="132"/>
      <c r="D565" s="132"/>
      <c r="E565" s="132"/>
      <c r="G565" s="132"/>
      <c r="H565" s="132"/>
      <c r="I565" s="132"/>
      <c r="J565" s="132"/>
      <c r="K565" s="132"/>
      <c r="L565" s="132"/>
      <c r="M565" s="132"/>
      <c r="P565" s="132"/>
    </row>
    <row r="566" spans="3:16" x14ac:dyDescent="0.2">
      <c r="C566" s="132"/>
      <c r="D566" s="132"/>
      <c r="E566" s="132"/>
      <c r="G566" s="132"/>
      <c r="H566" s="132"/>
      <c r="I566" s="132"/>
      <c r="J566" s="132"/>
      <c r="K566" s="132"/>
      <c r="L566" s="132"/>
      <c r="M566" s="132"/>
      <c r="P566" s="132"/>
    </row>
    <row r="567" spans="3:16" x14ac:dyDescent="0.2">
      <c r="C567" s="132"/>
      <c r="D567" s="132"/>
      <c r="E567" s="132"/>
      <c r="G567" s="132"/>
      <c r="H567" s="132"/>
      <c r="I567" s="132"/>
      <c r="J567" s="132"/>
      <c r="K567" s="132"/>
      <c r="L567" s="132"/>
      <c r="M567" s="132"/>
      <c r="P567" s="132"/>
    </row>
    <row r="568" spans="3:16" x14ac:dyDescent="0.2">
      <c r="C568" s="132"/>
      <c r="D568" s="132"/>
      <c r="E568" s="132"/>
      <c r="G568" s="132"/>
      <c r="H568" s="132"/>
      <c r="I568" s="132"/>
      <c r="J568" s="132"/>
      <c r="K568" s="132"/>
      <c r="L568" s="132"/>
      <c r="M568" s="132"/>
      <c r="P568" s="132"/>
    </row>
    <row r="569" spans="3:16" x14ac:dyDescent="0.2">
      <c r="C569" s="132"/>
      <c r="D569" s="132"/>
      <c r="E569" s="132"/>
      <c r="G569" s="132"/>
      <c r="H569" s="132"/>
      <c r="I569" s="132"/>
      <c r="J569" s="132"/>
      <c r="K569" s="132"/>
      <c r="L569" s="132"/>
      <c r="M569" s="132"/>
      <c r="P569" s="132"/>
    </row>
    <row r="570" spans="3:16" x14ac:dyDescent="0.2">
      <c r="C570" s="132"/>
      <c r="D570" s="132"/>
      <c r="E570" s="132"/>
      <c r="G570" s="132"/>
      <c r="H570" s="132"/>
      <c r="I570" s="132"/>
      <c r="J570" s="132"/>
      <c r="K570" s="132"/>
      <c r="L570" s="132"/>
      <c r="M570" s="132"/>
      <c r="P570" s="132"/>
    </row>
    <row r="571" spans="3:16" x14ac:dyDescent="0.2">
      <c r="C571" s="132"/>
      <c r="D571" s="132"/>
      <c r="E571" s="132"/>
      <c r="G571" s="132"/>
      <c r="H571" s="132"/>
      <c r="I571" s="132"/>
      <c r="J571" s="132"/>
      <c r="K571" s="132"/>
      <c r="L571" s="132"/>
      <c r="M571" s="132"/>
      <c r="P571" s="132"/>
    </row>
    <row r="572" spans="3:16" x14ac:dyDescent="0.2">
      <c r="C572" s="132"/>
      <c r="D572" s="132"/>
      <c r="E572" s="132"/>
      <c r="G572" s="132"/>
      <c r="H572" s="132"/>
      <c r="I572" s="132"/>
      <c r="J572" s="132"/>
      <c r="K572" s="132"/>
      <c r="L572" s="132"/>
      <c r="M572" s="132"/>
      <c r="P572" s="132"/>
    </row>
    <row r="573" spans="3:16" x14ac:dyDescent="0.2">
      <c r="C573" s="132"/>
      <c r="D573" s="132"/>
      <c r="E573" s="132"/>
      <c r="G573" s="132"/>
      <c r="H573" s="132"/>
      <c r="I573" s="132"/>
      <c r="J573" s="132"/>
      <c r="K573" s="132"/>
      <c r="L573" s="132"/>
      <c r="M573" s="132"/>
      <c r="P573" s="132"/>
    </row>
    <row r="574" spans="3:16" x14ac:dyDescent="0.2">
      <c r="C574" s="132"/>
      <c r="D574" s="132"/>
      <c r="E574" s="132"/>
      <c r="G574" s="132"/>
      <c r="H574" s="132"/>
      <c r="I574" s="132"/>
      <c r="J574" s="132"/>
      <c r="K574" s="132"/>
      <c r="L574" s="132"/>
      <c r="M574" s="132"/>
      <c r="P574" s="132"/>
    </row>
    <row r="575" spans="3:16" x14ac:dyDescent="0.2">
      <c r="C575" s="132"/>
      <c r="D575" s="132"/>
      <c r="E575" s="132"/>
      <c r="G575" s="132"/>
      <c r="H575" s="132"/>
      <c r="I575" s="132"/>
      <c r="J575" s="132"/>
      <c r="K575" s="132"/>
      <c r="L575" s="132"/>
      <c r="M575" s="132"/>
      <c r="P575" s="132"/>
    </row>
    <row r="576" spans="3:16" x14ac:dyDescent="0.2">
      <c r="C576" s="132"/>
      <c r="D576" s="132"/>
      <c r="E576" s="132"/>
      <c r="G576" s="132"/>
      <c r="H576" s="132"/>
      <c r="I576" s="132"/>
      <c r="J576" s="132"/>
      <c r="K576" s="132"/>
      <c r="L576" s="132"/>
      <c r="M576" s="132"/>
      <c r="P576" s="132"/>
    </row>
    <row r="577" spans="3:16" x14ac:dyDescent="0.2">
      <c r="C577" s="132"/>
      <c r="D577" s="132"/>
      <c r="E577" s="132"/>
      <c r="G577" s="132"/>
      <c r="H577" s="132"/>
      <c r="I577" s="132"/>
      <c r="J577" s="132"/>
      <c r="K577" s="132"/>
      <c r="L577" s="132"/>
      <c r="M577" s="132"/>
      <c r="P577" s="132"/>
    </row>
    <row r="578" spans="3:16" x14ac:dyDescent="0.2">
      <c r="C578" s="132"/>
      <c r="D578" s="132"/>
      <c r="E578" s="132"/>
      <c r="G578" s="132"/>
      <c r="H578" s="132"/>
      <c r="I578" s="132"/>
      <c r="J578" s="132"/>
      <c r="K578" s="132"/>
      <c r="L578" s="132"/>
      <c r="M578" s="132"/>
      <c r="P578" s="132"/>
    </row>
    <row r="579" spans="3:16" x14ac:dyDescent="0.2">
      <c r="C579" s="132"/>
      <c r="D579" s="132"/>
      <c r="E579" s="132"/>
      <c r="G579" s="132"/>
      <c r="H579" s="132"/>
      <c r="I579" s="132"/>
      <c r="J579" s="132"/>
      <c r="K579" s="132"/>
      <c r="L579" s="132"/>
      <c r="M579" s="132"/>
      <c r="P579" s="132"/>
    </row>
    <row r="580" spans="3:16" x14ac:dyDescent="0.2">
      <c r="C580" s="132"/>
      <c r="D580" s="132"/>
      <c r="E580" s="132"/>
      <c r="G580" s="132"/>
      <c r="H580" s="132"/>
      <c r="I580" s="132"/>
      <c r="J580" s="132"/>
      <c r="K580" s="132"/>
      <c r="L580" s="132"/>
      <c r="M580" s="132"/>
      <c r="P580" s="132"/>
    </row>
    <row r="581" spans="3:16" x14ac:dyDescent="0.2">
      <c r="C581" s="132"/>
      <c r="D581" s="132"/>
      <c r="E581" s="132"/>
      <c r="G581" s="132"/>
      <c r="H581" s="132"/>
      <c r="I581" s="132"/>
      <c r="J581" s="132"/>
      <c r="K581" s="132"/>
      <c r="L581" s="132"/>
      <c r="M581" s="132"/>
      <c r="P581" s="132"/>
    </row>
    <row r="582" spans="3:16" x14ac:dyDescent="0.2">
      <c r="C582" s="132"/>
      <c r="D582" s="132"/>
      <c r="E582" s="132"/>
      <c r="G582" s="132"/>
      <c r="H582" s="132"/>
      <c r="I582" s="132"/>
      <c r="J582" s="132"/>
      <c r="K582" s="132"/>
      <c r="L582" s="132"/>
      <c r="M582" s="132"/>
      <c r="P582" s="132"/>
    </row>
    <row r="583" spans="3:16" x14ac:dyDescent="0.2">
      <c r="C583" s="132"/>
      <c r="D583" s="132"/>
      <c r="E583" s="132"/>
      <c r="G583" s="132"/>
      <c r="H583" s="132"/>
      <c r="I583" s="132"/>
      <c r="J583" s="132"/>
      <c r="K583" s="132"/>
      <c r="L583" s="132"/>
      <c r="M583" s="132"/>
      <c r="P583" s="132"/>
    </row>
    <row r="584" spans="3:16" x14ac:dyDescent="0.2">
      <c r="C584" s="132"/>
      <c r="D584" s="132"/>
      <c r="E584" s="132"/>
      <c r="G584" s="132"/>
      <c r="H584" s="132"/>
      <c r="I584" s="132"/>
      <c r="J584" s="132"/>
      <c r="K584" s="132"/>
      <c r="L584" s="132"/>
      <c r="M584" s="132"/>
      <c r="P584" s="132"/>
    </row>
    <row r="585" spans="3:16" x14ac:dyDescent="0.2">
      <c r="C585" s="132"/>
      <c r="D585" s="132"/>
      <c r="E585" s="132"/>
      <c r="G585" s="132"/>
      <c r="H585" s="132"/>
      <c r="I585" s="132"/>
      <c r="J585" s="132"/>
      <c r="K585" s="132"/>
      <c r="L585" s="132"/>
      <c r="M585" s="132"/>
      <c r="P585" s="132"/>
    </row>
    <row r="586" spans="3:16" x14ac:dyDescent="0.2">
      <c r="C586" s="132"/>
      <c r="D586" s="132"/>
      <c r="E586" s="132"/>
      <c r="G586" s="132"/>
      <c r="H586" s="132"/>
      <c r="I586" s="132"/>
      <c r="J586" s="132"/>
      <c r="K586" s="132"/>
      <c r="L586" s="132"/>
      <c r="M586" s="132"/>
      <c r="P586" s="132"/>
    </row>
    <row r="587" spans="3:16" x14ac:dyDescent="0.2">
      <c r="C587" s="132"/>
      <c r="D587" s="132"/>
      <c r="E587" s="132"/>
      <c r="G587" s="132"/>
      <c r="H587" s="132"/>
      <c r="I587" s="132"/>
      <c r="J587" s="132"/>
      <c r="K587" s="132"/>
      <c r="L587" s="132"/>
      <c r="M587" s="132"/>
      <c r="P587" s="132"/>
    </row>
    <row r="588" spans="3:16" x14ac:dyDescent="0.2">
      <c r="C588" s="132"/>
      <c r="D588" s="132"/>
      <c r="E588" s="132"/>
      <c r="G588" s="132"/>
      <c r="H588" s="132"/>
      <c r="I588" s="132"/>
      <c r="J588" s="132"/>
      <c r="K588" s="132"/>
      <c r="L588" s="132"/>
      <c r="M588" s="132"/>
      <c r="P588" s="132"/>
    </row>
    <row r="589" spans="3:16" x14ac:dyDescent="0.2">
      <c r="C589" s="132"/>
      <c r="D589" s="132"/>
      <c r="E589" s="132"/>
      <c r="G589" s="132"/>
      <c r="H589" s="132"/>
      <c r="I589" s="132"/>
      <c r="J589" s="132"/>
      <c r="K589" s="132"/>
      <c r="L589" s="132"/>
      <c r="M589" s="132"/>
      <c r="P589" s="132"/>
    </row>
    <row r="590" spans="3:16" x14ac:dyDescent="0.2">
      <c r="C590" s="132"/>
      <c r="D590" s="132"/>
      <c r="E590" s="132"/>
      <c r="G590" s="132"/>
      <c r="H590" s="132"/>
      <c r="I590" s="132"/>
      <c r="J590" s="132"/>
      <c r="K590" s="132"/>
      <c r="L590" s="132"/>
      <c r="M590" s="132"/>
      <c r="P590" s="132"/>
    </row>
    <row r="591" spans="3:16" x14ac:dyDescent="0.2">
      <c r="C591" s="132"/>
      <c r="D591" s="132"/>
      <c r="E591" s="132"/>
      <c r="G591" s="132"/>
      <c r="H591" s="132"/>
      <c r="I591" s="132"/>
      <c r="J591" s="132"/>
      <c r="K591" s="132"/>
      <c r="L591" s="132"/>
      <c r="M591" s="132"/>
      <c r="P591" s="132"/>
    </row>
    <row r="592" spans="3:16" x14ac:dyDescent="0.2">
      <c r="C592" s="132"/>
      <c r="D592" s="132"/>
      <c r="E592" s="132"/>
      <c r="G592" s="132"/>
      <c r="H592" s="132"/>
      <c r="I592" s="132"/>
      <c r="J592" s="132"/>
      <c r="K592" s="132"/>
      <c r="L592" s="132"/>
      <c r="M592" s="132"/>
      <c r="P592" s="132"/>
    </row>
    <row r="593" spans="3:16" x14ac:dyDescent="0.2">
      <c r="C593" s="132"/>
      <c r="D593" s="132"/>
      <c r="E593" s="132"/>
      <c r="G593" s="132"/>
      <c r="H593" s="132"/>
      <c r="I593" s="132"/>
      <c r="J593" s="132"/>
      <c r="K593" s="132"/>
      <c r="L593" s="132"/>
      <c r="M593" s="132"/>
      <c r="P593" s="132"/>
    </row>
    <row r="594" spans="3:16" x14ac:dyDescent="0.2">
      <c r="C594" s="132"/>
      <c r="D594" s="132"/>
      <c r="E594" s="132"/>
      <c r="G594" s="132"/>
      <c r="H594" s="132"/>
      <c r="I594" s="132"/>
      <c r="J594" s="132"/>
      <c r="K594" s="132"/>
      <c r="L594" s="132"/>
      <c r="M594" s="132"/>
      <c r="P594" s="132"/>
    </row>
    <row r="595" spans="3:16" x14ac:dyDescent="0.2">
      <c r="C595" s="132"/>
      <c r="D595" s="132"/>
      <c r="E595" s="132"/>
      <c r="G595" s="132"/>
      <c r="H595" s="132"/>
      <c r="I595" s="132"/>
      <c r="J595" s="132"/>
      <c r="K595" s="132"/>
      <c r="L595" s="132"/>
      <c r="M595" s="132"/>
      <c r="P595" s="132"/>
    </row>
    <row r="596" spans="3:16" x14ac:dyDescent="0.2">
      <c r="C596" s="132"/>
      <c r="D596" s="132"/>
      <c r="E596" s="132"/>
      <c r="G596" s="132"/>
      <c r="H596" s="132"/>
      <c r="I596" s="132"/>
      <c r="J596" s="132"/>
      <c r="K596" s="132"/>
      <c r="L596" s="132"/>
      <c r="M596" s="132"/>
      <c r="P596" s="132"/>
    </row>
    <row r="597" spans="3:16" x14ac:dyDescent="0.2">
      <c r="C597" s="132"/>
      <c r="D597" s="132"/>
      <c r="E597" s="132"/>
      <c r="G597" s="132"/>
      <c r="H597" s="132"/>
      <c r="I597" s="132"/>
      <c r="J597" s="132"/>
      <c r="K597" s="132"/>
      <c r="L597" s="132"/>
      <c r="M597" s="132"/>
      <c r="P597" s="132"/>
    </row>
    <row r="598" spans="3:16" x14ac:dyDescent="0.2">
      <c r="C598" s="132"/>
      <c r="D598" s="132"/>
      <c r="E598" s="132"/>
      <c r="G598" s="132"/>
      <c r="H598" s="132"/>
      <c r="I598" s="132"/>
      <c r="J598" s="132"/>
      <c r="K598" s="132"/>
      <c r="L598" s="132"/>
      <c r="M598" s="132"/>
      <c r="P598" s="132"/>
    </row>
    <row r="599" spans="3:16" x14ac:dyDescent="0.2">
      <c r="C599" s="132"/>
      <c r="D599" s="132"/>
      <c r="E599" s="132"/>
      <c r="G599" s="132"/>
      <c r="H599" s="132"/>
      <c r="I599" s="132"/>
      <c r="J599" s="132"/>
      <c r="K599" s="132"/>
      <c r="L599" s="132"/>
      <c r="M599" s="132"/>
      <c r="P599" s="132"/>
    </row>
    <row r="600" spans="3:16" x14ac:dyDescent="0.2">
      <c r="C600" s="132"/>
      <c r="D600" s="132"/>
      <c r="E600" s="132"/>
      <c r="G600" s="132"/>
      <c r="H600" s="132"/>
      <c r="I600" s="132"/>
      <c r="J600" s="132"/>
      <c r="K600" s="132"/>
      <c r="L600" s="132"/>
      <c r="M600" s="132"/>
      <c r="P600" s="132"/>
    </row>
    <row r="601" spans="3:16" x14ac:dyDescent="0.2">
      <c r="C601" s="132"/>
      <c r="D601" s="132"/>
      <c r="E601" s="132"/>
      <c r="G601" s="132"/>
      <c r="H601" s="132"/>
      <c r="I601" s="132"/>
      <c r="J601" s="132"/>
      <c r="K601" s="132"/>
      <c r="L601" s="132"/>
      <c r="M601" s="132"/>
      <c r="P601" s="132"/>
    </row>
    <row r="602" spans="3:16" x14ac:dyDescent="0.2">
      <c r="C602" s="132"/>
      <c r="D602" s="132"/>
      <c r="E602" s="132"/>
      <c r="G602" s="132"/>
      <c r="H602" s="132"/>
      <c r="I602" s="132"/>
      <c r="J602" s="132"/>
      <c r="K602" s="132"/>
      <c r="L602" s="132"/>
      <c r="M602" s="132"/>
      <c r="P602" s="132"/>
    </row>
    <row r="603" spans="3:16" x14ac:dyDescent="0.2">
      <c r="C603" s="132"/>
      <c r="D603" s="132"/>
      <c r="E603" s="132"/>
      <c r="G603" s="132"/>
      <c r="H603" s="132"/>
      <c r="I603" s="132"/>
      <c r="J603" s="132"/>
      <c r="K603" s="132"/>
      <c r="L603" s="132"/>
      <c r="M603" s="132"/>
      <c r="P603" s="132"/>
    </row>
    <row r="604" spans="3:16" x14ac:dyDescent="0.2">
      <c r="C604" s="132"/>
      <c r="D604" s="132"/>
      <c r="E604" s="132"/>
      <c r="G604" s="132"/>
      <c r="H604" s="132"/>
      <c r="I604" s="132"/>
      <c r="J604" s="132"/>
      <c r="K604" s="132"/>
      <c r="L604" s="132"/>
      <c r="M604" s="132"/>
      <c r="P604" s="132"/>
    </row>
    <row r="605" spans="3:16" x14ac:dyDescent="0.2">
      <c r="C605" s="132"/>
      <c r="D605" s="132"/>
      <c r="E605" s="132"/>
      <c r="G605" s="132"/>
      <c r="H605" s="132"/>
      <c r="I605" s="132"/>
      <c r="J605" s="132"/>
      <c r="K605" s="132"/>
      <c r="L605" s="132"/>
      <c r="M605" s="132"/>
      <c r="P605" s="132"/>
    </row>
    <row r="606" spans="3:16" x14ac:dyDescent="0.2">
      <c r="C606" s="132"/>
      <c r="D606" s="132"/>
      <c r="E606" s="132"/>
      <c r="G606" s="132"/>
      <c r="H606" s="132"/>
      <c r="I606" s="132"/>
      <c r="J606" s="132"/>
      <c r="K606" s="132"/>
      <c r="L606" s="132"/>
      <c r="M606" s="132"/>
      <c r="P606" s="132"/>
    </row>
    <row r="607" spans="3:16" x14ac:dyDescent="0.2">
      <c r="C607" s="132"/>
      <c r="D607" s="132"/>
      <c r="E607" s="132"/>
      <c r="G607" s="132"/>
      <c r="H607" s="132"/>
      <c r="I607" s="132"/>
      <c r="J607" s="132"/>
      <c r="K607" s="132"/>
      <c r="L607" s="132"/>
      <c r="M607" s="132"/>
      <c r="P607" s="132"/>
    </row>
    <row r="608" spans="3:16" x14ac:dyDescent="0.2">
      <c r="C608" s="132"/>
      <c r="D608" s="132"/>
      <c r="E608" s="132"/>
      <c r="G608" s="132"/>
      <c r="H608" s="132"/>
      <c r="I608" s="132"/>
      <c r="J608" s="132"/>
      <c r="K608" s="132"/>
      <c r="L608" s="132"/>
      <c r="M608" s="132"/>
      <c r="P608" s="132"/>
    </row>
    <row r="609" spans="3:16" x14ac:dyDescent="0.2">
      <c r="C609" s="132"/>
      <c r="D609" s="132"/>
      <c r="E609" s="132"/>
      <c r="G609" s="132"/>
      <c r="H609" s="132"/>
      <c r="I609" s="132"/>
      <c r="J609" s="132"/>
      <c r="K609" s="132"/>
      <c r="L609" s="132"/>
      <c r="M609" s="132"/>
      <c r="P609" s="132"/>
    </row>
    <row r="610" spans="3:16" x14ac:dyDescent="0.2">
      <c r="C610" s="132"/>
      <c r="D610" s="132"/>
      <c r="E610" s="132"/>
      <c r="G610" s="132"/>
      <c r="H610" s="132"/>
      <c r="I610" s="132"/>
      <c r="J610" s="132"/>
      <c r="K610" s="132"/>
      <c r="L610" s="132"/>
      <c r="M610" s="132"/>
      <c r="P610" s="132"/>
    </row>
    <row r="611" spans="3:16" x14ac:dyDescent="0.2">
      <c r="C611" s="132"/>
      <c r="D611" s="132"/>
      <c r="E611" s="132"/>
      <c r="G611" s="132"/>
      <c r="H611" s="132"/>
      <c r="I611" s="132"/>
      <c r="J611" s="132"/>
      <c r="K611" s="132"/>
      <c r="L611" s="132"/>
      <c r="M611" s="132"/>
      <c r="P611" s="132"/>
    </row>
    <row r="612" spans="3:16" x14ac:dyDescent="0.2">
      <c r="C612" s="132"/>
      <c r="D612" s="132"/>
      <c r="E612" s="132"/>
      <c r="G612" s="132"/>
      <c r="H612" s="132"/>
      <c r="I612" s="132"/>
      <c r="J612" s="132"/>
      <c r="K612" s="132"/>
      <c r="L612" s="132"/>
      <c r="M612" s="132"/>
      <c r="P612" s="132"/>
    </row>
    <row r="613" spans="3:16" x14ac:dyDescent="0.2">
      <c r="C613" s="132"/>
      <c r="D613" s="132"/>
      <c r="E613" s="132"/>
      <c r="G613" s="132"/>
      <c r="H613" s="132"/>
      <c r="I613" s="132"/>
      <c r="J613" s="132"/>
      <c r="K613" s="132"/>
      <c r="L613" s="132"/>
      <c r="M613" s="132"/>
      <c r="P613" s="132"/>
    </row>
    <row r="614" spans="3:16" x14ac:dyDescent="0.2">
      <c r="C614" s="132"/>
      <c r="D614" s="132"/>
      <c r="E614" s="132"/>
      <c r="G614" s="132"/>
      <c r="H614" s="132"/>
      <c r="I614" s="132"/>
      <c r="J614" s="132"/>
      <c r="K614" s="132"/>
      <c r="L614" s="132"/>
      <c r="M614" s="132"/>
      <c r="P614" s="132"/>
    </row>
    <row r="615" spans="3:16" x14ac:dyDescent="0.2">
      <c r="C615" s="132"/>
      <c r="D615" s="132"/>
      <c r="E615" s="132"/>
      <c r="G615" s="132"/>
      <c r="H615" s="132"/>
      <c r="I615" s="132"/>
      <c r="J615" s="132"/>
      <c r="K615" s="132"/>
      <c r="L615" s="132"/>
      <c r="M615" s="132"/>
      <c r="P615" s="132"/>
    </row>
    <row r="616" spans="3:16" x14ac:dyDescent="0.2">
      <c r="C616" s="132"/>
      <c r="D616" s="132"/>
      <c r="E616" s="132"/>
      <c r="G616" s="132"/>
      <c r="H616" s="132"/>
      <c r="I616" s="132"/>
      <c r="J616" s="132"/>
      <c r="K616" s="132"/>
      <c r="L616" s="132"/>
      <c r="M616" s="132"/>
      <c r="P616" s="132"/>
    </row>
    <row r="617" spans="3:16" x14ac:dyDescent="0.2">
      <c r="C617" s="132"/>
      <c r="D617" s="132"/>
      <c r="E617" s="132"/>
      <c r="G617" s="132"/>
      <c r="H617" s="132"/>
      <c r="I617" s="132"/>
      <c r="J617" s="132"/>
      <c r="K617" s="132"/>
      <c r="L617" s="132"/>
      <c r="M617" s="132"/>
      <c r="P617" s="132"/>
    </row>
    <row r="618" spans="3:16" x14ac:dyDescent="0.2">
      <c r="C618" s="132"/>
      <c r="D618" s="132"/>
      <c r="E618" s="132"/>
      <c r="G618" s="132"/>
      <c r="H618" s="132"/>
      <c r="I618" s="132"/>
      <c r="J618" s="132"/>
      <c r="K618" s="132"/>
      <c r="L618" s="132"/>
      <c r="M618" s="132"/>
      <c r="P618" s="132"/>
    </row>
    <row r="619" spans="3:16" x14ac:dyDescent="0.2">
      <c r="C619" s="132"/>
      <c r="D619" s="132"/>
      <c r="E619" s="132"/>
      <c r="G619" s="132"/>
      <c r="H619" s="132"/>
      <c r="I619" s="132"/>
      <c r="J619" s="132"/>
      <c r="K619" s="132"/>
      <c r="L619" s="132"/>
      <c r="M619" s="132"/>
      <c r="P619" s="132"/>
    </row>
    <row r="620" spans="3:16" x14ac:dyDescent="0.2">
      <c r="C620" s="132"/>
      <c r="D620" s="132"/>
      <c r="E620" s="132"/>
      <c r="G620" s="132"/>
      <c r="H620" s="132"/>
      <c r="I620" s="132"/>
      <c r="J620" s="132"/>
      <c r="K620" s="132"/>
      <c r="L620" s="132"/>
      <c r="M620" s="132"/>
      <c r="P620" s="132"/>
    </row>
    <row r="621" spans="3:16" x14ac:dyDescent="0.2">
      <c r="C621" s="132"/>
      <c r="D621" s="132"/>
      <c r="E621" s="132"/>
      <c r="G621" s="132"/>
      <c r="H621" s="132"/>
      <c r="I621" s="132"/>
      <c r="J621" s="132"/>
      <c r="K621" s="132"/>
      <c r="L621" s="132"/>
      <c r="M621" s="132"/>
      <c r="P621" s="132"/>
    </row>
    <row r="622" spans="3:16" x14ac:dyDescent="0.2">
      <c r="C622" s="132"/>
      <c r="D622" s="132"/>
      <c r="E622" s="132"/>
      <c r="G622" s="132"/>
      <c r="H622" s="132"/>
      <c r="I622" s="132"/>
      <c r="J622" s="132"/>
      <c r="K622" s="132"/>
      <c r="L622" s="132"/>
      <c r="M622" s="132"/>
      <c r="P622" s="132"/>
    </row>
    <row r="623" spans="3:16" x14ac:dyDescent="0.2">
      <c r="C623" s="132"/>
      <c r="D623" s="132"/>
      <c r="E623" s="132"/>
      <c r="G623" s="132"/>
      <c r="H623" s="132"/>
      <c r="I623" s="132"/>
      <c r="J623" s="132"/>
      <c r="K623" s="132"/>
      <c r="L623" s="132"/>
      <c r="M623" s="132"/>
      <c r="P623" s="132"/>
    </row>
    <row r="624" spans="3:16" x14ac:dyDescent="0.2">
      <c r="C624" s="132"/>
      <c r="D624" s="132"/>
      <c r="E624" s="132"/>
      <c r="G624" s="132"/>
      <c r="H624" s="132"/>
      <c r="I624" s="132"/>
      <c r="J624" s="132"/>
      <c r="K624" s="132"/>
      <c r="L624" s="132"/>
      <c r="M624" s="132"/>
      <c r="P624" s="132"/>
    </row>
    <row r="625" spans="3:16" x14ac:dyDescent="0.2">
      <c r="C625" s="132"/>
      <c r="D625" s="132"/>
      <c r="E625" s="132"/>
      <c r="G625" s="132"/>
      <c r="H625" s="132"/>
      <c r="I625" s="132"/>
      <c r="J625" s="132"/>
      <c r="K625" s="132"/>
      <c r="L625" s="132"/>
      <c r="M625" s="132"/>
      <c r="P625" s="132"/>
    </row>
    <row r="626" spans="3:16" x14ac:dyDescent="0.2">
      <c r="C626" s="132"/>
      <c r="D626" s="132"/>
      <c r="E626" s="132"/>
      <c r="G626" s="132"/>
      <c r="H626" s="132"/>
      <c r="I626" s="132"/>
      <c r="J626" s="132"/>
      <c r="K626" s="132"/>
      <c r="L626" s="132"/>
      <c r="M626" s="132"/>
      <c r="P626" s="132"/>
    </row>
    <row r="627" spans="3:16" x14ac:dyDescent="0.2">
      <c r="C627" s="132"/>
      <c r="D627" s="132"/>
      <c r="E627" s="132"/>
      <c r="G627" s="132"/>
      <c r="H627" s="132"/>
      <c r="I627" s="132"/>
      <c r="J627" s="132"/>
      <c r="K627" s="132"/>
      <c r="L627" s="132"/>
      <c r="M627" s="132"/>
      <c r="P627" s="132"/>
    </row>
    <row r="628" spans="3:16" x14ac:dyDescent="0.2">
      <c r="C628" s="132"/>
      <c r="D628" s="132"/>
      <c r="E628" s="132"/>
      <c r="G628" s="132"/>
      <c r="H628" s="132"/>
      <c r="I628" s="132"/>
      <c r="J628" s="132"/>
      <c r="K628" s="132"/>
      <c r="L628" s="132"/>
      <c r="M628" s="132"/>
      <c r="P628" s="132"/>
    </row>
    <row r="629" spans="3:16" x14ac:dyDescent="0.2">
      <c r="C629" s="132"/>
      <c r="D629" s="132"/>
      <c r="E629" s="132"/>
      <c r="G629" s="132"/>
      <c r="H629" s="132"/>
      <c r="I629" s="132"/>
      <c r="J629" s="132"/>
      <c r="K629" s="132"/>
      <c r="L629" s="132"/>
      <c r="M629" s="132"/>
      <c r="P629" s="132"/>
    </row>
    <row r="630" spans="3:16" x14ac:dyDescent="0.2">
      <c r="C630" s="132"/>
      <c r="D630" s="132"/>
      <c r="E630" s="132"/>
      <c r="G630" s="132"/>
      <c r="H630" s="132"/>
      <c r="I630" s="132"/>
      <c r="J630" s="132"/>
      <c r="K630" s="132"/>
      <c r="L630" s="132"/>
      <c r="M630" s="132"/>
      <c r="P630" s="132"/>
    </row>
    <row r="631" spans="3:16" x14ac:dyDescent="0.2">
      <c r="C631" s="132"/>
      <c r="D631" s="132"/>
      <c r="E631" s="132"/>
      <c r="G631" s="132"/>
      <c r="H631" s="132"/>
      <c r="I631" s="132"/>
      <c r="J631" s="132"/>
      <c r="K631" s="132"/>
      <c r="L631" s="132"/>
      <c r="M631" s="132"/>
      <c r="P631" s="132"/>
    </row>
    <row r="632" spans="3:16" x14ac:dyDescent="0.2">
      <c r="C632" s="132"/>
      <c r="D632" s="132"/>
      <c r="E632" s="132"/>
      <c r="G632" s="132"/>
      <c r="H632" s="132"/>
      <c r="I632" s="132"/>
      <c r="J632" s="132"/>
      <c r="K632" s="132"/>
      <c r="L632" s="132"/>
      <c r="M632" s="132"/>
      <c r="P632" s="132"/>
    </row>
    <row r="633" spans="3:16" x14ac:dyDescent="0.2">
      <c r="C633" s="132"/>
      <c r="D633" s="132"/>
      <c r="E633" s="132"/>
      <c r="G633" s="132"/>
      <c r="H633" s="132"/>
      <c r="I633" s="132"/>
      <c r="J633" s="132"/>
      <c r="K633" s="132"/>
      <c r="L633" s="132"/>
      <c r="M633" s="132"/>
      <c r="P633" s="132"/>
    </row>
    <row r="634" spans="3:16" x14ac:dyDescent="0.2">
      <c r="C634" s="132"/>
      <c r="D634" s="132"/>
      <c r="E634" s="132"/>
      <c r="G634" s="132"/>
      <c r="H634" s="132"/>
      <c r="I634" s="132"/>
      <c r="J634" s="132"/>
      <c r="K634" s="132"/>
      <c r="L634" s="132"/>
      <c r="M634" s="132"/>
      <c r="P634" s="132"/>
    </row>
    <row r="635" spans="3:16" x14ac:dyDescent="0.2">
      <c r="C635" s="132"/>
      <c r="D635" s="132"/>
      <c r="E635" s="132"/>
      <c r="G635" s="132"/>
      <c r="H635" s="132"/>
      <c r="I635" s="132"/>
      <c r="J635" s="132"/>
      <c r="K635" s="132"/>
      <c r="L635" s="132"/>
      <c r="M635" s="132"/>
      <c r="P635" s="132"/>
    </row>
    <row r="636" spans="3:16" x14ac:dyDescent="0.2">
      <c r="C636" s="132"/>
      <c r="D636" s="132"/>
      <c r="E636" s="132"/>
      <c r="G636" s="132"/>
      <c r="H636" s="132"/>
      <c r="I636" s="132"/>
      <c r="J636" s="132"/>
      <c r="K636" s="132"/>
      <c r="L636" s="132"/>
      <c r="M636" s="132"/>
      <c r="P636" s="132"/>
    </row>
    <row r="637" spans="3:16" x14ac:dyDescent="0.2">
      <c r="C637" s="132"/>
      <c r="D637" s="132"/>
      <c r="E637" s="132"/>
      <c r="G637" s="132"/>
      <c r="H637" s="132"/>
      <c r="I637" s="132"/>
      <c r="J637" s="132"/>
      <c r="K637" s="132"/>
      <c r="L637" s="132"/>
      <c r="M637" s="132"/>
      <c r="P637" s="132"/>
    </row>
    <row r="638" spans="3:16" x14ac:dyDescent="0.2">
      <c r="C638" s="132"/>
      <c r="D638" s="132"/>
      <c r="E638" s="132"/>
      <c r="G638" s="132"/>
      <c r="H638" s="132"/>
      <c r="I638" s="132"/>
      <c r="J638" s="132"/>
      <c r="K638" s="132"/>
      <c r="L638" s="132"/>
      <c r="M638" s="132"/>
      <c r="P638" s="132"/>
    </row>
    <row r="639" spans="3:16" x14ac:dyDescent="0.2">
      <c r="C639" s="132"/>
      <c r="D639" s="132"/>
      <c r="E639" s="132"/>
      <c r="G639" s="132"/>
      <c r="H639" s="132"/>
      <c r="I639" s="132"/>
      <c r="J639" s="132"/>
      <c r="K639" s="132"/>
      <c r="L639" s="132"/>
      <c r="M639" s="132"/>
      <c r="P639" s="132"/>
    </row>
    <row r="640" spans="3:16" x14ac:dyDescent="0.2">
      <c r="C640" s="132"/>
      <c r="D640" s="132"/>
      <c r="E640" s="132"/>
      <c r="G640" s="132"/>
      <c r="H640" s="132"/>
      <c r="I640" s="132"/>
      <c r="J640" s="132"/>
      <c r="K640" s="132"/>
      <c r="L640" s="132"/>
      <c r="M640" s="132"/>
      <c r="P640" s="132"/>
    </row>
    <row r="641" spans="3:16" x14ac:dyDescent="0.2">
      <c r="C641" s="132"/>
      <c r="D641" s="132"/>
      <c r="E641" s="132"/>
      <c r="G641" s="132"/>
      <c r="H641" s="132"/>
      <c r="I641" s="132"/>
      <c r="J641" s="132"/>
      <c r="K641" s="132"/>
      <c r="L641" s="132"/>
      <c r="M641" s="132"/>
      <c r="P641" s="132"/>
    </row>
    <row r="642" spans="3:16" x14ac:dyDescent="0.2">
      <c r="C642" s="132"/>
      <c r="D642" s="132"/>
      <c r="E642" s="132"/>
      <c r="G642" s="132"/>
      <c r="H642" s="132"/>
      <c r="I642" s="132"/>
      <c r="J642" s="132"/>
      <c r="K642" s="132"/>
      <c r="L642" s="132"/>
      <c r="M642" s="132"/>
      <c r="P642" s="132"/>
    </row>
    <row r="643" spans="3:16" x14ac:dyDescent="0.2">
      <c r="C643" s="132"/>
      <c r="D643" s="132"/>
      <c r="E643" s="132"/>
      <c r="G643" s="132"/>
      <c r="H643" s="132"/>
      <c r="I643" s="132"/>
      <c r="J643" s="132"/>
      <c r="K643" s="132"/>
      <c r="L643" s="132"/>
      <c r="M643" s="132"/>
      <c r="P643" s="132"/>
    </row>
    <row r="644" spans="3:16" x14ac:dyDescent="0.2">
      <c r="C644" s="132"/>
      <c r="D644" s="132"/>
      <c r="E644" s="132"/>
      <c r="G644" s="132"/>
      <c r="H644" s="132"/>
      <c r="I644" s="132"/>
      <c r="J644" s="132"/>
      <c r="K644" s="132"/>
      <c r="L644" s="132"/>
      <c r="M644" s="132"/>
      <c r="P644" s="132"/>
    </row>
    <row r="645" spans="3:16" x14ac:dyDescent="0.2">
      <c r="C645" s="132"/>
      <c r="D645" s="132"/>
      <c r="E645" s="132"/>
      <c r="G645" s="132"/>
      <c r="H645" s="132"/>
      <c r="I645" s="132"/>
      <c r="J645" s="132"/>
      <c r="K645" s="132"/>
      <c r="L645" s="132"/>
      <c r="M645" s="132"/>
      <c r="P645" s="132"/>
    </row>
    <row r="646" spans="3:16" x14ac:dyDescent="0.2">
      <c r="C646" s="132"/>
      <c r="D646" s="132"/>
      <c r="E646" s="132"/>
      <c r="G646" s="132"/>
      <c r="H646" s="132"/>
      <c r="I646" s="132"/>
      <c r="J646" s="132"/>
      <c r="K646" s="132"/>
      <c r="L646" s="132"/>
      <c r="M646" s="132"/>
      <c r="P646" s="132"/>
    </row>
    <row r="647" spans="3:16" x14ac:dyDescent="0.2">
      <c r="C647" s="132"/>
      <c r="D647" s="132"/>
      <c r="E647" s="132"/>
      <c r="G647" s="132"/>
      <c r="H647" s="132"/>
      <c r="I647" s="132"/>
      <c r="J647" s="132"/>
      <c r="K647" s="132"/>
      <c r="L647" s="132"/>
      <c r="M647" s="132"/>
      <c r="P647" s="132"/>
    </row>
    <row r="648" spans="3:16" x14ac:dyDescent="0.2">
      <c r="C648" s="132"/>
      <c r="D648" s="132"/>
      <c r="E648" s="132"/>
      <c r="G648" s="132"/>
      <c r="H648" s="132"/>
      <c r="I648" s="132"/>
      <c r="J648" s="132"/>
      <c r="K648" s="132"/>
      <c r="L648" s="132"/>
      <c r="M648" s="132"/>
      <c r="P648" s="132"/>
    </row>
    <row r="649" spans="3:16" x14ac:dyDescent="0.2">
      <c r="C649" s="132"/>
      <c r="D649" s="132"/>
      <c r="E649" s="132"/>
      <c r="G649" s="132"/>
      <c r="H649" s="132"/>
      <c r="I649" s="132"/>
      <c r="J649" s="132"/>
      <c r="K649" s="132"/>
      <c r="L649" s="132"/>
      <c r="M649" s="132"/>
      <c r="P649" s="132"/>
    </row>
    <row r="650" spans="3:16" x14ac:dyDescent="0.2">
      <c r="C650" s="132"/>
      <c r="D650" s="132"/>
      <c r="E650" s="132"/>
      <c r="G650" s="132"/>
      <c r="H650" s="132"/>
      <c r="I650" s="132"/>
      <c r="J650" s="132"/>
      <c r="K650" s="132"/>
      <c r="L650" s="132"/>
      <c r="M650" s="132"/>
      <c r="P650" s="132"/>
    </row>
    <row r="651" spans="3:16" x14ac:dyDescent="0.2">
      <c r="C651" s="132"/>
      <c r="D651" s="132"/>
      <c r="E651" s="132"/>
      <c r="G651" s="132"/>
      <c r="H651" s="132"/>
      <c r="I651" s="132"/>
      <c r="J651" s="132"/>
      <c r="K651" s="132"/>
      <c r="L651" s="132"/>
      <c r="M651" s="132"/>
      <c r="P651" s="132"/>
    </row>
    <row r="652" spans="3:16" x14ac:dyDescent="0.2">
      <c r="C652" s="132"/>
      <c r="D652" s="132"/>
      <c r="E652" s="132"/>
      <c r="G652" s="132"/>
      <c r="H652" s="132"/>
      <c r="I652" s="132"/>
      <c r="J652" s="132"/>
      <c r="K652" s="132"/>
      <c r="L652" s="132"/>
      <c r="M652" s="132"/>
      <c r="P652" s="132"/>
    </row>
    <row r="653" spans="3:16" x14ac:dyDescent="0.2">
      <c r="C653" s="132"/>
      <c r="D653" s="132"/>
      <c r="E653" s="132"/>
      <c r="G653" s="132"/>
      <c r="H653" s="132"/>
      <c r="I653" s="132"/>
      <c r="J653" s="132"/>
      <c r="K653" s="132"/>
      <c r="L653" s="132"/>
      <c r="M653" s="132"/>
      <c r="P653" s="132"/>
    </row>
    <row r="654" spans="3:16" x14ac:dyDescent="0.2">
      <c r="C654" s="132"/>
      <c r="D654" s="132"/>
      <c r="E654" s="132"/>
      <c r="G654" s="132"/>
      <c r="H654" s="132"/>
      <c r="I654" s="132"/>
      <c r="J654" s="132"/>
      <c r="K654" s="132"/>
      <c r="L654" s="132"/>
      <c r="M654" s="132"/>
      <c r="P654" s="132"/>
    </row>
    <row r="655" spans="3:16" x14ac:dyDescent="0.2">
      <c r="C655" s="132"/>
      <c r="D655" s="132"/>
      <c r="E655" s="132"/>
      <c r="G655" s="132"/>
      <c r="H655" s="132"/>
      <c r="I655" s="132"/>
      <c r="J655" s="132"/>
      <c r="K655" s="132"/>
      <c r="L655" s="132"/>
      <c r="M655" s="132"/>
      <c r="P655" s="132"/>
    </row>
    <row r="656" spans="3:16" x14ac:dyDescent="0.2">
      <c r="C656" s="132"/>
      <c r="D656" s="132"/>
      <c r="E656" s="132"/>
      <c r="G656" s="132"/>
      <c r="H656" s="132"/>
      <c r="I656" s="132"/>
      <c r="J656" s="132"/>
      <c r="K656" s="132"/>
      <c r="L656" s="132"/>
      <c r="M656" s="132"/>
      <c r="P656" s="132"/>
    </row>
    <row r="657" spans="3:16" x14ac:dyDescent="0.2">
      <c r="C657" s="132"/>
      <c r="D657" s="132"/>
      <c r="E657" s="132"/>
      <c r="G657" s="132"/>
      <c r="H657" s="132"/>
      <c r="I657" s="132"/>
      <c r="J657" s="132"/>
      <c r="K657" s="132"/>
      <c r="L657" s="132"/>
      <c r="M657" s="132"/>
      <c r="P657" s="132"/>
    </row>
    <row r="658" spans="3:16" x14ac:dyDescent="0.2">
      <c r="C658" s="132"/>
      <c r="D658" s="132"/>
      <c r="E658" s="132"/>
      <c r="G658" s="132"/>
      <c r="H658" s="132"/>
      <c r="I658" s="132"/>
      <c r="J658" s="132"/>
      <c r="K658" s="132"/>
      <c r="L658" s="132"/>
      <c r="M658" s="132"/>
      <c r="P658" s="132"/>
    </row>
    <row r="659" spans="3:16" x14ac:dyDescent="0.2">
      <c r="C659" s="132"/>
      <c r="D659" s="132"/>
      <c r="E659" s="132"/>
      <c r="G659" s="132"/>
      <c r="H659" s="132"/>
      <c r="I659" s="132"/>
      <c r="J659" s="132"/>
      <c r="K659" s="132"/>
      <c r="L659" s="132"/>
      <c r="M659" s="132"/>
      <c r="P659" s="132"/>
    </row>
    <row r="660" spans="3:16" x14ac:dyDescent="0.2">
      <c r="C660" s="132"/>
      <c r="D660" s="132"/>
      <c r="E660" s="132"/>
      <c r="G660" s="132"/>
      <c r="H660" s="132"/>
      <c r="I660" s="132"/>
      <c r="J660" s="132"/>
      <c r="K660" s="132"/>
      <c r="L660" s="132"/>
      <c r="M660" s="132"/>
      <c r="P660" s="132"/>
    </row>
    <row r="661" spans="3:16" x14ac:dyDescent="0.2">
      <c r="C661" s="132"/>
      <c r="D661" s="132"/>
      <c r="E661" s="132"/>
      <c r="G661" s="132"/>
      <c r="H661" s="132"/>
      <c r="I661" s="132"/>
      <c r="J661" s="132"/>
      <c r="K661" s="132"/>
      <c r="L661" s="132"/>
      <c r="M661" s="132"/>
      <c r="P661" s="132"/>
    </row>
    <row r="662" spans="3:16" x14ac:dyDescent="0.2">
      <c r="C662" s="132"/>
      <c r="D662" s="132"/>
      <c r="E662" s="132"/>
      <c r="G662" s="132"/>
      <c r="H662" s="132"/>
      <c r="I662" s="132"/>
      <c r="J662" s="132"/>
      <c r="K662" s="132"/>
      <c r="L662" s="132"/>
      <c r="M662" s="132"/>
      <c r="P662" s="132"/>
    </row>
    <row r="663" spans="3:16" x14ac:dyDescent="0.2">
      <c r="C663" s="132"/>
      <c r="D663" s="132"/>
      <c r="E663" s="132"/>
      <c r="G663" s="132"/>
      <c r="H663" s="132"/>
      <c r="I663" s="132"/>
      <c r="J663" s="132"/>
      <c r="K663" s="132"/>
      <c r="L663" s="132"/>
      <c r="M663" s="132"/>
      <c r="P663" s="132"/>
    </row>
    <row r="664" spans="3:16" x14ac:dyDescent="0.2">
      <c r="C664" s="132"/>
      <c r="D664" s="132"/>
      <c r="E664" s="132"/>
      <c r="G664" s="132"/>
      <c r="H664" s="132"/>
      <c r="I664" s="132"/>
      <c r="J664" s="132"/>
      <c r="K664" s="132"/>
      <c r="L664" s="132"/>
      <c r="M664" s="132"/>
      <c r="P664" s="132"/>
    </row>
    <row r="665" spans="3:16" x14ac:dyDescent="0.2">
      <c r="C665" s="132"/>
      <c r="D665" s="132"/>
      <c r="E665" s="132"/>
      <c r="G665" s="132"/>
      <c r="H665" s="132"/>
      <c r="I665" s="132"/>
      <c r="J665" s="132"/>
      <c r="K665" s="132"/>
      <c r="L665" s="132"/>
      <c r="M665" s="132"/>
      <c r="P665" s="132"/>
    </row>
    <row r="666" spans="3:16" x14ac:dyDescent="0.2">
      <c r="C666" s="132"/>
      <c r="D666" s="132"/>
      <c r="E666" s="132"/>
      <c r="G666" s="132"/>
      <c r="H666" s="132"/>
      <c r="I666" s="132"/>
      <c r="J666" s="132"/>
      <c r="K666" s="132"/>
      <c r="L666" s="132"/>
      <c r="M666" s="132"/>
      <c r="P666" s="132"/>
    </row>
    <row r="667" spans="3:16" x14ac:dyDescent="0.2">
      <c r="C667" s="132"/>
      <c r="D667" s="132"/>
      <c r="E667" s="132"/>
      <c r="G667" s="132"/>
      <c r="H667" s="132"/>
      <c r="I667" s="132"/>
      <c r="J667" s="132"/>
      <c r="K667" s="132"/>
      <c r="L667" s="132"/>
      <c r="M667" s="132"/>
      <c r="P667" s="132"/>
    </row>
    <row r="668" spans="3:16" x14ac:dyDescent="0.2">
      <c r="C668" s="132"/>
      <c r="D668" s="132"/>
      <c r="E668" s="132"/>
      <c r="G668" s="132"/>
      <c r="H668" s="132"/>
      <c r="I668" s="132"/>
      <c r="J668" s="132"/>
      <c r="K668" s="132"/>
      <c r="L668" s="132"/>
      <c r="M668" s="132"/>
      <c r="P668" s="132"/>
    </row>
    <row r="669" spans="3:16" x14ac:dyDescent="0.2">
      <c r="C669" s="132"/>
      <c r="D669" s="132"/>
      <c r="E669" s="132"/>
      <c r="G669" s="132"/>
      <c r="H669" s="132"/>
      <c r="I669" s="132"/>
      <c r="J669" s="132"/>
      <c r="K669" s="132"/>
      <c r="L669" s="132"/>
      <c r="M669" s="132"/>
      <c r="P669" s="132"/>
    </row>
    <row r="670" spans="3:16" x14ac:dyDescent="0.2">
      <c r="C670" s="132"/>
      <c r="D670" s="132"/>
      <c r="E670" s="132"/>
      <c r="G670" s="132"/>
      <c r="H670" s="132"/>
      <c r="I670" s="132"/>
      <c r="J670" s="132"/>
      <c r="K670" s="132"/>
      <c r="L670" s="132"/>
      <c r="M670" s="132"/>
      <c r="P670" s="132"/>
    </row>
    <row r="671" spans="3:16" x14ac:dyDescent="0.2">
      <c r="C671" s="132"/>
      <c r="D671" s="132"/>
      <c r="E671" s="132"/>
      <c r="G671" s="132"/>
      <c r="H671" s="132"/>
      <c r="I671" s="132"/>
      <c r="J671" s="132"/>
      <c r="K671" s="132"/>
      <c r="L671" s="132"/>
      <c r="M671" s="132"/>
      <c r="P671" s="132"/>
    </row>
    <row r="672" spans="3:16" x14ac:dyDescent="0.2">
      <c r="C672" s="132"/>
      <c r="D672" s="132"/>
      <c r="E672" s="132"/>
      <c r="G672" s="132"/>
      <c r="H672" s="132"/>
      <c r="I672" s="132"/>
      <c r="J672" s="132"/>
      <c r="K672" s="132"/>
      <c r="L672" s="132"/>
      <c r="M672" s="132"/>
      <c r="P672" s="132"/>
    </row>
    <row r="673" spans="3:16" x14ac:dyDescent="0.2">
      <c r="C673" s="132"/>
      <c r="D673" s="132"/>
      <c r="E673" s="132"/>
      <c r="G673" s="132"/>
      <c r="H673" s="132"/>
      <c r="I673" s="132"/>
      <c r="J673" s="132"/>
      <c r="K673" s="132"/>
      <c r="L673" s="132"/>
      <c r="M673" s="132"/>
      <c r="P673" s="132"/>
    </row>
    <row r="674" spans="3:16" x14ac:dyDescent="0.2">
      <c r="C674" s="132"/>
      <c r="D674" s="132"/>
      <c r="E674" s="132"/>
      <c r="G674" s="132"/>
      <c r="H674" s="132"/>
      <c r="I674" s="132"/>
      <c r="J674" s="132"/>
      <c r="K674" s="132"/>
      <c r="L674" s="132"/>
      <c r="M674" s="132"/>
      <c r="P674" s="132"/>
    </row>
    <row r="675" spans="3:16" x14ac:dyDescent="0.2">
      <c r="C675" s="132"/>
      <c r="D675" s="132"/>
      <c r="E675" s="132"/>
      <c r="G675" s="132"/>
      <c r="H675" s="132"/>
      <c r="I675" s="132"/>
      <c r="J675" s="132"/>
      <c r="K675" s="132"/>
      <c r="L675" s="132"/>
      <c r="M675" s="132"/>
      <c r="P675" s="132"/>
    </row>
    <row r="676" spans="3:16" x14ac:dyDescent="0.2">
      <c r="C676" s="132"/>
      <c r="D676" s="132"/>
      <c r="E676" s="132"/>
      <c r="G676" s="132"/>
      <c r="H676" s="132"/>
      <c r="I676" s="132"/>
      <c r="J676" s="132"/>
      <c r="K676" s="132"/>
      <c r="L676" s="132"/>
      <c r="M676" s="132"/>
      <c r="P676" s="132"/>
    </row>
    <row r="677" spans="3:16" x14ac:dyDescent="0.2">
      <c r="C677" s="132"/>
      <c r="D677" s="132"/>
      <c r="E677" s="132"/>
      <c r="G677" s="132"/>
      <c r="H677" s="132"/>
      <c r="I677" s="132"/>
      <c r="J677" s="132"/>
      <c r="K677" s="132"/>
      <c r="L677" s="132"/>
      <c r="M677" s="132"/>
      <c r="P677" s="132"/>
    </row>
    <row r="678" spans="3:16" x14ac:dyDescent="0.2">
      <c r="C678" s="132"/>
      <c r="D678" s="132"/>
      <c r="E678" s="132"/>
      <c r="G678" s="132"/>
      <c r="H678" s="132"/>
      <c r="I678" s="132"/>
      <c r="J678" s="132"/>
      <c r="K678" s="132"/>
      <c r="L678" s="132"/>
      <c r="M678" s="132"/>
      <c r="P678" s="132"/>
    </row>
    <row r="679" spans="3:16" x14ac:dyDescent="0.2">
      <c r="C679" s="132"/>
      <c r="D679" s="132"/>
      <c r="E679" s="132"/>
      <c r="G679" s="132"/>
      <c r="H679" s="132"/>
      <c r="I679" s="132"/>
      <c r="J679" s="132"/>
      <c r="K679" s="132"/>
      <c r="L679" s="132"/>
      <c r="M679" s="132"/>
      <c r="P679" s="132"/>
    </row>
    <row r="680" spans="3:16" x14ac:dyDescent="0.2">
      <c r="C680" s="132"/>
      <c r="D680" s="132"/>
      <c r="E680" s="132"/>
      <c r="G680" s="132"/>
      <c r="H680" s="132"/>
      <c r="I680" s="132"/>
      <c r="J680" s="132"/>
      <c r="K680" s="132"/>
      <c r="L680" s="132"/>
      <c r="M680" s="132"/>
      <c r="P680" s="132"/>
    </row>
    <row r="681" spans="3:16" x14ac:dyDescent="0.2">
      <c r="C681" s="132"/>
      <c r="D681" s="132"/>
      <c r="E681" s="132"/>
      <c r="G681" s="132"/>
      <c r="H681" s="132"/>
      <c r="I681" s="132"/>
      <c r="J681" s="132"/>
      <c r="K681" s="132"/>
      <c r="L681" s="132"/>
      <c r="M681" s="132"/>
      <c r="P681" s="132"/>
    </row>
    <row r="682" spans="3:16" x14ac:dyDescent="0.2">
      <c r="C682" s="132"/>
      <c r="D682" s="132"/>
      <c r="E682" s="132"/>
      <c r="G682" s="132"/>
      <c r="H682" s="132"/>
      <c r="I682" s="132"/>
      <c r="J682" s="132"/>
      <c r="K682" s="132"/>
      <c r="L682" s="132"/>
      <c r="M682" s="132"/>
      <c r="P682" s="132"/>
    </row>
    <row r="683" spans="3:16" x14ac:dyDescent="0.2">
      <c r="C683" s="132"/>
      <c r="D683" s="132"/>
      <c r="E683" s="132"/>
      <c r="G683" s="132"/>
      <c r="H683" s="132"/>
      <c r="I683" s="132"/>
      <c r="J683" s="132"/>
      <c r="K683" s="132"/>
      <c r="L683" s="132"/>
      <c r="M683" s="132"/>
      <c r="P683" s="132"/>
    </row>
    <row r="684" spans="3:16" x14ac:dyDescent="0.2">
      <c r="C684" s="132"/>
      <c r="D684" s="132"/>
      <c r="E684" s="132"/>
      <c r="G684" s="132"/>
      <c r="H684" s="132"/>
      <c r="I684" s="132"/>
      <c r="J684" s="132"/>
      <c r="K684" s="132"/>
      <c r="L684" s="132"/>
      <c r="M684" s="132"/>
      <c r="P684" s="132"/>
    </row>
    <row r="685" spans="3:16" x14ac:dyDescent="0.2">
      <c r="C685" s="132"/>
      <c r="D685" s="132"/>
      <c r="E685" s="132"/>
      <c r="G685" s="132"/>
      <c r="H685" s="132"/>
      <c r="I685" s="132"/>
      <c r="J685" s="132"/>
      <c r="K685" s="132"/>
      <c r="L685" s="132"/>
      <c r="M685" s="132"/>
      <c r="P685" s="132"/>
    </row>
    <row r="686" spans="3:16" x14ac:dyDescent="0.2">
      <c r="C686" s="132"/>
      <c r="D686" s="132"/>
      <c r="E686" s="132"/>
      <c r="G686" s="132"/>
      <c r="H686" s="132"/>
      <c r="I686" s="132"/>
      <c r="J686" s="132"/>
      <c r="K686" s="132"/>
      <c r="L686" s="132"/>
      <c r="M686" s="132"/>
      <c r="P686" s="132"/>
    </row>
    <row r="687" spans="3:16" x14ac:dyDescent="0.2">
      <c r="C687" s="132"/>
      <c r="D687" s="132"/>
      <c r="E687" s="132"/>
      <c r="G687" s="132"/>
      <c r="H687" s="132"/>
      <c r="I687" s="132"/>
      <c r="J687" s="132"/>
      <c r="K687" s="132"/>
      <c r="L687" s="132"/>
      <c r="M687" s="132"/>
      <c r="P687" s="132"/>
    </row>
    <row r="688" spans="3:16" x14ac:dyDescent="0.2">
      <c r="C688" s="132"/>
      <c r="D688" s="132"/>
      <c r="E688" s="132"/>
      <c r="G688" s="132"/>
      <c r="H688" s="132"/>
      <c r="I688" s="132"/>
      <c r="J688" s="132"/>
      <c r="K688" s="132"/>
      <c r="L688" s="132"/>
      <c r="M688" s="132"/>
      <c r="P688" s="132"/>
    </row>
    <row r="689" spans="3:16" x14ac:dyDescent="0.2">
      <c r="C689" s="132"/>
      <c r="D689" s="132"/>
      <c r="E689" s="132"/>
      <c r="G689" s="132"/>
      <c r="H689" s="132"/>
      <c r="I689" s="132"/>
      <c r="J689" s="132"/>
      <c r="K689" s="132"/>
      <c r="L689" s="132"/>
      <c r="M689" s="132"/>
      <c r="P689" s="132"/>
    </row>
    <row r="690" spans="3:16" x14ac:dyDescent="0.2">
      <c r="C690" s="132"/>
      <c r="D690" s="132"/>
      <c r="E690" s="132"/>
      <c r="G690" s="132"/>
      <c r="H690" s="132"/>
      <c r="I690" s="132"/>
      <c r="J690" s="132"/>
      <c r="K690" s="132"/>
      <c r="L690" s="132"/>
      <c r="M690" s="132"/>
      <c r="P690" s="132"/>
    </row>
    <row r="691" spans="3:16" x14ac:dyDescent="0.2">
      <c r="C691" s="132"/>
      <c r="D691" s="132"/>
      <c r="E691" s="132"/>
      <c r="G691" s="132"/>
      <c r="H691" s="132"/>
      <c r="I691" s="132"/>
      <c r="J691" s="132"/>
      <c r="K691" s="132"/>
      <c r="L691" s="132"/>
      <c r="M691" s="132"/>
      <c r="P691" s="132"/>
    </row>
    <row r="692" spans="3:16" x14ac:dyDescent="0.2">
      <c r="C692" s="132"/>
      <c r="D692" s="132"/>
      <c r="E692" s="132"/>
      <c r="G692" s="132"/>
      <c r="H692" s="132"/>
      <c r="I692" s="132"/>
      <c r="J692" s="132"/>
      <c r="K692" s="132"/>
      <c r="L692" s="132"/>
      <c r="M692" s="132"/>
      <c r="P692" s="132"/>
    </row>
    <row r="693" spans="3:16" x14ac:dyDescent="0.2">
      <c r="C693" s="132"/>
      <c r="D693" s="132"/>
      <c r="E693" s="132"/>
      <c r="G693" s="132"/>
      <c r="H693" s="132"/>
      <c r="I693" s="132"/>
      <c r="J693" s="132"/>
      <c r="K693" s="132"/>
      <c r="L693" s="132"/>
      <c r="M693" s="132"/>
      <c r="P693" s="132"/>
    </row>
    <row r="694" spans="3:16" x14ac:dyDescent="0.2">
      <c r="C694" s="132"/>
      <c r="D694" s="132"/>
      <c r="E694" s="132"/>
      <c r="G694" s="132"/>
      <c r="H694" s="132"/>
      <c r="I694" s="132"/>
      <c r="J694" s="132"/>
      <c r="K694" s="132"/>
      <c r="L694" s="132"/>
      <c r="M694" s="132"/>
      <c r="P694" s="132"/>
    </row>
    <row r="695" spans="3:16" x14ac:dyDescent="0.2">
      <c r="C695" s="132"/>
      <c r="D695" s="132"/>
      <c r="E695" s="132"/>
      <c r="G695" s="132"/>
      <c r="H695" s="132"/>
      <c r="I695" s="132"/>
      <c r="J695" s="132"/>
      <c r="K695" s="132"/>
      <c r="L695" s="132"/>
      <c r="M695" s="132"/>
      <c r="P695" s="132"/>
    </row>
    <row r="696" spans="3:16" x14ac:dyDescent="0.2">
      <c r="C696" s="132"/>
      <c r="D696" s="132"/>
      <c r="E696" s="132"/>
      <c r="G696" s="132"/>
      <c r="H696" s="132"/>
      <c r="I696" s="132"/>
      <c r="J696" s="132"/>
      <c r="K696" s="132"/>
      <c r="L696" s="132"/>
      <c r="M696" s="132"/>
      <c r="P696" s="132"/>
    </row>
    <row r="697" spans="3:16" x14ac:dyDescent="0.2">
      <c r="C697" s="132"/>
      <c r="D697" s="132"/>
      <c r="E697" s="132"/>
      <c r="G697" s="132"/>
      <c r="H697" s="132"/>
      <c r="I697" s="132"/>
      <c r="J697" s="132"/>
      <c r="K697" s="132"/>
      <c r="L697" s="132"/>
      <c r="M697" s="132"/>
      <c r="P697" s="132"/>
    </row>
    <row r="698" spans="3:16" x14ac:dyDescent="0.2">
      <c r="C698" s="132"/>
      <c r="D698" s="132"/>
      <c r="E698" s="132"/>
      <c r="G698" s="132"/>
      <c r="H698" s="132"/>
      <c r="I698" s="132"/>
      <c r="J698" s="132"/>
      <c r="K698" s="132"/>
      <c r="L698" s="132"/>
      <c r="M698" s="132"/>
      <c r="P698" s="132"/>
    </row>
    <row r="699" spans="3:16" x14ac:dyDescent="0.2">
      <c r="C699" s="132"/>
      <c r="D699" s="132"/>
      <c r="E699" s="132"/>
      <c r="G699" s="132"/>
      <c r="H699" s="132"/>
      <c r="I699" s="132"/>
      <c r="J699" s="132"/>
      <c r="K699" s="132"/>
      <c r="L699" s="132"/>
      <c r="M699" s="132"/>
      <c r="P699" s="132"/>
    </row>
    <row r="700" spans="3:16" x14ac:dyDescent="0.2">
      <c r="C700" s="132"/>
      <c r="D700" s="132"/>
      <c r="E700" s="132"/>
      <c r="G700" s="132"/>
      <c r="H700" s="132"/>
      <c r="I700" s="132"/>
      <c r="J700" s="132"/>
      <c r="K700" s="132"/>
      <c r="L700" s="132"/>
      <c r="M700" s="132"/>
      <c r="P700" s="132"/>
    </row>
    <row r="701" spans="3:16" x14ac:dyDescent="0.2">
      <c r="C701" s="132"/>
      <c r="D701" s="132"/>
      <c r="E701" s="132"/>
      <c r="G701" s="132"/>
      <c r="H701" s="132"/>
      <c r="I701" s="132"/>
      <c r="J701" s="132"/>
      <c r="K701" s="132"/>
      <c r="L701" s="132"/>
      <c r="M701" s="132"/>
      <c r="P701" s="132"/>
    </row>
    <row r="702" spans="3:16" x14ac:dyDescent="0.2">
      <c r="C702" s="132"/>
      <c r="D702" s="132"/>
      <c r="E702" s="132"/>
      <c r="G702" s="132"/>
      <c r="H702" s="132"/>
      <c r="I702" s="132"/>
      <c r="J702" s="132"/>
      <c r="K702" s="132"/>
      <c r="L702" s="132"/>
      <c r="M702" s="132"/>
      <c r="P702" s="132"/>
    </row>
    <row r="703" spans="3:16" x14ac:dyDescent="0.2">
      <c r="C703" s="132"/>
      <c r="D703" s="132"/>
      <c r="E703" s="132"/>
      <c r="G703" s="132"/>
      <c r="H703" s="132"/>
      <c r="I703" s="132"/>
      <c r="J703" s="132"/>
      <c r="K703" s="132"/>
      <c r="L703" s="132"/>
      <c r="M703" s="132"/>
      <c r="P703" s="132"/>
    </row>
    <row r="704" spans="3:16" x14ac:dyDescent="0.2">
      <c r="C704" s="132"/>
      <c r="D704" s="132"/>
      <c r="E704" s="132"/>
      <c r="G704" s="132"/>
      <c r="H704" s="132"/>
      <c r="I704" s="132"/>
      <c r="J704" s="132"/>
      <c r="K704" s="132"/>
      <c r="L704" s="132"/>
      <c r="M704" s="132"/>
      <c r="P704" s="132"/>
    </row>
    <row r="705" spans="3:16" x14ac:dyDescent="0.2">
      <c r="C705" s="132"/>
      <c r="D705" s="132"/>
      <c r="E705" s="132"/>
      <c r="G705" s="132"/>
      <c r="H705" s="132"/>
      <c r="I705" s="132"/>
      <c r="J705" s="132"/>
      <c r="K705" s="132"/>
      <c r="L705" s="132"/>
      <c r="M705" s="132"/>
      <c r="P705" s="132"/>
    </row>
    <row r="706" spans="3:16" x14ac:dyDescent="0.2">
      <c r="C706" s="132"/>
      <c r="D706" s="132"/>
      <c r="E706" s="132"/>
      <c r="G706" s="132"/>
      <c r="H706" s="132"/>
      <c r="I706" s="132"/>
      <c r="J706" s="132"/>
      <c r="K706" s="132"/>
      <c r="L706" s="132"/>
      <c r="M706" s="132"/>
      <c r="P706" s="132"/>
    </row>
    <row r="707" spans="3:16" x14ac:dyDescent="0.2">
      <c r="C707" s="132"/>
      <c r="D707" s="132"/>
      <c r="E707" s="132"/>
      <c r="G707" s="132"/>
      <c r="H707" s="132"/>
      <c r="I707" s="132"/>
      <c r="J707" s="132"/>
      <c r="K707" s="132"/>
      <c r="L707" s="132"/>
      <c r="M707" s="132"/>
      <c r="P707" s="132"/>
    </row>
    <row r="708" spans="3:16" x14ac:dyDescent="0.2">
      <c r="C708" s="132"/>
      <c r="D708" s="132"/>
      <c r="E708" s="132"/>
      <c r="G708" s="132"/>
      <c r="H708" s="132"/>
      <c r="I708" s="132"/>
      <c r="J708" s="132"/>
      <c r="K708" s="132"/>
      <c r="L708" s="132"/>
      <c r="M708" s="132"/>
      <c r="P708" s="132"/>
    </row>
    <row r="709" spans="3:16" x14ac:dyDescent="0.2">
      <c r="C709" s="132"/>
      <c r="D709" s="132"/>
      <c r="E709" s="132"/>
      <c r="G709" s="132"/>
      <c r="H709" s="132"/>
      <c r="I709" s="132"/>
      <c r="J709" s="132"/>
      <c r="K709" s="132"/>
      <c r="L709" s="132"/>
      <c r="M709" s="132"/>
      <c r="P709" s="132"/>
    </row>
    <row r="710" spans="3:16" x14ac:dyDescent="0.2">
      <c r="C710" s="132"/>
      <c r="D710" s="132"/>
      <c r="E710" s="132"/>
      <c r="G710" s="132"/>
      <c r="H710" s="132"/>
      <c r="I710" s="132"/>
      <c r="J710" s="132"/>
      <c r="K710" s="132"/>
      <c r="L710" s="132"/>
      <c r="M710" s="132"/>
      <c r="P710" s="132"/>
    </row>
    <row r="711" spans="3:16" x14ac:dyDescent="0.2">
      <c r="C711" s="132"/>
      <c r="D711" s="132"/>
      <c r="E711" s="132"/>
      <c r="G711" s="132"/>
      <c r="H711" s="132"/>
      <c r="I711" s="132"/>
      <c r="J711" s="132"/>
      <c r="K711" s="132"/>
      <c r="L711" s="132"/>
      <c r="M711" s="132"/>
      <c r="P711" s="132"/>
    </row>
    <row r="712" spans="3:16" x14ac:dyDescent="0.2">
      <c r="C712" s="132"/>
      <c r="D712" s="132"/>
      <c r="E712" s="132"/>
      <c r="G712" s="132"/>
      <c r="H712" s="132"/>
      <c r="I712" s="132"/>
      <c r="J712" s="132"/>
      <c r="K712" s="132"/>
      <c r="L712" s="132"/>
      <c r="M712" s="132"/>
      <c r="P712" s="132"/>
    </row>
    <row r="713" spans="3:16" x14ac:dyDescent="0.2">
      <c r="C713" s="132"/>
      <c r="D713" s="132"/>
      <c r="E713" s="132"/>
      <c r="G713" s="132"/>
      <c r="H713" s="132"/>
      <c r="I713" s="132"/>
      <c r="J713" s="132"/>
      <c r="K713" s="132"/>
      <c r="L713" s="132"/>
      <c r="M713" s="132"/>
      <c r="P713" s="132"/>
    </row>
    <row r="714" spans="3:16" x14ac:dyDescent="0.2">
      <c r="C714" s="132"/>
      <c r="D714" s="132"/>
      <c r="E714" s="132"/>
      <c r="G714" s="132"/>
      <c r="H714" s="132"/>
      <c r="I714" s="132"/>
      <c r="J714" s="132"/>
      <c r="K714" s="132"/>
      <c r="L714" s="132"/>
      <c r="M714" s="132"/>
      <c r="P714" s="132"/>
    </row>
    <row r="715" spans="3:16" x14ac:dyDescent="0.2">
      <c r="C715" s="132"/>
      <c r="D715" s="132"/>
      <c r="E715" s="132"/>
      <c r="G715" s="132"/>
      <c r="H715" s="132"/>
      <c r="I715" s="132"/>
      <c r="J715" s="132"/>
      <c r="K715" s="132"/>
      <c r="L715" s="132"/>
      <c r="M715" s="132"/>
      <c r="P715" s="132"/>
    </row>
    <row r="716" spans="3:16" x14ac:dyDescent="0.2">
      <c r="C716" s="132"/>
      <c r="D716" s="132"/>
      <c r="E716" s="132"/>
      <c r="G716" s="132"/>
      <c r="H716" s="132"/>
      <c r="I716" s="132"/>
      <c r="J716" s="132"/>
      <c r="K716" s="132"/>
      <c r="L716" s="132"/>
      <c r="M716" s="132"/>
      <c r="P716" s="132"/>
    </row>
    <row r="717" spans="3:16" x14ac:dyDescent="0.2">
      <c r="C717" s="132"/>
      <c r="D717" s="132"/>
      <c r="E717" s="132"/>
      <c r="G717" s="132"/>
      <c r="H717" s="132"/>
      <c r="I717" s="132"/>
      <c r="J717" s="132"/>
      <c r="K717" s="132"/>
      <c r="L717" s="132"/>
      <c r="M717" s="132"/>
      <c r="P717" s="132"/>
    </row>
    <row r="718" spans="3:16" x14ac:dyDescent="0.2">
      <c r="C718" s="132"/>
      <c r="D718" s="132"/>
      <c r="E718" s="132"/>
      <c r="G718" s="132"/>
      <c r="H718" s="132"/>
      <c r="I718" s="132"/>
      <c r="J718" s="132"/>
      <c r="K718" s="132"/>
      <c r="L718" s="132"/>
      <c r="M718" s="132"/>
      <c r="N718" s="142"/>
      <c r="O718" s="142"/>
      <c r="P718" s="132"/>
    </row>
    <row r="719" spans="3:16" x14ac:dyDescent="0.2">
      <c r="C719" s="132"/>
      <c r="D719" s="132"/>
      <c r="E719" s="132"/>
      <c r="G719" s="132"/>
      <c r="H719" s="132"/>
      <c r="I719" s="132"/>
      <c r="J719" s="132"/>
      <c r="K719" s="132"/>
      <c r="L719" s="132"/>
      <c r="M719" s="132"/>
      <c r="N719" s="142"/>
      <c r="O719" s="142"/>
      <c r="P719" s="132"/>
    </row>
    <row r="720" spans="3:16" x14ac:dyDescent="0.2">
      <c r="C720" s="132"/>
      <c r="D720" s="132"/>
      <c r="E720" s="132"/>
      <c r="G720" s="132"/>
      <c r="H720" s="132"/>
      <c r="I720" s="132"/>
      <c r="J720" s="132"/>
      <c r="K720" s="132"/>
      <c r="L720" s="132"/>
      <c r="M720" s="132"/>
      <c r="N720" s="142"/>
      <c r="O720" s="142"/>
      <c r="P720" s="132"/>
    </row>
    <row r="721" spans="3:16" x14ac:dyDescent="0.2">
      <c r="C721" s="132"/>
      <c r="D721" s="132"/>
      <c r="E721" s="132"/>
      <c r="G721" s="132"/>
      <c r="H721" s="132"/>
      <c r="I721" s="132"/>
      <c r="J721" s="132"/>
      <c r="K721" s="132"/>
      <c r="L721" s="132"/>
      <c r="M721" s="132"/>
      <c r="N721" s="142"/>
      <c r="O721" s="142"/>
      <c r="P721" s="132"/>
    </row>
    <row r="722" spans="3:16" x14ac:dyDescent="0.2">
      <c r="C722" s="132"/>
      <c r="D722" s="132"/>
      <c r="E722" s="132"/>
      <c r="G722" s="132"/>
      <c r="H722" s="132"/>
      <c r="I722" s="132"/>
      <c r="J722" s="132"/>
      <c r="K722" s="132"/>
      <c r="L722" s="132"/>
      <c r="M722" s="132"/>
      <c r="N722" s="142"/>
      <c r="O722" s="142"/>
      <c r="P722" s="132"/>
    </row>
    <row r="723" spans="3:16" x14ac:dyDescent="0.2">
      <c r="C723" s="132"/>
      <c r="D723" s="132"/>
      <c r="E723" s="132"/>
      <c r="G723" s="132"/>
      <c r="H723" s="132"/>
      <c r="I723" s="132"/>
      <c r="J723" s="132"/>
      <c r="K723" s="132"/>
      <c r="L723" s="132"/>
      <c r="M723" s="132"/>
      <c r="N723" s="142"/>
      <c r="O723" s="142"/>
      <c r="P723" s="132"/>
    </row>
    <row r="724" spans="3:16" x14ac:dyDescent="0.2">
      <c r="C724" s="132"/>
      <c r="D724" s="132"/>
      <c r="E724" s="132"/>
      <c r="G724" s="132"/>
      <c r="H724" s="132"/>
      <c r="I724" s="132"/>
      <c r="J724" s="132"/>
      <c r="K724" s="132"/>
      <c r="L724" s="132"/>
      <c r="M724" s="132"/>
      <c r="N724" s="142"/>
      <c r="O724" s="142"/>
      <c r="P724" s="132"/>
    </row>
    <row r="725" spans="3:16" x14ac:dyDescent="0.2">
      <c r="C725" s="132"/>
      <c r="D725" s="132"/>
      <c r="E725" s="132"/>
      <c r="G725" s="132"/>
      <c r="H725" s="132"/>
      <c r="I725" s="132"/>
      <c r="J725" s="132"/>
      <c r="K725" s="132"/>
      <c r="L725" s="132"/>
      <c r="M725" s="132"/>
      <c r="N725" s="142"/>
      <c r="O725" s="142"/>
      <c r="P725" s="132"/>
    </row>
    <row r="726" spans="3:16" x14ac:dyDescent="0.2">
      <c r="C726" s="132"/>
      <c r="D726" s="132"/>
      <c r="E726" s="132"/>
      <c r="G726" s="132"/>
      <c r="H726" s="132"/>
      <c r="I726" s="132"/>
      <c r="J726" s="132"/>
      <c r="K726" s="132"/>
      <c r="L726" s="132"/>
      <c r="M726" s="132"/>
      <c r="N726" s="142"/>
      <c r="O726" s="142"/>
      <c r="P726" s="132"/>
    </row>
    <row r="727" spans="3:16" x14ac:dyDescent="0.2">
      <c r="C727" s="132"/>
      <c r="D727" s="132"/>
      <c r="E727" s="132"/>
      <c r="G727" s="132"/>
      <c r="H727" s="132"/>
      <c r="I727" s="132"/>
      <c r="J727" s="132"/>
      <c r="K727" s="132"/>
      <c r="L727" s="132"/>
      <c r="M727" s="132"/>
      <c r="N727" s="142"/>
      <c r="O727" s="142"/>
      <c r="P727" s="132"/>
    </row>
    <row r="728" spans="3:16" x14ac:dyDescent="0.2">
      <c r="C728" s="132"/>
      <c r="D728" s="132"/>
      <c r="E728" s="132"/>
      <c r="G728" s="132"/>
      <c r="H728" s="132"/>
      <c r="I728" s="132"/>
      <c r="J728" s="132"/>
      <c r="K728" s="132"/>
      <c r="L728" s="132"/>
      <c r="M728" s="132"/>
      <c r="N728" s="142"/>
      <c r="O728" s="142"/>
      <c r="P728" s="132"/>
    </row>
    <row r="729" spans="3:16" x14ac:dyDescent="0.2">
      <c r="C729" s="132"/>
      <c r="D729" s="132"/>
      <c r="E729" s="132"/>
      <c r="G729" s="132"/>
      <c r="H729" s="132"/>
      <c r="I729" s="132"/>
      <c r="J729" s="132"/>
      <c r="K729" s="132"/>
      <c r="L729" s="132"/>
      <c r="M729" s="132"/>
      <c r="N729" s="142"/>
      <c r="O729" s="142"/>
      <c r="P729" s="132"/>
    </row>
    <row r="730" spans="3:16" x14ac:dyDescent="0.2">
      <c r="C730" s="132"/>
      <c r="D730" s="132"/>
      <c r="E730" s="132"/>
      <c r="G730" s="132"/>
      <c r="H730" s="132"/>
      <c r="I730" s="132"/>
      <c r="J730" s="132"/>
      <c r="K730" s="132"/>
      <c r="L730" s="132"/>
      <c r="M730" s="132"/>
      <c r="N730" s="142"/>
      <c r="O730" s="142"/>
      <c r="P730" s="132"/>
    </row>
    <row r="731" spans="3:16" x14ac:dyDescent="0.2">
      <c r="C731" s="132"/>
      <c r="D731" s="132"/>
      <c r="E731" s="132"/>
      <c r="G731" s="132"/>
      <c r="H731" s="132"/>
      <c r="I731" s="132"/>
      <c r="J731" s="132"/>
      <c r="K731" s="132"/>
      <c r="L731" s="132"/>
      <c r="M731" s="132"/>
      <c r="N731" s="142"/>
      <c r="O731" s="142"/>
      <c r="P731" s="132"/>
    </row>
    <row r="732" spans="3:16" x14ac:dyDescent="0.2">
      <c r="C732" s="132"/>
      <c r="D732" s="132"/>
      <c r="E732" s="132"/>
      <c r="G732" s="132"/>
      <c r="H732" s="132"/>
      <c r="I732" s="132"/>
      <c r="J732" s="132"/>
      <c r="K732" s="132"/>
      <c r="L732" s="132"/>
      <c r="M732" s="132"/>
      <c r="N732" s="142"/>
      <c r="O732" s="142"/>
      <c r="P732" s="132"/>
    </row>
    <row r="733" spans="3:16" x14ac:dyDescent="0.2">
      <c r="C733" s="132"/>
      <c r="D733" s="132"/>
      <c r="E733" s="132"/>
      <c r="G733" s="132"/>
      <c r="H733" s="132"/>
      <c r="I733" s="132"/>
      <c r="J733" s="132"/>
      <c r="K733" s="132"/>
      <c r="L733" s="132"/>
      <c r="M733" s="132"/>
      <c r="N733" s="142"/>
      <c r="O733" s="142"/>
      <c r="P733" s="132"/>
    </row>
    <row r="734" spans="3:16" x14ac:dyDescent="0.2">
      <c r="C734" s="132"/>
      <c r="D734" s="132"/>
      <c r="E734" s="132"/>
      <c r="G734" s="132"/>
      <c r="H734" s="132"/>
      <c r="I734" s="132"/>
      <c r="J734" s="132"/>
      <c r="K734" s="132"/>
      <c r="L734" s="132"/>
      <c r="M734" s="132"/>
      <c r="N734" s="142"/>
      <c r="O734" s="142"/>
      <c r="P734" s="132"/>
    </row>
    <row r="735" spans="3:16" x14ac:dyDescent="0.2">
      <c r="C735" s="132"/>
      <c r="D735" s="132"/>
      <c r="E735" s="132"/>
      <c r="G735" s="132"/>
      <c r="H735" s="132"/>
      <c r="I735" s="132"/>
      <c r="J735" s="132"/>
      <c r="K735" s="132"/>
      <c r="L735" s="132"/>
      <c r="M735" s="132"/>
      <c r="N735" s="142"/>
      <c r="O735" s="142"/>
      <c r="P735" s="132"/>
    </row>
    <row r="736" spans="3:16" x14ac:dyDescent="0.2">
      <c r="C736" s="132"/>
      <c r="D736" s="132"/>
      <c r="E736" s="132"/>
      <c r="G736" s="132"/>
      <c r="H736" s="132"/>
      <c r="I736" s="132"/>
      <c r="J736" s="132"/>
      <c r="K736" s="132"/>
      <c r="L736" s="132"/>
      <c r="M736" s="132"/>
      <c r="N736" s="142"/>
      <c r="O736" s="142"/>
      <c r="P736" s="132"/>
    </row>
    <row r="737" spans="3:16" x14ac:dyDescent="0.2">
      <c r="C737" s="132"/>
      <c r="D737" s="132"/>
      <c r="E737" s="132"/>
      <c r="G737" s="132"/>
      <c r="H737" s="132"/>
      <c r="I737" s="132"/>
      <c r="J737" s="132"/>
      <c r="K737" s="132"/>
      <c r="L737" s="132"/>
      <c r="M737" s="132"/>
      <c r="N737" s="142"/>
      <c r="O737" s="142"/>
      <c r="P737" s="132"/>
    </row>
    <row r="738" spans="3:16" x14ac:dyDescent="0.2">
      <c r="C738" s="132"/>
      <c r="D738" s="132"/>
      <c r="E738" s="132"/>
      <c r="G738" s="132"/>
      <c r="H738" s="132"/>
      <c r="I738" s="132"/>
      <c r="J738" s="132"/>
      <c r="K738" s="132"/>
      <c r="L738" s="132"/>
      <c r="M738" s="132"/>
      <c r="N738" s="142"/>
      <c r="O738" s="142"/>
      <c r="P738" s="132"/>
    </row>
    <row r="739" spans="3:16" x14ac:dyDescent="0.2">
      <c r="C739" s="132"/>
      <c r="D739" s="132"/>
      <c r="E739" s="132"/>
      <c r="G739" s="132"/>
      <c r="H739" s="132"/>
      <c r="I739" s="132"/>
      <c r="J739" s="132"/>
      <c r="K739" s="132"/>
      <c r="L739" s="132"/>
      <c r="M739" s="132"/>
      <c r="N739" s="142"/>
      <c r="O739" s="142"/>
      <c r="P739" s="132"/>
    </row>
    <row r="740" spans="3:16" x14ac:dyDescent="0.2">
      <c r="C740" s="132"/>
      <c r="D740" s="132"/>
      <c r="E740" s="132"/>
      <c r="G740" s="132"/>
      <c r="H740" s="132"/>
      <c r="I740" s="132"/>
      <c r="J740" s="132"/>
      <c r="K740" s="132"/>
      <c r="L740" s="132"/>
      <c r="M740" s="132"/>
      <c r="N740" s="142"/>
      <c r="O740" s="142"/>
      <c r="P740" s="132"/>
    </row>
    <row r="741" spans="3:16" x14ac:dyDescent="0.2">
      <c r="C741" s="132"/>
      <c r="D741" s="132"/>
      <c r="E741" s="132"/>
      <c r="G741" s="132"/>
      <c r="H741" s="132"/>
      <c r="I741" s="132"/>
      <c r="J741" s="132"/>
      <c r="K741" s="132"/>
      <c r="L741" s="132"/>
      <c r="M741" s="132"/>
      <c r="N741" s="142"/>
      <c r="O741" s="142"/>
      <c r="P741" s="132"/>
    </row>
    <row r="742" spans="3:16" x14ac:dyDescent="0.2">
      <c r="C742" s="132"/>
      <c r="D742" s="132"/>
      <c r="E742" s="132"/>
      <c r="G742" s="132"/>
      <c r="H742" s="132"/>
      <c r="I742" s="132"/>
      <c r="J742" s="132"/>
      <c r="K742" s="132"/>
      <c r="L742" s="132"/>
      <c r="M742" s="132"/>
      <c r="N742" s="142"/>
      <c r="O742" s="142"/>
      <c r="P742" s="132"/>
    </row>
    <row r="743" spans="3:16" x14ac:dyDescent="0.2">
      <c r="C743" s="132"/>
      <c r="D743" s="132"/>
      <c r="E743" s="132"/>
      <c r="G743" s="132"/>
      <c r="H743" s="132"/>
      <c r="I743" s="132"/>
      <c r="J743" s="132"/>
      <c r="K743" s="132"/>
      <c r="L743" s="132"/>
      <c r="M743" s="132"/>
      <c r="N743" s="142"/>
      <c r="O743" s="142"/>
      <c r="P743" s="132"/>
    </row>
    <row r="744" spans="3:16" x14ac:dyDescent="0.2">
      <c r="C744" s="132"/>
      <c r="D744" s="132"/>
      <c r="E744" s="132"/>
      <c r="G744" s="132"/>
      <c r="H744" s="132"/>
      <c r="I744" s="132"/>
      <c r="J744" s="132"/>
      <c r="K744" s="132"/>
      <c r="L744" s="132"/>
      <c r="M744" s="132"/>
      <c r="N744" s="142"/>
      <c r="O744" s="142"/>
      <c r="P744" s="132"/>
    </row>
    <row r="745" spans="3:16" x14ac:dyDescent="0.2">
      <c r="C745" s="132"/>
      <c r="D745" s="132"/>
      <c r="E745" s="132"/>
      <c r="G745" s="132"/>
      <c r="H745" s="132"/>
      <c r="I745" s="132"/>
      <c r="J745" s="132"/>
      <c r="K745" s="132"/>
      <c r="L745" s="132"/>
      <c r="M745" s="132"/>
      <c r="N745" s="142"/>
      <c r="O745" s="142"/>
      <c r="P745" s="132"/>
    </row>
    <row r="746" spans="3:16" x14ac:dyDescent="0.2">
      <c r="C746" s="132"/>
      <c r="D746" s="132"/>
      <c r="E746" s="132"/>
      <c r="G746" s="132"/>
      <c r="H746" s="132"/>
      <c r="I746" s="132"/>
      <c r="J746" s="132"/>
      <c r="K746" s="132"/>
      <c r="L746" s="132"/>
      <c r="M746" s="132"/>
      <c r="N746" s="142"/>
      <c r="O746" s="142"/>
      <c r="P746" s="132"/>
    </row>
    <row r="747" spans="3:16" x14ac:dyDescent="0.2">
      <c r="C747" s="132"/>
      <c r="D747" s="132"/>
      <c r="E747" s="132"/>
      <c r="G747" s="132"/>
      <c r="H747" s="132"/>
      <c r="I747" s="132"/>
      <c r="J747" s="132"/>
      <c r="K747" s="132"/>
      <c r="L747" s="132"/>
      <c r="M747" s="132"/>
      <c r="N747" s="142"/>
      <c r="O747" s="142"/>
      <c r="P747" s="132"/>
    </row>
    <row r="748" spans="3:16" x14ac:dyDescent="0.2">
      <c r="C748" s="132"/>
      <c r="D748" s="132"/>
      <c r="E748" s="132"/>
      <c r="G748" s="132"/>
      <c r="H748" s="132"/>
      <c r="I748" s="132"/>
      <c r="J748" s="132"/>
      <c r="K748" s="132"/>
      <c r="L748" s="132"/>
      <c r="M748" s="132"/>
      <c r="N748" s="142"/>
      <c r="O748" s="142"/>
      <c r="P748" s="132"/>
    </row>
    <row r="749" spans="3:16" x14ac:dyDescent="0.2">
      <c r="C749" s="132"/>
      <c r="D749" s="132"/>
      <c r="E749" s="132"/>
      <c r="G749" s="132"/>
      <c r="H749" s="132"/>
      <c r="I749" s="132"/>
      <c r="J749" s="132"/>
      <c r="K749" s="132"/>
      <c r="L749" s="132"/>
      <c r="M749" s="132"/>
      <c r="N749" s="142"/>
      <c r="O749" s="142"/>
      <c r="P749" s="132"/>
    </row>
    <row r="750" spans="3:16" x14ac:dyDescent="0.2">
      <c r="C750" s="132"/>
      <c r="D750" s="132"/>
      <c r="E750" s="132"/>
      <c r="G750" s="132"/>
      <c r="H750" s="132"/>
      <c r="I750" s="132"/>
      <c r="J750" s="132"/>
      <c r="K750" s="132"/>
      <c r="L750" s="132"/>
      <c r="M750" s="132"/>
      <c r="N750" s="142"/>
      <c r="O750" s="142"/>
      <c r="P750" s="132"/>
    </row>
    <row r="751" spans="3:16" x14ac:dyDescent="0.2">
      <c r="C751" s="132"/>
      <c r="D751" s="132"/>
      <c r="E751" s="132"/>
      <c r="G751" s="132"/>
      <c r="H751" s="132"/>
      <c r="I751" s="132"/>
      <c r="J751" s="132"/>
      <c r="K751" s="132"/>
      <c r="L751" s="132"/>
      <c r="M751" s="132"/>
      <c r="N751" s="142"/>
      <c r="O751" s="142"/>
      <c r="P751" s="132"/>
    </row>
    <row r="752" spans="3:16" x14ac:dyDescent="0.2">
      <c r="C752" s="132"/>
      <c r="D752" s="132"/>
      <c r="E752" s="132"/>
      <c r="G752" s="132"/>
      <c r="H752" s="132"/>
      <c r="I752" s="132"/>
      <c r="J752" s="132"/>
      <c r="K752" s="132"/>
      <c r="L752" s="132"/>
      <c r="M752" s="132"/>
      <c r="N752" s="142"/>
      <c r="O752" s="142"/>
      <c r="P752" s="132"/>
    </row>
    <row r="753" spans="3:16" x14ac:dyDescent="0.2">
      <c r="C753" s="132"/>
      <c r="D753" s="132"/>
      <c r="E753" s="132"/>
      <c r="G753" s="132"/>
      <c r="H753" s="132"/>
      <c r="I753" s="132"/>
      <c r="J753" s="132"/>
      <c r="K753" s="132"/>
      <c r="L753" s="132"/>
      <c r="M753" s="132"/>
      <c r="N753" s="142"/>
      <c r="O753" s="142"/>
      <c r="P753" s="132"/>
    </row>
    <row r="754" spans="3:16" x14ac:dyDescent="0.2">
      <c r="C754" s="132"/>
      <c r="D754" s="132"/>
      <c r="E754" s="132"/>
      <c r="G754" s="132"/>
      <c r="H754" s="132"/>
      <c r="I754" s="132"/>
      <c r="J754" s="132"/>
      <c r="K754" s="132"/>
      <c r="L754" s="132"/>
      <c r="M754" s="132"/>
      <c r="N754" s="142"/>
      <c r="O754" s="142"/>
      <c r="P754" s="132"/>
    </row>
    <row r="755" spans="3:16" x14ac:dyDescent="0.2">
      <c r="C755" s="132"/>
      <c r="D755" s="132"/>
      <c r="E755" s="132"/>
      <c r="G755" s="132"/>
      <c r="H755" s="132"/>
      <c r="I755" s="132"/>
      <c r="J755" s="132"/>
      <c r="K755" s="132"/>
      <c r="L755" s="132"/>
      <c r="M755" s="132"/>
      <c r="N755" s="142"/>
      <c r="O755" s="142"/>
      <c r="P755" s="132"/>
    </row>
    <row r="756" spans="3:16" x14ac:dyDescent="0.2">
      <c r="C756" s="132"/>
      <c r="D756" s="132"/>
      <c r="E756" s="132"/>
      <c r="G756" s="132"/>
      <c r="H756" s="132"/>
      <c r="I756" s="132"/>
      <c r="J756" s="132"/>
      <c r="K756" s="132"/>
      <c r="L756" s="132"/>
      <c r="M756" s="132"/>
      <c r="N756" s="142"/>
      <c r="O756" s="142"/>
      <c r="P756" s="132"/>
    </row>
    <row r="757" spans="3:16" x14ac:dyDescent="0.2">
      <c r="C757" s="132"/>
      <c r="D757" s="132"/>
      <c r="E757" s="132"/>
      <c r="G757" s="132"/>
      <c r="H757" s="132"/>
      <c r="I757" s="132"/>
      <c r="J757" s="132"/>
      <c r="K757" s="132"/>
      <c r="L757" s="132"/>
      <c r="M757" s="132"/>
      <c r="N757" s="142"/>
      <c r="O757" s="142"/>
      <c r="P757" s="132"/>
    </row>
    <row r="758" spans="3:16" x14ac:dyDescent="0.2">
      <c r="C758" s="132"/>
      <c r="D758" s="132"/>
      <c r="E758" s="132"/>
      <c r="F758" s="132"/>
      <c r="G758" s="132"/>
      <c r="H758" s="132"/>
      <c r="I758" s="132"/>
      <c r="J758" s="132"/>
      <c r="K758" s="132"/>
      <c r="L758" s="132"/>
      <c r="M758" s="132"/>
      <c r="N758" s="142"/>
      <c r="O758" s="142"/>
      <c r="P758" s="132"/>
    </row>
    <row r="759" spans="3:16" x14ac:dyDescent="0.2">
      <c r="C759" s="132"/>
      <c r="D759" s="132"/>
      <c r="E759" s="132"/>
      <c r="F759" s="132"/>
      <c r="G759" s="132"/>
      <c r="H759" s="132"/>
      <c r="I759" s="132"/>
      <c r="J759" s="132"/>
      <c r="K759" s="132"/>
      <c r="L759" s="132"/>
      <c r="M759" s="132"/>
      <c r="N759" s="142"/>
      <c r="O759" s="142"/>
      <c r="P759" s="132"/>
    </row>
    <row r="760" spans="3:16" x14ac:dyDescent="0.2">
      <c r="C760" s="132"/>
      <c r="D760" s="132"/>
      <c r="E760" s="132"/>
      <c r="F760" s="132"/>
      <c r="G760" s="132"/>
      <c r="H760" s="132"/>
      <c r="I760" s="132"/>
      <c r="J760" s="132"/>
      <c r="K760" s="132"/>
      <c r="L760" s="132"/>
      <c r="M760" s="132"/>
      <c r="N760" s="142"/>
      <c r="O760" s="142"/>
      <c r="P760" s="132"/>
    </row>
    <row r="761" spans="3:16" x14ac:dyDescent="0.2">
      <c r="C761" s="132"/>
      <c r="D761" s="132"/>
      <c r="E761" s="132"/>
      <c r="F761" s="132"/>
      <c r="G761" s="132"/>
      <c r="H761" s="132"/>
      <c r="I761" s="132"/>
      <c r="J761" s="132"/>
      <c r="K761" s="132"/>
      <c r="L761" s="132"/>
      <c r="M761" s="132"/>
      <c r="N761" s="142"/>
      <c r="O761" s="142"/>
      <c r="P761" s="132"/>
    </row>
    <row r="762" spans="3:16" x14ac:dyDescent="0.2">
      <c r="C762" s="132"/>
      <c r="D762" s="132"/>
      <c r="E762" s="132"/>
      <c r="F762" s="132"/>
      <c r="G762" s="132"/>
      <c r="H762" s="132"/>
      <c r="I762" s="132"/>
      <c r="J762" s="132"/>
      <c r="K762" s="132"/>
      <c r="L762" s="132"/>
      <c r="M762" s="132"/>
      <c r="N762" s="142"/>
      <c r="O762" s="142"/>
      <c r="P762" s="132"/>
    </row>
    <row r="763" spans="3:16" x14ac:dyDescent="0.2">
      <c r="C763" s="132"/>
      <c r="D763" s="132"/>
      <c r="E763" s="132"/>
      <c r="F763" s="132"/>
      <c r="G763" s="132"/>
      <c r="H763" s="132"/>
      <c r="I763" s="132"/>
      <c r="J763" s="132"/>
      <c r="K763" s="132"/>
      <c r="L763" s="132"/>
      <c r="M763" s="132"/>
      <c r="N763" s="142"/>
      <c r="O763" s="142"/>
      <c r="P763" s="132"/>
    </row>
    <row r="764" spans="3:16" x14ac:dyDescent="0.2">
      <c r="C764" s="132"/>
      <c r="D764" s="132"/>
      <c r="E764" s="132"/>
      <c r="F764" s="132"/>
      <c r="G764" s="132"/>
      <c r="H764" s="132"/>
      <c r="I764" s="132"/>
      <c r="J764" s="132"/>
      <c r="K764" s="132"/>
      <c r="L764" s="132"/>
      <c r="M764" s="132"/>
      <c r="N764" s="142"/>
      <c r="O764" s="142"/>
      <c r="P764" s="132"/>
    </row>
    <row r="765" spans="3:16" x14ac:dyDescent="0.2">
      <c r="C765" s="132"/>
      <c r="D765" s="132"/>
      <c r="E765" s="132"/>
      <c r="F765" s="132"/>
      <c r="G765" s="132"/>
      <c r="H765" s="132"/>
      <c r="I765" s="132"/>
      <c r="J765" s="132"/>
      <c r="K765" s="132"/>
      <c r="L765" s="132"/>
      <c r="M765" s="132"/>
      <c r="N765" s="142"/>
      <c r="O765" s="142"/>
      <c r="P765" s="132"/>
    </row>
    <row r="766" spans="3:16" x14ac:dyDescent="0.2">
      <c r="C766" s="132"/>
      <c r="D766" s="132"/>
      <c r="E766" s="132"/>
      <c r="F766" s="132"/>
      <c r="G766" s="132"/>
      <c r="H766" s="132"/>
      <c r="I766" s="132"/>
      <c r="J766" s="132"/>
      <c r="K766" s="132"/>
      <c r="L766" s="132"/>
      <c r="M766" s="132"/>
      <c r="N766" s="142"/>
      <c r="O766" s="142"/>
      <c r="P766" s="132"/>
    </row>
    <row r="767" spans="3:16" x14ac:dyDescent="0.2">
      <c r="C767" s="132"/>
      <c r="D767" s="132"/>
      <c r="E767" s="132"/>
      <c r="F767" s="132"/>
      <c r="G767" s="132"/>
      <c r="H767" s="132"/>
      <c r="I767" s="132"/>
      <c r="J767" s="132"/>
      <c r="K767" s="132"/>
      <c r="L767" s="132"/>
      <c r="M767" s="132"/>
      <c r="N767" s="142"/>
      <c r="O767" s="142"/>
      <c r="P767" s="132"/>
    </row>
    <row r="768" spans="3:16" x14ac:dyDescent="0.2">
      <c r="C768" s="132"/>
      <c r="D768" s="132"/>
      <c r="E768" s="132"/>
      <c r="F768" s="132"/>
      <c r="G768" s="132"/>
      <c r="H768" s="132"/>
      <c r="I768" s="132"/>
      <c r="J768" s="132"/>
      <c r="K768" s="132"/>
      <c r="L768" s="132"/>
      <c r="M768" s="132"/>
      <c r="N768" s="142"/>
      <c r="O768" s="142"/>
      <c r="P768" s="132"/>
    </row>
    <row r="769" spans="3:16" x14ac:dyDescent="0.2">
      <c r="C769" s="132"/>
      <c r="D769" s="132"/>
      <c r="E769" s="132"/>
      <c r="F769" s="132"/>
      <c r="G769" s="132"/>
      <c r="H769" s="132"/>
      <c r="I769" s="132"/>
      <c r="J769" s="132"/>
      <c r="K769" s="132"/>
      <c r="L769" s="132"/>
      <c r="M769" s="132"/>
      <c r="N769" s="142"/>
      <c r="O769" s="142"/>
      <c r="P769" s="132"/>
    </row>
    <row r="770" spans="3:16" x14ac:dyDescent="0.2">
      <c r="C770" s="132"/>
      <c r="D770" s="132"/>
      <c r="E770" s="132"/>
      <c r="F770" s="132"/>
      <c r="G770" s="132"/>
      <c r="H770" s="132"/>
      <c r="I770" s="132"/>
      <c r="J770" s="132"/>
      <c r="K770" s="132"/>
      <c r="L770" s="132"/>
      <c r="M770" s="132"/>
      <c r="N770" s="142"/>
      <c r="O770" s="142"/>
      <c r="P770" s="132"/>
    </row>
    <row r="771" spans="3:16" x14ac:dyDescent="0.2">
      <c r="C771" s="132"/>
      <c r="D771" s="132"/>
      <c r="E771" s="132"/>
      <c r="F771" s="132"/>
      <c r="G771" s="132"/>
      <c r="H771" s="132"/>
      <c r="I771" s="132"/>
      <c r="J771" s="132"/>
      <c r="K771" s="132"/>
      <c r="L771" s="132"/>
      <c r="M771" s="132"/>
      <c r="N771" s="142"/>
      <c r="O771" s="142"/>
      <c r="P771" s="132"/>
    </row>
    <row r="772" spans="3:16" x14ac:dyDescent="0.2">
      <c r="C772" s="132"/>
      <c r="D772" s="132"/>
      <c r="E772" s="132"/>
      <c r="F772" s="132"/>
      <c r="G772" s="132"/>
      <c r="H772" s="132"/>
      <c r="I772" s="132"/>
      <c r="J772" s="132"/>
      <c r="K772" s="132"/>
      <c r="L772" s="132"/>
      <c r="M772" s="132"/>
      <c r="N772" s="142"/>
      <c r="O772" s="142"/>
      <c r="P772" s="132"/>
    </row>
    <row r="773" spans="3:16" x14ac:dyDescent="0.2">
      <c r="C773" s="132"/>
      <c r="D773" s="132"/>
      <c r="E773" s="132"/>
      <c r="F773" s="132"/>
      <c r="G773" s="132"/>
      <c r="H773" s="132"/>
      <c r="I773" s="132"/>
      <c r="J773" s="132"/>
      <c r="K773" s="132"/>
      <c r="L773" s="132"/>
      <c r="M773" s="132"/>
      <c r="N773" s="142"/>
      <c r="O773" s="142"/>
      <c r="P773" s="132"/>
    </row>
    <row r="774" spans="3:16" x14ac:dyDescent="0.2">
      <c r="C774" s="132"/>
      <c r="D774" s="132"/>
      <c r="E774" s="132"/>
      <c r="F774" s="132"/>
      <c r="G774" s="132"/>
      <c r="H774" s="132"/>
      <c r="I774" s="132"/>
      <c r="J774" s="132"/>
      <c r="K774" s="132"/>
      <c r="L774" s="132"/>
      <c r="M774" s="132"/>
      <c r="N774" s="142"/>
      <c r="O774" s="142"/>
      <c r="P774" s="132"/>
    </row>
    <row r="775" spans="3:16" x14ac:dyDescent="0.2">
      <c r="C775" s="132"/>
      <c r="D775" s="132"/>
      <c r="E775" s="132"/>
      <c r="F775" s="132"/>
      <c r="G775" s="132"/>
      <c r="H775" s="132"/>
      <c r="I775" s="132"/>
      <c r="J775" s="132"/>
      <c r="K775" s="132"/>
      <c r="L775" s="132"/>
      <c r="M775" s="132"/>
      <c r="N775" s="142"/>
      <c r="O775" s="142"/>
      <c r="P775" s="132"/>
    </row>
    <row r="776" spans="3:16" x14ac:dyDescent="0.2">
      <c r="C776" s="132"/>
      <c r="D776" s="132"/>
      <c r="E776" s="132"/>
      <c r="F776" s="132"/>
      <c r="G776" s="132"/>
      <c r="H776" s="132"/>
      <c r="I776" s="132"/>
      <c r="J776" s="132"/>
      <c r="K776" s="132"/>
      <c r="L776" s="132"/>
      <c r="M776" s="132"/>
      <c r="N776" s="142"/>
      <c r="O776" s="142"/>
      <c r="P776" s="132"/>
    </row>
    <row r="777" spans="3:16" x14ac:dyDescent="0.2">
      <c r="C777" s="132"/>
      <c r="D777" s="132"/>
      <c r="E777" s="132"/>
      <c r="F777" s="132"/>
      <c r="G777" s="132"/>
      <c r="H777" s="132"/>
      <c r="I777" s="132"/>
      <c r="J777" s="132"/>
      <c r="K777" s="132"/>
      <c r="L777" s="132"/>
      <c r="M777" s="132"/>
      <c r="N777" s="142"/>
      <c r="O777" s="142"/>
      <c r="P777" s="132"/>
    </row>
    <row r="778" spans="3:16" x14ac:dyDescent="0.2">
      <c r="C778" s="132"/>
      <c r="D778" s="132"/>
      <c r="E778" s="132"/>
      <c r="F778" s="132"/>
      <c r="G778" s="132"/>
      <c r="H778" s="132"/>
      <c r="I778" s="132"/>
      <c r="J778" s="132"/>
      <c r="K778" s="132"/>
      <c r="L778" s="132"/>
      <c r="M778" s="132"/>
      <c r="N778" s="142"/>
      <c r="O778" s="142"/>
      <c r="P778" s="132"/>
    </row>
    <row r="779" spans="3:16" x14ac:dyDescent="0.2">
      <c r="C779" s="132"/>
      <c r="D779" s="132"/>
      <c r="E779" s="132"/>
      <c r="F779" s="132"/>
      <c r="G779" s="132"/>
      <c r="H779" s="132"/>
      <c r="I779" s="132"/>
      <c r="J779" s="132"/>
      <c r="K779" s="132"/>
      <c r="L779" s="132"/>
      <c r="M779" s="132"/>
      <c r="N779" s="142"/>
      <c r="O779" s="142"/>
      <c r="P779" s="132"/>
    </row>
    <row r="780" spans="3:16" x14ac:dyDescent="0.2">
      <c r="C780" s="132"/>
      <c r="D780" s="132"/>
      <c r="E780" s="132"/>
      <c r="F780" s="132"/>
      <c r="G780" s="132"/>
      <c r="H780" s="132"/>
      <c r="I780" s="132"/>
      <c r="J780" s="132"/>
      <c r="K780" s="132"/>
      <c r="L780" s="132"/>
      <c r="M780" s="132"/>
      <c r="N780" s="142"/>
      <c r="O780" s="142"/>
      <c r="P780" s="132"/>
    </row>
    <row r="781" spans="3:16" x14ac:dyDescent="0.2">
      <c r="C781" s="132"/>
      <c r="D781" s="132"/>
      <c r="E781" s="132"/>
      <c r="F781" s="132"/>
      <c r="G781" s="132"/>
      <c r="H781" s="132"/>
      <c r="I781" s="132"/>
      <c r="J781" s="132"/>
      <c r="K781" s="132"/>
      <c r="L781" s="132"/>
      <c r="M781" s="132"/>
      <c r="N781" s="142"/>
      <c r="O781" s="142"/>
      <c r="P781" s="132"/>
    </row>
    <row r="782" spans="3:16" x14ac:dyDescent="0.2">
      <c r="C782" s="132"/>
      <c r="D782" s="132"/>
      <c r="E782" s="132"/>
      <c r="F782" s="132"/>
      <c r="G782" s="132"/>
      <c r="H782" s="132"/>
      <c r="I782" s="132"/>
      <c r="J782" s="132"/>
      <c r="K782" s="132"/>
      <c r="L782" s="132"/>
      <c r="M782" s="132"/>
      <c r="N782" s="142"/>
      <c r="O782" s="142"/>
      <c r="P782" s="132"/>
    </row>
    <row r="783" spans="3:16" x14ac:dyDescent="0.2">
      <c r="C783" s="132"/>
      <c r="D783" s="132"/>
      <c r="E783" s="132"/>
      <c r="F783" s="132"/>
      <c r="G783" s="132"/>
      <c r="H783" s="132"/>
      <c r="I783" s="132"/>
      <c r="J783" s="132"/>
      <c r="K783" s="132"/>
      <c r="L783" s="132"/>
      <c r="M783" s="132"/>
      <c r="N783" s="142"/>
      <c r="O783" s="142"/>
      <c r="P783" s="132"/>
    </row>
    <row r="784" spans="3:16" x14ac:dyDescent="0.2">
      <c r="C784" s="132"/>
      <c r="D784" s="132"/>
      <c r="E784" s="132"/>
      <c r="F784" s="132"/>
      <c r="G784" s="132"/>
      <c r="H784" s="132"/>
      <c r="I784" s="132"/>
      <c r="J784" s="132"/>
      <c r="K784" s="132"/>
      <c r="L784" s="132"/>
      <c r="M784" s="132"/>
      <c r="N784" s="142"/>
      <c r="O784" s="142"/>
      <c r="P784" s="132"/>
    </row>
    <row r="785" spans="3:16" x14ac:dyDescent="0.2">
      <c r="C785" s="132"/>
      <c r="D785" s="132"/>
      <c r="E785" s="132"/>
      <c r="F785" s="132"/>
      <c r="G785" s="132"/>
      <c r="H785" s="132"/>
      <c r="I785" s="132"/>
      <c r="J785" s="132"/>
      <c r="K785" s="132"/>
      <c r="L785" s="132"/>
      <c r="M785" s="132"/>
      <c r="N785" s="142"/>
      <c r="O785" s="142"/>
      <c r="P785" s="132"/>
    </row>
    <row r="786" spans="3:16" x14ac:dyDescent="0.2">
      <c r="C786" s="132"/>
      <c r="D786" s="132"/>
      <c r="E786" s="132"/>
      <c r="F786" s="132"/>
      <c r="G786" s="132"/>
      <c r="H786" s="132"/>
      <c r="I786" s="132"/>
      <c r="J786" s="132"/>
      <c r="K786" s="132"/>
      <c r="L786" s="132"/>
      <c r="M786" s="132"/>
      <c r="N786" s="142"/>
      <c r="O786" s="142"/>
      <c r="P786" s="132"/>
    </row>
    <row r="787" spans="3:16" x14ac:dyDescent="0.2">
      <c r="C787" s="132"/>
      <c r="D787" s="132"/>
      <c r="E787" s="132"/>
      <c r="F787" s="132"/>
      <c r="G787" s="132"/>
      <c r="H787" s="132"/>
      <c r="I787" s="132"/>
      <c r="J787" s="132"/>
      <c r="K787" s="132"/>
      <c r="L787" s="132"/>
      <c r="M787" s="132"/>
      <c r="N787" s="142"/>
      <c r="O787" s="142"/>
      <c r="P787" s="132"/>
    </row>
    <row r="788" spans="3:16" x14ac:dyDescent="0.2">
      <c r="C788" s="132"/>
      <c r="D788" s="132"/>
      <c r="E788" s="132"/>
      <c r="F788" s="132"/>
      <c r="G788" s="132"/>
      <c r="H788" s="132"/>
      <c r="I788" s="132"/>
      <c r="J788" s="132"/>
      <c r="K788" s="132"/>
      <c r="L788" s="132"/>
      <c r="M788" s="132"/>
      <c r="N788" s="142"/>
      <c r="O788" s="142"/>
      <c r="P788" s="132"/>
    </row>
    <row r="789" spans="3:16" x14ac:dyDescent="0.2">
      <c r="C789" s="132"/>
      <c r="D789" s="132"/>
      <c r="E789" s="132"/>
      <c r="F789" s="132"/>
      <c r="G789" s="132"/>
      <c r="H789" s="132"/>
      <c r="I789" s="132"/>
      <c r="J789" s="132"/>
      <c r="K789" s="132"/>
      <c r="L789" s="132"/>
      <c r="M789" s="132"/>
      <c r="N789" s="142"/>
      <c r="O789" s="142"/>
      <c r="P789" s="132"/>
    </row>
    <row r="790" spans="3:16" x14ac:dyDescent="0.2">
      <c r="C790" s="132"/>
      <c r="D790" s="132"/>
      <c r="E790" s="132"/>
      <c r="F790" s="132"/>
      <c r="G790" s="132"/>
      <c r="H790" s="132"/>
      <c r="I790" s="132"/>
      <c r="J790" s="132"/>
      <c r="K790" s="132"/>
      <c r="L790" s="132"/>
      <c r="M790" s="132"/>
      <c r="N790" s="142"/>
      <c r="O790" s="142"/>
      <c r="P790" s="132"/>
    </row>
    <row r="791" spans="3:16" x14ac:dyDescent="0.2">
      <c r="C791" s="132"/>
      <c r="D791" s="132"/>
      <c r="E791" s="132"/>
      <c r="F791" s="132"/>
      <c r="G791" s="132"/>
      <c r="H791" s="132"/>
      <c r="I791" s="132"/>
      <c r="J791" s="132"/>
      <c r="K791" s="132"/>
      <c r="L791" s="132"/>
      <c r="M791" s="132"/>
      <c r="N791" s="142"/>
      <c r="O791" s="142"/>
      <c r="P791" s="132"/>
    </row>
    <row r="792" spans="3:16" x14ac:dyDescent="0.2">
      <c r="C792" s="132"/>
      <c r="D792" s="132"/>
      <c r="E792" s="132"/>
      <c r="F792" s="132"/>
      <c r="G792" s="132"/>
      <c r="H792" s="132"/>
      <c r="I792" s="132"/>
      <c r="J792" s="132"/>
      <c r="K792" s="132"/>
      <c r="L792" s="132"/>
      <c r="M792" s="132"/>
      <c r="N792" s="142"/>
      <c r="O792" s="142"/>
      <c r="P792" s="132"/>
    </row>
    <row r="793" spans="3:16" x14ac:dyDescent="0.2">
      <c r="C793" s="132"/>
      <c r="D793" s="132"/>
      <c r="E793" s="132"/>
      <c r="F793" s="132"/>
      <c r="G793" s="132"/>
      <c r="H793" s="132"/>
      <c r="I793" s="132"/>
      <c r="J793" s="132"/>
      <c r="K793" s="132"/>
      <c r="L793" s="132"/>
      <c r="M793" s="132"/>
      <c r="N793" s="142"/>
      <c r="O793" s="142"/>
      <c r="P793" s="132"/>
    </row>
    <row r="794" spans="3:16" x14ac:dyDescent="0.2">
      <c r="C794" s="132"/>
      <c r="D794" s="132"/>
      <c r="E794" s="132"/>
      <c r="F794" s="132"/>
      <c r="G794" s="132"/>
      <c r="H794" s="132"/>
      <c r="I794" s="132"/>
      <c r="J794" s="132"/>
      <c r="K794" s="132"/>
      <c r="L794" s="132"/>
      <c r="M794" s="132"/>
      <c r="N794" s="142"/>
      <c r="O794" s="142"/>
      <c r="P794" s="132"/>
    </row>
    <row r="795" spans="3:16" x14ac:dyDescent="0.2">
      <c r="C795" s="132"/>
      <c r="D795" s="132"/>
      <c r="E795" s="132"/>
      <c r="F795" s="132"/>
      <c r="G795" s="132"/>
      <c r="H795" s="132"/>
      <c r="I795" s="132"/>
      <c r="J795" s="132"/>
      <c r="K795" s="132"/>
      <c r="L795" s="132"/>
      <c r="M795" s="132"/>
      <c r="N795" s="142"/>
      <c r="O795" s="142"/>
      <c r="P795" s="132"/>
    </row>
    <row r="796" spans="3:16" x14ac:dyDescent="0.2">
      <c r="C796" s="132"/>
      <c r="D796" s="132"/>
      <c r="E796" s="132"/>
      <c r="F796" s="132"/>
      <c r="G796" s="132"/>
      <c r="H796" s="132"/>
      <c r="I796" s="132"/>
      <c r="J796" s="132"/>
      <c r="K796" s="132"/>
      <c r="L796" s="132"/>
      <c r="M796" s="132"/>
      <c r="N796" s="142"/>
      <c r="O796" s="142"/>
      <c r="P796" s="132"/>
    </row>
    <row r="797" spans="3:16" x14ac:dyDescent="0.2">
      <c r="C797" s="132"/>
      <c r="D797" s="132"/>
      <c r="E797" s="132"/>
      <c r="F797" s="132"/>
      <c r="G797" s="132"/>
      <c r="H797" s="132"/>
      <c r="I797" s="132"/>
      <c r="J797" s="132"/>
      <c r="K797" s="132"/>
      <c r="L797" s="132"/>
      <c r="M797" s="132"/>
      <c r="N797" s="142"/>
      <c r="O797" s="142"/>
      <c r="P797" s="132"/>
    </row>
    <row r="798" spans="3:16" x14ac:dyDescent="0.2">
      <c r="C798" s="132"/>
      <c r="D798" s="132"/>
      <c r="E798" s="132"/>
      <c r="F798" s="132"/>
      <c r="G798" s="132"/>
      <c r="H798" s="132"/>
      <c r="I798" s="132"/>
      <c r="J798" s="132"/>
      <c r="K798" s="132"/>
      <c r="L798" s="132"/>
      <c r="M798" s="132"/>
      <c r="N798" s="142"/>
      <c r="O798" s="142"/>
      <c r="P798" s="132"/>
    </row>
    <row r="799" spans="3:16" x14ac:dyDescent="0.2">
      <c r="C799" s="132"/>
      <c r="D799" s="132"/>
      <c r="E799" s="132"/>
      <c r="F799" s="132"/>
      <c r="G799" s="132"/>
      <c r="H799" s="132"/>
      <c r="I799" s="132"/>
      <c r="J799" s="132"/>
      <c r="K799" s="132"/>
      <c r="L799" s="132"/>
      <c r="M799" s="132"/>
      <c r="N799" s="142"/>
      <c r="O799" s="142"/>
      <c r="P799" s="132"/>
    </row>
    <row r="800" spans="3:16" x14ac:dyDescent="0.2">
      <c r="C800" s="132"/>
      <c r="D800" s="132"/>
      <c r="E800" s="132"/>
      <c r="F800" s="132"/>
      <c r="G800" s="132"/>
      <c r="H800" s="132"/>
      <c r="I800" s="132"/>
      <c r="J800" s="132"/>
      <c r="K800" s="132"/>
      <c r="L800" s="132"/>
      <c r="M800" s="132"/>
      <c r="N800" s="142"/>
      <c r="O800" s="142"/>
      <c r="P800" s="132"/>
    </row>
    <row r="801" spans="3:16" x14ac:dyDescent="0.2">
      <c r="C801" s="132"/>
      <c r="D801" s="132"/>
      <c r="E801" s="132"/>
      <c r="F801" s="132"/>
      <c r="G801" s="132"/>
      <c r="H801" s="132"/>
      <c r="I801" s="132"/>
      <c r="J801" s="132"/>
      <c r="K801" s="132"/>
      <c r="L801" s="132"/>
      <c r="M801" s="132"/>
      <c r="N801" s="142"/>
      <c r="O801" s="142"/>
      <c r="P801" s="132"/>
    </row>
    <row r="802" spans="3:16" x14ac:dyDescent="0.2">
      <c r="C802" s="132"/>
      <c r="D802" s="132"/>
      <c r="E802" s="132"/>
      <c r="F802" s="132"/>
      <c r="G802" s="132"/>
      <c r="H802" s="132"/>
      <c r="I802" s="132"/>
      <c r="J802" s="132"/>
      <c r="K802" s="132"/>
      <c r="L802" s="132"/>
      <c r="M802" s="132"/>
      <c r="N802" s="142"/>
      <c r="O802" s="142"/>
      <c r="P802" s="132"/>
    </row>
    <row r="803" spans="3:16" x14ac:dyDescent="0.2">
      <c r="C803" s="132"/>
      <c r="D803" s="132"/>
      <c r="E803" s="132"/>
      <c r="F803" s="132"/>
      <c r="G803" s="132"/>
      <c r="H803" s="132"/>
      <c r="I803" s="132"/>
      <c r="J803" s="132"/>
      <c r="K803" s="132"/>
      <c r="L803" s="132"/>
      <c r="M803" s="132"/>
      <c r="N803" s="142"/>
      <c r="O803" s="142"/>
      <c r="P803" s="132"/>
    </row>
    <row r="804" spans="3:16" x14ac:dyDescent="0.2">
      <c r="C804" s="132"/>
      <c r="D804" s="132"/>
      <c r="E804" s="132"/>
      <c r="F804" s="132"/>
      <c r="G804" s="132"/>
      <c r="H804" s="132"/>
      <c r="I804" s="132"/>
      <c r="J804" s="132"/>
      <c r="K804" s="132"/>
      <c r="L804" s="132"/>
      <c r="M804" s="132"/>
      <c r="N804" s="142"/>
      <c r="O804" s="142"/>
      <c r="P804" s="132"/>
    </row>
    <row r="805" spans="3:16" x14ac:dyDescent="0.2">
      <c r="C805" s="132"/>
      <c r="D805" s="132"/>
      <c r="E805" s="132"/>
      <c r="F805" s="132"/>
      <c r="G805" s="132"/>
      <c r="H805" s="132"/>
      <c r="I805" s="132"/>
      <c r="J805" s="132"/>
      <c r="K805" s="132"/>
      <c r="L805" s="132"/>
      <c r="M805" s="132"/>
      <c r="N805" s="142"/>
      <c r="O805" s="142"/>
      <c r="P805" s="132"/>
    </row>
    <row r="806" spans="3:16" x14ac:dyDescent="0.2">
      <c r="C806" s="132"/>
      <c r="D806" s="132"/>
      <c r="E806" s="132"/>
      <c r="F806" s="132"/>
      <c r="G806" s="132"/>
      <c r="H806" s="132"/>
      <c r="I806" s="132"/>
      <c r="J806" s="132"/>
      <c r="K806" s="132"/>
      <c r="L806" s="132"/>
      <c r="M806" s="132"/>
      <c r="N806" s="142"/>
      <c r="O806" s="142"/>
      <c r="P806" s="132"/>
    </row>
    <row r="807" spans="3:16" x14ac:dyDescent="0.2">
      <c r="C807" s="132"/>
      <c r="D807" s="132"/>
      <c r="E807" s="132"/>
      <c r="F807" s="132"/>
      <c r="G807" s="132"/>
      <c r="H807" s="132"/>
      <c r="I807" s="132"/>
      <c r="J807" s="132"/>
      <c r="K807" s="132"/>
      <c r="L807" s="132"/>
      <c r="M807" s="132"/>
      <c r="N807" s="142"/>
      <c r="O807" s="142"/>
      <c r="P807" s="132"/>
    </row>
    <row r="808" spans="3:16" x14ac:dyDescent="0.2">
      <c r="C808" s="132"/>
      <c r="D808" s="132"/>
      <c r="E808" s="132"/>
      <c r="F808" s="132"/>
      <c r="G808" s="132"/>
      <c r="H808" s="132"/>
      <c r="I808" s="132"/>
      <c r="J808" s="132"/>
      <c r="K808" s="132"/>
      <c r="L808" s="132"/>
      <c r="M808" s="132"/>
      <c r="N808" s="142"/>
      <c r="O808" s="142"/>
      <c r="P808" s="132"/>
    </row>
    <row r="809" spans="3:16" x14ac:dyDescent="0.2">
      <c r="C809" s="132"/>
      <c r="D809" s="132"/>
      <c r="E809" s="132"/>
      <c r="F809" s="132"/>
      <c r="G809" s="132"/>
      <c r="H809" s="132"/>
      <c r="I809" s="132"/>
      <c r="J809" s="132"/>
      <c r="K809" s="132"/>
      <c r="L809" s="132"/>
      <c r="M809" s="132"/>
      <c r="N809" s="142"/>
      <c r="O809" s="142"/>
      <c r="P809" s="132"/>
    </row>
    <row r="810" spans="3:16" x14ac:dyDescent="0.2">
      <c r="C810" s="132"/>
      <c r="D810" s="132"/>
      <c r="E810" s="132"/>
      <c r="F810" s="132"/>
      <c r="G810" s="132"/>
      <c r="H810" s="132"/>
      <c r="I810" s="132"/>
      <c r="J810" s="132"/>
      <c r="K810" s="132"/>
      <c r="L810" s="132"/>
      <c r="M810" s="132"/>
      <c r="N810" s="142"/>
      <c r="O810" s="142"/>
      <c r="P810" s="132"/>
    </row>
    <row r="811" spans="3:16" x14ac:dyDescent="0.2">
      <c r="C811" s="132"/>
      <c r="D811" s="132"/>
      <c r="E811" s="132"/>
      <c r="F811" s="132"/>
      <c r="G811" s="132"/>
      <c r="H811" s="132"/>
      <c r="I811" s="132"/>
      <c r="J811" s="132"/>
      <c r="K811" s="132"/>
      <c r="L811" s="132"/>
      <c r="M811" s="132"/>
      <c r="P811" s="132"/>
    </row>
    <row r="812" spans="3:16" x14ac:dyDescent="0.2">
      <c r="C812" s="132"/>
      <c r="D812" s="132"/>
      <c r="E812" s="132"/>
      <c r="F812" s="132"/>
      <c r="G812" s="132"/>
      <c r="H812" s="132"/>
      <c r="I812" s="132"/>
      <c r="J812" s="132"/>
      <c r="K812" s="132"/>
      <c r="M812" s="132"/>
      <c r="P812" s="132"/>
    </row>
    <row r="813" spans="3:16" x14ac:dyDescent="0.2">
      <c r="C813" s="132"/>
      <c r="D813" s="132"/>
      <c r="E813" s="132"/>
      <c r="F813" s="132"/>
      <c r="G813" s="132"/>
      <c r="H813" s="132"/>
      <c r="I813" s="132"/>
      <c r="J813" s="132"/>
      <c r="K813" s="132"/>
      <c r="P813" s="132"/>
    </row>
    <row r="814" spans="3:16" x14ac:dyDescent="0.2">
      <c r="C814" s="132"/>
      <c r="D814" s="132"/>
      <c r="E814" s="132"/>
      <c r="F814" s="132"/>
      <c r="G814" s="132"/>
      <c r="I814" s="132"/>
      <c r="J814" s="132"/>
      <c r="K814" s="132"/>
      <c r="P814" s="132"/>
    </row>
    <row r="815" spans="3:16" x14ac:dyDescent="0.2">
      <c r="C815" s="132"/>
      <c r="D815" s="132"/>
      <c r="E815" s="132"/>
      <c r="F815" s="132"/>
      <c r="G815" s="132"/>
      <c r="I815" s="132"/>
      <c r="J815" s="132"/>
      <c r="K815" s="132"/>
      <c r="P815" s="132"/>
    </row>
    <row r="816" spans="3:16" x14ac:dyDescent="0.2">
      <c r="C816" s="132"/>
      <c r="D816" s="132"/>
      <c r="E816" s="132"/>
      <c r="F816" s="132"/>
      <c r="G816" s="132"/>
      <c r="I816" s="132"/>
      <c r="J816" s="132"/>
      <c r="K816" s="132"/>
      <c r="P816" s="132"/>
    </row>
    <row r="817" spans="3:16" x14ac:dyDescent="0.2">
      <c r="C817" s="132"/>
      <c r="D817" s="132"/>
      <c r="E817" s="132"/>
      <c r="F817" s="132"/>
      <c r="G817" s="132"/>
      <c r="I817" s="132"/>
      <c r="J817" s="132"/>
      <c r="K817" s="132"/>
      <c r="P817" s="132"/>
    </row>
    <row r="818" spans="3:16" x14ac:dyDescent="0.2">
      <c r="C818" s="132"/>
      <c r="D818" s="132"/>
      <c r="E818" s="132"/>
      <c r="F818" s="132"/>
      <c r="G818" s="132"/>
      <c r="I818" s="132"/>
      <c r="J818" s="132"/>
      <c r="K818" s="132"/>
      <c r="P818" s="132"/>
    </row>
    <row r="819" spans="3:16" x14ac:dyDescent="0.2">
      <c r="C819" s="132"/>
      <c r="D819" s="132"/>
      <c r="E819" s="132"/>
      <c r="F819" s="132"/>
      <c r="G819" s="132"/>
      <c r="I819" s="132"/>
      <c r="J819" s="132"/>
      <c r="K819" s="132"/>
      <c r="P819" s="132"/>
    </row>
    <row r="820" spans="3:16" x14ac:dyDescent="0.2">
      <c r="C820" s="132"/>
      <c r="D820" s="132"/>
      <c r="E820" s="132"/>
      <c r="F820" s="132"/>
      <c r="G820" s="132"/>
      <c r="I820" s="132"/>
      <c r="J820" s="132"/>
      <c r="K820" s="132"/>
      <c r="P820" s="132"/>
    </row>
    <row r="821" spans="3:16" x14ac:dyDescent="0.2">
      <c r="C821" s="132"/>
      <c r="D821" s="132"/>
      <c r="E821" s="132"/>
      <c r="F821" s="132"/>
      <c r="G821" s="132"/>
      <c r="I821" s="132"/>
      <c r="J821" s="132"/>
      <c r="K821" s="132"/>
      <c r="P821" s="132"/>
    </row>
    <row r="822" spans="3:16" x14ac:dyDescent="0.2">
      <c r="C822" s="132"/>
      <c r="D822" s="132"/>
      <c r="E822" s="132"/>
      <c r="F822" s="132"/>
      <c r="G822" s="132"/>
      <c r="I822" s="132"/>
      <c r="J822" s="132"/>
      <c r="K822" s="132"/>
      <c r="P822" s="132"/>
    </row>
    <row r="823" spans="3:16" x14ac:dyDescent="0.2">
      <c r="C823" s="132"/>
      <c r="D823" s="132"/>
      <c r="E823" s="132"/>
      <c r="F823" s="132"/>
      <c r="G823" s="132"/>
      <c r="I823" s="132"/>
      <c r="J823" s="132"/>
      <c r="K823" s="132"/>
      <c r="P823" s="132"/>
    </row>
    <row r="824" spans="3:16" x14ac:dyDescent="0.2">
      <c r="C824" s="132"/>
      <c r="D824" s="132"/>
      <c r="E824" s="132"/>
      <c r="F824" s="132"/>
      <c r="G824" s="132"/>
      <c r="I824" s="132"/>
      <c r="J824" s="132"/>
      <c r="K824" s="132"/>
      <c r="P824" s="132"/>
    </row>
    <row r="825" spans="3:16" x14ac:dyDescent="0.2">
      <c r="C825" s="132"/>
      <c r="D825" s="132"/>
      <c r="E825" s="132"/>
      <c r="F825" s="132"/>
      <c r="G825" s="132"/>
      <c r="I825" s="132"/>
      <c r="J825" s="132"/>
      <c r="K825" s="132"/>
      <c r="P825" s="132"/>
    </row>
    <row r="826" spans="3:16" x14ac:dyDescent="0.2">
      <c r="C826" s="132"/>
      <c r="D826" s="132"/>
      <c r="E826" s="132"/>
      <c r="F826" s="132"/>
      <c r="G826" s="132"/>
      <c r="I826" s="132"/>
      <c r="J826" s="132"/>
      <c r="K826" s="132"/>
      <c r="P826" s="132"/>
    </row>
    <row r="827" spans="3:16" x14ac:dyDescent="0.2">
      <c r="C827" s="132"/>
      <c r="D827" s="132"/>
      <c r="E827" s="132"/>
      <c r="F827" s="132"/>
      <c r="G827" s="132"/>
      <c r="I827" s="132"/>
      <c r="J827" s="132"/>
      <c r="K827" s="132"/>
      <c r="P827" s="132"/>
    </row>
    <row r="828" spans="3:16" x14ac:dyDescent="0.2">
      <c r="C828" s="132"/>
      <c r="D828" s="132"/>
      <c r="E828" s="132"/>
      <c r="F828" s="132"/>
      <c r="G828" s="132"/>
      <c r="I828" s="132"/>
      <c r="J828" s="132"/>
      <c r="K828" s="132"/>
      <c r="P828" s="132"/>
    </row>
    <row r="829" spans="3:16" x14ac:dyDescent="0.2">
      <c r="C829" s="132"/>
      <c r="D829" s="132"/>
      <c r="E829" s="132"/>
      <c r="F829" s="132"/>
      <c r="G829" s="132"/>
      <c r="I829" s="132"/>
      <c r="J829" s="132"/>
      <c r="K829" s="132"/>
      <c r="P829" s="132"/>
    </row>
    <row r="830" spans="3:16" x14ac:dyDescent="0.2">
      <c r="C830" s="132"/>
      <c r="D830" s="132"/>
      <c r="E830" s="132"/>
      <c r="F830" s="132"/>
      <c r="G830" s="132"/>
      <c r="I830" s="132"/>
      <c r="J830" s="132"/>
      <c r="K830" s="132"/>
      <c r="P830" s="132"/>
    </row>
    <row r="831" spans="3:16" x14ac:dyDescent="0.2">
      <c r="C831" s="132"/>
      <c r="D831" s="132"/>
      <c r="E831" s="132"/>
      <c r="F831" s="132"/>
      <c r="G831" s="132"/>
      <c r="I831" s="132"/>
      <c r="J831" s="132"/>
      <c r="K831" s="132"/>
      <c r="P831" s="132"/>
    </row>
    <row r="832" spans="3:16" x14ac:dyDescent="0.2">
      <c r="C832" s="132"/>
      <c r="D832" s="132"/>
      <c r="E832" s="132"/>
      <c r="F832" s="132"/>
      <c r="G832" s="132"/>
      <c r="I832" s="132"/>
      <c r="J832" s="132"/>
      <c r="K832" s="132"/>
      <c r="P832" s="132"/>
    </row>
    <row r="833" spans="3:16" x14ac:dyDescent="0.2">
      <c r="C833" s="132"/>
      <c r="D833" s="132"/>
      <c r="E833" s="132"/>
      <c r="F833" s="132"/>
      <c r="G833" s="132"/>
      <c r="I833" s="132"/>
      <c r="J833" s="132"/>
      <c r="K833" s="132"/>
      <c r="P833" s="132"/>
    </row>
    <row r="834" spans="3:16" x14ac:dyDescent="0.2">
      <c r="C834" s="132"/>
      <c r="D834" s="132"/>
      <c r="E834" s="132"/>
      <c r="F834" s="132"/>
      <c r="G834" s="132"/>
      <c r="I834" s="132"/>
      <c r="J834" s="132"/>
      <c r="K834" s="132"/>
      <c r="P834" s="132"/>
    </row>
    <row r="835" spans="3:16" x14ac:dyDescent="0.2">
      <c r="C835" s="132"/>
      <c r="D835" s="132"/>
      <c r="E835" s="132"/>
      <c r="F835" s="132"/>
      <c r="G835" s="132"/>
      <c r="I835" s="132"/>
      <c r="J835" s="132"/>
      <c r="K835" s="132"/>
      <c r="P835" s="132"/>
    </row>
    <row r="836" spans="3:16" x14ac:dyDescent="0.2">
      <c r="C836" s="132"/>
      <c r="D836" s="132"/>
      <c r="E836" s="132"/>
      <c r="F836" s="132"/>
      <c r="G836" s="132"/>
      <c r="I836" s="132"/>
      <c r="J836" s="132"/>
      <c r="K836" s="132"/>
      <c r="P836" s="132"/>
    </row>
    <row r="837" spans="3:16" x14ac:dyDescent="0.2">
      <c r="C837" s="132"/>
      <c r="D837" s="132"/>
      <c r="E837" s="132"/>
      <c r="F837" s="132"/>
      <c r="G837" s="132"/>
      <c r="I837" s="132"/>
      <c r="J837" s="132"/>
      <c r="K837" s="132"/>
      <c r="P837" s="132"/>
    </row>
    <row r="838" spans="3:16" x14ac:dyDescent="0.2">
      <c r="C838" s="132"/>
      <c r="D838" s="132"/>
      <c r="E838" s="132"/>
      <c r="F838" s="132"/>
      <c r="G838" s="132"/>
      <c r="I838" s="132"/>
      <c r="J838" s="132"/>
      <c r="K838" s="132"/>
      <c r="P838" s="132"/>
    </row>
    <row r="839" spans="3:16" x14ac:dyDescent="0.2">
      <c r="C839" s="132"/>
      <c r="D839" s="132"/>
      <c r="E839" s="132"/>
      <c r="F839" s="132"/>
      <c r="G839" s="132"/>
      <c r="I839" s="132"/>
      <c r="J839" s="132"/>
      <c r="K839" s="132"/>
      <c r="P839" s="132"/>
    </row>
    <row r="840" spans="3:16" x14ac:dyDescent="0.2">
      <c r="C840" s="132"/>
      <c r="D840" s="132"/>
      <c r="E840" s="132"/>
      <c r="F840" s="132"/>
      <c r="G840" s="132"/>
      <c r="I840" s="132"/>
      <c r="J840" s="132"/>
      <c r="K840" s="132"/>
      <c r="P840" s="132"/>
    </row>
    <row r="841" spans="3:16" x14ac:dyDescent="0.2">
      <c r="C841" s="132"/>
      <c r="D841" s="132"/>
      <c r="E841" s="132"/>
      <c r="F841" s="132"/>
      <c r="G841" s="132"/>
      <c r="I841" s="132"/>
      <c r="J841" s="132"/>
      <c r="K841" s="132"/>
      <c r="P841" s="132"/>
    </row>
    <row r="842" spans="3:16" x14ac:dyDescent="0.2">
      <c r="C842" s="132"/>
      <c r="D842" s="132"/>
      <c r="E842" s="132"/>
      <c r="F842" s="132"/>
      <c r="G842" s="132"/>
      <c r="I842" s="132"/>
      <c r="J842" s="132"/>
      <c r="K842" s="132"/>
      <c r="P842" s="132"/>
    </row>
    <row r="843" spans="3:16" x14ac:dyDescent="0.2">
      <c r="C843" s="132"/>
      <c r="D843" s="132"/>
      <c r="E843" s="132"/>
      <c r="F843" s="132"/>
      <c r="G843" s="132"/>
      <c r="I843" s="132"/>
      <c r="J843" s="132"/>
      <c r="K843" s="132"/>
      <c r="P843" s="132"/>
    </row>
    <row r="844" spans="3:16" x14ac:dyDescent="0.2">
      <c r="C844" s="132"/>
      <c r="D844" s="132"/>
      <c r="E844" s="132"/>
      <c r="F844" s="132"/>
      <c r="G844" s="132"/>
      <c r="I844" s="132"/>
      <c r="J844" s="132"/>
      <c r="K844" s="132"/>
      <c r="P844" s="132"/>
    </row>
    <row r="845" spans="3:16" x14ac:dyDescent="0.2">
      <c r="C845" s="132"/>
      <c r="D845" s="132"/>
      <c r="E845" s="132"/>
      <c r="F845" s="132"/>
      <c r="G845" s="132"/>
      <c r="I845" s="132"/>
      <c r="J845" s="132"/>
      <c r="K845" s="132"/>
      <c r="P845" s="132"/>
    </row>
    <row r="846" spans="3:16" x14ac:dyDescent="0.2">
      <c r="C846" s="132"/>
      <c r="D846" s="132"/>
      <c r="E846" s="132"/>
      <c r="F846" s="132"/>
      <c r="G846" s="132"/>
      <c r="I846" s="132"/>
      <c r="J846" s="132"/>
      <c r="K846" s="132"/>
      <c r="P846" s="132"/>
    </row>
    <row r="847" spans="3:16" x14ac:dyDescent="0.2">
      <c r="C847" s="132"/>
      <c r="D847" s="132"/>
      <c r="E847" s="132"/>
      <c r="F847" s="132"/>
      <c r="G847" s="132"/>
      <c r="I847" s="132"/>
      <c r="J847" s="132"/>
      <c r="K847" s="132"/>
      <c r="P847" s="132"/>
    </row>
    <row r="848" spans="3:16" x14ac:dyDescent="0.2">
      <c r="C848" s="132"/>
      <c r="D848" s="132"/>
      <c r="E848" s="132"/>
      <c r="F848" s="132"/>
      <c r="G848" s="132"/>
      <c r="I848" s="132"/>
      <c r="P848" s="132"/>
    </row>
    <row r="849" spans="3:16" x14ac:dyDescent="0.2">
      <c r="C849" s="132"/>
      <c r="D849" s="132"/>
      <c r="E849" s="132"/>
      <c r="F849" s="132"/>
      <c r="G849" s="132"/>
      <c r="I849" s="132"/>
      <c r="P849" s="132"/>
    </row>
    <row r="850" spans="3:16" x14ac:dyDescent="0.2">
      <c r="C850" s="132"/>
      <c r="D850" s="132"/>
      <c r="E850" s="132"/>
      <c r="F850" s="132"/>
      <c r="G850" s="132"/>
      <c r="I850" s="132"/>
      <c r="P850" s="132"/>
    </row>
    <row r="851" spans="3:16" x14ac:dyDescent="0.2">
      <c r="C851" s="132"/>
      <c r="D851" s="132"/>
      <c r="E851" s="132"/>
      <c r="F851" s="132"/>
      <c r="G851" s="132"/>
      <c r="I851" s="132"/>
      <c r="P851" s="132"/>
    </row>
    <row r="852" spans="3:16" x14ac:dyDescent="0.2">
      <c r="C852" s="132"/>
      <c r="D852" s="132"/>
      <c r="E852" s="132"/>
      <c r="F852" s="132"/>
      <c r="G852" s="132"/>
      <c r="I852" s="132"/>
      <c r="P852" s="132"/>
    </row>
    <row r="853" spans="3:16" x14ac:dyDescent="0.2">
      <c r="C853" s="132"/>
      <c r="D853" s="132"/>
      <c r="E853" s="132"/>
      <c r="F853" s="132"/>
      <c r="G853" s="132"/>
      <c r="I853" s="132"/>
      <c r="P853" s="132"/>
    </row>
    <row r="854" spans="3:16" x14ac:dyDescent="0.2">
      <c r="C854" s="132"/>
      <c r="D854" s="132"/>
      <c r="E854" s="132"/>
      <c r="F854" s="132"/>
      <c r="G854" s="132"/>
      <c r="I854" s="132"/>
      <c r="P854" s="132"/>
    </row>
    <row r="855" spans="3:16" x14ac:dyDescent="0.2">
      <c r="C855" s="132"/>
      <c r="D855" s="132"/>
      <c r="E855" s="132"/>
      <c r="F855" s="132"/>
      <c r="G855" s="132"/>
      <c r="I855" s="132"/>
      <c r="P855" s="132"/>
    </row>
    <row r="856" spans="3:16" x14ac:dyDescent="0.2">
      <c r="C856" s="132"/>
      <c r="D856" s="132"/>
      <c r="E856" s="132"/>
      <c r="F856" s="132"/>
      <c r="G856" s="132"/>
      <c r="I856" s="132"/>
      <c r="P856" s="132"/>
    </row>
    <row r="857" spans="3:16" x14ac:dyDescent="0.2">
      <c r="C857" s="132"/>
      <c r="D857" s="132"/>
      <c r="E857" s="132"/>
      <c r="I857" s="132"/>
      <c r="P857" s="132"/>
    </row>
    <row r="858" spans="3:16" x14ac:dyDescent="0.2">
      <c r="C858" s="132"/>
      <c r="D858" s="132"/>
      <c r="E858" s="132"/>
      <c r="I858" s="132"/>
      <c r="P858" s="132"/>
    </row>
    <row r="859" spans="3:16" x14ac:dyDescent="0.2">
      <c r="C859" s="132"/>
      <c r="D859" s="132"/>
      <c r="E859" s="132"/>
      <c r="I859" s="132"/>
      <c r="P859" s="132"/>
    </row>
    <row r="860" spans="3:16" x14ac:dyDescent="0.2">
      <c r="C860" s="132"/>
      <c r="I860" s="132"/>
      <c r="P860" s="132"/>
    </row>
    <row r="861" spans="3:16" x14ac:dyDescent="0.2">
      <c r="C861" s="132"/>
      <c r="I861" s="132"/>
      <c r="P861" s="132"/>
    </row>
    <row r="862" spans="3:16" x14ac:dyDescent="0.2">
      <c r="C862" s="132"/>
      <c r="I862" s="132"/>
      <c r="P862" s="132"/>
    </row>
    <row r="863" spans="3:16" x14ac:dyDescent="0.2">
      <c r="C863" s="132"/>
      <c r="I863" s="132"/>
      <c r="P863" s="132"/>
    </row>
    <row r="864" spans="3:16" x14ac:dyDescent="0.2">
      <c r="C864" s="132"/>
      <c r="I864" s="132"/>
      <c r="P864" s="132"/>
    </row>
    <row r="865" spans="3:16" x14ac:dyDescent="0.2">
      <c r="C865" s="132"/>
      <c r="I865" s="132"/>
      <c r="P865" s="132"/>
    </row>
    <row r="866" spans="3:16" x14ac:dyDescent="0.2">
      <c r="C866" s="132"/>
      <c r="I866" s="132"/>
      <c r="P866" s="132"/>
    </row>
    <row r="867" spans="3:16" x14ac:dyDescent="0.2">
      <c r="C867" s="132"/>
      <c r="P867" s="132"/>
    </row>
    <row r="868" spans="3:16" x14ac:dyDescent="0.2">
      <c r="C868" s="132"/>
      <c r="P868" s="132"/>
    </row>
    <row r="869" spans="3:16" x14ac:dyDescent="0.2">
      <c r="C869" s="132"/>
      <c r="P869" s="132"/>
    </row>
    <row r="870" spans="3:16" x14ac:dyDescent="0.2">
      <c r="C870" s="132"/>
      <c r="P870" s="132"/>
    </row>
    <row r="871" spans="3:16" x14ac:dyDescent="0.2">
      <c r="C871" s="132"/>
      <c r="P871" s="132"/>
    </row>
    <row r="872" spans="3:16" x14ac:dyDescent="0.2">
      <c r="C872" s="132"/>
      <c r="P872" s="132"/>
    </row>
    <row r="873" spans="3:16" x14ac:dyDescent="0.2">
      <c r="C873" s="132"/>
      <c r="P873" s="132"/>
    </row>
    <row r="874" spans="3:16" x14ac:dyDescent="0.2">
      <c r="C874" s="132"/>
      <c r="P874" s="132"/>
    </row>
    <row r="875" spans="3:16" x14ac:dyDescent="0.2">
      <c r="C875" s="132"/>
      <c r="P875" s="132"/>
    </row>
    <row r="876" spans="3:16" x14ac:dyDescent="0.2">
      <c r="C876" s="132"/>
      <c r="P876" s="132"/>
    </row>
    <row r="877" spans="3:16" x14ac:dyDescent="0.2">
      <c r="C877" s="132"/>
      <c r="P877" s="132"/>
    </row>
    <row r="878" spans="3:16" x14ac:dyDescent="0.2">
      <c r="C878" s="132"/>
      <c r="P878" s="132"/>
    </row>
    <row r="879" spans="3:16" x14ac:dyDescent="0.2">
      <c r="C879" s="132"/>
      <c r="P879" s="132"/>
    </row>
    <row r="880" spans="3:16" x14ac:dyDescent="0.2">
      <c r="C880" s="132"/>
      <c r="P880" s="132"/>
    </row>
    <row r="881" spans="3:16" x14ac:dyDescent="0.2">
      <c r="C881" s="132"/>
      <c r="P881" s="132"/>
    </row>
    <row r="882" spans="3:16" x14ac:dyDescent="0.2">
      <c r="C882" s="132"/>
      <c r="P882" s="132"/>
    </row>
    <row r="883" spans="3:16" x14ac:dyDescent="0.2">
      <c r="C883" s="132"/>
      <c r="P883" s="132"/>
    </row>
    <row r="884" spans="3:16" x14ac:dyDescent="0.2">
      <c r="C884" s="132"/>
      <c r="P884" s="132"/>
    </row>
    <row r="885" spans="3:16" x14ac:dyDescent="0.2">
      <c r="C885" s="132"/>
      <c r="P885" s="132"/>
    </row>
    <row r="886" spans="3:16" x14ac:dyDescent="0.2">
      <c r="C886" s="132"/>
      <c r="P886" s="132"/>
    </row>
    <row r="887" spans="3:16" x14ac:dyDescent="0.2">
      <c r="C887" s="132"/>
      <c r="P887" s="132"/>
    </row>
    <row r="888" spans="3:16" x14ac:dyDescent="0.2">
      <c r="C888" s="132"/>
      <c r="P888" s="132"/>
    </row>
    <row r="889" spans="3:16" x14ac:dyDescent="0.2">
      <c r="C889" s="132"/>
      <c r="P889" s="132"/>
    </row>
    <row r="890" spans="3:16" x14ac:dyDescent="0.2">
      <c r="C890" s="132"/>
      <c r="P890" s="132"/>
    </row>
    <row r="891" spans="3:16" x14ac:dyDescent="0.2">
      <c r="C891" s="132"/>
      <c r="P891" s="132"/>
    </row>
    <row r="892" spans="3:16" x14ac:dyDescent="0.2">
      <c r="C892" s="132"/>
      <c r="P892" s="132"/>
    </row>
    <row r="893" spans="3:16" x14ac:dyDescent="0.2">
      <c r="C893" s="132"/>
      <c r="P893" s="132"/>
    </row>
    <row r="894" spans="3:16" x14ac:dyDescent="0.2">
      <c r="C894" s="132"/>
      <c r="P894" s="132"/>
    </row>
    <row r="895" spans="3:16" x14ac:dyDescent="0.2">
      <c r="C895" s="132"/>
      <c r="P895" s="132"/>
    </row>
    <row r="896" spans="3:16" x14ac:dyDescent="0.2">
      <c r="C896" s="132"/>
      <c r="P896" s="132"/>
    </row>
    <row r="897" spans="3:16" x14ac:dyDescent="0.2">
      <c r="C897" s="132"/>
      <c r="P897" s="132"/>
    </row>
    <row r="898" spans="3:16" x14ac:dyDescent="0.2">
      <c r="C898" s="132"/>
      <c r="P898" s="132"/>
    </row>
    <row r="899" spans="3:16" x14ac:dyDescent="0.2">
      <c r="C899" s="132"/>
      <c r="P899" s="132"/>
    </row>
    <row r="900" spans="3:16" x14ac:dyDescent="0.2">
      <c r="C900" s="132"/>
      <c r="P900" s="132"/>
    </row>
    <row r="901" spans="3:16" x14ac:dyDescent="0.2">
      <c r="C901" s="132"/>
      <c r="P901" s="132"/>
    </row>
    <row r="902" spans="3:16" x14ac:dyDescent="0.2">
      <c r="C902" s="132"/>
      <c r="P902" s="132"/>
    </row>
    <row r="903" spans="3:16" x14ac:dyDescent="0.2">
      <c r="C903" s="132"/>
      <c r="P903" s="132"/>
    </row>
    <row r="904" spans="3:16" x14ac:dyDescent="0.2">
      <c r="C904" s="132"/>
      <c r="P904" s="132"/>
    </row>
    <row r="905" spans="3:16" x14ac:dyDescent="0.2">
      <c r="C905" s="132"/>
      <c r="P905" s="132"/>
    </row>
    <row r="906" spans="3:16" x14ac:dyDescent="0.2">
      <c r="C906" s="132"/>
      <c r="P906" s="132"/>
    </row>
    <row r="907" spans="3:16" x14ac:dyDescent="0.2">
      <c r="C907" s="132"/>
      <c r="P907" s="132"/>
    </row>
    <row r="908" spans="3:16" x14ac:dyDescent="0.2">
      <c r="C908" s="132"/>
      <c r="P908" s="132"/>
    </row>
    <row r="909" spans="3:16" x14ac:dyDescent="0.2">
      <c r="C909" s="132"/>
      <c r="P909" s="132"/>
    </row>
    <row r="910" spans="3:16" x14ac:dyDescent="0.2">
      <c r="C910" s="132"/>
      <c r="P910" s="132"/>
    </row>
    <row r="911" spans="3:16" x14ac:dyDescent="0.2">
      <c r="C911" s="132"/>
      <c r="P911" s="132"/>
    </row>
    <row r="912" spans="3:16" x14ac:dyDescent="0.2">
      <c r="C912" s="132"/>
      <c r="P912" s="132"/>
    </row>
    <row r="913" spans="3:16" x14ac:dyDescent="0.2">
      <c r="C913" s="132"/>
      <c r="P913" s="132"/>
    </row>
    <row r="914" spans="3:16" x14ac:dyDescent="0.2">
      <c r="C914" s="132"/>
      <c r="P914" s="132"/>
    </row>
    <row r="915" spans="3:16" x14ac:dyDescent="0.2">
      <c r="C915" s="132"/>
      <c r="P915" s="132"/>
    </row>
    <row r="916" spans="3:16" x14ac:dyDescent="0.2">
      <c r="C916" s="132"/>
      <c r="P916" s="132"/>
    </row>
    <row r="917" spans="3:16" x14ac:dyDescent="0.2">
      <c r="C917" s="132"/>
      <c r="P917" s="132"/>
    </row>
    <row r="918" spans="3:16" x14ac:dyDescent="0.2">
      <c r="C918" s="132"/>
      <c r="P918" s="132"/>
    </row>
    <row r="919" spans="3:16" x14ac:dyDescent="0.2">
      <c r="C919" s="132"/>
      <c r="P919" s="132"/>
    </row>
    <row r="920" spans="3:16" x14ac:dyDescent="0.2">
      <c r="C920" s="132"/>
      <c r="P920" s="132"/>
    </row>
    <row r="921" spans="3:16" x14ac:dyDescent="0.2">
      <c r="C921" s="132"/>
      <c r="P921" s="132"/>
    </row>
    <row r="922" spans="3:16" x14ac:dyDescent="0.2">
      <c r="C922" s="132"/>
      <c r="P922" s="132"/>
    </row>
    <row r="923" spans="3:16" x14ac:dyDescent="0.2">
      <c r="C923" s="132"/>
      <c r="P923" s="132"/>
    </row>
    <row r="924" spans="3:16" x14ac:dyDescent="0.2">
      <c r="C924" s="132"/>
      <c r="P924" s="132"/>
    </row>
    <row r="925" spans="3:16" x14ac:dyDescent="0.2">
      <c r="C925" s="132"/>
      <c r="P925" s="132"/>
    </row>
    <row r="926" spans="3:16" x14ac:dyDescent="0.2">
      <c r="C926" s="132"/>
      <c r="P926" s="132"/>
    </row>
    <row r="927" spans="3:16" x14ac:dyDescent="0.2">
      <c r="C927" s="132"/>
      <c r="P927" s="132"/>
    </row>
    <row r="928" spans="3:16" x14ac:dyDescent="0.2">
      <c r="C928" s="132"/>
      <c r="P928" s="132"/>
    </row>
    <row r="929" spans="3:16" x14ac:dyDescent="0.2">
      <c r="C929" s="132"/>
      <c r="P929" s="132"/>
    </row>
    <row r="930" spans="3:16" x14ac:dyDescent="0.2">
      <c r="C930" s="132"/>
      <c r="P930" s="132"/>
    </row>
    <row r="931" spans="3:16" x14ac:dyDescent="0.2">
      <c r="C931" s="132"/>
      <c r="P931" s="132"/>
    </row>
    <row r="932" spans="3:16" x14ac:dyDescent="0.2">
      <c r="C932" s="132"/>
      <c r="P932" s="132"/>
    </row>
    <row r="933" spans="3:16" x14ac:dyDescent="0.2">
      <c r="C933" s="132"/>
      <c r="P933" s="132"/>
    </row>
    <row r="934" spans="3:16" x14ac:dyDescent="0.2">
      <c r="C934" s="132"/>
      <c r="P934" s="132"/>
    </row>
    <row r="935" spans="3:16" x14ac:dyDescent="0.2">
      <c r="C935" s="132"/>
      <c r="P935" s="132"/>
    </row>
    <row r="936" spans="3:16" x14ac:dyDescent="0.2">
      <c r="C936" s="132"/>
      <c r="P936" s="132"/>
    </row>
    <row r="937" spans="3:16" x14ac:dyDescent="0.2">
      <c r="C937" s="132"/>
      <c r="P937" s="132"/>
    </row>
    <row r="938" spans="3:16" x14ac:dyDescent="0.2">
      <c r="C938" s="132"/>
      <c r="P938" s="132"/>
    </row>
    <row r="939" spans="3:16" x14ac:dyDescent="0.2">
      <c r="C939" s="132"/>
    </row>
    <row r="940" spans="3:16" x14ac:dyDescent="0.2">
      <c r="C940" s="132"/>
    </row>
    <row r="941" spans="3:16" x14ac:dyDescent="0.2">
      <c r="C941" s="132"/>
    </row>
    <row r="942" spans="3:16" x14ac:dyDescent="0.2">
      <c r="C942" s="132"/>
    </row>
    <row r="943" spans="3:16" x14ac:dyDescent="0.2">
      <c r="C943" s="132"/>
    </row>
    <row r="944" spans="3:16" x14ac:dyDescent="0.2">
      <c r="C944" s="132"/>
    </row>
    <row r="945" spans="3:3" x14ac:dyDescent="0.2">
      <c r="C945" s="132"/>
    </row>
    <row r="946" spans="3:3" x14ac:dyDescent="0.2">
      <c r="C946" s="132"/>
    </row>
    <row r="947" spans="3:3" x14ac:dyDescent="0.2">
      <c r="C947" s="132"/>
    </row>
    <row r="948" spans="3:3" x14ac:dyDescent="0.2">
      <c r="C948" s="132"/>
    </row>
    <row r="949" spans="3:3" x14ac:dyDescent="0.2">
      <c r="C949" s="132"/>
    </row>
    <row r="950" spans="3:3" x14ac:dyDescent="0.2">
      <c r="C950" s="132"/>
    </row>
    <row r="951" spans="3:3" x14ac:dyDescent="0.2">
      <c r="C951" s="132"/>
    </row>
    <row r="952" spans="3:3" x14ac:dyDescent="0.2">
      <c r="C952" s="132"/>
    </row>
    <row r="953" spans="3:3" x14ac:dyDescent="0.2">
      <c r="C953" s="132"/>
    </row>
    <row r="954" spans="3:3" x14ac:dyDescent="0.2">
      <c r="C954" s="132"/>
    </row>
    <row r="955" spans="3:3" x14ac:dyDescent="0.2">
      <c r="C955" s="132"/>
    </row>
    <row r="956" spans="3:3" x14ac:dyDescent="0.2">
      <c r="C956" s="132"/>
    </row>
    <row r="957" spans="3:3" x14ac:dyDescent="0.2">
      <c r="C957" s="132"/>
    </row>
    <row r="958" spans="3:3" x14ac:dyDescent="0.2">
      <c r="C958" s="132"/>
    </row>
    <row r="959" spans="3:3" x14ac:dyDescent="0.2">
      <c r="C959" s="132"/>
    </row>
    <row r="960" spans="3:3" x14ac:dyDescent="0.2">
      <c r="C960" s="132"/>
    </row>
    <row r="961" spans="3:3" x14ac:dyDescent="0.2">
      <c r="C961" s="132"/>
    </row>
    <row r="962" spans="3:3" x14ac:dyDescent="0.2">
      <c r="C962" s="132"/>
    </row>
    <row r="963" spans="3:3" x14ac:dyDescent="0.2">
      <c r="C963" s="132"/>
    </row>
    <row r="964" spans="3:3" x14ac:dyDescent="0.2">
      <c r="C964" s="132"/>
    </row>
    <row r="965" spans="3:3" x14ac:dyDescent="0.2">
      <c r="C965" s="132"/>
    </row>
    <row r="966" spans="3:3" x14ac:dyDescent="0.2">
      <c r="C966" s="132"/>
    </row>
    <row r="967" spans="3:3" x14ac:dyDescent="0.2">
      <c r="C967" s="132"/>
    </row>
    <row r="968" spans="3:3" x14ac:dyDescent="0.2">
      <c r="C968" s="132"/>
    </row>
    <row r="969" spans="3:3" x14ac:dyDescent="0.2">
      <c r="C969" s="132"/>
    </row>
    <row r="970" spans="3:3" x14ac:dyDescent="0.2">
      <c r="C970" s="132"/>
    </row>
    <row r="971" spans="3:3" x14ac:dyDescent="0.2">
      <c r="C971" s="132"/>
    </row>
    <row r="972" spans="3:3" x14ac:dyDescent="0.2">
      <c r="C972" s="132"/>
    </row>
    <row r="973" spans="3:3" x14ac:dyDescent="0.2">
      <c r="C973" s="132"/>
    </row>
    <row r="974" spans="3:3" x14ac:dyDescent="0.2">
      <c r="C974" s="132"/>
    </row>
    <row r="975" spans="3:3" x14ac:dyDescent="0.2">
      <c r="C975" s="132"/>
    </row>
    <row r="976" spans="3:3" x14ac:dyDescent="0.2">
      <c r="C976" s="132"/>
    </row>
    <row r="977" spans="3:3" x14ac:dyDescent="0.2">
      <c r="C977" s="132"/>
    </row>
    <row r="978" spans="3:3" x14ac:dyDescent="0.2">
      <c r="C978" s="132"/>
    </row>
    <row r="979" spans="3:3" x14ac:dyDescent="0.2">
      <c r="C979" s="132"/>
    </row>
    <row r="980" spans="3:3" x14ac:dyDescent="0.2">
      <c r="C980" s="132"/>
    </row>
    <row r="981" spans="3:3" x14ac:dyDescent="0.2">
      <c r="C981" s="132"/>
    </row>
    <row r="982" spans="3:3" x14ac:dyDescent="0.2">
      <c r="C982" s="132"/>
    </row>
    <row r="983" spans="3:3" x14ac:dyDescent="0.2">
      <c r="C983" s="132"/>
    </row>
    <row r="984" spans="3:3" x14ac:dyDescent="0.2">
      <c r="C984" s="132"/>
    </row>
    <row r="985" spans="3:3" x14ac:dyDescent="0.2">
      <c r="C985" s="132"/>
    </row>
    <row r="986" spans="3:3" x14ac:dyDescent="0.2">
      <c r="C986" s="132"/>
    </row>
    <row r="987" spans="3:3" x14ac:dyDescent="0.2">
      <c r="C987" s="132"/>
    </row>
    <row r="988" spans="3:3" x14ac:dyDescent="0.2">
      <c r="C988" s="132"/>
    </row>
    <row r="989" spans="3:3" x14ac:dyDescent="0.2">
      <c r="C989" s="132"/>
    </row>
    <row r="990" spans="3:3" x14ac:dyDescent="0.2">
      <c r="C990" s="132"/>
    </row>
    <row r="991" spans="3:3" x14ac:dyDescent="0.2">
      <c r="C991" s="132"/>
    </row>
    <row r="992" spans="3:3" x14ac:dyDescent="0.2">
      <c r="C992" s="132"/>
    </row>
    <row r="993" spans="3:3" x14ac:dyDescent="0.2">
      <c r="C993" s="132"/>
    </row>
    <row r="994" spans="3:3" x14ac:dyDescent="0.2">
      <c r="C994" s="132"/>
    </row>
    <row r="995" spans="3:3" x14ac:dyDescent="0.2">
      <c r="C995" s="132"/>
    </row>
    <row r="996" spans="3:3" x14ac:dyDescent="0.2">
      <c r="C996" s="132"/>
    </row>
    <row r="997" spans="3:3" x14ac:dyDescent="0.2">
      <c r="C997" s="132"/>
    </row>
    <row r="998" spans="3:3" x14ac:dyDescent="0.2">
      <c r="C998" s="132"/>
    </row>
    <row r="999" spans="3:3" x14ac:dyDescent="0.2">
      <c r="C999" s="132"/>
    </row>
    <row r="1000" spans="3:3" x14ac:dyDescent="0.2">
      <c r="C1000" s="132"/>
    </row>
    <row r="1001" spans="3:3" x14ac:dyDescent="0.2">
      <c r="C1001" s="132"/>
    </row>
    <row r="1002" spans="3:3" x14ac:dyDescent="0.2">
      <c r="C1002" s="132"/>
    </row>
    <row r="1003" spans="3:3" x14ac:dyDescent="0.2">
      <c r="C1003" s="132"/>
    </row>
    <row r="1004" spans="3:3" x14ac:dyDescent="0.2">
      <c r="C1004" s="132"/>
    </row>
    <row r="1005" spans="3:3" x14ac:dyDescent="0.2">
      <c r="C1005" s="132"/>
    </row>
    <row r="1006" spans="3:3" x14ac:dyDescent="0.2">
      <c r="C1006" s="132"/>
    </row>
    <row r="1007" spans="3:3" x14ac:dyDescent="0.2">
      <c r="C1007" s="132"/>
    </row>
    <row r="1008" spans="3:3" x14ac:dyDescent="0.2">
      <c r="C1008" s="132"/>
    </row>
    <row r="1009" spans="3:3" x14ac:dyDescent="0.2">
      <c r="C1009" s="132"/>
    </row>
    <row r="1010" spans="3:3" x14ac:dyDescent="0.2">
      <c r="C1010" s="132"/>
    </row>
    <row r="1011" spans="3:3" x14ac:dyDescent="0.2">
      <c r="C1011" s="132"/>
    </row>
    <row r="1012" spans="3:3" x14ac:dyDescent="0.2">
      <c r="C1012" s="132"/>
    </row>
    <row r="1013" spans="3:3" x14ac:dyDescent="0.2">
      <c r="C1013" s="132"/>
    </row>
    <row r="1014" spans="3:3" x14ac:dyDescent="0.2">
      <c r="C1014" s="132"/>
    </row>
    <row r="1015" spans="3:3" x14ac:dyDescent="0.2">
      <c r="C1015" s="132"/>
    </row>
    <row r="1016" spans="3:3" x14ac:dyDescent="0.2">
      <c r="C1016" s="132"/>
    </row>
    <row r="1017" spans="3:3" x14ac:dyDescent="0.2">
      <c r="C1017" s="132"/>
    </row>
    <row r="1018" spans="3:3" x14ac:dyDescent="0.2">
      <c r="C1018" s="132"/>
    </row>
    <row r="1019" spans="3:3" x14ac:dyDescent="0.2">
      <c r="C1019" s="132"/>
    </row>
    <row r="1020" spans="3:3" x14ac:dyDescent="0.2">
      <c r="C1020" s="132"/>
    </row>
    <row r="1021" spans="3:3" x14ac:dyDescent="0.2">
      <c r="C1021" s="132"/>
    </row>
    <row r="1022" spans="3:3" x14ac:dyDescent="0.2">
      <c r="C1022" s="132"/>
    </row>
    <row r="1023" spans="3:3" x14ac:dyDescent="0.2">
      <c r="C1023" s="132"/>
    </row>
    <row r="1024" spans="3:3" x14ac:dyDescent="0.2">
      <c r="C1024" s="132"/>
    </row>
    <row r="1025" spans="3:3" x14ac:dyDescent="0.2">
      <c r="C1025" s="132"/>
    </row>
    <row r="1026" spans="3:3" x14ac:dyDescent="0.2">
      <c r="C1026" s="132"/>
    </row>
    <row r="1027" spans="3:3" x14ac:dyDescent="0.2">
      <c r="C1027" s="132"/>
    </row>
    <row r="1028" spans="3:3" x14ac:dyDescent="0.2">
      <c r="C1028" s="132"/>
    </row>
    <row r="1029" spans="3:3" x14ac:dyDescent="0.2">
      <c r="C1029" s="132"/>
    </row>
    <row r="1030" spans="3:3" x14ac:dyDescent="0.2">
      <c r="C1030" s="132"/>
    </row>
    <row r="1031" spans="3:3" x14ac:dyDescent="0.2">
      <c r="C1031" s="132"/>
    </row>
    <row r="1032" spans="3:3" x14ac:dyDescent="0.2">
      <c r="C1032" s="132"/>
    </row>
    <row r="1033" spans="3:3" x14ac:dyDescent="0.2">
      <c r="C1033" s="132"/>
    </row>
    <row r="1034" spans="3:3" x14ac:dyDescent="0.2">
      <c r="C1034" s="132"/>
    </row>
    <row r="1035" spans="3:3" x14ac:dyDescent="0.2">
      <c r="C1035" s="132"/>
    </row>
    <row r="1036" spans="3:3" x14ac:dyDescent="0.2">
      <c r="C1036" s="132"/>
    </row>
    <row r="1037" spans="3:3" x14ac:dyDescent="0.2">
      <c r="C1037" s="132"/>
    </row>
    <row r="1038" spans="3:3" x14ac:dyDescent="0.2">
      <c r="C1038" s="132"/>
    </row>
    <row r="1039" spans="3:3" x14ac:dyDescent="0.2">
      <c r="C1039" s="132"/>
    </row>
    <row r="1040" spans="3:3" x14ac:dyDescent="0.2">
      <c r="C1040" s="132"/>
    </row>
    <row r="1041" spans="3:3" x14ac:dyDescent="0.2">
      <c r="C1041" s="132"/>
    </row>
    <row r="1042" spans="3:3" x14ac:dyDescent="0.2">
      <c r="C1042" s="132"/>
    </row>
    <row r="1043" spans="3:3" x14ac:dyDescent="0.2">
      <c r="C1043" s="132"/>
    </row>
    <row r="1044" spans="3:3" x14ac:dyDescent="0.2">
      <c r="C1044" s="132"/>
    </row>
    <row r="1045" spans="3:3" x14ac:dyDescent="0.2">
      <c r="C1045" s="132"/>
    </row>
    <row r="1046" spans="3:3" x14ac:dyDescent="0.2">
      <c r="C1046" s="132"/>
    </row>
    <row r="1047" spans="3:3" x14ac:dyDescent="0.2">
      <c r="C1047" s="132"/>
    </row>
    <row r="1048" spans="3:3" x14ac:dyDescent="0.2">
      <c r="C1048" s="132"/>
    </row>
    <row r="1049" spans="3:3" x14ac:dyDescent="0.2">
      <c r="C1049" s="132"/>
    </row>
    <row r="1050" spans="3:3" x14ac:dyDescent="0.2">
      <c r="C1050" s="132"/>
    </row>
    <row r="1051" spans="3:3" x14ac:dyDescent="0.2">
      <c r="C1051" s="132"/>
    </row>
    <row r="1052" spans="3:3" x14ac:dyDescent="0.2">
      <c r="C1052" s="132"/>
    </row>
    <row r="1053" spans="3:3" x14ac:dyDescent="0.2">
      <c r="C1053" s="132"/>
    </row>
    <row r="1054" spans="3:3" x14ac:dyDescent="0.2">
      <c r="C1054" s="132"/>
    </row>
    <row r="1055" spans="3:3" x14ac:dyDescent="0.2">
      <c r="C1055" s="132"/>
    </row>
    <row r="1056" spans="3:3" x14ac:dyDescent="0.2">
      <c r="C1056" s="132"/>
    </row>
    <row r="1057" spans="3:3" x14ac:dyDescent="0.2">
      <c r="C1057" s="132"/>
    </row>
    <row r="1058" spans="3:3" x14ac:dyDescent="0.2">
      <c r="C1058" s="132"/>
    </row>
    <row r="1059" spans="3:3" x14ac:dyDescent="0.2">
      <c r="C1059" s="132"/>
    </row>
    <row r="1060" spans="3:3" x14ac:dyDescent="0.2">
      <c r="C1060" s="132"/>
    </row>
    <row r="1061" spans="3:3" x14ac:dyDescent="0.2">
      <c r="C1061" s="132"/>
    </row>
    <row r="1062" spans="3:3" x14ac:dyDescent="0.2">
      <c r="C1062" s="132"/>
    </row>
    <row r="1063" spans="3:3" x14ac:dyDescent="0.2">
      <c r="C1063" s="132"/>
    </row>
    <row r="1064" spans="3:3" x14ac:dyDescent="0.2">
      <c r="C1064" s="132"/>
    </row>
    <row r="1065" spans="3:3" x14ac:dyDescent="0.2">
      <c r="C1065" s="132"/>
    </row>
    <row r="1066" spans="3:3" x14ac:dyDescent="0.2">
      <c r="C1066" s="132"/>
    </row>
    <row r="1067" spans="3:3" x14ac:dyDescent="0.2">
      <c r="C1067" s="132"/>
    </row>
    <row r="1068" spans="3:3" x14ac:dyDescent="0.2">
      <c r="C1068" s="132"/>
    </row>
    <row r="1069" spans="3:3" x14ac:dyDescent="0.2">
      <c r="C1069" s="132"/>
    </row>
    <row r="1070" spans="3:3" x14ac:dyDescent="0.2">
      <c r="C1070" s="132"/>
    </row>
    <row r="1071" spans="3:3" x14ac:dyDescent="0.2">
      <c r="C1071" s="132"/>
    </row>
    <row r="1072" spans="3:3" x14ac:dyDescent="0.2">
      <c r="C1072" s="132"/>
    </row>
    <row r="1073" spans="3:3" x14ac:dyDescent="0.2">
      <c r="C1073" s="132"/>
    </row>
    <row r="1074" spans="3:3" x14ac:dyDescent="0.2">
      <c r="C1074" s="132"/>
    </row>
    <row r="1075" spans="3:3" x14ac:dyDescent="0.2">
      <c r="C1075" s="132"/>
    </row>
    <row r="1076" spans="3:3" x14ac:dyDescent="0.2">
      <c r="C1076" s="132"/>
    </row>
    <row r="1077" spans="3:3" x14ac:dyDescent="0.2">
      <c r="C1077" s="132"/>
    </row>
    <row r="1078" spans="3:3" x14ac:dyDescent="0.2">
      <c r="C1078" s="132"/>
    </row>
    <row r="1079" spans="3:3" x14ac:dyDescent="0.2">
      <c r="C1079" s="132"/>
    </row>
    <row r="1080" spans="3:3" x14ac:dyDescent="0.2">
      <c r="C1080" s="132"/>
    </row>
    <row r="1081" spans="3:3" x14ac:dyDescent="0.2">
      <c r="C1081" s="132"/>
    </row>
    <row r="1082" spans="3:3" x14ac:dyDescent="0.2">
      <c r="C1082" s="132"/>
    </row>
    <row r="1083" spans="3:3" x14ac:dyDescent="0.2">
      <c r="C1083" s="132"/>
    </row>
    <row r="1084" spans="3:3" x14ac:dyDescent="0.2">
      <c r="C1084" s="132"/>
    </row>
    <row r="1085" spans="3:3" x14ac:dyDescent="0.2">
      <c r="C1085" s="132"/>
    </row>
    <row r="1086" spans="3:3" x14ac:dyDescent="0.2">
      <c r="C1086" s="132"/>
    </row>
    <row r="1087" spans="3:3" x14ac:dyDescent="0.2">
      <c r="C1087" s="132"/>
    </row>
    <row r="1088" spans="3:3" x14ac:dyDescent="0.2">
      <c r="C1088" s="132"/>
    </row>
    <row r="1089" spans="3:3" x14ac:dyDescent="0.2">
      <c r="C1089" s="132"/>
    </row>
    <row r="1090" spans="3:3" x14ac:dyDescent="0.2">
      <c r="C1090" s="132"/>
    </row>
    <row r="1091" spans="3:3" x14ac:dyDescent="0.2">
      <c r="C1091" s="132"/>
    </row>
    <row r="1092" spans="3:3" x14ac:dyDescent="0.2">
      <c r="C1092" s="132"/>
    </row>
    <row r="1093" spans="3:3" x14ac:dyDescent="0.2">
      <c r="C1093" s="132"/>
    </row>
    <row r="1094" spans="3:3" x14ac:dyDescent="0.2">
      <c r="C1094" s="132"/>
    </row>
    <row r="1095" spans="3:3" x14ac:dyDescent="0.2">
      <c r="C1095" s="132"/>
    </row>
    <row r="1096" spans="3:3" x14ac:dyDescent="0.2">
      <c r="C1096" s="132"/>
    </row>
    <row r="1097" spans="3:3" x14ac:dyDescent="0.2">
      <c r="C1097" s="132"/>
    </row>
    <row r="1098" spans="3:3" x14ac:dyDescent="0.2">
      <c r="C1098" s="132"/>
    </row>
    <row r="1099" spans="3:3" x14ac:dyDescent="0.2">
      <c r="C1099" s="132"/>
    </row>
    <row r="1100" spans="3:3" x14ac:dyDescent="0.2">
      <c r="C1100" s="132"/>
    </row>
    <row r="1101" spans="3:3" x14ac:dyDescent="0.2">
      <c r="C1101" s="132"/>
    </row>
    <row r="1102" spans="3:3" x14ac:dyDescent="0.2">
      <c r="C1102" s="132"/>
    </row>
    <row r="1103" spans="3:3" x14ac:dyDescent="0.2">
      <c r="C1103" s="132"/>
    </row>
    <row r="1104" spans="3:3" x14ac:dyDescent="0.2">
      <c r="C1104" s="132"/>
    </row>
    <row r="1105" spans="3:3" x14ac:dyDescent="0.2">
      <c r="C1105" s="132"/>
    </row>
    <row r="1106" spans="3:3" x14ac:dyDescent="0.2">
      <c r="C1106" s="132"/>
    </row>
    <row r="1107" spans="3:3" x14ac:dyDescent="0.2">
      <c r="C1107" s="132"/>
    </row>
    <row r="1108" spans="3:3" x14ac:dyDescent="0.2">
      <c r="C1108" s="132"/>
    </row>
    <row r="1109" spans="3:3" x14ac:dyDescent="0.2">
      <c r="C1109" s="132"/>
    </row>
    <row r="1110" spans="3:3" x14ac:dyDescent="0.2">
      <c r="C1110" s="132"/>
    </row>
    <row r="1111" spans="3:3" x14ac:dyDescent="0.2">
      <c r="C1111" s="132"/>
    </row>
    <row r="1112" spans="3:3" x14ac:dyDescent="0.2">
      <c r="C1112" s="132"/>
    </row>
    <row r="1113" spans="3:3" x14ac:dyDescent="0.2">
      <c r="C1113" s="132"/>
    </row>
    <row r="1114" spans="3:3" x14ac:dyDescent="0.2">
      <c r="C1114" s="132"/>
    </row>
    <row r="1115" spans="3:3" x14ac:dyDescent="0.2">
      <c r="C1115" s="132"/>
    </row>
    <row r="1116" spans="3:3" x14ac:dyDescent="0.2">
      <c r="C1116" s="132"/>
    </row>
    <row r="1117" spans="3:3" x14ac:dyDescent="0.2">
      <c r="C1117" s="132"/>
    </row>
    <row r="1118" spans="3:3" x14ac:dyDescent="0.2">
      <c r="C1118" s="132"/>
    </row>
    <row r="1119" spans="3:3" x14ac:dyDescent="0.2">
      <c r="C1119" s="132"/>
    </row>
    <row r="1120" spans="3:3" x14ac:dyDescent="0.2">
      <c r="C1120" s="132"/>
    </row>
    <row r="1121" spans="3:3" x14ac:dyDescent="0.2">
      <c r="C1121" s="132"/>
    </row>
    <row r="1122" spans="3:3" x14ac:dyDescent="0.2">
      <c r="C1122" s="132"/>
    </row>
    <row r="1123" spans="3:3" x14ac:dyDescent="0.2">
      <c r="C1123" s="132"/>
    </row>
    <row r="1124" spans="3:3" x14ac:dyDescent="0.2">
      <c r="C1124" s="132"/>
    </row>
    <row r="1125" spans="3:3" x14ac:dyDescent="0.2">
      <c r="C1125" s="132"/>
    </row>
    <row r="1126" spans="3:3" x14ac:dyDescent="0.2">
      <c r="C1126" s="132"/>
    </row>
    <row r="1127" spans="3:3" x14ac:dyDescent="0.2">
      <c r="C1127" s="132"/>
    </row>
    <row r="1128" spans="3:3" x14ac:dyDescent="0.2">
      <c r="C1128" s="132"/>
    </row>
    <row r="1129" spans="3:3" x14ac:dyDescent="0.2">
      <c r="C1129" s="132"/>
    </row>
    <row r="1130" spans="3:3" x14ac:dyDescent="0.2">
      <c r="C1130" s="132"/>
    </row>
    <row r="1131" spans="3:3" x14ac:dyDescent="0.2">
      <c r="C1131" s="132"/>
    </row>
    <row r="1132" spans="3:3" x14ac:dyDescent="0.2">
      <c r="C1132" s="132"/>
    </row>
    <row r="1133" spans="3:3" x14ac:dyDescent="0.2">
      <c r="C1133" s="132"/>
    </row>
    <row r="1134" spans="3:3" x14ac:dyDescent="0.2">
      <c r="C1134" s="132"/>
    </row>
    <row r="1135" spans="3:3" x14ac:dyDescent="0.2">
      <c r="C1135" s="132"/>
    </row>
    <row r="1136" spans="3:3" x14ac:dyDescent="0.2">
      <c r="C1136" s="132"/>
    </row>
    <row r="1137" spans="3:3" x14ac:dyDescent="0.2">
      <c r="C1137" s="132"/>
    </row>
    <row r="1138" spans="3:3" x14ac:dyDescent="0.2">
      <c r="C1138" s="132"/>
    </row>
    <row r="1139" spans="3:3" x14ac:dyDescent="0.2">
      <c r="C1139" s="132"/>
    </row>
    <row r="1140" spans="3:3" x14ac:dyDescent="0.2">
      <c r="C1140" s="132"/>
    </row>
    <row r="1141" spans="3:3" x14ac:dyDescent="0.2">
      <c r="C1141" s="132"/>
    </row>
    <row r="1142" spans="3:3" x14ac:dyDescent="0.2">
      <c r="C1142" s="132"/>
    </row>
    <row r="1143" spans="3:3" x14ac:dyDescent="0.2">
      <c r="C1143" s="132"/>
    </row>
    <row r="1144" spans="3:3" x14ac:dyDescent="0.2">
      <c r="C1144" s="132"/>
    </row>
    <row r="1145" spans="3:3" x14ac:dyDescent="0.2">
      <c r="C1145" s="132"/>
    </row>
    <row r="1146" spans="3:3" x14ac:dyDescent="0.2">
      <c r="C1146" s="132"/>
    </row>
    <row r="1147" spans="3:3" x14ac:dyDescent="0.2">
      <c r="C1147" s="132"/>
    </row>
    <row r="1148" spans="3:3" x14ac:dyDescent="0.2">
      <c r="C1148" s="132"/>
    </row>
    <row r="1149" spans="3:3" x14ac:dyDescent="0.2">
      <c r="C1149" s="132"/>
    </row>
    <row r="1150" spans="3:3" x14ac:dyDescent="0.2">
      <c r="C1150" s="132"/>
    </row>
    <row r="1151" spans="3:3" x14ac:dyDescent="0.2">
      <c r="C1151" s="132"/>
    </row>
    <row r="1152" spans="3:3" x14ac:dyDescent="0.2">
      <c r="C1152" s="132"/>
    </row>
    <row r="1153" spans="3:3" x14ac:dyDescent="0.2">
      <c r="C1153" s="132"/>
    </row>
    <row r="1154" spans="3:3" x14ac:dyDescent="0.2">
      <c r="C1154" s="132"/>
    </row>
    <row r="1155" spans="3:3" x14ac:dyDescent="0.2">
      <c r="C1155" s="132"/>
    </row>
    <row r="1156" spans="3:3" x14ac:dyDescent="0.2">
      <c r="C1156" s="132"/>
    </row>
    <row r="1157" spans="3:3" x14ac:dyDescent="0.2">
      <c r="C1157" s="132"/>
    </row>
    <row r="1158" spans="3:3" x14ac:dyDescent="0.2">
      <c r="C1158" s="132"/>
    </row>
    <row r="1159" spans="3:3" x14ac:dyDescent="0.2">
      <c r="C1159" s="132"/>
    </row>
    <row r="1160" spans="3:3" x14ac:dyDescent="0.2">
      <c r="C1160" s="132"/>
    </row>
    <row r="1161" spans="3:3" x14ac:dyDescent="0.2">
      <c r="C1161" s="132"/>
    </row>
    <row r="1162" spans="3:3" x14ac:dyDescent="0.2">
      <c r="C1162" s="132"/>
    </row>
    <row r="1163" spans="3:3" x14ac:dyDescent="0.2">
      <c r="C1163" s="132"/>
    </row>
    <row r="1164" spans="3:3" x14ac:dyDescent="0.2">
      <c r="C1164" s="132"/>
    </row>
    <row r="1165" spans="3:3" x14ac:dyDescent="0.2">
      <c r="C1165" s="132"/>
    </row>
    <row r="1166" spans="3:3" x14ac:dyDescent="0.2">
      <c r="C1166" s="132"/>
    </row>
    <row r="1167" spans="3:3" x14ac:dyDescent="0.2">
      <c r="C1167" s="132"/>
    </row>
    <row r="1168" spans="3:3" x14ac:dyDescent="0.2">
      <c r="C1168" s="132"/>
    </row>
    <row r="1169" spans="3:3" x14ac:dyDescent="0.2">
      <c r="C1169" s="132"/>
    </row>
    <row r="1170" spans="3:3" x14ac:dyDescent="0.2">
      <c r="C1170" s="132"/>
    </row>
    <row r="1171" spans="3:3" x14ac:dyDescent="0.2">
      <c r="C1171" s="132"/>
    </row>
    <row r="1172" spans="3:3" x14ac:dyDescent="0.2">
      <c r="C1172" s="132"/>
    </row>
    <row r="1173" spans="3:3" x14ac:dyDescent="0.2">
      <c r="C1173" s="132"/>
    </row>
    <row r="1174" spans="3:3" x14ac:dyDescent="0.2">
      <c r="C1174" s="132"/>
    </row>
    <row r="1175" spans="3:3" x14ac:dyDescent="0.2">
      <c r="C1175" s="132"/>
    </row>
    <row r="1176" spans="3:3" x14ac:dyDescent="0.2">
      <c r="C1176" s="132"/>
    </row>
    <row r="1177" spans="3:3" x14ac:dyDescent="0.2">
      <c r="C1177" s="132"/>
    </row>
    <row r="1178" spans="3:3" x14ac:dyDescent="0.2">
      <c r="C1178" s="132"/>
    </row>
    <row r="1179" spans="3:3" x14ac:dyDescent="0.2">
      <c r="C1179" s="132"/>
    </row>
    <row r="1180" spans="3:3" x14ac:dyDescent="0.2">
      <c r="C1180" s="132"/>
    </row>
    <row r="1181" spans="3:3" x14ac:dyDescent="0.2">
      <c r="C1181" s="132"/>
    </row>
    <row r="1182" spans="3:3" x14ac:dyDescent="0.2">
      <c r="C1182" s="132"/>
    </row>
    <row r="1183" spans="3:3" x14ac:dyDescent="0.2">
      <c r="C1183" s="132"/>
    </row>
    <row r="1184" spans="3:3" x14ac:dyDescent="0.2">
      <c r="C1184" s="132"/>
    </row>
    <row r="1185" spans="3:3" x14ac:dyDescent="0.2">
      <c r="C1185" s="132"/>
    </row>
    <row r="1186" spans="3:3" x14ac:dyDescent="0.2">
      <c r="C1186" s="132"/>
    </row>
    <row r="1187" spans="3:3" x14ac:dyDescent="0.2">
      <c r="C1187" s="132"/>
    </row>
    <row r="1188" spans="3:3" x14ac:dyDescent="0.2">
      <c r="C1188" s="132"/>
    </row>
    <row r="1189" spans="3:3" x14ac:dyDescent="0.2">
      <c r="C1189" s="132"/>
    </row>
    <row r="1190" spans="3:3" x14ac:dyDescent="0.2">
      <c r="C1190" s="132"/>
    </row>
    <row r="1191" spans="3:3" x14ac:dyDescent="0.2">
      <c r="C1191" s="132"/>
    </row>
    <row r="1192" spans="3:3" x14ac:dyDescent="0.2">
      <c r="C1192" s="132"/>
    </row>
    <row r="1193" spans="3:3" x14ac:dyDescent="0.2">
      <c r="C1193" s="132"/>
    </row>
    <row r="1194" spans="3:3" x14ac:dyDescent="0.2">
      <c r="C1194" s="132"/>
    </row>
    <row r="1195" spans="3:3" x14ac:dyDescent="0.2">
      <c r="C1195" s="132"/>
    </row>
    <row r="1196" spans="3:3" x14ac:dyDescent="0.2">
      <c r="C1196" s="132"/>
    </row>
    <row r="1197" spans="3:3" x14ac:dyDescent="0.2">
      <c r="C1197" s="132"/>
    </row>
    <row r="1198" spans="3:3" x14ac:dyDescent="0.2">
      <c r="C1198" s="132"/>
    </row>
    <row r="1199" spans="3:3" x14ac:dyDescent="0.2">
      <c r="C1199" s="132"/>
    </row>
    <row r="1200" spans="3:3" x14ac:dyDescent="0.2">
      <c r="C1200" s="132"/>
    </row>
    <row r="1201" spans="3:3" x14ac:dyDescent="0.2">
      <c r="C1201" s="132"/>
    </row>
    <row r="1202" spans="3:3" x14ac:dyDescent="0.2">
      <c r="C1202" s="132"/>
    </row>
    <row r="1203" spans="3:3" x14ac:dyDescent="0.2">
      <c r="C1203" s="132"/>
    </row>
    <row r="1204" spans="3:3" x14ac:dyDescent="0.2">
      <c r="C1204" s="132"/>
    </row>
    <row r="1205" spans="3:3" x14ac:dyDescent="0.2">
      <c r="C1205" s="132"/>
    </row>
    <row r="1206" spans="3:3" x14ac:dyDescent="0.2">
      <c r="C1206" s="132"/>
    </row>
    <row r="1207" spans="3:3" x14ac:dyDescent="0.2">
      <c r="C1207" s="132"/>
    </row>
    <row r="1208" spans="3:3" x14ac:dyDescent="0.2">
      <c r="C1208" s="132"/>
    </row>
    <row r="1209" spans="3:3" x14ac:dyDescent="0.2">
      <c r="C1209" s="132"/>
    </row>
    <row r="1210" spans="3:3" x14ac:dyDescent="0.2">
      <c r="C1210" s="132"/>
    </row>
    <row r="1211" spans="3:3" x14ac:dyDescent="0.2">
      <c r="C1211" s="132"/>
    </row>
    <row r="1212" spans="3:3" x14ac:dyDescent="0.2">
      <c r="C1212" s="132"/>
    </row>
    <row r="1213" spans="3:3" x14ac:dyDescent="0.2">
      <c r="C1213" s="132"/>
    </row>
    <row r="1214" spans="3:3" x14ac:dyDescent="0.2">
      <c r="C1214" s="132"/>
    </row>
    <row r="1215" spans="3:3" x14ac:dyDescent="0.2">
      <c r="C1215" s="132"/>
    </row>
    <row r="1216" spans="3:3" x14ac:dyDescent="0.2">
      <c r="C1216" s="132"/>
    </row>
    <row r="1217" spans="3:3" x14ac:dyDescent="0.2">
      <c r="C1217" s="132"/>
    </row>
    <row r="1218" spans="3:3" x14ac:dyDescent="0.2">
      <c r="C1218" s="132"/>
    </row>
    <row r="1219" spans="3:3" x14ac:dyDescent="0.2">
      <c r="C1219" s="132"/>
    </row>
    <row r="1220" spans="3:3" x14ac:dyDescent="0.2">
      <c r="C1220" s="132"/>
    </row>
    <row r="1221" spans="3:3" x14ac:dyDescent="0.2">
      <c r="C1221" s="132"/>
    </row>
    <row r="1222" spans="3:3" x14ac:dyDescent="0.2">
      <c r="C1222" s="132"/>
    </row>
    <row r="1223" spans="3:3" x14ac:dyDescent="0.2">
      <c r="C1223" s="132"/>
    </row>
    <row r="1224" spans="3:3" x14ac:dyDescent="0.2">
      <c r="C1224" s="132"/>
    </row>
    <row r="1225" spans="3:3" x14ac:dyDescent="0.2">
      <c r="C1225" s="132"/>
    </row>
    <row r="1226" spans="3:3" x14ac:dyDescent="0.2">
      <c r="C1226" s="132"/>
    </row>
    <row r="1227" spans="3:3" x14ac:dyDescent="0.2">
      <c r="C1227" s="132"/>
    </row>
    <row r="1228" spans="3:3" x14ac:dyDescent="0.2">
      <c r="C1228" s="132"/>
    </row>
    <row r="1229" spans="3:3" x14ac:dyDescent="0.2">
      <c r="C1229" s="132"/>
    </row>
    <row r="1230" spans="3:3" x14ac:dyDescent="0.2">
      <c r="C1230" s="132"/>
    </row>
    <row r="1231" spans="3:3" x14ac:dyDescent="0.2">
      <c r="C1231" s="132"/>
    </row>
    <row r="1232" spans="3:3" x14ac:dyDescent="0.2">
      <c r="C1232" s="132"/>
    </row>
    <row r="1233" spans="3:3" x14ac:dyDescent="0.2">
      <c r="C1233" s="132"/>
    </row>
    <row r="1234" spans="3:3" x14ac:dyDescent="0.2">
      <c r="C1234" s="132"/>
    </row>
    <row r="1235" spans="3:3" x14ac:dyDescent="0.2">
      <c r="C1235" s="132"/>
    </row>
    <row r="1236" spans="3:3" x14ac:dyDescent="0.2">
      <c r="C1236" s="132"/>
    </row>
    <row r="1237" spans="3:3" x14ac:dyDescent="0.2">
      <c r="C1237" s="132"/>
    </row>
    <row r="1238" spans="3:3" x14ac:dyDescent="0.2">
      <c r="C1238" s="132"/>
    </row>
    <row r="1239" spans="3:3" x14ac:dyDescent="0.2">
      <c r="C1239" s="132"/>
    </row>
    <row r="1240" spans="3:3" x14ac:dyDescent="0.2">
      <c r="C1240" s="132"/>
    </row>
    <row r="1241" spans="3:3" x14ac:dyDescent="0.2">
      <c r="C1241" s="132"/>
    </row>
    <row r="1242" spans="3:3" x14ac:dyDescent="0.2">
      <c r="C1242" s="132"/>
    </row>
    <row r="1243" spans="3:3" x14ac:dyDescent="0.2">
      <c r="C1243" s="132"/>
    </row>
    <row r="1244" spans="3:3" x14ac:dyDescent="0.2">
      <c r="C1244" s="132"/>
    </row>
    <row r="1245" spans="3:3" x14ac:dyDescent="0.2">
      <c r="C1245" s="132"/>
    </row>
    <row r="1246" spans="3:3" x14ac:dyDescent="0.2">
      <c r="C1246" s="132"/>
    </row>
    <row r="1247" spans="3:3" x14ac:dyDescent="0.2">
      <c r="C1247" s="132"/>
    </row>
    <row r="1248" spans="3:3" x14ac:dyDescent="0.2">
      <c r="C1248" s="132"/>
    </row>
    <row r="1249" spans="3:3" x14ac:dyDescent="0.2">
      <c r="C1249" s="132"/>
    </row>
    <row r="1250" spans="3:3" x14ac:dyDescent="0.2">
      <c r="C1250" s="132"/>
    </row>
    <row r="1251" spans="3:3" x14ac:dyDescent="0.2">
      <c r="C1251" s="132"/>
    </row>
    <row r="1252" spans="3:3" x14ac:dyDescent="0.2">
      <c r="C1252" s="132"/>
    </row>
    <row r="1253" spans="3:3" x14ac:dyDescent="0.2">
      <c r="C1253" s="132"/>
    </row>
    <row r="1254" spans="3:3" x14ac:dyDescent="0.2">
      <c r="C1254" s="132"/>
    </row>
    <row r="1255" spans="3:3" x14ac:dyDescent="0.2">
      <c r="C1255" s="132"/>
    </row>
    <row r="1256" spans="3:3" x14ac:dyDescent="0.2">
      <c r="C1256" s="132"/>
    </row>
    <row r="1257" spans="3:3" x14ac:dyDescent="0.2">
      <c r="C1257" s="132"/>
    </row>
    <row r="1258" spans="3:3" x14ac:dyDescent="0.2">
      <c r="C1258" s="132"/>
    </row>
    <row r="1259" spans="3:3" x14ac:dyDescent="0.2">
      <c r="C1259" s="132"/>
    </row>
    <row r="1260" spans="3:3" x14ac:dyDescent="0.2">
      <c r="C1260" s="132"/>
    </row>
    <row r="1261" spans="3:3" x14ac:dyDescent="0.2">
      <c r="C1261" s="132"/>
    </row>
    <row r="1262" spans="3:3" x14ac:dyDescent="0.2">
      <c r="C1262" s="132"/>
    </row>
    <row r="1263" spans="3:3" x14ac:dyDescent="0.2">
      <c r="C1263" s="132"/>
    </row>
    <row r="1264" spans="3:3" x14ac:dyDescent="0.2">
      <c r="C1264" s="132"/>
    </row>
    <row r="1265" spans="3:3" x14ac:dyDescent="0.2">
      <c r="C1265" s="132"/>
    </row>
    <row r="1266" spans="3:3" x14ac:dyDescent="0.2">
      <c r="C1266" s="132"/>
    </row>
    <row r="1267" spans="3:3" x14ac:dyDescent="0.2">
      <c r="C1267" s="132"/>
    </row>
    <row r="1268" spans="3:3" x14ac:dyDescent="0.2">
      <c r="C1268" s="132"/>
    </row>
    <row r="1269" spans="3:3" x14ac:dyDescent="0.2">
      <c r="C1269" s="132"/>
    </row>
    <row r="1270" spans="3:3" x14ac:dyDescent="0.2">
      <c r="C1270" s="132"/>
    </row>
    <row r="1271" spans="3:3" x14ac:dyDescent="0.2">
      <c r="C1271" s="132"/>
    </row>
    <row r="1272" spans="3:3" x14ac:dyDescent="0.2">
      <c r="C1272" s="132"/>
    </row>
    <row r="1273" spans="3:3" x14ac:dyDescent="0.2">
      <c r="C1273" s="132"/>
    </row>
    <row r="1274" spans="3:3" x14ac:dyDescent="0.2">
      <c r="C1274" s="132"/>
    </row>
    <row r="1275" spans="3:3" x14ac:dyDescent="0.2">
      <c r="C1275" s="132"/>
    </row>
    <row r="1276" spans="3:3" x14ac:dyDescent="0.2">
      <c r="C1276" s="132"/>
    </row>
    <row r="1277" spans="3:3" x14ac:dyDescent="0.2">
      <c r="C1277" s="132"/>
    </row>
    <row r="1278" spans="3:3" x14ac:dyDescent="0.2">
      <c r="C1278" s="132"/>
    </row>
    <row r="1279" spans="3:3" x14ac:dyDescent="0.2">
      <c r="C1279" s="132"/>
    </row>
    <row r="1280" spans="3:3" x14ac:dyDescent="0.2">
      <c r="C1280" s="132"/>
    </row>
    <row r="1281" spans="3:3" x14ac:dyDescent="0.2">
      <c r="C1281" s="132"/>
    </row>
    <row r="1282" spans="3:3" x14ac:dyDescent="0.2">
      <c r="C1282" s="132"/>
    </row>
    <row r="1283" spans="3:3" x14ac:dyDescent="0.2">
      <c r="C1283" s="132"/>
    </row>
    <row r="1284" spans="3:3" x14ac:dyDescent="0.2">
      <c r="C1284" s="132"/>
    </row>
    <row r="1285" spans="3:3" x14ac:dyDescent="0.2">
      <c r="C1285" s="132"/>
    </row>
    <row r="1286" spans="3:3" x14ac:dyDescent="0.2">
      <c r="C1286" s="132"/>
    </row>
    <row r="1287" spans="3:3" x14ac:dyDescent="0.2">
      <c r="C1287" s="132"/>
    </row>
    <row r="1288" spans="3:3" x14ac:dyDescent="0.2">
      <c r="C1288" s="132"/>
    </row>
    <row r="1289" spans="3:3" x14ac:dyDescent="0.2">
      <c r="C1289" s="132"/>
    </row>
    <row r="1290" spans="3:3" x14ac:dyDescent="0.2">
      <c r="C1290" s="132"/>
    </row>
    <row r="1291" spans="3:3" x14ac:dyDescent="0.2">
      <c r="C1291" s="132"/>
    </row>
    <row r="1292" spans="3:3" x14ac:dyDescent="0.2">
      <c r="C1292" s="132"/>
    </row>
    <row r="1293" spans="3:3" x14ac:dyDescent="0.2">
      <c r="C1293" s="132"/>
    </row>
    <row r="1294" spans="3:3" x14ac:dyDescent="0.2">
      <c r="C1294" s="132"/>
    </row>
    <row r="1295" spans="3:3" x14ac:dyDescent="0.2">
      <c r="C1295" s="132"/>
    </row>
    <row r="1296" spans="3:3" x14ac:dyDescent="0.2">
      <c r="C1296" s="132"/>
    </row>
    <row r="1297" spans="3:3" x14ac:dyDescent="0.2">
      <c r="C1297" s="132"/>
    </row>
    <row r="1298" spans="3:3" x14ac:dyDescent="0.2">
      <c r="C1298" s="132"/>
    </row>
    <row r="1299" spans="3:3" x14ac:dyDescent="0.2">
      <c r="C1299" s="132"/>
    </row>
    <row r="1300" spans="3:3" x14ac:dyDescent="0.2">
      <c r="C1300" s="132"/>
    </row>
    <row r="1301" spans="3:3" x14ac:dyDescent="0.2">
      <c r="C1301" s="132"/>
    </row>
    <row r="1302" spans="3:3" x14ac:dyDescent="0.2">
      <c r="C1302" s="132"/>
    </row>
    <row r="1303" spans="3:3" x14ac:dyDescent="0.2">
      <c r="C1303" s="132"/>
    </row>
    <row r="1304" spans="3:3" x14ac:dyDescent="0.2">
      <c r="C1304" s="132"/>
    </row>
    <row r="1305" spans="3:3" x14ac:dyDescent="0.2">
      <c r="C1305" s="132"/>
    </row>
    <row r="1306" spans="3:3" x14ac:dyDescent="0.2">
      <c r="C1306" s="132"/>
    </row>
    <row r="1307" spans="3:3" x14ac:dyDescent="0.2">
      <c r="C1307" s="132"/>
    </row>
    <row r="1308" spans="3:3" x14ac:dyDescent="0.2">
      <c r="C1308" s="132"/>
    </row>
    <row r="1309" spans="3:3" x14ac:dyDescent="0.2">
      <c r="C1309" s="132"/>
    </row>
    <row r="1310" spans="3:3" x14ac:dyDescent="0.2">
      <c r="C1310" s="132"/>
    </row>
    <row r="1311" spans="3:3" x14ac:dyDescent="0.2">
      <c r="C1311" s="132"/>
    </row>
    <row r="1312" spans="3:3" x14ac:dyDescent="0.2">
      <c r="C1312" s="132"/>
    </row>
    <row r="1313" spans="3:3" x14ac:dyDescent="0.2">
      <c r="C1313" s="132"/>
    </row>
    <row r="1314" spans="3:3" x14ac:dyDescent="0.2">
      <c r="C1314" s="132"/>
    </row>
    <row r="1315" spans="3:3" x14ac:dyDescent="0.2">
      <c r="C1315" s="132"/>
    </row>
    <row r="1316" spans="3:3" x14ac:dyDescent="0.2">
      <c r="C1316" s="132"/>
    </row>
    <row r="1317" spans="3:3" x14ac:dyDescent="0.2">
      <c r="C1317" s="132"/>
    </row>
    <row r="1318" spans="3:3" x14ac:dyDescent="0.2">
      <c r="C1318" s="132"/>
    </row>
    <row r="1319" spans="3:3" x14ac:dyDescent="0.2">
      <c r="C1319" s="132"/>
    </row>
    <row r="1320" spans="3:3" x14ac:dyDescent="0.2">
      <c r="C1320" s="132"/>
    </row>
    <row r="1321" spans="3:3" x14ac:dyDescent="0.2">
      <c r="C1321" s="132"/>
    </row>
    <row r="1322" spans="3:3" x14ac:dyDescent="0.2">
      <c r="C1322" s="132"/>
    </row>
    <row r="1323" spans="3:3" x14ac:dyDescent="0.2">
      <c r="C1323" s="132"/>
    </row>
    <row r="1324" spans="3:3" x14ac:dyDescent="0.2">
      <c r="C1324" s="132"/>
    </row>
    <row r="1325" spans="3:3" x14ac:dyDescent="0.2">
      <c r="C1325" s="132"/>
    </row>
    <row r="1326" spans="3:3" x14ac:dyDescent="0.2">
      <c r="C1326" s="132"/>
    </row>
    <row r="1327" spans="3:3" x14ac:dyDescent="0.2">
      <c r="C1327" s="132"/>
    </row>
    <row r="1328" spans="3:3" x14ac:dyDescent="0.2">
      <c r="C1328" s="132"/>
    </row>
    <row r="1329" spans="3:3" x14ac:dyDescent="0.2">
      <c r="C1329" s="132"/>
    </row>
    <row r="1330" spans="3:3" x14ac:dyDescent="0.2">
      <c r="C1330" s="132"/>
    </row>
    <row r="1331" spans="3:3" x14ac:dyDescent="0.2">
      <c r="C1331" s="132"/>
    </row>
    <row r="1332" spans="3:3" x14ac:dyDescent="0.2">
      <c r="C1332" s="132"/>
    </row>
    <row r="1333" spans="3:3" x14ac:dyDescent="0.2">
      <c r="C1333" s="132"/>
    </row>
    <row r="1334" spans="3:3" x14ac:dyDescent="0.2">
      <c r="C1334" s="132"/>
    </row>
    <row r="1335" spans="3:3" x14ac:dyDescent="0.2">
      <c r="C1335" s="132"/>
    </row>
    <row r="1336" spans="3:3" x14ac:dyDescent="0.2">
      <c r="C1336" s="132"/>
    </row>
    <row r="1337" spans="3:3" x14ac:dyDescent="0.2">
      <c r="C1337" s="132"/>
    </row>
    <row r="1338" spans="3:3" x14ac:dyDescent="0.2">
      <c r="C1338" s="132"/>
    </row>
    <row r="1339" spans="3:3" x14ac:dyDescent="0.2">
      <c r="C1339" s="132"/>
    </row>
    <row r="1340" spans="3:3" x14ac:dyDescent="0.2">
      <c r="C1340" s="132"/>
    </row>
    <row r="1341" spans="3:3" x14ac:dyDescent="0.2">
      <c r="C1341" s="132"/>
    </row>
    <row r="1342" spans="3:3" x14ac:dyDescent="0.2">
      <c r="C1342" s="132"/>
    </row>
    <row r="1343" spans="3:3" x14ac:dyDescent="0.2">
      <c r="C1343" s="132"/>
    </row>
    <row r="1344" spans="3:3" x14ac:dyDescent="0.2">
      <c r="C1344" s="132"/>
    </row>
    <row r="1345" spans="3:3" x14ac:dyDescent="0.2">
      <c r="C1345" s="132"/>
    </row>
    <row r="1346" spans="3:3" x14ac:dyDescent="0.2">
      <c r="C1346" s="132"/>
    </row>
    <row r="1347" spans="3:3" x14ac:dyDescent="0.2">
      <c r="C1347" s="132"/>
    </row>
    <row r="1348" spans="3:3" x14ac:dyDescent="0.2">
      <c r="C1348" s="132"/>
    </row>
    <row r="1349" spans="3:3" x14ac:dyDescent="0.2">
      <c r="C1349" s="132"/>
    </row>
    <row r="1350" spans="3:3" x14ac:dyDescent="0.2">
      <c r="C1350" s="132"/>
    </row>
    <row r="1351" spans="3:3" x14ac:dyDescent="0.2">
      <c r="C1351" s="132"/>
    </row>
    <row r="1352" spans="3:3" x14ac:dyDescent="0.2">
      <c r="C1352" s="132"/>
    </row>
    <row r="1353" spans="3:3" x14ac:dyDescent="0.2">
      <c r="C1353" s="132"/>
    </row>
    <row r="1354" spans="3:3" x14ac:dyDescent="0.2">
      <c r="C1354" s="132"/>
    </row>
    <row r="1355" spans="3:3" x14ac:dyDescent="0.2">
      <c r="C1355" s="132"/>
    </row>
    <row r="1356" spans="3:3" x14ac:dyDescent="0.2">
      <c r="C1356" s="132"/>
    </row>
    <row r="1357" spans="3:3" x14ac:dyDescent="0.2">
      <c r="C1357" s="132"/>
    </row>
    <row r="1358" spans="3:3" x14ac:dyDescent="0.2">
      <c r="C1358" s="132"/>
    </row>
    <row r="1359" spans="3:3" x14ac:dyDescent="0.2">
      <c r="C1359" s="132"/>
    </row>
    <row r="1360" spans="3:3" x14ac:dyDescent="0.2">
      <c r="C1360" s="132"/>
    </row>
    <row r="1361" spans="3:3" x14ac:dyDescent="0.2">
      <c r="C1361" s="132"/>
    </row>
    <row r="1362" spans="3:3" x14ac:dyDescent="0.2">
      <c r="C1362" s="132"/>
    </row>
    <row r="1363" spans="3:3" x14ac:dyDescent="0.2">
      <c r="C1363" s="132"/>
    </row>
    <row r="1364" spans="3:3" x14ac:dyDescent="0.2">
      <c r="C1364" s="132"/>
    </row>
    <row r="1365" spans="3:3" x14ac:dyDescent="0.2">
      <c r="C1365" s="132"/>
    </row>
    <row r="1366" spans="3:3" x14ac:dyDescent="0.2">
      <c r="C1366" s="132"/>
    </row>
    <row r="1367" spans="3:3" x14ac:dyDescent="0.2">
      <c r="C1367" s="132"/>
    </row>
    <row r="1368" spans="3:3" x14ac:dyDescent="0.2">
      <c r="C1368" s="132"/>
    </row>
    <row r="1369" spans="3:3" x14ac:dyDescent="0.2">
      <c r="C1369" s="132"/>
    </row>
    <row r="1370" spans="3:3" x14ac:dyDescent="0.2">
      <c r="C1370" s="132"/>
    </row>
    <row r="1371" spans="3:3" x14ac:dyDescent="0.2">
      <c r="C1371" s="132"/>
    </row>
    <row r="1372" spans="3:3" x14ac:dyDescent="0.2">
      <c r="C1372" s="132"/>
    </row>
    <row r="1373" spans="3:3" x14ac:dyDescent="0.2">
      <c r="C1373" s="132"/>
    </row>
    <row r="1374" spans="3:3" x14ac:dyDescent="0.2">
      <c r="C1374" s="132"/>
    </row>
    <row r="1375" spans="3:3" x14ac:dyDescent="0.2">
      <c r="C1375" s="132"/>
    </row>
    <row r="1376" spans="3:3" x14ac:dyDescent="0.2">
      <c r="C1376" s="132"/>
    </row>
    <row r="1377" spans="3:3" x14ac:dyDescent="0.2">
      <c r="C1377" s="132"/>
    </row>
    <row r="1378" spans="3:3" x14ac:dyDescent="0.2">
      <c r="C1378" s="132"/>
    </row>
    <row r="1379" spans="3:3" x14ac:dyDescent="0.2">
      <c r="C1379" s="132"/>
    </row>
    <row r="1380" spans="3:3" x14ac:dyDescent="0.2">
      <c r="C1380" s="132"/>
    </row>
    <row r="1381" spans="3:3" x14ac:dyDescent="0.2">
      <c r="C1381" s="132"/>
    </row>
    <row r="1382" spans="3:3" x14ac:dyDescent="0.2">
      <c r="C1382" s="132"/>
    </row>
    <row r="1383" spans="3:3" x14ac:dyDescent="0.2">
      <c r="C1383" s="132"/>
    </row>
    <row r="1384" spans="3:3" x14ac:dyDescent="0.2">
      <c r="C1384" s="132"/>
    </row>
    <row r="1385" spans="3:3" x14ac:dyDescent="0.2">
      <c r="C1385" s="132"/>
    </row>
    <row r="1386" spans="3:3" x14ac:dyDescent="0.2">
      <c r="C1386" s="132"/>
    </row>
    <row r="1387" spans="3:3" x14ac:dyDescent="0.2">
      <c r="C1387" s="132"/>
    </row>
    <row r="1388" spans="3:3" x14ac:dyDescent="0.2">
      <c r="C1388" s="132"/>
    </row>
    <row r="1389" spans="3:3" x14ac:dyDescent="0.2">
      <c r="C1389" s="132"/>
    </row>
    <row r="1390" spans="3:3" x14ac:dyDescent="0.2">
      <c r="C1390" s="132"/>
    </row>
    <row r="1391" spans="3:3" x14ac:dyDescent="0.2">
      <c r="C1391" s="132"/>
    </row>
    <row r="1392" spans="3:3" x14ac:dyDescent="0.2">
      <c r="C1392" s="132"/>
    </row>
    <row r="1393" spans="3:3" x14ac:dyDescent="0.2">
      <c r="C1393" s="132"/>
    </row>
    <row r="1394" spans="3:3" x14ac:dyDescent="0.2">
      <c r="C1394" s="132"/>
    </row>
    <row r="1395" spans="3:3" x14ac:dyDescent="0.2">
      <c r="C1395" s="132"/>
    </row>
    <row r="1396" spans="3:3" x14ac:dyDescent="0.2">
      <c r="C1396" s="132"/>
    </row>
    <row r="1397" spans="3:3" x14ac:dyDescent="0.2">
      <c r="C1397" s="132"/>
    </row>
    <row r="1398" spans="3:3" x14ac:dyDescent="0.2">
      <c r="C1398" s="132"/>
    </row>
    <row r="1399" spans="3:3" x14ac:dyDescent="0.2">
      <c r="C1399" s="132"/>
    </row>
    <row r="1400" spans="3:3" x14ac:dyDescent="0.2">
      <c r="C1400" s="132"/>
    </row>
    <row r="1401" spans="3:3" x14ac:dyDescent="0.2">
      <c r="C1401" s="132"/>
    </row>
    <row r="1402" spans="3:3" x14ac:dyDescent="0.2">
      <c r="C1402" s="132"/>
    </row>
    <row r="1403" spans="3:3" x14ac:dyDescent="0.2">
      <c r="C1403" s="132"/>
    </row>
    <row r="1404" spans="3:3" x14ac:dyDescent="0.2">
      <c r="C1404" s="132"/>
    </row>
    <row r="1405" spans="3:3" x14ac:dyDescent="0.2">
      <c r="C1405" s="132"/>
    </row>
    <row r="1406" spans="3:3" x14ac:dyDescent="0.2">
      <c r="C1406" s="132"/>
    </row>
    <row r="1407" spans="3:3" x14ac:dyDescent="0.2">
      <c r="C1407" s="132"/>
    </row>
    <row r="1408" spans="3:3" x14ac:dyDescent="0.2">
      <c r="C1408" s="132"/>
    </row>
    <row r="1409" spans="3:3" x14ac:dyDescent="0.2">
      <c r="C1409" s="132"/>
    </row>
    <row r="1410" spans="3:3" x14ac:dyDescent="0.2">
      <c r="C1410" s="132"/>
    </row>
    <row r="1411" spans="3:3" x14ac:dyDescent="0.2">
      <c r="C1411" s="132"/>
    </row>
    <row r="1412" spans="3:3" x14ac:dyDescent="0.2">
      <c r="C1412" s="132"/>
    </row>
    <row r="1413" spans="3:3" x14ac:dyDescent="0.2">
      <c r="C1413" s="132"/>
    </row>
    <row r="1414" spans="3:3" x14ac:dyDescent="0.2">
      <c r="C1414" s="132"/>
    </row>
    <row r="1415" spans="3:3" x14ac:dyDescent="0.2">
      <c r="C1415" s="132"/>
    </row>
    <row r="1416" spans="3:3" x14ac:dyDescent="0.2">
      <c r="C1416" s="132"/>
    </row>
    <row r="1417" spans="3:3" x14ac:dyDescent="0.2">
      <c r="C1417" s="132"/>
    </row>
    <row r="1418" spans="3:3" x14ac:dyDescent="0.2">
      <c r="C1418" s="132"/>
    </row>
    <row r="1419" spans="3:3" x14ac:dyDescent="0.2">
      <c r="C1419" s="132"/>
    </row>
    <row r="1420" spans="3:3" x14ac:dyDescent="0.2">
      <c r="C1420" s="132"/>
    </row>
    <row r="1421" spans="3:3" x14ac:dyDescent="0.2">
      <c r="C1421" s="132"/>
    </row>
    <row r="1422" spans="3:3" x14ac:dyDescent="0.2">
      <c r="C1422" s="132"/>
    </row>
    <row r="1423" spans="3:3" x14ac:dyDescent="0.2">
      <c r="C1423" s="132"/>
    </row>
    <row r="1424" spans="3:3" x14ac:dyDescent="0.2">
      <c r="C1424" s="132"/>
    </row>
    <row r="1425" spans="3:3" x14ac:dyDescent="0.2">
      <c r="C1425" s="132"/>
    </row>
    <row r="1426" spans="3:3" x14ac:dyDescent="0.2">
      <c r="C1426" s="132"/>
    </row>
    <row r="1427" spans="3:3" x14ac:dyDescent="0.2">
      <c r="C1427" s="132"/>
    </row>
    <row r="1428" spans="3:3" x14ac:dyDescent="0.2">
      <c r="C1428" s="132"/>
    </row>
    <row r="1429" spans="3:3" x14ac:dyDescent="0.2">
      <c r="C1429" s="132"/>
    </row>
    <row r="1430" spans="3:3" x14ac:dyDescent="0.2">
      <c r="C1430" s="132"/>
    </row>
    <row r="1431" spans="3:3" x14ac:dyDescent="0.2">
      <c r="C1431" s="132"/>
    </row>
    <row r="1432" spans="3:3" x14ac:dyDescent="0.2">
      <c r="C1432" s="132"/>
    </row>
    <row r="1433" spans="3:3" x14ac:dyDescent="0.2">
      <c r="C1433" s="132"/>
    </row>
    <row r="1434" spans="3:3" x14ac:dyDescent="0.2">
      <c r="C1434" s="132"/>
    </row>
    <row r="1435" spans="3:3" x14ac:dyDescent="0.2">
      <c r="C1435" s="132"/>
    </row>
    <row r="1436" spans="3:3" x14ac:dyDescent="0.2">
      <c r="C1436" s="132"/>
    </row>
    <row r="1437" spans="3:3" x14ac:dyDescent="0.2">
      <c r="C1437" s="132"/>
    </row>
    <row r="1438" spans="3:3" x14ac:dyDescent="0.2">
      <c r="C1438" s="132"/>
    </row>
    <row r="1439" spans="3:3" x14ac:dyDescent="0.2">
      <c r="C1439" s="132"/>
    </row>
    <row r="1440" spans="3:3" x14ac:dyDescent="0.2">
      <c r="C1440" s="132"/>
    </row>
    <row r="1441" spans="3:3" x14ac:dyDescent="0.2">
      <c r="C1441" s="132"/>
    </row>
    <row r="1442" spans="3:3" x14ac:dyDescent="0.2">
      <c r="C1442" s="132"/>
    </row>
    <row r="1443" spans="3:3" x14ac:dyDescent="0.2">
      <c r="C1443" s="132"/>
    </row>
    <row r="1444" spans="3:3" x14ac:dyDescent="0.2">
      <c r="C1444" s="132"/>
    </row>
    <row r="1445" spans="3:3" x14ac:dyDescent="0.2">
      <c r="C1445" s="132"/>
    </row>
    <row r="1446" spans="3:3" x14ac:dyDescent="0.2">
      <c r="C1446" s="132"/>
    </row>
    <row r="1447" spans="3:3" x14ac:dyDescent="0.2">
      <c r="C1447" s="132"/>
    </row>
    <row r="1448" spans="3:3" x14ac:dyDescent="0.2">
      <c r="C1448" s="132"/>
    </row>
    <row r="1449" spans="3:3" x14ac:dyDescent="0.2">
      <c r="C1449" s="132"/>
    </row>
    <row r="1450" spans="3:3" x14ac:dyDescent="0.2">
      <c r="C1450" s="132"/>
    </row>
    <row r="1451" spans="3:3" x14ac:dyDescent="0.2">
      <c r="C1451" s="132"/>
    </row>
    <row r="1452" spans="3:3" x14ac:dyDescent="0.2">
      <c r="C1452" s="132"/>
    </row>
    <row r="1453" spans="3:3" x14ac:dyDescent="0.2">
      <c r="C1453" s="132"/>
    </row>
    <row r="1454" spans="3:3" x14ac:dyDescent="0.2">
      <c r="C1454" s="132"/>
    </row>
    <row r="1455" spans="3:3" x14ac:dyDescent="0.2">
      <c r="C1455" s="132"/>
    </row>
    <row r="1456" spans="3:3" x14ac:dyDescent="0.2">
      <c r="C1456" s="132"/>
    </row>
    <row r="1457" spans="3:3" x14ac:dyDescent="0.2">
      <c r="C1457" s="132"/>
    </row>
    <row r="1458" spans="3:3" x14ac:dyDescent="0.2">
      <c r="C1458" s="132"/>
    </row>
    <row r="1459" spans="3:3" x14ac:dyDescent="0.2">
      <c r="C1459" s="132"/>
    </row>
    <row r="1460" spans="3:3" x14ac:dyDescent="0.2">
      <c r="C1460" s="132"/>
    </row>
    <row r="1461" spans="3:3" x14ac:dyDescent="0.2">
      <c r="C1461" s="132"/>
    </row>
    <row r="1462" spans="3:3" x14ac:dyDescent="0.2">
      <c r="C1462" s="132"/>
    </row>
    <row r="1463" spans="3:3" x14ac:dyDescent="0.2">
      <c r="C1463" s="132"/>
    </row>
    <row r="1464" spans="3:3" x14ac:dyDescent="0.2">
      <c r="C1464" s="132"/>
    </row>
    <row r="1465" spans="3:3" x14ac:dyDescent="0.2">
      <c r="C1465" s="132"/>
    </row>
    <row r="1466" spans="3:3" x14ac:dyDescent="0.2">
      <c r="C1466" s="132"/>
    </row>
    <row r="1467" spans="3:3" x14ac:dyDescent="0.2">
      <c r="C1467" s="132"/>
    </row>
    <row r="1468" spans="3:3" x14ac:dyDescent="0.2">
      <c r="C1468" s="132"/>
    </row>
    <row r="1469" spans="3:3" x14ac:dyDescent="0.2">
      <c r="C1469" s="132"/>
    </row>
    <row r="1470" spans="3:3" x14ac:dyDescent="0.2">
      <c r="C1470" s="132"/>
    </row>
    <row r="1471" spans="3:3" x14ac:dyDescent="0.2">
      <c r="C1471" s="132"/>
    </row>
    <row r="1472" spans="3:3" x14ac:dyDescent="0.2">
      <c r="C1472" s="132"/>
    </row>
    <row r="1473" spans="3:3" x14ac:dyDescent="0.2">
      <c r="C1473" s="132"/>
    </row>
    <row r="1474" spans="3:3" x14ac:dyDescent="0.2">
      <c r="C1474" s="132"/>
    </row>
    <row r="1475" spans="3:3" x14ac:dyDescent="0.2">
      <c r="C1475" s="132"/>
    </row>
    <row r="1476" spans="3:3" x14ac:dyDescent="0.2">
      <c r="C1476" s="132"/>
    </row>
    <row r="1477" spans="3:3" x14ac:dyDescent="0.2">
      <c r="C1477" s="132"/>
    </row>
    <row r="1478" spans="3:3" x14ac:dyDescent="0.2">
      <c r="C1478" s="132"/>
    </row>
    <row r="1479" spans="3:3" x14ac:dyDescent="0.2">
      <c r="C1479" s="132"/>
    </row>
    <row r="1480" spans="3:3" x14ac:dyDescent="0.2">
      <c r="C1480" s="132"/>
    </row>
    <row r="1481" spans="3:3" x14ac:dyDescent="0.2">
      <c r="C1481" s="132"/>
    </row>
    <row r="1482" spans="3:3" x14ac:dyDescent="0.2">
      <c r="C1482" s="132"/>
    </row>
    <row r="1483" spans="3:3" x14ac:dyDescent="0.2">
      <c r="C1483" s="132"/>
    </row>
    <row r="1484" spans="3:3" x14ac:dyDescent="0.2">
      <c r="C1484" s="132"/>
    </row>
    <row r="1485" spans="3:3" x14ac:dyDescent="0.2">
      <c r="C1485" s="132"/>
    </row>
    <row r="1486" spans="3:3" x14ac:dyDescent="0.2">
      <c r="C1486" s="132"/>
    </row>
    <row r="1487" spans="3:3" x14ac:dyDescent="0.2">
      <c r="C1487" s="132"/>
    </row>
    <row r="1488" spans="3:3" x14ac:dyDescent="0.2">
      <c r="C1488" s="132"/>
    </row>
    <row r="1489" spans="3:3" x14ac:dyDescent="0.2">
      <c r="C1489" s="132"/>
    </row>
    <row r="1490" spans="3:3" x14ac:dyDescent="0.2">
      <c r="C1490" s="132"/>
    </row>
    <row r="1491" spans="3:3" x14ac:dyDescent="0.2">
      <c r="C1491" s="132"/>
    </row>
    <row r="1492" spans="3:3" x14ac:dyDescent="0.2">
      <c r="C1492" s="132"/>
    </row>
    <row r="1493" spans="3:3" x14ac:dyDescent="0.2">
      <c r="C1493" s="132"/>
    </row>
    <row r="1494" spans="3:3" x14ac:dyDescent="0.2">
      <c r="C1494" s="132"/>
    </row>
    <row r="1495" spans="3:3" x14ac:dyDescent="0.2">
      <c r="C1495" s="132"/>
    </row>
    <row r="1496" spans="3:3" x14ac:dyDescent="0.2">
      <c r="C1496" s="132"/>
    </row>
    <row r="1497" spans="3:3" x14ac:dyDescent="0.2">
      <c r="C1497" s="132"/>
    </row>
    <row r="1498" spans="3:3" x14ac:dyDescent="0.2">
      <c r="C1498" s="132"/>
    </row>
    <row r="1499" spans="3:3" x14ac:dyDescent="0.2">
      <c r="C1499" s="132"/>
    </row>
    <row r="1500" spans="3:3" x14ac:dyDescent="0.2">
      <c r="C1500" s="132"/>
    </row>
    <row r="1501" spans="3:3" x14ac:dyDescent="0.2">
      <c r="C1501" s="132"/>
    </row>
    <row r="1502" spans="3:3" x14ac:dyDescent="0.2">
      <c r="C1502" s="132"/>
    </row>
    <row r="1503" spans="3:3" x14ac:dyDescent="0.2">
      <c r="C1503" s="132"/>
    </row>
    <row r="1504" spans="3:3" x14ac:dyDescent="0.2">
      <c r="C1504" s="132"/>
    </row>
    <row r="1505" spans="3:3" x14ac:dyDescent="0.2">
      <c r="C1505" s="132"/>
    </row>
    <row r="1506" spans="3:3" x14ac:dyDescent="0.2">
      <c r="C1506" s="132"/>
    </row>
    <row r="1507" spans="3:3" x14ac:dyDescent="0.2">
      <c r="C1507" s="132"/>
    </row>
    <row r="1508" spans="3:3" x14ac:dyDescent="0.2">
      <c r="C1508" s="132"/>
    </row>
    <row r="1509" spans="3:3" x14ac:dyDescent="0.2">
      <c r="C1509" s="132"/>
    </row>
    <row r="1510" spans="3:3" x14ac:dyDescent="0.2">
      <c r="C1510" s="132"/>
    </row>
    <row r="1511" spans="3:3" x14ac:dyDescent="0.2">
      <c r="C1511" s="132"/>
    </row>
    <row r="1512" spans="3:3" x14ac:dyDescent="0.2">
      <c r="C1512" s="132"/>
    </row>
    <row r="1513" spans="3:3" x14ac:dyDescent="0.2">
      <c r="C1513" s="132"/>
    </row>
    <row r="1514" spans="3:3" x14ac:dyDescent="0.2">
      <c r="C1514" s="132"/>
    </row>
  </sheetData>
  <autoFilter ref="I3:K206" xr:uid="{00000000-0009-0000-0000-000007000000}"/>
  <conditionalFormatting sqref="I209">
    <cfRule type="expression" dxfId="136" priority="2">
      <formula>ISERROR(Q197)</formula>
    </cfRule>
  </conditionalFormatting>
  <conditionalFormatting sqref="I192">
    <cfRule type="expression" dxfId="135" priority="1">
      <formula>ISERROR(Q179)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Y283"/>
  <sheetViews>
    <sheetView workbookViewId="0">
      <selection activeCell="E11" sqref="E11"/>
    </sheetView>
  </sheetViews>
  <sheetFormatPr baseColWidth="10" defaultColWidth="8.83203125" defaultRowHeight="15" x14ac:dyDescent="0.2"/>
  <cols>
    <col min="2" max="2" width="11.6640625" bestFit="1" customWidth="1"/>
    <col min="3" max="3" width="12" bestFit="1" customWidth="1"/>
    <col min="4" max="4" width="11.1640625" customWidth="1"/>
    <col min="5" max="5" width="50.83203125" bestFit="1" customWidth="1"/>
    <col min="6" max="6" width="17.6640625" bestFit="1" customWidth="1"/>
    <col min="7" max="7" width="33.6640625" bestFit="1" customWidth="1"/>
    <col min="8" max="8" width="19.33203125" bestFit="1" customWidth="1"/>
    <col min="9" max="9" width="33.1640625" bestFit="1" customWidth="1"/>
    <col min="10" max="10" width="19" bestFit="1" customWidth="1"/>
    <col min="11" max="11" width="11.6640625" bestFit="1" customWidth="1"/>
    <col min="12" max="12" width="13.6640625" bestFit="1" customWidth="1"/>
    <col min="13" max="13" width="18.6640625" bestFit="1" customWidth="1"/>
    <col min="14" max="14" width="34.6640625" bestFit="1" customWidth="1"/>
    <col min="15" max="15" width="52" bestFit="1" customWidth="1"/>
    <col min="16" max="16" width="13.83203125" bestFit="1" customWidth="1"/>
    <col min="17" max="22" width="2" bestFit="1" customWidth="1"/>
    <col min="24" max="25" width="2" bestFit="1" customWidth="1"/>
  </cols>
  <sheetData>
    <row r="1" spans="1:16" x14ac:dyDescent="0.2">
      <c r="B1" t="s">
        <v>50</v>
      </c>
      <c r="C1" t="s">
        <v>50</v>
      </c>
      <c r="D1" s="83" t="s">
        <v>50</v>
      </c>
      <c r="E1" t="s">
        <v>50</v>
      </c>
      <c r="F1" t="s">
        <v>50</v>
      </c>
      <c r="G1" t="s">
        <v>50</v>
      </c>
      <c r="H1" t="s">
        <v>50</v>
      </c>
      <c r="J1" s="2" t="s">
        <v>302</v>
      </c>
      <c r="K1" s="2" t="s">
        <v>303</v>
      </c>
      <c r="L1" s="2" t="s">
        <v>304</v>
      </c>
      <c r="M1" s="2" t="s">
        <v>305</v>
      </c>
      <c r="N1" s="2" t="s">
        <v>14</v>
      </c>
      <c r="O1" s="2" t="s">
        <v>303</v>
      </c>
      <c r="P1" s="2" t="s">
        <v>306</v>
      </c>
    </row>
    <row r="2" spans="1:16" x14ac:dyDescent="0.2">
      <c r="A2" s="1" t="s">
        <v>759</v>
      </c>
      <c r="B2" s="1" t="s">
        <v>13</v>
      </c>
      <c r="C2" s="1" t="s">
        <v>205</v>
      </c>
      <c r="D2" s="1" t="s">
        <v>206</v>
      </c>
      <c r="E2" s="1" t="s">
        <v>207</v>
      </c>
      <c r="F2" s="1" t="s">
        <v>23</v>
      </c>
      <c r="G2" s="1" t="s">
        <v>208</v>
      </c>
      <c r="H2" s="1" t="s">
        <v>15</v>
      </c>
      <c r="I2" t="s">
        <v>209</v>
      </c>
      <c r="J2" s="63">
        <f>COUNTIF(J4:J59,"#N/A")</f>
        <v>0</v>
      </c>
      <c r="K2" s="63"/>
      <c r="L2" s="63"/>
      <c r="M2" s="63"/>
      <c r="N2" s="63"/>
      <c r="O2" s="92" t="s">
        <v>210</v>
      </c>
      <c r="P2" s="63">
        <f>COUNTIF(P4:P281,"&gt;1")</f>
        <v>129</v>
      </c>
    </row>
    <row r="3" spans="1:16" x14ac:dyDescent="0.2">
      <c r="A3">
        <v>1001</v>
      </c>
      <c r="B3" s="82">
        <v>43061</v>
      </c>
      <c r="C3" s="88">
        <v>0.78472222222222221</v>
      </c>
      <c r="D3" s="83"/>
      <c r="E3" s="83" t="s">
        <v>269</v>
      </c>
      <c r="F3" s="83" t="s">
        <v>211</v>
      </c>
      <c r="G3" s="83" t="s">
        <v>227</v>
      </c>
      <c r="H3" s="83" t="s">
        <v>228</v>
      </c>
      <c r="I3" s="86"/>
      <c r="J3" t="str">
        <f t="shared" ref="J3:J6" si="0">VLOOKUP(F3,category_list,1,0)</f>
        <v>ADULTS FEMALE</v>
      </c>
      <c r="K3" s="87" t="str">
        <f t="shared" ref="K3:K6" si="1">VLOOKUP(TEXT(C3,"HH:MM:SS AM/PM"),time_slots_text,1,0)</f>
        <v>06:50:00 PM</v>
      </c>
      <c r="L3" s="91">
        <f t="shared" ref="L3:L6" si="2">VLOOKUP(C3,Time_Slots_used,1,1)</f>
        <v>0.7847222222222221</v>
      </c>
      <c r="M3" s="84">
        <f t="shared" ref="M3:M6" si="3">B3+L3</f>
        <v>43061.784722222219</v>
      </c>
      <c r="N3" s="81" t="str">
        <f t="shared" ref="N3:N6" si="4">IFERROR(TEXT(M3,"MM/DD/YYYY HH:MM")&amp;"-&gt;"&amp;F3,"")</f>
        <v>11/22/2017 18:50-&gt;Adults Female</v>
      </c>
      <c r="O3" t="str">
        <f t="shared" ref="O3:O6" si="5">IFERROR(G3&amp;" in "&amp; H3,"")</f>
        <v>Tennis in Tennis Courts</v>
      </c>
      <c r="P3">
        <f t="shared" ref="P3:P34" si="6">IF(N3&gt;0,COUNTIF($N$5:$N$282,N3),0)</f>
        <v>0</v>
      </c>
    </row>
    <row r="4" spans="1:16" x14ac:dyDescent="0.2">
      <c r="A4">
        <v>1002</v>
      </c>
      <c r="B4" s="82">
        <v>43063</v>
      </c>
      <c r="C4" s="88">
        <v>0.57638888888888895</v>
      </c>
      <c r="D4" s="83"/>
      <c r="E4" s="83" t="s">
        <v>269</v>
      </c>
      <c r="F4" s="83" t="s">
        <v>211</v>
      </c>
      <c r="G4" s="83" t="s">
        <v>227</v>
      </c>
      <c r="H4" s="83" t="s">
        <v>228</v>
      </c>
      <c r="I4" s="86"/>
      <c r="J4" t="str">
        <f t="shared" si="0"/>
        <v>ADULTS FEMALE</v>
      </c>
      <c r="K4" s="87" t="str">
        <f t="shared" si="1"/>
        <v>01:50:00 PM</v>
      </c>
      <c r="L4" s="91">
        <f t="shared" si="2"/>
        <v>0.57638888888888884</v>
      </c>
      <c r="M4" s="84">
        <f t="shared" si="3"/>
        <v>43063.576388888891</v>
      </c>
      <c r="N4" s="81" t="str">
        <f t="shared" si="4"/>
        <v>11/24/2017 13:50-&gt;Adults Female</v>
      </c>
      <c r="O4" t="str">
        <f t="shared" si="5"/>
        <v>Tennis in Tennis Courts</v>
      </c>
      <c r="P4">
        <f t="shared" si="6"/>
        <v>0</v>
      </c>
    </row>
    <row r="5" spans="1:16" x14ac:dyDescent="0.2">
      <c r="A5">
        <v>1003</v>
      </c>
      <c r="B5" s="82">
        <v>43058</v>
      </c>
      <c r="C5" s="88">
        <v>0.47222222222222227</v>
      </c>
      <c r="D5" s="83"/>
      <c r="E5" s="83" t="s">
        <v>232</v>
      </c>
      <c r="F5" s="83" t="s">
        <v>211</v>
      </c>
      <c r="G5" s="83" t="s">
        <v>233</v>
      </c>
      <c r="H5" s="83" t="s">
        <v>234</v>
      </c>
      <c r="J5" t="str">
        <f t="shared" si="0"/>
        <v>ADULTS FEMALE</v>
      </c>
      <c r="K5" s="87" t="str">
        <f t="shared" si="1"/>
        <v>11:20:00 AM</v>
      </c>
      <c r="L5" s="91">
        <f t="shared" si="2"/>
        <v>0.47222222222222215</v>
      </c>
      <c r="M5" s="84">
        <f t="shared" si="3"/>
        <v>43058.472222222219</v>
      </c>
      <c r="N5" s="81" t="str">
        <f t="shared" si="4"/>
        <v>11/19/2017 11:20-&gt;Adults Female</v>
      </c>
      <c r="O5" t="str">
        <f t="shared" si="5"/>
        <v>Chess Tournament in Senior Lounge</v>
      </c>
      <c r="P5">
        <f t="shared" si="6"/>
        <v>1</v>
      </c>
    </row>
    <row r="6" spans="1:16" x14ac:dyDescent="0.2">
      <c r="A6">
        <v>1004</v>
      </c>
      <c r="B6" s="82">
        <v>43058</v>
      </c>
      <c r="C6" s="88">
        <v>0.54166666666666663</v>
      </c>
      <c r="D6" s="90"/>
      <c r="E6" s="83" t="s">
        <v>249</v>
      </c>
      <c r="F6" s="83" t="s">
        <v>211</v>
      </c>
      <c r="G6" s="83" t="s">
        <v>230</v>
      </c>
      <c r="H6" s="83" t="s">
        <v>231</v>
      </c>
      <c r="J6" t="str">
        <f t="shared" si="0"/>
        <v>ADULTS FEMALE</v>
      </c>
      <c r="K6" s="87" t="str">
        <f t="shared" si="1"/>
        <v>01:00:00 PM</v>
      </c>
      <c r="L6" s="91">
        <f t="shared" si="2"/>
        <v>0.54166666666666663</v>
      </c>
      <c r="M6" s="84">
        <f t="shared" si="3"/>
        <v>43058.541666666664</v>
      </c>
      <c r="N6" s="81" t="str">
        <f t="shared" si="4"/>
        <v>11/19/2017 13:00-&gt;Adults Female</v>
      </c>
      <c r="O6" t="str">
        <f t="shared" si="5"/>
        <v>Ping Pong in Katz</v>
      </c>
      <c r="P6">
        <f t="shared" si="6"/>
        <v>1</v>
      </c>
    </row>
    <row r="7" spans="1:16" x14ac:dyDescent="0.2">
      <c r="A7">
        <v>1005</v>
      </c>
      <c r="B7" s="82">
        <v>43059</v>
      </c>
      <c r="C7" s="88">
        <v>0.85416666666666663</v>
      </c>
      <c r="D7" s="83"/>
      <c r="E7" s="83" t="s">
        <v>258</v>
      </c>
      <c r="F7" s="83" t="s">
        <v>211</v>
      </c>
      <c r="G7" s="83" t="s">
        <v>251</v>
      </c>
      <c r="H7" s="83" t="s">
        <v>252</v>
      </c>
      <c r="J7" t="str">
        <f t="shared" ref="J7:J70" si="7">VLOOKUP(F7,category_list,1,0)</f>
        <v>ADULTS FEMALE</v>
      </c>
      <c r="K7" s="87" t="str">
        <f t="shared" ref="K7:K70" si="8">VLOOKUP(TEXT(C7,"HH:MM:SS AM/PM"),time_slots_text,1,0)</f>
        <v>08:30:00 PM</v>
      </c>
      <c r="L7" s="91">
        <f t="shared" ref="L7:L70" si="9">VLOOKUP(C7,Time_Slots_used,1,1)</f>
        <v>0.85416666666666652</v>
      </c>
      <c r="M7" s="84">
        <f t="shared" ref="M7:M70" si="10">B7+L7</f>
        <v>43059.854166666664</v>
      </c>
      <c r="N7" s="81" t="str">
        <f t="shared" ref="N7:N70" si="11">IFERROR(TEXT(M7,"MM/DD/YYYY HH:MM")&amp;"-&gt;"&amp;F7,"")</f>
        <v>11/20/2017 20:30-&gt;Adults Female</v>
      </c>
      <c r="O7" t="str">
        <f t="shared" ref="O7:O70" si="12">IFERROR(G7&amp;" in "&amp; H7,"")</f>
        <v>Swimming in Pool</v>
      </c>
      <c r="P7">
        <f t="shared" si="6"/>
        <v>1</v>
      </c>
    </row>
    <row r="8" spans="1:16" x14ac:dyDescent="0.2">
      <c r="A8">
        <v>1006</v>
      </c>
      <c r="B8" s="82">
        <v>43060</v>
      </c>
      <c r="C8" s="88">
        <v>0.85416666666666663</v>
      </c>
      <c r="D8" s="83"/>
      <c r="E8" s="83" t="s">
        <v>264</v>
      </c>
      <c r="F8" s="83" t="s">
        <v>211</v>
      </c>
      <c r="G8" s="83" t="s">
        <v>265</v>
      </c>
      <c r="H8" s="83" t="s">
        <v>266</v>
      </c>
      <c r="J8" t="str">
        <f t="shared" si="7"/>
        <v>ADULTS FEMALE</v>
      </c>
      <c r="K8" s="87" t="str">
        <f t="shared" si="8"/>
        <v>08:30:00 PM</v>
      </c>
      <c r="L8" s="91">
        <f t="shared" si="9"/>
        <v>0.85416666666666652</v>
      </c>
      <c r="M8" s="84">
        <f t="shared" si="10"/>
        <v>43060.854166666664</v>
      </c>
      <c r="N8" s="81" t="str">
        <f t="shared" si="11"/>
        <v>11/21/2017 20:30-&gt;Adults Female</v>
      </c>
      <c r="O8" t="str">
        <f t="shared" si="12"/>
        <v>Bowling in Pines Arena</v>
      </c>
      <c r="P8">
        <f t="shared" si="6"/>
        <v>1</v>
      </c>
    </row>
    <row r="9" spans="1:16" x14ac:dyDescent="0.2">
      <c r="A9">
        <v>1007</v>
      </c>
      <c r="B9" s="82">
        <v>43062</v>
      </c>
      <c r="C9" s="88">
        <v>0.54166666666666663</v>
      </c>
      <c r="D9" s="83"/>
      <c r="E9" s="83" t="s">
        <v>276</v>
      </c>
      <c r="F9" s="83" t="s">
        <v>211</v>
      </c>
      <c r="G9" s="83" t="s">
        <v>277</v>
      </c>
      <c r="H9" s="83" t="s">
        <v>278</v>
      </c>
      <c r="J9" t="str">
        <f t="shared" si="7"/>
        <v>ADULTS FEMALE</v>
      </c>
      <c r="K9" s="87" t="str">
        <f t="shared" si="8"/>
        <v>01:00:00 PM</v>
      </c>
      <c r="L9" s="91">
        <f t="shared" si="9"/>
        <v>0.54166666666666663</v>
      </c>
      <c r="M9" s="84">
        <f t="shared" si="10"/>
        <v>43062.541666666664</v>
      </c>
      <c r="N9" s="81" t="str">
        <f t="shared" si="11"/>
        <v>11/23/2017 13:00-&gt;Adults Female</v>
      </c>
      <c r="O9" t="str">
        <f t="shared" si="12"/>
        <v>Spinathon in Spinning room</v>
      </c>
      <c r="P9">
        <f t="shared" si="6"/>
        <v>1</v>
      </c>
    </row>
    <row r="10" spans="1:16" x14ac:dyDescent="0.2">
      <c r="A10">
        <v>1008</v>
      </c>
      <c r="B10" s="82">
        <v>43062</v>
      </c>
      <c r="C10" s="88">
        <v>0.4375</v>
      </c>
      <c r="D10" s="83"/>
      <c r="E10" s="83" t="s">
        <v>232</v>
      </c>
      <c r="F10" s="83" t="s">
        <v>211</v>
      </c>
      <c r="G10" s="83" t="s">
        <v>233</v>
      </c>
      <c r="H10" s="83" t="s">
        <v>234</v>
      </c>
      <c r="J10" t="str">
        <f t="shared" si="7"/>
        <v>ADULTS FEMALE</v>
      </c>
      <c r="K10" s="87" t="str">
        <f t="shared" si="8"/>
        <v>10:30:00 AM</v>
      </c>
      <c r="L10" s="91">
        <f t="shared" si="9"/>
        <v>0.43749999999999994</v>
      </c>
      <c r="M10" s="84">
        <f t="shared" si="10"/>
        <v>43062.4375</v>
      </c>
      <c r="N10" s="81" t="str">
        <f t="shared" si="11"/>
        <v>11/23/2017 10:30-&gt;Adults Female</v>
      </c>
      <c r="O10" t="str">
        <f t="shared" si="12"/>
        <v>Chess Tournament in Senior Lounge</v>
      </c>
      <c r="P10">
        <f t="shared" si="6"/>
        <v>1</v>
      </c>
    </row>
    <row r="11" spans="1:16" x14ac:dyDescent="0.2">
      <c r="A11">
        <v>1009</v>
      </c>
      <c r="B11" s="82">
        <v>43063</v>
      </c>
      <c r="C11" s="88">
        <v>0.4375</v>
      </c>
      <c r="D11" s="83"/>
      <c r="E11" s="83" t="s">
        <v>232</v>
      </c>
      <c r="F11" s="83" t="s">
        <v>211</v>
      </c>
      <c r="G11" s="83" t="s">
        <v>233</v>
      </c>
      <c r="H11" s="83" t="s">
        <v>234</v>
      </c>
      <c r="I11" s="85"/>
      <c r="J11" t="str">
        <f t="shared" si="7"/>
        <v>ADULTS FEMALE</v>
      </c>
      <c r="K11" s="87" t="str">
        <f t="shared" si="8"/>
        <v>10:30:00 AM</v>
      </c>
      <c r="L11" s="91">
        <f t="shared" si="9"/>
        <v>0.43749999999999994</v>
      </c>
      <c r="M11" s="84">
        <f t="shared" si="10"/>
        <v>43063.4375</v>
      </c>
      <c r="N11" s="81" t="str">
        <f t="shared" si="11"/>
        <v>11/24/2017 10:30-&gt;Adults Female</v>
      </c>
      <c r="O11" t="str">
        <f t="shared" si="12"/>
        <v>Chess Tournament in Senior Lounge</v>
      </c>
      <c r="P11">
        <f t="shared" si="6"/>
        <v>1</v>
      </c>
    </row>
    <row r="12" spans="1:16" x14ac:dyDescent="0.2">
      <c r="A12">
        <v>1010</v>
      </c>
      <c r="B12" s="82">
        <v>43058</v>
      </c>
      <c r="C12" s="88">
        <v>0.4375</v>
      </c>
      <c r="D12" s="83"/>
      <c r="E12" s="83" t="s">
        <v>235</v>
      </c>
      <c r="F12" s="83" t="s">
        <v>213</v>
      </c>
      <c r="G12" s="83" t="s">
        <v>233</v>
      </c>
      <c r="H12" s="83" t="s">
        <v>234</v>
      </c>
      <c r="I12" s="86"/>
      <c r="J12" t="str">
        <f t="shared" si="7"/>
        <v>ADULTS MALE</v>
      </c>
      <c r="K12" s="87" t="str">
        <f t="shared" si="8"/>
        <v>10:30:00 AM</v>
      </c>
      <c r="L12" s="91">
        <f t="shared" si="9"/>
        <v>0.43749999999999994</v>
      </c>
      <c r="M12" s="84">
        <f t="shared" si="10"/>
        <v>43058.4375</v>
      </c>
      <c r="N12" s="81" t="str">
        <f t="shared" si="11"/>
        <v>11/19/2017 10:30-&gt;Adults Male</v>
      </c>
      <c r="O12" t="str">
        <f t="shared" si="12"/>
        <v>Chess Tournament in Senior Lounge</v>
      </c>
      <c r="P12">
        <f t="shared" si="6"/>
        <v>2</v>
      </c>
    </row>
    <row r="13" spans="1:16" x14ac:dyDescent="0.2">
      <c r="A13">
        <v>1011</v>
      </c>
      <c r="B13" s="82">
        <v>43058</v>
      </c>
      <c r="C13" s="88">
        <v>0.4375</v>
      </c>
      <c r="D13" s="83"/>
      <c r="E13" s="83" t="s">
        <v>226</v>
      </c>
      <c r="F13" s="83" t="s">
        <v>213</v>
      </c>
      <c r="G13" s="83" t="s">
        <v>227</v>
      </c>
      <c r="H13" s="83" t="s">
        <v>228</v>
      </c>
      <c r="I13" s="86"/>
      <c r="J13" t="str">
        <f t="shared" si="7"/>
        <v>ADULTS MALE</v>
      </c>
      <c r="K13" s="87" t="str">
        <f t="shared" si="8"/>
        <v>10:30:00 AM</v>
      </c>
      <c r="L13" s="91">
        <f t="shared" si="9"/>
        <v>0.43749999999999994</v>
      </c>
      <c r="M13" s="84">
        <f t="shared" si="10"/>
        <v>43058.4375</v>
      </c>
      <c r="N13" s="81" t="str">
        <f t="shared" si="11"/>
        <v>11/19/2017 10:30-&gt;Adults Male</v>
      </c>
      <c r="O13" t="str">
        <f t="shared" si="12"/>
        <v>Tennis in Tennis Courts</v>
      </c>
      <c r="P13">
        <f t="shared" si="6"/>
        <v>2</v>
      </c>
    </row>
    <row r="14" spans="1:16" x14ac:dyDescent="0.2">
      <c r="A14">
        <v>1012</v>
      </c>
      <c r="B14" s="82">
        <v>43058</v>
      </c>
      <c r="C14" s="88">
        <v>0.47222222222222227</v>
      </c>
      <c r="D14" s="89"/>
      <c r="E14" s="83" t="s">
        <v>248</v>
      </c>
      <c r="F14" s="83" t="s">
        <v>213</v>
      </c>
      <c r="G14" s="83" t="s">
        <v>230</v>
      </c>
      <c r="H14" s="83" t="s">
        <v>231</v>
      </c>
      <c r="I14" s="86"/>
      <c r="J14" t="str">
        <f t="shared" si="7"/>
        <v>ADULTS MALE</v>
      </c>
      <c r="K14" s="87" t="str">
        <f t="shared" si="8"/>
        <v>11:20:00 AM</v>
      </c>
      <c r="L14" s="91">
        <f t="shared" si="9"/>
        <v>0.47222222222222215</v>
      </c>
      <c r="M14" s="84">
        <f t="shared" si="10"/>
        <v>43058.472222222219</v>
      </c>
      <c r="N14" s="81" t="str">
        <f t="shared" si="11"/>
        <v>11/19/2017 11:20-&gt;Adults Male</v>
      </c>
      <c r="O14" t="str">
        <f t="shared" si="12"/>
        <v>Ping Pong in Katz</v>
      </c>
      <c r="P14">
        <f t="shared" si="6"/>
        <v>2</v>
      </c>
    </row>
    <row r="15" spans="1:16" x14ac:dyDescent="0.2">
      <c r="A15">
        <v>1013</v>
      </c>
      <c r="B15" s="82">
        <v>43060</v>
      </c>
      <c r="C15" s="88">
        <v>0.78472222222222221</v>
      </c>
      <c r="D15" s="83"/>
      <c r="E15" s="83" t="s">
        <v>226</v>
      </c>
      <c r="F15" s="83" t="s">
        <v>213</v>
      </c>
      <c r="G15" s="83" t="s">
        <v>227</v>
      </c>
      <c r="H15" s="83" t="s">
        <v>228</v>
      </c>
      <c r="I15" s="86"/>
      <c r="J15" t="str">
        <f t="shared" si="7"/>
        <v>ADULTS MALE</v>
      </c>
      <c r="K15" s="87" t="str">
        <f t="shared" si="8"/>
        <v>06:50:00 PM</v>
      </c>
      <c r="L15" s="91">
        <f t="shared" si="9"/>
        <v>0.7847222222222221</v>
      </c>
      <c r="M15" s="84">
        <f t="shared" si="10"/>
        <v>43060.784722222219</v>
      </c>
      <c r="N15" s="81" t="str">
        <f t="shared" si="11"/>
        <v>11/21/2017 18:50-&gt;Adults Male</v>
      </c>
      <c r="O15" t="str">
        <f t="shared" si="12"/>
        <v>Tennis in Tennis Courts</v>
      </c>
      <c r="P15">
        <f t="shared" si="6"/>
        <v>1</v>
      </c>
    </row>
    <row r="16" spans="1:16" x14ac:dyDescent="0.2">
      <c r="A16">
        <v>1014</v>
      </c>
      <c r="B16" s="82">
        <v>43063</v>
      </c>
      <c r="C16" s="88">
        <v>0.57638888888888895</v>
      </c>
      <c r="D16" s="83"/>
      <c r="E16" s="83" t="s">
        <v>226</v>
      </c>
      <c r="F16" s="83" t="s">
        <v>213</v>
      </c>
      <c r="G16" s="83" t="s">
        <v>227</v>
      </c>
      <c r="H16" s="83" t="s">
        <v>228</v>
      </c>
      <c r="I16" s="86"/>
      <c r="J16" t="str">
        <f t="shared" si="7"/>
        <v>ADULTS MALE</v>
      </c>
      <c r="K16" s="87" t="str">
        <f t="shared" si="8"/>
        <v>01:50:00 PM</v>
      </c>
      <c r="L16" s="91">
        <f t="shared" si="9"/>
        <v>0.57638888888888884</v>
      </c>
      <c r="M16" s="84">
        <f t="shared" si="10"/>
        <v>43063.576388888891</v>
      </c>
      <c r="N16" s="81" t="str">
        <f t="shared" si="11"/>
        <v>11/24/2017 13:50-&gt;Adults Male</v>
      </c>
      <c r="O16" t="str">
        <f t="shared" si="12"/>
        <v>Tennis in Tennis Courts</v>
      </c>
      <c r="P16">
        <f t="shared" si="6"/>
        <v>1</v>
      </c>
    </row>
    <row r="17" spans="1:22" x14ac:dyDescent="0.2">
      <c r="A17">
        <v>1015</v>
      </c>
      <c r="B17" s="82">
        <v>43059</v>
      </c>
      <c r="C17" s="88">
        <v>0.85416666666666663</v>
      </c>
      <c r="D17" s="83"/>
      <c r="E17" s="83" t="s">
        <v>259</v>
      </c>
      <c r="F17" s="83" t="s">
        <v>213</v>
      </c>
      <c r="G17" s="83" t="s">
        <v>251</v>
      </c>
      <c r="H17" s="83" t="s">
        <v>252</v>
      </c>
      <c r="J17" t="str">
        <f t="shared" si="7"/>
        <v>ADULTS MALE</v>
      </c>
      <c r="K17" s="87" t="str">
        <f t="shared" si="8"/>
        <v>08:30:00 PM</v>
      </c>
      <c r="L17" s="91">
        <f t="shared" si="9"/>
        <v>0.85416666666666652</v>
      </c>
      <c r="M17" s="84">
        <f t="shared" si="10"/>
        <v>43059.854166666664</v>
      </c>
      <c r="N17" s="81" t="str">
        <f t="shared" si="11"/>
        <v>11/20/2017 20:30-&gt;Adults Male</v>
      </c>
      <c r="O17" t="str">
        <f t="shared" si="12"/>
        <v>Swimming in Pool</v>
      </c>
      <c r="P17">
        <f t="shared" si="6"/>
        <v>1</v>
      </c>
    </row>
    <row r="18" spans="1:22" x14ac:dyDescent="0.2">
      <c r="A18">
        <v>1016</v>
      </c>
      <c r="B18" s="82">
        <v>43060</v>
      </c>
      <c r="C18" s="88">
        <v>0.85416666666666663</v>
      </c>
      <c r="D18" s="83"/>
      <c r="E18" s="83" t="s">
        <v>267</v>
      </c>
      <c r="F18" s="83" t="s">
        <v>213</v>
      </c>
      <c r="G18" s="83" t="s">
        <v>265</v>
      </c>
      <c r="H18" s="83" t="s">
        <v>266</v>
      </c>
      <c r="J18" t="str">
        <f t="shared" si="7"/>
        <v>ADULTS MALE</v>
      </c>
      <c r="K18" s="87" t="str">
        <f t="shared" si="8"/>
        <v>08:30:00 PM</v>
      </c>
      <c r="L18" s="91">
        <f t="shared" si="9"/>
        <v>0.85416666666666652</v>
      </c>
      <c r="M18" s="84">
        <f t="shared" si="10"/>
        <v>43060.854166666664</v>
      </c>
      <c r="N18" s="81" t="str">
        <f t="shared" si="11"/>
        <v>11/21/2017 20:30-&gt;Adults Male</v>
      </c>
      <c r="O18" t="str">
        <f t="shared" si="12"/>
        <v>Bowling in Pines Arena</v>
      </c>
      <c r="P18">
        <f t="shared" si="6"/>
        <v>1</v>
      </c>
    </row>
    <row r="19" spans="1:22" x14ac:dyDescent="0.2">
      <c r="A19">
        <v>1017</v>
      </c>
      <c r="B19" s="82">
        <v>43061</v>
      </c>
      <c r="C19" s="88">
        <v>0.81944444444444453</v>
      </c>
      <c r="D19" s="83"/>
      <c r="E19" s="83" t="s">
        <v>288</v>
      </c>
      <c r="F19" s="83" t="s">
        <v>201</v>
      </c>
      <c r="G19" s="83" t="s">
        <v>288</v>
      </c>
      <c r="H19" s="83" t="s">
        <v>289</v>
      </c>
      <c r="J19" t="str">
        <f t="shared" si="7"/>
        <v>ADULTS MALE</v>
      </c>
      <c r="K19" s="87" t="str">
        <f t="shared" si="8"/>
        <v>07:40:00 PM</v>
      </c>
      <c r="L19" s="91">
        <f t="shared" si="9"/>
        <v>0.81944444444444431</v>
      </c>
      <c r="M19" s="84">
        <f t="shared" si="10"/>
        <v>43061.819444444445</v>
      </c>
      <c r="N19" s="81" t="str">
        <f t="shared" si="11"/>
        <v>11/22/2017 19:40-&gt;ADULTS MALE</v>
      </c>
      <c r="O19" t="str">
        <f t="shared" si="12"/>
        <v xml:space="preserve">Domino in Katz </v>
      </c>
      <c r="P19">
        <f t="shared" si="6"/>
        <v>1</v>
      </c>
    </row>
    <row r="20" spans="1:22" x14ac:dyDescent="0.2">
      <c r="A20">
        <v>1018</v>
      </c>
      <c r="B20" s="82">
        <v>43062</v>
      </c>
      <c r="C20" s="88">
        <v>0.54166666666666663</v>
      </c>
      <c r="D20" s="83"/>
      <c r="E20" s="83" t="s">
        <v>279</v>
      </c>
      <c r="F20" s="83" t="s">
        <v>201</v>
      </c>
      <c r="G20" s="83" t="s">
        <v>277</v>
      </c>
      <c r="H20" s="83" t="s">
        <v>278</v>
      </c>
      <c r="J20" t="str">
        <f t="shared" si="7"/>
        <v>ADULTS MALE</v>
      </c>
      <c r="K20" s="87" t="str">
        <f t="shared" si="8"/>
        <v>01:00:00 PM</v>
      </c>
      <c r="L20" s="91">
        <f t="shared" si="9"/>
        <v>0.54166666666666663</v>
      </c>
      <c r="M20" s="84">
        <f t="shared" si="10"/>
        <v>43062.541666666664</v>
      </c>
      <c r="N20" s="81" t="str">
        <f t="shared" si="11"/>
        <v>11/23/2017 13:00-&gt;ADULTS MALE</v>
      </c>
      <c r="O20" t="str">
        <f t="shared" si="12"/>
        <v>Spinathon in Spinning room</v>
      </c>
      <c r="P20">
        <f t="shared" si="6"/>
        <v>1</v>
      </c>
    </row>
    <row r="21" spans="1:22" x14ac:dyDescent="0.2">
      <c r="A21">
        <v>1019</v>
      </c>
      <c r="B21" s="82">
        <v>43062</v>
      </c>
      <c r="C21" s="88">
        <v>0.4375</v>
      </c>
      <c r="D21" s="83"/>
      <c r="E21" s="83" t="s">
        <v>235</v>
      </c>
      <c r="F21" s="83" t="s">
        <v>213</v>
      </c>
      <c r="G21" s="83" t="s">
        <v>233</v>
      </c>
      <c r="H21" s="83" t="s">
        <v>234</v>
      </c>
      <c r="J21" t="str">
        <f t="shared" si="7"/>
        <v>ADULTS MALE</v>
      </c>
      <c r="K21" s="87" t="str">
        <f t="shared" si="8"/>
        <v>10:30:00 AM</v>
      </c>
      <c r="L21" s="91">
        <f t="shared" si="9"/>
        <v>0.43749999999999994</v>
      </c>
      <c r="M21" s="84">
        <f t="shared" si="10"/>
        <v>43062.4375</v>
      </c>
      <c r="N21" s="81" t="str">
        <f t="shared" si="11"/>
        <v>11/23/2017 10:30-&gt;Adults Male</v>
      </c>
      <c r="O21" t="str">
        <f t="shared" si="12"/>
        <v>Chess Tournament in Senior Lounge</v>
      </c>
      <c r="P21">
        <f t="shared" si="6"/>
        <v>1</v>
      </c>
    </row>
    <row r="22" spans="1:22" x14ac:dyDescent="0.2">
      <c r="A22">
        <v>1020</v>
      </c>
      <c r="B22" s="82">
        <v>43063</v>
      </c>
      <c r="C22" s="88">
        <v>0.4375</v>
      </c>
      <c r="D22" s="83"/>
      <c r="E22" s="83" t="s">
        <v>235</v>
      </c>
      <c r="F22" s="83" t="s">
        <v>213</v>
      </c>
      <c r="G22" s="83" t="s">
        <v>233</v>
      </c>
      <c r="H22" s="83" t="s">
        <v>234</v>
      </c>
      <c r="J22" t="str">
        <f t="shared" si="7"/>
        <v>ADULTS MALE</v>
      </c>
      <c r="K22" s="87" t="str">
        <f t="shared" si="8"/>
        <v>10:30:00 AM</v>
      </c>
      <c r="L22" s="91">
        <f t="shared" si="9"/>
        <v>0.43749999999999994</v>
      </c>
      <c r="M22" s="84">
        <f t="shared" si="10"/>
        <v>43063.4375</v>
      </c>
      <c r="N22" s="81" t="str">
        <f t="shared" si="11"/>
        <v>11/24/2017 10:30-&gt;Adults Male</v>
      </c>
      <c r="O22" t="str">
        <f t="shared" si="12"/>
        <v>Chess Tournament in Senior Lounge</v>
      </c>
      <c r="P22">
        <f t="shared" si="6"/>
        <v>1</v>
      </c>
      <c r="Q22" t="s">
        <v>50</v>
      </c>
      <c r="R22" t="s">
        <v>50</v>
      </c>
      <c r="S22" t="s">
        <v>50</v>
      </c>
      <c r="T22" t="s">
        <v>50</v>
      </c>
      <c r="U22" t="s">
        <v>50</v>
      </c>
      <c r="V22" t="s">
        <v>50</v>
      </c>
    </row>
    <row r="23" spans="1:22" x14ac:dyDescent="0.2">
      <c r="A23">
        <v>1021</v>
      </c>
      <c r="B23" s="82">
        <v>43058</v>
      </c>
      <c r="C23" s="88">
        <v>0.4375</v>
      </c>
      <c r="D23" s="83"/>
      <c r="E23" s="83" t="s">
        <v>236</v>
      </c>
      <c r="F23" s="83" t="s">
        <v>214</v>
      </c>
      <c r="G23" s="83" t="s">
        <v>233</v>
      </c>
      <c r="H23" s="83" t="s">
        <v>234</v>
      </c>
      <c r="J23" t="str">
        <f t="shared" si="7"/>
        <v>CHILDREN A COED</v>
      </c>
      <c r="K23" s="87" t="str">
        <f t="shared" si="8"/>
        <v>10:30:00 AM</v>
      </c>
      <c r="L23" s="91">
        <f t="shared" si="9"/>
        <v>0.43749999999999994</v>
      </c>
      <c r="M23" s="84">
        <f t="shared" si="10"/>
        <v>43058.4375</v>
      </c>
      <c r="N23" s="81" t="str">
        <f t="shared" si="11"/>
        <v>11/19/2017 10:30-&gt;Children A Coed</v>
      </c>
      <c r="O23" t="str">
        <f t="shared" si="12"/>
        <v>Chess Tournament in Senior Lounge</v>
      </c>
      <c r="P23">
        <f t="shared" si="6"/>
        <v>1</v>
      </c>
    </row>
    <row r="24" spans="1:22" x14ac:dyDescent="0.2">
      <c r="A24">
        <v>1022</v>
      </c>
      <c r="B24" s="82">
        <v>43058</v>
      </c>
      <c r="C24" s="88">
        <v>0.50694444444444442</v>
      </c>
      <c r="D24" s="83"/>
      <c r="E24" s="83" t="s">
        <v>293</v>
      </c>
      <c r="F24" s="83" t="s">
        <v>214</v>
      </c>
      <c r="G24" s="83" t="s">
        <v>227</v>
      </c>
      <c r="H24" s="83" t="s">
        <v>228</v>
      </c>
      <c r="J24" t="str">
        <f t="shared" si="7"/>
        <v>CHILDREN A COED</v>
      </c>
      <c r="K24" s="87" t="str">
        <f t="shared" si="8"/>
        <v>12:10:00 PM</v>
      </c>
      <c r="L24" s="91">
        <f t="shared" si="9"/>
        <v>0.50694444444444442</v>
      </c>
      <c r="M24" s="84">
        <f t="shared" si="10"/>
        <v>43058.506944444445</v>
      </c>
      <c r="N24" s="81" t="str">
        <f t="shared" si="11"/>
        <v>11/19/2017 12:10-&gt;Children A Coed</v>
      </c>
      <c r="O24" t="str">
        <f t="shared" si="12"/>
        <v>Tennis in Tennis Courts</v>
      </c>
      <c r="P24">
        <f t="shared" si="6"/>
        <v>2</v>
      </c>
    </row>
    <row r="25" spans="1:22" x14ac:dyDescent="0.2">
      <c r="A25">
        <v>1023</v>
      </c>
      <c r="B25" s="82">
        <v>43058</v>
      </c>
      <c r="C25" s="88">
        <v>0.50694444444444442</v>
      </c>
      <c r="D25" s="83"/>
      <c r="E25" s="83" t="s">
        <v>293</v>
      </c>
      <c r="F25" s="83" t="s">
        <v>214</v>
      </c>
      <c r="G25" s="83" t="s">
        <v>227</v>
      </c>
      <c r="H25" s="83" t="s">
        <v>228</v>
      </c>
      <c r="J25" t="str">
        <f t="shared" si="7"/>
        <v>CHILDREN A COED</v>
      </c>
      <c r="K25" s="87" t="str">
        <f t="shared" si="8"/>
        <v>12:10:00 PM</v>
      </c>
      <c r="L25" s="91">
        <f t="shared" si="9"/>
        <v>0.50694444444444442</v>
      </c>
      <c r="M25" s="84">
        <f t="shared" si="10"/>
        <v>43058.506944444445</v>
      </c>
      <c r="N25" s="81" t="str">
        <f t="shared" si="11"/>
        <v>11/19/2017 12:10-&gt;Children A Coed</v>
      </c>
      <c r="O25" t="str">
        <f t="shared" si="12"/>
        <v>Tennis in Tennis Courts</v>
      </c>
      <c r="P25">
        <f t="shared" si="6"/>
        <v>2</v>
      </c>
    </row>
    <row r="26" spans="1:22" x14ac:dyDescent="0.2">
      <c r="A26">
        <v>1024</v>
      </c>
      <c r="B26" s="82">
        <v>43062</v>
      </c>
      <c r="C26" s="88">
        <v>0.4375</v>
      </c>
      <c r="D26" s="83"/>
      <c r="E26" s="83" t="s">
        <v>236</v>
      </c>
      <c r="F26" s="83" t="s">
        <v>214</v>
      </c>
      <c r="G26" s="83" t="s">
        <v>233</v>
      </c>
      <c r="H26" s="83" t="s">
        <v>234</v>
      </c>
      <c r="J26" t="str">
        <f t="shared" si="7"/>
        <v>CHILDREN A COED</v>
      </c>
      <c r="K26" s="87" t="str">
        <f t="shared" si="8"/>
        <v>10:30:00 AM</v>
      </c>
      <c r="L26" s="91">
        <f t="shared" si="9"/>
        <v>0.43749999999999994</v>
      </c>
      <c r="M26" s="84">
        <f t="shared" si="10"/>
        <v>43062.4375</v>
      </c>
      <c r="N26" s="81" t="str">
        <f t="shared" si="11"/>
        <v>11/23/2017 10:30-&gt;Children A Coed</v>
      </c>
      <c r="O26" t="str">
        <f t="shared" si="12"/>
        <v>Chess Tournament in Senior Lounge</v>
      </c>
      <c r="P26">
        <f t="shared" si="6"/>
        <v>1</v>
      </c>
    </row>
    <row r="27" spans="1:22" x14ac:dyDescent="0.2">
      <c r="A27">
        <v>1025</v>
      </c>
      <c r="B27" s="82">
        <v>43063</v>
      </c>
      <c r="C27" s="88">
        <v>0.4375</v>
      </c>
      <c r="D27" s="83"/>
      <c r="E27" s="83" t="s">
        <v>236</v>
      </c>
      <c r="F27" s="83" t="s">
        <v>214</v>
      </c>
      <c r="G27" s="83" t="s">
        <v>233</v>
      </c>
      <c r="H27" s="83" t="s">
        <v>234</v>
      </c>
      <c r="J27" t="str">
        <f t="shared" si="7"/>
        <v>CHILDREN A COED</v>
      </c>
      <c r="K27" s="87" t="str">
        <f t="shared" si="8"/>
        <v>10:30:00 AM</v>
      </c>
      <c r="L27" s="91">
        <f t="shared" si="9"/>
        <v>0.43749999999999994</v>
      </c>
      <c r="M27" s="84">
        <f t="shared" si="10"/>
        <v>43063.4375</v>
      </c>
      <c r="N27" s="81" t="str">
        <f t="shared" si="11"/>
        <v>11/24/2017 10:30-&gt;Children A Coed</v>
      </c>
      <c r="O27" t="str">
        <f t="shared" si="12"/>
        <v>Chess Tournament in Senior Lounge</v>
      </c>
      <c r="P27">
        <f t="shared" si="6"/>
        <v>1</v>
      </c>
    </row>
    <row r="28" spans="1:22" x14ac:dyDescent="0.2">
      <c r="A28">
        <v>1026</v>
      </c>
      <c r="B28" s="82">
        <v>43058</v>
      </c>
      <c r="C28" s="88">
        <v>0.4375</v>
      </c>
      <c r="D28" s="83"/>
      <c r="E28" s="83" t="s">
        <v>237</v>
      </c>
      <c r="F28" s="83" t="s">
        <v>215</v>
      </c>
      <c r="G28" s="83" t="s">
        <v>233</v>
      </c>
      <c r="H28" s="83" t="s">
        <v>234</v>
      </c>
      <c r="J28" t="str">
        <f t="shared" si="7"/>
        <v>CHILDREN B COED</v>
      </c>
      <c r="K28" s="87" t="str">
        <f t="shared" si="8"/>
        <v>10:30:00 AM</v>
      </c>
      <c r="L28" s="91">
        <f t="shared" si="9"/>
        <v>0.43749999999999994</v>
      </c>
      <c r="M28" s="84">
        <f t="shared" si="10"/>
        <v>43058.4375</v>
      </c>
      <c r="N28" s="81" t="str">
        <f t="shared" si="11"/>
        <v>11/19/2017 10:30-&gt;Children B Coed</v>
      </c>
      <c r="O28" t="str">
        <f t="shared" si="12"/>
        <v>Chess Tournament in Senior Lounge</v>
      </c>
      <c r="P28">
        <f t="shared" si="6"/>
        <v>1</v>
      </c>
    </row>
    <row r="29" spans="1:22" x14ac:dyDescent="0.2">
      <c r="A29">
        <v>1027</v>
      </c>
      <c r="B29" s="82">
        <v>43058</v>
      </c>
      <c r="C29" s="88">
        <v>0.50694444444444442</v>
      </c>
      <c r="D29" s="83"/>
      <c r="E29" s="83" t="s">
        <v>294</v>
      </c>
      <c r="F29" s="83" t="s">
        <v>215</v>
      </c>
      <c r="G29" s="83" t="s">
        <v>227</v>
      </c>
      <c r="H29" s="83" t="s">
        <v>228</v>
      </c>
      <c r="J29" t="str">
        <f t="shared" si="7"/>
        <v>CHILDREN B COED</v>
      </c>
      <c r="K29" s="87" t="str">
        <f t="shared" si="8"/>
        <v>12:10:00 PM</v>
      </c>
      <c r="L29" s="91">
        <f t="shared" si="9"/>
        <v>0.50694444444444442</v>
      </c>
      <c r="M29" s="84">
        <f t="shared" si="10"/>
        <v>43058.506944444445</v>
      </c>
      <c r="N29" s="81" t="str">
        <f t="shared" si="11"/>
        <v>11/19/2017 12:10-&gt;Children B Coed</v>
      </c>
      <c r="O29" t="str">
        <f t="shared" si="12"/>
        <v>Tennis in Tennis Courts</v>
      </c>
      <c r="P29">
        <f t="shared" si="6"/>
        <v>2</v>
      </c>
    </row>
    <row r="30" spans="1:22" x14ac:dyDescent="0.2">
      <c r="A30">
        <v>1028</v>
      </c>
      <c r="B30" s="82">
        <v>43058</v>
      </c>
      <c r="C30" s="88">
        <v>0.50694444444444442</v>
      </c>
      <c r="D30" s="83"/>
      <c r="E30" s="83" t="s">
        <v>294</v>
      </c>
      <c r="F30" s="83" t="s">
        <v>215</v>
      </c>
      <c r="G30" s="83" t="s">
        <v>227</v>
      </c>
      <c r="H30" s="83" t="s">
        <v>228</v>
      </c>
      <c r="J30" t="str">
        <f t="shared" si="7"/>
        <v>CHILDREN B COED</v>
      </c>
      <c r="K30" s="87" t="str">
        <f t="shared" si="8"/>
        <v>12:10:00 PM</v>
      </c>
      <c r="L30" s="91">
        <f t="shared" si="9"/>
        <v>0.50694444444444442</v>
      </c>
      <c r="M30" s="84">
        <f t="shared" si="10"/>
        <v>43058.506944444445</v>
      </c>
      <c r="N30" s="81" t="str">
        <f t="shared" si="11"/>
        <v>11/19/2017 12:10-&gt;Children B Coed</v>
      </c>
      <c r="O30" t="str">
        <f t="shared" si="12"/>
        <v>Tennis in Tennis Courts</v>
      </c>
      <c r="P30">
        <f t="shared" si="6"/>
        <v>2</v>
      </c>
    </row>
    <row r="31" spans="1:22" x14ac:dyDescent="0.2">
      <c r="A31">
        <v>1029</v>
      </c>
      <c r="B31" s="82">
        <v>43062</v>
      </c>
      <c r="C31" s="88">
        <v>0.4375</v>
      </c>
      <c r="D31" s="83"/>
      <c r="E31" s="83" t="s">
        <v>237</v>
      </c>
      <c r="F31" s="83" t="s">
        <v>215</v>
      </c>
      <c r="G31" s="83" t="s">
        <v>233</v>
      </c>
      <c r="H31" s="83" t="s">
        <v>234</v>
      </c>
      <c r="J31" t="str">
        <f t="shared" si="7"/>
        <v>CHILDREN B COED</v>
      </c>
      <c r="K31" s="87" t="str">
        <f t="shared" si="8"/>
        <v>10:30:00 AM</v>
      </c>
      <c r="L31" s="91">
        <f t="shared" si="9"/>
        <v>0.43749999999999994</v>
      </c>
      <c r="M31" s="84">
        <f t="shared" si="10"/>
        <v>43062.4375</v>
      </c>
      <c r="N31" s="81" t="str">
        <f t="shared" si="11"/>
        <v>11/23/2017 10:30-&gt;Children B Coed</v>
      </c>
      <c r="O31" t="str">
        <f t="shared" si="12"/>
        <v>Chess Tournament in Senior Lounge</v>
      </c>
      <c r="P31">
        <f t="shared" si="6"/>
        <v>1</v>
      </c>
    </row>
    <row r="32" spans="1:22" x14ac:dyDescent="0.2">
      <c r="A32">
        <v>1030</v>
      </c>
      <c r="B32" s="82">
        <v>43063</v>
      </c>
      <c r="C32" s="88">
        <v>0.4375</v>
      </c>
      <c r="D32" s="83"/>
      <c r="E32" s="83" t="s">
        <v>237</v>
      </c>
      <c r="F32" s="83" t="s">
        <v>215</v>
      </c>
      <c r="G32" s="83" t="s">
        <v>233</v>
      </c>
      <c r="H32" s="83" t="s">
        <v>234</v>
      </c>
      <c r="J32" t="str">
        <f t="shared" si="7"/>
        <v>CHILDREN B COED</v>
      </c>
      <c r="K32" s="87" t="str">
        <f t="shared" si="8"/>
        <v>10:30:00 AM</v>
      </c>
      <c r="L32" s="91">
        <f t="shared" si="9"/>
        <v>0.43749999999999994</v>
      </c>
      <c r="M32" s="84">
        <f t="shared" si="10"/>
        <v>43063.4375</v>
      </c>
      <c r="N32" s="81" t="str">
        <f t="shared" si="11"/>
        <v>11/24/2017 10:30-&gt;Children B Coed</v>
      </c>
      <c r="O32" t="str">
        <f t="shared" si="12"/>
        <v>Chess Tournament in Senior Lounge</v>
      </c>
      <c r="P32">
        <f t="shared" si="6"/>
        <v>1</v>
      </c>
    </row>
    <row r="33" spans="1:16" x14ac:dyDescent="0.2">
      <c r="A33">
        <v>1031</v>
      </c>
      <c r="B33" s="82">
        <v>43058</v>
      </c>
      <c r="C33" s="88">
        <v>0.4375</v>
      </c>
      <c r="D33" s="83"/>
      <c r="E33" s="83" t="s">
        <v>238</v>
      </c>
      <c r="F33" s="83" t="s">
        <v>216</v>
      </c>
      <c r="G33" s="83" t="s">
        <v>233</v>
      </c>
      <c r="H33" s="83" t="s">
        <v>234</v>
      </c>
      <c r="J33" t="str">
        <f t="shared" si="7"/>
        <v>CHILDREN C FEMALE</v>
      </c>
      <c r="K33" s="87" t="str">
        <f t="shared" si="8"/>
        <v>10:30:00 AM</v>
      </c>
      <c r="L33" s="91">
        <f t="shared" si="9"/>
        <v>0.43749999999999994</v>
      </c>
      <c r="M33" s="84">
        <f t="shared" si="10"/>
        <v>43058.4375</v>
      </c>
      <c r="N33" s="81" t="str">
        <f t="shared" si="11"/>
        <v>11/19/2017 10:30-&gt;Children C Female</v>
      </c>
      <c r="O33" t="str">
        <f t="shared" si="12"/>
        <v>Chess Tournament in Senior Lounge</v>
      </c>
      <c r="P33">
        <f t="shared" si="6"/>
        <v>1</v>
      </c>
    </row>
    <row r="34" spans="1:16" x14ac:dyDescent="0.2">
      <c r="A34">
        <v>1032</v>
      </c>
      <c r="B34" s="82">
        <v>43058</v>
      </c>
      <c r="C34" s="88">
        <v>0.71527777777777779</v>
      </c>
      <c r="D34" s="83"/>
      <c r="E34" s="83" t="s">
        <v>291</v>
      </c>
      <c r="F34" s="83" t="s">
        <v>216</v>
      </c>
      <c r="G34" s="83" t="s">
        <v>227</v>
      </c>
      <c r="H34" s="83" t="s">
        <v>228</v>
      </c>
      <c r="J34" t="str">
        <f t="shared" si="7"/>
        <v>CHILDREN C FEMALE</v>
      </c>
      <c r="K34" s="87" t="str">
        <f t="shared" si="8"/>
        <v>05:10:00 PM</v>
      </c>
      <c r="L34" s="91">
        <f t="shared" si="9"/>
        <v>0.71527777777777768</v>
      </c>
      <c r="M34" s="84">
        <f t="shared" si="10"/>
        <v>43058.715277777781</v>
      </c>
      <c r="N34" s="81" t="str">
        <f t="shared" si="11"/>
        <v>11/19/2017 17:10-&gt;Children C Female</v>
      </c>
      <c r="O34" t="str">
        <f t="shared" si="12"/>
        <v>Tennis in Tennis Courts</v>
      </c>
      <c r="P34">
        <f t="shared" si="6"/>
        <v>2</v>
      </c>
    </row>
    <row r="35" spans="1:16" x14ac:dyDescent="0.2">
      <c r="A35">
        <v>1033</v>
      </c>
      <c r="B35" s="82">
        <v>43058</v>
      </c>
      <c r="C35" s="88">
        <v>0.71527777777777779</v>
      </c>
      <c r="D35" s="83"/>
      <c r="E35" s="83" t="s">
        <v>291</v>
      </c>
      <c r="F35" s="83" t="s">
        <v>216</v>
      </c>
      <c r="G35" s="83" t="s">
        <v>227</v>
      </c>
      <c r="H35" s="83" t="s">
        <v>228</v>
      </c>
      <c r="J35" t="str">
        <f t="shared" si="7"/>
        <v>CHILDREN C FEMALE</v>
      </c>
      <c r="K35" s="87" t="str">
        <f t="shared" si="8"/>
        <v>05:10:00 PM</v>
      </c>
      <c r="L35" s="91">
        <f t="shared" si="9"/>
        <v>0.71527777777777768</v>
      </c>
      <c r="M35" s="84">
        <f t="shared" si="10"/>
        <v>43058.715277777781</v>
      </c>
      <c r="N35" s="81" t="str">
        <f t="shared" si="11"/>
        <v>11/19/2017 17:10-&gt;Children C Female</v>
      </c>
      <c r="O35" t="str">
        <f t="shared" si="12"/>
        <v>Tennis in Tennis Courts</v>
      </c>
      <c r="P35">
        <f t="shared" ref="P35:P66" si="13">IF(N35&gt;0,COUNTIF($N$5:$N$282,N35),0)</f>
        <v>2</v>
      </c>
    </row>
    <row r="36" spans="1:16" x14ac:dyDescent="0.2">
      <c r="A36">
        <v>1034</v>
      </c>
      <c r="B36" s="82">
        <v>43059</v>
      </c>
      <c r="C36" s="88">
        <v>0.71527777777777801</v>
      </c>
      <c r="D36" s="83"/>
      <c r="E36" s="83" t="s">
        <v>250</v>
      </c>
      <c r="F36" s="83" t="s">
        <v>216</v>
      </c>
      <c r="G36" s="83" t="s">
        <v>251</v>
      </c>
      <c r="H36" s="83" t="s">
        <v>252</v>
      </c>
      <c r="J36" t="str">
        <f t="shared" si="7"/>
        <v>CHILDREN C FEMALE</v>
      </c>
      <c r="K36" s="87" t="str">
        <f t="shared" si="8"/>
        <v>05:10:00 PM</v>
      </c>
      <c r="L36" s="91">
        <f t="shared" si="9"/>
        <v>0.71527777777777768</v>
      </c>
      <c r="M36" s="84">
        <f t="shared" si="10"/>
        <v>43059.715277777781</v>
      </c>
      <c r="N36" s="81" t="str">
        <f t="shared" si="11"/>
        <v>11/20/2017 17:10-&gt;Children C Female</v>
      </c>
      <c r="O36" t="str">
        <f t="shared" si="12"/>
        <v>Swimming in Pool</v>
      </c>
      <c r="P36">
        <f t="shared" si="13"/>
        <v>1</v>
      </c>
    </row>
    <row r="37" spans="1:16" x14ac:dyDescent="0.2">
      <c r="A37">
        <v>1035</v>
      </c>
      <c r="B37" s="82">
        <v>43057</v>
      </c>
      <c r="C37" s="88">
        <v>0.78472222222222221</v>
      </c>
      <c r="D37" s="83"/>
      <c r="E37" s="83" t="s">
        <v>270</v>
      </c>
      <c r="F37" s="83" t="s">
        <v>216</v>
      </c>
      <c r="G37" s="83" t="s">
        <v>271</v>
      </c>
      <c r="H37" s="83" t="s">
        <v>212</v>
      </c>
      <c r="J37" t="str">
        <f t="shared" si="7"/>
        <v>CHILDREN C FEMALE</v>
      </c>
      <c r="K37" s="87" t="str">
        <f t="shared" si="8"/>
        <v>06:50:00 PM</v>
      </c>
      <c r="L37" s="91">
        <f t="shared" si="9"/>
        <v>0.7847222222222221</v>
      </c>
      <c r="M37" s="84">
        <f t="shared" si="10"/>
        <v>43057.784722222219</v>
      </c>
      <c r="N37" s="81" t="str">
        <f t="shared" si="11"/>
        <v>11/18/2017 18:50-&gt;Children C Female</v>
      </c>
      <c r="O37" t="str">
        <f t="shared" si="12"/>
        <v>Dance Competition in Scheck Family Gymnasium</v>
      </c>
      <c r="P37">
        <f t="shared" si="13"/>
        <v>1</v>
      </c>
    </row>
    <row r="38" spans="1:16" x14ac:dyDescent="0.2">
      <c r="A38">
        <v>1036</v>
      </c>
      <c r="B38" s="82">
        <v>43062</v>
      </c>
      <c r="C38" s="88">
        <v>0.4375</v>
      </c>
      <c r="D38" s="83"/>
      <c r="E38" s="83" t="s">
        <v>238</v>
      </c>
      <c r="F38" s="83" t="s">
        <v>216</v>
      </c>
      <c r="G38" s="83" t="s">
        <v>233</v>
      </c>
      <c r="H38" s="83" t="s">
        <v>234</v>
      </c>
      <c r="J38" t="str">
        <f t="shared" si="7"/>
        <v>CHILDREN C FEMALE</v>
      </c>
      <c r="K38" s="87" t="str">
        <f t="shared" si="8"/>
        <v>10:30:00 AM</v>
      </c>
      <c r="L38" s="91">
        <f t="shared" si="9"/>
        <v>0.43749999999999994</v>
      </c>
      <c r="M38" s="84">
        <f t="shared" si="10"/>
        <v>43062.4375</v>
      </c>
      <c r="N38" s="81" t="str">
        <f t="shared" si="11"/>
        <v>11/23/2017 10:30-&gt;Children C Female</v>
      </c>
      <c r="O38" t="str">
        <f t="shared" si="12"/>
        <v>Chess Tournament in Senior Lounge</v>
      </c>
      <c r="P38">
        <f t="shared" si="13"/>
        <v>1</v>
      </c>
    </row>
    <row r="39" spans="1:16" x14ac:dyDescent="0.2">
      <c r="A39">
        <v>1037</v>
      </c>
      <c r="B39" s="82">
        <v>43063</v>
      </c>
      <c r="C39" s="88">
        <v>0.4375</v>
      </c>
      <c r="D39" s="83"/>
      <c r="E39" s="83" t="s">
        <v>238</v>
      </c>
      <c r="F39" s="83" t="s">
        <v>216</v>
      </c>
      <c r="G39" s="83" t="s">
        <v>233</v>
      </c>
      <c r="H39" s="83" t="s">
        <v>234</v>
      </c>
      <c r="J39" t="str">
        <f t="shared" si="7"/>
        <v>CHILDREN C FEMALE</v>
      </c>
      <c r="K39" s="87" t="str">
        <f t="shared" si="8"/>
        <v>10:30:00 AM</v>
      </c>
      <c r="L39" s="91">
        <f t="shared" si="9"/>
        <v>0.43749999999999994</v>
      </c>
      <c r="M39" s="84">
        <f t="shared" si="10"/>
        <v>43063.4375</v>
      </c>
      <c r="N39" s="81" t="str">
        <f t="shared" si="11"/>
        <v>11/24/2017 10:30-&gt;Children C Female</v>
      </c>
      <c r="O39" t="str">
        <f t="shared" si="12"/>
        <v>Chess Tournament in Senior Lounge</v>
      </c>
      <c r="P39">
        <f t="shared" si="13"/>
        <v>1</v>
      </c>
    </row>
    <row r="40" spans="1:16" x14ac:dyDescent="0.2">
      <c r="A40">
        <v>1038</v>
      </c>
      <c r="B40" s="82">
        <v>43063</v>
      </c>
      <c r="C40" s="88">
        <v>0.50694444444444442</v>
      </c>
      <c r="D40" s="83"/>
      <c r="E40" s="83" t="s">
        <v>281</v>
      </c>
      <c r="F40" s="83" t="s">
        <v>216</v>
      </c>
      <c r="G40" s="83" t="s">
        <v>282</v>
      </c>
      <c r="H40" s="83" t="s">
        <v>779</v>
      </c>
      <c r="J40" t="str">
        <f t="shared" si="7"/>
        <v>CHILDREN C FEMALE</v>
      </c>
      <c r="K40" s="87" t="str">
        <f t="shared" si="8"/>
        <v>12:10:00 PM</v>
      </c>
      <c r="L40" s="91">
        <f t="shared" si="9"/>
        <v>0.50694444444444442</v>
      </c>
      <c r="M40" s="84">
        <f t="shared" si="10"/>
        <v>43063.506944444445</v>
      </c>
      <c r="N40" s="81" t="str">
        <f t="shared" si="11"/>
        <v>11/24/2017 12:10-&gt;Children C Female</v>
      </c>
      <c r="O40" t="str">
        <f t="shared" si="12"/>
        <v>Track and Field in Bommarito Strip on JCC Field</v>
      </c>
      <c r="P40">
        <f t="shared" si="13"/>
        <v>1</v>
      </c>
    </row>
    <row r="41" spans="1:16" x14ac:dyDescent="0.2">
      <c r="A41">
        <v>1039</v>
      </c>
      <c r="B41" s="82">
        <v>43059</v>
      </c>
      <c r="C41" s="88">
        <v>0.75</v>
      </c>
      <c r="D41" s="83"/>
      <c r="E41" s="83" t="s">
        <v>780</v>
      </c>
      <c r="F41" s="83" t="s">
        <v>216</v>
      </c>
      <c r="G41" s="83" t="s">
        <v>780</v>
      </c>
      <c r="H41" s="83" t="s">
        <v>289</v>
      </c>
      <c r="J41" t="str">
        <f t="shared" si="7"/>
        <v>CHILDREN C FEMALE</v>
      </c>
      <c r="K41" s="87" t="str">
        <f t="shared" si="8"/>
        <v>06:00:00 PM</v>
      </c>
      <c r="L41" s="91">
        <f t="shared" si="9"/>
        <v>0.74999999999999989</v>
      </c>
      <c r="M41" s="84">
        <f t="shared" si="10"/>
        <v>43059.75</v>
      </c>
      <c r="N41" s="81" t="str">
        <f t="shared" si="11"/>
        <v>11/20/2017 18:00-&gt;Children C Female</v>
      </c>
      <c r="O41" t="str">
        <f t="shared" si="12"/>
        <v xml:space="preserve">Pizza Games &amp; Movie Night in Katz </v>
      </c>
      <c r="P41">
        <f t="shared" si="13"/>
        <v>1</v>
      </c>
    </row>
    <row r="42" spans="1:16" x14ac:dyDescent="0.2">
      <c r="A42">
        <v>1040</v>
      </c>
      <c r="B42" s="82">
        <v>43058</v>
      </c>
      <c r="C42" s="88">
        <v>0.4375</v>
      </c>
      <c r="D42" s="83"/>
      <c r="E42" s="83" t="s">
        <v>239</v>
      </c>
      <c r="F42" s="83" t="s">
        <v>217</v>
      </c>
      <c r="G42" s="83" t="s">
        <v>233</v>
      </c>
      <c r="H42" s="83" t="s">
        <v>234</v>
      </c>
      <c r="J42" t="str">
        <f t="shared" si="7"/>
        <v>CHILDREN C MALE</v>
      </c>
      <c r="K42" s="87" t="str">
        <f t="shared" si="8"/>
        <v>10:30:00 AM</v>
      </c>
      <c r="L42" s="91">
        <f t="shared" si="9"/>
        <v>0.43749999999999994</v>
      </c>
      <c r="M42" s="84">
        <f t="shared" si="10"/>
        <v>43058.4375</v>
      </c>
      <c r="N42" s="81" t="str">
        <f t="shared" si="11"/>
        <v>11/19/2017 10:30-&gt;Children C Male</v>
      </c>
      <c r="O42" t="str">
        <f t="shared" si="12"/>
        <v>Chess Tournament in Senior Lounge</v>
      </c>
      <c r="P42">
        <f t="shared" si="13"/>
        <v>1</v>
      </c>
    </row>
    <row r="43" spans="1:16" x14ac:dyDescent="0.2">
      <c r="A43">
        <v>1041</v>
      </c>
      <c r="B43" s="82">
        <v>43058</v>
      </c>
      <c r="C43" s="88">
        <v>0.71527777777777779</v>
      </c>
      <c r="D43" s="83"/>
      <c r="E43" s="83" t="s">
        <v>292</v>
      </c>
      <c r="F43" s="83" t="s">
        <v>217</v>
      </c>
      <c r="G43" s="83" t="s">
        <v>227</v>
      </c>
      <c r="H43" s="83" t="s">
        <v>228</v>
      </c>
      <c r="I43" s="86"/>
      <c r="J43" t="str">
        <f t="shared" si="7"/>
        <v>CHILDREN C MALE</v>
      </c>
      <c r="K43" s="87" t="str">
        <f t="shared" si="8"/>
        <v>05:10:00 PM</v>
      </c>
      <c r="L43" s="91">
        <f t="shared" si="9"/>
        <v>0.71527777777777768</v>
      </c>
      <c r="M43" s="84">
        <f t="shared" si="10"/>
        <v>43058.715277777781</v>
      </c>
      <c r="N43" s="81" t="str">
        <f t="shared" si="11"/>
        <v>11/19/2017 17:10-&gt;Children C Male</v>
      </c>
      <c r="O43" t="str">
        <f t="shared" si="12"/>
        <v>Tennis in Tennis Courts</v>
      </c>
      <c r="P43">
        <f t="shared" si="13"/>
        <v>2</v>
      </c>
    </row>
    <row r="44" spans="1:16" x14ac:dyDescent="0.2">
      <c r="A44">
        <v>1042</v>
      </c>
      <c r="B44" s="82">
        <v>43058</v>
      </c>
      <c r="C44" s="88">
        <v>0.71527777777777779</v>
      </c>
      <c r="D44" s="83"/>
      <c r="E44" s="83" t="s">
        <v>292</v>
      </c>
      <c r="F44" s="83" t="s">
        <v>217</v>
      </c>
      <c r="G44" s="83" t="s">
        <v>227</v>
      </c>
      <c r="H44" s="83" t="s">
        <v>228</v>
      </c>
      <c r="J44" t="str">
        <f t="shared" si="7"/>
        <v>CHILDREN C MALE</v>
      </c>
      <c r="K44" s="87" t="str">
        <f t="shared" si="8"/>
        <v>05:10:00 PM</v>
      </c>
      <c r="L44" s="91">
        <f t="shared" si="9"/>
        <v>0.71527777777777768</v>
      </c>
      <c r="M44" s="84">
        <f t="shared" si="10"/>
        <v>43058.715277777781</v>
      </c>
      <c r="N44" s="81" t="str">
        <f t="shared" si="11"/>
        <v>11/19/2017 17:10-&gt;Children C Male</v>
      </c>
      <c r="O44" t="str">
        <f t="shared" si="12"/>
        <v>Tennis in Tennis Courts</v>
      </c>
      <c r="P44">
        <f t="shared" si="13"/>
        <v>2</v>
      </c>
    </row>
    <row r="45" spans="1:16" x14ac:dyDescent="0.2">
      <c r="A45">
        <v>1043</v>
      </c>
      <c r="B45" s="82">
        <v>43059</v>
      </c>
      <c r="C45" s="88">
        <v>0.71527777777777801</v>
      </c>
      <c r="D45" s="83"/>
      <c r="E45" s="83" t="s">
        <v>253</v>
      </c>
      <c r="F45" s="83" t="s">
        <v>217</v>
      </c>
      <c r="G45" s="83" t="s">
        <v>251</v>
      </c>
      <c r="H45" s="83" t="s">
        <v>252</v>
      </c>
      <c r="J45" t="str">
        <f t="shared" si="7"/>
        <v>CHILDREN C MALE</v>
      </c>
      <c r="K45" s="87" t="str">
        <f t="shared" si="8"/>
        <v>05:10:00 PM</v>
      </c>
      <c r="L45" s="91">
        <f t="shared" si="9"/>
        <v>0.71527777777777768</v>
      </c>
      <c r="M45" s="84">
        <f t="shared" si="10"/>
        <v>43059.715277777781</v>
      </c>
      <c r="N45" s="81" t="str">
        <f t="shared" si="11"/>
        <v>11/20/2017 17:10-&gt;Children C Male</v>
      </c>
      <c r="O45" t="str">
        <f t="shared" si="12"/>
        <v>Swimming in Pool</v>
      </c>
      <c r="P45">
        <f t="shared" si="13"/>
        <v>1</v>
      </c>
    </row>
    <row r="46" spans="1:16" x14ac:dyDescent="0.2">
      <c r="A46">
        <v>1044</v>
      </c>
      <c r="B46" s="82">
        <v>43062</v>
      </c>
      <c r="C46" s="88">
        <v>0.4375</v>
      </c>
      <c r="D46" s="83"/>
      <c r="E46" s="83" t="s">
        <v>239</v>
      </c>
      <c r="F46" s="83" t="s">
        <v>217</v>
      </c>
      <c r="G46" s="83" t="s">
        <v>233</v>
      </c>
      <c r="H46" s="83" t="s">
        <v>234</v>
      </c>
      <c r="J46" t="str">
        <f t="shared" si="7"/>
        <v>CHILDREN C MALE</v>
      </c>
      <c r="K46" s="87" t="str">
        <f t="shared" si="8"/>
        <v>10:30:00 AM</v>
      </c>
      <c r="L46" s="91">
        <f t="shared" si="9"/>
        <v>0.43749999999999994</v>
      </c>
      <c r="M46" s="84">
        <f t="shared" si="10"/>
        <v>43062.4375</v>
      </c>
      <c r="N46" s="81" t="str">
        <f t="shared" si="11"/>
        <v>11/23/2017 10:30-&gt;Children C Male</v>
      </c>
      <c r="O46" t="str">
        <f t="shared" si="12"/>
        <v>Chess Tournament in Senior Lounge</v>
      </c>
      <c r="P46">
        <f t="shared" si="13"/>
        <v>1</v>
      </c>
    </row>
    <row r="47" spans="1:16" x14ac:dyDescent="0.2">
      <c r="A47">
        <v>1045</v>
      </c>
      <c r="B47" s="82">
        <v>43063</v>
      </c>
      <c r="C47" s="88">
        <v>0.4375</v>
      </c>
      <c r="D47" s="83"/>
      <c r="E47" s="83" t="s">
        <v>239</v>
      </c>
      <c r="F47" s="83" t="s">
        <v>217</v>
      </c>
      <c r="G47" s="83" t="s">
        <v>233</v>
      </c>
      <c r="H47" s="83" t="s">
        <v>234</v>
      </c>
      <c r="J47" t="str">
        <f t="shared" si="7"/>
        <v>CHILDREN C MALE</v>
      </c>
      <c r="K47" s="87" t="str">
        <f t="shared" si="8"/>
        <v>10:30:00 AM</v>
      </c>
      <c r="L47" s="91">
        <f t="shared" si="9"/>
        <v>0.43749999999999994</v>
      </c>
      <c r="M47" s="84">
        <f t="shared" si="10"/>
        <v>43063.4375</v>
      </c>
      <c r="N47" s="81" t="str">
        <f t="shared" si="11"/>
        <v>11/24/2017 10:30-&gt;Children C Male</v>
      </c>
      <c r="O47" t="str">
        <f t="shared" si="12"/>
        <v>Chess Tournament in Senior Lounge</v>
      </c>
      <c r="P47">
        <f t="shared" si="13"/>
        <v>1</v>
      </c>
    </row>
    <row r="48" spans="1:16" x14ac:dyDescent="0.2">
      <c r="A48">
        <v>1046</v>
      </c>
      <c r="B48" s="82">
        <v>43063</v>
      </c>
      <c r="C48" s="88">
        <v>0.54166666666666663</v>
      </c>
      <c r="D48" s="83"/>
      <c r="E48" s="83" t="s">
        <v>284</v>
      </c>
      <c r="F48" s="83" t="s">
        <v>217</v>
      </c>
      <c r="G48" s="83" t="s">
        <v>282</v>
      </c>
      <c r="H48" s="83" t="s">
        <v>779</v>
      </c>
      <c r="J48" t="str">
        <f t="shared" si="7"/>
        <v>CHILDREN C MALE</v>
      </c>
      <c r="K48" s="87" t="str">
        <f t="shared" si="8"/>
        <v>01:00:00 PM</v>
      </c>
      <c r="L48" s="91">
        <f t="shared" si="9"/>
        <v>0.54166666666666663</v>
      </c>
      <c r="M48" s="84">
        <f t="shared" si="10"/>
        <v>43063.541666666664</v>
      </c>
      <c r="N48" s="81" t="str">
        <f t="shared" si="11"/>
        <v>11/24/2017 13:00-&gt;Children C Male</v>
      </c>
      <c r="O48" t="str">
        <f t="shared" si="12"/>
        <v>Track and Field in Bommarito Strip on JCC Field</v>
      </c>
      <c r="P48">
        <f t="shared" si="13"/>
        <v>1</v>
      </c>
    </row>
    <row r="49" spans="1:16" x14ac:dyDescent="0.2">
      <c r="A49">
        <v>1047</v>
      </c>
      <c r="B49" s="82">
        <v>43059</v>
      </c>
      <c r="C49" s="88">
        <v>0.75</v>
      </c>
      <c r="D49" s="83"/>
      <c r="E49" s="83" t="s">
        <v>780</v>
      </c>
      <c r="F49" s="83" t="s">
        <v>217</v>
      </c>
      <c r="G49" s="83" t="s">
        <v>780</v>
      </c>
      <c r="H49" s="83" t="s">
        <v>289</v>
      </c>
      <c r="J49" t="str">
        <f t="shared" si="7"/>
        <v>CHILDREN C MALE</v>
      </c>
      <c r="K49" s="87" t="str">
        <f t="shared" si="8"/>
        <v>06:00:00 PM</v>
      </c>
      <c r="L49" s="91">
        <f t="shared" si="9"/>
        <v>0.74999999999999989</v>
      </c>
      <c r="M49" s="84">
        <f t="shared" si="10"/>
        <v>43059.75</v>
      </c>
      <c r="N49" s="81" t="str">
        <f t="shared" si="11"/>
        <v>11/20/2017 18:00-&gt;Children C Male</v>
      </c>
      <c r="O49" t="str">
        <f t="shared" si="12"/>
        <v xml:space="preserve">Pizza Games &amp; Movie Night in Katz </v>
      </c>
      <c r="P49">
        <f t="shared" si="13"/>
        <v>1</v>
      </c>
    </row>
    <row r="50" spans="1:16" x14ac:dyDescent="0.2">
      <c r="A50">
        <v>1048</v>
      </c>
      <c r="B50" s="82">
        <v>43058</v>
      </c>
      <c r="C50" s="88">
        <v>0.4375</v>
      </c>
      <c r="D50" s="83"/>
      <c r="E50" s="83" t="s">
        <v>240</v>
      </c>
      <c r="F50" s="83" t="s">
        <v>218</v>
      </c>
      <c r="G50" s="83" t="s">
        <v>233</v>
      </c>
      <c r="H50" s="83" t="s">
        <v>234</v>
      </c>
      <c r="J50" t="str">
        <f t="shared" si="7"/>
        <v>CHILDREN D FEMALE</v>
      </c>
      <c r="K50" s="87" t="str">
        <f t="shared" si="8"/>
        <v>10:30:00 AM</v>
      </c>
      <c r="L50" s="91">
        <f t="shared" si="9"/>
        <v>0.43749999999999994</v>
      </c>
      <c r="M50" s="84">
        <f t="shared" si="10"/>
        <v>43058.4375</v>
      </c>
      <c r="N50" s="81" t="str">
        <f t="shared" si="11"/>
        <v>11/19/2017 10:30-&gt;Children D Female</v>
      </c>
      <c r="O50" t="str">
        <f t="shared" si="12"/>
        <v>Chess Tournament in Senior Lounge</v>
      </c>
      <c r="P50">
        <f t="shared" si="13"/>
        <v>3</v>
      </c>
    </row>
    <row r="51" spans="1:16" x14ac:dyDescent="0.2">
      <c r="A51">
        <v>1049</v>
      </c>
      <c r="B51" s="82">
        <v>43059</v>
      </c>
      <c r="C51" s="88">
        <v>0.75</v>
      </c>
      <c r="D51" s="83"/>
      <c r="E51" s="83" t="s">
        <v>254</v>
      </c>
      <c r="F51" s="83" t="s">
        <v>218</v>
      </c>
      <c r="G51" s="83" t="s">
        <v>251</v>
      </c>
      <c r="H51" s="83" t="s">
        <v>252</v>
      </c>
      <c r="J51" t="str">
        <f t="shared" si="7"/>
        <v>CHILDREN D FEMALE</v>
      </c>
      <c r="K51" s="87" t="str">
        <f t="shared" si="8"/>
        <v>06:00:00 PM</v>
      </c>
      <c r="L51" s="91">
        <f t="shared" si="9"/>
        <v>0.74999999999999989</v>
      </c>
      <c r="M51" s="84">
        <f t="shared" si="10"/>
        <v>43059.75</v>
      </c>
      <c r="N51" s="81" t="str">
        <f t="shared" si="11"/>
        <v>11/20/2017 18:00-&gt;Children D Female</v>
      </c>
      <c r="O51" t="str">
        <f t="shared" si="12"/>
        <v>Swimming in Pool</v>
      </c>
      <c r="P51">
        <f t="shared" si="13"/>
        <v>1</v>
      </c>
    </row>
    <row r="52" spans="1:16" x14ac:dyDescent="0.2">
      <c r="A52">
        <v>1050</v>
      </c>
      <c r="B52" s="82">
        <v>43058</v>
      </c>
      <c r="C52" s="88">
        <v>0.4375</v>
      </c>
      <c r="D52" s="83"/>
      <c r="E52" s="83" t="s">
        <v>301</v>
      </c>
      <c r="F52" s="83" t="s">
        <v>218</v>
      </c>
      <c r="G52" s="83" t="s">
        <v>227</v>
      </c>
      <c r="H52" s="83" t="s">
        <v>228</v>
      </c>
      <c r="J52" t="str">
        <f t="shared" si="7"/>
        <v>CHILDREN D FEMALE</v>
      </c>
      <c r="K52" s="87" t="str">
        <f t="shared" si="8"/>
        <v>10:30:00 AM</v>
      </c>
      <c r="L52" s="91">
        <f t="shared" si="9"/>
        <v>0.43749999999999994</v>
      </c>
      <c r="M52" s="84">
        <f t="shared" si="10"/>
        <v>43058.4375</v>
      </c>
      <c r="N52" s="81" t="str">
        <f t="shared" si="11"/>
        <v>11/19/2017 10:30-&gt;Children D Female</v>
      </c>
      <c r="O52" t="str">
        <f t="shared" si="12"/>
        <v>Tennis in Tennis Courts</v>
      </c>
      <c r="P52">
        <f t="shared" si="13"/>
        <v>3</v>
      </c>
    </row>
    <row r="53" spans="1:16" x14ac:dyDescent="0.2">
      <c r="A53">
        <v>1051</v>
      </c>
      <c r="B53" s="82">
        <v>43058</v>
      </c>
      <c r="C53" s="88">
        <v>0.4375</v>
      </c>
      <c r="D53" s="83"/>
      <c r="E53" s="83" t="s">
        <v>301</v>
      </c>
      <c r="F53" s="83" t="s">
        <v>218</v>
      </c>
      <c r="G53" s="83" t="s">
        <v>227</v>
      </c>
      <c r="H53" s="83" t="s">
        <v>228</v>
      </c>
      <c r="J53" t="str">
        <f t="shared" si="7"/>
        <v>CHILDREN D FEMALE</v>
      </c>
      <c r="K53" s="87" t="str">
        <f t="shared" si="8"/>
        <v>10:30:00 AM</v>
      </c>
      <c r="L53" s="91">
        <f t="shared" si="9"/>
        <v>0.43749999999999994</v>
      </c>
      <c r="M53" s="84">
        <f t="shared" si="10"/>
        <v>43058.4375</v>
      </c>
      <c r="N53" s="81" t="str">
        <f t="shared" si="11"/>
        <v>11/19/2017 10:30-&gt;Children D Female</v>
      </c>
      <c r="O53" t="str">
        <f t="shared" si="12"/>
        <v>Tennis in Tennis Courts</v>
      </c>
      <c r="P53">
        <f t="shared" si="13"/>
        <v>3</v>
      </c>
    </row>
    <row r="54" spans="1:16" x14ac:dyDescent="0.2">
      <c r="A54">
        <v>1052</v>
      </c>
      <c r="B54" s="82">
        <v>43057</v>
      </c>
      <c r="C54" s="88">
        <v>0.78472222222222221</v>
      </c>
      <c r="D54" s="83"/>
      <c r="E54" s="83" t="s">
        <v>272</v>
      </c>
      <c r="F54" s="83" t="s">
        <v>218</v>
      </c>
      <c r="G54" s="83" t="s">
        <v>271</v>
      </c>
      <c r="H54" s="83" t="s">
        <v>212</v>
      </c>
      <c r="J54" t="str">
        <f t="shared" si="7"/>
        <v>CHILDREN D FEMALE</v>
      </c>
      <c r="K54" s="87" t="str">
        <f t="shared" si="8"/>
        <v>06:50:00 PM</v>
      </c>
      <c r="L54" s="91">
        <f t="shared" si="9"/>
        <v>0.7847222222222221</v>
      </c>
      <c r="M54" s="84">
        <f t="shared" si="10"/>
        <v>43057.784722222219</v>
      </c>
      <c r="N54" s="81" t="str">
        <f t="shared" si="11"/>
        <v>11/18/2017 18:50-&gt;Children D Female</v>
      </c>
      <c r="O54" t="str">
        <f t="shared" si="12"/>
        <v>Dance Competition in Scheck Family Gymnasium</v>
      </c>
      <c r="P54">
        <f t="shared" si="13"/>
        <v>1</v>
      </c>
    </row>
    <row r="55" spans="1:16" x14ac:dyDescent="0.2">
      <c r="A55">
        <v>1053</v>
      </c>
      <c r="B55" s="82">
        <v>43061</v>
      </c>
      <c r="C55" s="88">
        <v>0.78472222222222221</v>
      </c>
      <c r="D55" s="83"/>
      <c r="E55" s="83" t="s">
        <v>290</v>
      </c>
      <c r="F55" s="83" t="s">
        <v>218</v>
      </c>
      <c r="G55" s="83" t="s">
        <v>781</v>
      </c>
      <c r="H55" s="83" t="s">
        <v>782</v>
      </c>
      <c r="J55" t="str">
        <f t="shared" si="7"/>
        <v>CHILDREN D FEMALE</v>
      </c>
      <c r="K55" s="87" t="str">
        <f t="shared" si="8"/>
        <v>06:50:00 PM</v>
      </c>
      <c r="L55" s="91">
        <f t="shared" si="9"/>
        <v>0.7847222222222221</v>
      </c>
      <c r="M55" s="84">
        <f t="shared" si="10"/>
        <v>43061.784722222219</v>
      </c>
      <c r="N55" s="81" t="str">
        <f t="shared" si="11"/>
        <v>11/22/2017 18:50-&gt;Children D Female</v>
      </c>
      <c r="O55" t="str">
        <f t="shared" si="12"/>
        <v>Off the wall  in TBA</v>
      </c>
      <c r="P55">
        <f t="shared" si="13"/>
        <v>1</v>
      </c>
    </row>
    <row r="56" spans="1:16" x14ac:dyDescent="0.2">
      <c r="A56">
        <v>1054</v>
      </c>
      <c r="B56" s="82">
        <v>43062</v>
      </c>
      <c r="C56" s="88">
        <v>0.4375</v>
      </c>
      <c r="D56" s="83"/>
      <c r="E56" s="83" t="s">
        <v>240</v>
      </c>
      <c r="F56" s="83" t="s">
        <v>218</v>
      </c>
      <c r="G56" s="83" t="s">
        <v>233</v>
      </c>
      <c r="H56" s="83" t="s">
        <v>234</v>
      </c>
      <c r="J56" t="str">
        <f t="shared" si="7"/>
        <v>CHILDREN D FEMALE</v>
      </c>
      <c r="K56" s="87" t="str">
        <f t="shared" si="8"/>
        <v>10:30:00 AM</v>
      </c>
      <c r="L56" s="91">
        <f t="shared" si="9"/>
        <v>0.43749999999999994</v>
      </c>
      <c r="M56" s="84">
        <f t="shared" si="10"/>
        <v>43062.4375</v>
      </c>
      <c r="N56" s="81" t="str">
        <f t="shared" si="11"/>
        <v>11/23/2017 10:30-&gt;Children D Female</v>
      </c>
      <c r="O56" t="str">
        <f t="shared" si="12"/>
        <v>Chess Tournament in Senior Lounge</v>
      </c>
      <c r="P56">
        <f t="shared" si="13"/>
        <v>1</v>
      </c>
    </row>
    <row r="57" spans="1:16" x14ac:dyDescent="0.2">
      <c r="A57">
        <v>1055</v>
      </c>
      <c r="B57" s="82">
        <v>43063</v>
      </c>
      <c r="C57" s="88">
        <v>0.4375</v>
      </c>
      <c r="D57" s="83"/>
      <c r="E57" s="83" t="s">
        <v>240</v>
      </c>
      <c r="F57" s="83" t="s">
        <v>218</v>
      </c>
      <c r="G57" s="83" t="s">
        <v>233</v>
      </c>
      <c r="H57" s="83" t="s">
        <v>234</v>
      </c>
      <c r="J57" t="str">
        <f t="shared" si="7"/>
        <v>CHILDREN D FEMALE</v>
      </c>
      <c r="K57" s="87" t="str">
        <f t="shared" si="8"/>
        <v>10:30:00 AM</v>
      </c>
      <c r="L57" s="91">
        <f t="shared" si="9"/>
        <v>0.43749999999999994</v>
      </c>
      <c r="M57" s="84">
        <f t="shared" si="10"/>
        <v>43063.4375</v>
      </c>
      <c r="N57" s="81" t="str">
        <f t="shared" si="11"/>
        <v>11/24/2017 10:30-&gt;Children D Female</v>
      </c>
      <c r="O57" t="str">
        <f t="shared" si="12"/>
        <v>Chess Tournament in Senior Lounge</v>
      </c>
      <c r="P57">
        <f t="shared" si="13"/>
        <v>1</v>
      </c>
    </row>
    <row r="58" spans="1:16" x14ac:dyDescent="0.2">
      <c r="A58">
        <v>1056</v>
      </c>
      <c r="B58" s="82">
        <v>43063</v>
      </c>
      <c r="C58" s="88">
        <v>0.50694444444444442</v>
      </c>
      <c r="D58" s="83"/>
      <c r="E58" s="83" t="s">
        <v>283</v>
      </c>
      <c r="F58" s="83" t="s">
        <v>218</v>
      </c>
      <c r="G58" s="83" t="s">
        <v>282</v>
      </c>
      <c r="H58" s="83" t="s">
        <v>779</v>
      </c>
      <c r="J58" t="str">
        <f t="shared" si="7"/>
        <v>CHILDREN D FEMALE</v>
      </c>
      <c r="K58" s="87" t="str">
        <f t="shared" si="8"/>
        <v>12:10:00 PM</v>
      </c>
      <c r="L58" s="91">
        <f t="shared" si="9"/>
        <v>0.50694444444444442</v>
      </c>
      <c r="M58" s="84">
        <f t="shared" si="10"/>
        <v>43063.506944444445</v>
      </c>
      <c r="N58" s="81" t="str">
        <f t="shared" si="11"/>
        <v>11/24/2017 12:10-&gt;Children D Female</v>
      </c>
      <c r="O58" t="str">
        <f t="shared" si="12"/>
        <v>Track and Field in Bommarito Strip on JCC Field</v>
      </c>
      <c r="P58">
        <f t="shared" si="13"/>
        <v>1</v>
      </c>
    </row>
    <row r="59" spans="1:16" x14ac:dyDescent="0.2">
      <c r="A59">
        <v>1057</v>
      </c>
      <c r="B59" s="82">
        <v>43058</v>
      </c>
      <c r="C59" s="88">
        <v>0.4375</v>
      </c>
      <c r="D59" s="83"/>
      <c r="E59" s="83" t="s">
        <v>241</v>
      </c>
      <c r="F59" s="83" t="s">
        <v>219</v>
      </c>
      <c r="G59" s="83" t="s">
        <v>233</v>
      </c>
      <c r="H59" s="83" t="s">
        <v>234</v>
      </c>
      <c r="J59" t="str">
        <f t="shared" si="7"/>
        <v>CHILDREN D MALE</v>
      </c>
      <c r="K59" s="87" t="str">
        <f t="shared" si="8"/>
        <v>10:30:00 AM</v>
      </c>
      <c r="L59" s="91">
        <f t="shared" si="9"/>
        <v>0.43749999999999994</v>
      </c>
      <c r="M59" s="84">
        <f t="shared" si="10"/>
        <v>43058.4375</v>
      </c>
      <c r="N59" s="81" t="str">
        <f t="shared" si="11"/>
        <v>11/19/2017 10:30-&gt;Children D Male</v>
      </c>
      <c r="O59" t="str">
        <f t="shared" si="12"/>
        <v>Chess Tournament in Senior Lounge</v>
      </c>
      <c r="P59">
        <f t="shared" si="13"/>
        <v>3</v>
      </c>
    </row>
    <row r="60" spans="1:16" x14ac:dyDescent="0.2">
      <c r="A60">
        <v>1058</v>
      </c>
      <c r="B60" s="82">
        <v>43059</v>
      </c>
      <c r="C60" s="88">
        <v>0.75</v>
      </c>
      <c r="D60" s="83"/>
      <c r="E60" s="83" t="s">
        <v>255</v>
      </c>
      <c r="F60" s="83" t="s">
        <v>219</v>
      </c>
      <c r="G60" s="83" t="s">
        <v>251</v>
      </c>
      <c r="H60" s="83" t="s">
        <v>252</v>
      </c>
      <c r="J60" t="str">
        <f t="shared" si="7"/>
        <v>CHILDREN D MALE</v>
      </c>
      <c r="K60" s="87" t="str">
        <f t="shared" si="8"/>
        <v>06:00:00 PM</v>
      </c>
      <c r="L60" s="91">
        <f t="shared" si="9"/>
        <v>0.74999999999999989</v>
      </c>
      <c r="M60" s="84">
        <f t="shared" si="10"/>
        <v>43059.75</v>
      </c>
      <c r="N60" s="81" t="str">
        <f t="shared" si="11"/>
        <v>11/20/2017 18:00-&gt;Children D Male</v>
      </c>
      <c r="O60" t="str">
        <f t="shared" si="12"/>
        <v>Swimming in Pool</v>
      </c>
      <c r="P60">
        <f t="shared" si="13"/>
        <v>1</v>
      </c>
    </row>
    <row r="61" spans="1:16" x14ac:dyDescent="0.2">
      <c r="A61">
        <v>1059</v>
      </c>
      <c r="B61" s="82">
        <v>43058</v>
      </c>
      <c r="C61" s="88">
        <v>0.4375</v>
      </c>
      <c r="D61" s="83"/>
      <c r="E61" s="83" t="s">
        <v>300</v>
      </c>
      <c r="F61" s="83" t="s">
        <v>219</v>
      </c>
      <c r="G61" s="83" t="s">
        <v>227</v>
      </c>
      <c r="H61" s="83" t="s">
        <v>228</v>
      </c>
      <c r="J61" t="str">
        <f t="shared" si="7"/>
        <v>CHILDREN D MALE</v>
      </c>
      <c r="K61" s="87" t="str">
        <f t="shared" si="8"/>
        <v>10:30:00 AM</v>
      </c>
      <c r="L61" s="91">
        <f t="shared" si="9"/>
        <v>0.43749999999999994</v>
      </c>
      <c r="M61" s="84">
        <f t="shared" si="10"/>
        <v>43058.4375</v>
      </c>
      <c r="N61" s="81" t="str">
        <f t="shared" si="11"/>
        <v>11/19/2017 10:30-&gt;Children D Male</v>
      </c>
      <c r="O61" t="str">
        <f t="shared" si="12"/>
        <v>Tennis in Tennis Courts</v>
      </c>
      <c r="P61">
        <f t="shared" si="13"/>
        <v>3</v>
      </c>
    </row>
    <row r="62" spans="1:16" x14ac:dyDescent="0.2">
      <c r="A62">
        <v>1060</v>
      </c>
      <c r="B62" s="82">
        <v>43058</v>
      </c>
      <c r="C62" s="88">
        <v>0.4375</v>
      </c>
      <c r="D62" s="83"/>
      <c r="E62" s="83" t="s">
        <v>300</v>
      </c>
      <c r="F62" s="83" t="s">
        <v>219</v>
      </c>
      <c r="G62" s="83" t="s">
        <v>227</v>
      </c>
      <c r="H62" s="83" t="s">
        <v>228</v>
      </c>
      <c r="J62" t="str">
        <f t="shared" si="7"/>
        <v>CHILDREN D MALE</v>
      </c>
      <c r="K62" s="87" t="str">
        <f t="shared" si="8"/>
        <v>10:30:00 AM</v>
      </c>
      <c r="L62" s="91">
        <f t="shared" si="9"/>
        <v>0.43749999999999994</v>
      </c>
      <c r="M62" s="84">
        <f t="shared" si="10"/>
        <v>43058.4375</v>
      </c>
      <c r="N62" s="81" t="str">
        <f t="shared" si="11"/>
        <v>11/19/2017 10:30-&gt;Children D Male</v>
      </c>
      <c r="O62" t="str">
        <f t="shared" si="12"/>
        <v>Tennis in Tennis Courts</v>
      </c>
      <c r="P62">
        <f t="shared" si="13"/>
        <v>3</v>
      </c>
    </row>
    <row r="63" spans="1:16" x14ac:dyDescent="0.2">
      <c r="A63">
        <v>1061</v>
      </c>
      <c r="B63" s="82">
        <v>43061</v>
      </c>
      <c r="C63" s="88">
        <v>0.78472222222222221</v>
      </c>
      <c r="D63" s="83"/>
      <c r="E63" s="83" t="s">
        <v>290</v>
      </c>
      <c r="F63" s="83" t="s">
        <v>219</v>
      </c>
      <c r="G63" s="83" t="s">
        <v>781</v>
      </c>
      <c r="H63" s="83" t="s">
        <v>782</v>
      </c>
      <c r="J63" t="str">
        <f t="shared" si="7"/>
        <v>CHILDREN D MALE</v>
      </c>
      <c r="K63" s="87" t="str">
        <f t="shared" si="8"/>
        <v>06:50:00 PM</v>
      </c>
      <c r="L63" s="91">
        <f t="shared" si="9"/>
        <v>0.7847222222222221</v>
      </c>
      <c r="M63" s="84">
        <f t="shared" si="10"/>
        <v>43061.784722222219</v>
      </c>
      <c r="N63" s="81" t="str">
        <f t="shared" si="11"/>
        <v>11/22/2017 18:50-&gt;Children D Male</v>
      </c>
      <c r="O63" t="str">
        <f t="shared" si="12"/>
        <v>Off the wall  in TBA</v>
      </c>
      <c r="P63">
        <f t="shared" si="13"/>
        <v>1</v>
      </c>
    </row>
    <row r="64" spans="1:16" x14ac:dyDescent="0.2">
      <c r="A64">
        <v>1062</v>
      </c>
      <c r="B64" s="82">
        <v>43062</v>
      </c>
      <c r="C64" s="88">
        <v>0.4375</v>
      </c>
      <c r="D64" s="83"/>
      <c r="E64" s="83" t="s">
        <v>241</v>
      </c>
      <c r="F64" s="83" t="s">
        <v>219</v>
      </c>
      <c r="G64" s="83" t="s">
        <v>233</v>
      </c>
      <c r="H64" s="83" t="s">
        <v>234</v>
      </c>
      <c r="J64" t="str">
        <f t="shared" si="7"/>
        <v>CHILDREN D MALE</v>
      </c>
      <c r="K64" s="87" t="str">
        <f t="shared" si="8"/>
        <v>10:30:00 AM</v>
      </c>
      <c r="L64" s="91">
        <f t="shared" si="9"/>
        <v>0.43749999999999994</v>
      </c>
      <c r="M64" s="84">
        <f t="shared" si="10"/>
        <v>43062.4375</v>
      </c>
      <c r="N64" s="81" t="str">
        <f t="shared" si="11"/>
        <v>11/23/2017 10:30-&gt;Children D Male</v>
      </c>
      <c r="O64" t="str">
        <f t="shared" si="12"/>
        <v>Chess Tournament in Senior Lounge</v>
      </c>
      <c r="P64">
        <f t="shared" si="13"/>
        <v>1</v>
      </c>
    </row>
    <row r="65" spans="1:16" x14ac:dyDescent="0.2">
      <c r="A65">
        <v>1063</v>
      </c>
      <c r="B65" s="82">
        <v>43063</v>
      </c>
      <c r="C65" s="88">
        <v>0.4375</v>
      </c>
      <c r="D65" s="83"/>
      <c r="E65" s="83" t="s">
        <v>241</v>
      </c>
      <c r="F65" s="83" t="s">
        <v>219</v>
      </c>
      <c r="G65" s="83" t="s">
        <v>233</v>
      </c>
      <c r="H65" s="83" t="s">
        <v>234</v>
      </c>
      <c r="J65" t="str">
        <f t="shared" si="7"/>
        <v>CHILDREN D MALE</v>
      </c>
      <c r="K65" s="87" t="str">
        <f t="shared" si="8"/>
        <v>10:30:00 AM</v>
      </c>
      <c r="L65" s="91">
        <f t="shared" si="9"/>
        <v>0.43749999999999994</v>
      </c>
      <c r="M65" s="84">
        <f t="shared" si="10"/>
        <v>43063.4375</v>
      </c>
      <c r="N65" s="81" t="str">
        <f t="shared" si="11"/>
        <v>11/24/2017 10:30-&gt;Children D Male</v>
      </c>
      <c r="O65" t="str">
        <f t="shared" si="12"/>
        <v>Chess Tournament in Senior Lounge</v>
      </c>
      <c r="P65">
        <f t="shared" si="13"/>
        <v>1</v>
      </c>
    </row>
    <row r="66" spans="1:16" x14ac:dyDescent="0.2">
      <c r="A66">
        <v>1064</v>
      </c>
      <c r="B66" s="82">
        <v>43063</v>
      </c>
      <c r="C66" s="88">
        <v>0.54166666666666663</v>
      </c>
      <c r="D66" s="83"/>
      <c r="E66" s="83" t="s">
        <v>285</v>
      </c>
      <c r="F66" s="83" t="s">
        <v>219</v>
      </c>
      <c r="G66" s="83" t="s">
        <v>282</v>
      </c>
      <c r="H66" s="83" t="s">
        <v>779</v>
      </c>
      <c r="J66" t="str">
        <f t="shared" si="7"/>
        <v>CHILDREN D MALE</v>
      </c>
      <c r="K66" s="87" t="str">
        <f t="shared" si="8"/>
        <v>01:00:00 PM</v>
      </c>
      <c r="L66" s="91">
        <f t="shared" si="9"/>
        <v>0.54166666666666663</v>
      </c>
      <c r="M66" s="84">
        <f t="shared" si="10"/>
        <v>43063.541666666664</v>
      </c>
      <c r="N66" s="81" t="str">
        <f t="shared" si="11"/>
        <v>11/24/2017 13:00-&gt;Children D Male</v>
      </c>
      <c r="O66" t="str">
        <f t="shared" si="12"/>
        <v>Track and Field in Bommarito Strip on JCC Field</v>
      </c>
      <c r="P66">
        <f t="shared" si="13"/>
        <v>1</v>
      </c>
    </row>
    <row r="67" spans="1:16" x14ac:dyDescent="0.2">
      <c r="A67">
        <v>1065</v>
      </c>
      <c r="B67" s="82">
        <v>43058</v>
      </c>
      <c r="C67" s="88">
        <v>0.4375</v>
      </c>
      <c r="D67" s="83"/>
      <c r="E67" s="83" t="s">
        <v>242</v>
      </c>
      <c r="F67" s="83" t="s">
        <v>220</v>
      </c>
      <c r="G67" s="83" t="s">
        <v>233</v>
      </c>
      <c r="H67" s="83" t="s">
        <v>234</v>
      </c>
      <c r="J67" t="str">
        <f t="shared" si="7"/>
        <v>CHILDREN E FEMALE</v>
      </c>
      <c r="K67" s="87" t="str">
        <f t="shared" si="8"/>
        <v>10:30:00 AM</v>
      </c>
      <c r="L67" s="91">
        <f t="shared" si="9"/>
        <v>0.43749999999999994</v>
      </c>
      <c r="M67" s="84">
        <f t="shared" si="10"/>
        <v>43058.4375</v>
      </c>
      <c r="N67" s="81" t="str">
        <f t="shared" si="11"/>
        <v>11/19/2017 10:30-&gt;Children E Female</v>
      </c>
      <c r="O67" t="str">
        <f t="shared" si="12"/>
        <v>Chess Tournament in Senior Lounge</v>
      </c>
      <c r="P67">
        <f t="shared" ref="P67:P98" si="14">IF(N67&gt;0,COUNTIF($N$5:$N$282,N67),0)</f>
        <v>1</v>
      </c>
    </row>
    <row r="68" spans="1:16" x14ac:dyDescent="0.2">
      <c r="A68">
        <v>1066</v>
      </c>
      <c r="B68" s="82">
        <v>43059</v>
      </c>
      <c r="C68" s="88">
        <v>0.78472222222222221</v>
      </c>
      <c r="D68" s="83"/>
      <c r="E68" s="83" t="s">
        <v>256</v>
      </c>
      <c r="F68" s="83" t="s">
        <v>220</v>
      </c>
      <c r="G68" s="83" t="s">
        <v>251</v>
      </c>
      <c r="H68" s="83" t="s">
        <v>252</v>
      </c>
      <c r="J68" t="str">
        <f t="shared" si="7"/>
        <v>CHILDREN E FEMALE</v>
      </c>
      <c r="K68" s="87" t="str">
        <f t="shared" si="8"/>
        <v>06:50:00 PM</v>
      </c>
      <c r="L68" s="91">
        <f t="shared" si="9"/>
        <v>0.7847222222222221</v>
      </c>
      <c r="M68" s="84">
        <f t="shared" si="10"/>
        <v>43059.784722222219</v>
      </c>
      <c r="N68" s="81" t="str">
        <f t="shared" si="11"/>
        <v>11/20/2017 18:50-&gt;Children E Female</v>
      </c>
      <c r="O68" t="str">
        <f t="shared" si="12"/>
        <v>Swimming in Pool</v>
      </c>
      <c r="P68">
        <f t="shared" si="14"/>
        <v>1</v>
      </c>
    </row>
    <row r="69" spans="1:16" x14ac:dyDescent="0.2">
      <c r="A69">
        <v>1067</v>
      </c>
      <c r="B69" s="82">
        <v>43058</v>
      </c>
      <c r="C69" s="88">
        <v>0.57638888888888895</v>
      </c>
      <c r="D69" s="83"/>
      <c r="E69" s="83" t="s">
        <v>297</v>
      </c>
      <c r="F69" s="83" t="s">
        <v>220</v>
      </c>
      <c r="G69" s="83" t="s">
        <v>227</v>
      </c>
      <c r="H69" s="83" t="s">
        <v>228</v>
      </c>
      <c r="J69" t="str">
        <f t="shared" si="7"/>
        <v>CHILDREN E FEMALE</v>
      </c>
      <c r="K69" s="87" t="str">
        <f t="shared" si="8"/>
        <v>01:50:00 PM</v>
      </c>
      <c r="L69" s="91">
        <f t="shared" si="9"/>
        <v>0.57638888888888884</v>
      </c>
      <c r="M69" s="84">
        <f t="shared" si="10"/>
        <v>43058.576388888891</v>
      </c>
      <c r="N69" s="81" t="str">
        <f t="shared" si="11"/>
        <v>11/19/2017 13:50-&gt;Children E Female</v>
      </c>
      <c r="O69" t="str">
        <f t="shared" si="12"/>
        <v>Tennis in Tennis Courts</v>
      </c>
      <c r="P69">
        <f t="shared" si="14"/>
        <v>2</v>
      </c>
    </row>
    <row r="70" spans="1:16" x14ac:dyDescent="0.2">
      <c r="A70">
        <v>1068</v>
      </c>
      <c r="B70" s="82">
        <v>43058</v>
      </c>
      <c r="C70" s="88">
        <v>0.57638888888888895</v>
      </c>
      <c r="D70" s="83"/>
      <c r="E70" s="83" t="s">
        <v>297</v>
      </c>
      <c r="F70" s="83" t="s">
        <v>220</v>
      </c>
      <c r="G70" s="83" t="s">
        <v>227</v>
      </c>
      <c r="H70" s="83" t="s">
        <v>228</v>
      </c>
      <c r="J70" t="str">
        <f t="shared" si="7"/>
        <v>CHILDREN E FEMALE</v>
      </c>
      <c r="K70" s="87" t="str">
        <f t="shared" si="8"/>
        <v>01:50:00 PM</v>
      </c>
      <c r="L70" s="91">
        <f t="shared" si="9"/>
        <v>0.57638888888888884</v>
      </c>
      <c r="M70" s="84">
        <f t="shared" si="10"/>
        <v>43058.576388888891</v>
      </c>
      <c r="N70" s="81" t="str">
        <f t="shared" si="11"/>
        <v>11/19/2017 13:50-&gt;Children E Female</v>
      </c>
      <c r="O70" t="str">
        <f t="shared" si="12"/>
        <v>Tennis in Tennis Courts</v>
      </c>
      <c r="P70">
        <f t="shared" si="14"/>
        <v>2</v>
      </c>
    </row>
    <row r="71" spans="1:16" x14ac:dyDescent="0.2">
      <c r="A71">
        <v>1069</v>
      </c>
      <c r="B71" s="82">
        <v>43057</v>
      </c>
      <c r="C71" s="88">
        <v>0.78472222222222221</v>
      </c>
      <c r="D71" s="83"/>
      <c r="E71" s="83" t="s">
        <v>273</v>
      </c>
      <c r="F71" s="83" t="s">
        <v>220</v>
      </c>
      <c r="G71" s="83" t="s">
        <v>271</v>
      </c>
      <c r="H71" s="83" t="s">
        <v>212</v>
      </c>
      <c r="J71" t="str">
        <f t="shared" ref="J71:J134" si="15">VLOOKUP(F71,category_list,1,0)</f>
        <v>CHILDREN E FEMALE</v>
      </c>
      <c r="K71" s="87" t="str">
        <f t="shared" ref="K71:K134" si="16">VLOOKUP(TEXT(C71,"HH:MM:SS AM/PM"),time_slots_text,1,0)</f>
        <v>06:50:00 PM</v>
      </c>
      <c r="L71" s="91">
        <f t="shared" ref="L71:L134" si="17">VLOOKUP(C71,Time_Slots_used,1,1)</f>
        <v>0.7847222222222221</v>
      </c>
      <c r="M71" s="84">
        <f t="shared" ref="M71:M134" si="18">B71+L71</f>
        <v>43057.784722222219</v>
      </c>
      <c r="N71" s="81" t="str">
        <f t="shared" ref="N71:N134" si="19">IFERROR(TEXT(M71,"MM/DD/YYYY HH:MM")&amp;"-&gt;"&amp;F71,"")</f>
        <v>11/18/2017 18:50-&gt;Children E Female</v>
      </c>
      <c r="O71" t="str">
        <f t="shared" ref="O71:O134" si="20">IFERROR(G71&amp;" in "&amp; H71,"")</f>
        <v>Dance Competition in Scheck Family Gymnasium</v>
      </c>
      <c r="P71">
        <f t="shared" si="14"/>
        <v>1</v>
      </c>
    </row>
    <row r="72" spans="1:16" x14ac:dyDescent="0.2">
      <c r="A72">
        <v>1070</v>
      </c>
      <c r="B72" s="82">
        <v>43061</v>
      </c>
      <c r="C72" s="88">
        <v>0.78472222222222221</v>
      </c>
      <c r="D72" s="83"/>
      <c r="E72" s="83" t="s">
        <v>290</v>
      </c>
      <c r="F72" s="83" t="s">
        <v>220</v>
      </c>
      <c r="G72" s="83" t="s">
        <v>781</v>
      </c>
      <c r="H72" s="83" t="s">
        <v>782</v>
      </c>
      <c r="J72" t="str">
        <f t="shared" si="15"/>
        <v>CHILDREN E FEMALE</v>
      </c>
      <c r="K72" s="87" t="str">
        <f t="shared" si="16"/>
        <v>06:50:00 PM</v>
      </c>
      <c r="L72" s="91">
        <f t="shared" si="17"/>
        <v>0.7847222222222221</v>
      </c>
      <c r="M72" s="84">
        <f t="shared" si="18"/>
        <v>43061.784722222219</v>
      </c>
      <c r="N72" s="81" t="str">
        <f t="shared" si="19"/>
        <v>11/22/2017 18:50-&gt;Children E Female</v>
      </c>
      <c r="O72" t="str">
        <f t="shared" si="20"/>
        <v>Off the wall  in TBA</v>
      </c>
      <c r="P72">
        <f t="shared" si="14"/>
        <v>1</v>
      </c>
    </row>
    <row r="73" spans="1:16" x14ac:dyDescent="0.2">
      <c r="A73">
        <v>1071</v>
      </c>
      <c r="B73" s="82">
        <v>43062</v>
      </c>
      <c r="C73" s="88">
        <v>0.4375</v>
      </c>
      <c r="D73" s="83"/>
      <c r="E73" s="83" t="s">
        <v>242</v>
      </c>
      <c r="F73" s="83" t="s">
        <v>220</v>
      </c>
      <c r="G73" s="83" t="s">
        <v>233</v>
      </c>
      <c r="H73" s="83" t="s">
        <v>234</v>
      </c>
      <c r="J73" t="str">
        <f t="shared" si="15"/>
        <v>CHILDREN E FEMALE</v>
      </c>
      <c r="K73" s="87" t="str">
        <f t="shared" si="16"/>
        <v>10:30:00 AM</v>
      </c>
      <c r="L73" s="91">
        <f t="shared" si="17"/>
        <v>0.43749999999999994</v>
      </c>
      <c r="M73" s="84">
        <f t="shared" si="18"/>
        <v>43062.4375</v>
      </c>
      <c r="N73" s="81" t="str">
        <f t="shared" si="19"/>
        <v>11/23/2017 10:30-&gt;Children E Female</v>
      </c>
      <c r="O73" t="str">
        <f t="shared" si="20"/>
        <v>Chess Tournament in Senior Lounge</v>
      </c>
      <c r="P73">
        <f t="shared" si="14"/>
        <v>1</v>
      </c>
    </row>
    <row r="74" spans="1:16" x14ac:dyDescent="0.2">
      <c r="A74">
        <v>1072</v>
      </c>
      <c r="B74" s="82">
        <v>43063</v>
      </c>
      <c r="C74" s="88">
        <v>0.4375</v>
      </c>
      <c r="D74" s="83"/>
      <c r="E74" s="83" t="s">
        <v>242</v>
      </c>
      <c r="F74" s="83" t="s">
        <v>220</v>
      </c>
      <c r="G74" s="83" t="s">
        <v>233</v>
      </c>
      <c r="H74" s="83" t="s">
        <v>234</v>
      </c>
      <c r="J74" t="str">
        <f t="shared" si="15"/>
        <v>CHILDREN E FEMALE</v>
      </c>
      <c r="K74" s="87" t="str">
        <f t="shared" si="16"/>
        <v>10:30:00 AM</v>
      </c>
      <c r="L74" s="91">
        <f t="shared" si="17"/>
        <v>0.43749999999999994</v>
      </c>
      <c r="M74" s="84">
        <f t="shared" si="18"/>
        <v>43063.4375</v>
      </c>
      <c r="N74" s="81" t="str">
        <f t="shared" si="19"/>
        <v>11/24/2017 10:30-&gt;Children E Female</v>
      </c>
      <c r="O74" t="str">
        <f t="shared" si="20"/>
        <v>Chess Tournament in Senior Lounge</v>
      </c>
      <c r="P74">
        <f t="shared" si="14"/>
        <v>1</v>
      </c>
    </row>
    <row r="75" spans="1:16" x14ac:dyDescent="0.2">
      <c r="A75">
        <v>1073</v>
      </c>
      <c r="B75" s="82">
        <v>43063</v>
      </c>
      <c r="C75" s="88">
        <v>0.57638888888888895</v>
      </c>
      <c r="D75" s="83"/>
      <c r="E75" s="83" t="s">
        <v>286</v>
      </c>
      <c r="F75" s="83" t="s">
        <v>220</v>
      </c>
      <c r="G75" s="83" t="s">
        <v>282</v>
      </c>
      <c r="H75" s="83" t="s">
        <v>779</v>
      </c>
      <c r="J75" t="str">
        <f t="shared" si="15"/>
        <v>CHILDREN E FEMALE</v>
      </c>
      <c r="K75" s="87" t="str">
        <f t="shared" si="16"/>
        <v>01:50:00 PM</v>
      </c>
      <c r="L75" s="91">
        <f t="shared" si="17"/>
        <v>0.57638888888888884</v>
      </c>
      <c r="M75" s="84">
        <f t="shared" si="18"/>
        <v>43063.576388888891</v>
      </c>
      <c r="N75" s="81" t="str">
        <f t="shared" si="19"/>
        <v>11/24/2017 13:50-&gt;Children E Female</v>
      </c>
      <c r="O75" t="str">
        <f t="shared" si="20"/>
        <v>Track and Field in Bommarito Strip on JCC Field</v>
      </c>
      <c r="P75">
        <f t="shared" si="14"/>
        <v>1</v>
      </c>
    </row>
    <row r="76" spans="1:16" x14ac:dyDescent="0.2">
      <c r="A76">
        <v>1074</v>
      </c>
      <c r="B76" s="82">
        <v>43058</v>
      </c>
      <c r="C76" s="88">
        <v>0.4375</v>
      </c>
      <c r="D76" s="83"/>
      <c r="E76" s="83" t="s">
        <v>243</v>
      </c>
      <c r="F76" s="83" t="s">
        <v>221</v>
      </c>
      <c r="G76" s="83" t="s">
        <v>233</v>
      </c>
      <c r="H76" s="83" t="s">
        <v>234</v>
      </c>
      <c r="J76" t="str">
        <f t="shared" si="15"/>
        <v>CHILDREN E MALE</v>
      </c>
      <c r="K76" s="87" t="str">
        <f t="shared" si="16"/>
        <v>10:30:00 AM</v>
      </c>
      <c r="L76" s="91">
        <f t="shared" si="17"/>
        <v>0.43749999999999994</v>
      </c>
      <c r="M76" s="84">
        <f t="shared" si="18"/>
        <v>43058.4375</v>
      </c>
      <c r="N76" s="81" t="str">
        <f t="shared" si="19"/>
        <v>11/19/2017 10:30-&gt;Children E Male</v>
      </c>
      <c r="O76" t="str">
        <f t="shared" si="20"/>
        <v>Chess Tournament in Senior Lounge</v>
      </c>
      <c r="P76">
        <f t="shared" si="14"/>
        <v>1</v>
      </c>
    </row>
    <row r="77" spans="1:16" x14ac:dyDescent="0.2">
      <c r="A77">
        <v>1075</v>
      </c>
      <c r="B77" s="82">
        <v>43059</v>
      </c>
      <c r="C77" s="88">
        <v>0.78472222222222221</v>
      </c>
      <c r="D77" s="83"/>
      <c r="E77" s="83" t="s">
        <v>257</v>
      </c>
      <c r="F77" s="83" t="s">
        <v>221</v>
      </c>
      <c r="G77" s="83" t="s">
        <v>251</v>
      </c>
      <c r="H77" s="83" t="s">
        <v>252</v>
      </c>
      <c r="J77" t="str">
        <f t="shared" si="15"/>
        <v>CHILDREN E MALE</v>
      </c>
      <c r="K77" s="87" t="str">
        <f t="shared" si="16"/>
        <v>06:50:00 PM</v>
      </c>
      <c r="L77" s="91">
        <f t="shared" si="17"/>
        <v>0.7847222222222221</v>
      </c>
      <c r="M77" s="84">
        <f t="shared" si="18"/>
        <v>43059.784722222219</v>
      </c>
      <c r="N77" s="81" t="str">
        <f t="shared" si="19"/>
        <v>11/20/2017 18:50-&gt;Children E Male</v>
      </c>
      <c r="O77" t="str">
        <f t="shared" si="20"/>
        <v>Swimming in Pool</v>
      </c>
      <c r="P77">
        <f t="shared" si="14"/>
        <v>1</v>
      </c>
    </row>
    <row r="78" spans="1:16" x14ac:dyDescent="0.2">
      <c r="A78">
        <v>1076</v>
      </c>
      <c r="B78" s="82">
        <v>43058</v>
      </c>
      <c r="C78" s="88">
        <v>0.57638888888888895</v>
      </c>
      <c r="D78" s="83"/>
      <c r="E78" s="83" t="s">
        <v>298</v>
      </c>
      <c r="F78" s="83" t="s">
        <v>221</v>
      </c>
      <c r="G78" s="83" t="s">
        <v>227</v>
      </c>
      <c r="H78" s="83" t="s">
        <v>228</v>
      </c>
      <c r="I78" s="86"/>
      <c r="J78" t="str">
        <f t="shared" si="15"/>
        <v>CHILDREN E MALE</v>
      </c>
      <c r="K78" s="87" t="str">
        <f t="shared" si="16"/>
        <v>01:50:00 PM</v>
      </c>
      <c r="L78" s="91">
        <f t="shared" si="17"/>
        <v>0.57638888888888884</v>
      </c>
      <c r="M78" s="84">
        <f t="shared" si="18"/>
        <v>43058.576388888891</v>
      </c>
      <c r="N78" s="81" t="str">
        <f t="shared" si="19"/>
        <v>11/19/2017 13:50-&gt;Children E Male</v>
      </c>
      <c r="O78" t="str">
        <f t="shared" si="20"/>
        <v>Tennis in Tennis Courts</v>
      </c>
      <c r="P78">
        <f t="shared" si="14"/>
        <v>2</v>
      </c>
    </row>
    <row r="79" spans="1:16" x14ac:dyDescent="0.2">
      <c r="A79">
        <v>1077</v>
      </c>
      <c r="B79" s="82">
        <v>43058</v>
      </c>
      <c r="C79" s="88">
        <v>0.57638888888888895</v>
      </c>
      <c r="D79" s="83"/>
      <c r="E79" s="83" t="s">
        <v>298</v>
      </c>
      <c r="F79" s="83" t="s">
        <v>221</v>
      </c>
      <c r="G79" s="83" t="s">
        <v>227</v>
      </c>
      <c r="H79" s="83" t="s">
        <v>228</v>
      </c>
      <c r="I79" s="86"/>
      <c r="J79" t="str">
        <f t="shared" si="15"/>
        <v>CHILDREN E MALE</v>
      </c>
      <c r="K79" s="87" t="str">
        <f t="shared" si="16"/>
        <v>01:50:00 PM</v>
      </c>
      <c r="L79" s="91">
        <f t="shared" si="17"/>
        <v>0.57638888888888884</v>
      </c>
      <c r="M79" s="84">
        <f t="shared" si="18"/>
        <v>43058.576388888891</v>
      </c>
      <c r="N79" s="81" t="str">
        <f t="shared" si="19"/>
        <v>11/19/2017 13:50-&gt;Children E Male</v>
      </c>
      <c r="O79" t="str">
        <f t="shared" si="20"/>
        <v>Tennis in Tennis Courts</v>
      </c>
      <c r="P79">
        <f t="shared" si="14"/>
        <v>2</v>
      </c>
    </row>
    <row r="80" spans="1:16" x14ac:dyDescent="0.2">
      <c r="A80">
        <v>1078</v>
      </c>
      <c r="B80" s="82">
        <v>43061</v>
      </c>
      <c r="C80" s="88">
        <v>0.78472222222222221</v>
      </c>
      <c r="D80" s="83"/>
      <c r="E80" s="83" t="s">
        <v>290</v>
      </c>
      <c r="F80" s="83" t="s">
        <v>221</v>
      </c>
      <c r="G80" s="83" t="s">
        <v>781</v>
      </c>
      <c r="H80" s="83" t="s">
        <v>782</v>
      </c>
      <c r="J80" t="str">
        <f t="shared" si="15"/>
        <v>CHILDREN E MALE</v>
      </c>
      <c r="K80" s="87" t="str">
        <f t="shared" si="16"/>
        <v>06:50:00 PM</v>
      </c>
      <c r="L80" s="91">
        <f t="shared" si="17"/>
        <v>0.7847222222222221</v>
      </c>
      <c r="M80" s="84">
        <f t="shared" si="18"/>
        <v>43061.784722222219</v>
      </c>
      <c r="N80" s="81" t="str">
        <f t="shared" si="19"/>
        <v>11/22/2017 18:50-&gt;Children E Male</v>
      </c>
      <c r="O80" t="str">
        <f t="shared" si="20"/>
        <v>Off the wall  in TBA</v>
      </c>
      <c r="P80">
        <f t="shared" si="14"/>
        <v>1</v>
      </c>
    </row>
    <row r="81" spans="1:16" x14ac:dyDescent="0.2">
      <c r="A81">
        <v>1079</v>
      </c>
      <c r="B81" s="82">
        <v>43062</v>
      </c>
      <c r="C81" s="88">
        <v>0.4375</v>
      </c>
      <c r="D81" s="83"/>
      <c r="E81" s="83" t="s">
        <v>243</v>
      </c>
      <c r="F81" s="83" t="s">
        <v>221</v>
      </c>
      <c r="G81" s="83" t="s">
        <v>233</v>
      </c>
      <c r="H81" s="83" t="s">
        <v>234</v>
      </c>
      <c r="J81" t="str">
        <f t="shared" si="15"/>
        <v>CHILDREN E MALE</v>
      </c>
      <c r="K81" s="87" t="str">
        <f t="shared" si="16"/>
        <v>10:30:00 AM</v>
      </c>
      <c r="L81" s="91">
        <f t="shared" si="17"/>
        <v>0.43749999999999994</v>
      </c>
      <c r="M81" s="84">
        <f t="shared" si="18"/>
        <v>43062.4375</v>
      </c>
      <c r="N81" s="81" t="str">
        <f t="shared" si="19"/>
        <v>11/23/2017 10:30-&gt;Children E Male</v>
      </c>
      <c r="O81" t="str">
        <f t="shared" si="20"/>
        <v>Chess Tournament in Senior Lounge</v>
      </c>
      <c r="P81">
        <f t="shared" si="14"/>
        <v>1</v>
      </c>
    </row>
    <row r="82" spans="1:16" x14ac:dyDescent="0.2">
      <c r="A82">
        <v>1080</v>
      </c>
      <c r="B82" s="82">
        <v>43063</v>
      </c>
      <c r="C82" s="88">
        <v>0.4375</v>
      </c>
      <c r="D82" s="83"/>
      <c r="E82" s="83" t="s">
        <v>243</v>
      </c>
      <c r="F82" s="83" t="s">
        <v>221</v>
      </c>
      <c r="G82" s="83" t="s">
        <v>233</v>
      </c>
      <c r="H82" s="83" t="s">
        <v>234</v>
      </c>
      <c r="J82" t="str">
        <f t="shared" si="15"/>
        <v>CHILDREN E MALE</v>
      </c>
      <c r="K82" s="87" t="str">
        <f t="shared" si="16"/>
        <v>10:30:00 AM</v>
      </c>
      <c r="L82" s="91">
        <f t="shared" si="17"/>
        <v>0.43749999999999994</v>
      </c>
      <c r="M82" s="84">
        <f t="shared" si="18"/>
        <v>43063.4375</v>
      </c>
      <c r="N82" s="81" t="str">
        <f t="shared" si="19"/>
        <v>11/24/2017 10:30-&gt;Children E Male</v>
      </c>
      <c r="O82" t="str">
        <f t="shared" si="20"/>
        <v>Chess Tournament in Senior Lounge</v>
      </c>
      <c r="P82">
        <f t="shared" si="14"/>
        <v>1</v>
      </c>
    </row>
    <row r="83" spans="1:16" x14ac:dyDescent="0.2">
      <c r="A83">
        <v>1081</v>
      </c>
      <c r="B83" s="82">
        <v>43063</v>
      </c>
      <c r="C83" s="88">
        <v>0.57638888888888895</v>
      </c>
      <c r="D83" s="83"/>
      <c r="E83" s="83" t="s">
        <v>287</v>
      </c>
      <c r="F83" s="83" t="s">
        <v>221</v>
      </c>
      <c r="G83" s="83" t="s">
        <v>282</v>
      </c>
      <c r="H83" s="83" t="s">
        <v>779</v>
      </c>
      <c r="J83" t="str">
        <f t="shared" si="15"/>
        <v>CHILDREN E MALE</v>
      </c>
      <c r="K83" s="87" t="str">
        <f t="shared" si="16"/>
        <v>01:50:00 PM</v>
      </c>
      <c r="L83" s="91">
        <f t="shared" si="17"/>
        <v>0.57638888888888884</v>
      </c>
      <c r="M83" s="84">
        <f t="shared" si="18"/>
        <v>43063.576388888891</v>
      </c>
      <c r="N83" s="81" t="str">
        <f t="shared" si="19"/>
        <v>11/24/2017 13:50-&gt;Children E Male</v>
      </c>
      <c r="O83" t="str">
        <f t="shared" si="20"/>
        <v>Track and Field in Bommarito Strip on JCC Field</v>
      </c>
      <c r="P83">
        <f t="shared" si="14"/>
        <v>1</v>
      </c>
    </row>
    <row r="84" spans="1:16" x14ac:dyDescent="0.2">
      <c r="A84">
        <v>1082</v>
      </c>
      <c r="B84" s="82">
        <v>43058</v>
      </c>
      <c r="C84" s="88">
        <v>0.4375</v>
      </c>
      <c r="D84" s="83"/>
      <c r="E84" s="83" t="s">
        <v>244</v>
      </c>
      <c r="F84" s="83" t="s">
        <v>222</v>
      </c>
      <c r="G84" s="83" t="s">
        <v>233</v>
      </c>
      <c r="H84" s="83" t="s">
        <v>234</v>
      </c>
      <c r="J84" t="str">
        <f t="shared" si="15"/>
        <v>JUNIORS A MALE</v>
      </c>
      <c r="K84" s="87" t="str">
        <f t="shared" si="16"/>
        <v>10:30:00 AM</v>
      </c>
      <c r="L84" s="91">
        <f t="shared" si="17"/>
        <v>0.43749999999999994</v>
      </c>
      <c r="M84" s="84">
        <f t="shared" si="18"/>
        <v>43058.4375</v>
      </c>
      <c r="N84" s="81" t="str">
        <f t="shared" si="19"/>
        <v>11/19/2017 10:30-&gt;Juniors A Male</v>
      </c>
      <c r="O84" t="str">
        <f t="shared" si="20"/>
        <v>Chess Tournament in Senior Lounge</v>
      </c>
      <c r="P84">
        <f t="shared" si="14"/>
        <v>1</v>
      </c>
    </row>
    <row r="85" spans="1:16" x14ac:dyDescent="0.2">
      <c r="A85">
        <v>1083</v>
      </c>
      <c r="B85" s="82">
        <v>43059</v>
      </c>
      <c r="C85" s="88">
        <v>0.81944444444444453</v>
      </c>
      <c r="D85" s="83"/>
      <c r="E85" s="83" t="s">
        <v>260</v>
      </c>
      <c r="F85" s="83" t="s">
        <v>222</v>
      </c>
      <c r="G85" s="83" t="s">
        <v>251</v>
      </c>
      <c r="H85" s="83" t="s">
        <v>252</v>
      </c>
      <c r="J85" t="str">
        <f t="shared" si="15"/>
        <v>JUNIORS A MALE</v>
      </c>
      <c r="K85" s="87" t="str">
        <f t="shared" si="16"/>
        <v>07:40:00 PM</v>
      </c>
      <c r="L85" s="91">
        <f t="shared" si="17"/>
        <v>0.81944444444444431</v>
      </c>
      <c r="M85" s="84">
        <f t="shared" si="18"/>
        <v>43059.819444444445</v>
      </c>
      <c r="N85" s="81" t="str">
        <f t="shared" si="19"/>
        <v>11/20/2017 19:40-&gt;Juniors A Male</v>
      </c>
      <c r="O85" t="str">
        <f t="shared" si="20"/>
        <v>Swimming in Pool</v>
      </c>
      <c r="P85">
        <f t="shared" si="14"/>
        <v>1</v>
      </c>
    </row>
    <row r="86" spans="1:16" x14ac:dyDescent="0.2">
      <c r="A86">
        <v>1084</v>
      </c>
      <c r="B86" s="82">
        <v>43060</v>
      </c>
      <c r="C86" s="88">
        <v>0.75</v>
      </c>
      <c r="D86" s="83"/>
      <c r="E86" s="83" t="s">
        <v>295</v>
      </c>
      <c r="F86" s="83" t="s">
        <v>222</v>
      </c>
      <c r="G86" s="83" t="s">
        <v>227</v>
      </c>
      <c r="H86" s="83" t="s">
        <v>228</v>
      </c>
      <c r="J86" t="str">
        <f t="shared" si="15"/>
        <v>JUNIORS A MALE</v>
      </c>
      <c r="K86" s="87" t="str">
        <f t="shared" si="16"/>
        <v>06:00:00 PM</v>
      </c>
      <c r="L86" s="91">
        <f t="shared" si="17"/>
        <v>0.74999999999999989</v>
      </c>
      <c r="M86" s="84">
        <f t="shared" si="18"/>
        <v>43060.75</v>
      </c>
      <c r="N86" s="81" t="str">
        <f t="shared" si="19"/>
        <v>11/21/2017 18:00-&gt;Juniors A Male</v>
      </c>
      <c r="O86" t="str">
        <f t="shared" si="20"/>
        <v>Tennis in Tennis Courts</v>
      </c>
      <c r="P86">
        <f t="shared" si="14"/>
        <v>2</v>
      </c>
    </row>
    <row r="87" spans="1:16" x14ac:dyDescent="0.2">
      <c r="A87">
        <v>1085</v>
      </c>
      <c r="B87" s="82">
        <v>43060</v>
      </c>
      <c r="C87" s="88">
        <v>0.75</v>
      </c>
      <c r="D87" s="83"/>
      <c r="E87" s="83" t="s">
        <v>295</v>
      </c>
      <c r="F87" s="83" t="s">
        <v>222</v>
      </c>
      <c r="G87" s="83" t="s">
        <v>227</v>
      </c>
      <c r="H87" s="83" t="s">
        <v>228</v>
      </c>
      <c r="J87" t="str">
        <f t="shared" si="15"/>
        <v>JUNIORS A MALE</v>
      </c>
      <c r="K87" s="87" t="str">
        <f t="shared" si="16"/>
        <v>06:00:00 PM</v>
      </c>
      <c r="L87" s="91">
        <f t="shared" si="17"/>
        <v>0.74999999999999989</v>
      </c>
      <c r="M87" s="84">
        <f t="shared" si="18"/>
        <v>43060.75</v>
      </c>
      <c r="N87" s="81" t="str">
        <f t="shared" si="19"/>
        <v>11/21/2017 18:00-&gt;Juniors A Male</v>
      </c>
      <c r="O87" t="str">
        <f t="shared" si="20"/>
        <v>Tennis in Tennis Courts</v>
      </c>
      <c r="P87">
        <f t="shared" si="14"/>
        <v>2</v>
      </c>
    </row>
    <row r="88" spans="1:16" x14ac:dyDescent="0.2">
      <c r="A88">
        <v>1086</v>
      </c>
      <c r="B88" s="82">
        <v>43062</v>
      </c>
      <c r="C88" s="88">
        <v>0.4375</v>
      </c>
      <c r="D88" s="83"/>
      <c r="E88" s="83" t="s">
        <v>244</v>
      </c>
      <c r="F88" s="83" t="s">
        <v>222</v>
      </c>
      <c r="G88" s="83" t="s">
        <v>233</v>
      </c>
      <c r="H88" s="83" t="s">
        <v>234</v>
      </c>
      <c r="J88" t="str">
        <f t="shared" si="15"/>
        <v>JUNIORS A MALE</v>
      </c>
      <c r="K88" s="87" t="str">
        <f t="shared" si="16"/>
        <v>10:30:00 AM</v>
      </c>
      <c r="L88" s="91">
        <f t="shared" si="17"/>
        <v>0.43749999999999994</v>
      </c>
      <c r="M88" s="84">
        <f t="shared" si="18"/>
        <v>43062.4375</v>
      </c>
      <c r="N88" s="81" t="str">
        <f t="shared" si="19"/>
        <v>11/23/2017 10:30-&gt;Juniors A Male</v>
      </c>
      <c r="O88" t="str">
        <f t="shared" si="20"/>
        <v>Chess Tournament in Senior Lounge</v>
      </c>
      <c r="P88">
        <f t="shared" si="14"/>
        <v>1</v>
      </c>
    </row>
    <row r="89" spans="1:16" x14ac:dyDescent="0.2">
      <c r="A89">
        <v>1087</v>
      </c>
      <c r="B89" s="82">
        <v>43063</v>
      </c>
      <c r="C89" s="88">
        <v>0.4375</v>
      </c>
      <c r="D89" s="83"/>
      <c r="E89" s="83" t="s">
        <v>244</v>
      </c>
      <c r="F89" s="83" t="s">
        <v>222</v>
      </c>
      <c r="G89" s="83" t="s">
        <v>233</v>
      </c>
      <c r="H89" s="83" t="s">
        <v>234</v>
      </c>
      <c r="J89" t="str">
        <f t="shared" si="15"/>
        <v>JUNIORS A MALE</v>
      </c>
      <c r="K89" s="87" t="str">
        <f t="shared" si="16"/>
        <v>10:30:00 AM</v>
      </c>
      <c r="L89" s="91">
        <f t="shared" si="17"/>
        <v>0.43749999999999994</v>
      </c>
      <c r="M89" s="84">
        <f t="shared" si="18"/>
        <v>43063.4375</v>
      </c>
      <c r="N89" s="81" t="str">
        <f t="shared" si="19"/>
        <v>11/24/2017 10:30-&gt;Juniors A Male</v>
      </c>
      <c r="O89" t="str">
        <f t="shared" si="20"/>
        <v>Chess Tournament in Senior Lounge</v>
      </c>
      <c r="P89">
        <f t="shared" si="14"/>
        <v>1</v>
      </c>
    </row>
    <row r="90" spans="1:16" x14ac:dyDescent="0.2">
      <c r="A90">
        <v>1088</v>
      </c>
      <c r="B90" s="82">
        <v>43058</v>
      </c>
      <c r="C90" s="88">
        <v>0.4375</v>
      </c>
      <c r="D90" s="83"/>
      <c r="E90" s="83" t="s">
        <v>245</v>
      </c>
      <c r="F90" s="83" t="s">
        <v>223</v>
      </c>
      <c r="G90" s="83" t="s">
        <v>233</v>
      </c>
      <c r="H90" s="83" t="s">
        <v>234</v>
      </c>
      <c r="J90" t="str">
        <f t="shared" si="15"/>
        <v>JUNIORS B MALE</v>
      </c>
      <c r="K90" s="87" t="str">
        <f t="shared" si="16"/>
        <v>10:30:00 AM</v>
      </c>
      <c r="L90" s="91">
        <f t="shared" si="17"/>
        <v>0.43749999999999994</v>
      </c>
      <c r="M90" s="84">
        <f t="shared" si="18"/>
        <v>43058.4375</v>
      </c>
      <c r="N90" s="81" t="str">
        <f t="shared" si="19"/>
        <v>11/19/2017 10:30-&gt;Juniors B Male</v>
      </c>
      <c r="O90" t="str">
        <f t="shared" si="20"/>
        <v>Chess Tournament in Senior Lounge</v>
      </c>
      <c r="P90">
        <f t="shared" si="14"/>
        <v>1</v>
      </c>
    </row>
    <row r="91" spans="1:16" x14ac:dyDescent="0.2">
      <c r="A91">
        <v>1089</v>
      </c>
      <c r="B91" s="82">
        <v>43059</v>
      </c>
      <c r="C91" s="88">
        <v>0.81944444444444453</v>
      </c>
      <c r="D91" s="83"/>
      <c r="E91" s="83" t="s">
        <v>261</v>
      </c>
      <c r="F91" s="83" t="s">
        <v>223</v>
      </c>
      <c r="G91" s="83" t="s">
        <v>251</v>
      </c>
      <c r="H91" s="83" t="s">
        <v>252</v>
      </c>
      <c r="J91" t="str">
        <f t="shared" si="15"/>
        <v>JUNIORS B MALE</v>
      </c>
      <c r="K91" s="87" t="str">
        <f t="shared" si="16"/>
        <v>07:40:00 PM</v>
      </c>
      <c r="L91" s="91">
        <f t="shared" si="17"/>
        <v>0.81944444444444431</v>
      </c>
      <c r="M91" s="84">
        <f t="shared" si="18"/>
        <v>43059.819444444445</v>
      </c>
      <c r="N91" s="81" t="str">
        <f t="shared" si="19"/>
        <v>11/20/2017 19:40-&gt;Juniors B Male</v>
      </c>
      <c r="O91" t="str">
        <f t="shared" si="20"/>
        <v>Swimming in Pool</v>
      </c>
      <c r="P91">
        <f t="shared" si="14"/>
        <v>1</v>
      </c>
    </row>
    <row r="92" spans="1:16" x14ac:dyDescent="0.2">
      <c r="A92">
        <v>1090</v>
      </c>
      <c r="B92" s="82">
        <v>43060</v>
      </c>
      <c r="C92" s="88">
        <v>0.81944444444444453</v>
      </c>
      <c r="D92" s="83"/>
      <c r="E92" s="83" t="s">
        <v>296</v>
      </c>
      <c r="F92" s="83" t="s">
        <v>223</v>
      </c>
      <c r="G92" s="83" t="s">
        <v>227</v>
      </c>
      <c r="H92" s="83" t="s">
        <v>228</v>
      </c>
      <c r="J92" t="str">
        <f t="shared" si="15"/>
        <v>JUNIORS B MALE</v>
      </c>
      <c r="K92" s="87" t="str">
        <f t="shared" si="16"/>
        <v>07:40:00 PM</v>
      </c>
      <c r="L92" s="91">
        <f t="shared" si="17"/>
        <v>0.81944444444444431</v>
      </c>
      <c r="M92" s="84">
        <f t="shared" si="18"/>
        <v>43060.819444444445</v>
      </c>
      <c r="N92" s="81" t="str">
        <f t="shared" si="19"/>
        <v>11/21/2017 19:40-&gt;Juniors B Male</v>
      </c>
      <c r="O92" t="str">
        <f t="shared" si="20"/>
        <v>Tennis in Tennis Courts</v>
      </c>
      <c r="P92">
        <f t="shared" si="14"/>
        <v>2</v>
      </c>
    </row>
    <row r="93" spans="1:16" x14ac:dyDescent="0.2">
      <c r="A93">
        <v>1091</v>
      </c>
      <c r="B93" s="82">
        <v>43062</v>
      </c>
      <c r="C93" s="88">
        <v>0.4375</v>
      </c>
      <c r="D93" s="83"/>
      <c r="E93" s="83" t="s">
        <v>245</v>
      </c>
      <c r="F93" s="83" t="s">
        <v>223</v>
      </c>
      <c r="G93" s="83" t="s">
        <v>233</v>
      </c>
      <c r="H93" s="83" t="s">
        <v>234</v>
      </c>
      <c r="J93" t="str">
        <f t="shared" si="15"/>
        <v>JUNIORS B MALE</v>
      </c>
      <c r="K93" s="87" t="str">
        <f t="shared" si="16"/>
        <v>10:30:00 AM</v>
      </c>
      <c r="L93" s="91">
        <f t="shared" si="17"/>
        <v>0.43749999999999994</v>
      </c>
      <c r="M93" s="84">
        <f t="shared" si="18"/>
        <v>43062.4375</v>
      </c>
      <c r="N93" s="81" t="str">
        <f t="shared" si="19"/>
        <v>11/23/2017 10:30-&gt;Juniors B Male</v>
      </c>
      <c r="O93" t="str">
        <f t="shared" si="20"/>
        <v>Chess Tournament in Senior Lounge</v>
      </c>
      <c r="P93">
        <f t="shared" si="14"/>
        <v>1</v>
      </c>
    </row>
    <row r="94" spans="1:16" x14ac:dyDescent="0.2">
      <c r="A94">
        <v>1092</v>
      </c>
      <c r="B94" s="82">
        <v>43063</v>
      </c>
      <c r="C94" s="88">
        <v>0.4375</v>
      </c>
      <c r="D94" s="83"/>
      <c r="E94" s="83" t="s">
        <v>245</v>
      </c>
      <c r="F94" s="83" t="s">
        <v>223</v>
      </c>
      <c r="G94" s="83" t="s">
        <v>233</v>
      </c>
      <c r="H94" s="83" t="s">
        <v>234</v>
      </c>
      <c r="J94" t="str">
        <f t="shared" si="15"/>
        <v>JUNIORS B MALE</v>
      </c>
      <c r="K94" s="87" t="str">
        <f t="shared" si="16"/>
        <v>10:30:00 AM</v>
      </c>
      <c r="L94" s="91">
        <f t="shared" si="17"/>
        <v>0.43749999999999994</v>
      </c>
      <c r="M94" s="84">
        <f t="shared" si="18"/>
        <v>43063.4375</v>
      </c>
      <c r="N94" s="81" t="str">
        <f t="shared" si="19"/>
        <v>11/24/2017 10:30-&gt;Juniors B Male</v>
      </c>
      <c r="O94" t="str">
        <f t="shared" si="20"/>
        <v>Chess Tournament in Senior Lounge</v>
      </c>
      <c r="P94">
        <f t="shared" si="14"/>
        <v>1</v>
      </c>
    </row>
    <row r="95" spans="1:16" x14ac:dyDescent="0.2">
      <c r="A95">
        <v>1093</v>
      </c>
      <c r="B95" s="82">
        <v>43060</v>
      </c>
      <c r="C95" s="88">
        <v>0.81944444444444453</v>
      </c>
      <c r="D95" s="83"/>
      <c r="E95" s="83" t="s">
        <v>296</v>
      </c>
      <c r="F95" s="83" t="s">
        <v>223</v>
      </c>
      <c r="G95" s="83" t="s">
        <v>227</v>
      </c>
      <c r="H95" s="83" t="s">
        <v>228</v>
      </c>
      <c r="J95" t="str">
        <f t="shared" si="15"/>
        <v>JUNIORS B MALE</v>
      </c>
      <c r="K95" s="87" t="str">
        <f t="shared" si="16"/>
        <v>07:40:00 PM</v>
      </c>
      <c r="L95" s="91">
        <f t="shared" si="17"/>
        <v>0.81944444444444431</v>
      </c>
      <c r="M95" s="84">
        <f t="shared" si="18"/>
        <v>43060.819444444445</v>
      </c>
      <c r="N95" s="81" t="str">
        <f t="shared" si="19"/>
        <v>11/21/2017 19:40-&gt;Juniors B Male</v>
      </c>
      <c r="O95" t="str">
        <f t="shared" si="20"/>
        <v>Tennis in Tennis Courts</v>
      </c>
      <c r="P95">
        <f t="shared" si="14"/>
        <v>2</v>
      </c>
    </row>
    <row r="96" spans="1:16" x14ac:dyDescent="0.2">
      <c r="A96">
        <v>1094</v>
      </c>
      <c r="B96" s="82">
        <v>43058</v>
      </c>
      <c r="C96" s="88">
        <v>0.4375</v>
      </c>
      <c r="D96" s="83"/>
      <c r="E96" s="83" t="s">
        <v>246</v>
      </c>
      <c r="F96" s="83" t="s">
        <v>224</v>
      </c>
      <c r="G96" s="83" t="s">
        <v>233</v>
      </c>
      <c r="H96" s="83" t="s">
        <v>234</v>
      </c>
      <c r="J96" t="str">
        <f t="shared" si="15"/>
        <v>JUNIORS FEMALE</v>
      </c>
      <c r="K96" s="87" t="str">
        <f t="shared" si="16"/>
        <v>10:30:00 AM</v>
      </c>
      <c r="L96" s="91">
        <f t="shared" si="17"/>
        <v>0.43749999999999994</v>
      </c>
      <c r="M96" s="84">
        <f t="shared" si="18"/>
        <v>43058.4375</v>
      </c>
      <c r="N96" s="81" t="str">
        <f t="shared" si="19"/>
        <v>11/19/2017 10:30-&gt;Juniors Female</v>
      </c>
      <c r="O96" t="str">
        <f t="shared" si="20"/>
        <v>Chess Tournament in Senior Lounge</v>
      </c>
      <c r="P96">
        <f t="shared" si="14"/>
        <v>1</v>
      </c>
    </row>
    <row r="97" spans="1:25" x14ac:dyDescent="0.2">
      <c r="A97">
        <v>1095</v>
      </c>
      <c r="B97" s="82">
        <v>43059</v>
      </c>
      <c r="C97" s="88">
        <v>0.81944444444444453</v>
      </c>
      <c r="D97" s="83"/>
      <c r="E97" s="83" t="s">
        <v>262</v>
      </c>
      <c r="F97" s="83" t="s">
        <v>224</v>
      </c>
      <c r="G97" s="83" t="s">
        <v>251</v>
      </c>
      <c r="H97" s="83" t="s">
        <v>252</v>
      </c>
      <c r="J97" t="str">
        <f t="shared" si="15"/>
        <v>JUNIORS FEMALE</v>
      </c>
      <c r="K97" s="87" t="str">
        <f t="shared" si="16"/>
        <v>07:40:00 PM</v>
      </c>
      <c r="L97" s="91">
        <f t="shared" si="17"/>
        <v>0.81944444444444431</v>
      </c>
      <c r="M97" s="84">
        <f t="shared" si="18"/>
        <v>43059.819444444445</v>
      </c>
      <c r="N97" s="81" t="str">
        <f t="shared" si="19"/>
        <v>11/20/2017 19:40-&gt;Juniors Female</v>
      </c>
      <c r="O97" t="str">
        <f t="shared" si="20"/>
        <v>Swimming in Pool</v>
      </c>
      <c r="P97">
        <f t="shared" si="14"/>
        <v>1</v>
      </c>
    </row>
    <row r="98" spans="1:25" x14ac:dyDescent="0.2">
      <c r="A98">
        <v>1096</v>
      </c>
      <c r="B98" s="82">
        <v>43057</v>
      </c>
      <c r="C98" s="88">
        <v>0.78472222222222221</v>
      </c>
      <c r="D98" s="83"/>
      <c r="E98" s="83" t="s">
        <v>274</v>
      </c>
      <c r="F98" s="83" t="s">
        <v>224</v>
      </c>
      <c r="G98" s="83" t="s">
        <v>271</v>
      </c>
      <c r="H98" s="83" t="s">
        <v>212</v>
      </c>
      <c r="J98" t="str">
        <f t="shared" si="15"/>
        <v>JUNIORS FEMALE</v>
      </c>
      <c r="K98" s="87" t="str">
        <f t="shared" si="16"/>
        <v>06:50:00 PM</v>
      </c>
      <c r="L98" s="91">
        <f t="shared" si="17"/>
        <v>0.7847222222222221</v>
      </c>
      <c r="M98" s="84">
        <f t="shared" si="18"/>
        <v>43057.784722222219</v>
      </c>
      <c r="N98" s="81" t="str">
        <f t="shared" si="19"/>
        <v>11/18/2017 18:50-&gt;Juniors Female</v>
      </c>
      <c r="O98" t="str">
        <f t="shared" si="20"/>
        <v>Dance Competition in Scheck Family Gymnasium</v>
      </c>
      <c r="P98">
        <f t="shared" si="14"/>
        <v>1</v>
      </c>
    </row>
    <row r="99" spans="1:25" x14ac:dyDescent="0.2">
      <c r="A99">
        <v>1097</v>
      </c>
      <c r="B99" s="82">
        <v>43062</v>
      </c>
      <c r="C99" s="88">
        <v>0.4375</v>
      </c>
      <c r="D99" s="83"/>
      <c r="E99" s="83" t="s">
        <v>246</v>
      </c>
      <c r="F99" s="83" t="s">
        <v>224</v>
      </c>
      <c r="G99" s="83" t="s">
        <v>233</v>
      </c>
      <c r="H99" s="83" t="s">
        <v>234</v>
      </c>
      <c r="J99" t="str">
        <f t="shared" si="15"/>
        <v>JUNIORS FEMALE</v>
      </c>
      <c r="K99" s="87" t="str">
        <f t="shared" si="16"/>
        <v>10:30:00 AM</v>
      </c>
      <c r="L99" s="91">
        <f t="shared" si="17"/>
        <v>0.43749999999999994</v>
      </c>
      <c r="M99" s="84">
        <f t="shared" si="18"/>
        <v>43062.4375</v>
      </c>
      <c r="N99" s="81" t="str">
        <f t="shared" si="19"/>
        <v>11/23/2017 10:30-&gt;Juniors Female</v>
      </c>
      <c r="O99" t="str">
        <f t="shared" si="20"/>
        <v>Chess Tournament in Senior Lounge</v>
      </c>
      <c r="P99">
        <f t="shared" ref="P99:P130" si="21">IF(N99&gt;0,COUNTIF($N$5:$N$282,N99),0)</f>
        <v>1</v>
      </c>
    </row>
    <row r="100" spans="1:25" x14ac:dyDescent="0.2">
      <c r="A100">
        <v>1098</v>
      </c>
      <c r="B100" s="82">
        <v>43063</v>
      </c>
      <c r="C100" s="88">
        <v>0.4375</v>
      </c>
      <c r="D100" s="83"/>
      <c r="E100" s="83" t="s">
        <v>246</v>
      </c>
      <c r="F100" s="83" t="s">
        <v>224</v>
      </c>
      <c r="G100" s="83" t="s">
        <v>233</v>
      </c>
      <c r="H100" s="83" t="s">
        <v>234</v>
      </c>
      <c r="J100" t="str">
        <f t="shared" si="15"/>
        <v>JUNIORS FEMALE</v>
      </c>
      <c r="K100" s="87" t="str">
        <f t="shared" si="16"/>
        <v>10:30:00 AM</v>
      </c>
      <c r="L100" s="91">
        <f t="shared" si="17"/>
        <v>0.43749999999999994</v>
      </c>
      <c r="M100" s="84">
        <f t="shared" si="18"/>
        <v>43063.4375</v>
      </c>
      <c r="N100" s="81" t="str">
        <f t="shared" si="19"/>
        <v>11/24/2017 10:30-&gt;Juniors Female</v>
      </c>
      <c r="O100" t="str">
        <f t="shared" si="20"/>
        <v>Chess Tournament in Senior Lounge</v>
      </c>
      <c r="P100">
        <f t="shared" si="21"/>
        <v>1</v>
      </c>
    </row>
    <row r="101" spans="1:25" x14ac:dyDescent="0.2">
      <c r="A101">
        <v>1099</v>
      </c>
      <c r="B101" s="82">
        <v>43060</v>
      </c>
      <c r="C101" s="88">
        <v>0.81944444444444453</v>
      </c>
      <c r="D101" s="83"/>
      <c r="E101" s="83" t="s">
        <v>299</v>
      </c>
      <c r="F101" s="83" t="s">
        <v>224</v>
      </c>
      <c r="G101" s="83" t="s">
        <v>227</v>
      </c>
      <c r="H101" s="83" t="s">
        <v>228</v>
      </c>
      <c r="J101" t="str">
        <f t="shared" si="15"/>
        <v>JUNIORS FEMALE</v>
      </c>
      <c r="K101" s="87" t="str">
        <f t="shared" si="16"/>
        <v>07:40:00 PM</v>
      </c>
      <c r="L101" s="91">
        <f t="shared" si="17"/>
        <v>0.81944444444444431</v>
      </c>
      <c r="M101" s="84">
        <f t="shared" si="18"/>
        <v>43060.819444444445</v>
      </c>
      <c r="N101" s="81" t="str">
        <f t="shared" si="19"/>
        <v>11/21/2017 19:40-&gt;Juniors Female</v>
      </c>
      <c r="O101" t="str">
        <f t="shared" si="20"/>
        <v>Tennis in Tennis Courts</v>
      </c>
      <c r="P101">
        <f t="shared" si="21"/>
        <v>2</v>
      </c>
    </row>
    <row r="102" spans="1:25" x14ac:dyDescent="0.2">
      <c r="A102">
        <v>1100</v>
      </c>
      <c r="B102" s="82">
        <v>43060</v>
      </c>
      <c r="C102" s="88">
        <v>0.81944444444444453</v>
      </c>
      <c r="D102" s="83"/>
      <c r="E102" s="83" t="s">
        <v>299</v>
      </c>
      <c r="F102" s="83" t="s">
        <v>224</v>
      </c>
      <c r="G102" s="83" t="s">
        <v>227</v>
      </c>
      <c r="H102" s="83" t="s">
        <v>228</v>
      </c>
      <c r="J102" t="str">
        <f t="shared" si="15"/>
        <v>JUNIORS FEMALE</v>
      </c>
      <c r="K102" s="87" t="str">
        <f t="shared" si="16"/>
        <v>07:40:00 PM</v>
      </c>
      <c r="L102" s="91">
        <f t="shared" si="17"/>
        <v>0.81944444444444431</v>
      </c>
      <c r="M102" s="84">
        <f t="shared" si="18"/>
        <v>43060.819444444445</v>
      </c>
      <c r="N102" s="81" t="str">
        <f t="shared" si="19"/>
        <v>11/21/2017 19:40-&gt;Juniors Female</v>
      </c>
      <c r="O102" t="str">
        <f t="shared" si="20"/>
        <v>Tennis in Tennis Courts</v>
      </c>
      <c r="P102">
        <f t="shared" si="21"/>
        <v>2</v>
      </c>
      <c r="X102" t="s">
        <v>50</v>
      </c>
      <c r="Y102" t="s">
        <v>50</v>
      </c>
    </row>
    <row r="103" spans="1:25" x14ac:dyDescent="0.2">
      <c r="A103">
        <v>1101</v>
      </c>
      <c r="B103" s="82">
        <v>43058</v>
      </c>
      <c r="C103" s="88">
        <v>0.64583333333333337</v>
      </c>
      <c r="D103" s="89"/>
      <c r="E103" s="83" t="s">
        <v>229</v>
      </c>
      <c r="F103" s="83" t="s">
        <v>225</v>
      </c>
      <c r="G103" s="83" t="s">
        <v>230</v>
      </c>
      <c r="H103" s="83" t="s">
        <v>231</v>
      </c>
      <c r="J103" t="str">
        <f t="shared" si="15"/>
        <v>VETERANS MALE</v>
      </c>
      <c r="K103" s="87" t="str">
        <f t="shared" si="16"/>
        <v>03:30:00 PM</v>
      </c>
      <c r="L103" s="91">
        <f t="shared" si="17"/>
        <v>0.64583333333333326</v>
      </c>
      <c r="M103" s="84">
        <f t="shared" si="18"/>
        <v>43058.645833333336</v>
      </c>
      <c r="N103" s="81" t="str">
        <f t="shared" si="19"/>
        <v>11/19/2017 15:30-&gt;Veterans Male</v>
      </c>
      <c r="O103" t="str">
        <f t="shared" si="20"/>
        <v>Ping Pong in Katz</v>
      </c>
      <c r="P103">
        <f t="shared" si="21"/>
        <v>1</v>
      </c>
    </row>
    <row r="104" spans="1:25" x14ac:dyDescent="0.2">
      <c r="A104">
        <v>1102</v>
      </c>
      <c r="B104" s="82">
        <v>43058</v>
      </c>
      <c r="C104" s="88">
        <v>0.4375</v>
      </c>
      <c r="D104" s="83"/>
      <c r="E104" s="83" t="s">
        <v>247</v>
      </c>
      <c r="F104" s="83" t="s">
        <v>225</v>
      </c>
      <c r="G104" s="83" t="s">
        <v>233</v>
      </c>
      <c r="H104" s="83" t="s">
        <v>234</v>
      </c>
      <c r="J104" t="str">
        <f t="shared" si="15"/>
        <v>VETERANS MALE</v>
      </c>
      <c r="K104" s="87" t="str">
        <f t="shared" si="16"/>
        <v>10:30:00 AM</v>
      </c>
      <c r="L104" s="91">
        <f t="shared" si="17"/>
        <v>0.43749999999999994</v>
      </c>
      <c r="M104" s="84">
        <f t="shared" si="18"/>
        <v>43058.4375</v>
      </c>
      <c r="N104" s="81" t="str">
        <f t="shared" si="19"/>
        <v>11/19/2017 10:30-&gt;Veterans Male</v>
      </c>
      <c r="O104" t="str">
        <f t="shared" si="20"/>
        <v>Chess Tournament in Senior Lounge</v>
      </c>
      <c r="P104">
        <f t="shared" si="21"/>
        <v>1</v>
      </c>
    </row>
    <row r="105" spans="1:25" x14ac:dyDescent="0.2">
      <c r="A105">
        <v>1103</v>
      </c>
      <c r="B105" s="82">
        <v>43059</v>
      </c>
      <c r="C105" s="88">
        <v>0.85416666666666663</v>
      </c>
      <c r="D105" s="83"/>
      <c r="E105" s="83" t="s">
        <v>263</v>
      </c>
      <c r="F105" s="83" t="s">
        <v>225</v>
      </c>
      <c r="G105" s="83" t="s">
        <v>251</v>
      </c>
      <c r="H105" s="83" t="s">
        <v>252</v>
      </c>
      <c r="J105" t="str">
        <f t="shared" si="15"/>
        <v>VETERANS MALE</v>
      </c>
      <c r="K105" s="87" t="str">
        <f t="shared" si="16"/>
        <v>08:30:00 PM</v>
      </c>
      <c r="L105" s="91">
        <f t="shared" si="17"/>
        <v>0.85416666666666652</v>
      </c>
      <c r="M105" s="84">
        <f t="shared" si="18"/>
        <v>43059.854166666664</v>
      </c>
      <c r="N105" s="81" t="str">
        <f t="shared" si="19"/>
        <v>11/20/2017 20:30-&gt;Veterans Male</v>
      </c>
      <c r="O105" t="str">
        <f t="shared" si="20"/>
        <v>Swimming in Pool</v>
      </c>
      <c r="P105">
        <f t="shared" si="21"/>
        <v>1</v>
      </c>
    </row>
    <row r="106" spans="1:25" x14ac:dyDescent="0.2">
      <c r="A106">
        <v>1104</v>
      </c>
      <c r="B106" s="82">
        <v>43060</v>
      </c>
      <c r="C106" s="88">
        <v>0.85416666666666663</v>
      </c>
      <c r="D106" s="83"/>
      <c r="E106" s="83" t="s">
        <v>268</v>
      </c>
      <c r="F106" s="83" t="s">
        <v>225</v>
      </c>
      <c r="G106" s="83" t="s">
        <v>265</v>
      </c>
      <c r="H106" s="83" t="s">
        <v>266</v>
      </c>
      <c r="J106" t="str">
        <f t="shared" si="15"/>
        <v>VETERANS MALE</v>
      </c>
      <c r="K106" s="87" t="str">
        <f t="shared" si="16"/>
        <v>08:30:00 PM</v>
      </c>
      <c r="L106" s="91">
        <f t="shared" si="17"/>
        <v>0.85416666666666652</v>
      </c>
      <c r="M106" s="84">
        <f t="shared" si="18"/>
        <v>43060.854166666664</v>
      </c>
      <c r="N106" s="81" t="str">
        <f t="shared" si="19"/>
        <v>11/21/2017 20:30-&gt;Veterans Male</v>
      </c>
      <c r="O106" t="str">
        <f t="shared" si="20"/>
        <v>Bowling in Pines Arena</v>
      </c>
      <c r="P106">
        <f t="shared" si="21"/>
        <v>1</v>
      </c>
    </row>
    <row r="107" spans="1:25" x14ac:dyDescent="0.2">
      <c r="A107">
        <v>1105</v>
      </c>
      <c r="B107" s="82">
        <v>43061</v>
      </c>
      <c r="C107" s="88">
        <v>0.81944444444444453</v>
      </c>
      <c r="D107" s="83"/>
      <c r="E107" s="83" t="s">
        <v>288</v>
      </c>
      <c r="F107" s="83" t="s">
        <v>225</v>
      </c>
      <c r="G107" s="83" t="s">
        <v>288</v>
      </c>
      <c r="H107" s="83" t="s">
        <v>289</v>
      </c>
      <c r="J107" t="str">
        <f t="shared" si="15"/>
        <v>VETERANS MALE</v>
      </c>
      <c r="K107" s="87" t="str">
        <f t="shared" si="16"/>
        <v>07:40:00 PM</v>
      </c>
      <c r="L107" s="91">
        <f t="shared" si="17"/>
        <v>0.81944444444444431</v>
      </c>
      <c r="M107" s="84">
        <f t="shared" si="18"/>
        <v>43061.819444444445</v>
      </c>
      <c r="N107" s="81" t="str">
        <f t="shared" si="19"/>
        <v>11/22/2017 19:40-&gt;Veterans Male</v>
      </c>
      <c r="O107" t="str">
        <f t="shared" si="20"/>
        <v xml:space="preserve">Domino in Katz </v>
      </c>
      <c r="P107">
        <f t="shared" si="21"/>
        <v>1</v>
      </c>
    </row>
    <row r="108" spans="1:25" x14ac:dyDescent="0.2">
      <c r="A108">
        <v>1106</v>
      </c>
      <c r="B108" s="82">
        <v>43062</v>
      </c>
      <c r="C108" s="88">
        <v>0.54166666666666663</v>
      </c>
      <c r="D108" s="83"/>
      <c r="E108" s="83" t="s">
        <v>280</v>
      </c>
      <c r="F108" s="83" t="s">
        <v>225</v>
      </c>
      <c r="G108" s="83" t="s">
        <v>277</v>
      </c>
      <c r="H108" s="83" t="s">
        <v>278</v>
      </c>
      <c r="J108" t="str">
        <f t="shared" si="15"/>
        <v>VETERANS MALE</v>
      </c>
      <c r="K108" s="87" t="str">
        <f t="shared" si="16"/>
        <v>01:00:00 PM</v>
      </c>
      <c r="L108" s="91">
        <f t="shared" si="17"/>
        <v>0.54166666666666663</v>
      </c>
      <c r="M108" s="84">
        <f t="shared" si="18"/>
        <v>43062.541666666664</v>
      </c>
      <c r="N108" s="81" t="str">
        <f t="shared" si="19"/>
        <v>11/23/2017 13:00-&gt;Veterans Male</v>
      </c>
      <c r="O108" t="str">
        <f t="shared" si="20"/>
        <v>Spinathon in Spinning room</v>
      </c>
      <c r="P108">
        <f t="shared" si="21"/>
        <v>1</v>
      </c>
    </row>
    <row r="109" spans="1:25" x14ac:dyDescent="0.2">
      <c r="A109">
        <v>1107</v>
      </c>
      <c r="B109" s="82">
        <v>43062</v>
      </c>
      <c r="C109" s="88">
        <v>0.4375</v>
      </c>
      <c r="D109" s="83"/>
      <c r="E109" s="83" t="s">
        <v>247</v>
      </c>
      <c r="F109" s="83" t="s">
        <v>225</v>
      </c>
      <c r="G109" s="83" t="s">
        <v>233</v>
      </c>
      <c r="H109" s="83" t="s">
        <v>234</v>
      </c>
      <c r="J109" t="str">
        <f t="shared" si="15"/>
        <v>VETERANS MALE</v>
      </c>
      <c r="K109" s="87" t="str">
        <f t="shared" si="16"/>
        <v>10:30:00 AM</v>
      </c>
      <c r="L109" s="91">
        <f t="shared" si="17"/>
        <v>0.43749999999999994</v>
      </c>
      <c r="M109" s="84">
        <f t="shared" si="18"/>
        <v>43062.4375</v>
      </c>
      <c r="N109" s="81" t="str">
        <f t="shared" si="19"/>
        <v>11/23/2017 10:30-&gt;Veterans Male</v>
      </c>
      <c r="O109" t="str">
        <f t="shared" si="20"/>
        <v>Chess Tournament in Senior Lounge</v>
      </c>
      <c r="P109">
        <f t="shared" si="21"/>
        <v>1</v>
      </c>
    </row>
    <row r="110" spans="1:25" x14ac:dyDescent="0.2">
      <c r="A110">
        <v>1108</v>
      </c>
      <c r="B110" s="82">
        <v>43063</v>
      </c>
      <c r="C110" s="88">
        <v>0.4375</v>
      </c>
      <c r="D110" s="83"/>
      <c r="E110" s="83" t="s">
        <v>247</v>
      </c>
      <c r="F110" s="83" t="s">
        <v>225</v>
      </c>
      <c r="G110" s="83" t="s">
        <v>233</v>
      </c>
      <c r="H110" s="83" t="s">
        <v>234</v>
      </c>
      <c r="J110" t="str">
        <f t="shared" si="15"/>
        <v>VETERANS MALE</v>
      </c>
      <c r="K110" s="87" t="str">
        <f t="shared" si="16"/>
        <v>10:30:00 AM</v>
      </c>
      <c r="L110" s="91">
        <f t="shared" si="17"/>
        <v>0.43749999999999994</v>
      </c>
      <c r="M110" s="84">
        <f t="shared" si="18"/>
        <v>43063.4375</v>
      </c>
      <c r="N110" s="81" t="str">
        <f t="shared" si="19"/>
        <v>11/24/2017 10:30-&gt;Veterans Male</v>
      </c>
      <c r="O110" t="str">
        <f t="shared" si="20"/>
        <v>Chess Tournament in Senior Lounge</v>
      </c>
      <c r="P110">
        <f t="shared" si="21"/>
        <v>1</v>
      </c>
    </row>
    <row r="111" spans="1:25" x14ac:dyDescent="0.2">
      <c r="A111">
        <v>1109</v>
      </c>
      <c r="B111" s="82">
        <v>43061</v>
      </c>
      <c r="C111" s="88">
        <v>0.78472222222222221</v>
      </c>
      <c r="D111" s="83"/>
      <c r="E111" s="83" t="s">
        <v>275</v>
      </c>
      <c r="F111" s="83" t="s">
        <v>225</v>
      </c>
      <c r="G111" s="83" t="s">
        <v>227</v>
      </c>
      <c r="H111" s="83" t="s">
        <v>228</v>
      </c>
      <c r="J111" t="str">
        <f t="shared" si="15"/>
        <v>VETERANS MALE</v>
      </c>
      <c r="K111" s="87" t="str">
        <f t="shared" si="16"/>
        <v>06:50:00 PM</v>
      </c>
      <c r="L111" s="91">
        <f t="shared" si="17"/>
        <v>0.7847222222222221</v>
      </c>
      <c r="M111" s="84">
        <f t="shared" si="18"/>
        <v>43061.784722222219</v>
      </c>
      <c r="N111" s="81" t="str">
        <f t="shared" si="19"/>
        <v>11/22/2017 18:50-&gt;Veterans Male</v>
      </c>
      <c r="O111" t="str">
        <f t="shared" si="20"/>
        <v>Tennis in Tennis Courts</v>
      </c>
      <c r="P111">
        <f t="shared" si="21"/>
        <v>1</v>
      </c>
    </row>
    <row r="112" spans="1:25" x14ac:dyDescent="0.2">
      <c r="A112">
        <v>1110</v>
      </c>
      <c r="B112" s="82">
        <v>43063</v>
      </c>
      <c r="C112" s="88">
        <v>0.57638888888888895</v>
      </c>
      <c r="D112" s="83"/>
      <c r="E112" s="83" t="s">
        <v>275</v>
      </c>
      <c r="F112" s="83" t="s">
        <v>225</v>
      </c>
      <c r="G112" s="83" t="s">
        <v>227</v>
      </c>
      <c r="H112" s="83" t="s">
        <v>228</v>
      </c>
      <c r="J112" t="str">
        <f t="shared" si="15"/>
        <v>VETERANS MALE</v>
      </c>
      <c r="K112" s="87" t="str">
        <f t="shared" si="16"/>
        <v>01:50:00 PM</v>
      </c>
      <c r="L112" s="91">
        <f t="shared" si="17"/>
        <v>0.57638888888888884</v>
      </c>
      <c r="M112" s="84">
        <f t="shared" si="18"/>
        <v>43063.576388888891</v>
      </c>
      <c r="N112" s="81" t="str">
        <f t="shared" si="19"/>
        <v>11/24/2017 13:50-&gt;Veterans Male</v>
      </c>
      <c r="O112" t="str">
        <f t="shared" si="20"/>
        <v>Tennis in Tennis Courts</v>
      </c>
      <c r="P112">
        <f t="shared" si="21"/>
        <v>1</v>
      </c>
    </row>
    <row r="113" spans="1:16" x14ac:dyDescent="0.2">
      <c r="A113">
        <v>1111</v>
      </c>
      <c r="B113" s="82">
        <v>43058</v>
      </c>
      <c r="C113" s="88">
        <v>0.40277777777777773</v>
      </c>
      <c r="D113" s="89"/>
      <c r="E113" s="83" t="s">
        <v>783</v>
      </c>
      <c r="F113" s="83" t="s">
        <v>217</v>
      </c>
      <c r="G113" s="83" t="s">
        <v>783</v>
      </c>
      <c r="H113" s="83" t="s">
        <v>784</v>
      </c>
      <c r="J113" t="str">
        <f t="shared" si="15"/>
        <v>CHILDREN C MALE</v>
      </c>
      <c r="K113" s="87" t="str">
        <f t="shared" si="16"/>
        <v>09:40:00 AM</v>
      </c>
      <c r="L113" s="91">
        <f t="shared" si="17"/>
        <v>0.40277777777777773</v>
      </c>
      <c r="M113" s="84">
        <f t="shared" si="18"/>
        <v>43058.402777777781</v>
      </c>
      <c r="N113" s="81" t="str">
        <f t="shared" si="19"/>
        <v>11/19/2017 09:40-&gt;Children C Male</v>
      </c>
      <c r="O113" t="str">
        <f t="shared" si="20"/>
        <v>Water Polo Exhibition Game in JCC Swimming Pool</v>
      </c>
      <c r="P113">
        <f t="shared" si="21"/>
        <v>1</v>
      </c>
    </row>
    <row r="114" spans="1:16" x14ac:dyDescent="0.2">
      <c r="A114">
        <v>1112</v>
      </c>
      <c r="B114" s="82">
        <v>43058</v>
      </c>
      <c r="C114" s="88">
        <v>0.40277777777777773</v>
      </c>
      <c r="D114" s="89"/>
      <c r="E114" s="83" t="s">
        <v>783</v>
      </c>
      <c r="F114" s="83" t="s">
        <v>219</v>
      </c>
      <c r="G114" s="83" t="s">
        <v>783</v>
      </c>
      <c r="H114" s="83" t="s">
        <v>784</v>
      </c>
      <c r="J114" t="str">
        <f t="shared" si="15"/>
        <v>CHILDREN D MALE</v>
      </c>
      <c r="K114" s="87" t="str">
        <f t="shared" si="16"/>
        <v>09:40:00 AM</v>
      </c>
      <c r="L114" s="91">
        <f t="shared" si="17"/>
        <v>0.40277777777777773</v>
      </c>
      <c r="M114" s="84">
        <f t="shared" si="18"/>
        <v>43058.402777777781</v>
      </c>
      <c r="N114" s="81" t="str">
        <f t="shared" si="19"/>
        <v>11/19/2017 09:40-&gt;Children D Male</v>
      </c>
      <c r="O114" t="str">
        <f t="shared" si="20"/>
        <v>Water Polo Exhibition Game in JCC Swimming Pool</v>
      </c>
      <c r="P114">
        <f t="shared" si="21"/>
        <v>1</v>
      </c>
    </row>
    <row r="115" spans="1:16" x14ac:dyDescent="0.2">
      <c r="A115">
        <v>1113</v>
      </c>
      <c r="B115" s="82">
        <v>43058</v>
      </c>
      <c r="C115" s="88">
        <v>0.50694444444444442</v>
      </c>
      <c r="D115" s="89"/>
      <c r="E115" s="83" t="s">
        <v>783</v>
      </c>
      <c r="F115" s="83" t="s">
        <v>221</v>
      </c>
      <c r="G115" s="83" t="s">
        <v>783</v>
      </c>
      <c r="H115" s="83" t="s">
        <v>784</v>
      </c>
      <c r="J115" t="str">
        <f t="shared" si="15"/>
        <v>CHILDREN E MALE</v>
      </c>
      <c r="K115" s="87" t="str">
        <f t="shared" si="16"/>
        <v>12:10:00 PM</v>
      </c>
      <c r="L115" s="91">
        <f t="shared" si="17"/>
        <v>0.50694444444444442</v>
      </c>
      <c r="M115" s="84">
        <f t="shared" si="18"/>
        <v>43058.506944444445</v>
      </c>
      <c r="N115" s="81" t="str">
        <f t="shared" si="19"/>
        <v>11/19/2017 12:10-&gt;Children E Male</v>
      </c>
      <c r="O115" t="str">
        <f t="shared" si="20"/>
        <v>Water Polo Exhibition Game in JCC Swimming Pool</v>
      </c>
      <c r="P115">
        <f t="shared" si="21"/>
        <v>1</v>
      </c>
    </row>
    <row r="116" spans="1:16" x14ac:dyDescent="0.2">
      <c r="A116">
        <v>1114</v>
      </c>
      <c r="B116" s="82">
        <v>43058</v>
      </c>
      <c r="C116" s="88">
        <v>0.47222222222222227</v>
      </c>
      <c r="D116" s="89"/>
      <c r="E116" s="83" t="s">
        <v>783</v>
      </c>
      <c r="F116" s="83" t="s">
        <v>213</v>
      </c>
      <c r="G116" s="83" t="s">
        <v>783</v>
      </c>
      <c r="H116" s="83" t="s">
        <v>784</v>
      </c>
      <c r="J116" t="str">
        <f t="shared" si="15"/>
        <v>ADULTS MALE</v>
      </c>
      <c r="K116" s="87" t="str">
        <f t="shared" si="16"/>
        <v>11:20:00 AM</v>
      </c>
      <c r="L116" s="91">
        <f t="shared" si="17"/>
        <v>0.47222222222222215</v>
      </c>
      <c r="M116" s="84">
        <f t="shared" si="18"/>
        <v>43058.472222222219</v>
      </c>
      <c r="N116" s="81" t="str">
        <f t="shared" si="19"/>
        <v>11/19/2017 11:20-&gt;Adults Male</v>
      </c>
      <c r="O116" t="str">
        <f t="shared" si="20"/>
        <v>Water Polo Exhibition Game in JCC Swimming Pool</v>
      </c>
      <c r="P116">
        <f t="shared" si="21"/>
        <v>2</v>
      </c>
    </row>
    <row r="117" spans="1:16" x14ac:dyDescent="0.2">
      <c r="B117" s="82"/>
      <c r="C117" s="88"/>
      <c r="D117" s="89"/>
      <c r="E117" s="83"/>
      <c r="F117" s="83"/>
      <c r="G117" s="83"/>
      <c r="H117" s="83"/>
      <c r="J117" t="e">
        <f t="shared" si="15"/>
        <v>#N/A</v>
      </c>
      <c r="K117" s="87" t="e">
        <f t="shared" si="16"/>
        <v>#N/A</v>
      </c>
      <c r="L117" s="91" t="e">
        <f t="shared" si="17"/>
        <v>#N/A</v>
      </c>
      <c r="M117" s="84" t="e">
        <f t="shared" si="18"/>
        <v>#N/A</v>
      </c>
      <c r="N117" s="81" t="str">
        <f t="shared" si="19"/>
        <v/>
      </c>
      <c r="O117" t="str">
        <f t="shared" si="20"/>
        <v xml:space="preserve"> in </v>
      </c>
      <c r="P117">
        <f t="shared" si="21"/>
        <v>166</v>
      </c>
    </row>
    <row r="118" spans="1:16" x14ac:dyDescent="0.2">
      <c r="B118" s="82"/>
      <c r="C118" s="88"/>
      <c r="D118" s="89"/>
      <c r="E118" s="83"/>
      <c r="F118" s="83"/>
      <c r="G118" s="83"/>
      <c r="H118" s="83"/>
      <c r="J118" t="e">
        <f t="shared" si="15"/>
        <v>#N/A</v>
      </c>
      <c r="K118" s="87" t="e">
        <f t="shared" si="16"/>
        <v>#N/A</v>
      </c>
      <c r="L118" s="91" t="e">
        <f t="shared" si="17"/>
        <v>#N/A</v>
      </c>
      <c r="M118" s="84" t="e">
        <f t="shared" si="18"/>
        <v>#N/A</v>
      </c>
      <c r="N118" s="81" t="str">
        <f t="shared" si="19"/>
        <v/>
      </c>
      <c r="O118" t="str">
        <f t="shared" si="20"/>
        <v xml:space="preserve"> in </v>
      </c>
      <c r="P118">
        <f t="shared" si="21"/>
        <v>166</v>
      </c>
    </row>
    <row r="119" spans="1:16" x14ac:dyDescent="0.2">
      <c r="B119" s="82"/>
      <c r="C119" s="88"/>
      <c r="D119" s="89"/>
      <c r="E119" s="83"/>
      <c r="F119" s="83"/>
      <c r="G119" s="83"/>
      <c r="H119" s="83"/>
      <c r="J119" t="e">
        <f t="shared" si="15"/>
        <v>#N/A</v>
      </c>
      <c r="K119" s="87" t="e">
        <f t="shared" si="16"/>
        <v>#N/A</v>
      </c>
      <c r="L119" s="91" t="e">
        <f t="shared" si="17"/>
        <v>#N/A</v>
      </c>
      <c r="M119" s="84" t="e">
        <f t="shared" si="18"/>
        <v>#N/A</v>
      </c>
      <c r="N119" s="81" t="str">
        <f t="shared" si="19"/>
        <v/>
      </c>
      <c r="O119" t="str">
        <f t="shared" si="20"/>
        <v xml:space="preserve"> in </v>
      </c>
      <c r="P119">
        <f t="shared" si="21"/>
        <v>166</v>
      </c>
    </row>
    <row r="120" spans="1:16" x14ac:dyDescent="0.2">
      <c r="B120" s="82"/>
      <c r="C120" s="88"/>
      <c r="D120" s="89"/>
      <c r="E120" s="83"/>
      <c r="F120" s="83"/>
      <c r="G120" s="83"/>
      <c r="H120" s="83"/>
      <c r="J120" t="e">
        <f t="shared" si="15"/>
        <v>#N/A</v>
      </c>
      <c r="K120" s="87" t="e">
        <f t="shared" si="16"/>
        <v>#N/A</v>
      </c>
      <c r="L120" s="91" t="e">
        <f t="shared" si="17"/>
        <v>#N/A</v>
      </c>
      <c r="M120" s="84" t="e">
        <f t="shared" si="18"/>
        <v>#N/A</v>
      </c>
      <c r="N120" s="81" t="str">
        <f t="shared" si="19"/>
        <v/>
      </c>
      <c r="O120" t="str">
        <f t="shared" si="20"/>
        <v xml:space="preserve"> in </v>
      </c>
      <c r="P120">
        <f t="shared" si="21"/>
        <v>166</v>
      </c>
    </row>
    <row r="121" spans="1:16" x14ac:dyDescent="0.2">
      <c r="B121" s="82"/>
      <c r="C121" s="88"/>
      <c r="D121" s="89"/>
      <c r="E121" s="83"/>
      <c r="F121" s="83"/>
      <c r="G121" s="83"/>
      <c r="H121" s="83"/>
      <c r="J121" t="e">
        <f t="shared" si="15"/>
        <v>#N/A</v>
      </c>
      <c r="K121" s="87" t="e">
        <f t="shared" si="16"/>
        <v>#N/A</v>
      </c>
      <c r="L121" s="91" t="e">
        <f t="shared" si="17"/>
        <v>#N/A</v>
      </c>
      <c r="M121" s="84" t="e">
        <f t="shared" si="18"/>
        <v>#N/A</v>
      </c>
      <c r="N121" s="81" t="str">
        <f t="shared" si="19"/>
        <v/>
      </c>
      <c r="O121" t="str">
        <f t="shared" si="20"/>
        <v xml:space="preserve"> in </v>
      </c>
      <c r="P121">
        <f t="shared" si="21"/>
        <v>166</v>
      </c>
    </row>
    <row r="122" spans="1:16" x14ac:dyDescent="0.2">
      <c r="B122" s="82"/>
      <c r="C122" s="88"/>
      <c r="D122" s="89"/>
      <c r="E122" s="83"/>
      <c r="F122" s="83"/>
      <c r="G122" s="83"/>
      <c r="H122" s="83"/>
      <c r="J122" t="e">
        <f t="shared" si="15"/>
        <v>#N/A</v>
      </c>
      <c r="K122" s="87" t="e">
        <f t="shared" si="16"/>
        <v>#N/A</v>
      </c>
      <c r="L122" s="91" t="e">
        <f t="shared" si="17"/>
        <v>#N/A</v>
      </c>
      <c r="M122" s="84" t="e">
        <f t="shared" si="18"/>
        <v>#N/A</v>
      </c>
      <c r="N122" s="81" t="str">
        <f t="shared" si="19"/>
        <v/>
      </c>
      <c r="O122" t="str">
        <f t="shared" si="20"/>
        <v xml:space="preserve"> in </v>
      </c>
      <c r="P122">
        <f t="shared" si="21"/>
        <v>166</v>
      </c>
    </row>
    <row r="123" spans="1:16" x14ac:dyDescent="0.2">
      <c r="B123" s="82"/>
      <c r="C123" s="88"/>
      <c r="D123" s="89"/>
      <c r="E123" s="83"/>
      <c r="F123" s="83"/>
      <c r="G123" s="83"/>
      <c r="H123" s="83"/>
      <c r="J123" t="e">
        <f t="shared" si="15"/>
        <v>#N/A</v>
      </c>
      <c r="K123" s="87" t="e">
        <f t="shared" si="16"/>
        <v>#N/A</v>
      </c>
      <c r="L123" s="91" t="e">
        <f t="shared" si="17"/>
        <v>#N/A</v>
      </c>
      <c r="M123" s="84" t="e">
        <f t="shared" si="18"/>
        <v>#N/A</v>
      </c>
      <c r="N123" s="81" t="str">
        <f t="shared" si="19"/>
        <v/>
      </c>
      <c r="O123" t="str">
        <f t="shared" si="20"/>
        <v xml:space="preserve"> in </v>
      </c>
      <c r="P123">
        <f t="shared" si="21"/>
        <v>166</v>
      </c>
    </row>
    <row r="124" spans="1:16" x14ac:dyDescent="0.2">
      <c r="B124" s="82"/>
      <c r="C124" s="88"/>
      <c r="D124" s="89"/>
      <c r="E124" s="83"/>
      <c r="F124" s="83"/>
      <c r="G124" s="83"/>
      <c r="H124" s="83"/>
      <c r="J124" t="e">
        <f t="shared" si="15"/>
        <v>#N/A</v>
      </c>
      <c r="K124" s="87" t="e">
        <f t="shared" si="16"/>
        <v>#N/A</v>
      </c>
      <c r="L124" s="91" t="e">
        <f t="shared" si="17"/>
        <v>#N/A</v>
      </c>
      <c r="M124" s="84" t="e">
        <f t="shared" si="18"/>
        <v>#N/A</v>
      </c>
      <c r="N124" s="81" t="str">
        <f t="shared" si="19"/>
        <v/>
      </c>
      <c r="O124" t="str">
        <f t="shared" si="20"/>
        <v xml:space="preserve"> in </v>
      </c>
      <c r="P124">
        <f t="shared" si="21"/>
        <v>166</v>
      </c>
    </row>
    <row r="125" spans="1:16" x14ac:dyDescent="0.2">
      <c r="B125" s="82"/>
      <c r="C125" s="88"/>
      <c r="D125" s="89"/>
      <c r="E125" s="83"/>
      <c r="F125" s="83"/>
      <c r="G125" s="83"/>
      <c r="H125" s="83"/>
      <c r="J125" t="e">
        <f t="shared" si="15"/>
        <v>#N/A</v>
      </c>
      <c r="K125" s="87" t="e">
        <f t="shared" si="16"/>
        <v>#N/A</v>
      </c>
      <c r="L125" s="91" t="e">
        <f t="shared" si="17"/>
        <v>#N/A</v>
      </c>
      <c r="M125" s="84" t="e">
        <f t="shared" si="18"/>
        <v>#N/A</v>
      </c>
      <c r="N125" s="81" t="str">
        <f t="shared" si="19"/>
        <v/>
      </c>
      <c r="O125" t="str">
        <f t="shared" si="20"/>
        <v xml:space="preserve"> in </v>
      </c>
      <c r="P125">
        <f t="shared" si="21"/>
        <v>166</v>
      </c>
    </row>
    <row r="126" spans="1:16" x14ac:dyDescent="0.2">
      <c r="B126" s="82"/>
      <c r="C126" s="88"/>
      <c r="D126" s="89"/>
      <c r="E126" s="83"/>
      <c r="F126" s="83"/>
      <c r="G126" s="83"/>
      <c r="H126" s="83"/>
      <c r="J126" t="e">
        <f t="shared" si="15"/>
        <v>#N/A</v>
      </c>
      <c r="K126" s="87" t="e">
        <f t="shared" si="16"/>
        <v>#N/A</v>
      </c>
      <c r="L126" s="91" t="e">
        <f t="shared" si="17"/>
        <v>#N/A</v>
      </c>
      <c r="M126" s="84" t="e">
        <f t="shared" si="18"/>
        <v>#N/A</v>
      </c>
      <c r="N126" s="81" t="str">
        <f t="shared" si="19"/>
        <v/>
      </c>
      <c r="O126" t="str">
        <f t="shared" si="20"/>
        <v xml:space="preserve"> in </v>
      </c>
      <c r="P126">
        <f t="shared" si="21"/>
        <v>166</v>
      </c>
    </row>
    <row r="127" spans="1:16" x14ac:dyDescent="0.2">
      <c r="B127" s="82"/>
      <c r="C127" s="88"/>
      <c r="D127" s="89"/>
      <c r="E127" s="83"/>
      <c r="F127" s="83"/>
      <c r="G127" s="83"/>
      <c r="H127" s="83"/>
      <c r="J127" t="e">
        <f t="shared" si="15"/>
        <v>#N/A</v>
      </c>
      <c r="K127" s="87" t="e">
        <f t="shared" si="16"/>
        <v>#N/A</v>
      </c>
      <c r="L127" s="91" t="e">
        <f t="shared" si="17"/>
        <v>#N/A</v>
      </c>
      <c r="M127" s="84" t="e">
        <f t="shared" si="18"/>
        <v>#N/A</v>
      </c>
      <c r="N127" s="81" t="str">
        <f t="shared" si="19"/>
        <v/>
      </c>
      <c r="O127" t="str">
        <f t="shared" si="20"/>
        <v xml:space="preserve"> in </v>
      </c>
      <c r="P127">
        <f t="shared" si="21"/>
        <v>166</v>
      </c>
    </row>
    <row r="128" spans="1:16" x14ac:dyDescent="0.2">
      <c r="B128" s="82"/>
      <c r="C128" s="88"/>
      <c r="D128" s="89"/>
      <c r="E128" s="83"/>
      <c r="F128" s="83"/>
      <c r="G128" s="83"/>
      <c r="H128" s="83"/>
      <c r="J128" t="e">
        <f t="shared" si="15"/>
        <v>#N/A</v>
      </c>
      <c r="K128" s="87" t="e">
        <f t="shared" si="16"/>
        <v>#N/A</v>
      </c>
      <c r="L128" s="91" t="e">
        <f t="shared" si="17"/>
        <v>#N/A</v>
      </c>
      <c r="M128" s="84" t="e">
        <f t="shared" si="18"/>
        <v>#N/A</v>
      </c>
      <c r="N128" s="81" t="str">
        <f t="shared" si="19"/>
        <v/>
      </c>
      <c r="O128" t="str">
        <f t="shared" si="20"/>
        <v xml:space="preserve"> in </v>
      </c>
      <c r="P128">
        <f t="shared" si="21"/>
        <v>166</v>
      </c>
    </row>
    <row r="129" spans="2:16" x14ac:dyDescent="0.2">
      <c r="B129" s="82"/>
      <c r="C129" s="88"/>
      <c r="D129" s="89"/>
      <c r="E129" s="83"/>
      <c r="F129" s="83"/>
      <c r="G129" s="83"/>
      <c r="H129" s="83"/>
      <c r="J129" t="e">
        <f t="shared" si="15"/>
        <v>#N/A</v>
      </c>
      <c r="K129" s="87" t="e">
        <f t="shared" si="16"/>
        <v>#N/A</v>
      </c>
      <c r="L129" s="91" t="e">
        <f t="shared" si="17"/>
        <v>#N/A</v>
      </c>
      <c r="M129" s="84" t="e">
        <f t="shared" si="18"/>
        <v>#N/A</v>
      </c>
      <c r="N129" s="81" t="str">
        <f t="shared" si="19"/>
        <v/>
      </c>
      <c r="O129" t="str">
        <f t="shared" si="20"/>
        <v xml:space="preserve"> in </v>
      </c>
      <c r="P129">
        <f t="shared" si="21"/>
        <v>166</v>
      </c>
    </row>
    <row r="130" spans="2:16" x14ac:dyDescent="0.2">
      <c r="B130" s="82"/>
      <c r="C130" s="88"/>
      <c r="D130" s="89"/>
      <c r="E130" s="83"/>
      <c r="F130" s="83"/>
      <c r="G130" s="83"/>
      <c r="H130" s="83"/>
      <c r="J130" t="e">
        <f t="shared" si="15"/>
        <v>#N/A</v>
      </c>
      <c r="K130" s="87" t="e">
        <f t="shared" si="16"/>
        <v>#N/A</v>
      </c>
      <c r="L130" s="91" t="e">
        <f t="shared" si="17"/>
        <v>#N/A</v>
      </c>
      <c r="M130" s="84" t="e">
        <f t="shared" si="18"/>
        <v>#N/A</v>
      </c>
      <c r="N130" s="81" t="str">
        <f t="shared" si="19"/>
        <v/>
      </c>
      <c r="O130" t="str">
        <f t="shared" si="20"/>
        <v xml:space="preserve"> in </v>
      </c>
      <c r="P130">
        <f t="shared" si="21"/>
        <v>166</v>
      </c>
    </row>
    <row r="131" spans="2:16" x14ac:dyDescent="0.2">
      <c r="B131" s="82"/>
      <c r="C131" s="88"/>
      <c r="D131" s="89"/>
      <c r="E131" s="83"/>
      <c r="F131" s="83"/>
      <c r="G131" s="83"/>
      <c r="H131" s="83"/>
      <c r="J131" t="e">
        <f t="shared" si="15"/>
        <v>#N/A</v>
      </c>
      <c r="K131" s="87" t="e">
        <f t="shared" si="16"/>
        <v>#N/A</v>
      </c>
      <c r="L131" s="91" t="e">
        <f t="shared" si="17"/>
        <v>#N/A</v>
      </c>
      <c r="M131" s="84" t="e">
        <f t="shared" si="18"/>
        <v>#N/A</v>
      </c>
      <c r="N131" s="81" t="str">
        <f t="shared" si="19"/>
        <v/>
      </c>
      <c r="O131" t="str">
        <f t="shared" si="20"/>
        <v xml:space="preserve"> in </v>
      </c>
      <c r="P131">
        <f t="shared" ref="P131:P162" si="22">IF(N131&gt;0,COUNTIF($N$5:$N$282,N131),0)</f>
        <v>166</v>
      </c>
    </row>
    <row r="132" spans="2:16" x14ac:dyDescent="0.2">
      <c r="B132" s="82"/>
      <c r="C132" s="88"/>
      <c r="D132" s="89"/>
      <c r="E132" s="83"/>
      <c r="F132" s="83"/>
      <c r="G132" s="83"/>
      <c r="H132" s="83"/>
      <c r="J132" t="e">
        <f t="shared" si="15"/>
        <v>#N/A</v>
      </c>
      <c r="K132" s="87" t="e">
        <f t="shared" si="16"/>
        <v>#N/A</v>
      </c>
      <c r="L132" s="91" t="e">
        <f t="shared" si="17"/>
        <v>#N/A</v>
      </c>
      <c r="M132" s="84" t="e">
        <f t="shared" si="18"/>
        <v>#N/A</v>
      </c>
      <c r="N132" s="81" t="str">
        <f t="shared" si="19"/>
        <v/>
      </c>
      <c r="O132" t="str">
        <f t="shared" si="20"/>
        <v xml:space="preserve"> in </v>
      </c>
      <c r="P132">
        <f t="shared" si="22"/>
        <v>166</v>
      </c>
    </row>
    <row r="133" spans="2:16" x14ac:dyDescent="0.2">
      <c r="B133" s="82"/>
      <c r="C133" s="88"/>
      <c r="D133" s="89"/>
      <c r="E133" s="83"/>
      <c r="F133" s="83"/>
      <c r="G133" s="83"/>
      <c r="H133" s="83"/>
      <c r="J133" t="e">
        <f t="shared" si="15"/>
        <v>#N/A</v>
      </c>
      <c r="K133" s="87" t="e">
        <f t="shared" si="16"/>
        <v>#N/A</v>
      </c>
      <c r="L133" s="91" t="e">
        <f t="shared" si="17"/>
        <v>#N/A</v>
      </c>
      <c r="M133" s="84" t="e">
        <f t="shared" si="18"/>
        <v>#N/A</v>
      </c>
      <c r="N133" s="81" t="str">
        <f t="shared" si="19"/>
        <v/>
      </c>
      <c r="O133" t="str">
        <f t="shared" si="20"/>
        <v xml:space="preserve"> in </v>
      </c>
      <c r="P133">
        <f t="shared" si="22"/>
        <v>166</v>
      </c>
    </row>
    <row r="134" spans="2:16" x14ac:dyDescent="0.2">
      <c r="B134" s="82"/>
      <c r="C134" s="88"/>
      <c r="D134" s="89"/>
      <c r="E134" s="83"/>
      <c r="F134" s="83"/>
      <c r="G134" s="83"/>
      <c r="H134" s="83"/>
      <c r="J134" t="e">
        <f t="shared" si="15"/>
        <v>#N/A</v>
      </c>
      <c r="K134" s="87" t="e">
        <f t="shared" si="16"/>
        <v>#N/A</v>
      </c>
      <c r="L134" s="91" t="e">
        <f t="shared" si="17"/>
        <v>#N/A</v>
      </c>
      <c r="M134" s="84" t="e">
        <f t="shared" si="18"/>
        <v>#N/A</v>
      </c>
      <c r="N134" s="81" t="str">
        <f t="shared" si="19"/>
        <v/>
      </c>
      <c r="O134" t="str">
        <f t="shared" si="20"/>
        <v xml:space="preserve"> in </v>
      </c>
      <c r="P134">
        <f t="shared" si="22"/>
        <v>166</v>
      </c>
    </row>
    <row r="135" spans="2:16" x14ac:dyDescent="0.2">
      <c r="B135" s="82"/>
      <c r="C135" s="88"/>
      <c r="D135" s="89"/>
      <c r="E135" s="83"/>
      <c r="F135" s="83"/>
      <c r="G135" s="83"/>
      <c r="H135" s="83"/>
      <c r="J135" t="e">
        <f t="shared" ref="J135:J159" si="23">VLOOKUP(F135,category_list,1,0)</f>
        <v>#N/A</v>
      </c>
      <c r="K135" s="87" t="e">
        <f t="shared" ref="K135:K159" si="24">VLOOKUP(TEXT(C135,"HH:MM:SS AM/PM"),time_slots_text,1,0)</f>
        <v>#N/A</v>
      </c>
      <c r="L135" s="91" t="e">
        <f t="shared" ref="L135:L159" si="25">VLOOKUP(C135,Time_Slots_used,1,1)</f>
        <v>#N/A</v>
      </c>
      <c r="M135" s="84" t="e">
        <f t="shared" ref="M135:M159" si="26">B135+L135</f>
        <v>#N/A</v>
      </c>
      <c r="N135" s="81" t="str">
        <f t="shared" ref="N135:N159" si="27">IFERROR(TEXT(M135,"MM/DD/YYYY HH:MM")&amp;"-&gt;"&amp;F135,"")</f>
        <v/>
      </c>
      <c r="O135" t="str">
        <f t="shared" ref="O135:O159" si="28">IFERROR(G135&amp;" in "&amp; H135,"")</f>
        <v xml:space="preserve"> in </v>
      </c>
      <c r="P135">
        <f t="shared" si="22"/>
        <v>166</v>
      </c>
    </row>
    <row r="136" spans="2:16" x14ac:dyDescent="0.2">
      <c r="B136" s="82"/>
      <c r="C136" s="88"/>
      <c r="D136" s="89"/>
      <c r="E136" s="83"/>
      <c r="F136" s="83"/>
      <c r="G136" s="83"/>
      <c r="H136" s="83"/>
      <c r="J136" t="e">
        <f t="shared" si="23"/>
        <v>#N/A</v>
      </c>
      <c r="K136" s="87" t="e">
        <f t="shared" si="24"/>
        <v>#N/A</v>
      </c>
      <c r="L136" s="91" t="e">
        <f t="shared" si="25"/>
        <v>#N/A</v>
      </c>
      <c r="M136" s="84" t="e">
        <f t="shared" si="26"/>
        <v>#N/A</v>
      </c>
      <c r="N136" s="81" t="str">
        <f t="shared" si="27"/>
        <v/>
      </c>
      <c r="O136" t="str">
        <f t="shared" si="28"/>
        <v xml:space="preserve"> in </v>
      </c>
      <c r="P136">
        <f t="shared" si="22"/>
        <v>166</v>
      </c>
    </row>
    <row r="137" spans="2:16" x14ac:dyDescent="0.2">
      <c r="B137" s="82"/>
      <c r="C137" s="88"/>
      <c r="D137" s="89"/>
      <c r="E137" s="83"/>
      <c r="F137" s="83"/>
      <c r="G137" s="83"/>
      <c r="H137" s="83"/>
      <c r="J137" t="e">
        <f t="shared" si="23"/>
        <v>#N/A</v>
      </c>
      <c r="K137" s="87" t="e">
        <f t="shared" si="24"/>
        <v>#N/A</v>
      </c>
      <c r="L137" s="91" t="e">
        <f t="shared" si="25"/>
        <v>#N/A</v>
      </c>
      <c r="M137" s="84" t="e">
        <f t="shared" si="26"/>
        <v>#N/A</v>
      </c>
      <c r="N137" s="81" t="str">
        <f t="shared" si="27"/>
        <v/>
      </c>
      <c r="O137" t="str">
        <f t="shared" si="28"/>
        <v xml:space="preserve"> in </v>
      </c>
      <c r="P137">
        <f t="shared" si="22"/>
        <v>166</v>
      </c>
    </row>
    <row r="138" spans="2:16" x14ac:dyDescent="0.2">
      <c r="B138" s="82"/>
      <c r="C138" s="88"/>
      <c r="D138" s="89"/>
      <c r="E138" s="83"/>
      <c r="F138" s="83"/>
      <c r="G138" s="83"/>
      <c r="H138" s="83"/>
      <c r="J138" t="e">
        <f t="shared" si="23"/>
        <v>#N/A</v>
      </c>
      <c r="K138" s="87" t="e">
        <f t="shared" si="24"/>
        <v>#N/A</v>
      </c>
      <c r="L138" s="91" t="e">
        <f t="shared" si="25"/>
        <v>#N/A</v>
      </c>
      <c r="M138" s="84" t="e">
        <f t="shared" si="26"/>
        <v>#N/A</v>
      </c>
      <c r="N138" s="81" t="str">
        <f t="shared" si="27"/>
        <v/>
      </c>
      <c r="O138" t="str">
        <f t="shared" si="28"/>
        <v xml:space="preserve"> in </v>
      </c>
      <c r="P138">
        <f t="shared" si="22"/>
        <v>166</v>
      </c>
    </row>
    <row r="139" spans="2:16" x14ac:dyDescent="0.2">
      <c r="B139" s="82"/>
      <c r="C139" s="88"/>
      <c r="D139" s="89"/>
      <c r="E139" s="83"/>
      <c r="F139" s="83"/>
      <c r="G139" s="83"/>
      <c r="H139" s="83"/>
      <c r="J139" t="e">
        <f t="shared" si="23"/>
        <v>#N/A</v>
      </c>
      <c r="K139" s="87" t="e">
        <f t="shared" si="24"/>
        <v>#N/A</v>
      </c>
      <c r="L139" s="91" t="e">
        <f t="shared" si="25"/>
        <v>#N/A</v>
      </c>
      <c r="M139" s="84" t="e">
        <f t="shared" si="26"/>
        <v>#N/A</v>
      </c>
      <c r="N139" s="81" t="str">
        <f t="shared" si="27"/>
        <v/>
      </c>
      <c r="O139" t="str">
        <f t="shared" si="28"/>
        <v xml:space="preserve"> in </v>
      </c>
      <c r="P139">
        <f t="shared" si="22"/>
        <v>166</v>
      </c>
    </row>
    <row r="140" spans="2:16" x14ac:dyDescent="0.2">
      <c r="B140" s="82"/>
      <c r="C140" s="88"/>
      <c r="D140" s="89"/>
      <c r="E140" s="83"/>
      <c r="F140" s="83"/>
      <c r="G140" s="83"/>
      <c r="H140" s="83"/>
      <c r="J140" t="e">
        <f t="shared" si="23"/>
        <v>#N/A</v>
      </c>
      <c r="K140" s="87" t="e">
        <f t="shared" si="24"/>
        <v>#N/A</v>
      </c>
      <c r="L140" s="91" t="e">
        <f t="shared" si="25"/>
        <v>#N/A</v>
      </c>
      <c r="M140" s="84" t="e">
        <f t="shared" si="26"/>
        <v>#N/A</v>
      </c>
      <c r="N140" s="81" t="str">
        <f t="shared" si="27"/>
        <v/>
      </c>
      <c r="O140" t="str">
        <f t="shared" si="28"/>
        <v xml:space="preserve"> in </v>
      </c>
      <c r="P140">
        <f t="shared" si="22"/>
        <v>166</v>
      </c>
    </row>
    <row r="141" spans="2:16" x14ac:dyDescent="0.2">
      <c r="B141" s="82"/>
      <c r="C141" s="88"/>
      <c r="D141" s="89"/>
      <c r="E141" s="83"/>
      <c r="F141" s="83"/>
      <c r="G141" s="83"/>
      <c r="H141" s="83"/>
      <c r="J141" t="e">
        <f t="shared" si="23"/>
        <v>#N/A</v>
      </c>
      <c r="K141" s="87" t="e">
        <f t="shared" si="24"/>
        <v>#N/A</v>
      </c>
      <c r="L141" s="91" t="e">
        <f t="shared" si="25"/>
        <v>#N/A</v>
      </c>
      <c r="M141" s="84" t="e">
        <f t="shared" si="26"/>
        <v>#N/A</v>
      </c>
      <c r="N141" s="81" t="str">
        <f t="shared" si="27"/>
        <v/>
      </c>
      <c r="O141" t="str">
        <f t="shared" si="28"/>
        <v xml:space="preserve"> in </v>
      </c>
      <c r="P141">
        <f t="shared" si="22"/>
        <v>166</v>
      </c>
    </row>
    <row r="142" spans="2:16" x14ac:dyDescent="0.2">
      <c r="B142" s="82"/>
      <c r="C142" s="88"/>
      <c r="D142" s="89"/>
      <c r="E142" s="83"/>
      <c r="F142" s="83"/>
      <c r="G142" s="83"/>
      <c r="H142" s="83"/>
      <c r="J142" t="e">
        <f t="shared" si="23"/>
        <v>#N/A</v>
      </c>
      <c r="K142" s="87" t="e">
        <f t="shared" si="24"/>
        <v>#N/A</v>
      </c>
      <c r="L142" s="91" t="e">
        <f t="shared" si="25"/>
        <v>#N/A</v>
      </c>
      <c r="M142" s="84" t="e">
        <f t="shared" si="26"/>
        <v>#N/A</v>
      </c>
      <c r="N142" s="81" t="str">
        <f t="shared" si="27"/>
        <v/>
      </c>
      <c r="O142" t="str">
        <f t="shared" si="28"/>
        <v xml:space="preserve"> in </v>
      </c>
      <c r="P142">
        <f t="shared" si="22"/>
        <v>166</v>
      </c>
    </row>
    <row r="143" spans="2:16" x14ac:dyDescent="0.2">
      <c r="B143" s="82"/>
      <c r="C143" s="88"/>
      <c r="D143" s="89"/>
      <c r="E143" s="83"/>
      <c r="F143" s="83"/>
      <c r="G143" s="83"/>
      <c r="H143" s="83"/>
      <c r="J143" t="e">
        <f t="shared" si="23"/>
        <v>#N/A</v>
      </c>
      <c r="K143" s="87" t="e">
        <f t="shared" si="24"/>
        <v>#N/A</v>
      </c>
      <c r="L143" s="91" t="e">
        <f t="shared" si="25"/>
        <v>#N/A</v>
      </c>
      <c r="M143" s="84" t="e">
        <f t="shared" si="26"/>
        <v>#N/A</v>
      </c>
      <c r="N143" s="81" t="str">
        <f t="shared" si="27"/>
        <v/>
      </c>
      <c r="O143" t="str">
        <f t="shared" si="28"/>
        <v xml:space="preserve"> in </v>
      </c>
      <c r="P143">
        <f t="shared" si="22"/>
        <v>166</v>
      </c>
    </row>
    <row r="144" spans="2:16" x14ac:dyDescent="0.2">
      <c r="B144" s="82"/>
      <c r="C144" s="88"/>
      <c r="D144" s="89"/>
      <c r="E144" s="83"/>
      <c r="F144" s="83"/>
      <c r="G144" s="83"/>
      <c r="H144" s="83"/>
      <c r="J144" t="e">
        <f t="shared" si="23"/>
        <v>#N/A</v>
      </c>
      <c r="K144" s="87" t="e">
        <f t="shared" si="24"/>
        <v>#N/A</v>
      </c>
      <c r="L144" s="91" t="e">
        <f t="shared" si="25"/>
        <v>#N/A</v>
      </c>
      <c r="M144" s="84" t="e">
        <f t="shared" si="26"/>
        <v>#N/A</v>
      </c>
      <c r="N144" s="81" t="str">
        <f t="shared" si="27"/>
        <v/>
      </c>
      <c r="O144" t="str">
        <f t="shared" si="28"/>
        <v xml:space="preserve"> in </v>
      </c>
      <c r="P144">
        <f t="shared" si="22"/>
        <v>166</v>
      </c>
    </row>
    <row r="145" spans="2:16" x14ac:dyDescent="0.2">
      <c r="B145" s="82"/>
      <c r="C145" s="88"/>
      <c r="D145" s="89"/>
      <c r="E145" s="83"/>
      <c r="F145" s="83"/>
      <c r="G145" s="83"/>
      <c r="H145" s="83"/>
      <c r="J145" t="e">
        <f t="shared" si="23"/>
        <v>#N/A</v>
      </c>
      <c r="K145" s="87" t="e">
        <f t="shared" si="24"/>
        <v>#N/A</v>
      </c>
      <c r="L145" s="91" t="e">
        <f t="shared" si="25"/>
        <v>#N/A</v>
      </c>
      <c r="M145" s="84" t="e">
        <f t="shared" si="26"/>
        <v>#N/A</v>
      </c>
      <c r="N145" s="81" t="str">
        <f t="shared" si="27"/>
        <v/>
      </c>
      <c r="O145" t="str">
        <f t="shared" si="28"/>
        <v xml:space="preserve"> in </v>
      </c>
      <c r="P145">
        <f t="shared" si="22"/>
        <v>166</v>
      </c>
    </row>
    <row r="146" spans="2:16" x14ac:dyDescent="0.2">
      <c r="B146" s="82"/>
      <c r="C146" s="88"/>
      <c r="D146" s="89"/>
      <c r="E146" s="83"/>
      <c r="F146" s="83"/>
      <c r="G146" s="83"/>
      <c r="H146" s="83"/>
      <c r="J146" t="e">
        <f t="shared" si="23"/>
        <v>#N/A</v>
      </c>
      <c r="K146" s="87" t="e">
        <f t="shared" si="24"/>
        <v>#N/A</v>
      </c>
      <c r="L146" s="91" t="e">
        <f t="shared" si="25"/>
        <v>#N/A</v>
      </c>
      <c r="M146" s="84" t="e">
        <f t="shared" si="26"/>
        <v>#N/A</v>
      </c>
      <c r="N146" s="81" t="str">
        <f t="shared" si="27"/>
        <v/>
      </c>
      <c r="O146" t="str">
        <f t="shared" si="28"/>
        <v xml:space="preserve"> in </v>
      </c>
      <c r="P146">
        <f t="shared" si="22"/>
        <v>166</v>
      </c>
    </row>
    <row r="147" spans="2:16" x14ac:dyDescent="0.2">
      <c r="B147" s="82"/>
      <c r="C147" s="88"/>
      <c r="D147" s="89"/>
      <c r="E147" s="83"/>
      <c r="F147" s="83"/>
      <c r="G147" s="83"/>
      <c r="H147" s="83"/>
      <c r="J147" t="e">
        <f t="shared" si="23"/>
        <v>#N/A</v>
      </c>
      <c r="K147" s="87" t="e">
        <f t="shared" si="24"/>
        <v>#N/A</v>
      </c>
      <c r="L147" s="91" t="e">
        <f t="shared" si="25"/>
        <v>#N/A</v>
      </c>
      <c r="M147" s="84" t="e">
        <f t="shared" si="26"/>
        <v>#N/A</v>
      </c>
      <c r="N147" s="81" t="str">
        <f t="shared" si="27"/>
        <v/>
      </c>
      <c r="O147" t="str">
        <f t="shared" si="28"/>
        <v xml:space="preserve"> in </v>
      </c>
      <c r="P147">
        <f t="shared" si="22"/>
        <v>166</v>
      </c>
    </row>
    <row r="148" spans="2:16" x14ac:dyDescent="0.2">
      <c r="B148" s="82"/>
      <c r="C148" s="88"/>
      <c r="D148" s="89"/>
      <c r="E148" s="83"/>
      <c r="F148" s="83"/>
      <c r="G148" s="83"/>
      <c r="H148" s="83"/>
      <c r="J148" t="e">
        <f t="shared" si="23"/>
        <v>#N/A</v>
      </c>
      <c r="K148" s="87" t="e">
        <f t="shared" si="24"/>
        <v>#N/A</v>
      </c>
      <c r="L148" s="91" t="e">
        <f t="shared" si="25"/>
        <v>#N/A</v>
      </c>
      <c r="M148" s="84" t="e">
        <f t="shared" si="26"/>
        <v>#N/A</v>
      </c>
      <c r="N148" s="81" t="str">
        <f t="shared" si="27"/>
        <v/>
      </c>
      <c r="O148" t="str">
        <f t="shared" si="28"/>
        <v xml:space="preserve"> in </v>
      </c>
      <c r="P148">
        <f t="shared" si="22"/>
        <v>166</v>
      </c>
    </row>
    <row r="149" spans="2:16" x14ac:dyDescent="0.2">
      <c r="B149" s="82"/>
      <c r="C149" s="88"/>
      <c r="D149" s="89"/>
      <c r="E149" s="83"/>
      <c r="F149" s="83"/>
      <c r="G149" s="83"/>
      <c r="H149" s="83"/>
      <c r="J149" t="e">
        <f t="shared" si="23"/>
        <v>#N/A</v>
      </c>
      <c r="K149" s="87" t="e">
        <f t="shared" si="24"/>
        <v>#N/A</v>
      </c>
      <c r="L149" s="91" t="e">
        <f t="shared" si="25"/>
        <v>#N/A</v>
      </c>
      <c r="M149" s="84" t="e">
        <f t="shared" si="26"/>
        <v>#N/A</v>
      </c>
      <c r="N149" s="81" t="str">
        <f t="shared" si="27"/>
        <v/>
      </c>
      <c r="O149" t="str">
        <f t="shared" si="28"/>
        <v xml:space="preserve"> in </v>
      </c>
      <c r="P149">
        <f t="shared" si="22"/>
        <v>166</v>
      </c>
    </row>
    <row r="150" spans="2:16" x14ac:dyDescent="0.2">
      <c r="B150" s="82"/>
      <c r="C150" s="88"/>
      <c r="D150" s="89"/>
      <c r="E150" s="83"/>
      <c r="F150" s="83"/>
      <c r="G150" s="83"/>
      <c r="H150" s="83"/>
      <c r="J150" t="e">
        <f t="shared" si="23"/>
        <v>#N/A</v>
      </c>
      <c r="K150" s="87" t="e">
        <f t="shared" si="24"/>
        <v>#N/A</v>
      </c>
      <c r="L150" s="91" t="e">
        <f t="shared" si="25"/>
        <v>#N/A</v>
      </c>
      <c r="M150" s="84" t="e">
        <f t="shared" si="26"/>
        <v>#N/A</v>
      </c>
      <c r="N150" s="81" t="str">
        <f t="shared" si="27"/>
        <v/>
      </c>
      <c r="O150" t="str">
        <f t="shared" si="28"/>
        <v xml:space="preserve"> in </v>
      </c>
      <c r="P150">
        <f t="shared" si="22"/>
        <v>166</v>
      </c>
    </row>
    <row r="151" spans="2:16" x14ac:dyDescent="0.2">
      <c r="B151" s="82"/>
      <c r="C151" s="88"/>
      <c r="D151" s="89"/>
      <c r="E151" s="83"/>
      <c r="F151" s="83"/>
      <c r="G151" s="83"/>
      <c r="H151" s="83"/>
      <c r="J151" t="e">
        <f t="shared" si="23"/>
        <v>#N/A</v>
      </c>
      <c r="K151" s="87" t="e">
        <f t="shared" si="24"/>
        <v>#N/A</v>
      </c>
      <c r="L151" s="91" t="e">
        <f t="shared" si="25"/>
        <v>#N/A</v>
      </c>
      <c r="M151" s="84" t="e">
        <f t="shared" si="26"/>
        <v>#N/A</v>
      </c>
      <c r="N151" s="81" t="str">
        <f t="shared" si="27"/>
        <v/>
      </c>
      <c r="O151" t="str">
        <f t="shared" si="28"/>
        <v xml:space="preserve"> in </v>
      </c>
      <c r="P151">
        <f t="shared" si="22"/>
        <v>166</v>
      </c>
    </row>
    <row r="152" spans="2:16" x14ac:dyDescent="0.2">
      <c r="B152" s="82"/>
      <c r="C152" s="88"/>
      <c r="D152" s="89"/>
      <c r="E152" s="83"/>
      <c r="F152" s="83"/>
      <c r="G152" s="83"/>
      <c r="H152" s="83"/>
      <c r="J152" t="e">
        <f t="shared" si="23"/>
        <v>#N/A</v>
      </c>
      <c r="K152" s="87" t="e">
        <f t="shared" si="24"/>
        <v>#N/A</v>
      </c>
      <c r="L152" s="91" t="e">
        <f t="shared" si="25"/>
        <v>#N/A</v>
      </c>
      <c r="M152" s="84" t="e">
        <f t="shared" si="26"/>
        <v>#N/A</v>
      </c>
      <c r="N152" s="81" t="str">
        <f t="shared" si="27"/>
        <v/>
      </c>
      <c r="O152" t="str">
        <f t="shared" si="28"/>
        <v xml:space="preserve"> in </v>
      </c>
      <c r="P152">
        <f t="shared" si="22"/>
        <v>166</v>
      </c>
    </row>
    <row r="153" spans="2:16" x14ac:dyDescent="0.2">
      <c r="B153" s="82"/>
      <c r="C153" s="88"/>
      <c r="D153" s="89"/>
      <c r="E153" s="83"/>
      <c r="F153" s="83"/>
      <c r="G153" s="83"/>
      <c r="H153" s="83"/>
      <c r="J153" t="e">
        <f t="shared" si="23"/>
        <v>#N/A</v>
      </c>
      <c r="K153" s="87" t="e">
        <f t="shared" si="24"/>
        <v>#N/A</v>
      </c>
      <c r="L153" s="91" t="e">
        <f t="shared" si="25"/>
        <v>#N/A</v>
      </c>
      <c r="M153" s="84" t="e">
        <f t="shared" si="26"/>
        <v>#N/A</v>
      </c>
      <c r="N153" s="81" t="str">
        <f t="shared" si="27"/>
        <v/>
      </c>
      <c r="O153" t="str">
        <f t="shared" si="28"/>
        <v xml:space="preserve"> in </v>
      </c>
      <c r="P153">
        <f t="shared" si="22"/>
        <v>166</v>
      </c>
    </row>
    <row r="154" spans="2:16" x14ac:dyDescent="0.2">
      <c r="B154" s="82"/>
      <c r="C154" s="88"/>
      <c r="D154" s="89"/>
      <c r="E154" s="83"/>
      <c r="F154" s="83"/>
      <c r="G154" s="83"/>
      <c r="H154" s="83"/>
      <c r="J154" t="e">
        <f t="shared" si="23"/>
        <v>#N/A</v>
      </c>
      <c r="K154" s="87" t="e">
        <f t="shared" si="24"/>
        <v>#N/A</v>
      </c>
      <c r="L154" s="91" t="e">
        <f t="shared" si="25"/>
        <v>#N/A</v>
      </c>
      <c r="M154" s="84" t="e">
        <f t="shared" si="26"/>
        <v>#N/A</v>
      </c>
      <c r="N154" s="81" t="str">
        <f t="shared" si="27"/>
        <v/>
      </c>
      <c r="O154" t="str">
        <f t="shared" si="28"/>
        <v xml:space="preserve"> in </v>
      </c>
      <c r="P154">
        <f t="shared" si="22"/>
        <v>166</v>
      </c>
    </row>
    <row r="155" spans="2:16" x14ac:dyDescent="0.2">
      <c r="B155" s="82"/>
      <c r="C155" s="88"/>
      <c r="D155" s="89"/>
      <c r="E155" s="83"/>
      <c r="F155" s="83"/>
      <c r="G155" s="83"/>
      <c r="H155" s="83"/>
      <c r="J155" t="e">
        <f t="shared" si="23"/>
        <v>#N/A</v>
      </c>
      <c r="K155" s="87" t="e">
        <f t="shared" si="24"/>
        <v>#N/A</v>
      </c>
      <c r="L155" s="91" t="e">
        <f t="shared" si="25"/>
        <v>#N/A</v>
      </c>
      <c r="M155" s="84" t="e">
        <f t="shared" si="26"/>
        <v>#N/A</v>
      </c>
      <c r="N155" s="81" t="str">
        <f t="shared" si="27"/>
        <v/>
      </c>
      <c r="O155" t="str">
        <f t="shared" si="28"/>
        <v xml:space="preserve"> in </v>
      </c>
      <c r="P155">
        <f t="shared" si="22"/>
        <v>166</v>
      </c>
    </row>
    <row r="156" spans="2:16" x14ac:dyDescent="0.2">
      <c r="B156" s="82"/>
      <c r="C156" s="88"/>
      <c r="D156" s="89"/>
      <c r="E156" s="83"/>
      <c r="F156" s="83"/>
      <c r="G156" s="83"/>
      <c r="H156" s="83"/>
      <c r="J156" t="e">
        <f t="shared" si="23"/>
        <v>#N/A</v>
      </c>
      <c r="K156" s="87" t="e">
        <f t="shared" si="24"/>
        <v>#N/A</v>
      </c>
      <c r="L156" s="91" t="e">
        <f t="shared" si="25"/>
        <v>#N/A</v>
      </c>
      <c r="M156" s="84" t="e">
        <f t="shared" si="26"/>
        <v>#N/A</v>
      </c>
      <c r="N156" s="81" t="str">
        <f t="shared" si="27"/>
        <v/>
      </c>
      <c r="O156" t="str">
        <f t="shared" si="28"/>
        <v xml:space="preserve"> in </v>
      </c>
      <c r="P156">
        <f t="shared" si="22"/>
        <v>166</v>
      </c>
    </row>
    <row r="157" spans="2:16" x14ac:dyDescent="0.2">
      <c r="B157" s="82"/>
      <c r="C157" s="88"/>
      <c r="D157" s="89"/>
      <c r="E157" s="83"/>
      <c r="F157" s="83"/>
      <c r="G157" s="83"/>
      <c r="H157" s="83"/>
      <c r="J157" t="e">
        <f t="shared" si="23"/>
        <v>#N/A</v>
      </c>
      <c r="K157" s="87" t="e">
        <f t="shared" si="24"/>
        <v>#N/A</v>
      </c>
      <c r="L157" s="91" t="e">
        <f t="shared" si="25"/>
        <v>#N/A</v>
      </c>
      <c r="M157" s="84" t="e">
        <f t="shared" si="26"/>
        <v>#N/A</v>
      </c>
      <c r="N157" s="81" t="str">
        <f t="shared" si="27"/>
        <v/>
      </c>
      <c r="O157" t="str">
        <f t="shared" si="28"/>
        <v xml:space="preserve"> in </v>
      </c>
      <c r="P157">
        <f t="shared" si="22"/>
        <v>166</v>
      </c>
    </row>
    <row r="158" spans="2:16" x14ac:dyDescent="0.2">
      <c r="B158" s="82"/>
      <c r="C158" s="88"/>
      <c r="D158" s="89"/>
      <c r="E158" s="83"/>
      <c r="F158" s="83"/>
      <c r="G158" s="83"/>
      <c r="H158" s="83"/>
      <c r="J158" t="e">
        <f t="shared" si="23"/>
        <v>#N/A</v>
      </c>
      <c r="K158" s="87" t="e">
        <f t="shared" si="24"/>
        <v>#N/A</v>
      </c>
      <c r="L158" s="91" t="e">
        <f t="shared" si="25"/>
        <v>#N/A</v>
      </c>
      <c r="M158" s="84" t="e">
        <f t="shared" si="26"/>
        <v>#N/A</v>
      </c>
      <c r="N158" s="81" t="str">
        <f t="shared" si="27"/>
        <v/>
      </c>
      <c r="O158" t="str">
        <f t="shared" si="28"/>
        <v xml:space="preserve"> in </v>
      </c>
      <c r="P158">
        <f t="shared" si="22"/>
        <v>166</v>
      </c>
    </row>
    <row r="159" spans="2:16" x14ac:dyDescent="0.2">
      <c r="B159" s="82"/>
      <c r="C159" s="88"/>
      <c r="D159" s="83"/>
      <c r="E159" s="83"/>
      <c r="F159" s="83"/>
      <c r="G159" s="83"/>
      <c r="H159" s="83"/>
      <c r="J159" t="e">
        <f t="shared" si="23"/>
        <v>#N/A</v>
      </c>
      <c r="K159" s="87" t="e">
        <f t="shared" si="24"/>
        <v>#N/A</v>
      </c>
      <c r="L159" s="91" t="e">
        <f t="shared" si="25"/>
        <v>#N/A</v>
      </c>
      <c r="M159" s="84" t="e">
        <f t="shared" si="26"/>
        <v>#N/A</v>
      </c>
      <c r="N159" s="81" t="str">
        <f t="shared" si="27"/>
        <v/>
      </c>
      <c r="O159" t="str">
        <f t="shared" si="28"/>
        <v xml:space="preserve"> in </v>
      </c>
      <c r="P159">
        <f t="shared" si="22"/>
        <v>166</v>
      </c>
    </row>
    <row r="160" spans="2:16" x14ac:dyDescent="0.2">
      <c r="B160" s="82"/>
      <c r="C160" s="88"/>
      <c r="D160" s="89"/>
      <c r="E160" s="83"/>
      <c r="F160" s="83"/>
      <c r="G160" s="83"/>
      <c r="H160" s="83"/>
      <c r="I160" s="86"/>
      <c r="J160" t="e">
        <f t="shared" ref="J160:J195" si="29">VLOOKUP(F160,category_list,1,0)</f>
        <v>#N/A</v>
      </c>
      <c r="K160" s="87" t="e">
        <f t="shared" ref="K160:K195" si="30">VLOOKUP(TEXT(C160,"HH:MM:SS AM/PM"),time_slots_text,1,0)</f>
        <v>#N/A</v>
      </c>
      <c r="L160" s="91" t="e">
        <f t="shared" ref="L160:L195" si="31">VLOOKUP(C160,Time_Slots_used,1,1)</f>
        <v>#N/A</v>
      </c>
      <c r="M160" s="84" t="e">
        <f t="shared" ref="M160:M195" si="32">B160+L160</f>
        <v>#N/A</v>
      </c>
      <c r="N160" s="81" t="str">
        <f t="shared" ref="N160:N195" si="33">IFERROR(TEXT(M160,"MM/DD/YYYY HH:MM")&amp;"-&gt;"&amp;F160,"")</f>
        <v/>
      </c>
      <c r="O160" t="str">
        <f t="shared" ref="O160:O195" si="34">IFERROR(G160&amp;" in "&amp; H160,"")</f>
        <v xml:space="preserve"> in </v>
      </c>
      <c r="P160">
        <f t="shared" si="22"/>
        <v>166</v>
      </c>
    </row>
    <row r="161" spans="2:16" x14ac:dyDescent="0.2">
      <c r="B161" s="82"/>
      <c r="C161" s="88"/>
      <c r="D161" s="89"/>
      <c r="E161" s="83"/>
      <c r="F161" s="83"/>
      <c r="G161" s="83"/>
      <c r="H161" s="83"/>
      <c r="I161" s="86"/>
      <c r="J161" t="e">
        <f t="shared" si="29"/>
        <v>#N/A</v>
      </c>
      <c r="K161" s="87" t="e">
        <f t="shared" si="30"/>
        <v>#N/A</v>
      </c>
      <c r="L161" s="91" t="e">
        <f t="shared" si="31"/>
        <v>#N/A</v>
      </c>
      <c r="M161" s="84" t="e">
        <f t="shared" si="32"/>
        <v>#N/A</v>
      </c>
      <c r="N161" s="81" t="str">
        <f t="shared" si="33"/>
        <v/>
      </c>
      <c r="O161" t="str">
        <f t="shared" si="34"/>
        <v xml:space="preserve"> in </v>
      </c>
      <c r="P161">
        <f t="shared" si="22"/>
        <v>166</v>
      </c>
    </row>
    <row r="162" spans="2:16" x14ac:dyDescent="0.2">
      <c r="B162" s="82"/>
      <c r="C162" s="88"/>
      <c r="D162" s="89"/>
      <c r="E162" s="83"/>
      <c r="F162" s="83"/>
      <c r="G162" s="83"/>
      <c r="H162" s="83"/>
      <c r="J162" t="e">
        <f t="shared" si="29"/>
        <v>#N/A</v>
      </c>
      <c r="K162" s="87" t="e">
        <f t="shared" si="30"/>
        <v>#N/A</v>
      </c>
      <c r="L162" s="91" t="e">
        <f t="shared" si="31"/>
        <v>#N/A</v>
      </c>
      <c r="M162" s="84" t="e">
        <f t="shared" si="32"/>
        <v>#N/A</v>
      </c>
      <c r="N162" s="81" t="str">
        <f t="shared" si="33"/>
        <v/>
      </c>
      <c r="O162" t="str">
        <f t="shared" si="34"/>
        <v xml:space="preserve"> in </v>
      </c>
      <c r="P162">
        <f t="shared" si="22"/>
        <v>166</v>
      </c>
    </row>
    <row r="163" spans="2:16" x14ac:dyDescent="0.2">
      <c r="B163" s="82"/>
      <c r="C163" s="88"/>
      <c r="D163" s="89"/>
      <c r="E163" s="83"/>
      <c r="F163" s="83"/>
      <c r="G163" s="83"/>
      <c r="H163" s="83"/>
      <c r="J163" t="e">
        <f t="shared" si="29"/>
        <v>#N/A</v>
      </c>
      <c r="K163" s="87" t="e">
        <f t="shared" si="30"/>
        <v>#N/A</v>
      </c>
      <c r="L163" s="91" t="e">
        <f t="shared" si="31"/>
        <v>#N/A</v>
      </c>
      <c r="M163" s="84" t="e">
        <f t="shared" si="32"/>
        <v>#N/A</v>
      </c>
      <c r="N163" s="81" t="str">
        <f t="shared" si="33"/>
        <v/>
      </c>
      <c r="O163" t="str">
        <f t="shared" si="34"/>
        <v xml:space="preserve"> in </v>
      </c>
      <c r="P163">
        <f t="shared" ref="P163:P195" si="35">IF(N163&gt;0,COUNTIF($N$5:$N$282,N163),0)</f>
        <v>166</v>
      </c>
    </row>
    <row r="164" spans="2:16" x14ac:dyDescent="0.2">
      <c r="B164" s="82"/>
      <c r="C164" s="88"/>
      <c r="D164" s="89"/>
      <c r="E164" s="83"/>
      <c r="F164" s="83"/>
      <c r="G164" s="83"/>
      <c r="H164" s="83"/>
      <c r="J164" t="e">
        <f t="shared" si="29"/>
        <v>#N/A</v>
      </c>
      <c r="K164" s="87" t="e">
        <f t="shared" si="30"/>
        <v>#N/A</v>
      </c>
      <c r="L164" s="91" t="e">
        <f t="shared" si="31"/>
        <v>#N/A</v>
      </c>
      <c r="M164" s="84" t="e">
        <f t="shared" si="32"/>
        <v>#N/A</v>
      </c>
      <c r="N164" s="81" t="str">
        <f t="shared" si="33"/>
        <v/>
      </c>
      <c r="O164" t="str">
        <f t="shared" si="34"/>
        <v xml:space="preserve"> in </v>
      </c>
      <c r="P164">
        <f t="shared" si="35"/>
        <v>166</v>
      </c>
    </row>
    <row r="165" spans="2:16" x14ac:dyDescent="0.2">
      <c r="B165" s="82"/>
      <c r="C165" s="88"/>
      <c r="D165" s="89"/>
      <c r="E165" s="83"/>
      <c r="F165" s="83"/>
      <c r="G165" s="83"/>
      <c r="H165" s="83"/>
      <c r="J165" t="e">
        <f t="shared" si="29"/>
        <v>#N/A</v>
      </c>
      <c r="K165" s="87" t="e">
        <f t="shared" si="30"/>
        <v>#N/A</v>
      </c>
      <c r="L165" s="91" t="e">
        <f t="shared" si="31"/>
        <v>#N/A</v>
      </c>
      <c r="M165" s="84" t="e">
        <f t="shared" si="32"/>
        <v>#N/A</v>
      </c>
      <c r="N165" s="81" t="str">
        <f t="shared" si="33"/>
        <v/>
      </c>
      <c r="O165" t="str">
        <f t="shared" si="34"/>
        <v xml:space="preserve"> in </v>
      </c>
      <c r="P165">
        <f t="shared" si="35"/>
        <v>166</v>
      </c>
    </row>
    <row r="166" spans="2:16" x14ac:dyDescent="0.2">
      <c r="B166" s="82"/>
      <c r="C166" s="88"/>
      <c r="D166" s="89"/>
      <c r="E166" s="83"/>
      <c r="F166" s="83"/>
      <c r="G166" s="83"/>
      <c r="H166" s="83"/>
      <c r="J166" t="e">
        <f t="shared" si="29"/>
        <v>#N/A</v>
      </c>
      <c r="K166" s="87" t="e">
        <f t="shared" si="30"/>
        <v>#N/A</v>
      </c>
      <c r="L166" s="91" t="e">
        <f t="shared" si="31"/>
        <v>#N/A</v>
      </c>
      <c r="M166" s="84" t="e">
        <f t="shared" si="32"/>
        <v>#N/A</v>
      </c>
      <c r="N166" s="81" t="str">
        <f t="shared" si="33"/>
        <v/>
      </c>
      <c r="O166" t="str">
        <f t="shared" si="34"/>
        <v xml:space="preserve"> in </v>
      </c>
      <c r="P166">
        <f t="shared" si="35"/>
        <v>166</v>
      </c>
    </row>
    <row r="167" spans="2:16" x14ac:dyDescent="0.2">
      <c r="B167" s="82"/>
      <c r="C167" s="88"/>
      <c r="D167" s="89"/>
      <c r="E167" s="83"/>
      <c r="F167" s="83"/>
      <c r="G167" s="83"/>
      <c r="H167" s="83"/>
      <c r="J167" t="e">
        <f t="shared" si="29"/>
        <v>#N/A</v>
      </c>
      <c r="K167" s="87" t="e">
        <f t="shared" si="30"/>
        <v>#N/A</v>
      </c>
      <c r="L167" s="91" t="e">
        <f t="shared" si="31"/>
        <v>#N/A</v>
      </c>
      <c r="M167" s="84" t="e">
        <f t="shared" si="32"/>
        <v>#N/A</v>
      </c>
      <c r="N167" s="81" t="str">
        <f t="shared" si="33"/>
        <v/>
      </c>
      <c r="O167" t="str">
        <f t="shared" si="34"/>
        <v xml:space="preserve"> in </v>
      </c>
      <c r="P167">
        <f t="shared" si="35"/>
        <v>166</v>
      </c>
    </row>
    <row r="168" spans="2:16" x14ac:dyDescent="0.2">
      <c r="B168" s="82"/>
      <c r="C168" s="88"/>
      <c r="D168" s="89"/>
      <c r="E168" s="83"/>
      <c r="F168" s="83"/>
      <c r="G168" s="83"/>
      <c r="H168" s="83"/>
      <c r="I168" s="85"/>
      <c r="J168" t="e">
        <f t="shared" si="29"/>
        <v>#N/A</v>
      </c>
      <c r="K168" s="87" t="e">
        <f t="shared" si="30"/>
        <v>#N/A</v>
      </c>
      <c r="L168" s="91" t="e">
        <f t="shared" si="31"/>
        <v>#N/A</v>
      </c>
      <c r="M168" s="84" t="e">
        <f t="shared" si="32"/>
        <v>#N/A</v>
      </c>
      <c r="N168" s="81" t="str">
        <f t="shared" si="33"/>
        <v/>
      </c>
      <c r="O168" t="str">
        <f t="shared" si="34"/>
        <v xml:space="preserve"> in </v>
      </c>
      <c r="P168">
        <f t="shared" si="35"/>
        <v>166</v>
      </c>
    </row>
    <row r="169" spans="2:16" x14ac:dyDescent="0.2">
      <c r="B169" s="82"/>
      <c r="C169" s="88"/>
      <c r="D169" s="89"/>
      <c r="E169" s="83"/>
      <c r="F169" s="83"/>
      <c r="G169" s="83"/>
      <c r="H169" s="83"/>
      <c r="I169" s="86"/>
      <c r="J169" t="e">
        <f t="shared" si="29"/>
        <v>#N/A</v>
      </c>
      <c r="K169" s="87" t="e">
        <f t="shared" si="30"/>
        <v>#N/A</v>
      </c>
      <c r="L169" s="91" t="e">
        <f t="shared" si="31"/>
        <v>#N/A</v>
      </c>
      <c r="M169" s="84" t="e">
        <f t="shared" si="32"/>
        <v>#N/A</v>
      </c>
      <c r="N169" s="81" t="str">
        <f t="shared" si="33"/>
        <v/>
      </c>
      <c r="O169" t="str">
        <f t="shared" si="34"/>
        <v xml:space="preserve"> in </v>
      </c>
      <c r="P169">
        <f t="shared" si="35"/>
        <v>166</v>
      </c>
    </row>
    <row r="170" spans="2:16" x14ac:dyDescent="0.2">
      <c r="B170" s="82"/>
      <c r="C170" s="88"/>
      <c r="D170" s="89"/>
      <c r="E170" s="83"/>
      <c r="F170" s="83"/>
      <c r="G170" s="83"/>
      <c r="H170" s="83"/>
      <c r="I170" s="86"/>
      <c r="J170" t="e">
        <f t="shared" si="29"/>
        <v>#N/A</v>
      </c>
      <c r="K170" s="87" t="e">
        <f t="shared" si="30"/>
        <v>#N/A</v>
      </c>
      <c r="L170" s="91" t="e">
        <f t="shared" si="31"/>
        <v>#N/A</v>
      </c>
      <c r="M170" s="84" t="e">
        <f t="shared" si="32"/>
        <v>#N/A</v>
      </c>
      <c r="N170" s="81" t="str">
        <f t="shared" si="33"/>
        <v/>
      </c>
      <c r="O170" t="str">
        <f t="shared" si="34"/>
        <v xml:space="preserve"> in </v>
      </c>
      <c r="P170">
        <f t="shared" si="35"/>
        <v>166</v>
      </c>
    </row>
    <row r="171" spans="2:16" x14ac:dyDescent="0.2">
      <c r="B171" s="82"/>
      <c r="C171" s="88"/>
      <c r="D171" s="89"/>
      <c r="E171" s="83"/>
      <c r="F171" s="83"/>
      <c r="G171" s="83"/>
      <c r="H171" s="83"/>
      <c r="I171" s="86"/>
      <c r="J171" t="e">
        <f t="shared" si="29"/>
        <v>#N/A</v>
      </c>
      <c r="K171" s="87" t="e">
        <f t="shared" si="30"/>
        <v>#N/A</v>
      </c>
      <c r="L171" s="91" t="e">
        <f t="shared" si="31"/>
        <v>#N/A</v>
      </c>
      <c r="M171" s="84" t="e">
        <f t="shared" si="32"/>
        <v>#N/A</v>
      </c>
      <c r="N171" s="81" t="str">
        <f t="shared" si="33"/>
        <v/>
      </c>
      <c r="O171" t="str">
        <f t="shared" si="34"/>
        <v xml:space="preserve"> in </v>
      </c>
      <c r="P171">
        <f t="shared" si="35"/>
        <v>166</v>
      </c>
    </row>
    <row r="172" spans="2:16" x14ac:dyDescent="0.2">
      <c r="B172" s="82"/>
      <c r="C172" s="88"/>
      <c r="D172" s="89"/>
      <c r="E172" s="83"/>
      <c r="F172" s="83"/>
      <c r="G172" s="83"/>
      <c r="H172" s="83"/>
      <c r="I172" s="86"/>
      <c r="J172" t="e">
        <f t="shared" si="29"/>
        <v>#N/A</v>
      </c>
      <c r="K172" s="87" t="e">
        <f t="shared" si="30"/>
        <v>#N/A</v>
      </c>
      <c r="L172" s="91" t="e">
        <f t="shared" si="31"/>
        <v>#N/A</v>
      </c>
      <c r="M172" s="84" t="e">
        <f t="shared" si="32"/>
        <v>#N/A</v>
      </c>
      <c r="N172" s="81" t="str">
        <f t="shared" si="33"/>
        <v/>
      </c>
      <c r="O172" t="str">
        <f t="shared" si="34"/>
        <v xml:space="preserve"> in </v>
      </c>
      <c r="P172">
        <f t="shared" si="35"/>
        <v>166</v>
      </c>
    </row>
    <row r="173" spans="2:16" x14ac:dyDescent="0.2">
      <c r="B173" s="82"/>
      <c r="C173" s="88"/>
      <c r="D173" s="89"/>
      <c r="E173" s="83"/>
      <c r="F173" s="83"/>
      <c r="G173" s="83"/>
      <c r="H173" s="83"/>
      <c r="I173" s="86"/>
      <c r="J173" t="e">
        <f t="shared" si="29"/>
        <v>#N/A</v>
      </c>
      <c r="K173" s="87" t="e">
        <f t="shared" si="30"/>
        <v>#N/A</v>
      </c>
      <c r="L173" s="91" t="e">
        <f t="shared" si="31"/>
        <v>#N/A</v>
      </c>
      <c r="M173" s="84" t="e">
        <f t="shared" si="32"/>
        <v>#N/A</v>
      </c>
      <c r="N173" s="81" t="str">
        <f t="shared" si="33"/>
        <v/>
      </c>
      <c r="O173" t="str">
        <f t="shared" si="34"/>
        <v xml:space="preserve"> in </v>
      </c>
      <c r="P173">
        <f t="shared" si="35"/>
        <v>166</v>
      </c>
    </row>
    <row r="174" spans="2:16" x14ac:dyDescent="0.2">
      <c r="B174" s="123"/>
      <c r="C174" s="124"/>
      <c r="D174" s="125"/>
      <c r="E174" s="125"/>
      <c r="F174" s="125"/>
      <c r="G174" s="125"/>
      <c r="H174" s="83"/>
      <c r="J174" t="e">
        <f t="shared" si="29"/>
        <v>#N/A</v>
      </c>
      <c r="K174" s="87" t="e">
        <f t="shared" si="30"/>
        <v>#N/A</v>
      </c>
      <c r="L174" s="91" t="e">
        <f t="shared" si="31"/>
        <v>#N/A</v>
      </c>
      <c r="M174" s="84" t="e">
        <f t="shared" si="32"/>
        <v>#N/A</v>
      </c>
      <c r="N174" s="81" t="str">
        <f t="shared" si="33"/>
        <v/>
      </c>
      <c r="O174" t="str">
        <f t="shared" si="34"/>
        <v xml:space="preserve"> in </v>
      </c>
      <c r="P174">
        <f t="shared" si="35"/>
        <v>166</v>
      </c>
    </row>
    <row r="175" spans="2:16" x14ac:dyDescent="0.2">
      <c r="B175" s="123"/>
      <c r="C175" s="124"/>
      <c r="D175" s="125"/>
      <c r="E175" s="125"/>
      <c r="F175" s="125"/>
      <c r="G175" s="125"/>
      <c r="H175" s="83"/>
      <c r="J175" t="e">
        <f t="shared" si="29"/>
        <v>#N/A</v>
      </c>
      <c r="K175" s="87" t="e">
        <f t="shared" si="30"/>
        <v>#N/A</v>
      </c>
      <c r="L175" s="91" t="e">
        <f t="shared" si="31"/>
        <v>#N/A</v>
      </c>
      <c r="M175" s="84" t="e">
        <f t="shared" si="32"/>
        <v>#N/A</v>
      </c>
      <c r="N175" s="81" t="str">
        <f t="shared" si="33"/>
        <v/>
      </c>
      <c r="O175" t="str">
        <f t="shared" si="34"/>
        <v xml:space="preserve"> in </v>
      </c>
      <c r="P175">
        <f t="shared" si="35"/>
        <v>166</v>
      </c>
    </row>
    <row r="176" spans="2:16" x14ac:dyDescent="0.2">
      <c r="B176" s="123"/>
      <c r="C176" s="124"/>
      <c r="D176" s="125"/>
      <c r="E176" s="125"/>
      <c r="F176" s="125"/>
      <c r="G176" s="125"/>
      <c r="H176" s="83"/>
      <c r="J176" t="e">
        <f t="shared" si="29"/>
        <v>#N/A</v>
      </c>
      <c r="K176" s="87" t="e">
        <f t="shared" si="30"/>
        <v>#N/A</v>
      </c>
      <c r="L176" s="91" t="e">
        <f t="shared" si="31"/>
        <v>#N/A</v>
      </c>
      <c r="M176" s="84" t="e">
        <f t="shared" si="32"/>
        <v>#N/A</v>
      </c>
      <c r="N176" s="81" t="str">
        <f t="shared" si="33"/>
        <v/>
      </c>
      <c r="O176" t="str">
        <f t="shared" si="34"/>
        <v xml:space="preserve"> in </v>
      </c>
      <c r="P176">
        <f t="shared" si="35"/>
        <v>166</v>
      </c>
    </row>
    <row r="177" spans="2:16" x14ac:dyDescent="0.2">
      <c r="B177" s="123"/>
      <c r="C177" s="124"/>
      <c r="D177" s="125"/>
      <c r="E177" s="125"/>
      <c r="F177" s="125"/>
      <c r="G177" s="125"/>
      <c r="H177" s="83"/>
      <c r="J177" t="e">
        <f t="shared" si="29"/>
        <v>#N/A</v>
      </c>
      <c r="K177" s="87" t="e">
        <f t="shared" si="30"/>
        <v>#N/A</v>
      </c>
      <c r="L177" s="91" t="e">
        <f t="shared" si="31"/>
        <v>#N/A</v>
      </c>
      <c r="M177" s="84" t="e">
        <f t="shared" si="32"/>
        <v>#N/A</v>
      </c>
      <c r="N177" s="81" t="str">
        <f t="shared" si="33"/>
        <v/>
      </c>
      <c r="O177" t="str">
        <f t="shared" si="34"/>
        <v xml:space="preserve"> in </v>
      </c>
      <c r="P177">
        <f t="shared" si="35"/>
        <v>166</v>
      </c>
    </row>
    <row r="178" spans="2:16" x14ac:dyDescent="0.2">
      <c r="B178" s="123"/>
      <c r="C178" s="124"/>
      <c r="D178" s="125"/>
      <c r="E178" s="125"/>
      <c r="F178" s="125"/>
      <c r="G178" s="125"/>
      <c r="H178" s="83"/>
      <c r="J178" t="e">
        <f t="shared" si="29"/>
        <v>#N/A</v>
      </c>
      <c r="K178" s="87" t="e">
        <f t="shared" si="30"/>
        <v>#N/A</v>
      </c>
      <c r="L178" s="91" t="e">
        <f t="shared" si="31"/>
        <v>#N/A</v>
      </c>
      <c r="M178" s="84" t="e">
        <f t="shared" si="32"/>
        <v>#N/A</v>
      </c>
      <c r="N178" s="81" t="str">
        <f t="shared" si="33"/>
        <v/>
      </c>
      <c r="O178" t="str">
        <f t="shared" si="34"/>
        <v xml:space="preserve"> in </v>
      </c>
      <c r="P178">
        <f t="shared" si="35"/>
        <v>166</v>
      </c>
    </row>
    <row r="179" spans="2:16" x14ac:dyDescent="0.2">
      <c r="B179" s="123"/>
      <c r="C179" s="124"/>
      <c r="D179" s="125"/>
      <c r="E179" s="125"/>
      <c r="F179" s="125"/>
      <c r="G179" s="125"/>
      <c r="H179" s="83"/>
      <c r="J179" t="e">
        <f t="shared" si="29"/>
        <v>#N/A</v>
      </c>
      <c r="K179" s="87" t="e">
        <f t="shared" si="30"/>
        <v>#N/A</v>
      </c>
      <c r="L179" s="91" t="e">
        <f t="shared" si="31"/>
        <v>#N/A</v>
      </c>
      <c r="M179" s="84" t="e">
        <f t="shared" si="32"/>
        <v>#N/A</v>
      </c>
      <c r="N179" s="81" t="str">
        <f t="shared" si="33"/>
        <v/>
      </c>
      <c r="O179" t="str">
        <f t="shared" si="34"/>
        <v xml:space="preserve"> in </v>
      </c>
      <c r="P179">
        <f t="shared" si="35"/>
        <v>166</v>
      </c>
    </row>
    <row r="180" spans="2:16" x14ac:dyDescent="0.2">
      <c r="B180" s="123"/>
      <c r="C180" s="124"/>
      <c r="D180" s="125"/>
      <c r="E180" s="125"/>
      <c r="F180" s="125"/>
      <c r="G180" s="125"/>
      <c r="H180" s="83"/>
      <c r="J180" t="e">
        <f t="shared" si="29"/>
        <v>#N/A</v>
      </c>
      <c r="K180" s="87" t="e">
        <f t="shared" si="30"/>
        <v>#N/A</v>
      </c>
      <c r="L180" s="91" t="e">
        <f t="shared" si="31"/>
        <v>#N/A</v>
      </c>
      <c r="M180" s="84" t="e">
        <f t="shared" si="32"/>
        <v>#N/A</v>
      </c>
      <c r="N180" s="81" t="str">
        <f t="shared" si="33"/>
        <v/>
      </c>
      <c r="O180" t="str">
        <f t="shared" si="34"/>
        <v xml:space="preserve"> in </v>
      </c>
      <c r="P180">
        <f t="shared" si="35"/>
        <v>166</v>
      </c>
    </row>
    <row r="181" spans="2:16" x14ac:dyDescent="0.2">
      <c r="B181" s="123"/>
      <c r="C181" s="124"/>
      <c r="D181" s="125"/>
      <c r="E181" s="125"/>
      <c r="F181" s="125"/>
      <c r="G181" s="125"/>
      <c r="H181" s="83"/>
      <c r="J181" t="e">
        <f t="shared" si="29"/>
        <v>#N/A</v>
      </c>
      <c r="K181" s="87" t="e">
        <f t="shared" si="30"/>
        <v>#N/A</v>
      </c>
      <c r="L181" s="91" t="e">
        <f t="shared" si="31"/>
        <v>#N/A</v>
      </c>
      <c r="M181" s="84" t="e">
        <f t="shared" si="32"/>
        <v>#N/A</v>
      </c>
      <c r="N181" s="81" t="str">
        <f t="shared" si="33"/>
        <v/>
      </c>
      <c r="O181" t="str">
        <f t="shared" si="34"/>
        <v xml:space="preserve"> in </v>
      </c>
      <c r="P181">
        <f t="shared" si="35"/>
        <v>166</v>
      </c>
    </row>
    <row r="182" spans="2:16" x14ac:dyDescent="0.2">
      <c r="B182" s="123"/>
      <c r="C182" s="124"/>
      <c r="D182" s="125"/>
      <c r="E182" s="125"/>
      <c r="F182" s="125"/>
      <c r="G182" s="125"/>
      <c r="H182" s="83"/>
      <c r="J182" t="e">
        <f t="shared" si="29"/>
        <v>#N/A</v>
      </c>
      <c r="K182" s="87" t="e">
        <f t="shared" si="30"/>
        <v>#N/A</v>
      </c>
      <c r="L182" s="91" t="e">
        <f t="shared" si="31"/>
        <v>#N/A</v>
      </c>
      <c r="M182" s="84" t="e">
        <f t="shared" si="32"/>
        <v>#N/A</v>
      </c>
      <c r="N182" s="81" t="str">
        <f t="shared" si="33"/>
        <v/>
      </c>
      <c r="O182" t="str">
        <f t="shared" si="34"/>
        <v xml:space="preserve"> in </v>
      </c>
      <c r="P182">
        <f t="shared" si="35"/>
        <v>166</v>
      </c>
    </row>
    <row r="183" spans="2:16" x14ac:dyDescent="0.2">
      <c r="B183" s="123"/>
      <c r="C183" s="124"/>
      <c r="D183" s="125"/>
      <c r="E183" s="125"/>
      <c r="F183" s="125"/>
      <c r="G183" s="125"/>
      <c r="H183" s="83"/>
      <c r="J183" t="e">
        <f t="shared" si="29"/>
        <v>#N/A</v>
      </c>
      <c r="K183" s="87" t="e">
        <f t="shared" si="30"/>
        <v>#N/A</v>
      </c>
      <c r="L183" s="91" t="e">
        <f t="shared" si="31"/>
        <v>#N/A</v>
      </c>
      <c r="M183" s="84" t="e">
        <f t="shared" si="32"/>
        <v>#N/A</v>
      </c>
      <c r="N183" s="81" t="str">
        <f t="shared" si="33"/>
        <v/>
      </c>
      <c r="O183" t="str">
        <f t="shared" si="34"/>
        <v xml:space="preserve"> in </v>
      </c>
      <c r="P183">
        <f t="shared" si="35"/>
        <v>166</v>
      </c>
    </row>
    <row r="184" spans="2:16" x14ac:dyDescent="0.2">
      <c r="B184" s="123"/>
      <c r="C184" s="124"/>
      <c r="D184" s="125"/>
      <c r="E184" s="125"/>
      <c r="F184" s="125"/>
      <c r="G184" s="125"/>
      <c r="H184" s="83"/>
      <c r="J184" t="e">
        <f t="shared" si="29"/>
        <v>#N/A</v>
      </c>
      <c r="K184" s="87" t="e">
        <f t="shared" si="30"/>
        <v>#N/A</v>
      </c>
      <c r="L184" s="91" t="e">
        <f t="shared" si="31"/>
        <v>#N/A</v>
      </c>
      <c r="M184" s="84" t="e">
        <f t="shared" si="32"/>
        <v>#N/A</v>
      </c>
      <c r="N184" s="81" t="str">
        <f t="shared" si="33"/>
        <v/>
      </c>
      <c r="O184" t="str">
        <f t="shared" si="34"/>
        <v xml:space="preserve"> in </v>
      </c>
      <c r="P184">
        <f t="shared" si="35"/>
        <v>166</v>
      </c>
    </row>
    <row r="185" spans="2:16" x14ac:dyDescent="0.2">
      <c r="B185" s="123"/>
      <c r="C185" s="124"/>
      <c r="D185" s="125"/>
      <c r="E185" s="125"/>
      <c r="F185" s="125"/>
      <c r="G185" s="125"/>
      <c r="H185" s="83"/>
      <c r="J185" t="e">
        <f t="shared" si="29"/>
        <v>#N/A</v>
      </c>
      <c r="K185" s="87" t="e">
        <f t="shared" si="30"/>
        <v>#N/A</v>
      </c>
      <c r="L185" s="91" t="e">
        <f t="shared" si="31"/>
        <v>#N/A</v>
      </c>
      <c r="M185" s="84" t="e">
        <f t="shared" si="32"/>
        <v>#N/A</v>
      </c>
      <c r="N185" s="81" t="str">
        <f t="shared" si="33"/>
        <v/>
      </c>
      <c r="O185" t="str">
        <f t="shared" si="34"/>
        <v xml:space="preserve"> in </v>
      </c>
      <c r="P185">
        <f t="shared" si="35"/>
        <v>166</v>
      </c>
    </row>
    <row r="186" spans="2:16" x14ac:dyDescent="0.2">
      <c r="B186" s="123"/>
      <c r="C186" s="124"/>
      <c r="D186" s="125"/>
      <c r="E186" s="125"/>
      <c r="F186" s="125"/>
      <c r="G186" s="125"/>
      <c r="H186" s="83"/>
      <c r="J186" t="e">
        <f t="shared" si="29"/>
        <v>#N/A</v>
      </c>
      <c r="K186" s="87" t="e">
        <f t="shared" si="30"/>
        <v>#N/A</v>
      </c>
      <c r="L186" s="91" t="e">
        <f t="shared" si="31"/>
        <v>#N/A</v>
      </c>
      <c r="M186" s="84" t="e">
        <f t="shared" si="32"/>
        <v>#N/A</v>
      </c>
      <c r="N186" s="81" t="str">
        <f t="shared" si="33"/>
        <v/>
      </c>
      <c r="O186" t="str">
        <f t="shared" si="34"/>
        <v xml:space="preserve"> in </v>
      </c>
      <c r="P186">
        <f t="shared" si="35"/>
        <v>166</v>
      </c>
    </row>
    <row r="187" spans="2:16" x14ac:dyDescent="0.2">
      <c r="B187" s="123"/>
      <c r="C187" s="124"/>
      <c r="D187" s="125"/>
      <c r="E187" s="125"/>
      <c r="F187" s="125"/>
      <c r="G187" s="125"/>
      <c r="H187" s="83"/>
      <c r="J187" t="e">
        <f t="shared" si="29"/>
        <v>#N/A</v>
      </c>
      <c r="K187" s="87" t="e">
        <f t="shared" si="30"/>
        <v>#N/A</v>
      </c>
      <c r="L187" s="91" t="e">
        <f t="shared" si="31"/>
        <v>#N/A</v>
      </c>
      <c r="M187" s="84" t="e">
        <f t="shared" si="32"/>
        <v>#N/A</v>
      </c>
      <c r="N187" s="81" t="str">
        <f t="shared" si="33"/>
        <v/>
      </c>
      <c r="O187" t="str">
        <f t="shared" si="34"/>
        <v xml:space="preserve"> in </v>
      </c>
      <c r="P187">
        <f t="shared" si="35"/>
        <v>166</v>
      </c>
    </row>
    <row r="188" spans="2:16" x14ac:dyDescent="0.2">
      <c r="B188" s="123"/>
      <c r="C188" s="124"/>
      <c r="D188" s="125"/>
      <c r="E188" s="125"/>
      <c r="F188" s="125"/>
      <c r="G188" s="125"/>
      <c r="H188" s="83"/>
      <c r="J188" t="e">
        <f t="shared" si="29"/>
        <v>#N/A</v>
      </c>
      <c r="K188" s="87" t="e">
        <f t="shared" si="30"/>
        <v>#N/A</v>
      </c>
      <c r="L188" s="91" t="e">
        <f t="shared" si="31"/>
        <v>#N/A</v>
      </c>
      <c r="M188" s="84" t="e">
        <f t="shared" si="32"/>
        <v>#N/A</v>
      </c>
      <c r="N188" s="81" t="str">
        <f t="shared" si="33"/>
        <v/>
      </c>
      <c r="O188" t="str">
        <f t="shared" si="34"/>
        <v xml:space="preserve"> in </v>
      </c>
      <c r="P188">
        <f t="shared" si="35"/>
        <v>166</v>
      </c>
    </row>
    <row r="189" spans="2:16" x14ac:dyDescent="0.2">
      <c r="B189" s="123"/>
      <c r="C189" s="124"/>
      <c r="D189" s="125"/>
      <c r="E189" s="125"/>
      <c r="F189" s="125"/>
      <c r="G189" s="125"/>
      <c r="H189" s="83"/>
      <c r="J189" t="e">
        <f t="shared" si="29"/>
        <v>#N/A</v>
      </c>
      <c r="K189" s="87" t="e">
        <f t="shared" si="30"/>
        <v>#N/A</v>
      </c>
      <c r="L189" s="91" t="e">
        <f t="shared" si="31"/>
        <v>#N/A</v>
      </c>
      <c r="M189" s="84" t="e">
        <f t="shared" si="32"/>
        <v>#N/A</v>
      </c>
      <c r="N189" s="81" t="str">
        <f t="shared" si="33"/>
        <v/>
      </c>
      <c r="O189" t="str">
        <f t="shared" si="34"/>
        <v xml:space="preserve"> in </v>
      </c>
      <c r="P189">
        <f t="shared" si="35"/>
        <v>166</v>
      </c>
    </row>
    <row r="190" spans="2:16" x14ac:dyDescent="0.2">
      <c r="B190" s="123"/>
      <c r="C190" s="124"/>
      <c r="D190" s="125"/>
      <c r="E190" s="125"/>
      <c r="F190" s="125"/>
      <c r="G190" s="125"/>
      <c r="H190" s="83"/>
      <c r="J190" t="e">
        <f t="shared" si="29"/>
        <v>#N/A</v>
      </c>
      <c r="K190" s="87" t="e">
        <f t="shared" si="30"/>
        <v>#N/A</v>
      </c>
      <c r="L190" s="91" t="e">
        <f t="shared" si="31"/>
        <v>#N/A</v>
      </c>
      <c r="M190" s="84" t="e">
        <f t="shared" si="32"/>
        <v>#N/A</v>
      </c>
      <c r="N190" s="81" t="str">
        <f t="shared" si="33"/>
        <v/>
      </c>
      <c r="O190" t="str">
        <f t="shared" si="34"/>
        <v xml:space="preserve"> in </v>
      </c>
      <c r="P190">
        <f t="shared" si="35"/>
        <v>166</v>
      </c>
    </row>
    <row r="191" spans="2:16" x14ac:dyDescent="0.2">
      <c r="B191" s="123"/>
      <c r="C191" s="124"/>
      <c r="D191" s="125"/>
      <c r="E191" s="125"/>
      <c r="F191" s="125"/>
      <c r="G191" s="125"/>
      <c r="H191" s="83"/>
      <c r="J191" t="e">
        <f t="shared" si="29"/>
        <v>#N/A</v>
      </c>
      <c r="K191" s="87" t="e">
        <f t="shared" si="30"/>
        <v>#N/A</v>
      </c>
      <c r="L191" s="91" t="e">
        <f t="shared" si="31"/>
        <v>#N/A</v>
      </c>
      <c r="M191" s="84" t="e">
        <f t="shared" si="32"/>
        <v>#N/A</v>
      </c>
      <c r="N191" s="81" t="str">
        <f t="shared" si="33"/>
        <v/>
      </c>
      <c r="O191" t="str">
        <f t="shared" si="34"/>
        <v xml:space="preserve"> in </v>
      </c>
      <c r="P191">
        <f t="shared" si="35"/>
        <v>166</v>
      </c>
    </row>
    <row r="192" spans="2:16" x14ac:dyDescent="0.2">
      <c r="B192" s="123"/>
      <c r="C192" s="124"/>
      <c r="D192" s="125"/>
      <c r="E192" s="125"/>
      <c r="F192" s="125"/>
      <c r="G192" s="125"/>
      <c r="H192" s="83"/>
      <c r="J192" t="e">
        <f t="shared" si="29"/>
        <v>#N/A</v>
      </c>
      <c r="K192" s="87" t="e">
        <f t="shared" si="30"/>
        <v>#N/A</v>
      </c>
      <c r="L192" s="91" t="e">
        <f t="shared" si="31"/>
        <v>#N/A</v>
      </c>
      <c r="M192" s="84" t="e">
        <f t="shared" si="32"/>
        <v>#N/A</v>
      </c>
      <c r="N192" s="81" t="str">
        <f t="shared" si="33"/>
        <v/>
      </c>
      <c r="O192" t="str">
        <f t="shared" si="34"/>
        <v xml:space="preserve"> in </v>
      </c>
      <c r="P192">
        <f t="shared" si="35"/>
        <v>166</v>
      </c>
    </row>
    <row r="193" spans="2:16" x14ac:dyDescent="0.2">
      <c r="B193" s="123"/>
      <c r="C193" s="124"/>
      <c r="D193" s="125"/>
      <c r="E193" s="125"/>
      <c r="F193" s="125"/>
      <c r="G193" s="125"/>
      <c r="H193" s="83"/>
      <c r="J193" t="e">
        <f t="shared" si="29"/>
        <v>#N/A</v>
      </c>
      <c r="K193" s="87" t="e">
        <f t="shared" si="30"/>
        <v>#N/A</v>
      </c>
      <c r="L193" s="91" t="e">
        <f t="shared" si="31"/>
        <v>#N/A</v>
      </c>
      <c r="M193" s="84" t="e">
        <f t="shared" si="32"/>
        <v>#N/A</v>
      </c>
      <c r="N193" s="81" t="str">
        <f t="shared" si="33"/>
        <v/>
      </c>
      <c r="O193" t="str">
        <f t="shared" si="34"/>
        <v xml:space="preserve"> in </v>
      </c>
      <c r="P193">
        <f t="shared" si="35"/>
        <v>166</v>
      </c>
    </row>
    <row r="194" spans="2:16" x14ac:dyDescent="0.2">
      <c r="B194" s="123"/>
      <c r="C194" s="124"/>
      <c r="D194" s="125"/>
      <c r="E194" s="125"/>
      <c r="F194" s="125"/>
      <c r="G194" s="125"/>
      <c r="H194" s="83"/>
      <c r="J194" t="e">
        <f t="shared" si="29"/>
        <v>#N/A</v>
      </c>
      <c r="K194" s="87" t="e">
        <f t="shared" si="30"/>
        <v>#N/A</v>
      </c>
      <c r="L194" s="91" t="e">
        <f t="shared" si="31"/>
        <v>#N/A</v>
      </c>
      <c r="M194" s="84" t="e">
        <f t="shared" si="32"/>
        <v>#N/A</v>
      </c>
      <c r="N194" s="81" t="str">
        <f t="shared" si="33"/>
        <v/>
      </c>
      <c r="O194" t="str">
        <f t="shared" si="34"/>
        <v xml:space="preserve"> in </v>
      </c>
      <c r="P194">
        <f t="shared" si="35"/>
        <v>166</v>
      </c>
    </row>
    <row r="195" spans="2:16" x14ac:dyDescent="0.2">
      <c r="B195" s="123"/>
      <c r="C195" s="124"/>
      <c r="D195" s="125"/>
      <c r="E195" s="125"/>
      <c r="F195" s="125"/>
      <c r="G195" s="125"/>
      <c r="H195" s="83"/>
      <c r="J195" t="e">
        <f t="shared" si="29"/>
        <v>#N/A</v>
      </c>
      <c r="K195" s="87" t="e">
        <f t="shared" si="30"/>
        <v>#N/A</v>
      </c>
      <c r="L195" s="91" t="e">
        <f t="shared" si="31"/>
        <v>#N/A</v>
      </c>
      <c r="M195" s="84" t="e">
        <f t="shared" si="32"/>
        <v>#N/A</v>
      </c>
      <c r="N195" s="81" t="str">
        <f t="shared" si="33"/>
        <v/>
      </c>
      <c r="O195" t="str">
        <f t="shared" si="34"/>
        <v xml:space="preserve"> in </v>
      </c>
      <c r="P195">
        <f t="shared" si="35"/>
        <v>166</v>
      </c>
    </row>
    <row r="196" spans="2:16" x14ac:dyDescent="0.2">
      <c r="K196" s="87"/>
      <c r="L196" s="91"/>
      <c r="M196" s="84"/>
      <c r="N196" s="81"/>
    </row>
    <row r="197" spans="2:16" x14ac:dyDescent="0.2">
      <c r="K197" s="87"/>
      <c r="L197" s="91"/>
      <c r="M197" s="84"/>
      <c r="N197" s="81"/>
    </row>
    <row r="198" spans="2:16" x14ac:dyDescent="0.2">
      <c r="K198" s="87"/>
      <c r="L198" s="91"/>
      <c r="M198" s="84"/>
      <c r="N198" s="81"/>
    </row>
    <row r="199" spans="2:16" x14ac:dyDescent="0.2">
      <c r="K199" s="87"/>
      <c r="L199" s="91"/>
      <c r="M199" s="84"/>
      <c r="N199" s="81"/>
    </row>
    <row r="200" spans="2:16" x14ac:dyDescent="0.2">
      <c r="K200" s="87"/>
      <c r="L200" s="91"/>
      <c r="M200" s="84"/>
      <c r="N200" s="81"/>
    </row>
    <row r="201" spans="2:16" x14ac:dyDescent="0.2">
      <c r="K201" s="87"/>
      <c r="L201" s="91"/>
      <c r="M201" s="84"/>
      <c r="N201" s="81"/>
    </row>
    <row r="202" spans="2:16" x14ac:dyDescent="0.2">
      <c r="K202" s="87"/>
      <c r="L202" s="91"/>
      <c r="M202" s="84"/>
      <c r="N202" s="81"/>
    </row>
    <row r="203" spans="2:16" x14ac:dyDescent="0.2">
      <c r="K203" s="87"/>
      <c r="L203" s="91"/>
      <c r="M203" s="84"/>
      <c r="N203" s="81"/>
    </row>
    <row r="204" spans="2:16" x14ac:dyDescent="0.2">
      <c r="K204" s="87"/>
      <c r="L204" s="91"/>
      <c r="M204" s="84"/>
      <c r="N204" s="81"/>
    </row>
    <row r="205" spans="2:16" x14ac:dyDescent="0.2">
      <c r="K205" s="87"/>
      <c r="L205" s="91"/>
      <c r="M205" s="84"/>
      <c r="N205" s="81"/>
    </row>
    <row r="206" spans="2:16" x14ac:dyDescent="0.2">
      <c r="K206" s="87"/>
      <c r="L206" s="91"/>
      <c r="M206" s="84"/>
      <c r="N206" s="81"/>
    </row>
    <row r="207" spans="2:16" x14ac:dyDescent="0.2">
      <c r="K207" s="87"/>
      <c r="L207" s="91"/>
      <c r="M207" s="84"/>
      <c r="N207" s="81"/>
    </row>
    <row r="208" spans="2:16" x14ac:dyDescent="0.2">
      <c r="K208" s="87"/>
      <c r="L208" s="91"/>
      <c r="M208" s="84"/>
      <c r="N208" s="81"/>
    </row>
    <row r="209" spans="11:14" x14ac:dyDescent="0.2">
      <c r="K209" s="87"/>
      <c r="L209" s="91"/>
      <c r="M209" s="84"/>
      <c r="N209" s="81"/>
    </row>
    <row r="210" spans="11:14" x14ac:dyDescent="0.2">
      <c r="K210" s="87"/>
      <c r="L210" s="91"/>
      <c r="M210" s="84"/>
      <c r="N210" s="81"/>
    </row>
    <row r="211" spans="11:14" x14ac:dyDescent="0.2">
      <c r="K211" s="87"/>
      <c r="L211" s="91"/>
      <c r="M211" s="84"/>
      <c r="N211" s="81"/>
    </row>
    <row r="212" spans="11:14" x14ac:dyDescent="0.2">
      <c r="K212" s="87"/>
      <c r="L212" s="91"/>
      <c r="M212" s="84"/>
      <c r="N212" s="81"/>
    </row>
    <row r="213" spans="11:14" x14ac:dyDescent="0.2">
      <c r="K213" s="87"/>
      <c r="L213" s="91"/>
      <c r="M213" s="84"/>
      <c r="N213" s="81"/>
    </row>
    <row r="214" spans="11:14" x14ac:dyDescent="0.2">
      <c r="K214" s="87"/>
      <c r="L214" s="91"/>
      <c r="M214" s="84"/>
      <c r="N214" s="81"/>
    </row>
    <row r="215" spans="11:14" x14ac:dyDescent="0.2">
      <c r="K215" s="87"/>
      <c r="L215" s="91"/>
      <c r="M215" s="84"/>
      <c r="N215" s="81"/>
    </row>
    <row r="216" spans="11:14" x14ac:dyDescent="0.2">
      <c r="K216" s="87"/>
      <c r="L216" s="91"/>
      <c r="M216" s="84"/>
      <c r="N216" s="81"/>
    </row>
    <row r="217" spans="11:14" x14ac:dyDescent="0.2">
      <c r="K217" s="87"/>
      <c r="L217" s="91"/>
      <c r="M217" s="84"/>
      <c r="N217" s="81"/>
    </row>
    <row r="218" spans="11:14" x14ac:dyDescent="0.2">
      <c r="K218" s="87"/>
      <c r="L218" s="91"/>
      <c r="M218" s="84"/>
      <c r="N218" s="81"/>
    </row>
    <row r="219" spans="11:14" x14ac:dyDescent="0.2">
      <c r="K219" s="87"/>
      <c r="L219" s="91"/>
      <c r="M219" s="84"/>
      <c r="N219" s="81"/>
    </row>
    <row r="220" spans="11:14" x14ac:dyDescent="0.2">
      <c r="K220" s="87"/>
      <c r="L220" s="91"/>
      <c r="M220" s="84"/>
      <c r="N220" s="81"/>
    </row>
    <row r="221" spans="11:14" x14ac:dyDescent="0.2">
      <c r="K221" s="87"/>
      <c r="L221" s="91"/>
      <c r="M221" s="84"/>
      <c r="N221" s="81"/>
    </row>
    <row r="222" spans="11:14" x14ac:dyDescent="0.2">
      <c r="K222" s="87"/>
      <c r="L222" s="91"/>
      <c r="M222" s="84"/>
      <c r="N222" s="81"/>
    </row>
    <row r="223" spans="11:14" x14ac:dyDescent="0.2">
      <c r="K223" s="87"/>
      <c r="L223" s="91"/>
      <c r="M223" s="84"/>
      <c r="N223" s="81"/>
    </row>
    <row r="224" spans="11:14" x14ac:dyDescent="0.2">
      <c r="K224" s="87"/>
      <c r="L224" s="91"/>
      <c r="M224" s="84"/>
      <c r="N224" s="81"/>
    </row>
    <row r="225" spans="11:14" x14ac:dyDescent="0.2">
      <c r="K225" s="87"/>
      <c r="L225" s="91"/>
      <c r="M225" s="84"/>
      <c r="N225" s="81"/>
    </row>
    <row r="226" spans="11:14" x14ac:dyDescent="0.2">
      <c r="K226" s="87"/>
      <c r="L226" s="91"/>
      <c r="M226" s="84"/>
      <c r="N226" s="81"/>
    </row>
    <row r="227" spans="11:14" x14ac:dyDescent="0.2">
      <c r="K227" s="87"/>
      <c r="L227" s="91"/>
      <c r="M227" s="84"/>
      <c r="N227" s="81"/>
    </row>
    <row r="228" spans="11:14" x14ac:dyDescent="0.2">
      <c r="K228" s="87"/>
      <c r="L228" s="91"/>
      <c r="M228" s="84"/>
      <c r="N228" s="81"/>
    </row>
    <row r="229" spans="11:14" x14ac:dyDescent="0.2">
      <c r="K229" s="87"/>
      <c r="L229" s="91"/>
      <c r="M229" s="84"/>
      <c r="N229" s="81"/>
    </row>
    <row r="230" spans="11:14" x14ac:dyDescent="0.2">
      <c r="K230" s="87"/>
      <c r="L230" s="91"/>
      <c r="M230" s="84"/>
      <c r="N230" s="81"/>
    </row>
    <row r="231" spans="11:14" x14ac:dyDescent="0.2">
      <c r="K231" s="87"/>
      <c r="L231" s="91"/>
      <c r="M231" s="84"/>
      <c r="N231" s="81"/>
    </row>
    <row r="232" spans="11:14" x14ac:dyDescent="0.2">
      <c r="K232" s="87"/>
      <c r="L232" s="91"/>
      <c r="M232" s="84"/>
      <c r="N232" s="81"/>
    </row>
    <row r="233" spans="11:14" x14ac:dyDescent="0.2">
      <c r="K233" s="87"/>
      <c r="L233" s="91"/>
      <c r="M233" s="84"/>
      <c r="N233" s="81"/>
    </row>
    <row r="234" spans="11:14" x14ac:dyDescent="0.2">
      <c r="K234" s="87"/>
      <c r="L234" s="91"/>
      <c r="M234" s="84"/>
      <c r="N234" s="81"/>
    </row>
    <row r="235" spans="11:14" x14ac:dyDescent="0.2">
      <c r="K235" s="87"/>
      <c r="L235" s="91"/>
      <c r="M235" s="84"/>
      <c r="N235" s="81"/>
    </row>
    <row r="236" spans="11:14" x14ac:dyDescent="0.2">
      <c r="K236" s="87"/>
      <c r="L236" s="91"/>
      <c r="M236" s="84"/>
      <c r="N236" s="81"/>
    </row>
    <row r="237" spans="11:14" x14ac:dyDescent="0.2">
      <c r="K237" s="87"/>
      <c r="L237" s="91"/>
      <c r="M237" s="84"/>
      <c r="N237" s="81"/>
    </row>
    <row r="238" spans="11:14" x14ac:dyDescent="0.2">
      <c r="K238" s="87"/>
      <c r="L238" s="91"/>
      <c r="M238" s="84"/>
      <c r="N238" s="81"/>
    </row>
    <row r="239" spans="11:14" x14ac:dyDescent="0.2">
      <c r="K239" s="87"/>
      <c r="L239" s="91"/>
      <c r="M239" s="84"/>
      <c r="N239" s="81"/>
    </row>
    <row r="240" spans="11:14" x14ac:dyDescent="0.2">
      <c r="K240" s="87"/>
      <c r="L240" s="91"/>
      <c r="M240" s="84"/>
      <c r="N240" s="81"/>
    </row>
    <row r="241" spans="11:14" x14ac:dyDescent="0.2">
      <c r="K241" s="87"/>
      <c r="L241" s="91"/>
      <c r="M241" s="84"/>
      <c r="N241" s="81"/>
    </row>
    <row r="242" spans="11:14" x14ac:dyDescent="0.2">
      <c r="K242" s="87"/>
      <c r="L242" s="91"/>
      <c r="M242" s="84"/>
      <c r="N242" s="81"/>
    </row>
    <row r="243" spans="11:14" x14ac:dyDescent="0.2">
      <c r="K243" s="87"/>
      <c r="L243" s="91"/>
      <c r="M243" s="84"/>
      <c r="N243" s="81"/>
    </row>
    <row r="244" spans="11:14" x14ac:dyDescent="0.2">
      <c r="K244" s="87"/>
      <c r="L244" s="91"/>
      <c r="M244" s="84"/>
      <c r="N244" s="81"/>
    </row>
    <row r="245" spans="11:14" x14ac:dyDescent="0.2">
      <c r="K245" s="87"/>
      <c r="L245" s="91"/>
      <c r="M245" s="84"/>
      <c r="N245" s="81"/>
    </row>
    <row r="246" spans="11:14" x14ac:dyDescent="0.2">
      <c r="K246" s="87"/>
      <c r="L246" s="91"/>
      <c r="M246" s="84"/>
      <c r="N246" s="81"/>
    </row>
    <row r="247" spans="11:14" x14ac:dyDescent="0.2">
      <c r="K247" s="87"/>
      <c r="L247" s="91"/>
      <c r="M247" s="84"/>
      <c r="N247" s="81"/>
    </row>
    <row r="248" spans="11:14" x14ac:dyDescent="0.2">
      <c r="K248" s="87"/>
      <c r="L248" s="91"/>
      <c r="M248" s="84"/>
      <c r="N248" s="81"/>
    </row>
    <row r="249" spans="11:14" x14ac:dyDescent="0.2">
      <c r="K249" s="87"/>
      <c r="L249" s="91"/>
      <c r="M249" s="84"/>
      <c r="N249" s="81"/>
    </row>
    <row r="250" spans="11:14" x14ac:dyDescent="0.2">
      <c r="K250" s="87"/>
      <c r="L250" s="91"/>
      <c r="M250" s="84"/>
      <c r="N250" s="81"/>
    </row>
    <row r="251" spans="11:14" x14ac:dyDescent="0.2">
      <c r="K251" s="87"/>
      <c r="L251" s="91"/>
      <c r="M251" s="84"/>
      <c r="N251" s="81"/>
    </row>
    <row r="252" spans="11:14" x14ac:dyDescent="0.2">
      <c r="K252" s="87"/>
      <c r="L252" s="91"/>
      <c r="M252" s="84"/>
      <c r="N252" s="81"/>
    </row>
    <row r="253" spans="11:14" x14ac:dyDescent="0.2">
      <c r="K253" s="87"/>
      <c r="L253" s="91"/>
      <c r="M253" s="84"/>
      <c r="N253" s="81"/>
    </row>
    <row r="254" spans="11:14" x14ac:dyDescent="0.2">
      <c r="K254" s="87"/>
      <c r="L254" s="91"/>
      <c r="M254" s="84"/>
      <c r="N254" s="81"/>
    </row>
    <row r="255" spans="11:14" x14ac:dyDescent="0.2">
      <c r="K255" s="87"/>
      <c r="L255" s="91"/>
      <c r="M255" s="84"/>
      <c r="N255" s="81"/>
    </row>
    <row r="256" spans="11:14" x14ac:dyDescent="0.2">
      <c r="K256" s="87"/>
      <c r="L256" s="91"/>
      <c r="M256" s="84"/>
      <c r="N256" s="81"/>
    </row>
    <row r="257" spans="2:16" x14ac:dyDescent="0.2">
      <c r="K257" s="87"/>
      <c r="L257" s="91"/>
      <c r="M257" s="84"/>
      <c r="N257" s="81"/>
    </row>
    <row r="258" spans="2:16" x14ac:dyDescent="0.2">
      <c r="K258" s="87"/>
      <c r="L258" s="91"/>
      <c r="M258" s="84"/>
      <c r="N258" s="81"/>
    </row>
    <row r="259" spans="2:16" x14ac:dyDescent="0.2">
      <c r="K259" s="87"/>
      <c r="L259" s="91"/>
      <c r="M259" s="84"/>
      <c r="N259" s="81"/>
    </row>
    <row r="260" spans="2:16" x14ac:dyDescent="0.2">
      <c r="J260" t="e">
        <f>VLOOKUP(#REF!,category_list,1,0)</f>
        <v>#REF!</v>
      </c>
      <c r="K260" s="87" t="e">
        <f>VLOOKUP(TEXT(#REF!,"HH:MM:SS AM/PM"),time_slots_text,1,0)</f>
        <v>#REF!</v>
      </c>
      <c r="L260" s="91" t="e">
        <f>VLOOKUP(#REF!,Time_Slots_used,1,1)</f>
        <v>#REF!</v>
      </c>
      <c r="M260" s="84" t="e">
        <f>#REF!+L260</f>
        <v>#REF!</v>
      </c>
      <c r="N260" s="81" t="str">
        <f>IFERROR(TEXT(M260,"MM/DD/YYYY HH:MM")&amp;"-&gt;"&amp;#REF!,"")</f>
        <v/>
      </c>
      <c r="O260" t="str">
        <f>IFERROR(#REF!&amp;" in " &amp;#REF!,"")</f>
        <v/>
      </c>
      <c r="P260">
        <f t="shared" ref="P260:P282" si="36">IF(N260&gt;0,COUNTIF($N$5:$N$282,N260),0)</f>
        <v>166</v>
      </c>
    </row>
    <row r="261" spans="2:16" x14ac:dyDescent="0.2">
      <c r="J261" t="e">
        <f>VLOOKUP(#REF!,category_list,1,0)</f>
        <v>#REF!</v>
      </c>
      <c r="K261" s="87" t="e">
        <f>VLOOKUP(TEXT(#REF!,"HH:MM:SS AM/PM"),time_slots_text,1,0)</f>
        <v>#REF!</v>
      </c>
      <c r="L261" s="91" t="e">
        <f>VLOOKUP(#REF!,Time_Slots_used,1,1)</f>
        <v>#REF!</v>
      </c>
      <c r="M261" s="84" t="e">
        <f>#REF!+L261</f>
        <v>#REF!</v>
      </c>
      <c r="N261" s="81" t="str">
        <f>IFERROR(TEXT(M261,"MM/DD/YYYY HH:MM")&amp;"-&gt;"&amp;#REF!,"")</f>
        <v/>
      </c>
      <c r="O261" t="str">
        <f>IFERROR(#REF!&amp;" in " &amp;#REF!,"")</f>
        <v/>
      </c>
      <c r="P261">
        <f t="shared" si="36"/>
        <v>166</v>
      </c>
    </row>
    <row r="262" spans="2:16" x14ac:dyDescent="0.2">
      <c r="J262" t="e">
        <f>VLOOKUP(#REF!,category_list,1,0)</f>
        <v>#REF!</v>
      </c>
      <c r="K262" s="87" t="e">
        <f>VLOOKUP(TEXT(#REF!,"HH:MM:SS AM/PM"),time_slots_text,1,0)</f>
        <v>#REF!</v>
      </c>
      <c r="L262" s="91" t="e">
        <f>VLOOKUP(#REF!,Time_Slots_used,1,1)</f>
        <v>#REF!</v>
      </c>
      <c r="M262" s="84" t="e">
        <f>#REF!+L262</f>
        <v>#REF!</v>
      </c>
      <c r="N262" s="81" t="str">
        <f>IFERROR(TEXT(M262,"MM/DD/YYYY HH:MM")&amp;"-&gt;"&amp;#REF!,"")</f>
        <v/>
      </c>
      <c r="O262" t="str">
        <f>IFERROR(#REF!&amp;" in " &amp;#REF!,"")</f>
        <v/>
      </c>
      <c r="P262">
        <f t="shared" si="36"/>
        <v>166</v>
      </c>
    </row>
    <row r="263" spans="2:16" x14ac:dyDescent="0.2">
      <c r="J263" t="e">
        <f>VLOOKUP(#REF!,category_list,1,0)</f>
        <v>#REF!</v>
      </c>
      <c r="K263" s="87" t="e">
        <f>VLOOKUP(TEXT(#REF!,"HH:MM:SS AM/PM"),time_slots_text,1,0)</f>
        <v>#REF!</v>
      </c>
      <c r="L263" s="91" t="e">
        <f>VLOOKUP(#REF!,Time_Slots_used,1,1)</f>
        <v>#REF!</v>
      </c>
      <c r="M263" s="84" t="e">
        <f>#REF!+L263</f>
        <v>#REF!</v>
      </c>
      <c r="N263" s="81" t="str">
        <f>IFERROR(TEXT(M263,"MM/DD/YYYY HH:MM")&amp;"-&gt;"&amp;#REF!,"")</f>
        <v/>
      </c>
      <c r="O263" t="str">
        <f>IFERROR(#REF!&amp;" in " &amp;#REF!,"")</f>
        <v/>
      </c>
      <c r="P263">
        <f t="shared" si="36"/>
        <v>166</v>
      </c>
    </row>
    <row r="264" spans="2:16" x14ac:dyDescent="0.2">
      <c r="B264" s="83"/>
      <c r="C264" s="121"/>
      <c r="D264" s="121"/>
      <c r="E264" s="121"/>
      <c r="F264" s="82"/>
      <c r="G264" s="122"/>
      <c r="H264" s="83"/>
      <c r="J264" t="e">
        <f>VLOOKUP(#REF!,category_list,1,0)</f>
        <v>#REF!</v>
      </c>
      <c r="K264" s="87" t="e">
        <f>VLOOKUP(TEXT(#REF!,"HH:MM:SS AM/PM"),time_slots_text,1,0)</f>
        <v>#REF!</v>
      </c>
      <c r="L264" s="91" t="e">
        <f>VLOOKUP(#REF!,Time_Slots_used,1,1)</f>
        <v>#REF!</v>
      </c>
      <c r="M264" s="84" t="e">
        <f>#REF!+L264</f>
        <v>#REF!</v>
      </c>
      <c r="N264" s="81" t="str">
        <f>IFERROR(TEXT(M264,"MM/DD/YYYY HH:MM")&amp;"-&gt;"&amp;#REF!,"")</f>
        <v/>
      </c>
      <c r="O264" t="str">
        <f>IFERROR(#REF!&amp;" in " &amp;#REF!,"")</f>
        <v/>
      </c>
      <c r="P264">
        <f t="shared" si="36"/>
        <v>166</v>
      </c>
    </row>
    <row r="265" spans="2:16" x14ac:dyDescent="0.2">
      <c r="B265" s="83"/>
      <c r="C265" s="121"/>
      <c r="D265" s="121"/>
      <c r="E265" s="121"/>
      <c r="F265" s="82"/>
      <c r="G265" s="122"/>
      <c r="H265" s="83"/>
      <c r="J265" t="e">
        <f>VLOOKUP(#REF!,category_list,1,0)</f>
        <v>#REF!</v>
      </c>
      <c r="K265" s="87" t="e">
        <f>VLOOKUP(TEXT(#REF!,"HH:MM:SS AM/PM"),time_slots_text,1,0)</f>
        <v>#REF!</v>
      </c>
      <c r="L265" s="91" t="e">
        <f>VLOOKUP(#REF!,Time_Slots_used,1,1)</f>
        <v>#REF!</v>
      </c>
      <c r="M265" s="84" t="e">
        <f>#REF!+L265</f>
        <v>#REF!</v>
      </c>
      <c r="N265" s="81" t="str">
        <f>IFERROR(TEXT(M265,"MM/DD/YYYY HH:MM")&amp;"-&gt;"&amp;#REF!,"")</f>
        <v/>
      </c>
      <c r="O265" t="str">
        <f>IFERROR(#REF!&amp;" in " &amp;#REF!,"")</f>
        <v/>
      </c>
      <c r="P265">
        <f t="shared" si="36"/>
        <v>166</v>
      </c>
    </row>
    <row r="266" spans="2:16" x14ac:dyDescent="0.2">
      <c r="B266" s="83"/>
      <c r="C266" s="121"/>
      <c r="D266" s="121"/>
      <c r="E266" s="121"/>
      <c r="F266" s="82"/>
      <c r="G266" s="122"/>
      <c r="H266" s="83"/>
      <c r="J266" t="e">
        <f>VLOOKUP(#REF!,category_list,1,0)</f>
        <v>#REF!</v>
      </c>
      <c r="K266" s="87" t="e">
        <f>VLOOKUP(TEXT(#REF!,"HH:MM:SS AM/PM"),time_slots_text,1,0)</f>
        <v>#REF!</v>
      </c>
      <c r="L266" s="91" t="e">
        <f>VLOOKUP(#REF!,Time_Slots_used,1,1)</f>
        <v>#REF!</v>
      </c>
      <c r="M266" s="84" t="e">
        <f>#REF!+L266</f>
        <v>#REF!</v>
      </c>
      <c r="N266" s="81" t="str">
        <f>IFERROR(TEXT(M266,"MM/DD/YYYY HH:MM")&amp;"-&gt;"&amp;#REF!,"")</f>
        <v/>
      </c>
      <c r="O266" t="str">
        <f>IFERROR(#REF!&amp;" in " &amp;#REF!,"")</f>
        <v/>
      </c>
      <c r="P266">
        <f t="shared" si="36"/>
        <v>166</v>
      </c>
    </row>
    <row r="267" spans="2:16" x14ac:dyDescent="0.2">
      <c r="B267" s="83"/>
      <c r="C267" s="121"/>
      <c r="D267" s="121"/>
      <c r="E267" s="121"/>
      <c r="F267" s="82"/>
      <c r="G267" s="122"/>
      <c r="H267" s="83"/>
      <c r="J267" t="e">
        <f>VLOOKUP(#REF!,category_list,1,0)</f>
        <v>#REF!</v>
      </c>
      <c r="K267" s="87" t="e">
        <f>VLOOKUP(TEXT(#REF!,"HH:MM:SS AM/PM"),time_slots_text,1,0)</f>
        <v>#REF!</v>
      </c>
      <c r="L267" s="91" t="e">
        <f>VLOOKUP(#REF!,Time_Slots_used,1,1)</f>
        <v>#REF!</v>
      </c>
      <c r="M267" s="84" t="e">
        <f>#REF!+L267</f>
        <v>#REF!</v>
      </c>
      <c r="N267" s="81" t="str">
        <f>IFERROR(TEXT(M267,"MM/DD/YYYY HH:MM")&amp;"-&gt;"&amp;#REF!,"")</f>
        <v/>
      </c>
      <c r="O267" t="str">
        <f>IFERROR(#REF!&amp;" in " &amp;#REF!,"")</f>
        <v/>
      </c>
      <c r="P267">
        <f t="shared" si="36"/>
        <v>166</v>
      </c>
    </row>
    <row r="268" spans="2:16" x14ac:dyDescent="0.2">
      <c r="B268" s="83"/>
      <c r="C268" s="121"/>
      <c r="D268" s="121"/>
      <c r="E268" s="121"/>
      <c r="F268" s="82"/>
      <c r="G268" s="122"/>
      <c r="H268" s="83"/>
      <c r="J268" t="e">
        <f>VLOOKUP(#REF!,category_list,1,0)</f>
        <v>#REF!</v>
      </c>
      <c r="K268" s="87" t="e">
        <f>VLOOKUP(TEXT(#REF!,"HH:MM:SS AM/PM"),time_slots_text,1,0)</f>
        <v>#REF!</v>
      </c>
      <c r="L268" s="91" t="e">
        <f>VLOOKUP(#REF!,Time_Slots_used,1,1)</f>
        <v>#REF!</v>
      </c>
      <c r="M268" s="84" t="e">
        <f>#REF!+L268</f>
        <v>#REF!</v>
      </c>
      <c r="N268" s="81" t="str">
        <f>IFERROR(TEXT(M268,"MM/DD/YYYY HH:MM")&amp;"-&gt;"&amp;#REF!,"")</f>
        <v/>
      </c>
      <c r="O268" t="str">
        <f>IFERROR(#REF!&amp;" in " &amp;#REF!,"")</f>
        <v/>
      </c>
      <c r="P268">
        <f t="shared" si="36"/>
        <v>166</v>
      </c>
    </row>
    <row r="269" spans="2:16" x14ac:dyDescent="0.2">
      <c r="B269" s="83"/>
      <c r="C269" s="121"/>
      <c r="D269" s="121"/>
      <c r="E269" s="121"/>
      <c r="F269" s="82"/>
      <c r="G269" s="122"/>
      <c r="H269" s="83"/>
      <c r="J269" t="e">
        <f>VLOOKUP(#REF!,category_list,1,0)</f>
        <v>#REF!</v>
      </c>
      <c r="K269" s="87" t="e">
        <f>VLOOKUP(TEXT(#REF!,"HH:MM:SS AM/PM"),time_slots_text,1,0)</f>
        <v>#REF!</v>
      </c>
      <c r="L269" s="91" t="e">
        <f>VLOOKUP(#REF!,Time_Slots_used,1,1)</f>
        <v>#REF!</v>
      </c>
      <c r="M269" s="84" t="e">
        <f>#REF!+L269</f>
        <v>#REF!</v>
      </c>
      <c r="N269" s="81" t="str">
        <f>IFERROR(TEXT(M269,"MM/DD/YYYY HH:MM")&amp;"-&gt;"&amp;#REF!,"")</f>
        <v/>
      </c>
      <c r="O269" t="str">
        <f>IFERROR(#REF!&amp;" in " &amp;#REF!,"")</f>
        <v/>
      </c>
      <c r="P269">
        <f t="shared" si="36"/>
        <v>166</v>
      </c>
    </row>
    <row r="270" spans="2:16" x14ac:dyDescent="0.2">
      <c r="B270" s="83"/>
      <c r="C270" s="121"/>
      <c r="D270" s="121"/>
      <c r="E270" s="121"/>
      <c r="F270" s="82"/>
      <c r="G270" s="122"/>
      <c r="H270" s="83"/>
      <c r="J270" t="e">
        <f>VLOOKUP(#REF!,category_list,1,0)</f>
        <v>#REF!</v>
      </c>
      <c r="K270" s="87" t="e">
        <f>VLOOKUP(TEXT(#REF!,"HH:MM:SS AM/PM"),time_slots_text,1,0)</f>
        <v>#REF!</v>
      </c>
      <c r="L270" s="91" t="e">
        <f>VLOOKUP(#REF!,Time_Slots_used,1,1)</f>
        <v>#REF!</v>
      </c>
      <c r="M270" s="84" t="e">
        <f>#REF!+L270</f>
        <v>#REF!</v>
      </c>
      <c r="N270" s="81" t="str">
        <f>IFERROR(TEXT(M270,"MM/DD/YYYY HH:MM")&amp;"-&gt;"&amp;#REF!,"")</f>
        <v/>
      </c>
      <c r="O270" t="str">
        <f>IFERROR(#REF!&amp;" in " &amp;#REF!,"")</f>
        <v/>
      </c>
      <c r="P270">
        <f t="shared" si="36"/>
        <v>166</v>
      </c>
    </row>
    <row r="271" spans="2:16" x14ac:dyDescent="0.2">
      <c r="B271" s="83"/>
      <c r="C271" s="121"/>
      <c r="D271" s="121"/>
      <c r="E271" s="121"/>
      <c r="F271" s="82"/>
      <c r="G271" s="122"/>
      <c r="H271" s="83"/>
      <c r="J271" t="e">
        <f>VLOOKUP(#REF!,category_list,1,0)</f>
        <v>#REF!</v>
      </c>
      <c r="K271" s="87" t="e">
        <f>VLOOKUP(TEXT(#REF!,"HH:MM:SS AM/PM"),time_slots_text,1,0)</f>
        <v>#REF!</v>
      </c>
      <c r="L271" s="91" t="e">
        <f>VLOOKUP(#REF!,Time_Slots_used,1,1)</f>
        <v>#REF!</v>
      </c>
      <c r="M271" s="84" t="e">
        <f>#REF!+L271</f>
        <v>#REF!</v>
      </c>
      <c r="N271" s="81" t="str">
        <f>IFERROR(TEXT(M271,"MM/DD/YYYY HH:MM")&amp;"-&gt;"&amp;#REF!,"")</f>
        <v/>
      </c>
      <c r="O271" t="str">
        <f>IFERROR(#REF!&amp;" in " &amp;#REF!,"")</f>
        <v/>
      </c>
      <c r="P271">
        <f t="shared" si="36"/>
        <v>166</v>
      </c>
    </row>
    <row r="272" spans="2:16" x14ac:dyDescent="0.2">
      <c r="B272" s="83"/>
      <c r="C272" s="121"/>
      <c r="D272" s="121"/>
      <c r="E272" s="121"/>
      <c r="F272" s="82"/>
      <c r="G272" s="122"/>
      <c r="H272" s="83"/>
      <c r="J272" t="e">
        <f>VLOOKUP(#REF!,category_list,1,0)</f>
        <v>#REF!</v>
      </c>
      <c r="K272" s="87" t="e">
        <f>VLOOKUP(TEXT(#REF!,"HH:MM:SS AM/PM"),time_slots_text,1,0)</f>
        <v>#REF!</v>
      </c>
      <c r="L272" s="91" t="e">
        <f>VLOOKUP(#REF!,Time_Slots_used,1,1)</f>
        <v>#REF!</v>
      </c>
      <c r="M272" s="84" t="e">
        <f>#REF!+L272</f>
        <v>#REF!</v>
      </c>
      <c r="N272" s="81" t="str">
        <f>IFERROR(TEXT(M272,"MM/DD/YYYY HH:MM")&amp;"-&gt;"&amp;#REF!,"")</f>
        <v/>
      </c>
      <c r="O272" t="str">
        <f>IFERROR(#REF!&amp;" in " &amp;#REF!,"")</f>
        <v/>
      </c>
      <c r="P272">
        <f t="shared" si="36"/>
        <v>166</v>
      </c>
    </row>
    <row r="273" spans="2:16" x14ac:dyDescent="0.2">
      <c r="B273" s="83"/>
      <c r="C273" s="121"/>
      <c r="D273" s="121"/>
      <c r="E273" s="121"/>
      <c r="F273" s="82"/>
      <c r="G273" s="122"/>
      <c r="H273" s="83"/>
      <c r="J273" t="e">
        <f>VLOOKUP(#REF!,category_list,1,0)</f>
        <v>#REF!</v>
      </c>
      <c r="K273" s="87" t="e">
        <f>VLOOKUP(TEXT(#REF!,"HH:MM:SS AM/PM"),time_slots_text,1,0)</f>
        <v>#REF!</v>
      </c>
      <c r="L273" s="91" t="e">
        <f>VLOOKUP(#REF!,Time_Slots_used,1,1)</f>
        <v>#REF!</v>
      </c>
      <c r="M273" s="84" t="e">
        <f>#REF!+L273</f>
        <v>#REF!</v>
      </c>
      <c r="N273" s="81" t="str">
        <f>IFERROR(TEXT(M273,"MM/DD/YYYY HH:MM")&amp;"-&gt;"&amp;#REF!,"")</f>
        <v/>
      </c>
      <c r="O273" t="str">
        <f>IFERROR(#REF!&amp;" in " &amp;#REF!,"")</f>
        <v/>
      </c>
      <c r="P273">
        <f t="shared" si="36"/>
        <v>166</v>
      </c>
    </row>
    <row r="274" spans="2:16" x14ac:dyDescent="0.2">
      <c r="B274" s="83"/>
      <c r="C274" s="121"/>
      <c r="D274" s="121"/>
      <c r="E274" s="121"/>
      <c r="F274" s="82"/>
      <c r="G274" s="122"/>
      <c r="H274" s="83"/>
      <c r="J274" t="e">
        <f>VLOOKUP(#REF!,category_list,1,0)</f>
        <v>#REF!</v>
      </c>
      <c r="K274" s="87" t="e">
        <f>VLOOKUP(TEXT(#REF!,"HH:MM:SS AM/PM"),time_slots_text,1,0)</f>
        <v>#REF!</v>
      </c>
      <c r="L274" s="91" t="e">
        <f>VLOOKUP(#REF!,Time_Slots_used,1,1)</f>
        <v>#REF!</v>
      </c>
      <c r="M274" s="84" t="e">
        <f>#REF!+L274</f>
        <v>#REF!</v>
      </c>
      <c r="N274" s="81" t="str">
        <f>IFERROR(TEXT(M274,"MM/DD/YYYY HH:MM")&amp;"-&gt;"&amp;#REF!,"")</f>
        <v/>
      </c>
      <c r="O274" t="str">
        <f>IFERROR(#REF!&amp;" in " &amp;#REF!,"")</f>
        <v/>
      </c>
      <c r="P274">
        <f t="shared" si="36"/>
        <v>166</v>
      </c>
    </row>
    <row r="275" spans="2:16" x14ac:dyDescent="0.2">
      <c r="J275" t="e">
        <f>VLOOKUP(#REF!,category_list,1,0)</f>
        <v>#REF!</v>
      </c>
      <c r="K275" s="87" t="e">
        <f>VLOOKUP(TEXT(#REF!,"HH:MM:SS AM/PM"),time_slots_text,1,0)</f>
        <v>#REF!</v>
      </c>
      <c r="L275" s="91" t="e">
        <f>VLOOKUP(#REF!,Time_Slots_used,1,1)</f>
        <v>#REF!</v>
      </c>
      <c r="M275" s="84" t="e">
        <f>#REF!+L275</f>
        <v>#REF!</v>
      </c>
      <c r="N275" s="81" t="str">
        <f>IFERROR(TEXT(M275,"MM/DD/YYYY HH:MM")&amp;"-&gt;"&amp;#REF!,"")</f>
        <v/>
      </c>
      <c r="O275" t="str">
        <f>IFERROR(#REF!&amp;" in " &amp;#REF!,"")</f>
        <v/>
      </c>
      <c r="P275">
        <f t="shared" si="36"/>
        <v>166</v>
      </c>
    </row>
    <row r="276" spans="2:16" x14ac:dyDescent="0.2">
      <c r="I276" t="s">
        <v>50</v>
      </c>
      <c r="J276" t="e">
        <f>VLOOKUP(#REF!,category_list,1,0)</f>
        <v>#REF!</v>
      </c>
      <c r="K276" s="87" t="e">
        <f>VLOOKUP(TEXT(#REF!,"HH:MM:SS AM/PM"),time_slots_text,1,0)</f>
        <v>#REF!</v>
      </c>
      <c r="L276" s="91" t="e">
        <f>VLOOKUP(#REF!,Time_Slots_used,1,1)</f>
        <v>#REF!</v>
      </c>
      <c r="M276" s="84" t="e">
        <f>#REF!+L276</f>
        <v>#REF!</v>
      </c>
      <c r="N276" s="81" t="str">
        <f>IFERROR(TEXT(M276,"MM/DD/YYYY HH:MM")&amp;"-&gt;"&amp;#REF!,"")</f>
        <v/>
      </c>
      <c r="O276" t="str">
        <f>IFERROR(#REF!&amp;" in " &amp;#REF!,"")</f>
        <v/>
      </c>
      <c r="P276">
        <f t="shared" si="36"/>
        <v>166</v>
      </c>
    </row>
    <row r="277" spans="2:16" x14ac:dyDescent="0.2">
      <c r="J277" t="e">
        <f>VLOOKUP(#REF!,category_list,1,0)</f>
        <v>#REF!</v>
      </c>
      <c r="K277" s="87" t="e">
        <f>VLOOKUP(TEXT(#REF!,"HH:MM:SS AM/PM"),time_slots_text,1,0)</f>
        <v>#REF!</v>
      </c>
      <c r="L277" s="91" t="e">
        <f>VLOOKUP(#REF!,Time_Slots_used,1,1)</f>
        <v>#REF!</v>
      </c>
      <c r="M277" s="84" t="e">
        <f>#REF!+L277</f>
        <v>#REF!</v>
      </c>
      <c r="N277" s="81" t="str">
        <f>IFERROR(TEXT(M277,"MM/DD/YYYY HH:MM")&amp;"-&gt;"&amp;#REF!,"")</f>
        <v/>
      </c>
      <c r="O277" t="str">
        <f>IFERROR(#REF!&amp;" in " &amp;#REF!,"")</f>
        <v/>
      </c>
      <c r="P277">
        <f t="shared" si="36"/>
        <v>166</v>
      </c>
    </row>
    <row r="278" spans="2:16" x14ac:dyDescent="0.2">
      <c r="J278" t="e">
        <f>VLOOKUP(#REF!,category_list,1,0)</f>
        <v>#REF!</v>
      </c>
      <c r="K278" s="87" t="e">
        <f>VLOOKUP(TEXT(#REF!,"HH:MM:SS AM/PM"),time_slots_text,1,0)</f>
        <v>#REF!</v>
      </c>
      <c r="L278" s="91" t="e">
        <f>VLOOKUP(#REF!,Time_Slots_used,1,1)</f>
        <v>#REF!</v>
      </c>
      <c r="M278" s="84" t="e">
        <f>#REF!+L278</f>
        <v>#REF!</v>
      </c>
      <c r="N278" s="81" t="str">
        <f>IFERROR(TEXT(M278,"MM/DD/YYYY HH:MM")&amp;"-&gt;"&amp;#REF!,"")</f>
        <v/>
      </c>
      <c r="O278" t="str">
        <f>IFERROR(#REF!&amp;" in " &amp;#REF!,"")</f>
        <v/>
      </c>
      <c r="P278">
        <f t="shared" si="36"/>
        <v>166</v>
      </c>
    </row>
    <row r="279" spans="2:16" x14ac:dyDescent="0.2">
      <c r="J279" t="e">
        <f>VLOOKUP(#REF!,category_list,1,0)</f>
        <v>#REF!</v>
      </c>
      <c r="K279" s="87" t="e">
        <f>VLOOKUP(TEXT(#REF!,"HH:MM:SS AM/PM"),time_slots_text,1,0)</f>
        <v>#REF!</v>
      </c>
      <c r="L279" s="91" t="e">
        <f>VLOOKUP(#REF!,Time_Slots_used,1,1)</f>
        <v>#REF!</v>
      </c>
      <c r="M279" s="84" t="e">
        <f>#REF!+L279</f>
        <v>#REF!</v>
      </c>
      <c r="N279" s="81" t="str">
        <f>IFERROR(TEXT(M279,"MM/DD/YYYY HH:MM")&amp;"-&gt;"&amp;#REF!,"")</f>
        <v/>
      </c>
      <c r="O279" t="str">
        <f>IFERROR(#REF!&amp;" in " &amp;#REF!,"")</f>
        <v/>
      </c>
      <c r="P279">
        <f t="shared" si="36"/>
        <v>166</v>
      </c>
    </row>
    <row r="280" spans="2:16" x14ac:dyDescent="0.2">
      <c r="J280" t="e">
        <f>VLOOKUP(#REF!,category_list,1,0)</f>
        <v>#REF!</v>
      </c>
      <c r="K280" s="87" t="e">
        <f>VLOOKUP(TEXT(#REF!,"HH:MM:SS AM/PM"),time_slots_text,1,0)</f>
        <v>#REF!</v>
      </c>
      <c r="L280" s="91" t="e">
        <f>VLOOKUP(#REF!,Time_Slots_used,1,1)</f>
        <v>#REF!</v>
      </c>
      <c r="M280" s="84" t="e">
        <f>#REF!+L280</f>
        <v>#REF!</v>
      </c>
      <c r="N280" s="81" t="str">
        <f>IFERROR(TEXT(M280,"MM/DD/YYYY HH:MM")&amp;"-&gt;"&amp;#REF!,"")</f>
        <v/>
      </c>
      <c r="O280" t="str">
        <f>IFERROR(#REF!&amp;" in " &amp;#REF!,"")</f>
        <v/>
      </c>
      <c r="P280">
        <f t="shared" si="36"/>
        <v>166</v>
      </c>
    </row>
    <row r="281" spans="2:16" x14ac:dyDescent="0.2">
      <c r="J281" t="e">
        <f>VLOOKUP(#REF!,category_list,1,0)</f>
        <v>#REF!</v>
      </c>
      <c r="K281" s="87" t="e">
        <f>VLOOKUP(TEXT(#REF!,"HH:MM:SS AM/PM"),time_slots_text,1,0)</f>
        <v>#REF!</v>
      </c>
      <c r="L281" s="91" t="e">
        <f>VLOOKUP(#REF!,Time_Slots_used,1,1)</f>
        <v>#REF!</v>
      </c>
      <c r="M281" s="84" t="e">
        <f>#REF!+L281</f>
        <v>#REF!</v>
      </c>
      <c r="N281" s="81" t="str">
        <f>IFERROR(TEXT(M281,"MM/DD/YYYY HH:MM")&amp;"-&gt;"&amp;#REF!,"")</f>
        <v/>
      </c>
      <c r="O281" t="str">
        <f>IFERROR(#REF!&amp;" in " &amp;#REF!,"")</f>
        <v/>
      </c>
      <c r="P281">
        <f t="shared" si="36"/>
        <v>166</v>
      </c>
    </row>
    <row r="282" spans="2:16" x14ac:dyDescent="0.2">
      <c r="J282" t="e">
        <f>VLOOKUP(#REF!,category_list,1,0)</f>
        <v>#REF!</v>
      </c>
      <c r="K282" s="87" t="e">
        <f>VLOOKUP(TEXT(#REF!,"HH:MM:SS AM/PM"),time_slots_text,1,0)</f>
        <v>#REF!</v>
      </c>
      <c r="L282" s="91" t="e">
        <f>VLOOKUP(#REF!,Time_Slots_used,1,1)</f>
        <v>#REF!</v>
      </c>
      <c r="M282" s="84" t="e">
        <f>#REF!+L282</f>
        <v>#REF!</v>
      </c>
      <c r="N282" s="81" t="str">
        <f>IFERROR(TEXT(M282,"MM/DD/YYYY HH:MM")&amp;"-&gt;"&amp;#REF!,"")</f>
        <v/>
      </c>
      <c r="O282" t="str">
        <f>IFERROR(#REF!&amp;" in " &amp;#REF!,"")</f>
        <v/>
      </c>
      <c r="P282">
        <f t="shared" si="36"/>
        <v>166</v>
      </c>
    </row>
    <row r="283" spans="2:16" x14ac:dyDescent="0.2">
      <c r="J283" t="s">
        <v>50</v>
      </c>
      <c r="K283" t="s">
        <v>50</v>
      </c>
      <c r="L283" t="s">
        <v>50</v>
      </c>
      <c r="M283" t="s">
        <v>50</v>
      </c>
      <c r="N283" t="s">
        <v>50</v>
      </c>
      <c r="O283" t="s">
        <v>50</v>
      </c>
      <c r="P283" t="s">
        <v>50</v>
      </c>
    </row>
  </sheetData>
  <autoFilter ref="B2:H195" xr:uid="{00000000-0009-0000-0000-000008000000}"/>
  <sortState ref="B3:V284">
    <sortCondition ref="B2"/>
  </sortState>
  <conditionalFormatting sqref="C117:C118 C120:C123 C125:C128 C130:C133 C135:C138 C140:C143 C145:C148 C150:C153 C155:C158 C160:C169">
    <cfRule type="expression" dxfId="134" priority="204">
      <formula>ISERROR(K117)</formula>
    </cfRule>
  </conditionalFormatting>
  <conditionalFormatting sqref="C162">
    <cfRule type="expression" dxfId="133" priority="103">
      <formula>ISERROR(K162)</formula>
    </cfRule>
  </conditionalFormatting>
  <conditionalFormatting sqref="C159">
    <cfRule type="expression" dxfId="132" priority="115">
      <formula>ISERROR(K369)</formula>
    </cfRule>
  </conditionalFormatting>
  <conditionalFormatting sqref="B273">
    <cfRule type="expression" dxfId="131" priority="113">
      <formula>ISERROR(J273)</formula>
    </cfRule>
  </conditionalFormatting>
  <conditionalFormatting sqref="C212:C222">
    <cfRule type="expression" dxfId="130" priority="112">
      <formula>ISERROR(K212)</formula>
    </cfRule>
  </conditionalFormatting>
  <conditionalFormatting sqref="C215">
    <cfRule type="expression" dxfId="129" priority="111">
      <formula>ISERROR(K215)</formula>
    </cfRule>
  </conditionalFormatting>
  <conditionalFormatting sqref="C217">
    <cfRule type="expression" dxfId="128" priority="110">
      <formula>ISERROR(K217)</formula>
    </cfRule>
  </conditionalFormatting>
  <conditionalFormatting sqref="C216">
    <cfRule type="expression" dxfId="127" priority="109">
      <formula>ISERROR(K216)</formula>
    </cfRule>
  </conditionalFormatting>
  <conditionalFormatting sqref="C218">
    <cfRule type="expression" dxfId="126" priority="108">
      <formula>ISERROR(K218)</formula>
    </cfRule>
  </conditionalFormatting>
  <conditionalFormatting sqref="C219">
    <cfRule type="expression" dxfId="125" priority="107">
      <formula>ISERROR(K219)</formula>
    </cfRule>
  </conditionalFormatting>
  <conditionalFormatting sqref="C220">
    <cfRule type="expression" dxfId="124" priority="106">
      <formula>ISERROR(K462)</formula>
    </cfRule>
  </conditionalFormatting>
  <conditionalFormatting sqref="E221">
    <cfRule type="expression" dxfId="123" priority="105">
      <formula>ISERROR(M221)</formula>
    </cfRule>
  </conditionalFormatting>
  <conditionalFormatting sqref="C164">
    <cfRule type="expression" dxfId="122" priority="102">
      <formula>ISERROR(K164)</formula>
    </cfRule>
  </conditionalFormatting>
  <conditionalFormatting sqref="C163">
    <cfRule type="expression" dxfId="121" priority="101">
      <formula>ISERROR(K163)</formula>
    </cfRule>
  </conditionalFormatting>
  <conditionalFormatting sqref="C165">
    <cfRule type="expression" dxfId="120" priority="100">
      <formula>ISERROR(K165)</formula>
    </cfRule>
  </conditionalFormatting>
  <conditionalFormatting sqref="C166">
    <cfRule type="expression" dxfId="119" priority="99">
      <formula>ISERROR(K166)</formula>
    </cfRule>
  </conditionalFormatting>
  <conditionalFormatting sqref="C167">
    <cfRule type="expression" dxfId="118" priority="98">
      <formula>ISERROR(K409)</formula>
    </cfRule>
  </conditionalFormatting>
  <conditionalFormatting sqref="E168">
    <cfRule type="expression" dxfId="117" priority="97">
      <formula>ISERROR(M168)</formula>
    </cfRule>
  </conditionalFormatting>
  <conditionalFormatting sqref="C170 C172 C174 C176 C178 C180 C182">
    <cfRule type="expression" dxfId="116" priority="82">
      <formula>ISERROR(K170)</formula>
    </cfRule>
  </conditionalFormatting>
  <conditionalFormatting sqref="C170 C172 C174 C176 C178 C180 C182">
    <cfRule type="expression" dxfId="115" priority="81">
      <formula>ISERROR(K170)</formula>
    </cfRule>
  </conditionalFormatting>
  <conditionalFormatting sqref="C171 C173 C175 C177 C179 C181 C183">
    <cfRule type="expression" dxfId="114" priority="80">
      <formula>ISERROR(K171)</formula>
    </cfRule>
  </conditionalFormatting>
  <conditionalFormatting sqref="C171 C173 C175 C177 C179 C181 C183">
    <cfRule type="expression" dxfId="113" priority="79">
      <formula>ISERROR(K171)</formula>
    </cfRule>
  </conditionalFormatting>
  <conditionalFormatting sqref="C93">
    <cfRule type="expression" dxfId="112" priority="11">
      <formula>ISERROR(K93)</formula>
    </cfRule>
  </conditionalFormatting>
  <conditionalFormatting sqref="E61 C4:C18 C32:C57 C59:C92 C20:C26">
    <cfRule type="expression" dxfId="111" priority="62">
      <formula>ISERROR(K4)</formula>
    </cfRule>
  </conditionalFormatting>
  <conditionalFormatting sqref="C35">
    <cfRule type="expression" dxfId="110" priority="60">
      <formula>ISERROR(K35)</formula>
    </cfRule>
  </conditionalFormatting>
  <conditionalFormatting sqref="C37">
    <cfRule type="expression" dxfId="109" priority="58">
      <formula>ISERROR(K37)</formula>
    </cfRule>
  </conditionalFormatting>
  <conditionalFormatting sqref="C33">
    <cfRule type="expression" dxfId="108" priority="61">
      <formula>ISERROR(K33)</formula>
    </cfRule>
  </conditionalFormatting>
  <conditionalFormatting sqref="C36">
    <cfRule type="expression" dxfId="107" priority="59">
      <formula>ISERROR(K36)</formula>
    </cfRule>
  </conditionalFormatting>
  <conditionalFormatting sqref="C65">
    <cfRule type="expression" dxfId="106" priority="57">
      <formula>ISERROR(K65)</formula>
    </cfRule>
  </conditionalFormatting>
  <conditionalFormatting sqref="C66">
    <cfRule type="expression" dxfId="105" priority="56">
      <formula>ISERROR(K66)</formula>
    </cfRule>
  </conditionalFormatting>
  <conditionalFormatting sqref="C67">
    <cfRule type="expression" dxfId="104" priority="55">
      <formula>ISERROR(K67)</formula>
    </cfRule>
  </conditionalFormatting>
  <conditionalFormatting sqref="C68">
    <cfRule type="expression" dxfId="103" priority="54">
      <formula>ISERROR(K68)</formula>
    </cfRule>
  </conditionalFormatting>
  <conditionalFormatting sqref="C69">
    <cfRule type="expression" dxfId="102" priority="53">
      <formula>ISERROR(K69)</formula>
    </cfRule>
  </conditionalFormatting>
  <conditionalFormatting sqref="C70">
    <cfRule type="expression" dxfId="101" priority="52">
      <formula>ISERROR(K70)</formula>
    </cfRule>
  </conditionalFormatting>
  <conditionalFormatting sqref="C27">
    <cfRule type="expression" dxfId="100" priority="51">
      <formula>ISERROR(K27)</formula>
    </cfRule>
  </conditionalFormatting>
  <conditionalFormatting sqref="C44 C46">
    <cfRule type="expression" dxfId="99" priority="70">
      <formula>ISERROR(K44)</formula>
    </cfRule>
  </conditionalFormatting>
  <conditionalFormatting sqref="C71:C83">
    <cfRule type="expression" dxfId="98" priority="69">
      <formula>ISERROR(K292)</formula>
    </cfRule>
  </conditionalFormatting>
  <conditionalFormatting sqref="C45 C47">
    <cfRule type="expression" dxfId="97" priority="68">
      <formula>ISERROR(K45)</formula>
    </cfRule>
  </conditionalFormatting>
  <conditionalFormatting sqref="C28">
    <cfRule type="expression" dxfId="96" priority="67">
      <formula>ISERROR(K28)</formula>
    </cfRule>
  </conditionalFormatting>
  <conditionalFormatting sqref="C30">
    <cfRule type="expression" dxfId="95" priority="66">
      <formula>ISERROR(K30)</formula>
    </cfRule>
  </conditionalFormatting>
  <conditionalFormatting sqref="C29">
    <cfRule type="expression" dxfId="94" priority="65">
      <formula>ISERROR(K29)</formula>
    </cfRule>
  </conditionalFormatting>
  <conditionalFormatting sqref="C34">
    <cfRule type="expression" dxfId="93" priority="64">
      <formula>ISERROR(K34)</formula>
    </cfRule>
  </conditionalFormatting>
  <conditionalFormatting sqref="C84">
    <cfRule type="expression" dxfId="92" priority="63">
      <formula>ISERROR(K308)</formula>
    </cfRule>
  </conditionalFormatting>
  <conditionalFormatting sqref="C85">
    <cfRule type="expression" dxfId="91" priority="50">
      <formula>ISERROR(K85)</formula>
    </cfRule>
  </conditionalFormatting>
  <conditionalFormatting sqref="C86">
    <cfRule type="expression" dxfId="90" priority="49">
      <formula>ISERROR(K86)</formula>
    </cfRule>
  </conditionalFormatting>
  <conditionalFormatting sqref="C99">
    <cfRule type="expression" dxfId="89" priority="39">
      <formula>ISERROR(K98)</formula>
    </cfRule>
  </conditionalFormatting>
  <conditionalFormatting sqref="C92">
    <cfRule type="expression" dxfId="88" priority="48">
      <formula>ISERROR(K91)</formula>
    </cfRule>
  </conditionalFormatting>
  <conditionalFormatting sqref="C90">
    <cfRule type="expression" dxfId="87" priority="47">
      <formula>ISERROR(K89)</formula>
    </cfRule>
  </conditionalFormatting>
  <conditionalFormatting sqref="C89">
    <cfRule type="expression" dxfId="86" priority="46">
      <formula>ISERROR(K88)</formula>
    </cfRule>
  </conditionalFormatting>
  <conditionalFormatting sqref="C32">
    <cfRule type="expression" dxfId="85" priority="45">
      <formula>ISERROR(K32)</formula>
    </cfRule>
  </conditionalFormatting>
  <conditionalFormatting sqref="C31">
    <cfRule type="expression" dxfId="84" priority="44">
      <formula>ISERROR(K31)</formula>
    </cfRule>
  </conditionalFormatting>
  <conditionalFormatting sqref="C95">
    <cfRule type="expression" dxfId="83" priority="43">
      <formula>ISERROR(K94)</formula>
    </cfRule>
  </conditionalFormatting>
  <conditionalFormatting sqref="C96">
    <cfRule type="expression" dxfId="82" priority="42">
      <formula>ISERROR(K95)</formula>
    </cfRule>
  </conditionalFormatting>
  <conditionalFormatting sqref="C97">
    <cfRule type="expression" dxfId="81" priority="41">
      <formula>ISERROR(K96)</formula>
    </cfRule>
  </conditionalFormatting>
  <conditionalFormatting sqref="C98">
    <cfRule type="expression" dxfId="80" priority="40">
      <formula>ISERROR(K97)</formula>
    </cfRule>
  </conditionalFormatting>
  <conditionalFormatting sqref="C100:C102">
    <cfRule type="expression" dxfId="79" priority="38">
      <formula>ISERROR(K99)</formula>
    </cfRule>
  </conditionalFormatting>
  <conditionalFormatting sqref="C110">
    <cfRule type="expression" dxfId="78" priority="33">
      <formula>ISERROR(K109)</formula>
    </cfRule>
  </conditionalFormatting>
  <conditionalFormatting sqref="C109">
    <cfRule type="expression" dxfId="77" priority="34">
      <formula>ISERROR(K108)</formula>
    </cfRule>
  </conditionalFormatting>
  <conditionalFormatting sqref="C111">
    <cfRule type="expression" dxfId="76" priority="32">
      <formula>ISERROR(K110)</formula>
    </cfRule>
  </conditionalFormatting>
  <conditionalFormatting sqref="C103">
    <cfRule type="expression" dxfId="75" priority="37">
      <formula>ISERROR(K102)</formula>
    </cfRule>
  </conditionalFormatting>
  <conditionalFormatting sqref="C104">
    <cfRule type="expression" dxfId="74" priority="36">
      <formula>ISERROR(K103)</formula>
    </cfRule>
  </conditionalFormatting>
  <conditionalFormatting sqref="C105">
    <cfRule type="expression" dxfId="73" priority="35">
      <formula>ISERROR(K104)</formula>
    </cfRule>
  </conditionalFormatting>
  <conditionalFormatting sqref="C112">
    <cfRule type="expression" dxfId="72" priority="31">
      <formula>ISERROR(K111)</formula>
    </cfRule>
  </conditionalFormatting>
  <conditionalFormatting sqref="C113">
    <cfRule type="expression" dxfId="71" priority="30">
      <formula>ISERROR(K112)</formula>
    </cfRule>
  </conditionalFormatting>
  <conditionalFormatting sqref="C106">
    <cfRule type="expression" dxfId="70" priority="29">
      <formula>ISERROR(K105)</formula>
    </cfRule>
  </conditionalFormatting>
  <conditionalFormatting sqref="C107">
    <cfRule type="expression" dxfId="69" priority="28">
      <formula>ISERROR(K106)</formula>
    </cfRule>
  </conditionalFormatting>
  <conditionalFormatting sqref="C108">
    <cfRule type="expression" dxfId="68" priority="27">
      <formula>ISERROR(K107)</formula>
    </cfRule>
  </conditionalFormatting>
  <conditionalFormatting sqref="C60">
    <cfRule type="expression" dxfId="67" priority="26">
      <formula>ISERROR(K281)</formula>
    </cfRule>
  </conditionalFormatting>
  <conditionalFormatting sqref="C61">
    <cfRule type="expression" dxfId="66" priority="25">
      <formula>ISERROR(K282)</formula>
    </cfRule>
  </conditionalFormatting>
  <conditionalFormatting sqref="C62">
    <cfRule type="expression" dxfId="65" priority="24">
      <formula>ISERROR(K283)</formula>
    </cfRule>
  </conditionalFormatting>
  <conditionalFormatting sqref="C63">
    <cfRule type="expression" dxfId="64" priority="23">
      <formula>ISERROR(K284)</formula>
    </cfRule>
  </conditionalFormatting>
  <conditionalFormatting sqref="C59">
    <cfRule type="expression" dxfId="63" priority="22">
      <formula>ISERROR(K280)</formula>
    </cfRule>
  </conditionalFormatting>
  <conditionalFormatting sqref="C60:C62">
    <cfRule type="expression" dxfId="62" priority="20">
      <formula>ISERROR(K281)</formula>
    </cfRule>
  </conditionalFormatting>
  <conditionalFormatting sqref="C44">
    <cfRule type="expression" dxfId="61" priority="19">
      <formula>ISERROR(K44)</formula>
    </cfRule>
  </conditionalFormatting>
  <conditionalFormatting sqref="C45">
    <cfRule type="expression" dxfId="60" priority="18">
      <formula>ISERROR(K45)</formula>
    </cfRule>
  </conditionalFormatting>
  <conditionalFormatting sqref="C46">
    <cfRule type="expression" dxfId="59" priority="17">
      <formula>ISERROR(K46)</formula>
    </cfRule>
  </conditionalFormatting>
  <conditionalFormatting sqref="C47">
    <cfRule type="expression" dxfId="58" priority="16">
      <formula>ISERROR(K47)</formula>
    </cfRule>
  </conditionalFormatting>
  <conditionalFormatting sqref="C64">
    <cfRule type="expression" dxfId="57" priority="15">
      <formula>ISERROR(K64)</formula>
    </cfRule>
  </conditionalFormatting>
  <conditionalFormatting sqref="C65">
    <cfRule type="expression" dxfId="56" priority="14">
      <formula>ISERROR(K65)</formula>
    </cfRule>
  </conditionalFormatting>
  <conditionalFormatting sqref="C68">
    <cfRule type="expression" dxfId="55" priority="13">
      <formula>ISERROR(K68)</formula>
    </cfRule>
  </conditionalFormatting>
  <conditionalFormatting sqref="C69">
    <cfRule type="expression" dxfId="54" priority="12">
      <formula>ISERROR(K69)</formula>
    </cfRule>
  </conditionalFormatting>
  <conditionalFormatting sqref="C93">
    <cfRule type="expression" dxfId="53" priority="10">
      <formula>ISERROR(K92)</formula>
    </cfRule>
  </conditionalFormatting>
  <conditionalFormatting sqref="C94">
    <cfRule type="expression" dxfId="52" priority="9">
      <formula>ISERROR(K94)</formula>
    </cfRule>
  </conditionalFormatting>
  <conditionalFormatting sqref="C94">
    <cfRule type="expression" dxfId="51" priority="8">
      <formula>ISERROR(K93)</formula>
    </cfRule>
  </conditionalFormatting>
  <conditionalFormatting sqref="C114">
    <cfRule type="expression" dxfId="50" priority="7">
      <formula>ISERROR(K113)</formula>
    </cfRule>
  </conditionalFormatting>
  <conditionalFormatting sqref="C115">
    <cfRule type="expression" dxfId="49" priority="6">
      <formula>ISERROR(K115)</formula>
    </cfRule>
  </conditionalFormatting>
  <conditionalFormatting sqref="C116">
    <cfRule type="expression" dxfId="48" priority="5">
      <formula>ISERROR(K116)</formula>
    </cfRule>
  </conditionalFormatting>
  <conditionalFormatting sqref="C58">
    <cfRule type="expression" dxfId="47" priority="4">
      <formula>ISERROR(K58)</formula>
    </cfRule>
  </conditionalFormatting>
  <conditionalFormatting sqref="C2">
    <cfRule type="expression" dxfId="46" priority="2">
      <formula>ISERROR(K2)</formula>
    </cfRule>
  </conditionalFormatting>
  <conditionalFormatting sqref="C1">
    <cfRule type="expression" dxfId="45" priority="3">
      <formula>ISERROR(K211)</formula>
    </cfRule>
  </conditionalFormatting>
  <conditionalFormatting sqref="C19">
    <cfRule type="expression" dxfId="44" priority="1">
      <formula>ISERROR(K18)</formula>
    </cfRule>
  </conditionalFormatting>
  <dataValidations count="1">
    <dataValidation type="list" allowBlank="1" showInputMessage="1" showErrorMessage="1" sqref="F120:F123 F212:F222 F125:F128 F130:F133 F135:F138 F140:F143 F145:F148 F4:F118 F150:F153 F1:F2 F155:F183" xr:uid="{00000000-0002-0000-0800-000000000000}">
      <formula1>category_list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1:K145"/>
  <sheetViews>
    <sheetView workbookViewId="0"/>
  </sheetViews>
  <sheetFormatPr baseColWidth="10" defaultColWidth="8.83203125" defaultRowHeight="15" x14ac:dyDescent="0.2"/>
  <cols>
    <col min="1" max="1" width="21.33203125" customWidth="1"/>
    <col min="2" max="11" width="24.83203125" customWidth="1"/>
    <col min="15" max="15" width="10.6640625" bestFit="1" customWidth="1"/>
  </cols>
  <sheetData>
    <row r="1" spans="1:11" x14ac:dyDescent="0.2">
      <c r="A1" s="7"/>
      <c r="B1" s="7"/>
      <c r="C1" s="7"/>
      <c r="D1" s="7"/>
    </row>
    <row r="2" spans="1:11" ht="19" x14ac:dyDescent="0.25">
      <c r="A2" s="46" t="s">
        <v>307</v>
      </c>
      <c r="B2" s="482"/>
      <c r="C2" s="483"/>
      <c r="D2" s="47" t="s">
        <v>308</v>
      </c>
      <c r="E2" s="23" t="s">
        <v>23</v>
      </c>
      <c r="F2" t="e">
        <f>VLOOKUP(B2,teams_table,4,0)</f>
        <v>#N/A</v>
      </c>
    </row>
    <row r="3" spans="1:11" x14ac:dyDescent="0.2">
      <c r="A3" s="17"/>
      <c r="B3" s="7"/>
      <c r="C3" s="7"/>
      <c r="D3" s="7"/>
      <c r="E3" s="18"/>
      <c r="F3" s="7"/>
      <c r="G3" s="18"/>
      <c r="H3" s="7"/>
    </row>
    <row r="4" spans="1:11" x14ac:dyDescent="0.2">
      <c r="A4" s="37" t="s">
        <v>309</v>
      </c>
      <c r="B4" s="38">
        <f>Tables!U5</f>
        <v>43057</v>
      </c>
      <c r="C4" s="38">
        <f>B4+1</f>
        <v>43058</v>
      </c>
      <c r="D4" s="38">
        <f t="shared" ref="D4:K4" si="0">C4+1</f>
        <v>43059</v>
      </c>
      <c r="E4" s="38">
        <f t="shared" si="0"/>
        <v>43060</v>
      </c>
      <c r="F4" s="38">
        <f t="shared" si="0"/>
        <v>43061</v>
      </c>
      <c r="G4" s="38">
        <f t="shared" si="0"/>
        <v>43062</v>
      </c>
      <c r="H4" s="38">
        <f t="shared" si="0"/>
        <v>43063</v>
      </c>
      <c r="I4" s="38">
        <f t="shared" si="0"/>
        <v>43064</v>
      </c>
      <c r="J4" s="38">
        <f t="shared" si="0"/>
        <v>43065</v>
      </c>
      <c r="K4" s="38">
        <f t="shared" si="0"/>
        <v>43066</v>
      </c>
    </row>
    <row r="5" spans="1:11" x14ac:dyDescent="0.2">
      <c r="A5" s="39"/>
      <c r="B5" s="40" t="s">
        <v>310</v>
      </c>
      <c r="C5" s="40" t="s">
        <v>311</v>
      </c>
      <c r="D5" s="40" t="s">
        <v>312</v>
      </c>
      <c r="E5" s="40" t="s">
        <v>313</v>
      </c>
      <c r="F5" s="40" t="s">
        <v>314</v>
      </c>
      <c r="G5" s="40" t="s">
        <v>315</v>
      </c>
      <c r="H5" s="40" t="s">
        <v>316</v>
      </c>
      <c r="I5" s="40" t="s">
        <v>317</v>
      </c>
      <c r="J5" s="40" t="s">
        <v>318</v>
      </c>
      <c r="K5" s="40" t="s">
        <v>319</v>
      </c>
    </row>
    <row r="6" spans="1:11" ht="33" customHeight="1" x14ac:dyDescent="0.2">
      <c r="A6" s="41">
        <v>0.33333333333333331</v>
      </c>
      <c r="B6" s="74" t="str">
        <f>IF(AND(B49&lt;&gt;"",B74&lt;&gt;""),"CONFLICT",B49&amp;B74)</f>
        <v/>
      </c>
      <c r="C6" s="75" t="str">
        <f t="shared" ref="C6:K6" si="1">IF(AND(C49&lt;&gt;"",C74&lt;&gt;""),"CONFLICT",C49&amp;C74)</f>
        <v/>
      </c>
      <c r="D6" s="76" t="str">
        <f t="shared" si="1"/>
        <v/>
      </c>
      <c r="E6" s="76" t="str">
        <f t="shared" si="1"/>
        <v/>
      </c>
      <c r="F6" s="76" t="str">
        <f t="shared" si="1"/>
        <v/>
      </c>
      <c r="G6" s="75" t="str">
        <f t="shared" si="1"/>
        <v/>
      </c>
      <c r="H6" s="75" t="str">
        <f t="shared" si="1"/>
        <v/>
      </c>
      <c r="I6" s="74" t="str">
        <f t="shared" si="1"/>
        <v/>
      </c>
      <c r="J6" s="75" t="str">
        <f t="shared" si="1"/>
        <v/>
      </c>
      <c r="K6" s="77" t="str">
        <f t="shared" si="1"/>
        <v/>
      </c>
    </row>
    <row r="7" spans="1:11" ht="33" customHeight="1" x14ac:dyDescent="0.2">
      <c r="A7" s="42">
        <f t="shared" ref="A7:A25" si="2">A6+$A$42</f>
        <v>0.36805555555555552</v>
      </c>
      <c r="B7" s="74" t="str">
        <f t="shared" ref="B7:K7" si="3">IF(AND(B50&lt;&gt;"",B75&lt;&gt;""),"CONFLICT",B50&amp;B75)</f>
        <v/>
      </c>
      <c r="C7" s="75" t="str">
        <f t="shared" si="3"/>
        <v/>
      </c>
      <c r="D7" s="76" t="str">
        <f t="shared" si="3"/>
        <v/>
      </c>
      <c r="E7" s="76" t="str">
        <f t="shared" si="3"/>
        <v/>
      </c>
      <c r="F7" s="76" t="str">
        <f t="shared" si="3"/>
        <v/>
      </c>
      <c r="G7" s="75" t="str">
        <f t="shared" si="3"/>
        <v/>
      </c>
      <c r="H7" s="75" t="str">
        <f t="shared" si="3"/>
        <v/>
      </c>
      <c r="I7" s="74" t="str">
        <f t="shared" si="3"/>
        <v/>
      </c>
      <c r="J7" s="75" t="str">
        <f t="shared" si="3"/>
        <v/>
      </c>
      <c r="K7" s="77" t="str">
        <f t="shared" si="3"/>
        <v/>
      </c>
    </row>
    <row r="8" spans="1:11" ht="33" customHeight="1" x14ac:dyDescent="0.2">
      <c r="A8" s="42">
        <f t="shared" si="2"/>
        <v>0.40277777777777773</v>
      </c>
      <c r="B8" s="74" t="str">
        <f t="shared" ref="B8:K8" si="4">IF(AND(B51&lt;&gt;"",B76&lt;&gt;""),"CONFLICT",B51&amp;B76)</f>
        <v/>
      </c>
      <c r="C8" s="75" t="str">
        <f t="shared" si="4"/>
        <v/>
      </c>
      <c r="D8" s="76" t="str">
        <f t="shared" si="4"/>
        <v/>
      </c>
      <c r="E8" s="76" t="str">
        <f t="shared" si="4"/>
        <v/>
      </c>
      <c r="F8" s="76" t="str">
        <f t="shared" si="4"/>
        <v/>
      </c>
      <c r="G8" s="75" t="str">
        <f t="shared" si="4"/>
        <v/>
      </c>
      <c r="H8" s="75" t="str">
        <f t="shared" si="4"/>
        <v/>
      </c>
      <c r="I8" s="74" t="str">
        <f t="shared" si="4"/>
        <v/>
      </c>
      <c r="J8" s="75" t="str">
        <f t="shared" si="4"/>
        <v/>
      </c>
      <c r="K8" s="77" t="str">
        <f t="shared" si="4"/>
        <v/>
      </c>
    </row>
    <row r="9" spans="1:11" ht="33" customHeight="1" x14ac:dyDescent="0.2">
      <c r="A9" s="42">
        <f t="shared" si="2"/>
        <v>0.43749999999999994</v>
      </c>
      <c r="B9" s="74" t="str">
        <f t="shared" ref="B9:K9" si="5">IF(AND(B52&lt;&gt;"",B77&lt;&gt;""),"CONFLICT",B52&amp;B77)</f>
        <v/>
      </c>
      <c r="C9" s="75" t="str">
        <f t="shared" si="5"/>
        <v/>
      </c>
      <c r="D9" s="76" t="str">
        <f t="shared" si="5"/>
        <v/>
      </c>
      <c r="E9" s="76" t="str">
        <f t="shared" si="5"/>
        <v/>
      </c>
      <c r="F9" s="76" t="str">
        <f t="shared" si="5"/>
        <v/>
      </c>
      <c r="G9" s="75" t="str">
        <f t="shared" si="5"/>
        <v/>
      </c>
      <c r="H9" s="75" t="str">
        <f t="shared" si="5"/>
        <v/>
      </c>
      <c r="I9" s="74" t="str">
        <f t="shared" si="5"/>
        <v/>
      </c>
      <c r="J9" s="75" t="str">
        <f t="shared" si="5"/>
        <v/>
      </c>
      <c r="K9" s="77" t="str">
        <f t="shared" si="5"/>
        <v/>
      </c>
    </row>
    <row r="10" spans="1:11" ht="33" customHeight="1" x14ac:dyDescent="0.2">
      <c r="A10" s="42">
        <f t="shared" si="2"/>
        <v>0.47222222222222215</v>
      </c>
      <c r="B10" s="74" t="str">
        <f t="shared" ref="B10:K10" si="6">IF(AND(B53&lt;&gt;"",B78&lt;&gt;""),"CONFLICT",B53&amp;B78)</f>
        <v/>
      </c>
      <c r="C10" s="75" t="str">
        <f t="shared" si="6"/>
        <v/>
      </c>
      <c r="D10" s="76" t="str">
        <f t="shared" si="6"/>
        <v/>
      </c>
      <c r="E10" s="76" t="str">
        <f t="shared" si="6"/>
        <v/>
      </c>
      <c r="F10" s="76" t="str">
        <f t="shared" si="6"/>
        <v/>
      </c>
      <c r="G10" s="75" t="str">
        <f t="shared" si="6"/>
        <v/>
      </c>
      <c r="H10" s="75" t="str">
        <f t="shared" si="6"/>
        <v/>
      </c>
      <c r="I10" s="74" t="str">
        <f t="shared" si="6"/>
        <v/>
      </c>
      <c r="J10" s="75" t="str">
        <f t="shared" si="6"/>
        <v/>
      </c>
      <c r="K10" s="77" t="str">
        <f t="shared" si="6"/>
        <v/>
      </c>
    </row>
    <row r="11" spans="1:11" ht="33" customHeight="1" x14ac:dyDescent="0.2">
      <c r="A11" s="42">
        <f t="shared" si="2"/>
        <v>0.50694444444444442</v>
      </c>
      <c r="B11" s="74" t="str">
        <f t="shared" ref="B11:K11" si="7">IF(AND(B54&lt;&gt;"",B79&lt;&gt;""),"CONFLICT",B54&amp;B79)</f>
        <v/>
      </c>
      <c r="C11" s="75" t="str">
        <f t="shared" si="7"/>
        <v/>
      </c>
      <c r="D11" s="76" t="str">
        <f t="shared" si="7"/>
        <v/>
      </c>
      <c r="E11" s="76" t="str">
        <f t="shared" si="7"/>
        <v/>
      </c>
      <c r="F11" s="76" t="str">
        <f t="shared" si="7"/>
        <v/>
      </c>
      <c r="G11" s="75" t="str">
        <f t="shared" si="7"/>
        <v/>
      </c>
      <c r="H11" s="75" t="str">
        <f t="shared" si="7"/>
        <v/>
      </c>
      <c r="I11" s="74" t="str">
        <f t="shared" si="7"/>
        <v/>
      </c>
      <c r="J11" s="75" t="str">
        <f t="shared" si="7"/>
        <v/>
      </c>
      <c r="K11" s="77" t="str">
        <f t="shared" si="7"/>
        <v/>
      </c>
    </row>
    <row r="12" spans="1:11" ht="33" customHeight="1" x14ac:dyDescent="0.2">
      <c r="A12" s="42">
        <f t="shared" si="2"/>
        <v>0.54166666666666663</v>
      </c>
      <c r="B12" s="74" t="str">
        <f t="shared" ref="B12:K12" si="8">IF(AND(B55&lt;&gt;"",B80&lt;&gt;""),"CONFLICT",B55&amp;B80)</f>
        <v/>
      </c>
      <c r="C12" s="75" t="str">
        <f t="shared" si="8"/>
        <v/>
      </c>
      <c r="D12" s="76" t="str">
        <f t="shared" si="8"/>
        <v/>
      </c>
      <c r="E12" s="76" t="str">
        <f t="shared" si="8"/>
        <v/>
      </c>
      <c r="F12" s="76" t="str">
        <f t="shared" si="8"/>
        <v/>
      </c>
      <c r="G12" s="75" t="str">
        <f t="shared" si="8"/>
        <v/>
      </c>
      <c r="H12" s="75" t="str">
        <f t="shared" si="8"/>
        <v/>
      </c>
      <c r="I12" s="74" t="str">
        <f t="shared" si="8"/>
        <v/>
      </c>
      <c r="J12" s="75" t="str">
        <f t="shared" si="8"/>
        <v/>
      </c>
      <c r="K12" s="77" t="str">
        <f t="shared" si="8"/>
        <v/>
      </c>
    </row>
    <row r="13" spans="1:11" ht="33" customHeight="1" x14ac:dyDescent="0.2">
      <c r="A13" s="42">
        <f t="shared" si="2"/>
        <v>0.57638888888888884</v>
      </c>
      <c r="B13" s="74" t="str">
        <f t="shared" ref="B13:K13" si="9">IF(AND(B56&lt;&gt;"",B81&lt;&gt;""),"CONFLICT",B56&amp;B81)</f>
        <v/>
      </c>
      <c r="C13" s="75" t="str">
        <f t="shared" si="9"/>
        <v/>
      </c>
      <c r="D13" s="76" t="str">
        <f t="shared" si="9"/>
        <v/>
      </c>
      <c r="E13" s="76" t="str">
        <f t="shared" si="9"/>
        <v/>
      </c>
      <c r="F13" s="76" t="str">
        <f t="shared" si="9"/>
        <v/>
      </c>
      <c r="G13" s="75" t="str">
        <f t="shared" si="9"/>
        <v/>
      </c>
      <c r="H13" s="75" t="str">
        <f t="shared" si="9"/>
        <v/>
      </c>
      <c r="I13" s="74" t="str">
        <f t="shared" si="9"/>
        <v/>
      </c>
      <c r="J13" s="75" t="str">
        <f t="shared" si="9"/>
        <v/>
      </c>
      <c r="K13" s="77" t="str">
        <f t="shared" si="9"/>
        <v/>
      </c>
    </row>
    <row r="14" spans="1:11" ht="33" customHeight="1" x14ac:dyDescent="0.2">
      <c r="A14" s="42">
        <f t="shared" si="2"/>
        <v>0.61111111111111105</v>
      </c>
      <c r="B14" s="74" t="str">
        <f t="shared" ref="B14:K14" si="10">IF(AND(B57&lt;&gt;"",B82&lt;&gt;""),"CONFLICT",B57&amp;B82)</f>
        <v/>
      </c>
      <c r="C14" s="75" t="str">
        <f t="shared" si="10"/>
        <v/>
      </c>
      <c r="D14" s="76" t="str">
        <f t="shared" si="10"/>
        <v/>
      </c>
      <c r="E14" s="76" t="str">
        <f t="shared" si="10"/>
        <v/>
      </c>
      <c r="F14" s="76" t="str">
        <f t="shared" si="10"/>
        <v/>
      </c>
      <c r="G14" s="75" t="str">
        <f t="shared" si="10"/>
        <v/>
      </c>
      <c r="H14" s="75" t="str">
        <f t="shared" si="10"/>
        <v/>
      </c>
      <c r="I14" s="74" t="str">
        <f t="shared" si="10"/>
        <v/>
      </c>
      <c r="J14" s="75" t="str">
        <f t="shared" si="10"/>
        <v/>
      </c>
      <c r="K14" s="77" t="str">
        <f t="shared" si="10"/>
        <v/>
      </c>
    </row>
    <row r="15" spans="1:11" ht="33" customHeight="1" x14ac:dyDescent="0.2">
      <c r="A15" s="42">
        <f t="shared" si="2"/>
        <v>0.64583333333333326</v>
      </c>
      <c r="B15" s="74" t="str">
        <f t="shared" ref="B15:K15" si="11">IF(AND(B58&lt;&gt;"",B83&lt;&gt;""),"CONFLICT",B58&amp;B83)</f>
        <v/>
      </c>
      <c r="C15" s="75" t="str">
        <f t="shared" si="11"/>
        <v/>
      </c>
      <c r="D15" s="76" t="str">
        <f t="shared" si="11"/>
        <v/>
      </c>
      <c r="E15" s="76" t="str">
        <f t="shared" si="11"/>
        <v/>
      </c>
      <c r="F15" s="76" t="str">
        <f t="shared" si="11"/>
        <v/>
      </c>
      <c r="G15" s="75" t="str">
        <f t="shared" si="11"/>
        <v/>
      </c>
      <c r="H15" s="75" t="str">
        <f>IF(AND(H58&lt;&gt;"",H83&lt;&gt;""),"CONFLICT",H58&amp;H83)</f>
        <v/>
      </c>
      <c r="I15" s="74" t="str">
        <f t="shared" si="11"/>
        <v/>
      </c>
      <c r="J15" s="75" t="str">
        <f t="shared" si="11"/>
        <v/>
      </c>
      <c r="K15" s="77" t="str">
        <f t="shared" si="11"/>
        <v/>
      </c>
    </row>
    <row r="16" spans="1:11" ht="33" customHeight="1" x14ac:dyDescent="0.2">
      <c r="A16" s="42">
        <f t="shared" si="2"/>
        <v>0.68055555555555547</v>
      </c>
      <c r="B16" s="74" t="str">
        <f t="shared" ref="B16:G16" si="12">IF(AND(B59&lt;&gt;"",B84&lt;&gt;""),"CONFLICT",B59&amp;B84)</f>
        <v/>
      </c>
      <c r="C16" s="75" t="str">
        <f t="shared" si="12"/>
        <v/>
      </c>
      <c r="D16" s="76" t="str">
        <f t="shared" si="12"/>
        <v>CONFLICT</v>
      </c>
      <c r="E16" s="76" t="str">
        <f t="shared" si="12"/>
        <v>CONFLICT</v>
      </c>
      <c r="F16" s="76" t="str">
        <f t="shared" si="12"/>
        <v>CONFLICT</v>
      </c>
      <c r="G16" s="78" t="str">
        <f t="shared" si="12"/>
        <v>CONFLICT</v>
      </c>
      <c r="H16" s="78" t="str">
        <f>IF(AND(H59&lt;&gt;"",H84&lt;&gt;""),"CONFLICT",H59&amp;H84)</f>
        <v/>
      </c>
      <c r="I16" s="74" t="str">
        <f>IF(AND(I59&lt;&gt;"",I84&lt;&gt;""),"CONFLICT",I59&amp;I84)</f>
        <v/>
      </c>
      <c r="J16" s="75" t="str">
        <f>IF(AND(J59&lt;&gt;"",J84&lt;&gt;""),"CONFLICT",J59&amp;J84)</f>
        <v/>
      </c>
      <c r="K16" s="77" t="str">
        <f>IF(AND(K59&lt;&gt;"",K84&lt;&gt;""),"CONFLICT",K59&amp;K84)</f>
        <v/>
      </c>
    </row>
    <row r="17" spans="1:11" ht="33" customHeight="1" x14ac:dyDescent="0.2">
      <c r="A17" s="42">
        <f t="shared" si="2"/>
        <v>0.71527777777777768</v>
      </c>
      <c r="B17" s="74" t="str">
        <f t="shared" ref="B17:K17" si="13">IF(AND(B60&lt;&gt;"",B85&lt;&gt;""),"CONFLICT",B60&amp;B85)</f>
        <v/>
      </c>
      <c r="C17" s="75" t="str">
        <f t="shared" si="13"/>
        <v/>
      </c>
      <c r="D17" s="76" t="str">
        <f t="shared" si="13"/>
        <v>CONFLICT</v>
      </c>
      <c r="E17" s="76" t="str">
        <f t="shared" si="13"/>
        <v>CONFLICT</v>
      </c>
      <c r="F17" s="76" t="str">
        <f>IF(AND(F60&lt;&gt;"",F85&lt;&gt;""),"CONFLICT",F60&amp;F85)</f>
        <v>CONFLICT</v>
      </c>
      <c r="G17" s="78" t="str">
        <f t="shared" si="13"/>
        <v/>
      </c>
      <c r="H17" s="78" t="str">
        <f t="shared" si="13"/>
        <v/>
      </c>
      <c r="I17" s="74" t="str">
        <f t="shared" si="13"/>
        <v/>
      </c>
      <c r="J17" s="75" t="str">
        <f t="shared" si="13"/>
        <v/>
      </c>
      <c r="K17" s="77" t="str">
        <f t="shared" si="13"/>
        <v/>
      </c>
    </row>
    <row r="18" spans="1:11" ht="33" customHeight="1" x14ac:dyDescent="0.2">
      <c r="A18" s="42">
        <f t="shared" si="2"/>
        <v>0.74999999999999989</v>
      </c>
      <c r="B18" s="74" t="str">
        <f t="shared" ref="B18:K18" si="14">IF(AND(B61&lt;&gt;"",B86&lt;&gt;""),"CONFLICT",B61&amp;B86)</f>
        <v/>
      </c>
      <c r="C18" s="75" t="str">
        <f t="shared" si="14"/>
        <v/>
      </c>
      <c r="D18" s="76" t="str">
        <f t="shared" si="14"/>
        <v/>
      </c>
      <c r="E18" s="76" t="str">
        <f t="shared" si="14"/>
        <v/>
      </c>
      <c r="F18" s="76" t="str">
        <f t="shared" si="14"/>
        <v/>
      </c>
      <c r="G18" s="78" t="str">
        <f t="shared" si="14"/>
        <v/>
      </c>
      <c r="H18" s="78" t="str">
        <f t="shared" si="14"/>
        <v/>
      </c>
      <c r="I18" s="74" t="str">
        <f t="shared" si="14"/>
        <v/>
      </c>
      <c r="J18" s="75" t="str">
        <f t="shared" si="14"/>
        <v/>
      </c>
      <c r="K18" s="77" t="str">
        <f t="shared" si="14"/>
        <v/>
      </c>
    </row>
    <row r="19" spans="1:11" ht="33" customHeight="1" x14ac:dyDescent="0.2">
      <c r="A19" s="42">
        <f t="shared" si="2"/>
        <v>0.7847222222222221</v>
      </c>
      <c r="B19" s="75" t="str">
        <f t="shared" ref="B19:K19" si="15">IF(AND(B62&lt;&gt;"",B87&lt;&gt;""),"CONFLICT",B62&amp;B87)</f>
        <v>CONFLICT</v>
      </c>
      <c r="C19" s="75" t="str">
        <f t="shared" si="15"/>
        <v/>
      </c>
      <c r="D19" s="76" t="str">
        <f t="shared" si="15"/>
        <v/>
      </c>
      <c r="E19" s="76" t="str">
        <f t="shared" si="15"/>
        <v/>
      </c>
      <c r="F19" s="76" t="str">
        <f t="shared" si="15"/>
        <v/>
      </c>
      <c r="G19" s="78" t="str">
        <f t="shared" si="15"/>
        <v/>
      </c>
      <c r="H19" s="78" t="str">
        <f t="shared" si="15"/>
        <v/>
      </c>
      <c r="I19" s="75" t="str">
        <f t="shared" si="15"/>
        <v>CONFLICT</v>
      </c>
      <c r="J19" s="75" t="str">
        <f t="shared" si="15"/>
        <v/>
      </c>
      <c r="K19" s="77" t="str">
        <f t="shared" si="15"/>
        <v/>
      </c>
    </row>
    <row r="20" spans="1:11" ht="33" customHeight="1" x14ac:dyDescent="0.2">
      <c r="A20" s="42">
        <f t="shared" si="2"/>
        <v>0.81944444444444431</v>
      </c>
      <c r="B20" s="75" t="str">
        <f t="shared" ref="B20:K20" si="16">IF(AND(B63&lt;&gt;"",B88&lt;&gt;""),"CONFLICT",B63&amp;B88)</f>
        <v>CONFLICT</v>
      </c>
      <c r="C20" s="75" t="str">
        <f t="shared" si="16"/>
        <v/>
      </c>
      <c r="D20" s="76" t="str">
        <f t="shared" si="16"/>
        <v/>
      </c>
      <c r="E20" s="76" t="str">
        <f t="shared" si="16"/>
        <v/>
      </c>
      <c r="F20" s="76" t="str">
        <f t="shared" si="16"/>
        <v/>
      </c>
      <c r="G20" s="78" t="str">
        <f t="shared" si="16"/>
        <v/>
      </c>
      <c r="H20" s="78" t="str">
        <f t="shared" si="16"/>
        <v/>
      </c>
      <c r="I20" s="75" t="str">
        <f t="shared" si="16"/>
        <v>CONFLICT</v>
      </c>
      <c r="J20" s="75" t="str">
        <f t="shared" si="16"/>
        <v/>
      </c>
      <c r="K20" s="77" t="str">
        <f t="shared" si="16"/>
        <v/>
      </c>
    </row>
    <row r="21" spans="1:11" ht="33" customHeight="1" x14ac:dyDescent="0.2">
      <c r="A21" s="42">
        <f t="shared" si="2"/>
        <v>0.85416666666666652</v>
      </c>
      <c r="B21" s="75" t="str">
        <f t="shared" ref="B21:K21" si="17">IF(AND(B64&lt;&gt;"",B89&lt;&gt;""),"CONFLICT",B64&amp;B89)</f>
        <v/>
      </c>
      <c r="C21" s="75" t="str">
        <f t="shared" si="17"/>
        <v/>
      </c>
      <c r="D21" s="76" t="str">
        <f t="shared" si="17"/>
        <v/>
      </c>
      <c r="E21" s="76" t="str">
        <f t="shared" si="17"/>
        <v/>
      </c>
      <c r="F21" s="76" t="str">
        <f t="shared" si="17"/>
        <v/>
      </c>
      <c r="G21" s="78" t="str">
        <f t="shared" si="17"/>
        <v/>
      </c>
      <c r="H21" s="78" t="str">
        <f t="shared" si="17"/>
        <v/>
      </c>
      <c r="I21" s="75" t="str">
        <f t="shared" si="17"/>
        <v>CONFLICT</v>
      </c>
      <c r="J21" s="75" t="str">
        <f t="shared" si="17"/>
        <v/>
      </c>
      <c r="K21" s="77" t="str">
        <f t="shared" si="17"/>
        <v/>
      </c>
    </row>
    <row r="22" spans="1:11" ht="33" customHeight="1" x14ac:dyDescent="0.2">
      <c r="A22" s="42">
        <f t="shared" si="2"/>
        <v>0.88888888888888873</v>
      </c>
      <c r="B22" s="75" t="str">
        <f t="shared" ref="B22:K22" si="18">IF(AND(B65&lt;&gt;"",B90&lt;&gt;""),"CONFLICT",B65&amp;B90)</f>
        <v/>
      </c>
      <c r="C22" s="75" t="str">
        <f t="shared" si="18"/>
        <v/>
      </c>
      <c r="D22" s="76" t="str">
        <f t="shared" si="18"/>
        <v/>
      </c>
      <c r="E22" s="76" t="str">
        <f t="shared" si="18"/>
        <v/>
      </c>
      <c r="F22" s="76" t="str">
        <f t="shared" si="18"/>
        <v/>
      </c>
      <c r="G22" s="78" t="str">
        <f t="shared" si="18"/>
        <v/>
      </c>
      <c r="H22" s="78" t="str">
        <f t="shared" si="18"/>
        <v/>
      </c>
      <c r="I22" s="75" t="str">
        <f t="shared" si="18"/>
        <v>CONFLICT</v>
      </c>
      <c r="J22" s="75" t="str">
        <f t="shared" si="18"/>
        <v/>
      </c>
      <c r="K22" s="77" t="str">
        <f t="shared" si="18"/>
        <v/>
      </c>
    </row>
    <row r="23" spans="1:11" ht="33" customHeight="1" x14ac:dyDescent="0.2">
      <c r="A23" s="42">
        <f t="shared" si="2"/>
        <v>0.92361111111111094</v>
      </c>
      <c r="B23" s="75" t="str">
        <f t="shared" ref="B23:K23" si="19">IF(AND(B66&lt;&gt;"",B91&lt;&gt;""),"CONFLICT",B66&amp;B91)</f>
        <v/>
      </c>
      <c r="C23" s="75" t="str">
        <f t="shared" si="19"/>
        <v/>
      </c>
      <c r="D23" s="76" t="str">
        <f t="shared" si="19"/>
        <v/>
      </c>
      <c r="E23" s="76" t="str">
        <f t="shared" si="19"/>
        <v/>
      </c>
      <c r="F23" s="76" t="str">
        <f t="shared" si="19"/>
        <v/>
      </c>
      <c r="G23" s="78" t="str">
        <f t="shared" si="19"/>
        <v/>
      </c>
      <c r="H23" s="78" t="str">
        <f t="shared" si="19"/>
        <v/>
      </c>
      <c r="I23" s="75" t="str">
        <f t="shared" si="19"/>
        <v/>
      </c>
      <c r="J23" s="75" t="str">
        <f t="shared" si="19"/>
        <v/>
      </c>
      <c r="K23" s="77" t="str">
        <f t="shared" si="19"/>
        <v/>
      </c>
    </row>
    <row r="24" spans="1:11" ht="33" customHeight="1" x14ac:dyDescent="0.2">
      <c r="A24" s="42">
        <f t="shared" si="2"/>
        <v>0.95833333333333315</v>
      </c>
      <c r="B24" s="75" t="str">
        <f t="shared" ref="B24:K24" si="20">IF(AND(B67&lt;&gt;"",B92&lt;&gt;""),"CONFLICT",B67&amp;B92)</f>
        <v/>
      </c>
      <c r="C24" s="75" t="str">
        <f t="shared" si="20"/>
        <v/>
      </c>
      <c r="D24" s="76" t="str">
        <f t="shared" si="20"/>
        <v/>
      </c>
      <c r="E24" s="76" t="str">
        <f t="shared" si="20"/>
        <v/>
      </c>
      <c r="F24" s="76" t="str">
        <f t="shared" si="20"/>
        <v/>
      </c>
      <c r="G24" s="78" t="str">
        <f t="shared" si="20"/>
        <v/>
      </c>
      <c r="H24" s="78" t="str">
        <f t="shared" si="20"/>
        <v/>
      </c>
      <c r="I24" s="75" t="str">
        <f t="shared" si="20"/>
        <v/>
      </c>
      <c r="J24" s="75" t="str">
        <f t="shared" si="20"/>
        <v/>
      </c>
      <c r="K24" s="77" t="str">
        <f t="shared" si="20"/>
        <v/>
      </c>
    </row>
    <row r="25" spans="1:11" ht="33" customHeight="1" x14ac:dyDescent="0.2">
      <c r="A25" s="42">
        <f t="shared" si="2"/>
        <v>0.99305555555555536</v>
      </c>
      <c r="B25" s="75" t="str">
        <f t="shared" ref="B25:K25" si="21">IF(AND(B69&lt;&gt;"",B93&lt;&gt;""),"CONFLICT",B69&amp;B93)</f>
        <v/>
      </c>
      <c r="C25" s="75" t="str">
        <f t="shared" si="21"/>
        <v/>
      </c>
      <c r="D25" s="76" t="str">
        <f t="shared" si="21"/>
        <v/>
      </c>
      <c r="E25" s="76" t="str">
        <f t="shared" si="21"/>
        <v/>
      </c>
      <c r="F25" s="76" t="str">
        <f t="shared" si="21"/>
        <v/>
      </c>
      <c r="G25" s="78" t="str">
        <f t="shared" si="21"/>
        <v/>
      </c>
      <c r="H25" s="78" t="str">
        <f t="shared" si="21"/>
        <v/>
      </c>
      <c r="I25" s="75" t="str">
        <f t="shared" si="21"/>
        <v/>
      </c>
      <c r="J25" s="75" t="str">
        <f t="shared" si="21"/>
        <v/>
      </c>
      <c r="K25" s="77" t="str">
        <f t="shared" si="21"/>
        <v/>
      </c>
    </row>
    <row r="26" spans="1:11" ht="33" customHeight="1" thickBot="1" x14ac:dyDescent="0.25">
      <c r="A26" s="22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30" t="s">
        <v>320</v>
      </c>
      <c r="B27" s="31"/>
      <c r="C27" s="31"/>
      <c r="D27" s="31"/>
      <c r="E27" s="31"/>
      <c r="F27" s="31"/>
      <c r="G27" s="31"/>
      <c r="H27" s="31"/>
      <c r="I27" s="31"/>
      <c r="J27" s="31"/>
      <c r="K27" s="32"/>
    </row>
    <row r="28" spans="1:11" x14ac:dyDescent="0.2">
      <c r="A28" s="9" t="s">
        <v>321</v>
      </c>
      <c r="B28" s="35">
        <f>COUNTIF(B6:B21,"&gt;""")</f>
        <v>2</v>
      </c>
      <c r="C28" s="35">
        <f>COUNTIF(C6:C25,"&gt;""")</f>
        <v>0</v>
      </c>
      <c r="D28" s="35">
        <f t="shared" ref="D28:K28" si="22">COUNTIF(D6:D25,"&gt;""")</f>
        <v>2</v>
      </c>
      <c r="E28" s="35">
        <f t="shared" si="22"/>
        <v>2</v>
      </c>
      <c r="F28" s="35">
        <f t="shared" si="22"/>
        <v>2</v>
      </c>
      <c r="G28" s="35">
        <f t="shared" si="22"/>
        <v>1</v>
      </c>
      <c r="H28" s="35">
        <f t="shared" si="22"/>
        <v>0</v>
      </c>
      <c r="I28" s="35">
        <f t="shared" si="22"/>
        <v>4</v>
      </c>
      <c r="J28" s="35">
        <f t="shared" si="22"/>
        <v>0</v>
      </c>
      <c r="K28" s="36">
        <f t="shared" si="22"/>
        <v>0</v>
      </c>
    </row>
    <row r="29" spans="1:11" x14ac:dyDescent="0.2">
      <c r="A29" s="9" t="s">
        <v>322</v>
      </c>
      <c r="B29" s="35">
        <f>First_game(B6:B21)</f>
        <v>14</v>
      </c>
      <c r="C29" s="35">
        <f>First_game(C6:C25)</f>
        <v>0</v>
      </c>
      <c r="D29" s="35">
        <f t="shared" ref="D29:K29" si="23">First_game(D6:D25)</f>
        <v>11</v>
      </c>
      <c r="E29" s="35">
        <f t="shared" si="23"/>
        <v>11</v>
      </c>
      <c r="F29" s="35">
        <f t="shared" si="23"/>
        <v>11</v>
      </c>
      <c r="G29" s="35">
        <f t="shared" si="23"/>
        <v>11</v>
      </c>
      <c r="H29" s="35">
        <f t="shared" si="23"/>
        <v>0</v>
      </c>
      <c r="I29" s="35">
        <f t="shared" si="23"/>
        <v>14</v>
      </c>
      <c r="J29" s="35">
        <f t="shared" si="23"/>
        <v>0</v>
      </c>
      <c r="K29" s="36">
        <f t="shared" si="23"/>
        <v>0</v>
      </c>
    </row>
    <row r="30" spans="1:11" x14ac:dyDescent="0.2">
      <c r="A30" s="9" t="s">
        <v>323</v>
      </c>
      <c r="B30" s="35">
        <f>last_game(B6:B21)</f>
        <v>15</v>
      </c>
      <c r="C30" s="35">
        <f>last_game(C6:C25)</f>
        <v>0</v>
      </c>
      <c r="D30" s="35">
        <f t="shared" ref="D30:K30" si="24">last_game(D6:D25)</f>
        <v>12</v>
      </c>
      <c r="E30" s="35">
        <f t="shared" si="24"/>
        <v>12</v>
      </c>
      <c r="F30" s="35">
        <f t="shared" si="24"/>
        <v>12</v>
      </c>
      <c r="G30" s="35">
        <f t="shared" si="24"/>
        <v>11</v>
      </c>
      <c r="H30" s="35">
        <f t="shared" si="24"/>
        <v>0</v>
      </c>
      <c r="I30" s="35">
        <f t="shared" si="24"/>
        <v>17</v>
      </c>
      <c r="J30" s="35">
        <f t="shared" si="24"/>
        <v>0</v>
      </c>
      <c r="K30" s="36">
        <f t="shared" si="24"/>
        <v>0</v>
      </c>
    </row>
    <row r="31" spans="1:11" x14ac:dyDescent="0.2">
      <c r="A31" s="9" t="s">
        <v>324</v>
      </c>
      <c r="B31" s="35"/>
      <c r="C31" s="35"/>
      <c r="D31" s="35"/>
      <c r="E31" s="35"/>
      <c r="F31" s="35"/>
      <c r="G31" s="35"/>
      <c r="H31" s="35"/>
      <c r="I31" s="35"/>
      <c r="J31" s="35"/>
      <c r="K31" s="36"/>
    </row>
    <row r="32" spans="1:11" ht="16" thickBot="1" x14ac:dyDescent="0.25">
      <c r="A32" s="10" t="s">
        <v>325</v>
      </c>
      <c r="B32" s="33">
        <f>IF(B28-1&lt;&gt;0,rest_between_games(B6:B21)/(B28-1),0)</f>
        <v>0</v>
      </c>
      <c r="C32" s="33">
        <f>IF(C28-1&lt;&gt;0,rest_between_games(C6:C25)/(C28-1),0)</f>
        <v>0</v>
      </c>
      <c r="D32" s="33">
        <f>IF(D28-1&lt;&gt;0,rest_between_games(D6:D25)/(D28-1),0)</f>
        <v>0</v>
      </c>
      <c r="E32" s="33">
        <f>IF(E28-1&lt;&gt;0,rest_between_games(E6:E25)/(E28-1),0)</f>
        <v>0</v>
      </c>
      <c r="F32" s="33">
        <f>IF(F28-1&lt;&gt;0,rest_between_games(F6:F25)/(F28-1),0)</f>
        <v>0</v>
      </c>
      <c r="G32" s="33">
        <f>IF(G28-1&lt;&gt;0,rest_between_games(G6:G25)/(G28-1),0)</f>
        <v>0</v>
      </c>
      <c r="H32" s="33">
        <f>IF(H28-1&lt;&gt;0,rest_between_games(H6:H25)/(H28-1),0)</f>
        <v>0</v>
      </c>
      <c r="I32" s="33">
        <f>IF(I28-1&lt;&gt;0,rest_between_games(I6:I25)/(I28-1),0)</f>
        <v>0</v>
      </c>
      <c r="J32" s="33">
        <f>IF(J28-1&lt;&gt;0,rest_between_games(J6:J25)/(J28-1),0)</f>
        <v>0</v>
      </c>
      <c r="K32" s="34">
        <f>IF(K28-1&lt;&gt;0,rest_between_games(K6:K25)/(K28-1),0)</f>
        <v>0</v>
      </c>
    </row>
    <row r="33" spans="1:11" x14ac:dyDescent="0.2">
      <c r="A33" s="7"/>
      <c r="B33" s="62"/>
      <c r="C33" s="62"/>
      <c r="D33" s="62"/>
      <c r="E33" s="62"/>
      <c r="F33" s="62"/>
      <c r="G33" s="62"/>
      <c r="H33" s="62"/>
      <c r="I33" s="62"/>
      <c r="J33" s="62"/>
      <c r="K33" s="62"/>
    </row>
    <row r="34" spans="1:11" ht="16" thickBot="1" x14ac:dyDescent="0.25"/>
    <row r="35" spans="1:11" x14ac:dyDescent="0.2">
      <c r="A35" s="30" t="s">
        <v>326</v>
      </c>
      <c r="B35" s="31"/>
      <c r="C35" s="31"/>
      <c r="D35" s="31"/>
      <c r="E35" s="31"/>
      <c r="F35" s="32"/>
    </row>
    <row r="36" spans="1:11" x14ac:dyDescent="0.2">
      <c r="A36" s="13" t="s">
        <v>327</v>
      </c>
      <c r="B36" s="18">
        <f>COUNTIF($B$6:$K$25,"&gt;''")</f>
        <v>13</v>
      </c>
      <c r="C36" s="6" t="s">
        <v>328</v>
      </c>
      <c r="D36" s="21">
        <f>min_exept_zeros(C28:K28)</f>
        <v>1</v>
      </c>
      <c r="E36" s="6" t="s">
        <v>329</v>
      </c>
      <c r="F36" s="27">
        <f>IF(SUM(B32:K32)=0,0,AVERAGEIF(B32:K32,"&gt;0"))</f>
        <v>0</v>
      </c>
    </row>
    <row r="37" spans="1:11" x14ac:dyDescent="0.2">
      <c r="A37" s="14" t="s">
        <v>330</v>
      </c>
      <c r="B37" s="18">
        <f>COUNTIF($B$6:$K$25,"CONFLICT")</f>
        <v>13</v>
      </c>
      <c r="C37" s="7" t="s">
        <v>331</v>
      </c>
      <c r="D37" s="20">
        <f>AVERAGEIF(B28:K28,"&gt;0")</f>
        <v>2.1666666666666665</v>
      </c>
      <c r="E37" s="7" t="s">
        <v>332</v>
      </c>
      <c r="F37" s="28" t="s">
        <v>333</v>
      </c>
    </row>
    <row r="38" spans="1:11" ht="16" thickBot="1" x14ac:dyDescent="0.25">
      <c r="A38" s="10" t="s">
        <v>334</v>
      </c>
      <c r="B38" s="19">
        <f>COUNTIF(B28:K28,"&gt;0")</f>
        <v>6</v>
      </c>
      <c r="C38" s="11" t="s">
        <v>335</v>
      </c>
      <c r="D38" s="19">
        <f>MAX(B28:K28)</f>
        <v>4</v>
      </c>
      <c r="E38" s="11"/>
      <c r="F38" s="29"/>
    </row>
    <row r="40" spans="1:11" ht="16" thickBot="1" x14ac:dyDescent="0.25">
      <c r="A40" s="24" t="s">
        <v>336</v>
      </c>
      <c r="B40" s="24"/>
      <c r="C40" s="24"/>
      <c r="D40" s="24"/>
      <c r="E40" s="24"/>
      <c r="F40" s="24"/>
      <c r="G40" s="24"/>
      <c r="H40" s="24"/>
      <c r="I40" s="24"/>
      <c r="J40" s="24"/>
      <c r="K40" s="24"/>
    </row>
    <row r="41" spans="1:11" x14ac:dyDescent="0.2">
      <c r="A41" s="15" t="s">
        <v>337</v>
      </c>
    </row>
    <row r="42" spans="1:11" ht="16" thickBot="1" x14ac:dyDescent="0.25">
      <c r="A42" s="16">
        <v>3.4722222222222224E-2</v>
      </c>
    </row>
    <row r="45" spans="1:11" x14ac:dyDescent="0.2">
      <c r="A45" s="3"/>
      <c r="B45" s="3" t="s">
        <v>338</v>
      </c>
      <c r="C45" s="3">
        <f>B2</f>
        <v>0</v>
      </c>
      <c r="D45" s="3"/>
      <c r="E45" s="3"/>
      <c r="F45" s="3"/>
      <c r="G45" s="3"/>
      <c r="H45" s="3"/>
      <c r="I45" s="3"/>
      <c r="J45" s="3"/>
      <c r="K45" s="3"/>
    </row>
    <row r="46" spans="1:11" x14ac:dyDescent="0.2">
      <c r="A46" s="3"/>
      <c r="B46" s="49">
        <f t="shared" ref="B46:K46" si="25">B4</f>
        <v>43057</v>
      </c>
      <c r="C46" s="49">
        <f t="shared" si="25"/>
        <v>43058</v>
      </c>
      <c r="D46" s="49">
        <f t="shared" si="25"/>
        <v>43059</v>
      </c>
      <c r="E46" s="49">
        <f t="shared" si="25"/>
        <v>43060</v>
      </c>
      <c r="F46" s="49">
        <f t="shared" si="25"/>
        <v>43061</v>
      </c>
      <c r="G46" s="49">
        <f t="shared" si="25"/>
        <v>43062</v>
      </c>
      <c r="H46" s="49">
        <f t="shared" si="25"/>
        <v>43063</v>
      </c>
      <c r="I46" s="49">
        <f t="shared" si="25"/>
        <v>43064</v>
      </c>
      <c r="J46" s="49">
        <f t="shared" si="25"/>
        <v>43065</v>
      </c>
      <c r="K46" s="49">
        <f t="shared" si="25"/>
        <v>43066</v>
      </c>
    </row>
    <row r="47" spans="1:11" x14ac:dyDescent="0.2">
      <c r="A47" s="3"/>
      <c r="B47" s="73" t="s">
        <v>339</v>
      </c>
      <c r="C47" s="73" t="s">
        <v>340</v>
      </c>
      <c r="D47" s="73" t="s">
        <v>341</v>
      </c>
      <c r="E47" s="73" t="s">
        <v>342</v>
      </c>
      <c r="F47" s="73" t="s">
        <v>343</v>
      </c>
      <c r="G47" s="73" t="s">
        <v>344</v>
      </c>
      <c r="H47" s="73" t="s">
        <v>345</v>
      </c>
      <c r="I47" s="73" t="s">
        <v>346</v>
      </c>
      <c r="J47" s="73" t="s">
        <v>347</v>
      </c>
      <c r="K47" s="73" t="s">
        <v>346</v>
      </c>
    </row>
    <row r="48" spans="1:1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</row>
    <row r="49" spans="1:11" x14ac:dyDescent="0.2">
      <c r="A49" s="5">
        <f>A6</f>
        <v>0.33333333333333331</v>
      </c>
      <c r="B49" s="3" t="str">
        <f t="shared" ref="B49:K64" si="26">IFERROR(VLOOKUP(TEXT(B$4+$A49,"MM/DD/YYYY HH:MM")&amp;"-&gt;"&amp;$B$2,check_time_team_field,4,FALSE),"")</f>
        <v/>
      </c>
      <c r="C49" s="3" t="str">
        <f t="shared" si="26"/>
        <v/>
      </c>
      <c r="D49" s="3" t="str">
        <f t="shared" si="26"/>
        <v/>
      </c>
      <c r="E49" s="3" t="str">
        <f t="shared" si="26"/>
        <v/>
      </c>
      <c r="F49" s="3" t="str">
        <f t="shared" si="26"/>
        <v/>
      </c>
      <c r="G49" s="3" t="str">
        <f t="shared" si="26"/>
        <v/>
      </c>
      <c r="H49" s="3" t="str">
        <f t="shared" si="26"/>
        <v/>
      </c>
      <c r="I49" s="3" t="str">
        <f t="shared" si="26"/>
        <v/>
      </c>
      <c r="J49" s="3" t="str">
        <f t="shared" si="26"/>
        <v/>
      </c>
      <c r="K49" s="3" t="str">
        <f t="shared" si="26"/>
        <v/>
      </c>
    </row>
    <row r="50" spans="1:11" x14ac:dyDescent="0.2">
      <c r="A50" s="5">
        <f t="shared" ref="A50:A68" si="27">A7</f>
        <v>0.36805555555555552</v>
      </c>
      <c r="B50" s="3" t="str">
        <f t="shared" si="26"/>
        <v/>
      </c>
      <c r="C50" s="3" t="str">
        <f t="shared" si="26"/>
        <v/>
      </c>
      <c r="D50" s="3" t="str">
        <f t="shared" si="26"/>
        <v/>
      </c>
      <c r="E50" s="3" t="str">
        <f t="shared" si="26"/>
        <v/>
      </c>
      <c r="F50" s="3" t="str">
        <f t="shared" si="26"/>
        <v/>
      </c>
      <c r="G50" s="3" t="str">
        <f t="shared" si="26"/>
        <v/>
      </c>
      <c r="H50" s="3" t="str">
        <f t="shared" si="26"/>
        <v/>
      </c>
      <c r="I50" s="3" t="str">
        <f t="shared" si="26"/>
        <v/>
      </c>
      <c r="J50" s="3" t="str">
        <f t="shared" si="26"/>
        <v/>
      </c>
      <c r="K50" s="3" t="str">
        <f t="shared" si="26"/>
        <v/>
      </c>
    </row>
    <row r="51" spans="1:11" x14ac:dyDescent="0.2">
      <c r="A51" s="5">
        <f t="shared" si="27"/>
        <v>0.40277777777777773</v>
      </c>
      <c r="B51" s="3" t="str">
        <f t="shared" si="26"/>
        <v/>
      </c>
      <c r="C51" s="3" t="str">
        <f t="shared" si="26"/>
        <v/>
      </c>
      <c r="D51" s="3" t="str">
        <f t="shared" si="26"/>
        <v/>
      </c>
      <c r="E51" s="3" t="str">
        <f t="shared" si="26"/>
        <v/>
      </c>
      <c r="F51" s="3" t="str">
        <f t="shared" si="26"/>
        <v/>
      </c>
      <c r="G51" s="3" t="str">
        <f t="shared" si="26"/>
        <v/>
      </c>
      <c r="H51" s="3" t="str">
        <f t="shared" si="26"/>
        <v/>
      </c>
      <c r="I51" s="3" t="str">
        <f t="shared" si="26"/>
        <v/>
      </c>
      <c r="J51" s="3" t="str">
        <f t="shared" si="26"/>
        <v/>
      </c>
      <c r="K51" s="3" t="str">
        <f t="shared" si="26"/>
        <v/>
      </c>
    </row>
    <row r="52" spans="1:11" x14ac:dyDescent="0.2">
      <c r="A52" s="5">
        <f t="shared" si="27"/>
        <v>0.43749999999999994</v>
      </c>
      <c r="B52" s="3" t="str">
        <f t="shared" si="26"/>
        <v/>
      </c>
      <c r="C52" s="3" t="str">
        <f t="shared" si="26"/>
        <v/>
      </c>
      <c r="D52" s="3" t="str">
        <f t="shared" si="26"/>
        <v/>
      </c>
      <c r="E52" s="3" t="str">
        <f t="shared" si="26"/>
        <v/>
      </c>
      <c r="F52" s="3" t="str">
        <f t="shared" si="26"/>
        <v/>
      </c>
      <c r="G52" s="3" t="str">
        <f t="shared" si="26"/>
        <v/>
      </c>
      <c r="H52" s="3" t="str">
        <f t="shared" si="26"/>
        <v/>
      </c>
      <c r="I52" s="3" t="str">
        <f t="shared" si="26"/>
        <v/>
      </c>
      <c r="J52" s="3" t="str">
        <f t="shared" si="26"/>
        <v/>
      </c>
      <c r="K52" s="3" t="str">
        <f t="shared" si="26"/>
        <v/>
      </c>
    </row>
    <row r="53" spans="1:11" x14ac:dyDescent="0.2">
      <c r="A53" s="5">
        <f t="shared" si="27"/>
        <v>0.47222222222222215</v>
      </c>
      <c r="B53" s="3" t="str">
        <f t="shared" si="26"/>
        <v/>
      </c>
      <c r="C53" s="3" t="str">
        <f t="shared" si="26"/>
        <v/>
      </c>
      <c r="D53" s="3" t="str">
        <f t="shared" si="26"/>
        <v/>
      </c>
      <c r="E53" s="3" t="str">
        <f t="shared" si="26"/>
        <v/>
      </c>
      <c r="F53" s="3" t="str">
        <f t="shared" si="26"/>
        <v/>
      </c>
      <c r="G53" s="3" t="str">
        <f t="shared" si="26"/>
        <v/>
      </c>
      <c r="H53" s="3" t="str">
        <f t="shared" si="26"/>
        <v/>
      </c>
      <c r="I53" s="3" t="str">
        <f t="shared" si="26"/>
        <v/>
      </c>
      <c r="J53" s="3" t="str">
        <f t="shared" si="26"/>
        <v/>
      </c>
      <c r="K53" s="3" t="str">
        <f t="shared" si="26"/>
        <v/>
      </c>
    </row>
    <row r="54" spans="1:11" x14ac:dyDescent="0.2">
      <c r="A54" s="5">
        <f t="shared" si="27"/>
        <v>0.50694444444444442</v>
      </c>
      <c r="B54" s="3" t="str">
        <f t="shared" si="26"/>
        <v/>
      </c>
      <c r="C54" s="3" t="str">
        <f t="shared" si="26"/>
        <v/>
      </c>
      <c r="D54" s="3" t="str">
        <f t="shared" si="26"/>
        <v/>
      </c>
      <c r="E54" s="3" t="str">
        <f t="shared" si="26"/>
        <v/>
      </c>
      <c r="F54" s="3" t="str">
        <f t="shared" si="26"/>
        <v/>
      </c>
      <c r="G54" s="3" t="str">
        <f t="shared" si="26"/>
        <v/>
      </c>
      <c r="H54" s="3" t="str">
        <f t="shared" si="26"/>
        <v/>
      </c>
      <c r="I54" s="3" t="str">
        <f t="shared" si="26"/>
        <v/>
      </c>
      <c r="J54" s="3" t="str">
        <f t="shared" si="26"/>
        <v/>
      </c>
      <c r="K54" s="3" t="str">
        <f t="shared" si="26"/>
        <v/>
      </c>
    </row>
    <row r="55" spans="1:11" x14ac:dyDescent="0.2">
      <c r="A55" s="5">
        <f t="shared" si="27"/>
        <v>0.54166666666666663</v>
      </c>
      <c r="B55" s="3" t="str">
        <f t="shared" si="26"/>
        <v/>
      </c>
      <c r="C55" s="3" t="str">
        <f t="shared" si="26"/>
        <v/>
      </c>
      <c r="D55" s="3" t="str">
        <f t="shared" si="26"/>
        <v/>
      </c>
      <c r="E55" s="3" t="str">
        <f t="shared" si="26"/>
        <v/>
      </c>
      <c r="F55" s="3" t="str">
        <f t="shared" si="26"/>
        <v/>
      </c>
      <c r="G55" s="3" t="str">
        <f t="shared" si="26"/>
        <v/>
      </c>
      <c r="H55" s="3" t="str">
        <f t="shared" si="26"/>
        <v/>
      </c>
      <c r="I55" s="3" t="str">
        <f t="shared" si="26"/>
        <v/>
      </c>
      <c r="J55" s="3" t="str">
        <f t="shared" si="26"/>
        <v/>
      </c>
      <c r="K55" s="3" t="str">
        <f t="shared" si="26"/>
        <v/>
      </c>
    </row>
    <row r="56" spans="1:11" x14ac:dyDescent="0.2">
      <c r="A56" s="5">
        <f t="shared" si="27"/>
        <v>0.57638888888888884</v>
      </c>
      <c r="B56" s="3" t="str">
        <f t="shared" si="26"/>
        <v/>
      </c>
      <c r="C56" s="3" t="str">
        <f t="shared" si="26"/>
        <v/>
      </c>
      <c r="D56" s="3" t="str">
        <f t="shared" si="26"/>
        <v/>
      </c>
      <c r="E56" s="3" t="str">
        <f t="shared" si="26"/>
        <v/>
      </c>
      <c r="F56" s="3" t="str">
        <f t="shared" si="26"/>
        <v/>
      </c>
      <c r="G56" s="3" t="str">
        <f t="shared" si="26"/>
        <v/>
      </c>
      <c r="H56" s="3" t="str">
        <f t="shared" si="26"/>
        <v/>
      </c>
      <c r="I56" s="3" t="str">
        <f t="shared" si="26"/>
        <v/>
      </c>
      <c r="J56" s="3" t="str">
        <f t="shared" si="26"/>
        <v/>
      </c>
      <c r="K56" s="3" t="str">
        <f t="shared" si="26"/>
        <v/>
      </c>
    </row>
    <row r="57" spans="1:11" x14ac:dyDescent="0.2">
      <c r="A57" s="5">
        <f t="shared" si="27"/>
        <v>0.61111111111111105</v>
      </c>
      <c r="B57" s="3" t="str">
        <f t="shared" si="26"/>
        <v/>
      </c>
      <c r="C57" s="3" t="str">
        <f t="shared" si="26"/>
        <v/>
      </c>
      <c r="D57" s="3" t="str">
        <f t="shared" si="26"/>
        <v/>
      </c>
      <c r="E57" s="3" t="str">
        <f t="shared" si="26"/>
        <v/>
      </c>
      <c r="F57" s="3" t="str">
        <f t="shared" si="26"/>
        <v/>
      </c>
      <c r="G57" s="3" t="str">
        <f t="shared" si="26"/>
        <v/>
      </c>
      <c r="H57" s="3" t="str">
        <f t="shared" si="26"/>
        <v/>
      </c>
      <c r="I57" s="3" t="str">
        <f t="shared" si="26"/>
        <v/>
      </c>
      <c r="J57" s="3" t="str">
        <f t="shared" si="26"/>
        <v/>
      </c>
      <c r="K57" s="3" t="str">
        <f t="shared" si="26"/>
        <v/>
      </c>
    </row>
    <row r="58" spans="1:11" x14ac:dyDescent="0.2">
      <c r="A58" s="5">
        <f t="shared" si="27"/>
        <v>0.64583333333333326</v>
      </c>
      <c r="B58" s="3" t="str">
        <f t="shared" si="26"/>
        <v/>
      </c>
      <c r="C58" s="3" t="str">
        <f t="shared" si="26"/>
        <v/>
      </c>
      <c r="D58" s="3" t="str">
        <f t="shared" si="26"/>
        <v/>
      </c>
      <c r="E58" s="3" t="str">
        <f t="shared" si="26"/>
        <v/>
      </c>
      <c r="F58" s="3" t="str">
        <f t="shared" si="26"/>
        <v/>
      </c>
      <c r="G58" s="3" t="str">
        <f t="shared" si="26"/>
        <v/>
      </c>
      <c r="H58" s="3" t="str">
        <f t="shared" si="26"/>
        <v/>
      </c>
      <c r="I58" s="3" t="str">
        <f t="shared" si="26"/>
        <v/>
      </c>
      <c r="J58" s="3" t="str">
        <f t="shared" si="26"/>
        <v/>
      </c>
      <c r="K58" s="3" t="str">
        <f t="shared" si="26"/>
        <v/>
      </c>
    </row>
    <row r="59" spans="1:11" x14ac:dyDescent="0.2">
      <c r="A59" s="5">
        <f t="shared" si="27"/>
        <v>0.68055555555555547</v>
      </c>
      <c r="B59" s="3" t="str">
        <f t="shared" si="26"/>
        <v/>
      </c>
      <c r="C59" s="3" t="str">
        <f t="shared" si="26"/>
        <v/>
      </c>
      <c r="D59" s="3" t="str">
        <f t="shared" si="26"/>
        <v>Dodgeball in JCC Back Field 4 ()</v>
      </c>
      <c r="E59" s="3" t="str">
        <f t="shared" si="26"/>
        <v>Dodgeball in JCC Back Field 3 ()</v>
      </c>
      <c r="F59" s="3" t="str">
        <f t="shared" si="26"/>
        <v>Dodgeball in JCC Back Field 2 ()</v>
      </c>
      <c r="G59" s="3" t="str">
        <f t="shared" si="26"/>
        <v>Volleyball in Hillel - Gym Volleyball ()</v>
      </c>
      <c r="H59" s="3" t="str">
        <f t="shared" si="26"/>
        <v/>
      </c>
      <c r="I59" s="3" t="str">
        <f t="shared" si="26"/>
        <v/>
      </c>
      <c r="J59" s="3" t="str">
        <f t="shared" si="26"/>
        <v/>
      </c>
      <c r="K59" s="3" t="str">
        <f t="shared" si="26"/>
        <v/>
      </c>
    </row>
    <row r="60" spans="1:11" x14ac:dyDescent="0.2">
      <c r="A60" s="5">
        <f t="shared" si="27"/>
        <v>0.71527777777777768</v>
      </c>
      <c r="B60" s="3" t="str">
        <f t="shared" si="26"/>
        <v/>
      </c>
      <c r="C60" s="3" t="str">
        <f t="shared" si="26"/>
        <v/>
      </c>
      <c r="D60" s="3" t="str">
        <f t="shared" si="26"/>
        <v>Dodgeball in JCC Back Field 4 ()</v>
      </c>
      <c r="E60" s="3" t="str">
        <f t="shared" si="26"/>
        <v>Dodgeball in JCC Back Field 3 ()</v>
      </c>
      <c r="F60" s="3" t="str">
        <f t="shared" si="26"/>
        <v>Dodgeball in JCC Back Field 2 ()</v>
      </c>
      <c r="G60" s="3" t="str">
        <f t="shared" si="26"/>
        <v/>
      </c>
      <c r="H60" s="3" t="str">
        <f t="shared" si="26"/>
        <v/>
      </c>
      <c r="I60" s="3" t="str">
        <f t="shared" si="26"/>
        <v/>
      </c>
      <c r="J60" s="3" t="str">
        <f t="shared" si="26"/>
        <v/>
      </c>
      <c r="K60" s="3" t="str">
        <f t="shared" si="26"/>
        <v/>
      </c>
    </row>
    <row r="61" spans="1:11" x14ac:dyDescent="0.2">
      <c r="A61" s="5">
        <f t="shared" si="27"/>
        <v>0.74999999999999989</v>
      </c>
      <c r="B61" s="3" t="str">
        <f t="shared" si="26"/>
        <v/>
      </c>
      <c r="C61" s="3" t="str">
        <f t="shared" si="26"/>
        <v/>
      </c>
      <c r="D61" s="3" t="str">
        <f t="shared" si="26"/>
        <v/>
      </c>
      <c r="E61" s="3" t="str">
        <f t="shared" si="26"/>
        <v/>
      </c>
      <c r="F61" s="3" t="str">
        <f t="shared" si="26"/>
        <v/>
      </c>
      <c r="G61" s="3" t="str">
        <f t="shared" si="26"/>
        <v/>
      </c>
      <c r="H61" s="3" t="str">
        <f t="shared" si="26"/>
        <v/>
      </c>
      <c r="I61" s="3" t="str">
        <f t="shared" si="26"/>
        <v/>
      </c>
      <c r="J61" s="3" t="str">
        <f t="shared" si="26"/>
        <v/>
      </c>
      <c r="K61" s="3" t="str">
        <f t="shared" si="26"/>
        <v/>
      </c>
    </row>
    <row r="62" spans="1:11" x14ac:dyDescent="0.2">
      <c r="A62" s="5">
        <f t="shared" si="27"/>
        <v>0.7847222222222221</v>
      </c>
      <c r="B62" s="3" t="str">
        <f t="shared" si="26"/>
        <v>Dodgeball in JCC Back Field 1 ()</v>
      </c>
      <c r="C62" s="3" t="str">
        <f t="shared" si="26"/>
        <v/>
      </c>
      <c r="D62" s="3" t="str">
        <f t="shared" si="26"/>
        <v/>
      </c>
      <c r="E62" s="3" t="str">
        <f t="shared" si="26"/>
        <v/>
      </c>
      <c r="F62" s="3" t="str">
        <f t="shared" si="26"/>
        <v/>
      </c>
      <c r="G62" s="3" t="str">
        <f t="shared" si="26"/>
        <v/>
      </c>
      <c r="H62" s="3" t="str">
        <f t="shared" si="26"/>
        <v/>
      </c>
      <c r="I62" s="3" t="str">
        <f t="shared" si="26"/>
        <v>Dodgeball in JCC Back Field 3 ()</v>
      </c>
      <c r="J62" s="3" t="str">
        <f t="shared" si="26"/>
        <v/>
      </c>
      <c r="K62" s="3" t="str">
        <f t="shared" si="26"/>
        <v/>
      </c>
    </row>
    <row r="63" spans="1:11" x14ac:dyDescent="0.2">
      <c r="A63" s="5">
        <f t="shared" si="27"/>
        <v>0.81944444444444431</v>
      </c>
      <c r="B63" s="3" t="str">
        <f t="shared" si="26"/>
        <v>Dodgeball in JCC Back Field 1 ()</v>
      </c>
      <c r="C63" s="3" t="str">
        <f t="shared" si="26"/>
        <v/>
      </c>
      <c r="D63" s="3" t="str">
        <f t="shared" si="26"/>
        <v/>
      </c>
      <c r="E63" s="3" t="str">
        <f t="shared" si="26"/>
        <v/>
      </c>
      <c r="F63" s="3" t="str">
        <f t="shared" si="26"/>
        <v/>
      </c>
      <c r="G63" s="3" t="str">
        <f t="shared" si="26"/>
        <v/>
      </c>
      <c r="H63" s="3" t="str">
        <f t="shared" si="26"/>
        <v/>
      </c>
      <c r="I63" s="3" t="str">
        <f t="shared" si="26"/>
        <v>Dodgeball in JCC Back Field 3 ()</v>
      </c>
      <c r="J63" s="3" t="str">
        <f t="shared" si="26"/>
        <v/>
      </c>
      <c r="K63" s="3" t="str">
        <f t="shared" si="26"/>
        <v/>
      </c>
    </row>
    <row r="64" spans="1:11" x14ac:dyDescent="0.2">
      <c r="A64" s="5">
        <f t="shared" si="27"/>
        <v>0.85416666666666652</v>
      </c>
      <c r="B64" s="3" t="str">
        <f t="shared" si="26"/>
        <v/>
      </c>
      <c r="C64" s="3" t="str">
        <f t="shared" si="26"/>
        <v/>
      </c>
      <c r="D64" s="3" t="str">
        <f t="shared" si="26"/>
        <v/>
      </c>
      <c r="E64" s="3" t="str">
        <f t="shared" si="26"/>
        <v/>
      </c>
      <c r="F64" s="3" t="str">
        <f t="shared" si="26"/>
        <v/>
      </c>
      <c r="G64" s="3" t="str">
        <f t="shared" si="26"/>
        <v/>
      </c>
      <c r="H64" s="3" t="str">
        <f>IFERROR(VLOOKUP(TEXT(H$4+$A64,"MM/DD/YYYY HH:MM")&amp;"-&gt;"&amp;$B$2,check_time_team_field,4,FALSE),"")</f>
        <v/>
      </c>
      <c r="I64" s="3" t="str">
        <f>IFERROR(VLOOKUP(TEXT(I$4+$A64,"MM/DD/YYYY HH:MM")&amp;"-&gt;"&amp;$B$2,check_time_team_field,4,FALSE),"")</f>
        <v>Dodgeball in JCC Back Field 3 ()</v>
      </c>
      <c r="J64" s="3" t="str">
        <f>IFERROR(VLOOKUP(TEXT(J$4+$A64,"MM/DD/YYYY HH:MM")&amp;"-&gt;"&amp;$B$2,check_time_team_field,4,FALSE),"")</f>
        <v/>
      </c>
      <c r="K64" s="3" t="str">
        <f>IFERROR(VLOOKUP(TEXT(K$4+$A64,"MM/DD/YYYY HH:MM")&amp;"-&gt;"&amp;$B$2,check_time_team_field,4,FALSE),"")</f>
        <v/>
      </c>
    </row>
    <row r="65" spans="1:11" x14ac:dyDescent="0.2">
      <c r="A65" s="5">
        <f t="shared" si="27"/>
        <v>0.88888888888888873</v>
      </c>
      <c r="B65" s="3" t="str">
        <f t="shared" ref="B65:K68" si="28">IFERROR(VLOOKUP(TEXT(B$4+$A65,"MM/DD/YYYY HH:MM")&amp;"-&gt;"&amp;$B$2,check_time_team_field,4,FALSE),"")</f>
        <v/>
      </c>
      <c r="C65" s="3" t="str">
        <f t="shared" si="28"/>
        <v/>
      </c>
      <c r="D65" s="3" t="str">
        <f t="shared" si="28"/>
        <v/>
      </c>
      <c r="E65" s="3" t="str">
        <f t="shared" si="28"/>
        <v/>
      </c>
      <c r="F65" s="3" t="str">
        <f t="shared" si="28"/>
        <v/>
      </c>
      <c r="G65" s="3" t="str">
        <f t="shared" si="28"/>
        <v/>
      </c>
      <c r="H65" s="3" t="str">
        <f t="shared" si="28"/>
        <v/>
      </c>
      <c r="I65" s="3" t="str">
        <f t="shared" si="28"/>
        <v>Dodgeball in JCC Back Field 3 ()</v>
      </c>
      <c r="J65" s="3" t="str">
        <f t="shared" si="28"/>
        <v/>
      </c>
      <c r="K65" s="3" t="str">
        <f t="shared" si="28"/>
        <v/>
      </c>
    </row>
    <row r="66" spans="1:11" x14ac:dyDescent="0.2">
      <c r="A66" s="5">
        <f t="shared" si="27"/>
        <v>0.92361111111111094</v>
      </c>
      <c r="B66" s="3" t="str">
        <f t="shared" si="28"/>
        <v/>
      </c>
      <c r="C66" s="3" t="str">
        <f t="shared" si="28"/>
        <v/>
      </c>
      <c r="D66" s="3" t="str">
        <f t="shared" si="28"/>
        <v/>
      </c>
      <c r="E66" s="3" t="str">
        <f t="shared" si="28"/>
        <v/>
      </c>
      <c r="F66" s="3" t="str">
        <f t="shared" si="28"/>
        <v/>
      </c>
      <c r="G66" s="3" t="str">
        <f t="shared" si="28"/>
        <v/>
      </c>
      <c r="H66" s="3" t="str">
        <f t="shared" si="28"/>
        <v/>
      </c>
      <c r="I66" s="3" t="str">
        <f t="shared" si="28"/>
        <v/>
      </c>
      <c r="J66" s="3" t="str">
        <f t="shared" si="28"/>
        <v/>
      </c>
      <c r="K66" s="3" t="str">
        <f t="shared" si="28"/>
        <v/>
      </c>
    </row>
    <row r="67" spans="1:11" x14ac:dyDescent="0.2">
      <c r="A67" s="5">
        <f t="shared" si="27"/>
        <v>0.95833333333333315</v>
      </c>
      <c r="B67" s="3" t="str">
        <f t="shared" si="28"/>
        <v/>
      </c>
      <c r="C67" s="3" t="str">
        <f t="shared" si="28"/>
        <v/>
      </c>
      <c r="D67" s="3" t="str">
        <f t="shared" si="28"/>
        <v/>
      </c>
      <c r="E67" s="3" t="str">
        <f t="shared" si="28"/>
        <v/>
      </c>
      <c r="F67" s="3" t="str">
        <f t="shared" si="28"/>
        <v/>
      </c>
      <c r="G67" s="3" t="str">
        <f t="shared" si="28"/>
        <v/>
      </c>
      <c r="H67" s="3" t="str">
        <f t="shared" si="28"/>
        <v/>
      </c>
      <c r="I67" s="3" t="str">
        <f t="shared" si="28"/>
        <v/>
      </c>
      <c r="J67" s="3" t="str">
        <f t="shared" si="28"/>
        <v/>
      </c>
      <c r="K67" s="3" t="str">
        <f t="shared" si="28"/>
        <v/>
      </c>
    </row>
    <row r="68" spans="1:11" x14ac:dyDescent="0.2">
      <c r="A68" s="5">
        <f t="shared" si="27"/>
        <v>0.99305555555555536</v>
      </c>
      <c r="B68" s="3" t="str">
        <f t="shared" si="28"/>
        <v/>
      </c>
      <c r="C68" s="3" t="str">
        <f t="shared" si="28"/>
        <v/>
      </c>
      <c r="D68" s="3" t="str">
        <f t="shared" si="28"/>
        <v/>
      </c>
      <c r="E68" s="3" t="str">
        <f t="shared" si="28"/>
        <v/>
      </c>
      <c r="F68" s="3" t="str">
        <f t="shared" si="28"/>
        <v/>
      </c>
      <c r="G68" s="3" t="str">
        <f t="shared" si="28"/>
        <v/>
      </c>
      <c r="H68" s="3" t="str">
        <f t="shared" si="28"/>
        <v/>
      </c>
      <c r="I68" s="3" t="str">
        <f t="shared" si="28"/>
        <v/>
      </c>
      <c r="J68" s="3" t="str">
        <f t="shared" si="28"/>
        <v/>
      </c>
      <c r="K68" s="3" t="str">
        <f t="shared" si="28"/>
        <v/>
      </c>
    </row>
    <row r="70" spans="1:11" x14ac:dyDescent="0.2">
      <c r="A70" s="3"/>
      <c r="B70" s="3" t="s">
        <v>338</v>
      </c>
      <c r="C70" s="3">
        <f>B2</f>
        <v>0</v>
      </c>
      <c r="D70" s="3"/>
      <c r="E70" s="3"/>
      <c r="F70" s="3"/>
      <c r="G70" s="3"/>
      <c r="H70" s="3"/>
      <c r="I70" s="3"/>
      <c r="J70" s="3"/>
      <c r="K70" s="3"/>
    </row>
    <row r="71" spans="1:11" x14ac:dyDescent="0.2">
      <c r="A71" s="3"/>
      <c r="B71" s="49">
        <f t="shared" ref="B71:K71" si="29">B4</f>
        <v>43057</v>
      </c>
      <c r="C71" s="49">
        <f t="shared" si="29"/>
        <v>43058</v>
      </c>
      <c r="D71" s="49">
        <f t="shared" si="29"/>
        <v>43059</v>
      </c>
      <c r="E71" s="49">
        <f t="shared" si="29"/>
        <v>43060</v>
      </c>
      <c r="F71" s="49">
        <f t="shared" si="29"/>
        <v>43061</v>
      </c>
      <c r="G71" s="49">
        <f t="shared" si="29"/>
        <v>43062</v>
      </c>
      <c r="H71" s="49">
        <f t="shared" si="29"/>
        <v>43063</v>
      </c>
      <c r="I71" s="49">
        <f t="shared" si="29"/>
        <v>43064</v>
      </c>
      <c r="J71" s="49">
        <f t="shared" si="29"/>
        <v>43065</v>
      </c>
      <c r="K71" s="49">
        <f t="shared" si="29"/>
        <v>43066</v>
      </c>
    </row>
    <row r="72" spans="1:11" x14ac:dyDescent="0.2">
      <c r="A72" s="3"/>
      <c r="B72" s="73" t="s">
        <v>339</v>
      </c>
      <c r="C72" s="73" t="s">
        <v>340</v>
      </c>
      <c r="D72" s="73" t="s">
        <v>341</v>
      </c>
      <c r="E72" s="73" t="s">
        <v>342</v>
      </c>
      <c r="F72" s="73" t="s">
        <v>343</v>
      </c>
      <c r="G72" s="73" t="s">
        <v>344</v>
      </c>
      <c r="H72" s="73" t="s">
        <v>345</v>
      </c>
      <c r="I72" s="73" t="s">
        <v>346</v>
      </c>
      <c r="J72" s="73" t="s">
        <v>347</v>
      </c>
      <c r="K72" s="73" t="s">
        <v>346</v>
      </c>
    </row>
    <row r="73" spans="1:1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</row>
    <row r="74" spans="1:11" x14ac:dyDescent="0.2">
      <c r="A74" s="5">
        <f t="shared" ref="A74:A93" si="30">A6</f>
        <v>0.33333333333333331</v>
      </c>
      <c r="B74" s="3" t="str">
        <f>IFERROR(VLOOKUP(TEXT(B$4+$A74,"MM/DD/YYYY HH:MM")&amp;"-&gt;"&amp;$B$2,'Schedule from TM'!$BG$11:$BI$5051,3,0),"")</f>
        <v/>
      </c>
      <c r="C74" s="3" t="str">
        <f>IFERROR(VLOOKUP(TEXT(C$4+$A74,"MM/DD/YYYY HH:MM")&amp;"-&gt;"&amp;$B$2,'Schedule from TM'!$BG$11:$BI$5051,3,0),"")</f>
        <v/>
      </c>
      <c r="D74" s="3" t="str">
        <f>IFERROR(VLOOKUP(TEXT(D$4+$A74,"MM/DD/YYYY HH:MM")&amp;"-&gt;"&amp;$B$2,'Schedule from TM'!$BG$11:$BI$5051,3,0),"")</f>
        <v/>
      </c>
      <c r="E74" s="3" t="str">
        <f>IFERROR(VLOOKUP(TEXT(E$4+$A74,"MM/DD/YYYY HH:MM")&amp;"-&gt;"&amp;$B$2,'Schedule from TM'!$BG$11:$BI$5051,3,0),"")</f>
        <v/>
      </c>
      <c r="F74" s="3" t="str">
        <f>IFERROR(VLOOKUP(TEXT(F$4+$A74,"MM/DD/YYYY HH:MM")&amp;"-&gt;"&amp;$B$2,'Schedule from TM'!$BG$11:$BI$5051,3,0),"")</f>
        <v/>
      </c>
      <c r="G74" s="3" t="str">
        <f>IFERROR(VLOOKUP(TEXT(G$4+$A74,"MM/DD/YYYY HH:MM")&amp;"-&gt;"&amp;$B$2,'Schedule from TM'!$BG$11:$BI$5051,3,0),"")</f>
        <v/>
      </c>
      <c r="H74" s="3" t="str">
        <f>IFERROR(VLOOKUP(TEXT(H$4+$A74,"MM/DD/YYYY HH:MM")&amp;"-&gt;"&amp;$B$2,'Schedule from TM'!$BG$11:$BI$5051,3,0),"")</f>
        <v/>
      </c>
      <c r="I74" s="3" t="str">
        <f>IFERROR(VLOOKUP(TEXT(I$4+$A74,"MM/DD/YYYY HH:MM")&amp;"-&gt;"&amp;$B$2,'Schedule from TM'!$BG$11:$BI$5051,3,0),"")</f>
        <v/>
      </c>
      <c r="J74" s="3" t="str">
        <f>IFERROR(VLOOKUP(TEXT(J$4+$A74,"MM/DD/YYYY HH:MM")&amp;"-&gt;"&amp;$B$2,'Schedule from TM'!$BG$11:$BI$5051,3,0),"")</f>
        <v/>
      </c>
      <c r="K74" s="3" t="str">
        <f>IFERROR(VLOOKUP(TEXT(K$4+$A74,"MM/DD/YYYY HH:MM")&amp;"-&gt;"&amp;$B$2,'Schedule from TM'!$BG$11:$BI$5051,3,0),"")</f>
        <v/>
      </c>
    </row>
    <row r="75" spans="1:11" x14ac:dyDescent="0.2">
      <c r="A75" s="5">
        <f t="shared" si="30"/>
        <v>0.36805555555555552</v>
      </c>
      <c r="B75" s="3" t="str">
        <f>IFERROR(VLOOKUP(TEXT(B$4+$A75,"MM/DD/YYYY HH:MM")&amp;"-&gt;"&amp;$B$2,'Schedule from TM'!$BG$11:$BI$5051,3,0),"")</f>
        <v/>
      </c>
      <c r="C75" s="3" t="str">
        <f>IFERROR(VLOOKUP(TEXT(C$4+$A75,"MM/DD/YYYY HH:MM")&amp;"-&gt;"&amp;$B$2,'Schedule from TM'!$BG$11:$BI$5051,3,0),"")</f>
        <v/>
      </c>
      <c r="D75" s="3" t="str">
        <f>IFERROR(VLOOKUP(TEXT(D$4+$A75,"MM/DD/YYYY HH:MM")&amp;"-&gt;"&amp;$B$2,'Schedule from TM'!$BG$11:$BI$5051,3,0),"")</f>
        <v/>
      </c>
      <c r="E75" s="3" t="str">
        <f>IFERROR(VLOOKUP(TEXT(E$4+$A75,"MM/DD/YYYY HH:MM")&amp;"-&gt;"&amp;$B$2,'Schedule from TM'!$BG$11:$BI$5051,3,0),"")</f>
        <v/>
      </c>
      <c r="F75" s="3" t="str">
        <f>IFERROR(VLOOKUP(TEXT(F$4+$A75,"MM/DD/YYYY HH:MM")&amp;"-&gt;"&amp;$B$2,'Schedule from TM'!$BG$11:$BI$5051,3,0),"")</f>
        <v/>
      </c>
      <c r="G75" s="3" t="str">
        <f>IFERROR(VLOOKUP(TEXT(G$4+$A75,"MM/DD/YYYY HH:MM")&amp;"-&gt;"&amp;$B$2,'Schedule from TM'!$BG$11:$BI$5051,3,0),"")</f>
        <v/>
      </c>
      <c r="H75" s="3" t="str">
        <f>IFERROR(VLOOKUP(TEXT(H$4+$A75,"MM/DD/YYYY HH:MM")&amp;"-&gt;"&amp;$B$2,'Schedule from TM'!$BG$11:$BI$5051,3,0),"")</f>
        <v/>
      </c>
      <c r="I75" s="3" t="str">
        <f>IFERROR(VLOOKUP(TEXT(I$4+$A75,"MM/DD/YYYY HH:MM")&amp;"-&gt;"&amp;$B$2,'Schedule from TM'!$BG$11:$BI$5051,3,0),"")</f>
        <v/>
      </c>
      <c r="J75" s="3" t="str">
        <f>IFERROR(VLOOKUP(TEXT(J$4+$A75,"MM/DD/YYYY HH:MM")&amp;"-&gt;"&amp;$B$2,'Schedule from TM'!$BG$11:$BI$5051,3,0),"")</f>
        <v/>
      </c>
      <c r="K75" s="3" t="str">
        <f>IFERROR(VLOOKUP(TEXT(K$4+$A75,"MM/DD/YYYY HH:MM")&amp;"-&gt;"&amp;$B$2,'Schedule from TM'!$BG$11:$BI$5051,3,0),"")</f>
        <v/>
      </c>
    </row>
    <row r="76" spans="1:11" x14ac:dyDescent="0.2">
      <c r="A76" s="5">
        <f t="shared" si="30"/>
        <v>0.40277777777777773</v>
      </c>
      <c r="B76" s="3" t="str">
        <f>IFERROR(VLOOKUP(TEXT(B$4+$A76,"MM/DD/YYYY HH:MM")&amp;"-&gt;"&amp;$B$2,'Schedule from TM'!$BG$11:$BI$5051,3,0),"")</f>
        <v/>
      </c>
      <c r="C76" s="3" t="str">
        <f>IFERROR(VLOOKUP(TEXT(C$4+$A76,"MM/DD/YYYY HH:MM")&amp;"-&gt;"&amp;$B$2,'Schedule from TM'!$BG$11:$BI$5051,3,0),"")</f>
        <v/>
      </c>
      <c r="D76" s="3" t="str">
        <f>IFERROR(VLOOKUP(TEXT(D$4+$A76,"MM/DD/YYYY HH:MM")&amp;"-&gt;"&amp;$B$2,'Schedule from TM'!$BG$11:$BI$5051,3,0),"")</f>
        <v/>
      </c>
      <c r="E76" s="3" t="str">
        <f>IFERROR(VLOOKUP(TEXT(E$4+$A76,"MM/DD/YYYY HH:MM")&amp;"-&gt;"&amp;$B$2,'Schedule from TM'!$BG$11:$BI$5051,3,0),"")</f>
        <v/>
      </c>
      <c r="F76" s="3" t="str">
        <f>IFERROR(VLOOKUP(TEXT(F$4+$A76,"MM/DD/YYYY HH:MM")&amp;"-&gt;"&amp;$B$2,'Schedule from TM'!$BG$11:$BI$5051,3,0),"")</f>
        <v/>
      </c>
      <c r="G76" s="3" t="str">
        <f>IFERROR(VLOOKUP(TEXT(G$4+$A76,"MM/DD/YYYY HH:MM")&amp;"-&gt;"&amp;$B$2,'Schedule from TM'!$BG$11:$BI$5051,3,0),"")</f>
        <v/>
      </c>
      <c r="H76" s="3" t="str">
        <f>IFERROR(VLOOKUP(TEXT(H$4+$A76,"MM/DD/YYYY HH:MM")&amp;"-&gt;"&amp;$B$2,'Schedule from TM'!$BG$11:$BI$5051,3,0),"")</f>
        <v/>
      </c>
      <c r="I76" s="3" t="str">
        <f>IFERROR(VLOOKUP(TEXT(I$4+$A76,"MM/DD/YYYY HH:MM")&amp;"-&gt;"&amp;$B$2,'Schedule from TM'!$BG$11:$BI$5051,3,0),"")</f>
        <v/>
      </c>
      <c r="J76" s="3" t="str">
        <f>IFERROR(VLOOKUP(TEXT(J$4+$A76,"MM/DD/YYYY HH:MM")&amp;"-&gt;"&amp;$B$2,'Schedule from TM'!$BG$11:$BI$5051,3,0),"")</f>
        <v/>
      </c>
      <c r="K76" s="3" t="str">
        <f>IFERROR(VLOOKUP(TEXT(K$4+$A76,"MM/DD/YYYY HH:MM")&amp;"-&gt;"&amp;$B$2,'Schedule from TM'!$BG$11:$BI$5051,3,0),"")</f>
        <v/>
      </c>
    </row>
    <row r="77" spans="1:11" x14ac:dyDescent="0.2">
      <c r="A77" s="5">
        <f t="shared" si="30"/>
        <v>0.43749999999999994</v>
      </c>
      <c r="B77" s="3" t="str">
        <f>IFERROR(VLOOKUP(TEXT(B$4+$A77,"MM/DD/YYYY HH:MM")&amp;"-&gt;"&amp;$B$2,'Schedule from TM'!$BG$11:$BI$5051,3,0),"")</f>
        <v/>
      </c>
      <c r="C77" s="3" t="str">
        <f>IFERROR(VLOOKUP(TEXT(C$4+$A77,"MM/DD/YYYY HH:MM")&amp;"-&gt;"&amp;$B$2,'Schedule from TM'!$BG$11:$BI$5051,3,0),"")</f>
        <v/>
      </c>
      <c r="D77" s="3" t="str">
        <f>IFERROR(VLOOKUP(TEXT(D$4+$A77,"MM/DD/YYYY HH:MM")&amp;"-&gt;"&amp;$B$2,'Schedule from TM'!$BG$11:$BI$5051,3,0),"")</f>
        <v/>
      </c>
      <c r="E77" s="3" t="str">
        <f>IFERROR(VLOOKUP(TEXT(E$4+$A77,"MM/DD/YYYY HH:MM")&amp;"-&gt;"&amp;$B$2,'Schedule from TM'!$BG$11:$BI$5051,3,0),"")</f>
        <v/>
      </c>
      <c r="F77" s="3" t="str">
        <f>IFERROR(VLOOKUP(TEXT(F$4+$A77,"MM/DD/YYYY HH:MM")&amp;"-&gt;"&amp;$B$2,'Schedule from TM'!$BG$11:$BI$5051,3,0),"")</f>
        <v/>
      </c>
      <c r="G77" s="3" t="str">
        <f>IFERROR(VLOOKUP(TEXT(G$4+$A77,"MM/DD/YYYY HH:MM")&amp;"-&gt;"&amp;$B$2,'Schedule from TM'!$BG$11:$BI$5051,3,0),"")</f>
        <v/>
      </c>
      <c r="H77" s="3" t="str">
        <f>IFERROR(VLOOKUP(TEXT(H$4+$A77,"MM/DD/YYYY HH:MM")&amp;"-&gt;"&amp;$B$2,'Schedule from TM'!$BG$11:$BI$5051,3,0),"")</f>
        <v/>
      </c>
      <c r="I77" s="3" t="str">
        <f>IFERROR(VLOOKUP(TEXT(I$4+$A77,"MM/DD/YYYY HH:MM")&amp;"-&gt;"&amp;$B$2,'Schedule from TM'!$BG$11:$BI$5051,3,0),"")</f>
        <v/>
      </c>
      <c r="J77" s="3" t="str">
        <f>IFERROR(VLOOKUP(TEXT(J$4+$A77,"MM/DD/YYYY HH:MM")&amp;"-&gt;"&amp;$B$2,'Schedule from TM'!$BG$11:$BI$5051,3,0),"")</f>
        <v/>
      </c>
      <c r="K77" s="3" t="str">
        <f>IFERROR(VLOOKUP(TEXT(K$4+$A77,"MM/DD/YYYY HH:MM")&amp;"-&gt;"&amp;$B$2,'Schedule from TM'!$BG$11:$BI$5051,3,0),"")</f>
        <v/>
      </c>
    </row>
    <row r="78" spans="1:11" x14ac:dyDescent="0.2">
      <c r="A78" s="5">
        <f t="shared" si="30"/>
        <v>0.47222222222222215</v>
      </c>
      <c r="B78" s="3" t="str">
        <f>IFERROR(VLOOKUP(TEXT(B$4+$A78,"MM/DD/YYYY HH:MM")&amp;"-&gt;"&amp;$B$2,'Schedule from TM'!$BG$11:$BI$5051,3,0),"")</f>
        <v/>
      </c>
      <c r="C78" s="3" t="str">
        <f>IFERROR(VLOOKUP(TEXT(C$4+$A78,"MM/DD/YYYY HH:MM")&amp;"-&gt;"&amp;$B$2,'Schedule from TM'!$BG$11:$BI$5051,3,0),"")</f>
        <v/>
      </c>
      <c r="D78" s="3" t="str">
        <f>IFERROR(VLOOKUP(TEXT(D$4+$A78,"MM/DD/YYYY HH:MM")&amp;"-&gt;"&amp;$B$2,'Schedule from TM'!$BG$11:$BI$5051,3,0),"")</f>
        <v/>
      </c>
      <c r="E78" s="3" t="str">
        <f>IFERROR(VLOOKUP(TEXT(E$4+$A78,"MM/DD/YYYY HH:MM")&amp;"-&gt;"&amp;$B$2,'Schedule from TM'!$BG$11:$BI$5051,3,0),"")</f>
        <v/>
      </c>
      <c r="F78" s="3" t="str">
        <f>IFERROR(VLOOKUP(TEXT(F$4+$A78,"MM/DD/YYYY HH:MM")&amp;"-&gt;"&amp;$B$2,'Schedule from TM'!$BG$11:$BI$5051,3,0),"")</f>
        <v/>
      </c>
      <c r="G78" s="3" t="str">
        <f>IFERROR(VLOOKUP(TEXT(G$4+$A78,"MM/DD/YYYY HH:MM")&amp;"-&gt;"&amp;$B$2,'Schedule from TM'!$BG$11:$BI$5051,3,0),"")</f>
        <v/>
      </c>
      <c r="H78" s="3" t="str">
        <f>IFERROR(VLOOKUP(TEXT(H$4+$A78,"MM/DD/YYYY HH:MM")&amp;"-&gt;"&amp;$B$2,'Schedule from TM'!$BG$11:$BI$5051,3,0),"")</f>
        <v/>
      </c>
      <c r="I78" s="3" t="str">
        <f>IFERROR(VLOOKUP(TEXT(I$4+$A78,"MM/DD/YYYY HH:MM")&amp;"-&gt;"&amp;$B$2,'Schedule from TM'!$BG$11:$BI$5051,3,0),"")</f>
        <v/>
      </c>
      <c r="J78" s="3" t="str">
        <f>IFERROR(VLOOKUP(TEXT(J$4+$A78,"MM/DD/YYYY HH:MM")&amp;"-&gt;"&amp;$B$2,'Schedule from TM'!$BG$11:$BI$5051,3,0),"")</f>
        <v/>
      </c>
      <c r="K78" s="3" t="str">
        <f>IFERROR(VLOOKUP(TEXT(K$4+$A78,"MM/DD/YYYY HH:MM")&amp;"-&gt;"&amp;$B$2,'Schedule from TM'!$BG$11:$BI$5051,3,0),"")</f>
        <v/>
      </c>
    </row>
    <row r="79" spans="1:11" x14ac:dyDescent="0.2">
      <c r="A79" s="5">
        <f t="shared" si="30"/>
        <v>0.50694444444444442</v>
      </c>
      <c r="B79" s="3" t="str">
        <f>IFERROR(VLOOKUP(TEXT(B$4+$A79,"MM/DD/YYYY HH:MM")&amp;"-&gt;"&amp;$B$2,'Schedule from TM'!$BG$11:$BI$5051,3,0),"")</f>
        <v/>
      </c>
      <c r="C79" s="3" t="str">
        <f>IFERROR(VLOOKUP(TEXT(C$4+$A79,"MM/DD/YYYY HH:MM")&amp;"-&gt;"&amp;$B$2,'Schedule from TM'!$BG$11:$BI$5051,3,0),"")</f>
        <v/>
      </c>
      <c r="D79" s="3" t="str">
        <f>IFERROR(VLOOKUP(TEXT(D$4+$A79,"MM/DD/YYYY HH:MM")&amp;"-&gt;"&amp;$B$2,'Schedule from TM'!$BG$11:$BI$5051,3,0),"")</f>
        <v/>
      </c>
      <c r="E79" s="3" t="str">
        <f>IFERROR(VLOOKUP(TEXT(E$4+$A79,"MM/DD/YYYY HH:MM")&amp;"-&gt;"&amp;$B$2,'Schedule from TM'!$BG$11:$BI$5051,3,0),"")</f>
        <v/>
      </c>
      <c r="F79" s="3" t="str">
        <f>IFERROR(VLOOKUP(TEXT(F$4+$A79,"MM/DD/YYYY HH:MM")&amp;"-&gt;"&amp;$B$2,'Schedule from TM'!$BG$11:$BI$5051,3,0),"")</f>
        <v/>
      </c>
      <c r="G79" s="3" t="str">
        <f>IFERROR(VLOOKUP(TEXT(G$4+$A79,"MM/DD/YYYY HH:MM")&amp;"-&gt;"&amp;$B$2,'Schedule from TM'!$BG$11:$BI$5051,3,0),"")</f>
        <v/>
      </c>
      <c r="H79" s="3" t="str">
        <f>IFERROR(VLOOKUP(TEXT(H$4+$A79,"MM/DD/YYYY HH:MM")&amp;"-&gt;"&amp;$B$2,'Schedule from TM'!$BG$11:$BI$5051,3,0),"")</f>
        <v/>
      </c>
      <c r="I79" s="3" t="str">
        <f>IFERROR(VLOOKUP(TEXT(I$4+$A79,"MM/DD/YYYY HH:MM")&amp;"-&gt;"&amp;$B$2,'Schedule from TM'!$BG$11:$BI$5051,3,0),"")</f>
        <v/>
      </c>
      <c r="J79" s="3" t="str">
        <f>IFERROR(VLOOKUP(TEXT(J$4+$A79,"MM/DD/YYYY HH:MM")&amp;"-&gt;"&amp;$B$2,'Schedule from TM'!$BG$11:$BI$5051,3,0),"")</f>
        <v/>
      </c>
      <c r="K79" s="3" t="str">
        <f>IFERROR(VLOOKUP(TEXT(K$4+$A79,"MM/DD/YYYY HH:MM")&amp;"-&gt;"&amp;$B$2,'Schedule from TM'!$BG$11:$BI$5051,3,0),"")</f>
        <v/>
      </c>
    </row>
    <row r="80" spans="1:11" x14ac:dyDescent="0.2">
      <c r="A80" s="5">
        <f t="shared" si="30"/>
        <v>0.54166666666666663</v>
      </c>
      <c r="B80" s="3" t="str">
        <f>IFERROR(VLOOKUP(TEXT(B$4+$A80,"MM/DD/YYYY HH:MM")&amp;"-&gt;"&amp;$B$2,'Schedule from TM'!$BG$11:$BI$5051,3,0),"")</f>
        <v/>
      </c>
      <c r="C80" s="3" t="str">
        <f>IFERROR(VLOOKUP(TEXT(C$4+$A80,"MM/DD/YYYY HH:MM")&amp;"-&gt;"&amp;$B$2,'Schedule from TM'!$BG$11:$BI$5051,3,0),"")</f>
        <v/>
      </c>
      <c r="D80" s="3" t="str">
        <f>IFERROR(VLOOKUP(TEXT(D$4+$A80,"MM/DD/YYYY HH:MM")&amp;"-&gt;"&amp;$B$2,'Schedule from TM'!$BG$11:$BI$5051,3,0),"")</f>
        <v/>
      </c>
      <c r="E80" s="3" t="str">
        <f>IFERROR(VLOOKUP(TEXT(E$4+$A80,"MM/DD/YYYY HH:MM")&amp;"-&gt;"&amp;$B$2,'Schedule from TM'!$BG$11:$BI$5051,3,0),"")</f>
        <v/>
      </c>
      <c r="F80" s="3" t="str">
        <f>IFERROR(VLOOKUP(TEXT(F$4+$A80,"MM/DD/YYYY HH:MM")&amp;"-&gt;"&amp;$B$2,'Schedule from TM'!$BG$11:$BI$5051,3,0),"")</f>
        <v/>
      </c>
      <c r="G80" s="3" t="str">
        <f>IFERROR(VLOOKUP(TEXT(G$4+$A80,"MM/DD/YYYY HH:MM")&amp;"-&gt;"&amp;$B$2,'Schedule from TM'!$BG$11:$BI$5051,3,0),"")</f>
        <v/>
      </c>
      <c r="H80" s="3" t="str">
        <f>IFERROR(VLOOKUP(TEXT(H$4+$A80,"MM/DD/YYYY HH:MM")&amp;"-&gt;"&amp;$B$2,'Schedule from TM'!$BG$11:$BI$5051,3,0),"")</f>
        <v/>
      </c>
      <c r="I80" s="3" t="str">
        <f>IFERROR(VLOOKUP(TEXT(I$4+$A80,"MM/DD/YYYY HH:MM")&amp;"-&gt;"&amp;$B$2,'Schedule from TM'!$BG$11:$BI$5051,3,0),"")</f>
        <v/>
      </c>
      <c r="J80" s="3" t="str">
        <f>IFERROR(VLOOKUP(TEXT(J$4+$A80,"MM/DD/YYYY HH:MM")&amp;"-&gt;"&amp;$B$2,'Schedule from TM'!$BG$11:$BI$5051,3,0),"")</f>
        <v/>
      </c>
      <c r="K80" s="3" t="str">
        <f>IFERROR(VLOOKUP(TEXT(K$4+$A80,"MM/DD/YYYY HH:MM")&amp;"-&gt;"&amp;$B$2,'Schedule from TM'!$BG$11:$BI$5051,3,0),"")</f>
        <v/>
      </c>
    </row>
    <row r="81" spans="1:11" x14ac:dyDescent="0.2">
      <c r="A81" s="5">
        <f t="shared" si="30"/>
        <v>0.57638888888888884</v>
      </c>
      <c r="B81" s="3" t="str">
        <f>IFERROR(VLOOKUP(TEXT(B$4+$A81,"MM/DD/YYYY HH:MM")&amp;"-&gt;"&amp;$B$2,'Schedule from TM'!$BG$11:$BI$5051,3,0),"")</f>
        <v/>
      </c>
      <c r="C81" s="3" t="str">
        <f>IFERROR(VLOOKUP(TEXT(C$4+$A81,"MM/DD/YYYY HH:MM")&amp;"-&gt;"&amp;$B$2,'Schedule from TM'!$BG$11:$BI$5051,3,0),"")</f>
        <v/>
      </c>
      <c r="D81" s="3" t="str">
        <f>IFERROR(VLOOKUP(TEXT(D$4+$A81,"MM/DD/YYYY HH:MM")&amp;"-&gt;"&amp;$B$2,'Schedule from TM'!$BG$11:$BI$5051,3,0),"")</f>
        <v/>
      </c>
      <c r="E81" s="3" t="str">
        <f>IFERROR(VLOOKUP(TEXT(E$4+$A81,"MM/DD/YYYY HH:MM")&amp;"-&gt;"&amp;$B$2,'Schedule from TM'!$BG$11:$BI$5051,3,0),"")</f>
        <v/>
      </c>
      <c r="F81" s="3" t="str">
        <f>IFERROR(VLOOKUP(TEXT(F$4+$A81,"MM/DD/YYYY HH:MM")&amp;"-&gt;"&amp;$B$2,'Schedule from TM'!$BG$11:$BI$5051,3,0),"")</f>
        <v/>
      </c>
      <c r="G81" s="3" t="str">
        <f>IFERROR(VLOOKUP(TEXT(G$4+$A81,"MM/DD/YYYY HH:MM")&amp;"-&gt;"&amp;$B$2,'Schedule from TM'!$BG$11:$BI$5051,3,0),"")</f>
        <v/>
      </c>
      <c r="H81" s="3" t="str">
        <f>IFERROR(VLOOKUP(TEXT(H$4+$A81,"MM/DD/YYYY HH:MM")&amp;"-&gt;"&amp;$B$2,'Schedule from TM'!$BG$11:$BI$5051,3,0),"")</f>
        <v/>
      </c>
      <c r="I81" s="3" t="str">
        <f>IFERROR(VLOOKUP(TEXT(I$4+$A81,"MM/DD/YYYY HH:MM")&amp;"-&gt;"&amp;$B$2,'Schedule from TM'!$BG$11:$BI$5051,3,0),"")</f>
        <v/>
      </c>
      <c r="J81" s="3" t="str">
        <f>IFERROR(VLOOKUP(TEXT(J$4+$A81,"MM/DD/YYYY HH:MM")&amp;"-&gt;"&amp;$B$2,'Schedule from TM'!$BG$11:$BI$5051,3,0),"")</f>
        <v/>
      </c>
      <c r="K81" s="3" t="str">
        <f>IFERROR(VLOOKUP(TEXT(K$4+$A81,"MM/DD/YYYY HH:MM")&amp;"-&gt;"&amp;$B$2,'Schedule from TM'!$BG$11:$BI$5051,3,0),"")</f>
        <v/>
      </c>
    </row>
    <row r="82" spans="1:11" x14ac:dyDescent="0.2">
      <c r="A82" s="5">
        <f t="shared" si="30"/>
        <v>0.61111111111111105</v>
      </c>
      <c r="B82" s="3" t="str">
        <f>IFERROR(VLOOKUP(TEXT(B$4+$A82,"MM/DD/YYYY HH:MM")&amp;"-&gt;"&amp;$B$2,'Schedule from TM'!$BG$11:$BI$5051,3,0),"")</f>
        <v/>
      </c>
      <c r="C82" s="3" t="str">
        <f>IFERROR(VLOOKUP(TEXT(C$4+$A82,"MM/DD/YYYY HH:MM")&amp;"-&gt;"&amp;$B$2,'Schedule from TM'!$BG$11:$BI$5051,3,0),"")</f>
        <v/>
      </c>
      <c r="D82" s="3" t="str">
        <f>IFERROR(VLOOKUP(TEXT(D$4+$A82,"MM/DD/YYYY HH:MM")&amp;"-&gt;"&amp;$B$2,'Schedule from TM'!$BG$11:$BI$5051,3,0),"")</f>
        <v/>
      </c>
      <c r="E82" s="3" t="str">
        <f>IFERROR(VLOOKUP(TEXT(E$4+$A82,"MM/DD/YYYY HH:MM")&amp;"-&gt;"&amp;$B$2,'Schedule from TM'!$BG$11:$BI$5051,3,0),"")</f>
        <v/>
      </c>
      <c r="F82" s="3" t="str">
        <f>IFERROR(VLOOKUP(TEXT(F$4+$A82,"MM/DD/YYYY HH:MM")&amp;"-&gt;"&amp;$B$2,'Schedule from TM'!$BG$11:$BI$5051,3,0),"")</f>
        <v/>
      </c>
      <c r="G82" s="3" t="str">
        <f>IFERROR(VLOOKUP(TEXT(G$4+$A82,"MM/DD/YYYY HH:MM")&amp;"-&gt;"&amp;$B$2,'Schedule from TM'!$BG$11:$BI$5051,3,0),"")</f>
        <v/>
      </c>
      <c r="H82" s="3" t="str">
        <f>IFERROR(VLOOKUP(TEXT(H$4+$A82,"MM/DD/YYYY HH:MM")&amp;"-&gt;"&amp;$B$2,'Schedule from TM'!$BG$11:$BI$5051,3,0),"")</f>
        <v/>
      </c>
      <c r="I82" s="3" t="str">
        <f>IFERROR(VLOOKUP(TEXT(I$4+$A82,"MM/DD/YYYY HH:MM")&amp;"-&gt;"&amp;$B$2,'Schedule from TM'!$BG$11:$BI$5051,3,0),"")</f>
        <v/>
      </c>
      <c r="J82" s="3" t="str">
        <f>IFERROR(VLOOKUP(TEXT(J$4+$A82,"MM/DD/YYYY HH:MM")&amp;"-&gt;"&amp;$B$2,'Schedule from TM'!$BG$11:$BI$5051,3,0),"")</f>
        <v/>
      </c>
      <c r="K82" s="3" t="str">
        <f>IFERROR(VLOOKUP(TEXT(K$4+$A82,"MM/DD/YYYY HH:MM")&amp;"-&gt;"&amp;$B$2,'Schedule from TM'!$BG$11:$BI$5051,3,0),"")</f>
        <v/>
      </c>
    </row>
    <row r="83" spans="1:11" x14ac:dyDescent="0.2">
      <c r="A83" s="5">
        <f t="shared" si="30"/>
        <v>0.64583333333333326</v>
      </c>
      <c r="B83" s="3" t="str">
        <f>IFERROR(VLOOKUP(TEXT(B$4+$A83,"MM/DD/YYYY HH:MM")&amp;"-&gt;"&amp;$B$2,'Schedule from TM'!$BG$11:$BI$5051,3,0),"")</f>
        <v/>
      </c>
      <c r="C83" s="3" t="str">
        <f>IFERROR(VLOOKUP(TEXT(C$4+$A83,"MM/DD/YYYY HH:MM")&amp;"-&gt;"&amp;$B$2,'Schedule from TM'!$BG$11:$BI$5051,3,0),"")</f>
        <v/>
      </c>
      <c r="D83" s="3" t="str">
        <f>IFERROR(VLOOKUP(TEXT(D$4+$A83,"MM/DD/YYYY HH:MM")&amp;"-&gt;"&amp;$B$2,'Schedule from TM'!$BG$11:$BI$5051,3,0),"")</f>
        <v/>
      </c>
      <c r="E83" s="3" t="str">
        <f>IFERROR(VLOOKUP(TEXT(E$4+$A83,"MM/DD/YYYY HH:MM")&amp;"-&gt;"&amp;$B$2,'Schedule from TM'!$BG$11:$BI$5051,3,0),"")</f>
        <v/>
      </c>
      <c r="F83" s="3" t="str">
        <f>IFERROR(VLOOKUP(TEXT(F$4+$A83,"MM/DD/YYYY HH:MM")&amp;"-&gt;"&amp;$B$2,'Schedule from TM'!$BG$11:$BI$5051,3,0),"")</f>
        <v/>
      </c>
      <c r="G83" s="3" t="str">
        <f>IFERROR(VLOOKUP(TEXT(G$4+$A83,"MM/DD/YYYY HH:MM")&amp;"-&gt;"&amp;$B$2,'Schedule from TM'!$BG$11:$BI$5051,3,0),"")</f>
        <v/>
      </c>
      <c r="H83" s="3" t="str">
        <f>IFERROR(VLOOKUP(TEXT(H$4+$A83,"MM/DD/YYYY HH:MM")&amp;"-&gt;"&amp;$B$2,'Schedule from TM'!$BG$11:$BI$5051,3,0),"")</f>
        <v/>
      </c>
      <c r="I83" s="3" t="str">
        <f>IFERROR(VLOOKUP(TEXT(I$4+$A83,"MM/DD/YYYY HH:MM")&amp;"-&gt;"&amp;$B$2,'Schedule from TM'!$BG$11:$BI$5051,3,0),"")</f>
        <v/>
      </c>
      <c r="J83" s="3" t="str">
        <f>IFERROR(VLOOKUP(TEXT(J$4+$A83,"MM/DD/YYYY HH:MM")&amp;"-&gt;"&amp;$B$2,'Schedule from TM'!$BG$11:$BI$5051,3,0),"")</f>
        <v/>
      </c>
      <c r="K83" s="3" t="str">
        <f>IFERROR(VLOOKUP(TEXT(K$4+$A83,"MM/DD/YYYY HH:MM")&amp;"-&gt;"&amp;$B$2,'Schedule from TM'!$BG$11:$BI$5051,3,0),"")</f>
        <v/>
      </c>
    </row>
    <row r="84" spans="1:11" x14ac:dyDescent="0.2">
      <c r="A84" s="5">
        <f t="shared" si="30"/>
        <v>0.68055555555555547</v>
      </c>
      <c r="B84" s="3" t="str">
        <f>IFERROR(VLOOKUP(TEXT(B$4+$A84,"MM/DD/YYYY HH:MM")&amp;"-&gt;"&amp;$B$2,'Schedule from TM'!$BG$11:$BI$5051,3,0),"")</f>
        <v/>
      </c>
      <c r="C84" s="3" t="str">
        <f>IFERROR(VLOOKUP(TEXT(C$4+$A84,"MM/DD/YYYY HH:MM")&amp;"-&gt;"&amp;$B$2,'Schedule from TM'!$BG$11:$BI$5051,3,0),"")</f>
        <v/>
      </c>
      <c r="D84" s="3" t="str">
        <f>IFERROR(VLOOKUP(TEXT(D$4+$A84,"MM/DD/YYYY HH:MM")&amp;"-&gt;"&amp;$B$2,'Schedule from TM'!$BG$11:$BI$5051,3,0),"")</f>
        <v>Dodgeball in JCC Back Field 4 ()</v>
      </c>
      <c r="E84" s="3" t="str">
        <f>IFERROR(VLOOKUP(TEXT(E$4+$A84,"MM/DD/YYYY HH:MM")&amp;"-&gt;"&amp;$B$2,'Schedule from TM'!$BG$11:$BI$5051,3,0),"")</f>
        <v>Dodgeball in JCC Back Field 3 ()</v>
      </c>
      <c r="F84" s="3" t="str">
        <f>IFERROR(VLOOKUP(TEXT(F$4+$A84,"MM/DD/YYYY HH:MM")&amp;"-&gt;"&amp;$B$2,'Schedule from TM'!$BG$11:$BI$5051,3,0),"")</f>
        <v>Dodgeball in JCC Back Field 2 ()</v>
      </c>
      <c r="G84" s="3" t="str">
        <f>IFERROR(VLOOKUP(TEXT(G$4+$A84,"MM/DD/YYYY HH:MM")&amp;"-&gt;"&amp;$B$2,'Schedule from TM'!$BG$11:$BI$5051,3,0),"")</f>
        <v>Volleyball in Hillel - Gym Volleyball ()</v>
      </c>
      <c r="H84" s="3" t="str">
        <f>IFERROR(VLOOKUP(TEXT(H$4+$A84,"MM/DD/YYYY HH:MM")&amp;"-&gt;"&amp;$B$2,'Schedule from TM'!$BG$11:$BI$5051,3,0),"")</f>
        <v/>
      </c>
      <c r="I84" s="3" t="str">
        <f>IFERROR(VLOOKUP(TEXT(I$4+$A84,"MM/DD/YYYY HH:MM")&amp;"-&gt;"&amp;$B$2,'Schedule from TM'!$BG$11:$BI$5051,3,0),"")</f>
        <v/>
      </c>
      <c r="J84" s="3" t="str">
        <f>IFERROR(VLOOKUP(TEXT(J$4+$A84,"MM/DD/YYYY HH:MM")&amp;"-&gt;"&amp;$B$2,'Schedule from TM'!$BG$11:$BI$5051,3,0),"")</f>
        <v/>
      </c>
      <c r="K84" s="3" t="str">
        <f>IFERROR(VLOOKUP(TEXT(K$4+$A84,"MM/DD/YYYY HH:MM")&amp;"-&gt;"&amp;$B$2,'Schedule from TM'!$BG$11:$BI$5051,3,0),"")</f>
        <v/>
      </c>
    </row>
    <row r="85" spans="1:11" x14ac:dyDescent="0.2">
      <c r="A85" s="5">
        <f t="shared" si="30"/>
        <v>0.71527777777777768</v>
      </c>
      <c r="B85" s="3" t="str">
        <f>IFERROR(VLOOKUP(TEXT(B$4+$A85,"MM/DD/YYYY HH:MM")&amp;"-&gt;"&amp;$B$2,'Schedule from TM'!$BG$11:$BI$5051,3,0),"")</f>
        <v/>
      </c>
      <c r="C85" s="3" t="str">
        <f>IFERROR(VLOOKUP(TEXT(C$4+$A85,"MM/DD/YYYY HH:MM")&amp;"-&gt;"&amp;$B$2,'Schedule from TM'!$BG$11:$BI$5051,3,0),"")</f>
        <v/>
      </c>
      <c r="D85" s="3" t="str">
        <f>IFERROR(VLOOKUP(TEXT(D$4+$A85,"MM/DD/YYYY HH:MM")&amp;"-&gt;"&amp;$B$2,'Schedule from TM'!$BG$11:$BI$5051,3,0),"")</f>
        <v>Dodgeball in JCC Back Field 4 ()</v>
      </c>
      <c r="E85" s="3" t="str">
        <f>IFERROR(VLOOKUP(TEXT(E$4+$A85,"MM/DD/YYYY HH:MM")&amp;"-&gt;"&amp;$B$2,'Schedule from TM'!$BG$11:$BI$5051,3,0),"")</f>
        <v>Dodgeball in JCC Back Field 3 ()</v>
      </c>
      <c r="F85" s="3" t="str">
        <f>IFERROR(VLOOKUP(TEXT(F$4+$A85,"MM/DD/YYYY HH:MM")&amp;"-&gt;"&amp;$B$2,'Schedule from TM'!$BG$11:$BI$5051,3,0),"")</f>
        <v>Dodgeball in JCC Back Field 2 ()</v>
      </c>
      <c r="G85" s="3" t="str">
        <f>IFERROR(VLOOKUP(TEXT(G$4+$A85,"MM/DD/YYYY HH:MM")&amp;"-&gt;"&amp;$B$2,'Schedule from TM'!$BG$11:$BI$5051,3,0),"")</f>
        <v/>
      </c>
      <c r="H85" s="3" t="str">
        <f>IFERROR(VLOOKUP(TEXT(H$4+$A85,"MM/DD/YYYY HH:MM")&amp;"-&gt;"&amp;$B$2,'Schedule from TM'!$BG$11:$BI$5051,3,0),"")</f>
        <v/>
      </c>
      <c r="I85" s="3" t="str">
        <f>IFERROR(VLOOKUP(TEXT(I$4+$A85,"MM/DD/YYYY HH:MM")&amp;"-&gt;"&amp;$B$2,'Schedule from TM'!$BG$11:$BI$5051,3,0),"")</f>
        <v/>
      </c>
      <c r="J85" s="3" t="str">
        <f>IFERROR(VLOOKUP(TEXT(J$4+$A85,"MM/DD/YYYY HH:MM")&amp;"-&gt;"&amp;$B$2,'Schedule from TM'!$BG$11:$BI$5051,3,0),"")</f>
        <v/>
      </c>
      <c r="K85" s="3" t="str">
        <f>IFERROR(VLOOKUP(TEXT(K$4+$A85,"MM/DD/YYYY HH:MM")&amp;"-&gt;"&amp;$B$2,'Schedule from TM'!$BG$11:$BI$5051,3,0),"")</f>
        <v/>
      </c>
    </row>
    <row r="86" spans="1:11" x14ac:dyDescent="0.2">
      <c r="A86" s="5">
        <f t="shared" si="30"/>
        <v>0.74999999999999989</v>
      </c>
      <c r="B86" s="3" t="str">
        <f>IFERROR(VLOOKUP(TEXT(B$4+$A86,"MM/DD/YYYY HH:MM")&amp;"-&gt;"&amp;$B$2,'Schedule from TM'!$BG$11:$BI$5051,3,0),"")</f>
        <v/>
      </c>
      <c r="C86" s="3" t="str">
        <f>IFERROR(VLOOKUP(TEXT(C$4+$A86,"MM/DD/YYYY HH:MM")&amp;"-&gt;"&amp;$B$2,'Schedule from TM'!$BG$11:$BI$5051,3,0),"")</f>
        <v/>
      </c>
      <c r="D86" s="3" t="str">
        <f>IFERROR(VLOOKUP(TEXT(D$4+$A86,"MM/DD/YYYY HH:MM")&amp;"-&gt;"&amp;$B$2,'Schedule from TM'!$BG$11:$BI$5051,3,0),"")</f>
        <v/>
      </c>
      <c r="E86" s="3" t="str">
        <f>IFERROR(VLOOKUP(TEXT(E$4+$A86,"MM/DD/YYYY HH:MM")&amp;"-&gt;"&amp;$B$2,'Schedule from TM'!$BG$11:$BI$5051,3,0),"")</f>
        <v/>
      </c>
      <c r="F86" s="3" t="str">
        <f>IFERROR(VLOOKUP(TEXT(F$4+$A86,"MM/DD/YYYY HH:MM")&amp;"-&gt;"&amp;$B$2,'Schedule from TM'!$BG$11:$BI$5051,3,0),"")</f>
        <v/>
      </c>
      <c r="G86" s="3" t="str">
        <f>IFERROR(VLOOKUP(TEXT(G$4+$A86,"MM/DD/YYYY HH:MM")&amp;"-&gt;"&amp;$B$2,'Schedule from TM'!$BG$11:$BI$5051,3,0),"")</f>
        <v/>
      </c>
      <c r="H86" s="3" t="str">
        <f>IFERROR(VLOOKUP(TEXT(H$4+$A86,"MM/DD/YYYY HH:MM")&amp;"-&gt;"&amp;$B$2,'Schedule from TM'!$BG$11:$BI$5051,3,0),"")</f>
        <v/>
      </c>
      <c r="I86" s="3" t="str">
        <f>IFERROR(VLOOKUP(TEXT(I$4+$A86,"MM/DD/YYYY HH:MM")&amp;"-&gt;"&amp;$B$2,'Schedule from TM'!$BG$11:$BI$5051,3,0),"")</f>
        <v/>
      </c>
      <c r="J86" s="3" t="str">
        <f>IFERROR(VLOOKUP(TEXT(J$4+$A86,"MM/DD/YYYY HH:MM")&amp;"-&gt;"&amp;$B$2,'Schedule from TM'!$BG$11:$BI$5051,3,0),"")</f>
        <v/>
      </c>
      <c r="K86" s="3" t="str">
        <f>IFERROR(VLOOKUP(TEXT(K$4+$A86,"MM/DD/YYYY HH:MM")&amp;"-&gt;"&amp;$B$2,'Schedule from TM'!$BG$11:$BI$5051,3,0),"")</f>
        <v/>
      </c>
    </row>
    <row r="87" spans="1:11" x14ac:dyDescent="0.2">
      <c r="A87" s="5">
        <f t="shared" si="30"/>
        <v>0.7847222222222221</v>
      </c>
      <c r="B87" s="3" t="str">
        <f>IFERROR(VLOOKUP(TEXT(B$4+$A87,"MM/DD/YYYY HH:MM")&amp;"-&gt;"&amp;$B$2,'Schedule from TM'!$BG$11:$BI$5051,3,0),"")</f>
        <v>Dodgeball in JCC Back Field 1 ()</v>
      </c>
      <c r="C87" s="3" t="str">
        <f>IFERROR(VLOOKUP(TEXT(C$4+$A87,"MM/DD/YYYY HH:MM")&amp;"-&gt;"&amp;$B$2,'Schedule from TM'!$BG$11:$BI$5051,3,0),"")</f>
        <v/>
      </c>
      <c r="D87" s="3" t="str">
        <f>IFERROR(VLOOKUP(TEXT(D$4+$A87,"MM/DD/YYYY HH:MM")&amp;"-&gt;"&amp;$B$2,'Schedule from TM'!$BG$11:$BI$5051,3,0),"")</f>
        <v/>
      </c>
      <c r="E87" s="3" t="str">
        <f>IFERROR(VLOOKUP(TEXT(E$4+$A87,"MM/DD/YYYY HH:MM")&amp;"-&gt;"&amp;$B$2,'Schedule from TM'!$BG$11:$BI$5051,3,0),"")</f>
        <v/>
      </c>
      <c r="F87" s="3" t="str">
        <f>IFERROR(VLOOKUP(TEXT(F$4+$A87,"MM/DD/YYYY HH:MM")&amp;"-&gt;"&amp;$B$2,'Schedule from TM'!$BG$11:$BI$5051,3,0),"")</f>
        <v/>
      </c>
      <c r="G87" s="3" t="str">
        <f>IFERROR(VLOOKUP(TEXT(G$4+$A87,"MM/DD/YYYY HH:MM")&amp;"-&gt;"&amp;$B$2,'Schedule from TM'!$BG$11:$BI$5051,3,0),"")</f>
        <v/>
      </c>
      <c r="H87" s="3" t="str">
        <f>IFERROR(VLOOKUP(TEXT(H$4+$A87,"MM/DD/YYYY HH:MM")&amp;"-&gt;"&amp;$B$2,'Schedule from TM'!$BG$11:$BI$5051,3,0),"")</f>
        <v/>
      </c>
      <c r="I87" s="3" t="str">
        <f>IFERROR(VLOOKUP(TEXT(I$4+$A87,"MM/DD/YYYY HH:MM")&amp;"-&gt;"&amp;$B$2,'Schedule from TM'!$BG$11:$BI$5051,3,0),"")</f>
        <v>Dodgeball in JCC Back Field 3 ()</v>
      </c>
      <c r="J87" s="3" t="str">
        <f>IFERROR(VLOOKUP(TEXT(J$4+$A87,"MM/DD/YYYY HH:MM")&amp;"-&gt;"&amp;$B$2,'Schedule from TM'!$BG$11:$BI$5051,3,0),"")</f>
        <v/>
      </c>
      <c r="K87" s="3" t="str">
        <f>IFERROR(VLOOKUP(TEXT(K$4+$A87,"MM/DD/YYYY HH:MM")&amp;"-&gt;"&amp;$B$2,'Schedule from TM'!$BG$11:$BI$5051,3,0),"")</f>
        <v/>
      </c>
    </row>
    <row r="88" spans="1:11" x14ac:dyDescent="0.2">
      <c r="A88" s="5">
        <f t="shared" si="30"/>
        <v>0.81944444444444431</v>
      </c>
      <c r="B88" s="3" t="str">
        <f>IFERROR(VLOOKUP(TEXT(B$4+$A88,"MM/DD/YYYY HH:MM")&amp;"-&gt;"&amp;$B$2,'Schedule from TM'!$BG$11:$BI$5051,3,0),"")</f>
        <v>Dodgeball in JCC Back Field 1 ()</v>
      </c>
      <c r="C88" s="3" t="str">
        <f>IFERROR(VLOOKUP(TEXT(C$4+$A88,"MM/DD/YYYY HH:MM")&amp;"-&gt;"&amp;$B$2,'Schedule from TM'!$BG$11:$BI$5051,3,0),"")</f>
        <v/>
      </c>
      <c r="D88" s="3" t="str">
        <f>IFERROR(VLOOKUP(TEXT(D$4+$A88,"MM/DD/YYYY HH:MM")&amp;"-&gt;"&amp;$B$2,'Schedule from TM'!$BG$11:$BI$5051,3,0),"")</f>
        <v/>
      </c>
      <c r="E88" s="3" t="str">
        <f>IFERROR(VLOOKUP(TEXT(E$4+$A88,"MM/DD/YYYY HH:MM")&amp;"-&gt;"&amp;$B$2,'Schedule from TM'!$BG$11:$BI$5051,3,0),"")</f>
        <v/>
      </c>
      <c r="F88" s="3" t="str">
        <f>IFERROR(VLOOKUP(TEXT(F$4+$A88,"MM/DD/YYYY HH:MM")&amp;"-&gt;"&amp;$B$2,'Schedule from TM'!$BG$11:$BI$5051,3,0),"")</f>
        <v/>
      </c>
      <c r="G88" s="3" t="str">
        <f>IFERROR(VLOOKUP(TEXT(G$4+$A88,"MM/DD/YYYY HH:MM")&amp;"-&gt;"&amp;$B$2,'Schedule from TM'!$BG$11:$BI$5051,3,0),"")</f>
        <v/>
      </c>
      <c r="H88" s="3" t="str">
        <f>IFERROR(VLOOKUP(TEXT(H$4+$A88,"MM/DD/YYYY HH:MM")&amp;"-&gt;"&amp;$B$2,'Schedule from TM'!$BG$11:$BI$5051,3,0),"")</f>
        <v/>
      </c>
      <c r="I88" s="3" t="str">
        <f>IFERROR(VLOOKUP(TEXT(I$4+$A88,"MM/DD/YYYY HH:MM")&amp;"-&gt;"&amp;$B$2,'Schedule from TM'!$BG$11:$BI$5051,3,0),"")</f>
        <v>Dodgeball in JCC Back Field 3 ()</v>
      </c>
      <c r="J88" s="3" t="str">
        <f>IFERROR(VLOOKUP(TEXT(J$4+$A88,"MM/DD/YYYY HH:MM")&amp;"-&gt;"&amp;$B$2,'Schedule from TM'!$BG$11:$BI$5051,3,0),"")</f>
        <v/>
      </c>
      <c r="K88" s="3" t="str">
        <f>IFERROR(VLOOKUP(TEXT(K$4+$A88,"MM/DD/YYYY HH:MM")&amp;"-&gt;"&amp;$B$2,'Schedule from TM'!$BG$11:$BI$5051,3,0),"")</f>
        <v/>
      </c>
    </row>
    <row r="89" spans="1:11" x14ac:dyDescent="0.2">
      <c r="A89" s="5">
        <f t="shared" si="30"/>
        <v>0.85416666666666652</v>
      </c>
      <c r="B89" s="3" t="str">
        <f>IFERROR(VLOOKUP(TEXT(B$4+$A89,"MM/DD/YYYY HH:MM")&amp;"-&gt;"&amp;$B$2,'Schedule from TM'!$BG$11:$BI$5051,3,0),"")</f>
        <v/>
      </c>
      <c r="C89" s="3" t="str">
        <f>IFERROR(VLOOKUP(TEXT(C$4+$A89,"MM/DD/YYYY HH:MM")&amp;"-&gt;"&amp;$B$2,'Schedule from TM'!$BG$11:$BI$5051,3,0),"")</f>
        <v/>
      </c>
      <c r="D89" s="3" t="str">
        <f>IFERROR(VLOOKUP(TEXT(D$4+$A89,"MM/DD/YYYY HH:MM")&amp;"-&gt;"&amp;$B$2,'Schedule from TM'!$BG$11:$BI$5051,3,0),"")</f>
        <v/>
      </c>
      <c r="E89" s="3" t="str">
        <f>IFERROR(VLOOKUP(TEXT(E$4+$A89,"MM/DD/YYYY HH:MM")&amp;"-&gt;"&amp;$B$2,'Schedule from TM'!$BG$11:$BI$5051,3,0),"")</f>
        <v/>
      </c>
      <c r="F89" s="3" t="str">
        <f>IFERROR(VLOOKUP(TEXT(F$4+$A89,"MM/DD/YYYY HH:MM")&amp;"-&gt;"&amp;$B$2,'Schedule from TM'!$BG$11:$BI$5051,3,0),"")</f>
        <v/>
      </c>
      <c r="G89" s="3" t="str">
        <f>IFERROR(VLOOKUP(TEXT(G$4+$A89,"MM/DD/YYYY HH:MM")&amp;"-&gt;"&amp;$B$2,'Schedule from TM'!$BG$11:$BI$5051,3,0),"")</f>
        <v/>
      </c>
      <c r="H89" s="3" t="str">
        <f>IFERROR(VLOOKUP(TEXT(H$4+$A89,"MM/DD/YYYY HH:MM")&amp;"-&gt;"&amp;$B$2,'Schedule from TM'!$BG$11:$BI$5051,3,0),"")</f>
        <v/>
      </c>
      <c r="I89" s="3" t="str">
        <f>IFERROR(VLOOKUP(TEXT(I$4+$A89,"MM/DD/YYYY HH:MM")&amp;"-&gt;"&amp;$B$2,'Schedule from TM'!$BG$11:$BI$5051,3,0),"")</f>
        <v>Dodgeball in JCC Back Field 3 ()</v>
      </c>
      <c r="J89" s="3" t="str">
        <f>IFERROR(VLOOKUP(TEXT(J$4+$A89,"MM/DD/YYYY HH:MM")&amp;"-&gt;"&amp;$B$2,'Schedule from TM'!$BG$11:$BI$5051,3,0),"")</f>
        <v/>
      </c>
      <c r="K89" s="3" t="str">
        <f>IFERROR(VLOOKUP(TEXT(K$4+$A89,"MM/DD/YYYY HH:MM")&amp;"-&gt;"&amp;$B$2,'Schedule from TM'!$BG$11:$BI$5051,3,0),"")</f>
        <v/>
      </c>
    </row>
    <row r="90" spans="1:11" x14ac:dyDescent="0.2">
      <c r="A90" s="5">
        <f t="shared" si="30"/>
        <v>0.88888888888888873</v>
      </c>
      <c r="B90" s="3" t="str">
        <f>IFERROR(VLOOKUP(TEXT(B$4+$A90,"MM/DD/YYYY HH:MM")&amp;"-&gt;"&amp;$B$2,'Schedule from TM'!$BG$11:$BI$5051,3,0),"")</f>
        <v/>
      </c>
      <c r="C90" s="3" t="str">
        <f>IFERROR(VLOOKUP(TEXT(C$4+$A90,"MM/DD/YYYY HH:MM")&amp;"-&gt;"&amp;$B$2,'Schedule from TM'!$BG$11:$BI$5051,3,0),"")</f>
        <v/>
      </c>
      <c r="D90" s="3" t="str">
        <f>IFERROR(VLOOKUP(TEXT(D$4+$A90,"MM/DD/YYYY HH:MM")&amp;"-&gt;"&amp;$B$2,'Schedule from TM'!$BG$11:$BI$5051,3,0),"")</f>
        <v/>
      </c>
      <c r="E90" s="3" t="str">
        <f>IFERROR(VLOOKUP(TEXT(E$4+$A90,"MM/DD/YYYY HH:MM")&amp;"-&gt;"&amp;$B$2,'Schedule from TM'!$BG$11:$BI$5051,3,0),"")</f>
        <v/>
      </c>
      <c r="F90" s="3" t="str">
        <f>IFERROR(VLOOKUP(TEXT(F$4+$A90,"MM/DD/YYYY HH:MM")&amp;"-&gt;"&amp;$B$2,'Schedule from TM'!$BG$11:$BI$5051,3,0),"")</f>
        <v/>
      </c>
      <c r="G90" s="3" t="str">
        <f>IFERROR(VLOOKUP(TEXT(G$4+$A90,"MM/DD/YYYY HH:MM")&amp;"-&gt;"&amp;$B$2,'Schedule from TM'!$BG$11:$BI$5051,3,0),"")</f>
        <v/>
      </c>
      <c r="H90" s="3" t="str">
        <f>IFERROR(VLOOKUP(TEXT(H$4+$A90,"MM/DD/YYYY HH:MM")&amp;"-&gt;"&amp;$B$2,'Schedule from TM'!$BG$11:$BI$5051,3,0),"")</f>
        <v/>
      </c>
      <c r="I90" s="3" t="str">
        <f>IFERROR(VLOOKUP(TEXT(I$4+$A90,"MM/DD/YYYY HH:MM")&amp;"-&gt;"&amp;$B$2,'Schedule from TM'!$BG$11:$BI$5051,3,0),"")</f>
        <v>Dodgeball in JCC Back Field 3 ()</v>
      </c>
      <c r="J90" s="3" t="str">
        <f>IFERROR(VLOOKUP(TEXT(J$4+$A90,"MM/DD/YYYY HH:MM")&amp;"-&gt;"&amp;$B$2,'Schedule from TM'!$BG$11:$BI$5051,3,0),"")</f>
        <v/>
      </c>
      <c r="K90" s="3" t="str">
        <f>IFERROR(VLOOKUP(TEXT(K$4+$A90,"MM/DD/YYYY HH:MM")&amp;"-&gt;"&amp;$B$2,'Schedule from TM'!$BG$11:$BI$5051,3,0),"")</f>
        <v/>
      </c>
    </row>
    <row r="91" spans="1:11" x14ac:dyDescent="0.2">
      <c r="A91" s="5">
        <f t="shared" si="30"/>
        <v>0.92361111111111094</v>
      </c>
      <c r="B91" s="3" t="str">
        <f>IFERROR(VLOOKUP(TEXT(B$4+$A91,"MM/DD/YYYY HH:MM")&amp;"-&gt;"&amp;$B$2,'Schedule from TM'!$BG$11:$BI$5051,3,0),"")</f>
        <v/>
      </c>
      <c r="C91" s="3" t="str">
        <f>IFERROR(VLOOKUP(TEXT(C$4+$A91,"MM/DD/YYYY HH:MM")&amp;"-&gt;"&amp;$B$2,'Schedule from TM'!$BG$11:$BI$5051,3,0),"")</f>
        <v/>
      </c>
      <c r="D91" s="3" t="str">
        <f>IFERROR(VLOOKUP(TEXT(D$4+$A91,"MM/DD/YYYY HH:MM")&amp;"-&gt;"&amp;$B$2,'Schedule from TM'!$BG$11:$BI$5051,3,0),"")</f>
        <v/>
      </c>
      <c r="E91" s="3" t="str">
        <f>IFERROR(VLOOKUP(TEXT(E$4+$A91,"MM/DD/YYYY HH:MM")&amp;"-&gt;"&amp;$B$2,'Schedule from TM'!$BG$11:$BI$5051,3,0),"")</f>
        <v/>
      </c>
      <c r="F91" s="3" t="str">
        <f>IFERROR(VLOOKUP(TEXT(F$4+$A91,"MM/DD/YYYY HH:MM")&amp;"-&gt;"&amp;$B$2,'Schedule from TM'!$BG$11:$BI$5051,3,0),"")</f>
        <v/>
      </c>
      <c r="G91" s="3" t="str">
        <f>IFERROR(VLOOKUP(TEXT(G$4+$A91,"MM/DD/YYYY HH:MM")&amp;"-&gt;"&amp;$B$2,'Schedule from TM'!$BG$11:$BI$5051,3,0),"")</f>
        <v/>
      </c>
      <c r="H91" s="3" t="str">
        <f>IFERROR(VLOOKUP(TEXT(H$4+$A91,"MM/DD/YYYY HH:MM")&amp;"-&gt;"&amp;$B$2,'Schedule from TM'!$BG$11:$BI$5051,3,0),"")</f>
        <v/>
      </c>
      <c r="I91" s="3" t="str">
        <f>IFERROR(VLOOKUP(TEXT(I$4+$A91,"MM/DD/YYYY HH:MM")&amp;"-&gt;"&amp;$B$2,'Schedule from TM'!$BG$11:$BI$5051,3,0),"")</f>
        <v/>
      </c>
      <c r="J91" s="3" t="str">
        <f>IFERROR(VLOOKUP(TEXT(J$4+$A91,"MM/DD/YYYY HH:MM")&amp;"-&gt;"&amp;$B$2,'Schedule from TM'!$BG$11:$BI$5051,3,0),"")</f>
        <v/>
      </c>
      <c r="K91" s="3" t="str">
        <f>IFERROR(VLOOKUP(TEXT(K$4+$A91,"MM/DD/YYYY HH:MM")&amp;"-&gt;"&amp;$B$2,'Schedule from TM'!$BG$11:$BI$5051,3,0),"")</f>
        <v/>
      </c>
    </row>
    <row r="92" spans="1:11" x14ac:dyDescent="0.2">
      <c r="A92" s="5">
        <f t="shared" si="30"/>
        <v>0.95833333333333315</v>
      </c>
      <c r="B92" s="3" t="str">
        <f>IFERROR(VLOOKUP(TEXT(B$4+$A92,"MM/DD/YYYY HH:MM")&amp;"-&gt;"&amp;$B$2,'Schedule from TM'!$BG$11:$BI$5051,3,0),"")</f>
        <v/>
      </c>
      <c r="C92" s="3" t="str">
        <f>IFERROR(VLOOKUP(TEXT(C$4+$A92,"MM/DD/YYYY HH:MM")&amp;"-&gt;"&amp;$B$2,'Schedule from TM'!$BG$11:$BI$5051,3,0),"")</f>
        <v/>
      </c>
      <c r="D92" s="3" t="str">
        <f>IFERROR(VLOOKUP(TEXT(D$4+$A92,"MM/DD/YYYY HH:MM")&amp;"-&gt;"&amp;$B$2,'Schedule from TM'!$BG$11:$BI$5051,3,0),"")</f>
        <v/>
      </c>
      <c r="E92" s="3" t="str">
        <f>IFERROR(VLOOKUP(TEXT(E$4+$A92,"MM/DD/YYYY HH:MM")&amp;"-&gt;"&amp;$B$2,'Schedule from TM'!$BG$11:$BI$5051,3,0),"")</f>
        <v/>
      </c>
      <c r="F92" s="3" t="str">
        <f>IFERROR(VLOOKUP(TEXT(F$4+$A92,"MM/DD/YYYY HH:MM")&amp;"-&gt;"&amp;$B$2,'Schedule from TM'!$BG$11:$BI$5051,3,0),"")</f>
        <v/>
      </c>
      <c r="G92" s="3" t="str">
        <f>IFERROR(VLOOKUP(TEXT(G$4+$A92,"MM/DD/YYYY HH:MM")&amp;"-&gt;"&amp;$B$2,'Schedule from TM'!$BG$11:$BI$5051,3,0),"")</f>
        <v/>
      </c>
      <c r="H92" s="3" t="str">
        <f>IFERROR(VLOOKUP(TEXT(H$4+$A92,"MM/DD/YYYY HH:MM")&amp;"-&gt;"&amp;$B$2,'Schedule from TM'!$BG$11:$BI$5051,3,0),"")</f>
        <v/>
      </c>
      <c r="I92" s="3" t="str">
        <f>IFERROR(VLOOKUP(TEXT(I$4+$A92,"MM/DD/YYYY HH:MM")&amp;"-&gt;"&amp;$B$2,'Schedule from TM'!$BG$11:$BI$5051,3,0),"")</f>
        <v/>
      </c>
      <c r="J92" s="3" t="str">
        <f>IFERROR(VLOOKUP(TEXT(J$4+$A92,"MM/DD/YYYY HH:MM")&amp;"-&gt;"&amp;$B$2,'Schedule from TM'!$BG$11:$BI$5051,3,0),"")</f>
        <v/>
      </c>
      <c r="K92" s="3" t="str">
        <f>IFERROR(VLOOKUP(TEXT(K$4+$A92,"MM/DD/YYYY HH:MM")&amp;"-&gt;"&amp;$B$2,'Schedule from TM'!$BG$11:$BI$5051,3,0),"")</f>
        <v/>
      </c>
    </row>
    <row r="93" spans="1:11" x14ac:dyDescent="0.2">
      <c r="A93" s="5">
        <f t="shared" si="30"/>
        <v>0.99305555555555536</v>
      </c>
      <c r="B93" s="3" t="str">
        <f>IFERROR(VLOOKUP(TEXT(B$4+$A93,"MM/DD/YYYY HH:MM")&amp;"-&gt;"&amp;$B$2,'Schedule from TM'!$BG$11:$BI$5051,3,0),"")</f>
        <v/>
      </c>
      <c r="C93" s="3" t="str">
        <f>IFERROR(VLOOKUP(TEXT(C$4+$A93,"MM/DD/YYYY HH:MM")&amp;"-&gt;"&amp;$B$2,'Schedule from TM'!$BG$11:$BI$5051,3,0),"")</f>
        <v/>
      </c>
      <c r="D93" s="3" t="str">
        <f>IFERROR(VLOOKUP(TEXT(D$4+$A93,"MM/DD/YYYY HH:MM")&amp;"-&gt;"&amp;$B$2,'Schedule from TM'!$BG$11:$BI$5051,3,0),"")</f>
        <v/>
      </c>
      <c r="E93" s="3" t="str">
        <f>IFERROR(VLOOKUP(TEXT(E$4+$A93,"MM/DD/YYYY HH:MM")&amp;"-&gt;"&amp;$B$2,'Schedule from TM'!$BG$11:$BI$5051,3,0),"")</f>
        <v/>
      </c>
      <c r="F93" s="3" t="str">
        <f>IFERROR(VLOOKUP(TEXT(F$4+$A93,"MM/DD/YYYY HH:MM")&amp;"-&gt;"&amp;$B$2,'Schedule from TM'!$BG$11:$BI$5051,3,0),"")</f>
        <v/>
      </c>
      <c r="G93" s="3" t="str">
        <f>IFERROR(VLOOKUP(TEXT(G$4+$A93,"MM/DD/YYYY HH:MM")&amp;"-&gt;"&amp;$B$2,'Schedule from TM'!$BG$11:$BI$5051,3,0),"")</f>
        <v/>
      </c>
      <c r="H93" s="3" t="str">
        <f>IFERROR(VLOOKUP(TEXT(H$4+$A93,"MM/DD/YYYY HH:MM")&amp;"-&gt;"&amp;$B$2,'Schedule from TM'!$BG$11:$BI$5051,3,0),"")</f>
        <v/>
      </c>
      <c r="I93" s="3" t="str">
        <f>IFERROR(VLOOKUP(TEXT(I$4+$A93,"MM/DD/YYYY HH:MM")&amp;"-&gt;"&amp;$B$2,'Schedule from TM'!$BG$11:$BI$5051,3,0),"")</f>
        <v/>
      </c>
      <c r="J93" s="3" t="str">
        <f>IFERROR(VLOOKUP(TEXT(J$4+$A93,"MM/DD/YYYY HH:MM")&amp;"-&gt;"&amp;$B$2,'Schedule from TM'!$BG$11:$BI$5051,3,0),"")</f>
        <v/>
      </c>
      <c r="K93" s="3" t="str">
        <f>IFERROR(VLOOKUP(TEXT(K$4+$A93,"MM/DD/YYYY HH:MM")&amp;"-&gt;"&amp;$B$2,'Schedule from TM'!$BG$11:$BI$5051,3,0),"")</f>
        <v/>
      </c>
    </row>
    <row r="95" spans="1:11" x14ac:dyDescent="0.2">
      <c r="A95" t="s">
        <v>348</v>
      </c>
    </row>
    <row r="96" spans="1:11" x14ac:dyDescent="0.2">
      <c r="A96" s="3"/>
      <c r="B96" s="3" t="s">
        <v>338</v>
      </c>
      <c r="C96" s="3">
        <f>B2</f>
        <v>0</v>
      </c>
      <c r="D96" s="3"/>
      <c r="E96" s="3"/>
      <c r="F96" s="3"/>
      <c r="G96" s="3"/>
      <c r="H96" s="3"/>
      <c r="I96" s="3"/>
      <c r="J96" s="3"/>
      <c r="K96" s="3"/>
    </row>
    <row r="97" spans="1:11" x14ac:dyDescent="0.2">
      <c r="A97" s="3"/>
      <c r="B97" s="49">
        <f t="shared" ref="B97:K97" si="31">B4</f>
        <v>43057</v>
      </c>
      <c r="C97" s="49">
        <f t="shared" si="31"/>
        <v>43058</v>
      </c>
      <c r="D97" s="49">
        <f t="shared" si="31"/>
        <v>43059</v>
      </c>
      <c r="E97" s="49">
        <f t="shared" si="31"/>
        <v>43060</v>
      </c>
      <c r="F97" s="49">
        <f t="shared" si="31"/>
        <v>43061</v>
      </c>
      <c r="G97" s="49">
        <f t="shared" si="31"/>
        <v>43062</v>
      </c>
      <c r="H97" s="49">
        <f t="shared" si="31"/>
        <v>43063</v>
      </c>
      <c r="I97" s="49">
        <f t="shared" si="31"/>
        <v>43064</v>
      </c>
      <c r="J97" s="49">
        <f t="shared" si="31"/>
        <v>43065</v>
      </c>
      <c r="K97" s="49">
        <f t="shared" si="31"/>
        <v>43066</v>
      </c>
    </row>
    <row r="98" spans="1:11" x14ac:dyDescent="0.2">
      <c r="A98" s="3"/>
      <c r="B98" s="73" t="s">
        <v>339</v>
      </c>
      <c r="C98" s="73" t="s">
        <v>340</v>
      </c>
      <c r="D98" s="73" t="s">
        <v>341</v>
      </c>
      <c r="E98" s="73" t="s">
        <v>342</v>
      </c>
      <c r="F98" s="73" t="s">
        <v>343</v>
      </c>
      <c r="G98" s="73" t="s">
        <v>344</v>
      </c>
      <c r="H98" s="73" t="s">
        <v>345</v>
      </c>
      <c r="I98" s="73" t="s">
        <v>346</v>
      </c>
      <c r="J98" s="73" t="s">
        <v>347</v>
      </c>
      <c r="K98" s="73" t="s">
        <v>346</v>
      </c>
    </row>
    <row r="99" spans="1:1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</row>
    <row r="100" spans="1:11" x14ac:dyDescent="0.2">
      <c r="A100" s="5">
        <f t="shared" ref="A100:A119" si="32">A6</f>
        <v>0.33333333333333331</v>
      </c>
      <c r="B100" s="3" t="str">
        <f t="shared" ref="B100:K100" si="33">IFERROR(VLOOKUP(TEXT(B$4+$A74,"MM/DD/YYYY HH:MM")&amp;"-&gt;"&amp;$F$2,finals_search,2,0),"")</f>
        <v/>
      </c>
      <c r="C100" s="3" t="str">
        <f t="shared" si="33"/>
        <v/>
      </c>
      <c r="D100" s="3" t="str">
        <f t="shared" si="33"/>
        <v/>
      </c>
      <c r="E100" s="3" t="str">
        <f t="shared" si="33"/>
        <v/>
      </c>
      <c r="F100" s="3" t="str">
        <f t="shared" si="33"/>
        <v/>
      </c>
      <c r="G100" s="3" t="str">
        <f t="shared" si="33"/>
        <v/>
      </c>
      <c r="H100" s="3" t="str">
        <f t="shared" si="33"/>
        <v/>
      </c>
      <c r="I100" s="3" t="str">
        <f t="shared" si="33"/>
        <v/>
      </c>
      <c r="J100" s="3" t="str">
        <f t="shared" si="33"/>
        <v/>
      </c>
      <c r="K100" s="3" t="str">
        <f t="shared" si="33"/>
        <v/>
      </c>
    </row>
    <row r="101" spans="1:11" x14ac:dyDescent="0.2">
      <c r="A101" s="5">
        <f t="shared" si="32"/>
        <v>0.36805555555555552</v>
      </c>
      <c r="B101" s="3" t="str">
        <f t="shared" ref="B101:K101" si="34">IFERROR(VLOOKUP(TEXT(B$4+$A75,"MM/DD/YYYY HH:MM")&amp;"-&gt;"&amp;$F$2,finals_search,2,0),"")</f>
        <v/>
      </c>
      <c r="C101" s="3" t="str">
        <f t="shared" si="34"/>
        <v/>
      </c>
      <c r="D101" s="3" t="str">
        <f t="shared" si="34"/>
        <v/>
      </c>
      <c r="E101" s="3" t="str">
        <f t="shared" si="34"/>
        <v/>
      </c>
      <c r="F101" s="3" t="str">
        <f t="shared" si="34"/>
        <v/>
      </c>
      <c r="G101" s="3" t="str">
        <f t="shared" si="34"/>
        <v/>
      </c>
      <c r="H101" s="3" t="str">
        <f t="shared" si="34"/>
        <v/>
      </c>
      <c r="I101" s="3" t="str">
        <f t="shared" si="34"/>
        <v/>
      </c>
      <c r="J101" s="3" t="str">
        <f t="shared" si="34"/>
        <v/>
      </c>
      <c r="K101" s="3" t="str">
        <f t="shared" si="34"/>
        <v/>
      </c>
    </row>
    <row r="102" spans="1:11" x14ac:dyDescent="0.2">
      <c r="A102" s="5">
        <f t="shared" si="32"/>
        <v>0.40277777777777773</v>
      </c>
      <c r="B102" s="3" t="str">
        <f t="shared" ref="B102:K102" si="35">IFERROR(VLOOKUP(TEXT(B$4+$A76,"MM/DD/YYYY HH:MM")&amp;"-&gt;"&amp;$F$2,finals_search,2,0),"")</f>
        <v/>
      </c>
      <c r="C102" s="3" t="str">
        <f t="shared" si="35"/>
        <v/>
      </c>
      <c r="D102" s="3" t="str">
        <f t="shared" si="35"/>
        <v/>
      </c>
      <c r="E102" s="3" t="str">
        <f t="shared" si="35"/>
        <v/>
      </c>
      <c r="F102" s="3" t="str">
        <f t="shared" si="35"/>
        <v/>
      </c>
      <c r="G102" s="3" t="str">
        <f t="shared" si="35"/>
        <v/>
      </c>
      <c r="H102" s="3" t="str">
        <f t="shared" si="35"/>
        <v/>
      </c>
      <c r="I102" s="3" t="str">
        <f t="shared" si="35"/>
        <v/>
      </c>
      <c r="J102" s="3" t="str">
        <f t="shared" si="35"/>
        <v/>
      </c>
      <c r="K102" s="3" t="str">
        <f t="shared" si="35"/>
        <v/>
      </c>
    </row>
    <row r="103" spans="1:11" x14ac:dyDescent="0.2">
      <c r="A103" s="5">
        <f t="shared" si="32"/>
        <v>0.43749999999999994</v>
      </c>
      <c r="B103" s="3" t="str">
        <f t="shared" ref="B103:K103" si="36">IFERROR(VLOOKUP(TEXT(B$4+$A77,"MM/DD/YYYY HH:MM")&amp;"-&gt;"&amp;$F$2,finals_search,2,0),"")</f>
        <v/>
      </c>
      <c r="C103" s="3" t="str">
        <f t="shared" si="36"/>
        <v/>
      </c>
      <c r="D103" s="3" t="str">
        <f t="shared" si="36"/>
        <v/>
      </c>
      <c r="E103" s="3" t="str">
        <f t="shared" si="36"/>
        <v/>
      </c>
      <c r="F103" s="3" t="str">
        <f t="shared" si="36"/>
        <v/>
      </c>
      <c r="G103" s="3" t="str">
        <f t="shared" si="36"/>
        <v/>
      </c>
      <c r="H103" s="3" t="str">
        <f t="shared" si="36"/>
        <v/>
      </c>
      <c r="I103" s="3" t="str">
        <f t="shared" si="36"/>
        <v/>
      </c>
      <c r="J103" s="3" t="str">
        <f t="shared" si="36"/>
        <v/>
      </c>
      <c r="K103" s="3" t="str">
        <f t="shared" si="36"/>
        <v/>
      </c>
    </row>
    <row r="104" spans="1:11" x14ac:dyDescent="0.2">
      <c r="A104" s="5">
        <f t="shared" si="32"/>
        <v>0.47222222222222215</v>
      </c>
      <c r="B104" s="3" t="str">
        <f t="shared" ref="B104:K104" si="37">IFERROR(VLOOKUP(TEXT(B$4+$A78,"MM/DD/YYYY HH:MM")&amp;"-&gt;"&amp;$F$2,finals_search,2,0),"")</f>
        <v/>
      </c>
      <c r="C104" s="3" t="str">
        <f t="shared" si="37"/>
        <v/>
      </c>
      <c r="D104" s="3" t="str">
        <f t="shared" si="37"/>
        <v/>
      </c>
      <c r="E104" s="3" t="str">
        <f t="shared" si="37"/>
        <v/>
      </c>
      <c r="F104" s="3" t="str">
        <f t="shared" si="37"/>
        <v/>
      </c>
      <c r="G104" s="3" t="str">
        <f t="shared" si="37"/>
        <v/>
      </c>
      <c r="H104" s="3" t="str">
        <f t="shared" si="37"/>
        <v/>
      </c>
      <c r="I104" s="3" t="str">
        <f t="shared" si="37"/>
        <v/>
      </c>
      <c r="J104" s="3" t="str">
        <f t="shared" si="37"/>
        <v/>
      </c>
      <c r="K104" s="3" t="str">
        <f t="shared" si="37"/>
        <v/>
      </c>
    </row>
    <row r="105" spans="1:11" x14ac:dyDescent="0.2">
      <c r="A105" s="5">
        <f t="shared" si="32"/>
        <v>0.50694444444444442</v>
      </c>
      <c r="B105" s="3" t="str">
        <f t="shared" ref="B105:K105" si="38">IFERROR(VLOOKUP(TEXT(B$4+$A79,"MM/DD/YYYY HH:MM")&amp;"-&gt;"&amp;$F$2,finals_search,2,0),"")</f>
        <v/>
      </c>
      <c r="C105" s="3" t="str">
        <f t="shared" si="38"/>
        <v/>
      </c>
      <c r="D105" s="3" t="str">
        <f t="shared" si="38"/>
        <v/>
      </c>
      <c r="E105" s="3" t="str">
        <f t="shared" si="38"/>
        <v/>
      </c>
      <c r="F105" s="3" t="str">
        <f t="shared" si="38"/>
        <v/>
      </c>
      <c r="G105" s="3" t="str">
        <f t="shared" si="38"/>
        <v/>
      </c>
      <c r="H105" s="3" t="str">
        <f t="shared" si="38"/>
        <v/>
      </c>
      <c r="I105" s="3" t="str">
        <f t="shared" si="38"/>
        <v/>
      </c>
      <c r="J105" s="3" t="str">
        <f t="shared" si="38"/>
        <v/>
      </c>
      <c r="K105" s="3" t="str">
        <f t="shared" si="38"/>
        <v/>
      </c>
    </row>
    <row r="106" spans="1:11" x14ac:dyDescent="0.2">
      <c r="A106" s="5">
        <f t="shared" si="32"/>
        <v>0.54166666666666663</v>
      </c>
      <c r="B106" s="3" t="str">
        <f t="shared" ref="B106:K106" si="39">IFERROR(VLOOKUP(TEXT(B$4+$A80,"MM/DD/YYYY HH:MM")&amp;"-&gt;"&amp;$F$2,finals_search,2,0),"")</f>
        <v/>
      </c>
      <c r="C106" s="3" t="str">
        <f t="shared" si="39"/>
        <v/>
      </c>
      <c r="D106" s="3" t="str">
        <f t="shared" si="39"/>
        <v/>
      </c>
      <c r="E106" s="3" t="str">
        <f t="shared" si="39"/>
        <v/>
      </c>
      <c r="F106" s="3" t="str">
        <f t="shared" si="39"/>
        <v/>
      </c>
      <c r="G106" s="3" t="str">
        <f t="shared" si="39"/>
        <v/>
      </c>
      <c r="H106" s="3" t="str">
        <f t="shared" si="39"/>
        <v/>
      </c>
      <c r="I106" s="3" t="str">
        <f t="shared" si="39"/>
        <v/>
      </c>
      <c r="J106" s="3" t="str">
        <f t="shared" si="39"/>
        <v/>
      </c>
      <c r="K106" s="3" t="str">
        <f t="shared" si="39"/>
        <v/>
      </c>
    </row>
    <row r="107" spans="1:11" x14ac:dyDescent="0.2">
      <c r="A107" s="5">
        <f t="shared" si="32"/>
        <v>0.57638888888888884</v>
      </c>
      <c r="B107" s="3" t="str">
        <f t="shared" ref="B107:K107" si="40">IFERROR(VLOOKUP(TEXT(B$4+$A81,"MM/DD/YYYY HH:MM")&amp;"-&gt;"&amp;$F$2,finals_search,2,0),"")</f>
        <v/>
      </c>
      <c r="C107" s="3" t="str">
        <f t="shared" si="40"/>
        <v/>
      </c>
      <c r="D107" s="3" t="str">
        <f t="shared" si="40"/>
        <v/>
      </c>
      <c r="E107" s="3" t="str">
        <f t="shared" si="40"/>
        <v/>
      </c>
      <c r="F107" s="3" t="str">
        <f t="shared" si="40"/>
        <v/>
      </c>
      <c r="G107" s="3" t="str">
        <f t="shared" si="40"/>
        <v/>
      </c>
      <c r="H107" s="3" t="str">
        <f t="shared" si="40"/>
        <v/>
      </c>
      <c r="I107" s="3" t="str">
        <f t="shared" si="40"/>
        <v/>
      </c>
      <c r="J107" s="3" t="str">
        <f t="shared" si="40"/>
        <v/>
      </c>
      <c r="K107" s="3" t="str">
        <f t="shared" si="40"/>
        <v/>
      </c>
    </row>
    <row r="108" spans="1:11" x14ac:dyDescent="0.2">
      <c r="A108" s="5">
        <f t="shared" si="32"/>
        <v>0.61111111111111105</v>
      </c>
      <c r="B108" s="3" t="str">
        <f t="shared" ref="B108:K108" si="41">IFERROR(VLOOKUP(TEXT(B$4+$A82,"MM/DD/YYYY HH:MM")&amp;"-&gt;"&amp;$F$2,finals_search,2,0),"")</f>
        <v/>
      </c>
      <c r="C108" s="3" t="str">
        <f t="shared" si="41"/>
        <v/>
      </c>
      <c r="D108" s="3" t="str">
        <f t="shared" si="41"/>
        <v/>
      </c>
      <c r="E108" s="3" t="str">
        <f t="shared" si="41"/>
        <v/>
      </c>
      <c r="F108" s="3" t="str">
        <f t="shared" si="41"/>
        <v/>
      </c>
      <c r="G108" s="3" t="str">
        <f t="shared" si="41"/>
        <v/>
      </c>
      <c r="H108" s="3" t="str">
        <f t="shared" si="41"/>
        <v/>
      </c>
      <c r="I108" s="3" t="str">
        <f t="shared" si="41"/>
        <v/>
      </c>
      <c r="J108" s="3" t="str">
        <f t="shared" si="41"/>
        <v/>
      </c>
      <c r="K108" s="3" t="str">
        <f t="shared" si="41"/>
        <v/>
      </c>
    </row>
    <row r="109" spans="1:11" x14ac:dyDescent="0.2">
      <c r="A109" s="5">
        <f t="shared" si="32"/>
        <v>0.64583333333333326</v>
      </c>
      <c r="B109" s="3" t="str">
        <f t="shared" ref="B109:K109" si="42">IFERROR(VLOOKUP(TEXT(B$4+$A83,"MM/DD/YYYY HH:MM")&amp;"-&gt;"&amp;$F$2,finals_search,2,0),"")</f>
        <v/>
      </c>
      <c r="C109" s="3" t="str">
        <f t="shared" si="42"/>
        <v/>
      </c>
      <c r="D109" s="3" t="str">
        <f t="shared" si="42"/>
        <v/>
      </c>
      <c r="E109" s="3" t="str">
        <f t="shared" si="42"/>
        <v/>
      </c>
      <c r="F109" s="3" t="str">
        <f t="shared" si="42"/>
        <v/>
      </c>
      <c r="G109" s="3" t="str">
        <f t="shared" si="42"/>
        <v/>
      </c>
      <c r="H109" s="3" t="str">
        <f t="shared" si="42"/>
        <v/>
      </c>
      <c r="I109" s="3" t="str">
        <f t="shared" si="42"/>
        <v/>
      </c>
      <c r="J109" s="3" t="str">
        <f t="shared" si="42"/>
        <v/>
      </c>
      <c r="K109" s="3" t="str">
        <f t="shared" si="42"/>
        <v/>
      </c>
    </row>
    <row r="110" spans="1:11" x14ac:dyDescent="0.2">
      <c r="A110" s="5">
        <f t="shared" si="32"/>
        <v>0.68055555555555547</v>
      </c>
      <c r="B110" s="3" t="str">
        <f t="shared" ref="B110:K110" si="43">IFERROR(VLOOKUP(TEXT(B$4+$A84,"MM/DD/YYYY HH:MM")&amp;"-&gt;"&amp;$F$2,finals_search,2,0),"")</f>
        <v/>
      </c>
      <c r="C110" s="3" t="str">
        <f t="shared" si="43"/>
        <v/>
      </c>
      <c r="D110" s="3" t="str">
        <f t="shared" si="43"/>
        <v/>
      </c>
      <c r="E110" s="3" t="str">
        <f t="shared" si="43"/>
        <v/>
      </c>
      <c r="F110" s="3" t="str">
        <f t="shared" si="43"/>
        <v/>
      </c>
      <c r="G110" s="3" t="str">
        <f t="shared" si="43"/>
        <v/>
      </c>
      <c r="H110" s="3" t="str">
        <f t="shared" si="43"/>
        <v/>
      </c>
      <c r="I110" s="3" t="str">
        <f t="shared" si="43"/>
        <v/>
      </c>
      <c r="J110" s="3" t="str">
        <f t="shared" si="43"/>
        <v/>
      </c>
      <c r="K110" s="3" t="str">
        <f t="shared" si="43"/>
        <v/>
      </c>
    </row>
    <row r="111" spans="1:11" x14ac:dyDescent="0.2">
      <c r="A111" s="5">
        <f t="shared" si="32"/>
        <v>0.71527777777777768</v>
      </c>
      <c r="B111" s="3" t="str">
        <f t="shared" ref="B111:K111" si="44">IFERROR(VLOOKUP(TEXT(B$4+$A85,"MM/DD/YYYY HH:MM")&amp;"-&gt;"&amp;$F$2,finals_search,2,0),"")</f>
        <v/>
      </c>
      <c r="C111" s="3" t="str">
        <f t="shared" si="44"/>
        <v/>
      </c>
      <c r="D111" s="3" t="str">
        <f t="shared" si="44"/>
        <v/>
      </c>
      <c r="E111" s="3" t="str">
        <f t="shared" si="44"/>
        <v/>
      </c>
      <c r="F111" s="3" t="str">
        <f t="shared" si="44"/>
        <v/>
      </c>
      <c r="G111" s="3" t="str">
        <f t="shared" si="44"/>
        <v/>
      </c>
      <c r="H111" s="3" t="str">
        <f t="shared" si="44"/>
        <v/>
      </c>
      <c r="I111" s="3" t="str">
        <f t="shared" si="44"/>
        <v/>
      </c>
      <c r="J111" s="3" t="str">
        <f t="shared" si="44"/>
        <v/>
      </c>
      <c r="K111" s="3" t="str">
        <f t="shared" si="44"/>
        <v/>
      </c>
    </row>
    <row r="112" spans="1:11" x14ac:dyDescent="0.2">
      <c r="A112" s="5">
        <f t="shared" si="32"/>
        <v>0.74999999999999989</v>
      </c>
      <c r="B112" s="3" t="str">
        <f t="shared" ref="B112:K112" si="45">IFERROR(VLOOKUP(TEXT(B$4+$A86,"MM/DD/YYYY HH:MM")&amp;"-&gt;"&amp;$F$2,finals_search,2,0),"")</f>
        <v/>
      </c>
      <c r="C112" s="3" t="str">
        <f t="shared" si="45"/>
        <v/>
      </c>
      <c r="D112" s="3" t="str">
        <f t="shared" si="45"/>
        <v/>
      </c>
      <c r="E112" s="3" t="str">
        <f t="shared" si="45"/>
        <v/>
      </c>
      <c r="F112" s="3" t="str">
        <f t="shared" si="45"/>
        <v/>
      </c>
      <c r="G112" s="3" t="str">
        <f t="shared" si="45"/>
        <v/>
      </c>
      <c r="H112" s="3" t="str">
        <f t="shared" si="45"/>
        <v/>
      </c>
      <c r="I112" s="3" t="str">
        <f t="shared" si="45"/>
        <v/>
      </c>
      <c r="J112" s="3" t="str">
        <f t="shared" si="45"/>
        <v/>
      </c>
      <c r="K112" s="3" t="str">
        <f t="shared" si="45"/>
        <v/>
      </c>
    </row>
    <row r="113" spans="1:11" x14ac:dyDescent="0.2">
      <c r="A113" s="5">
        <f t="shared" si="32"/>
        <v>0.7847222222222221</v>
      </c>
      <c r="B113" s="3" t="str">
        <f t="shared" ref="B113:K113" si="46">IFERROR(VLOOKUP(TEXT(B$4+$A87,"MM/DD/YYYY HH:MM")&amp;"-&gt;"&amp;$F$2,finals_search,2,0),"")</f>
        <v/>
      </c>
      <c r="C113" s="3" t="str">
        <f t="shared" si="46"/>
        <v/>
      </c>
      <c r="D113" s="3" t="str">
        <f t="shared" si="46"/>
        <v/>
      </c>
      <c r="E113" s="3" t="str">
        <f t="shared" si="46"/>
        <v/>
      </c>
      <c r="F113" s="3" t="str">
        <f t="shared" si="46"/>
        <v/>
      </c>
      <c r="G113" s="3" t="str">
        <f t="shared" si="46"/>
        <v/>
      </c>
      <c r="H113" s="3" t="str">
        <f t="shared" si="46"/>
        <v/>
      </c>
      <c r="I113" s="3" t="str">
        <f t="shared" si="46"/>
        <v/>
      </c>
      <c r="J113" s="3" t="str">
        <f t="shared" si="46"/>
        <v/>
      </c>
      <c r="K113" s="3" t="str">
        <f t="shared" si="46"/>
        <v/>
      </c>
    </row>
    <row r="114" spans="1:11" x14ac:dyDescent="0.2">
      <c r="A114" s="5">
        <f t="shared" si="32"/>
        <v>0.81944444444444431</v>
      </c>
      <c r="B114" s="3" t="str">
        <f t="shared" ref="B114:K114" si="47">IFERROR(VLOOKUP(TEXT(B$4+$A88,"MM/DD/YYYY HH:MM")&amp;"-&gt;"&amp;$F$2,finals_search,2,0),"")</f>
        <v/>
      </c>
      <c r="C114" s="3" t="str">
        <f t="shared" si="47"/>
        <v/>
      </c>
      <c r="D114" s="3" t="str">
        <f t="shared" si="47"/>
        <v/>
      </c>
      <c r="E114" s="3" t="str">
        <f t="shared" si="47"/>
        <v/>
      </c>
      <c r="F114" s="3" t="str">
        <f t="shared" si="47"/>
        <v/>
      </c>
      <c r="G114" s="3" t="str">
        <f t="shared" si="47"/>
        <v/>
      </c>
      <c r="H114" s="3" t="str">
        <f t="shared" si="47"/>
        <v/>
      </c>
      <c r="I114" s="3" t="str">
        <f t="shared" si="47"/>
        <v/>
      </c>
      <c r="J114" s="3" t="str">
        <f t="shared" si="47"/>
        <v/>
      </c>
      <c r="K114" s="3" t="str">
        <f t="shared" si="47"/>
        <v/>
      </c>
    </row>
    <row r="115" spans="1:11" x14ac:dyDescent="0.2">
      <c r="A115" s="5">
        <f t="shared" si="32"/>
        <v>0.85416666666666652</v>
      </c>
      <c r="B115" s="3" t="str">
        <f t="shared" ref="B115:K115" si="48">IFERROR(VLOOKUP(TEXT(B$4+$A89,"MM/DD/YYYY HH:MM")&amp;"-&gt;"&amp;$F$2,finals_search,2,0),"")</f>
        <v/>
      </c>
      <c r="C115" s="3" t="str">
        <f t="shared" si="48"/>
        <v/>
      </c>
      <c r="D115" s="3" t="str">
        <f t="shared" si="48"/>
        <v/>
      </c>
      <c r="E115" s="3" t="str">
        <f t="shared" si="48"/>
        <v/>
      </c>
      <c r="F115" s="3" t="str">
        <f t="shared" si="48"/>
        <v/>
      </c>
      <c r="G115" s="3" t="str">
        <f t="shared" si="48"/>
        <v/>
      </c>
      <c r="H115" s="3" t="str">
        <f t="shared" si="48"/>
        <v/>
      </c>
      <c r="I115" s="3" t="str">
        <f t="shared" si="48"/>
        <v/>
      </c>
      <c r="J115" s="3" t="str">
        <f t="shared" si="48"/>
        <v/>
      </c>
      <c r="K115" s="3" t="str">
        <f t="shared" si="48"/>
        <v/>
      </c>
    </row>
    <row r="116" spans="1:11" x14ac:dyDescent="0.2">
      <c r="A116" s="5">
        <f t="shared" si="32"/>
        <v>0.88888888888888873</v>
      </c>
      <c r="B116" s="3" t="str">
        <f t="shared" ref="B116:K116" si="49">IFERROR(VLOOKUP(TEXT(B$4+$A90,"MM/DD/YYYY HH:MM")&amp;"-&gt;"&amp;$F$2,finals_search,2,0),"")</f>
        <v/>
      </c>
      <c r="C116" s="3" t="str">
        <f t="shared" si="49"/>
        <v/>
      </c>
      <c r="D116" s="3" t="str">
        <f t="shared" si="49"/>
        <v/>
      </c>
      <c r="E116" s="3" t="str">
        <f t="shared" si="49"/>
        <v/>
      </c>
      <c r="F116" s="3" t="str">
        <f t="shared" si="49"/>
        <v/>
      </c>
      <c r="G116" s="3" t="str">
        <f t="shared" si="49"/>
        <v/>
      </c>
      <c r="H116" s="3" t="str">
        <f t="shared" si="49"/>
        <v/>
      </c>
      <c r="I116" s="3" t="str">
        <f t="shared" si="49"/>
        <v/>
      </c>
      <c r="J116" s="3" t="str">
        <f t="shared" si="49"/>
        <v/>
      </c>
      <c r="K116" s="3" t="str">
        <f t="shared" si="49"/>
        <v/>
      </c>
    </row>
    <row r="117" spans="1:11" x14ac:dyDescent="0.2">
      <c r="A117" s="5">
        <f t="shared" si="32"/>
        <v>0.92361111111111094</v>
      </c>
      <c r="B117" s="3" t="str">
        <f t="shared" ref="B117:K117" si="50">IFERROR(VLOOKUP(TEXT(B$4+$A91,"MM/DD/YYYY HH:MM")&amp;"-&gt;"&amp;$F$2,finals_search,2,0),"")</f>
        <v/>
      </c>
      <c r="C117" s="3" t="str">
        <f t="shared" si="50"/>
        <v/>
      </c>
      <c r="D117" s="3" t="str">
        <f t="shared" si="50"/>
        <v/>
      </c>
      <c r="E117" s="3" t="str">
        <f t="shared" si="50"/>
        <v/>
      </c>
      <c r="F117" s="3" t="str">
        <f t="shared" si="50"/>
        <v/>
      </c>
      <c r="G117" s="3" t="str">
        <f t="shared" si="50"/>
        <v/>
      </c>
      <c r="H117" s="3" t="str">
        <f t="shared" si="50"/>
        <v/>
      </c>
      <c r="I117" s="3" t="str">
        <f t="shared" si="50"/>
        <v/>
      </c>
      <c r="J117" s="3" t="str">
        <f t="shared" si="50"/>
        <v/>
      </c>
      <c r="K117" s="3" t="str">
        <f t="shared" si="50"/>
        <v/>
      </c>
    </row>
    <row r="118" spans="1:11" x14ac:dyDescent="0.2">
      <c r="A118" s="5">
        <f t="shared" si="32"/>
        <v>0.95833333333333315</v>
      </c>
      <c r="B118" s="3" t="str">
        <f t="shared" ref="B118:K118" si="51">IFERROR(VLOOKUP(TEXT(B$4+$A92,"MM/DD/YYYY HH:MM")&amp;"-&gt;"&amp;$F$2,finals_search,2,0),"")</f>
        <v/>
      </c>
      <c r="C118" s="3" t="str">
        <f t="shared" si="51"/>
        <v/>
      </c>
      <c r="D118" s="3" t="str">
        <f t="shared" si="51"/>
        <v/>
      </c>
      <c r="E118" s="3" t="str">
        <f t="shared" si="51"/>
        <v/>
      </c>
      <c r="F118" s="3" t="str">
        <f t="shared" si="51"/>
        <v/>
      </c>
      <c r="G118" s="3" t="str">
        <f t="shared" si="51"/>
        <v/>
      </c>
      <c r="H118" s="3" t="str">
        <f t="shared" si="51"/>
        <v/>
      </c>
      <c r="I118" s="3" t="str">
        <f t="shared" si="51"/>
        <v/>
      </c>
      <c r="J118" s="3" t="str">
        <f t="shared" si="51"/>
        <v/>
      </c>
      <c r="K118" s="3" t="str">
        <f t="shared" si="51"/>
        <v/>
      </c>
    </row>
    <row r="119" spans="1:11" x14ac:dyDescent="0.2">
      <c r="A119" s="5">
        <f t="shared" si="32"/>
        <v>0.99305555555555536</v>
      </c>
      <c r="B119" s="3" t="str">
        <f t="shared" ref="B119:K119" si="52">IFERROR(VLOOKUP(TEXT(B$4+$A93,"MM/DD/YYYY HH:MM")&amp;"-&gt;"&amp;$F$2,finals_search,2,0),"")</f>
        <v/>
      </c>
      <c r="C119" s="3" t="str">
        <f t="shared" si="52"/>
        <v/>
      </c>
      <c r="D119" s="3" t="str">
        <f t="shared" si="52"/>
        <v/>
      </c>
      <c r="E119" s="3" t="str">
        <f t="shared" si="52"/>
        <v/>
      </c>
      <c r="F119" s="3" t="str">
        <f t="shared" si="52"/>
        <v/>
      </c>
      <c r="G119" s="3" t="str">
        <f t="shared" si="52"/>
        <v/>
      </c>
      <c r="H119" s="3" t="str">
        <f t="shared" si="52"/>
        <v/>
      </c>
      <c r="I119" s="3" t="str">
        <f t="shared" si="52"/>
        <v/>
      </c>
      <c r="J119" s="3" t="str">
        <f t="shared" si="52"/>
        <v/>
      </c>
      <c r="K119" s="3" t="str">
        <f t="shared" si="52"/>
        <v/>
      </c>
    </row>
    <row r="121" spans="1:11" x14ac:dyDescent="0.2">
      <c r="A121" t="s">
        <v>348</v>
      </c>
    </row>
    <row r="122" spans="1:11" x14ac:dyDescent="0.2">
      <c r="A122" s="3"/>
      <c r="B122" s="3" t="s">
        <v>338</v>
      </c>
      <c r="C122" s="3">
        <f>B2</f>
        <v>0</v>
      </c>
      <c r="D122" s="3"/>
      <c r="E122" s="3"/>
      <c r="F122" s="3"/>
      <c r="G122" s="3"/>
      <c r="H122" s="3"/>
      <c r="I122" s="3"/>
      <c r="J122" s="3"/>
      <c r="K122" s="3"/>
    </row>
    <row r="123" spans="1:11" x14ac:dyDescent="0.2">
      <c r="A123" s="3"/>
      <c r="B123" s="49">
        <f t="shared" ref="B123:K123" si="53">B4</f>
        <v>43057</v>
      </c>
      <c r="C123" s="49">
        <f t="shared" si="53"/>
        <v>43058</v>
      </c>
      <c r="D123" s="49">
        <f t="shared" si="53"/>
        <v>43059</v>
      </c>
      <c r="E123" s="49">
        <f t="shared" si="53"/>
        <v>43060</v>
      </c>
      <c r="F123" s="49">
        <f t="shared" si="53"/>
        <v>43061</v>
      </c>
      <c r="G123" s="49">
        <f t="shared" si="53"/>
        <v>43062</v>
      </c>
      <c r="H123" s="49">
        <f t="shared" si="53"/>
        <v>43063</v>
      </c>
      <c r="I123" s="49">
        <f t="shared" si="53"/>
        <v>43064</v>
      </c>
      <c r="J123" s="49">
        <f t="shared" si="53"/>
        <v>43065</v>
      </c>
      <c r="K123" s="49">
        <f t="shared" si="53"/>
        <v>43066</v>
      </c>
    </row>
    <row r="124" spans="1:11" x14ac:dyDescent="0.2">
      <c r="A124" s="3"/>
      <c r="B124" s="73" t="s">
        <v>339</v>
      </c>
      <c r="C124" s="73" t="s">
        <v>340</v>
      </c>
      <c r="D124" s="73" t="s">
        <v>341</v>
      </c>
      <c r="E124" s="73" t="s">
        <v>342</v>
      </c>
      <c r="F124" s="73" t="s">
        <v>343</v>
      </c>
      <c r="G124" s="73" t="s">
        <v>344</v>
      </c>
      <c r="H124" s="73" t="s">
        <v>345</v>
      </c>
      <c r="I124" s="73" t="s">
        <v>346</v>
      </c>
      <c r="J124" s="73" t="s">
        <v>347</v>
      </c>
      <c r="K124" s="73" t="s">
        <v>346</v>
      </c>
    </row>
    <row r="125" spans="1:1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</row>
    <row r="126" spans="1:11" x14ac:dyDescent="0.2">
      <c r="A126" s="5">
        <f t="shared" ref="A126:A145" si="54">A6</f>
        <v>0.33333333333333331</v>
      </c>
      <c r="B126" s="3" t="str">
        <f>IFERROR(VLOOKUP(TEXT(B$4+$A74,"MM/DD/YYYY HH:MM")&amp;"-&gt;"&amp;$B$2,'Schedule from TM'!$BG$11:$BI$5051,3,0),"")</f>
        <v/>
      </c>
      <c r="C126" s="3" t="str">
        <f>IFERROR(VLOOKUP(TEXT(C$4+$A74,"MM/DD/YYYY HH:MM")&amp;"-&gt;"&amp;$B$2,'Schedule from TM'!$BG$11:$BI$5051,3,0),"")</f>
        <v/>
      </c>
      <c r="D126" s="3" t="str">
        <f>IFERROR(VLOOKUP(TEXT(D$4+$A74,"MM/DD/YYYY HH:MM")&amp;"-&gt;"&amp;$B$2,'Schedule from TM'!$BG$11:$BI$5051,3,0),"")</f>
        <v/>
      </c>
      <c r="E126" s="3" t="str">
        <f>IFERROR(VLOOKUP(TEXT(E$4+$A74,"MM/DD/YYYY HH:MM")&amp;"-&gt;"&amp;$B$2,'Schedule from TM'!$BG$11:$BI$5051,3,0),"")</f>
        <v/>
      </c>
      <c r="F126" s="3" t="str">
        <f>IFERROR(VLOOKUP(TEXT(F$4+$A74,"MM/DD/YYYY HH:MM")&amp;"-&gt;"&amp;$B$2,'Schedule from TM'!$BG$11:$BI$5051,3,0),"")</f>
        <v/>
      </c>
      <c r="G126" s="3" t="str">
        <f>IFERROR(VLOOKUP(TEXT(G$4+$A74,"MM/DD/YYYY HH:MM")&amp;"-&gt;"&amp;$B$2,'Schedule from TM'!$BG$11:$BI$5051,3,0),"")</f>
        <v/>
      </c>
      <c r="H126" s="3" t="str">
        <f>IFERROR(VLOOKUP(TEXT(H$4+$A74,"MM/DD/YYYY HH:MM")&amp;"-&gt;"&amp;$B$2,'Schedule from TM'!$BG$11:$BI$5051,3,0),"")</f>
        <v/>
      </c>
      <c r="I126" s="3" t="str">
        <f>IFERROR(VLOOKUP(TEXT(I$4+$A74,"MM/DD/YYYY HH:MM")&amp;"-&gt;"&amp;$B$2,'Schedule from TM'!$BG$11:$BI$5051,3,0),"")</f>
        <v/>
      </c>
      <c r="J126" s="3" t="str">
        <f>IFERROR(VLOOKUP(TEXT(J$4+$A74,"MM/DD/YYYY HH:MM")&amp;"-&gt;"&amp;$B$2,'Schedule from TM'!$BG$11:$BI$5051,3,0),"")</f>
        <v/>
      </c>
      <c r="K126" s="3" t="str">
        <f>IFERROR(VLOOKUP(TEXT(K$4+$A74,"MM/DD/YYYY HH:MM")&amp;"-&gt;"&amp;$B$2,'Schedule from TM'!$BG$11:$BI$5051,3,0),"")</f>
        <v/>
      </c>
    </row>
    <row r="127" spans="1:11" x14ac:dyDescent="0.2">
      <c r="A127" s="5">
        <f t="shared" si="54"/>
        <v>0.36805555555555552</v>
      </c>
      <c r="B127" s="3" t="str">
        <f>IFERROR(VLOOKUP(TEXT(B$4+$A75,"MM/DD/YYYY HH:MM")&amp;"-&gt;"&amp;$B$2,'Schedule from TM'!$BG$11:$BI$5051,3,0),"")</f>
        <v/>
      </c>
      <c r="C127" s="3" t="str">
        <f>IFERROR(VLOOKUP(TEXT(C$4+$A75,"MM/DD/YYYY HH:MM")&amp;"-&gt;"&amp;$B$2,'Schedule from TM'!$BG$11:$BI$5051,3,0),"")</f>
        <v/>
      </c>
      <c r="D127" s="3" t="str">
        <f>IFERROR(VLOOKUP(TEXT(D$4+$A75,"MM/DD/YYYY HH:MM")&amp;"-&gt;"&amp;$B$2,'Schedule from TM'!$BG$11:$BI$5051,3,0),"")</f>
        <v/>
      </c>
      <c r="E127" s="3" t="str">
        <f>IFERROR(VLOOKUP(TEXT(E$4+$A75,"MM/DD/YYYY HH:MM")&amp;"-&gt;"&amp;$B$2,'Schedule from TM'!$BG$11:$BI$5051,3,0),"")</f>
        <v/>
      </c>
      <c r="F127" s="3" t="str">
        <f>IFERROR(VLOOKUP(TEXT(F$4+$A75,"MM/DD/YYYY HH:MM")&amp;"-&gt;"&amp;$B$2,'Schedule from TM'!$BG$11:$BI$5051,3,0),"")</f>
        <v/>
      </c>
      <c r="G127" s="3" t="str">
        <f>IFERROR(VLOOKUP(TEXT(G$4+$A75,"MM/DD/YYYY HH:MM")&amp;"-&gt;"&amp;$B$2,'Schedule from TM'!$BG$11:$BI$5051,3,0),"")</f>
        <v/>
      </c>
      <c r="H127" s="3" t="str">
        <f>IFERROR(VLOOKUP(TEXT(H$4+$A75,"MM/DD/YYYY HH:MM")&amp;"-&gt;"&amp;$B$2,'Schedule from TM'!$BG$11:$BI$5051,3,0),"")</f>
        <v/>
      </c>
      <c r="I127" s="3" t="str">
        <f>IFERROR(VLOOKUP(TEXT(I$4+$A75,"MM/DD/YYYY HH:MM")&amp;"-&gt;"&amp;$B$2,'Schedule from TM'!$BG$11:$BI$5051,3,0),"")</f>
        <v/>
      </c>
      <c r="J127" s="3" t="str">
        <f>IFERROR(VLOOKUP(TEXT(J$4+$A75,"MM/DD/YYYY HH:MM")&amp;"-&gt;"&amp;$B$2,'Schedule from TM'!$BG$11:$BI$5051,3,0),"")</f>
        <v/>
      </c>
      <c r="K127" s="3" t="str">
        <f>IFERROR(VLOOKUP(TEXT(K$4+$A75,"MM/DD/YYYY HH:MM")&amp;"-&gt;"&amp;$B$2,'Schedule from TM'!$BG$11:$BI$5051,3,0),"")</f>
        <v/>
      </c>
    </row>
    <row r="128" spans="1:11" x14ac:dyDescent="0.2">
      <c r="A128" s="5">
        <f t="shared" si="54"/>
        <v>0.40277777777777773</v>
      </c>
      <c r="B128" s="3" t="str">
        <f>IFERROR(VLOOKUP(TEXT(B$4+$A76,"MM/DD/YYYY HH:MM")&amp;"-&gt;"&amp;$B$2,'Schedule from TM'!$BG$11:$BI$5051,3,0),"")</f>
        <v/>
      </c>
      <c r="C128" s="3" t="str">
        <f>IFERROR(VLOOKUP(TEXT(C$4+$A76,"MM/DD/YYYY HH:MM")&amp;"-&gt;"&amp;$B$2,'Schedule from TM'!$BG$11:$BI$5051,3,0),"")</f>
        <v/>
      </c>
      <c r="D128" s="3" t="str">
        <f>IFERROR(VLOOKUP(TEXT(D$4+$A76,"MM/DD/YYYY HH:MM")&amp;"-&gt;"&amp;$B$2,'Schedule from TM'!$BG$11:$BI$5051,3,0),"")</f>
        <v/>
      </c>
      <c r="E128" s="3" t="str">
        <f>IFERROR(VLOOKUP(TEXT(E$4+$A76,"MM/DD/YYYY HH:MM")&amp;"-&gt;"&amp;$B$2,'Schedule from TM'!$BG$11:$BI$5051,3,0),"")</f>
        <v/>
      </c>
      <c r="F128" s="3" t="str">
        <f>IFERROR(VLOOKUP(TEXT(F$4+$A76,"MM/DD/YYYY HH:MM")&amp;"-&gt;"&amp;$B$2,'Schedule from TM'!$BG$11:$BI$5051,3,0),"")</f>
        <v/>
      </c>
      <c r="G128" s="3" t="str">
        <f>IFERROR(VLOOKUP(TEXT(G$4+$A76,"MM/DD/YYYY HH:MM")&amp;"-&gt;"&amp;$B$2,'Schedule from TM'!$BG$11:$BI$5051,3,0),"")</f>
        <v/>
      </c>
      <c r="H128" s="3" t="str">
        <f>IFERROR(VLOOKUP(TEXT(H$4+$A76,"MM/DD/YYYY HH:MM")&amp;"-&gt;"&amp;$B$2,'Schedule from TM'!$BG$11:$BI$5051,3,0),"")</f>
        <v/>
      </c>
      <c r="I128" s="3" t="str">
        <f>IFERROR(VLOOKUP(TEXT(I$4+$A76,"MM/DD/YYYY HH:MM")&amp;"-&gt;"&amp;$B$2,'Schedule from TM'!$BG$11:$BI$5051,3,0),"")</f>
        <v/>
      </c>
      <c r="J128" s="3" t="str">
        <f>IFERROR(VLOOKUP(TEXT(J$4+$A76,"MM/DD/YYYY HH:MM")&amp;"-&gt;"&amp;$B$2,'Schedule from TM'!$BG$11:$BI$5051,3,0),"")</f>
        <v/>
      </c>
      <c r="K128" s="3" t="str">
        <f>IFERROR(VLOOKUP(TEXT(K$4+$A76,"MM/DD/YYYY HH:MM")&amp;"-&gt;"&amp;$B$2,'Schedule from TM'!$BG$11:$BI$5051,3,0),"")</f>
        <v/>
      </c>
    </row>
    <row r="129" spans="1:11" x14ac:dyDescent="0.2">
      <c r="A129" s="5">
        <f t="shared" si="54"/>
        <v>0.43749999999999994</v>
      </c>
      <c r="B129" s="3" t="str">
        <f>IFERROR(VLOOKUP(TEXT(B$4+$A77,"MM/DD/YYYY HH:MM")&amp;"-&gt;"&amp;$B$2,'Schedule from TM'!$BG$11:$BI$5051,3,0),"")</f>
        <v/>
      </c>
      <c r="C129" s="3" t="str">
        <f>IFERROR(VLOOKUP(TEXT(C$4+$A77,"MM/DD/YYYY HH:MM")&amp;"-&gt;"&amp;$B$2,'Schedule from TM'!$BG$11:$BI$5051,3,0),"")</f>
        <v/>
      </c>
      <c r="D129" s="3" t="str">
        <f>IFERROR(VLOOKUP(TEXT(D$4+$A77,"MM/DD/YYYY HH:MM")&amp;"-&gt;"&amp;$B$2,'Schedule from TM'!$BG$11:$BI$5051,3,0),"")</f>
        <v/>
      </c>
      <c r="E129" s="3" t="str">
        <f>IFERROR(VLOOKUP(TEXT(E$4+$A77,"MM/DD/YYYY HH:MM")&amp;"-&gt;"&amp;$B$2,'Schedule from TM'!$BG$11:$BI$5051,3,0),"")</f>
        <v/>
      </c>
      <c r="F129" s="3" t="str">
        <f>IFERROR(VLOOKUP(TEXT(F$4+$A77,"MM/DD/YYYY HH:MM")&amp;"-&gt;"&amp;$B$2,'Schedule from TM'!$BG$11:$BI$5051,3,0),"")</f>
        <v/>
      </c>
      <c r="G129" s="3" t="str">
        <f>IFERROR(VLOOKUP(TEXT(G$4+$A77,"MM/DD/YYYY HH:MM")&amp;"-&gt;"&amp;$B$2,'Schedule from TM'!$BG$11:$BI$5051,3,0),"")</f>
        <v/>
      </c>
      <c r="H129" s="3" t="str">
        <f>IFERROR(VLOOKUP(TEXT(H$4+$A77,"MM/DD/YYYY HH:MM")&amp;"-&gt;"&amp;$B$2,'Schedule from TM'!$BG$11:$BI$5051,3,0),"")</f>
        <v/>
      </c>
      <c r="I129" s="3" t="str">
        <f>IFERROR(VLOOKUP(TEXT(I$4+$A77,"MM/DD/YYYY HH:MM")&amp;"-&gt;"&amp;$B$2,'Schedule from TM'!$BG$11:$BI$5051,3,0),"")</f>
        <v/>
      </c>
      <c r="J129" s="3" t="str">
        <f>IFERROR(VLOOKUP(TEXT(J$4+$A77,"MM/DD/YYYY HH:MM")&amp;"-&gt;"&amp;$B$2,'Schedule from TM'!$BG$11:$BI$5051,3,0),"")</f>
        <v/>
      </c>
      <c r="K129" s="3" t="str">
        <f>IFERROR(VLOOKUP(TEXT(K$4+$A77,"MM/DD/YYYY HH:MM")&amp;"-&gt;"&amp;$B$2,'Schedule from TM'!$BG$11:$BI$5051,3,0),"")</f>
        <v/>
      </c>
    </row>
    <row r="130" spans="1:11" x14ac:dyDescent="0.2">
      <c r="A130" s="5">
        <f t="shared" si="54"/>
        <v>0.47222222222222215</v>
      </c>
      <c r="B130" s="3" t="str">
        <f>IFERROR(VLOOKUP(TEXT(B$4+$A78,"MM/DD/YYYY HH:MM")&amp;"-&gt;"&amp;$B$2,'Schedule from TM'!$BG$11:$BI$5051,3,0),"")</f>
        <v/>
      </c>
      <c r="C130" s="3" t="str">
        <f>IFERROR(VLOOKUP(TEXT(C$4+$A78,"MM/DD/YYYY HH:MM")&amp;"-&gt;"&amp;$B$2,'Schedule from TM'!$BG$11:$BI$5051,3,0),"")</f>
        <v/>
      </c>
      <c r="D130" s="3" t="str">
        <f>IFERROR(VLOOKUP(TEXT(D$4+$A78,"MM/DD/YYYY HH:MM")&amp;"-&gt;"&amp;$B$2,'Schedule from TM'!$BG$11:$BI$5051,3,0),"")</f>
        <v/>
      </c>
      <c r="E130" s="3" t="str">
        <f>IFERROR(VLOOKUP(TEXT(E$4+$A78,"MM/DD/YYYY HH:MM")&amp;"-&gt;"&amp;$B$2,'Schedule from TM'!$BG$11:$BI$5051,3,0),"")</f>
        <v/>
      </c>
      <c r="F130" s="3" t="str">
        <f>IFERROR(VLOOKUP(TEXT(F$4+$A78,"MM/DD/YYYY HH:MM")&amp;"-&gt;"&amp;$B$2,'Schedule from TM'!$BG$11:$BI$5051,3,0),"")</f>
        <v/>
      </c>
      <c r="G130" s="3" t="str">
        <f>IFERROR(VLOOKUP(TEXT(G$4+$A78,"MM/DD/YYYY HH:MM")&amp;"-&gt;"&amp;$B$2,'Schedule from TM'!$BG$11:$BI$5051,3,0),"")</f>
        <v/>
      </c>
      <c r="H130" s="3" t="str">
        <f>IFERROR(VLOOKUP(TEXT(H$4+$A78,"MM/DD/YYYY HH:MM")&amp;"-&gt;"&amp;$B$2,'Schedule from TM'!$BG$11:$BI$5051,3,0),"")</f>
        <v/>
      </c>
      <c r="I130" s="3" t="str">
        <f>IFERROR(VLOOKUP(TEXT(I$4+$A78,"MM/DD/YYYY HH:MM")&amp;"-&gt;"&amp;$B$2,'Schedule from TM'!$BG$11:$BI$5051,3,0),"")</f>
        <v/>
      </c>
      <c r="J130" s="3" t="str">
        <f>IFERROR(VLOOKUP(TEXT(J$4+$A78,"MM/DD/YYYY HH:MM")&amp;"-&gt;"&amp;$B$2,'Schedule from TM'!$BG$11:$BI$5051,3,0),"")</f>
        <v/>
      </c>
      <c r="K130" s="3" t="str">
        <f>IFERROR(VLOOKUP(TEXT(K$4+$A78,"MM/DD/YYYY HH:MM")&amp;"-&gt;"&amp;$B$2,'Schedule from TM'!$BG$11:$BI$5051,3,0),"")</f>
        <v/>
      </c>
    </row>
    <row r="131" spans="1:11" x14ac:dyDescent="0.2">
      <c r="A131" s="5">
        <f t="shared" si="54"/>
        <v>0.50694444444444442</v>
      </c>
      <c r="B131" s="3" t="str">
        <f>IFERROR(VLOOKUP(TEXT(B$4+$A79,"MM/DD/YYYY HH:MM")&amp;"-&gt;"&amp;$B$2,'Schedule from TM'!$BG$11:$BI$5051,3,0),"")</f>
        <v/>
      </c>
      <c r="C131" s="3" t="str">
        <f>IFERROR(VLOOKUP(TEXT(C$4+$A79,"MM/DD/YYYY HH:MM")&amp;"-&gt;"&amp;$B$2,'Schedule from TM'!$BG$11:$BI$5051,3,0),"")</f>
        <v/>
      </c>
      <c r="D131" s="3" t="str">
        <f>IFERROR(VLOOKUP(TEXT(D$4+$A79,"MM/DD/YYYY HH:MM")&amp;"-&gt;"&amp;$B$2,'Schedule from TM'!$BG$11:$BI$5051,3,0),"")</f>
        <v/>
      </c>
      <c r="E131" s="3" t="str">
        <f>IFERROR(VLOOKUP(TEXT(E$4+$A79,"MM/DD/YYYY HH:MM")&amp;"-&gt;"&amp;$B$2,'Schedule from TM'!$BG$11:$BI$5051,3,0),"")</f>
        <v/>
      </c>
      <c r="F131" s="3" t="str">
        <f>IFERROR(VLOOKUP(TEXT(F$4+$A79,"MM/DD/YYYY HH:MM")&amp;"-&gt;"&amp;$B$2,'Schedule from TM'!$BG$11:$BI$5051,3,0),"")</f>
        <v/>
      </c>
      <c r="G131" s="3" t="str">
        <f>IFERROR(VLOOKUP(TEXT(G$4+$A79,"MM/DD/YYYY HH:MM")&amp;"-&gt;"&amp;$B$2,'Schedule from TM'!$BG$11:$BI$5051,3,0),"")</f>
        <v/>
      </c>
      <c r="H131" s="3" t="str">
        <f>IFERROR(VLOOKUP(TEXT(H$4+$A79,"MM/DD/YYYY HH:MM")&amp;"-&gt;"&amp;$B$2,'Schedule from TM'!$BG$11:$BI$5051,3,0),"")</f>
        <v/>
      </c>
      <c r="I131" s="3" t="str">
        <f>IFERROR(VLOOKUP(TEXT(I$4+$A79,"MM/DD/YYYY HH:MM")&amp;"-&gt;"&amp;$B$2,'Schedule from TM'!$BG$11:$BI$5051,3,0),"")</f>
        <v/>
      </c>
      <c r="J131" s="3" t="str">
        <f>IFERROR(VLOOKUP(TEXT(J$4+$A79,"MM/DD/YYYY HH:MM")&amp;"-&gt;"&amp;$B$2,'Schedule from TM'!$BG$11:$BI$5051,3,0),"")</f>
        <v/>
      </c>
      <c r="K131" s="3" t="str">
        <f>IFERROR(VLOOKUP(TEXT(K$4+$A79,"MM/DD/YYYY HH:MM")&amp;"-&gt;"&amp;$B$2,'Schedule from TM'!$BG$11:$BI$5051,3,0),"")</f>
        <v/>
      </c>
    </row>
    <row r="132" spans="1:11" x14ac:dyDescent="0.2">
      <c r="A132" s="5">
        <f t="shared" si="54"/>
        <v>0.54166666666666663</v>
      </c>
      <c r="B132" s="3" t="str">
        <f>IFERROR(VLOOKUP(TEXT(B$4+$A80,"MM/DD/YYYY HH:MM")&amp;"-&gt;"&amp;$B$2,'Schedule from TM'!$BG$11:$BI$5051,3,0),"")</f>
        <v/>
      </c>
      <c r="C132" s="3" t="str">
        <f>IFERROR(VLOOKUP(TEXT(C$4+$A80,"MM/DD/YYYY HH:MM")&amp;"-&gt;"&amp;$B$2,'Schedule from TM'!$BG$11:$BI$5051,3,0),"")</f>
        <v/>
      </c>
      <c r="D132" s="3" t="str">
        <f>IFERROR(VLOOKUP(TEXT(D$4+$A80,"MM/DD/YYYY HH:MM")&amp;"-&gt;"&amp;$B$2,'Schedule from TM'!$BG$11:$BI$5051,3,0),"")</f>
        <v/>
      </c>
      <c r="E132" s="3" t="str">
        <f>IFERROR(VLOOKUP(TEXT(E$4+$A80,"MM/DD/YYYY HH:MM")&amp;"-&gt;"&amp;$B$2,'Schedule from TM'!$BG$11:$BI$5051,3,0),"")</f>
        <v/>
      </c>
      <c r="F132" s="3" t="str">
        <f>IFERROR(VLOOKUP(TEXT(F$4+$A80,"MM/DD/YYYY HH:MM")&amp;"-&gt;"&amp;$B$2,'Schedule from TM'!$BG$11:$BI$5051,3,0),"")</f>
        <v/>
      </c>
      <c r="G132" s="3" t="str">
        <f>IFERROR(VLOOKUP(TEXT(G$4+$A80,"MM/DD/YYYY HH:MM")&amp;"-&gt;"&amp;$B$2,'Schedule from TM'!$BG$11:$BI$5051,3,0),"")</f>
        <v/>
      </c>
      <c r="H132" s="3" t="str">
        <f>IFERROR(VLOOKUP(TEXT(H$4+$A80,"MM/DD/YYYY HH:MM")&amp;"-&gt;"&amp;$B$2,'Schedule from TM'!$BG$11:$BI$5051,3,0),"")</f>
        <v/>
      </c>
      <c r="I132" s="3" t="str">
        <f>IFERROR(VLOOKUP(TEXT(I$4+$A80,"MM/DD/YYYY HH:MM")&amp;"-&gt;"&amp;$B$2,'Schedule from TM'!$BG$11:$BI$5051,3,0),"")</f>
        <v/>
      </c>
      <c r="J132" s="3" t="str">
        <f>IFERROR(VLOOKUP(TEXT(J$4+$A80,"MM/DD/YYYY HH:MM")&amp;"-&gt;"&amp;$B$2,'Schedule from TM'!$BG$11:$BI$5051,3,0),"")</f>
        <v/>
      </c>
      <c r="K132" s="3" t="str">
        <f>IFERROR(VLOOKUP(TEXT(K$4+$A80,"MM/DD/YYYY HH:MM")&amp;"-&gt;"&amp;$B$2,'Schedule from TM'!$BG$11:$BI$5051,3,0),"")</f>
        <v/>
      </c>
    </row>
    <row r="133" spans="1:11" x14ac:dyDescent="0.2">
      <c r="A133" s="5">
        <f t="shared" si="54"/>
        <v>0.57638888888888884</v>
      </c>
      <c r="B133" s="3" t="str">
        <f>IFERROR(VLOOKUP(TEXT(B$4+$A81,"MM/DD/YYYY HH:MM")&amp;"-&gt;"&amp;$B$2,'Schedule from TM'!$BG$11:$BI$5051,3,0),"")</f>
        <v/>
      </c>
      <c r="C133" s="3" t="str">
        <f>IFERROR(VLOOKUP(TEXT(C$4+$A81,"MM/DD/YYYY HH:MM")&amp;"-&gt;"&amp;$B$2,'Schedule from TM'!$BG$11:$BI$5051,3,0),"")</f>
        <v/>
      </c>
      <c r="D133" s="3" t="str">
        <f>IFERROR(VLOOKUP(TEXT(D$4+$A81,"MM/DD/YYYY HH:MM")&amp;"-&gt;"&amp;$B$2,'Schedule from TM'!$BG$11:$BI$5051,3,0),"")</f>
        <v/>
      </c>
      <c r="E133" s="3" t="str">
        <f>IFERROR(VLOOKUP(TEXT(E$4+$A81,"MM/DD/YYYY HH:MM")&amp;"-&gt;"&amp;$B$2,'Schedule from TM'!$BG$11:$BI$5051,3,0),"")</f>
        <v/>
      </c>
      <c r="F133" s="3" t="str">
        <f>IFERROR(VLOOKUP(TEXT(F$4+$A81,"MM/DD/YYYY HH:MM")&amp;"-&gt;"&amp;$B$2,'Schedule from TM'!$BG$11:$BI$5051,3,0),"")</f>
        <v/>
      </c>
      <c r="G133" s="3" t="str">
        <f>IFERROR(VLOOKUP(TEXT(G$4+$A81,"MM/DD/YYYY HH:MM")&amp;"-&gt;"&amp;$B$2,'Schedule from TM'!$BG$11:$BI$5051,3,0),"")</f>
        <v/>
      </c>
      <c r="H133" s="3" t="str">
        <f>IFERROR(VLOOKUP(TEXT(H$4+$A81,"MM/DD/YYYY HH:MM")&amp;"-&gt;"&amp;$B$2,'Schedule from TM'!$BG$11:$BI$5051,3,0),"")</f>
        <v/>
      </c>
      <c r="I133" s="3" t="str">
        <f>IFERROR(VLOOKUP(TEXT(I$4+$A81,"MM/DD/YYYY HH:MM")&amp;"-&gt;"&amp;$B$2,'Schedule from TM'!$BG$11:$BI$5051,3,0),"")</f>
        <v/>
      </c>
      <c r="J133" s="3" t="str">
        <f>IFERROR(VLOOKUP(TEXT(J$4+$A81,"MM/DD/YYYY HH:MM")&amp;"-&gt;"&amp;$B$2,'Schedule from TM'!$BG$11:$BI$5051,3,0),"")</f>
        <v/>
      </c>
      <c r="K133" s="3" t="str">
        <f>IFERROR(VLOOKUP(TEXT(K$4+$A81,"MM/DD/YYYY HH:MM")&amp;"-&gt;"&amp;$B$2,'Schedule from TM'!$BG$11:$BI$5051,3,0),"")</f>
        <v/>
      </c>
    </row>
    <row r="134" spans="1:11" x14ac:dyDescent="0.2">
      <c r="A134" s="5">
        <f t="shared" si="54"/>
        <v>0.61111111111111105</v>
      </c>
      <c r="B134" s="3" t="str">
        <f>IFERROR(VLOOKUP(TEXT(B$4+$A82,"MM/DD/YYYY HH:MM")&amp;"-&gt;"&amp;$B$2,'Schedule from TM'!$BG$11:$BI$5051,3,0),"")</f>
        <v/>
      </c>
      <c r="C134" s="3" t="str">
        <f>IFERROR(VLOOKUP(TEXT(C$4+$A82,"MM/DD/YYYY HH:MM")&amp;"-&gt;"&amp;$B$2,'Schedule from TM'!$BG$11:$BI$5051,3,0),"")</f>
        <v/>
      </c>
      <c r="D134" s="3" t="str">
        <f>IFERROR(VLOOKUP(TEXT(D$4+$A82,"MM/DD/YYYY HH:MM")&amp;"-&gt;"&amp;$B$2,'Schedule from TM'!$BG$11:$BI$5051,3,0),"")</f>
        <v/>
      </c>
      <c r="E134" s="3" t="str">
        <f>IFERROR(VLOOKUP(TEXT(E$4+$A82,"MM/DD/YYYY HH:MM")&amp;"-&gt;"&amp;$B$2,'Schedule from TM'!$BG$11:$BI$5051,3,0),"")</f>
        <v/>
      </c>
      <c r="F134" s="3" t="str">
        <f>IFERROR(VLOOKUP(TEXT(F$4+$A82,"MM/DD/YYYY HH:MM")&amp;"-&gt;"&amp;$B$2,'Schedule from TM'!$BG$11:$BI$5051,3,0),"")</f>
        <v/>
      </c>
      <c r="G134" s="3" t="str">
        <f>IFERROR(VLOOKUP(TEXT(G$4+$A82,"MM/DD/YYYY HH:MM")&amp;"-&gt;"&amp;$B$2,'Schedule from TM'!$BG$11:$BI$5051,3,0),"")</f>
        <v/>
      </c>
      <c r="H134" s="3" t="str">
        <f>IFERROR(VLOOKUP(TEXT(H$4+$A82,"MM/DD/YYYY HH:MM")&amp;"-&gt;"&amp;$B$2,'Schedule from TM'!$BG$11:$BI$5051,3,0),"")</f>
        <v/>
      </c>
      <c r="I134" s="3" t="str">
        <f>IFERROR(VLOOKUP(TEXT(I$4+$A82,"MM/DD/YYYY HH:MM")&amp;"-&gt;"&amp;$B$2,'Schedule from TM'!$BG$11:$BI$5051,3,0),"")</f>
        <v/>
      </c>
      <c r="J134" s="3" t="str">
        <f>IFERROR(VLOOKUP(TEXT(J$4+$A82,"MM/DD/YYYY HH:MM")&amp;"-&gt;"&amp;$B$2,'Schedule from TM'!$BG$11:$BI$5051,3,0),"")</f>
        <v/>
      </c>
      <c r="K134" s="3" t="str">
        <f>IFERROR(VLOOKUP(TEXT(K$4+$A82,"MM/DD/YYYY HH:MM")&amp;"-&gt;"&amp;$B$2,'Schedule from TM'!$BG$11:$BI$5051,3,0),"")</f>
        <v/>
      </c>
    </row>
    <row r="135" spans="1:11" x14ac:dyDescent="0.2">
      <c r="A135" s="5">
        <f t="shared" si="54"/>
        <v>0.64583333333333326</v>
      </c>
      <c r="B135" s="3" t="str">
        <f>IFERROR(VLOOKUP(TEXT(B$4+$A83,"MM/DD/YYYY HH:MM")&amp;"-&gt;"&amp;$B$2,'Schedule from TM'!$BG$11:$BI$5051,3,0),"")</f>
        <v/>
      </c>
      <c r="C135" s="3" t="str">
        <f>IFERROR(VLOOKUP(TEXT(C$4+$A83,"MM/DD/YYYY HH:MM")&amp;"-&gt;"&amp;$B$2,'Schedule from TM'!$BG$11:$BI$5051,3,0),"")</f>
        <v/>
      </c>
      <c r="D135" s="3" t="str">
        <f>IFERROR(VLOOKUP(TEXT(D$4+$A83,"MM/DD/YYYY HH:MM")&amp;"-&gt;"&amp;$B$2,'Schedule from TM'!$BG$11:$BI$5051,3,0),"")</f>
        <v/>
      </c>
      <c r="E135" s="3" t="str">
        <f>IFERROR(VLOOKUP(TEXT(E$4+$A83,"MM/DD/YYYY HH:MM")&amp;"-&gt;"&amp;$B$2,'Schedule from TM'!$BG$11:$BI$5051,3,0),"")</f>
        <v/>
      </c>
      <c r="F135" s="3" t="str">
        <f>IFERROR(VLOOKUP(TEXT(F$4+$A83,"MM/DD/YYYY HH:MM")&amp;"-&gt;"&amp;$B$2,'Schedule from TM'!$BG$11:$BI$5051,3,0),"")</f>
        <v/>
      </c>
      <c r="G135" s="3" t="str">
        <f>IFERROR(VLOOKUP(TEXT(G$4+$A83,"MM/DD/YYYY HH:MM")&amp;"-&gt;"&amp;$B$2,'Schedule from TM'!$BG$11:$BI$5051,3,0),"")</f>
        <v/>
      </c>
      <c r="H135" s="3" t="str">
        <f>IFERROR(VLOOKUP(TEXT(H$4+$A83,"MM/DD/YYYY HH:MM")&amp;"-&gt;"&amp;$B$2,'Schedule from TM'!$BG$11:$BI$5051,3,0),"")</f>
        <v/>
      </c>
      <c r="I135" s="3" t="str">
        <f>IFERROR(VLOOKUP(TEXT(I$4+$A83,"MM/DD/YYYY HH:MM")&amp;"-&gt;"&amp;$B$2,'Schedule from TM'!$BG$11:$BI$5051,3,0),"")</f>
        <v/>
      </c>
      <c r="J135" s="3" t="str">
        <f>IFERROR(VLOOKUP(TEXT(J$4+$A83,"MM/DD/YYYY HH:MM")&amp;"-&gt;"&amp;$B$2,'Schedule from TM'!$BG$11:$BI$5051,3,0),"")</f>
        <v/>
      </c>
      <c r="K135" s="3" t="str">
        <f>IFERROR(VLOOKUP(TEXT(K$4+$A83,"MM/DD/YYYY HH:MM")&amp;"-&gt;"&amp;$B$2,'Schedule from TM'!$BG$11:$BI$5051,3,0),"")</f>
        <v/>
      </c>
    </row>
    <row r="136" spans="1:11" x14ac:dyDescent="0.2">
      <c r="A136" s="5">
        <f t="shared" si="54"/>
        <v>0.68055555555555547</v>
      </c>
      <c r="B136" s="3" t="str">
        <f>IFERROR(VLOOKUP(TEXT(B$4+$A84,"MM/DD/YYYY HH:MM")&amp;"-&gt;"&amp;$B$2,'Schedule from TM'!$BG$11:$BI$5051,3,0),"")</f>
        <v/>
      </c>
      <c r="C136" s="3" t="str">
        <f>IFERROR(VLOOKUP(TEXT(C$4+$A84,"MM/DD/YYYY HH:MM")&amp;"-&gt;"&amp;$B$2,'Schedule from TM'!$BG$11:$BI$5051,3,0),"")</f>
        <v/>
      </c>
      <c r="D136" s="3" t="str">
        <f>IFERROR(VLOOKUP(TEXT(D$4+$A84,"MM/DD/YYYY HH:MM")&amp;"-&gt;"&amp;$B$2,'Schedule from TM'!$BG$11:$BI$5051,3,0),"")</f>
        <v>Dodgeball in JCC Back Field 4 ()</v>
      </c>
      <c r="E136" s="3" t="str">
        <f>IFERROR(VLOOKUP(TEXT(E$4+$A84,"MM/DD/YYYY HH:MM")&amp;"-&gt;"&amp;$B$2,'Schedule from TM'!$BG$11:$BI$5051,3,0),"")</f>
        <v>Dodgeball in JCC Back Field 3 ()</v>
      </c>
      <c r="F136" s="3" t="str">
        <f>IFERROR(VLOOKUP(TEXT(F$4+$A84,"MM/DD/YYYY HH:MM")&amp;"-&gt;"&amp;$B$2,'Schedule from TM'!$BG$11:$BI$5051,3,0),"")</f>
        <v>Dodgeball in JCC Back Field 2 ()</v>
      </c>
      <c r="G136" s="3" t="str">
        <f>IFERROR(VLOOKUP(TEXT(G$4+$A84,"MM/DD/YYYY HH:MM")&amp;"-&gt;"&amp;$B$2,'Schedule from TM'!$BG$11:$BI$5051,3,0),"")</f>
        <v>Volleyball in Hillel - Gym Volleyball ()</v>
      </c>
      <c r="H136" s="3" t="str">
        <f>IFERROR(VLOOKUP(TEXT(H$4+$A84,"MM/DD/YYYY HH:MM")&amp;"-&gt;"&amp;$B$2,'Schedule from TM'!$BG$11:$BI$5051,3,0),"")</f>
        <v/>
      </c>
      <c r="I136" s="3" t="str">
        <f>IFERROR(VLOOKUP(TEXT(I$4+$A84,"MM/DD/YYYY HH:MM")&amp;"-&gt;"&amp;$B$2,'Schedule from TM'!$BG$11:$BI$5051,3,0),"")</f>
        <v/>
      </c>
      <c r="J136" s="3" t="str">
        <f>IFERROR(VLOOKUP(TEXT(J$4+$A84,"MM/DD/YYYY HH:MM")&amp;"-&gt;"&amp;$B$2,'Schedule from TM'!$BG$11:$BI$5051,3,0),"")</f>
        <v/>
      </c>
      <c r="K136" s="3" t="str">
        <f>IFERROR(VLOOKUP(TEXT(K$4+$A84,"MM/DD/YYYY HH:MM")&amp;"-&gt;"&amp;$B$2,'Schedule from TM'!$BG$11:$BI$5051,3,0),"")</f>
        <v/>
      </c>
    </row>
    <row r="137" spans="1:11" x14ac:dyDescent="0.2">
      <c r="A137" s="5">
        <f t="shared" si="54"/>
        <v>0.71527777777777768</v>
      </c>
      <c r="B137" s="3" t="str">
        <f>IFERROR(VLOOKUP(TEXT(B$4+$A85,"MM/DD/YYYY HH:MM")&amp;"-&gt;"&amp;$B$2,'Schedule from TM'!$BG$11:$BI$5051,3,0),"")</f>
        <v/>
      </c>
      <c r="C137" s="3" t="str">
        <f>IFERROR(VLOOKUP(TEXT(C$4+$A85,"MM/DD/YYYY HH:MM")&amp;"-&gt;"&amp;$B$2,'Schedule from TM'!$BG$11:$BI$5051,3,0),"")</f>
        <v/>
      </c>
      <c r="D137" s="3" t="str">
        <f>IFERROR(VLOOKUP(TEXT(D$4+$A85,"MM/DD/YYYY HH:MM")&amp;"-&gt;"&amp;$B$2,'Schedule from TM'!$BG$11:$BI$5051,3,0),"")</f>
        <v>Dodgeball in JCC Back Field 4 ()</v>
      </c>
      <c r="E137" s="3" t="str">
        <f>IFERROR(VLOOKUP(TEXT(E$4+$A85,"MM/DD/YYYY HH:MM")&amp;"-&gt;"&amp;$B$2,'Schedule from TM'!$BG$11:$BI$5051,3,0),"")</f>
        <v>Dodgeball in JCC Back Field 3 ()</v>
      </c>
      <c r="F137" s="3" t="str">
        <f>IFERROR(VLOOKUP(TEXT(F$4+$A85,"MM/DD/YYYY HH:MM")&amp;"-&gt;"&amp;$B$2,'Schedule from TM'!$BG$11:$BI$5051,3,0),"")</f>
        <v>Dodgeball in JCC Back Field 2 ()</v>
      </c>
      <c r="G137" s="3" t="str">
        <f>IFERROR(VLOOKUP(TEXT(G$4+$A85,"MM/DD/YYYY HH:MM")&amp;"-&gt;"&amp;$B$2,'Schedule from TM'!$BG$11:$BI$5051,3,0),"")</f>
        <v/>
      </c>
      <c r="H137" s="3" t="str">
        <f>IFERROR(VLOOKUP(TEXT(H$4+$A85,"MM/DD/YYYY HH:MM")&amp;"-&gt;"&amp;$B$2,'Schedule from TM'!$BG$11:$BI$5051,3,0),"")</f>
        <v/>
      </c>
      <c r="I137" s="3" t="str">
        <f>IFERROR(VLOOKUP(TEXT(I$4+$A85,"MM/DD/YYYY HH:MM")&amp;"-&gt;"&amp;$B$2,'Schedule from TM'!$BG$11:$BI$5051,3,0),"")</f>
        <v/>
      </c>
      <c r="J137" s="3" t="str">
        <f>IFERROR(VLOOKUP(TEXT(J$4+$A85,"MM/DD/YYYY HH:MM")&amp;"-&gt;"&amp;$B$2,'Schedule from TM'!$BG$11:$BI$5051,3,0),"")</f>
        <v/>
      </c>
      <c r="K137" s="3" t="str">
        <f>IFERROR(VLOOKUP(TEXT(K$4+$A85,"MM/DD/YYYY HH:MM")&amp;"-&gt;"&amp;$B$2,'Schedule from TM'!$BG$11:$BI$5051,3,0),"")</f>
        <v/>
      </c>
    </row>
    <row r="138" spans="1:11" x14ac:dyDescent="0.2">
      <c r="A138" s="5">
        <f t="shared" si="54"/>
        <v>0.74999999999999989</v>
      </c>
      <c r="B138" s="3" t="str">
        <f>IFERROR(VLOOKUP(TEXT(B$4+$A86,"MM/DD/YYYY HH:MM")&amp;"-&gt;"&amp;$B$2,'Schedule from TM'!$BG$11:$BI$5051,3,0),"")</f>
        <v/>
      </c>
      <c r="C138" s="3" t="str">
        <f>IFERROR(VLOOKUP(TEXT(C$4+$A86,"MM/DD/YYYY HH:MM")&amp;"-&gt;"&amp;$B$2,'Schedule from TM'!$BG$11:$BI$5051,3,0),"")</f>
        <v/>
      </c>
      <c r="D138" s="3" t="str">
        <f>IFERROR(VLOOKUP(TEXT(D$4+$A86,"MM/DD/YYYY HH:MM")&amp;"-&gt;"&amp;$B$2,'Schedule from TM'!$BG$11:$BI$5051,3,0),"")</f>
        <v/>
      </c>
      <c r="E138" s="3" t="str">
        <f>IFERROR(VLOOKUP(TEXT(E$4+$A86,"MM/DD/YYYY HH:MM")&amp;"-&gt;"&amp;$B$2,'Schedule from TM'!$BG$11:$BI$5051,3,0),"")</f>
        <v/>
      </c>
      <c r="F138" s="3" t="str">
        <f>IFERROR(VLOOKUP(TEXT(F$4+$A86,"MM/DD/YYYY HH:MM")&amp;"-&gt;"&amp;$B$2,'Schedule from TM'!$BG$11:$BI$5051,3,0),"")</f>
        <v/>
      </c>
      <c r="G138" s="3" t="str">
        <f>IFERROR(VLOOKUP(TEXT(G$4+$A86,"MM/DD/YYYY HH:MM")&amp;"-&gt;"&amp;$B$2,'Schedule from TM'!$BG$11:$BI$5051,3,0),"")</f>
        <v/>
      </c>
      <c r="H138" s="3" t="str">
        <f>IFERROR(VLOOKUP(TEXT(H$4+$A86,"MM/DD/YYYY HH:MM")&amp;"-&gt;"&amp;$B$2,'Schedule from TM'!$BG$11:$BI$5051,3,0),"")</f>
        <v/>
      </c>
      <c r="I138" s="3" t="str">
        <f>IFERROR(VLOOKUP(TEXT(I$4+$A86,"MM/DD/YYYY HH:MM")&amp;"-&gt;"&amp;$B$2,'Schedule from TM'!$BG$11:$BI$5051,3,0),"")</f>
        <v/>
      </c>
      <c r="J138" s="3" t="str">
        <f>IFERROR(VLOOKUP(TEXT(J$4+$A86,"MM/DD/YYYY HH:MM")&amp;"-&gt;"&amp;$B$2,'Schedule from TM'!$BG$11:$BI$5051,3,0),"")</f>
        <v/>
      </c>
      <c r="K138" s="3" t="str">
        <f>IFERROR(VLOOKUP(TEXT(K$4+$A86,"MM/DD/YYYY HH:MM")&amp;"-&gt;"&amp;$B$2,'Schedule from TM'!$BG$11:$BI$5051,3,0),"")</f>
        <v/>
      </c>
    </row>
    <row r="139" spans="1:11" x14ac:dyDescent="0.2">
      <c r="A139" s="5">
        <f t="shared" si="54"/>
        <v>0.7847222222222221</v>
      </c>
      <c r="B139" s="3" t="str">
        <f>IFERROR(VLOOKUP(TEXT(B$4+$A87,"MM/DD/YYYY HH:MM")&amp;"-&gt;"&amp;$B$2,'Schedule from TM'!$BG$11:$BI$5051,3,0),"")</f>
        <v>Dodgeball in JCC Back Field 1 ()</v>
      </c>
      <c r="C139" s="3" t="str">
        <f>IFERROR(VLOOKUP(TEXT(C$4+$A87,"MM/DD/YYYY HH:MM")&amp;"-&gt;"&amp;$B$2,'Schedule from TM'!$BG$11:$BI$5051,3,0),"")</f>
        <v/>
      </c>
      <c r="D139" s="3" t="str">
        <f>IFERROR(VLOOKUP(TEXT(D$4+$A87,"MM/DD/YYYY HH:MM")&amp;"-&gt;"&amp;$B$2,'Schedule from TM'!$BG$11:$BI$5051,3,0),"")</f>
        <v/>
      </c>
      <c r="E139" s="3" t="str">
        <f>IFERROR(VLOOKUP(TEXT(E$4+$A87,"MM/DD/YYYY HH:MM")&amp;"-&gt;"&amp;$B$2,'Schedule from TM'!$BG$11:$BI$5051,3,0),"")</f>
        <v/>
      </c>
      <c r="F139" s="3" t="str">
        <f>IFERROR(VLOOKUP(TEXT(F$4+$A87,"MM/DD/YYYY HH:MM")&amp;"-&gt;"&amp;$B$2,'Schedule from TM'!$BG$11:$BI$5051,3,0),"")</f>
        <v/>
      </c>
      <c r="G139" s="3" t="str">
        <f>IFERROR(VLOOKUP(TEXT(G$4+$A87,"MM/DD/YYYY HH:MM")&amp;"-&gt;"&amp;$B$2,'Schedule from TM'!$BG$11:$BI$5051,3,0),"")</f>
        <v/>
      </c>
      <c r="H139" s="3" t="str">
        <f>IFERROR(VLOOKUP(TEXT(H$4+$A87,"MM/DD/YYYY HH:MM")&amp;"-&gt;"&amp;$B$2,'Schedule from TM'!$BG$11:$BI$5051,3,0),"")</f>
        <v/>
      </c>
      <c r="I139" s="3" t="str">
        <f>IFERROR(VLOOKUP(TEXT(I$4+$A87,"MM/DD/YYYY HH:MM")&amp;"-&gt;"&amp;$B$2,'Schedule from TM'!$BG$11:$BI$5051,3,0),"")</f>
        <v>Dodgeball in JCC Back Field 3 ()</v>
      </c>
      <c r="J139" s="3" t="str">
        <f>IFERROR(VLOOKUP(TEXT(J$4+$A87,"MM/DD/YYYY HH:MM")&amp;"-&gt;"&amp;$B$2,'Schedule from TM'!$BG$11:$BI$5051,3,0),"")</f>
        <v/>
      </c>
      <c r="K139" s="3" t="str">
        <f>IFERROR(VLOOKUP(TEXT(K$4+$A87,"MM/DD/YYYY HH:MM")&amp;"-&gt;"&amp;$B$2,'Schedule from TM'!$BG$11:$BI$5051,3,0),"")</f>
        <v/>
      </c>
    </row>
    <row r="140" spans="1:11" x14ac:dyDescent="0.2">
      <c r="A140" s="5">
        <f t="shared" si="54"/>
        <v>0.81944444444444431</v>
      </c>
      <c r="B140" s="3" t="str">
        <f>IFERROR(VLOOKUP(TEXT(B$4+$A88,"MM/DD/YYYY HH:MM")&amp;"-&gt;"&amp;$B$2,'Schedule from TM'!$BG$11:$BI$5051,3,0),"")</f>
        <v>Dodgeball in JCC Back Field 1 ()</v>
      </c>
      <c r="C140" s="3" t="str">
        <f>IFERROR(VLOOKUP(TEXT(C$4+$A88,"MM/DD/YYYY HH:MM")&amp;"-&gt;"&amp;$B$2,'Schedule from TM'!$BG$11:$BI$5051,3,0),"")</f>
        <v/>
      </c>
      <c r="D140" s="3" t="str">
        <f>IFERROR(VLOOKUP(TEXT(D$4+$A88,"MM/DD/YYYY HH:MM")&amp;"-&gt;"&amp;$B$2,'Schedule from TM'!$BG$11:$BI$5051,3,0),"")</f>
        <v/>
      </c>
      <c r="E140" s="3" t="str">
        <f>IFERROR(VLOOKUP(TEXT(E$4+$A88,"MM/DD/YYYY HH:MM")&amp;"-&gt;"&amp;$B$2,'Schedule from TM'!$BG$11:$BI$5051,3,0),"")</f>
        <v/>
      </c>
      <c r="F140" s="3" t="str">
        <f>IFERROR(VLOOKUP(TEXT(F$4+$A88,"MM/DD/YYYY HH:MM")&amp;"-&gt;"&amp;$B$2,'Schedule from TM'!$BG$11:$BI$5051,3,0),"")</f>
        <v/>
      </c>
      <c r="G140" s="3" t="str">
        <f>IFERROR(VLOOKUP(TEXT(G$4+$A88,"MM/DD/YYYY HH:MM")&amp;"-&gt;"&amp;$B$2,'Schedule from TM'!$BG$11:$BI$5051,3,0),"")</f>
        <v/>
      </c>
      <c r="H140" s="3" t="str">
        <f>IFERROR(VLOOKUP(TEXT(H$4+$A88,"MM/DD/YYYY HH:MM")&amp;"-&gt;"&amp;$B$2,'Schedule from TM'!$BG$11:$BI$5051,3,0),"")</f>
        <v/>
      </c>
      <c r="I140" s="3" t="str">
        <f>IFERROR(VLOOKUP(TEXT(I$4+$A88,"MM/DD/YYYY HH:MM")&amp;"-&gt;"&amp;$B$2,'Schedule from TM'!$BG$11:$BI$5051,3,0),"")</f>
        <v>Dodgeball in JCC Back Field 3 ()</v>
      </c>
      <c r="J140" s="3" t="str">
        <f>IFERROR(VLOOKUP(TEXT(J$4+$A88,"MM/DD/YYYY HH:MM")&amp;"-&gt;"&amp;$B$2,'Schedule from TM'!$BG$11:$BI$5051,3,0),"")</f>
        <v/>
      </c>
      <c r="K140" s="3" t="str">
        <f>IFERROR(VLOOKUP(TEXT(K$4+$A88,"MM/DD/YYYY HH:MM")&amp;"-&gt;"&amp;$B$2,'Schedule from TM'!$BG$11:$BI$5051,3,0),"")</f>
        <v/>
      </c>
    </row>
    <row r="141" spans="1:11" x14ac:dyDescent="0.2">
      <c r="A141" s="5">
        <f t="shared" si="54"/>
        <v>0.85416666666666652</v>
      </c>
      <c r="B141" s="3" t="str">
        <f>IFERROR(VLOOKUP(TEXT(B$4+$A89,"MM/DD/YYYY HH:MM")&amp;"-&gt;"&amp;$B$2,'Schedule from TM'!$BG$11:$BI$5051,3,0),"")</f>
        <v/>
      </c>
      <c r="C141" s="3" t="str">
        <f>IFERROR(VLOOKUP(TEXT(C$4+$A89,"MM/DD/YYYY HH:MM")&amp;"-&gt;"&amp;$B$2,'Schedule from TM'!$BG$11:$BI$5051,3,0),"")</f>
        <v/>
      </c>
      <c r="D141" s="3" t="str">
        <f>IFERROR(VLOOKUP(TEXT(D$4+$A89,"MM/DD/YYYY HH:MM")&amp;"-&gt;"&amp;$B$2,'Schedule from TM'!$BG$11:$BI$5051,3,0),"")</f>
        <v/>
      </c>
      <c r="E141" s="3" t="str">
        <f>IFERROR(VLOOKUP(TEXT(E$4+$A89,"MM/DD/YYYY HH:MM")&amp;"-&gt;"&amp;$B$2,'Schedule from TM'!$BG$11:$BI$5051,3,0),"")</f>
        <v/>
      </c>
      <c r="F141" s="3" t="str">
        <f>IFERROR(VLOOKUP(TEXT(F$4+$A89,"MM/DD/YYYY HH:MM")&amp;"-&gt;"&amp;$B$2,'Schedule from TM'!$BG$11:$BI$5051,3,0),"")</f>
        <v/>
      </c>
      <c r="G141" s="3" t="str">
        <f>IFERROR(VLOOKUP(TEXT(G$4+$A89,"MM/DD/YYYY HH:MM")&amp;"-&gt;"&amp;$B$2,'Schedule from TM'!$BG$11:$BI$5051,3,0),"")</f>
        <v/>
      </c>
      <c r="H141" s="3" t="str">
        <f>IFERROR(VLOOKUP(TEXT(H$4+$A89,"MM/DD/YYYY HH:MM")&amp;"-&gt;"&amp;$B$2,'Schedule from TM'!$BG$11:$BI$5051,3,0),"")</f>
        <v/>
      </c>
      <c r="I141" s="3" t="str">
        <f>IFERROR(VLOOKUP(TEXT(I$4+$A89,"MM/DD/YYYY HH:MM")&amp;"-&gt;"&amp;$B$2,'Schedule from TM'!$BG$11:$BI$5051,3,0),"")</f>
        <v>Dodgeball in JCC Back Field 3 ()</v>
      </c>
      <c r="J141" s="3" t="str">
        <f>IFERROR(VLOOKUP(TEXT(J$4+$A89,"MM/DD/YYYY HH:MM")&amp;"-&gt;"&amp;$B$2,'Schedule from TM'!$BG$11:$BI$5051,3,0),"")</f>
        <v/>
      </c>
      <c r="K141" s="3" t="str">
        <f>IFERROR(VLOOKUP(TEXT(K$4+$A89,"MM/DD/YYYY HH:MM")&amp;"-&gt;"&amp;$B$2,'Schedule from TM'!$BG$11:$BI$5051,3,0),"")</f>
        <v/>
      </c>
    </row>
    <row r="142" spans="1:11" x14ac:dyDescent="0.2">
      <c r="A142" s="5">
        <f t="shared" si="54"/>
        <v>0.88888888888888873</v>
      </c>
      <c r="B142" s="3" t="str">
        <f>IFERROR(VLOOKUP(TEXT(B$4+$A90,"MM/DD/YYYY HH:MM")&amp;"-&gt;"&amp;$B$2,'Schedule from TM'!$BG$11:$BI$5051,3,0),"")</f>
        <v/>
      </c>
      <c r="C142" s="3" t="str">
        <f>IFERROR(VLOOKUP(TEXT(C$4+$A90,"MM/DD/YYYY HH:MM")&amp;"-&gt;"&amp;$B$2,'Schedule from TM'!$BG$11:$BI$5051,3,0),"")</f>
        <v/>
      </c>
      <c r="D142" s="3" t="str">
        <f>IFERROR(VLOOKUP(TEXT(D$4+$A90,"MM/DD/YYYY HH:MM")&amp;"-&gt;"&amp;$B$2,'Schedule from TM'!$BG$11:$BI$5051,3,0),"")</f>
        <v/>
      </c>
      <c r="E142" s="3" t="str">
        <f>IFERROR(VLOOKUP(TEXT(E$4+$A90,"MM/DD/YYYY HH:MM")&amp;"-&gt;"&amp;$B$2,'Schedule from TM'!$BG$11:$BI$5051,3,0),"")</f>
        <v/>
      </c>
      <c r="F142" s="3" t="str">
        <f>IFERROR(VLOOKUP(TEXT(F$4+$A90,"MM/DD/YYYY HH:MM")&amp;"-&gt;"&amp;$B$2,'Schedule from TM'!$BG$11:$BI$5051,3,0),"")</f>
        <v/>
      </c>
      <c r="G142" s="3" t="str">
        <f>IFERROR(VLOOKUP(TEXT(G$4+$A90,"MM/DD/YYYY HH:MM")&amp;"-&gt;"&amp;$B$2,'Schedule from TM'!$BG$11:$BI$5051,3,0),"")</f>
        <v/>
      </c>
      <c r="H142" s="3" t="str">
        <f>IFERROR(VLOOKUP(TEXT(H$4+$A90,"MM/DD/YYYY HH:MM")&amp;"-&gt;"&amp;$B$2,'Schedule from TM'!$BG$11:$BI$5051,3,0),"")</f>
        <v/>
      </c>
      <c r="I142" s="3" t="str">
        <f>IFERROR(VLOOKUP(TEXT(I$4+$A90,"MM/DD/YYYY HH:MM")&amp;"-&gt;"&amp;$B$2,'Schedule from TM'!$BG$11:$BI$5051,3,0),"")</f>
        <v>Dodgeball in JCC Back Field 3 ()</v>
      </c>
      <c r="J142" s="3" t="str">
        <f>IFERROR(VLOOKUP(TEXT(J$4+$A90,"MM/DD/YYYY HH:MM")&amp;"-&gt;"&amp;$B$2,'Schedule from TM'!$BG$11:$BI$5051,3,0),"")</f>
        <v/>
      </c>
      <c r="K142" s="3" t="str">
        <f>IFERROR(VLOOKUP(TEXT(K$4+$A90,"MM/DD/YYYY HH:MM")&amp;"-&gt;"&amp;$B$2,'Schedule from TM'!$BG$11:$BI$5051,3,0),"")</f>
        <v/>
      </c>
    </row>
    <row r="143" spans="1:11" x14ac:dyDescent="0.2">
      <c r="A143" s="5">
        <f t="shared" si="54"/>
        <v>0.92361111111111094</v>
      </c>
      <c r="B143" s="3" t="str">
        <f>IFERROR(VLOOKUP(TEXT(B$4+$A91,"MM/DD/YYYY HH:MM")&amp;"-&gt;"&amp;$B$2,'Schedule from TM'!$BG$11:$BI$5051,3,0),"")</f>
        <v/>
      </c>
      <c r="C143" s="3" t="str">
        <f>IFERROR(VLOOKUP(TEXT(C$4+$A91,"MM/DD/YYYY HH:MM")&amp;"-&gt;"&amp;$B$2,'Schedule from TM'!$BG$11:$BI$5051,3,0),"")</f>
        <v/>
      </c>
      <c r="D143" s="3" t="str">
        <f>IFERROR(VLOOKUP(TEXT(D$4+$A91,"MM/DD/YYYY HH:MM")&amp;"-&gt;"&amp;$B$2,'Schedule from TM'!$BG$11:$BI$5051,3,0),"")</f>
        <v/>
      </c>
      <c r="E143" s="3" t="str">
        <f>IFERROR(VLOOKUP(TEXT(E$4+$A91,"MM/DD/YYYY HH:MM")&amp;"-&gt;"&amp;$B$2,'Schedule from TM'!$BG$11:$BI$5051,3,0),"")</f>
        <v/>
      </c>
      <c r="F143" s="3" t="str">
        <f>IFERROR(VLOOKUP(TEXT(F$4+$A91,"MM/DD/YYYY HH:MM")&amp;"-&gt;"&amp;$B$2,'Schedule from TM'!$BG$11:$BI$5051,3,0),"")</f>
        <v/>
      </c>
      <c r="G143" s="3" t="str">
        <f>IFERROR(VLOOKUP(TEXT(G$4+$A91,"MM/DD/YYYY HH:MM")&amp;"-&gt;"&amp;$B$2,'Schedule from TM'!$BG$11:$BI$5051,3,0),"")</f>
        <v/>
      </c>
      <c r="H143" s="3" t="str">
        <f>IFERROR(VLOOKUP(TEXT(H$4+$A91,"MM/DD/YYYY HH:MM")&amp;"-&gt;"&amp;$B$2,'Schedule from TM'!$BG$11:$BI$5051,3,0),"")</f>
        <v/>
      </c>
      <c r="I143" s="3" t="str">
        <f>IFERROR(VLOOKUP(TEXT(I$4+$A91,"MM/DD/YYYY HH:MM")&amp;"-&gt;"&amp;$B$2,'Schedule from TM'!$BG$11:$BI$5051,3,0),"")</f>
        <v/>
      </c>
      <c r="J143" s="3" t="str">
        <f>IFERROR(VLOOKUP(TEXT(J$4+$A91,"MM/DD/YYYY HH:MM")&amp;"-&gt;"&amp;$B$2,'Schedule from TM'!$BG$11:$BI$5051,3,0),"")</f>
        <v/>
      </c>
      <c r="K143" s="3" t="str">
        <f>IFERROR(VLOOKUP(TEXT(K$4+$A91,"MM/DD/YYYY HH:MM")&amp;"-&gt;"&amp;$B$2,'Schedule from TM'!$BG$11:$BI$5051,3,0),"")</f>
        <v/>
      </c>
    </row>
    <row r="144" spans="1:11" x14ac:dyDescent="0.2">
      <c r="A144" s="5">
        <f t="shared" si="54"/>
        <v>0.95833333333333315</v>
      </c>
      <c r="B144" s="3" t="str">
        <f>IFERROR(VLOOKUP(TEXT(B$4+$A92,"MM/DD/YYYY HH:MM")&amp;"-&gt;"&amp;$B$2,'Schedule from TM'!$BG$11:$BI$5051,3,0),"")</f>
        <v/>
      </c>
      <c r="C144" s="3" t="str">
        <f>IFERROR(VLOOKUP(TEXT(C$4+$A92,"MM/DD/YYYY HH:MM")&amp;"-&gt;"&amp;$B$2,'Schedule from TM'!$BG$11:$BI$5051,3,0),"")</f>
        <v/>
      </c>
      <c r="D144" s="3" t="str">
        <f>IFERROR(VLOOKUP(TEXT(D$4+$A92,"MM/DD/YYYY HH:MM")&amp;"-&gt;"&amp;$B$2,'Schedule from TM'!$BG$11:$BI$5051,3,0),"")</f>
        <v/>
      </c>
      <c r="E144" s="3" t="str">
        <f>IFERROR(VLOOKUP(TEXT(E$4+$A92,"MM/DD/YYYY HH:MM")&amp;"-&gt;"&amp;$B$2,'Schedule from TM'!$BG$11:$BI$5051,3,0),"")</f>
        <v/>
      </c>
      <c r="F144" s="3" t="str">
        <f>IFERROR(VLOOKUP(TEXT(F$4+$A92,"MM/DD/YYYY HH:MM")&amp;"-&gt;"&amp;$B$2,'Schedule from TM'!$BG$11:$BI$5051,3,0),"")</f>
        <v/>
      </c>
      <c r="G144" s="3" t="str">
        <f>IFERROR(VLOOKUP(TEXT(G$4+$A92,"MM/DD/YYYY HH:MM")&amp;"-&gt;"&amp;$B$2,'Schedule from TM'!$BG$11:$BI$5051,3,0),"")</f>
        <v/>
      </c>
      <c r="H144" s="3" t="str">
        <f>IFERROR(VLOOKUP(TEXT(H$4+$A92,"MM/DD/YYYY HH:MM")&amp;"-&gt;"&amp;$B$2,'Schedule from TM'!$BG$11:$BI$5051,3,0),"")</f>
        <v/>
      </c>
      <c r="I144" s="3" t="str">
        <f>IFERROR(VLOOKUP(TEXT(I$4+$A92,"MM/DD/YYYY HH:MM")&amp;"-&gt;"&amp;$B$2,'Schedule from TM'!$BG$11:$BI$5051,3,0),"")</f>
        <v/>
      </c>
      <c r="J144" s="3" t="str">
        <f>IFERROR(VLOOKUP(TEXT(J$4+$A92,"MM/DD/YYYY HH:MM")&amp;"-&gt;"&amp;$B$2,'Schedule from TM'!$BG$11:$BI$5051,3,0),"")</f>
        <v/>
      </c>
      <c r="K144" s="3" t="str">
        <f>IFERROR(VLOOKUP(TEXT(K$4+$A92,"MM/DD/YYYY HH:MM")&amp;"-&gt;"&amp;$B$2,'Schedule from TM'!$BG$11:$BI$5051,3,0),"")</f>
        <v/>
      </c>
    </row>
    <row r="145" spans="1:11" x14ac:dyDescent="0.2">
      <c r="A145" s="5">
        <f t="shared" si="54"/>
        <v>0.99305555555555536</v>
      </c>
      <c r="B145" s="3" t="str">
        <f>IFERROR(VLOOKUP(TEXT(B$4+$A93,"MM/DD/YYYY HH:MM")&amp;"-&gt;"&amp;$B$2,'Schedule from TM'!$BG$11:$BI$5051,3,0),"")</f>
        <v/>
      </c>
      <c r="C145" s="3" t="str">
        <f>IFERROR(VLOOKUP(TEXT(C$4+$A93,"MM/DD/YYYY HH:MM")&amp;"-&gt;"&amp;$B$2,'Schedule from TM'!$BG$11:$BI$5051,3,0),"")</f>
        <v/>
      </c>
      <c r="D145" s="3" t="str">
        <f>IFERROR(VLOOKUP(TEXT(D$4+$A93,"MM/DD/YYYY HH:MM")&amp;"-&gt;"&amp;$B$2,'Schedule from TM'!$BG$11:$BI$5051,3,0),"")</f>
        <v/>
      </c>
      <c r="E145" s="3" t="str">
        <f>IFERROR(VLOOKUP(TEXT(E$4+$A93,"MM/DD/YYYY HH:MM")&amp;"-&gt;"&amp;$B$2,'Schedule from TM'!$BG$11:$BI$5051,3,0),"")</f>
        <v/>
      </c>
      <c r="F145" s="3" t="str">
        <f>IFERROR(VLOOKUP(TEXT(F$4+$A93,"MM/DD/YYYY HH:MM")&amp;"-&gt;"&amp;$B$2,'Schedule from TM'!$BG$11:$BI$5051,3,0),"")</f>
        <v/>
      </c>
      <c r="G145" s="3" t="str">
        <f>IFERROR(VLOOKUP(TEXT(G$4+$A93,"MM/DD/YYYY HH:MM")&amp;"-&gt;"&amp;$B$2,'Schedule from TM'!$BG$11:$BI$5051,3,0),"")</f>
        <v/>
      </c>
      <c r="H145" s="3" t="str">
        <f>IFERROR(VLOOKUP(TEXT(H$4+$A93,"MM/DD/YYYY HH:MM")&amp;"-&gt;"&amp;$B$2,'Schedule from TM'!$BG$11:$BI$5051,3,0),"")</f>
        <v/>
      </c>
      <c r="I145" s="3" t="str">
        <f>IFERROR(VLOOKUP(TEXT(I$4+$A93,"MM/DD/YYYY HH:MM")&amp;"-&gt;"&amp;$B$2,'Schedule from TM'!$BG$11:$BI$5051,3,0),"")</f>
        <v/>
      </c>
      <c r="J145" s="3" t="str">
        <f>IFERROR(VLOOKUP(TEXT(J$4+$A93,"MM/DD/YYYY HH:MM")&amp;"-&gt;"&amp;$B$2,'Schedule from TM'!$BG$11:$BI$5051,3,0),"")</f>
        <v/>
      </c>
      <c r="K145" s="3" t="str">
        <f>IFERROR(VLOOKUP(TEXT(K$4+$A93,"MM/DD/YYYY HH:MM")&amp;"-&gt;"&amp;$B$2,'Schedule from TM'!$BG$11:$BI$5051,3,0),"")</f>
        <v/>
      </c>
    </row>
  </sheetData>
  <sortState ref="O5:O11">
    <sortCondition ref="O5:O11"/>
  </sortState>
  <mergeCells count="1">
    <mergeCell ref="B2:C2"/>
  </mergeCells>
  <conditionalFormatting sqref="B26:K26 B6:K21">
    <cfRule type="cellIs" dxfId="43" priority="2" operator="equal">
      <formula>"CONFLICT"</formula>
    </cfRule>
  </conditionalFormatting>
  <conditionalFormatting sqref="B22:K25">
    <cfRule type="cellIs" dxfId="42" priority="1" operator="equal">
      <formula>"CONFLICT"</formula>
    </cfRule>
  </conditionalFormatting>
  <dataValidations count="2">
    <dataValidation type="list" allowBlank="1" showInputMessage="1" showErrorMessage="1" sqref="B2" xr:uid="{00000000-0002-0000-0900-000000000000}">
      <formula1>team_list</formula1>
    </dataValidation>
    <dataValidation type="list" allowBlank="1" showInputMessage="1" showErrorMessage="1" sqref="C70 C45 C96 C122" xr:uid="{00000000-0002-0000-0900-000001000000}">
      <formula1>$S$7:$S$58</formula1>
    </dataValidation>
  </dataValidations>
  <pageMargins left="0.25" right="0.25" top="0.75" bottom="0.75" header="0.3" footer="0.3"/>
  <pageSetup scale="49" orientation="landscape" horizontalDpi="360" verticalDpi="36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K178"/>
  <sheetViews>
    <sheetView workbookViewId="0"/>
  </sheetViews>
  <sheetFormatPr baseColWidth="10" defaultColWidth="8.83203125" defaultRowHeight="24" x14ac:dyDescent="0.3"/>
  <cols>
    <col min="1" max="1" width="17.33203125" style="101" customWidth="1"/>
    <col min="2" max="6" width="42.33203125" customWidth="1"/>
    <col min="7" max="10" width="44.6640625" customWidth="1"/>
    <col min="11" max="11" width="15.1640625" bestFit="1" customWidth="1"/>
    <col min="14" max="14" width="10.6640625" bestFit="1" customWidth="1"/>
  </cols>
  <sheetData>
    <row r="1" spans="1:11" ht="25" thickBot="1" x14ac:dyDescent="0.35">
      <c r="A1" s="99" t="s">
        <v>349</v>
      </c>
      <c r="B1" s="79" t="s">
        <v>639</v>
      </c>
      <c r="C1" t="s">
        <v>350</v>
      </c>
      <c r="D1" s="23" t="s">
        <v>351</v>
      </c>
      <c r="E1" t="str">
        <f>VLOOKUP(B1,teams_table,4,0)</f>
        <v>JUNIORS A MALE</v>
      </c>
      <c r="G1" s="23" t="s">
        <v>352</v>
      </c>
      <c r="H1" t="str">
        <f>VLOOKUP(B1,Tables!$C$3:$G$173,5,0)</f>
        <v>JUNIORS A MALE COLOMBIA 1</v>
      </c>
    </row>
    <row r="2" spans="1:11" x14ac:dyDescent="0.3">
      <c r="A2" s="100"/>
      <c r="B2" s="7"/>
      <c r="C2" s="7"/>
      <c r="D2" s="7"/>
    </row>
    <row r="3" spans="1:11" ht="26" x14ac:dyDescent="0.3">
      <c r="B3" s="95"/>
      <c r="C3" s="95"/>
      <c r="D3" s="95"/>
      <c r="E3" s="95"/>
      <c r="F3" s="95"/>
      <c r="G3" s="95"/>
      <c r="H3" s="95"/>
      <c r="I3" s="95"/>
      <c r="J3" s="95"/>
    </row>
    <row r="4" spans="1:11" ht="26" x14ac:dyDescent="0.3">
      <c r="A4" s="100"/>
      <c r="B4" s="93"/>
      <c r="C4" s="93"/>
      <c r="D4" s="93"/>
      <c r="E4" s="94"/>
      <c r="F4" s="94"/>
      <c r="G4" s="94"/>
      <c r="H4" s="94"/>
      <c r="I4" s="94"/>
      <c r="J4" s="94"/>
    </row>
    <row r="5" spans="1:11" ht="47" x14ac:dyDescent="0.55000000000000004">
      <c r="A5" s="486" t="s">
        <v>353</v>
      </c>
      <c r="B5" s="486"/>
      <c r="C5" s="486"/>
      <c r="D5" s="486"/>
      <c r="E5" s="486"/>
      <c r="F5" s="487"/>
      <c r="G5" s="484" t="str">
        <f xml:space="preserve"> "Schedule for "&amp;PROPER(H1)</f>
        <v>Schedule for Juniors A Male Colombia 1</v>
      </c>
      <c r="H5" s="485"/>
      <c r="I5" s="485"/>
      <c r="J5" s="485"/>
      <c r="K5" s="485"/>
    </row>
    <row r="6" spans="1:11" x14ac:dyDescent="0.3">
      <c r="A6" s="102"/>
      <c r="B6" s="7"/>
      <c r="C6" s="7"/>
      <c r="D6" s="7"/>
      <c r="E6" s="18"/>
      <c r="F6" s="7"/>
      <c r="G6" s="18"/>
      <c r="H6" s="7"/>
    </row>
    <row r="7" spans="1:11" s="117" customFormat="1" ht="29" x14ac:dyDescent="0.35">
      <c r="A7" s="115" t="s">
        <v>309</v>
      </c>
      <c r="B7" s="116">
        <f>Tables!U5</f>
        <v>43057</v>
      </c>
      <c r="C7" s="116">
        <f>B7+1</f>
        <v>43058</v>
      </c>
      <c r="D7" s="116">
        <f t="shared" ref="D7:J7" si="0">C7+1</f>
        <v>43059</v>
      </c>
      <c r="E7" s="116">
        <f t="shared" si="0"/>
        <v>43060</v>
      </c>
      <c r="F7" s="116">
        <f t="shared" si="0"/>
        <v>43061</v>
      </c>
      <c r="G7" s="116">
        <f t="shared" si="0"/>
        <v>43062</v>
      </c>
      <c r="H7" s="116">
        <f t="shared" si="0"/>
        <v>43063</v>
      </c>
      <c r="I7" s="116">
        <f t="shared" si="0"/>
        <v>43064</v>
      </c>
      <c r="J7" s="116">
        <f t="shared" si="0"/>
        <v>43065</v>
      </c>
      <c r="K7" s="115" t="s">
        <v>309</v>
      </c>
    </row>
    <row r="8" spans="1:11" s="117" customFormat="1" ht="29" x14ac:dyDescent="0.35">
      <c r="A8" s="118"/>
      <c r="B8" s="119" t="s">
        <v>354</v>
      </c>
      <c r="C8" s="119" t="s">
        <v>355</v>
      </c>
      <c r="D8" s="119" t="s">
        <v>356</v>
      </c>
      <c r="E8" s="119" t="s">
        <v>357</v>
      </c>
      <c r="F8" s="119" t="s">
        <v>358</v>
      </c>
      <c r="G8" s="119" t="s">
        <v>359</v>
      </c>
      <c r="H8" s="119" t="s">
        <v>360</v>
      </c>
      <c r="I8" s="119" t="s">
        <v>354</v>
      </c>
      <c r="J8" s="119" t="s">
        <v>355</v>
      </c>
      <c r="K8" s="118"/>
    </row>
    <row r="9" spans="1:11" ht="49.5" customHeight="1" x14ac:dyDescent="0.3">
      <c r="A9" s="114">
        <v>0.33333333333333331</v>
      </c>
      <c r="B9" s="98" t="str">
        <f>IF(AND(B53&lt;&gt;"",B80&lt;&gt;""),"CONFLICT",B53&amp;B80&amp;B106&amp;B132)</f>
        <v/>
      </c>
      <c r="C9" s="98" t="str">
        <f t="shared" ref="C9:J9" si="1">IF(AND(C53&lt;&gt;"",C80&lt;&gt;""),"CONFLICT",C53&amp;C80&amp;C106&amp;C132)</f>
        <v/>
      </c>
      <c r="D9" s="98" t="str">
        <f t="shared" si="1"/>
        <v/>
      </c>
      <c r="E9" s="98" t="str">
        <f t="shared" si="1"/>
        <v/>
      </c>
      <c r="F9" s="98" t="str">
        <f t="shared" si="1"/>
        <v/>
      </c>
      <c r="G9" s="98" t="str">
        <f t="shared" si="1"/>
        <v/>
      </c>
      <c r="H9" s="98" t="str">
        <f t="shared" si="1"/>
        <v/>
      </c>
      <c r="I9" s="98" t="str">
        <f t="shared" si="1"/>
        <v/>
      </c>
      <c r="J9" s="98" t="str">
        <f t="shared" si="1"/>
        <v/>
      </c>
      <c r="K9" s="114">
        <v>0.33333333333333331</v>
      </c>
    </row>
    <row r="10" spans="1:11" ht="49.5" customHeight="1" x14ac:dyDescent="0.3">
      <c r="A10" s="114">
        <f t="shared" ref="A10:A28" si="2">A9+$A$46</f>
        <v>0.36805555555555552</v>
      </c>
      <c r="B10" s="98" t="str">
        <f t="shared" ref="B10:J10" si="3">IF(AND(B54&lt;&gt;"",B81&lt;&gt;""),"CONFLICT",B54&amp;B81&amp;B107&amp;B133)</f>
        <v/>
      </c>
      <c r="C10" s="98" t="str">
        <f t="shared" si="3"/>
        <v/>
      </c>
      <c r="D10" s="98" t="str">
        <f t="shared" si="3"/>
        <v/>
      </c>
      <c r="E10" s="98" t="str">
        <f t="shared" si="3"/>
        <v/>
      </c>
      <c r="F10" s="98" t="str">
        <f t="shared" si="3"/>
        <v/>
      </c>
      <c r="G10" s="98" t="str">
        <f t="shared" si="3"/>
        <v/>
      </c>
      <c r="H10" s="98" t="str">
        <f t="shared" si="3"/>
        <v/>
      </c>
      <c r="I10" s="98" t="str">
        <f t="shared" si="3"/>
        <v/>
      </c>
      <c r="J10" s="98" t="str">
        <f t="shared" si="3"/>
        <v/>
      </c>
      <c r="K10" s="114">
        <f t="shared" ref="K10:K26" si="4">K9+$A$46</f>
        <v>0.36805555555555552</v>
      </c>
    </row>
    <row r="11" spans="1:11" ht="49.5" customHeight="1" x14ac:dyDescent="0.3">
      <c r="A11" s="114">
        <f t="shared" si="2"/>
        <v>0.40277777777777773</v>
      </c>
      <c r="B11" s="98" t="str">
        <f t="shared" ref="B11:J11" si="5">IF(AND(B55&lt;&gt;"",B82&lt;&gt;""),"CONFLICT",B55&amp;B82&amp;B108&amp;B134)</f>
        <v/>
      </c>
      <c r="C11" s="98" t="str">
        <f t="shared" si="5"/>
        <v/>
      </c>
      <c r="D11" s="98" t="str">
        <f t="shared" si="5"/>
        <v/>
      </c>
      <c r="E11" s="98" t="str">
        <f t="shared" si="5"/>
        <v/>
      </c>
      <c r="F11" s="98" t="str">
        <f t="shared" si="5"/>
        <v/>
      </c>
      <c r="G11" s="98" t="str">
        <f t="shared" si="5"/>
        <v/>
      </c>
      <c r="H11" s="98" t="str">
        <f t="shared" si="5"/>
        <v/>
      </c>
      <c r="I11" s="98" t="str">
        <f t="shared" si="5"/>
        <v/>
      </c>
      <c r="J11" s="98" t="str">
        <f t="shared" si="5"/>
        <v>Basketball in Hillel - Gym Basketball (MEX2-COL1)Basketball Semi-Final in Hillel - Gym Basketball</v>
      </c>
      <c r="K11" s="114">
        <f t="shared" si="4"/>
        <v>0.40277777777777773</v>
      </c>
    </row>
    <row r="12" spans="1:11" ht="49.5" customHeight="1" x14ac:dyDescent="0.3">
      <c r="A12" s="114">
        <f t="shared" si="2"/>
        <v>0.43749999999999994</v>
      </c>
      <c r="B12" s="98" t="str">
        <f t="shared" ref="B12:J12" si="6">IF(AND(B56&lt;&gt;"",B83&lt;&gt;""),"CONFLICT",B56&amp;B83&amp;B109&amp;B135)</f>
        <v/>
      </c>
      <c r="C12" s="98" t="str">
        <f t="shared" si="6"/>
        <v>[Chess Tournament in Senior Lounge]</v>
      </c>
      <c r="D12" s="98" t="str">
        <f t="shared" si="6"/>
        <v/>
      </c>
      <c r="E12" s="98" t="str">
        <f t="shared" si="6"/>
        <v/>
      </c>
      <c r="F12" s="98" t="str">
        <f t="shared" si="6"/>
        <v/>
      </c>
      <c r="G12" s="98" t="str">
        <f t="shared" si="6"/>
        <v>[Chess Tournament in Senior Lounge]</v>
      </c>
      <c r="H12" s="98" t="str">
        <f t="shared" si="6"/>
        <v>Basketball in JCC Gym North (COL1-USA2)[Chess Tournament in Senior Lounge]</v>
      </c>
      <c r="I12" s="98" t="str">
        <f t="shared" si="6"/>
        <v/>
      </c>
      <c r="J12" s="98" t="str">
        <f t="shared" si="6"/>
        <v>Soccer in JCC Back Field 1 (ARG1-COL1)Soccer Semi-Final in JCC Back Field 1</v>
      </c>
      <c r="K12" s="114">
        <f t="shared" si="4"/>
        <v>0.43749999999999994</v>
      </c>
    </row>
    <row r="13" spans="1:11" ht="49.5" customHeight="1" x14ac:dyDescent="0.3">
      <c r="A13" s="114">
        <f t="shared" si="2"/>
        <v>0.47222222222222215</v>
      </c>
      <c r="B13" s="98" t="str">
        <f t="shared" ref="B13:J13" si="7">IF(AND(B57&lt;&gt;"",B84&lt;&gt;""),"CONFLICT",B57&amp;B84&amp;B110&amp;B136)</f>
        <v/>
      </c>
      <c r="C13" s="98" t="str">
        <f t="shared" si="7"/>
        <v/>
      </c>
      <c r="D13" s="98" t="str">
        <f t="shared" si="7"/>
        <v/>
      </c>
      <c r="E13" s="98" t="str">
        <f t="shared" si="7"/>
        <v/>
      </c>
      <c r="F13" s="98" t="str">
        <f t="shared" si="7"/>
        <v/>
      </c>
      <c r="G13" s="98" t="str">
        <f t="shared" si="7"/>
        <v/>
      </c>
      <c r="H13" s="98" t="str">
        <f t="shared" si="7"/>
        <v/>
      </c>
      <c r="I13" s="98" t="str">
        <f t="shared" si="7"/>
        <v/>
      </c>
      <c r="J13" s="98" t="str">
        <f t="shared" si="7"/>
        <v>Volleyball Final in Hillel - Gym Volleyball</v>
      </c>
      <c r="K13" s="114">
        <f t="shared" si="4"/>
        <v>0.47222222222222215</v>
      </c>
    </row>
    <row r="14" spans="1:11" ht="49.5" customHeight="1" x14ac:dyDescent="0.3">
      <c r="A14" s="114">
        <f t="shared" si="2"/>
        <v>0.50694444444444442</v>
      </c>
      <c r="B14" s="98" t="str">
        <f t="shared" ref="B14:J14" si="8">IF(AND(B58&lt;&gt;"",B85&lt;&gt;""),"CONFLICT",B58&amp;B85&amp;B111&amp;B137)</f>
        <v/>
      </c>
      <c r="C14" s="98" t="str">
        <f t="shared" si="8"/>
        <v>Basketball in JCC Gym North (COL1-ARG2)</v>
      </c>
      <c r="D14" s="98" t="str">
        <f t="shared" si="8"/>
        <v/>
      </c>
      <c r="E14" s="98" t="str">
        <f t="shared" si="8"/>
        <v/>
      </c>
      <c r="F14" s="98" t="str">
        <f t="shared" si="8"/>
        <v/>
      </c>
      <c r="G14" s="98" t="str">
        <f t="shared" si="8"/>
        <v/>
      </c>
      <c r="H14" s="98" t="str">
        <f t="shared" si="8"/>
        <v/>
      </c>
      <c r="I14" s="98" t="str">
        <f t="shared" si="8"/>
        <v/>
      </c>
      <c r="J14" s="98" t="str">
        <f t="shared" si="8"/>
        <v>Basketball Final in Hillel - Gym Basketball</v>
      </c>
      <c r="K14" s="114">
        <f t="shared" si="4"/>
        <v>0.50694444444444442</v>
      </c>
    </row>
    <row r="15" spans="1:11" ht="49.5" customHeight="1" x14ac:dyDescent="0.3">
      <c r="A15" s="114">
        <f t="shared" si="2"/>
        <v>0.54166666666666663</v>
      </c>
      <c r="B15" s="98" t="str">
        <f t="shared" ref="B15:J15" si="9">IF(AND(B59&lt;&gt;"",B86&lt;&gt;""),"CONFLICT",B59&amp;B86&amp;B112&amp;B138)</f>
        <v/>
      </c>
      <c r="C15" s="98" t="str">
        <f t="shared" si="9"/>
        <v/>
      </c>
      <c r="D15" s="98" t="str">
        <f t="shared" si="9"/>
        <v/>
      </c>
      <c r="E15" s="98" t="str">
        <f t="shared" si="9"/>
        <v/>
      </c>
      <c r="F15" s="98" t="str">
        <f t="shared" si="9"/>
        <v/>
      </c>
      <c r="G15" s="98" t="str">
        <f t="shared" si="9"/>
        <v>Basketball in JCC Gym North (COL1-MEX2)</v>
      </c>
      <c r="H15" s="98" t="str">
        <f t="shared" si="9"/>
        <v/>
      </c>
      <c r="I15" s="98" t="str">
        <f t="shared" si="9"/>
        <v/>
      </c>
      <c r="J15" s="98" t="str">
        <f t="shared" si="9"/>
        <v/>
      </c>
      <c r="K15" s="114">
        <f t="shared" si="4"/>
        <v>0.54166666666666663</v>
      </c>
    </row>
    <row r="16" spans="1:11" ht="72" customHeight="1" x14ac:dyDescent="0.3">
      <c r="A16" s="114">
        <f t="shared" si="2"/>
        <v>0.57638888888888884</v>
      </c>
      <c r="B16" s="98" t="str">
        <f t="shared" ref="B16:J16" si="10">IF(AND(B60&lt;&gt;"",B87&lt;&gt;""),"CONFLICT",B60&amp;B87&amp;B113&amp;B139)</f>
        <v/>
      </c>
      <c r="C16" s="98" t="str">
        <f t="shared" si="10"/>
        <v>Flag Football in Hillel - Field 2 (COL1-VEN2)</v>
      </c>
      <c r="D16" s="98" t="str">
        <f t="shared" si="10"/>
        <v/>
      </c>
      <c r="E16" s="98" t="str">
        <f t="shared" si="10"/>
        <v/>
      </c>
      <c r="F16" s="98" t="str">
        <f t="shared" si="10"/>
        <v/>
      </c>
      <c r="G16" s="98" t="str">
        <f t="shared" si="10"/>
        <v/>
      </c>
      <c r="H16" s="98" t="str">
        <f t="shared" si="10"/>
        <v>Soccer in JCC Back Field 3 (COL1-MEX2)</v>
      </c>
      <c r="I16" s="98" t="str">
        <f t="shared" si="10"/>
        <v/>
      </c>
      <c r="J16" s="98" t="str">
        <f t="shared" si="10"/>
        <v>Flag Football Semi-Final in Hillel - Field 3</v>
      </c>
      <c r="K16" s="114">
        <f t="shared" si="4"/>
        <v>0.57638888888888884</v>
      </c>
    </row>
    <row r="17" spans="1:11" ht="49.5" customHeight="1" x14ac:dyDescent="0.3">
      <c r="A17" s="114">
        <f t="shared" si="2"/>
        <v>0.61111111111111105</v>
      </c>
      <c r="B17" s="98" t="str">
        <f t="shared" ref="B17:J17" si="11">IF(AND(B61&lt;&gt;"",B88&lt;&gt;""),"CONFLICT",B61&amp;B88&amp;B114&amp;B140)</f>
        <v/>
      </c>
      <c r="C17" s="98" t="str">
        <f t="shared" si="11"/>
        <v/>
      </c>
      <c r="D17" s="98" t="str">
        <f t="shared" si="11"/>
        <v/>
      </c>
      <c r="E17" s="98" t="str">
        <f t="shared" si="11"/>
        <v/>
      </c>
      <c r="F17" s="98" t="str">
        <f t="shared" si="11"/>
        <v/>
      </c>
      <c r="G17" s="98" t="str">
        <f t="shared" si="11"/>
        <v/>
      </c>
      <c r="H17" s="98" t="str">
        <f t="shared" si="11"/>
        <v/>
      </c>
      <c r="I17" s="98" t="str">
        <f t="shared" si="11"/>
        <v/>
      </c>
      <c r="J17" s="98" t="str">
        <f t="shared" si="11"/>
        <v/>
      </c>
      <c r="K17" s="114">
        <f t="shared" si="4"/>
        <v>0.61111111111111105</v>
      </c>
    </row>
    <row r="18" spans="1:11" ht="49.5" customHeight="1" x14ac:dyDescent="0.3">
      <c r="A18" s="114">
        <f t="shared" si="2"/>
        <v>0.64583333333333326</v>
      </c>
      <c r="B18" s="98" t="str">
        <f t="shared" ref="B18:J18" si="12">IF(AND(B62&lt;&gt;"",B89&lt;&gt;""),"CONFLICT",B62&amp;B89&amp;B115&amp;B141)</f>
        <v/>
      </c>
      <c r="C18" s="98" t="str">
        <f t="shared" si="12"/>
        <v/>
      </c>
      <c r="D18" s="98" t="str">
        <f t="shared" si="12"/>
        <v/>
      </c>
      <c r="E18" s="98" t="str">
        <f t="shared" si="12"/>
        <v/>
      </c>
      <c r="F18" s="98" t="str">
        <f t="shared" si="12"/>
        <v/>
      </c>
      <c r="G18" s="98" t="str">
        <f t="shared" si="12"/>
        <v/>
      </c>
      <c r="H18" s="98" t="str">
        <f t="shared" si="12"/>
        <v>Flag Football in Hillel - Field 2 (COL1-ISR1)</v>
      </c>
      <c r="I18" s="98" t="str">
        <f t="shared" si="12"/>
        <v/>
      </c>
      <c r="J18" s="98" t="str">
        <f t="shared" si="12"/>
        <v>Soccer Final in JCC Back Field 2</v>
      </c>
      <c r="K18" s="114">
        <f t="shared" si="4"/>
        <v>0.64583333333333326</v>
      </c>
    </row>
    <row r="19" spans="1:11" ht="49.5" customHeight="1" x14ac:dyDescent="0.3">
      <c r="A19" s="114">
        <f t="shared" si="2"/>
        <v>0.68055555555555547</v>
      </c>
      <c r="B19" s="98" t="str">
        <f t="shared" ref="B19:J19" si="13">IF(AND(B63&lt;&gt;"",B90&lt;&gt;""),"CONFLICT",B63&amp;B90&amp;B116&amp;B142)</f>
        <v/>
      </c>
      <c r="C19" s="98" t="str">
        <f t="shared" si="13"/>
        <v/>
      </c>
      <c r="D19" s="98" t="str">
        <f t="shared" si="13"/>
        <v/>
      </c>
      <c r="E19" s="98" t="str">
        <f t="shared" si="13"/>
        <v/>
      </c>
      <c r="F19" s="98" t="str">
        <f t="shared" si="13"/>
        <v/>
      </c>
      <c r="G19" s="98" t="str">
        <f t="shared" si="13"/>
        <v>Soccer in JCC Back Field 4 (COL1-VEN2)</v>
      </c>
      <c r="H19" s="98" t="str">
        <f t="shared" si="13"/>
        <v/>
      </c>
      <c r="I19" s="98" t="str">
        <f t="shared" si="13"/>
        <v/>
      </c>
      <c r="J19" s="98" t="str">
        <f t="shared" si="13"/>
        <v>Flag Football Final in Hillel - Field 2</v>
      </c>
      <c r="K19" s="114">
        <f t="shared" si="4"/>
        <v>0.68055555555555547</v>
      </c>
    </row>
    <row r="20" spans="1:11" ht="49.5" customHeight="1" x14ac:dyDescent="0.3">
      <c r="A20" s="114">
        <f t="shared" si="2"/>
        <v>0.71527777777777768</v>
      </c>
      <c r="B20" s="98" t="str">
        <f t="shared" ref="B20:J20" si="14">IF(AND(B64&lt;&gt;"",B91&lt;&gt;""),"CONFLICT",B64&amp;B91&amp;B117&amp;B143)</f>
        <v/>
      </c>
      <c r="C20" s="98" t="str">
        <f t="shared" si="14"/>
        <v>Flag Football in Hillel - Field 1 (MEX1-COL1)</v>
      </c>
      <c r="D20" s="98" t="str">
        <f t="shared" si="14"/>
        <v/>
      </c>
      <c r="E20" s="98" t="str">
        <f t="shared" si="14"/>
        <v/>
      </c>
      <c r="F20" s="98" t="str">
        <f t="shared" si="14"/>
        <v>Basketball in JCC Gym North (ARG1-COL1)</v>
      </c>
      <c r="G20" s="98" t="str">
        <f t="shared" si="14"/>
        <v/>
      </c>
      <c r="H20" s="98" t="str">
        <f t="shared" si="14"/>
        <v/>
      </c>
      <c r="I20" s="98" t="str">
        <f t="shared" si="14"/>
        <v/>
      </c>
      <c r="J20" s="98" t="str">
        <f t="shared" si="14"/>
        <v/>
      </c>
      <c r="K20" s="114">
        <f t="shared" si="4"/>
        <v>0.71527777777777768</v>
      </c>
    </row>
    <row r="21" spans="1:11" ht="49.5" customHeight="1" x14ac:dyDescent="0.3">
      <c r="A21" s="114">
        <f t="shared" si="2"/>
        <v>0.74999999999999989</v>
      </c>
      <c r="B21" s="98" t="str">
        <f t="shared" ref="B21:J21" si="15">IF(AND(B65&lt;&gt;"",B92&lt;&gt;""),"CONFLICT",B65&amp;B92&amp;B118&amp;B144)</f>
        <v/>
      </c>
      <c r="C21" s="98" t="str">
        <f t="shared" si="15"/>
        <v/>
      </c>
      <c r="D21" s="98" t="str">
        <f t="shared" si="15"/>
        <v/>
      </c>
      <c r="E21" s="98" t="str">
        <f t="shared" si="15"/>
        <v>Soccer in JCC Back Field 3 (MEX1-COL1)[Tennis in Tennis Courts][Tennis in Tennis Courts]</v>
      </c>
      <c r="F21" s="98" t="str">
        <f t="shared" si="15"/>
        <v/>
      </c>
      <c r="G21" s="98" t="str">
        <f t="shared" si="15"/>
        <v/>
      </c>
      <c r="H21" s="98" t="str">
        <f t="shared" si="15"/>
        <v/>
      </c>
      <c r="I21" s="98" t="str">
        <f t="shared" si="15"/>
        <v/>
      </c>
      <c r="J21" s="98" t="str">
        <f t="shared" si="15"/>
        <v/>
      </c>
      <c r="K21" s="114">
        <f t="shared" si="4"/>
        <v>0.74999999999999989</v>
      </c>
    </row>
    <row r="22" spans="1:11" ht="42" x14ac:dyDescent="0.3">
      <c r="A22" s="114">
        <f t="shared" si="2"/>
        <v>0.7847222222222221</v>
      </c>
      <c r="B22" s="98" t="str">
        <f t="shared" ref="B22:J22" si="16">IF(AND(B66&lt;&gt;"",B93&lt;&gt;""),"CONFLICT",B66&amp;B93&amp;B119&amp;B145)</f>
        <v>Volleyball in Hillel - Gym Volleyball (COL1-USA1)</v>
      </c>
      <c r="C22" s="98" t="str">
        <f t="shared" si="16"/>
        <v>Soccer in JCC Back Field 2 (COL1-USA2)</v>
      </c>
      <c r="D22" s="98" t="str">
        <f t="shared" si="16"/>
        <v/>
      </c>
      <c r="E22" s="98" t="str">
        <f t="shared" si="16"/>
        <v/>
      </c>
      <c r="F22" s="98" t="str">
        <f t="shared" si="16"/>
        <v>Volleyball in Hillel - Gym Volleyball (COL1-ARG2)</v>
      </c>
      <c r="G22" s="98" t="str">
        <f t="shared" si="16"/>
        <v/>
      </c>
      <c r="H22" s="98" t="str">
        <f t="shared" si="16"/>
        <v/>
      </c>
      <c r="I22" s="98" t="str">
        <f t="shared" si="16"/>
        <v>Dodgeball Tournament in JCC Back Field 3</v>
      </c>
      <c r="J22" s="98" t="str">
        <f t="shared" si="16"/>
        <v/>
      </c>
      <c r="K22" s="114">
        <f t="shared" si="4"/>
        <v>0.7847222222222221</v>
      </c>
    </row>
    <row r="23" spans="1:11" ht="63" x14ac:dyDescent="0.3">
      <c r="A23" s="114">
        <f t="shared" si="2"/>
        <v>0.81944444444444431</v>
      </c>
      <c r="B23" s="98" t="str">
        <f t="shared" ref="B23:J23" si="17">IF(AND(B67&lt;&gt;"",B94&lt;&gt;""),"CONFLICT",B67&amp;B94&amp;B120&amp;B146)</f>
        <v>Volleyball in Hillel - Gym Volleyball (COL1-USA2)</v>
      </c>
      <c r="C23" s="98" t="str">
        <f t="shared" si="17"/>
        <v/>
      </c>
      <c r="D23" s="98" t="str">
        <f t="shared" si="17"/>
        <v>Flag Football in Hillel - Field 1 (COL1-ARG2)[Swimming in Pool]</v>
      </c>
      <c r="E23" s="98" t="str">
        <f t="shared" si="17"/>
        <v>Volleyball in Hillel - Gym Volleyball (ARG1-COL1)</v>
      </c>
      <c r="F23" s="98" t="str">
        <f t="shared" si="17"/>
        <v/>
      </c>
      <c r="G23" s="98" t="str">
        <f t="shared" si="17"/>
        <v/>
      </c>
      <c r="H23" s="98" t="str">
        <f t="shared" si="17"/>
        <v/>
      </c>
      <c r="I23" s="98" t="str">
        <f t="shared" si="17"/>
        <v>Dodgeball Tournament in JCC Back Field 3</v>
      </c>
      <c r="J23" s="98" t="str">
        <f t="shared" si="17"/>
        <v/>
      </c>
      <c r="K23" s="114">
        <f t="shared" si="4"/>
        <v>0.81944444444444431</v>
      </c>
    </row>
    <row r="24" spans="1:11" ht="42" x14ac:dyDescent="0.3">
      <c r="A24" s="114">
        <f t="shared" si="2"/>
        <v>0.85416666666666652</v>
      </c>
      <c r="B24" s="96" t="str">
        <f t="shared" ref="B24:J24" si="18">IF(AND(B68&lt;&gt;"",B95&lt;&gt;""),"CONFLICT",B68&amp;B95&amp;B121&amp;B147)</f>
        <v/>
      </c>
      <c r="C24" s="96" t="str">
        <f t="shared" si="18"/>
        <v/>
      </c>
      <c r="D24" s="96" t="str">
        <f t="shared" si="18"/>
        <v/>
      </c>
      <c r="E24" s="98" t="str">
        <f t="shared" si="18"/>
        <v/>
      </c>
      <c r="F24" s="96" t="str">
        <f t="shared" si="18"/>
        <v/>
      </c>
      <c r="G24" s="96" t="str">
        <f t="shared" si="18"/>
        <v/>
      </c>
      <c r="H24" s="96" t="str">
        <f t="shared" si="18"/>
        <v/>
      </c>
      <c r="I24" s="96" t="str">
        <f t="shared" si="18"/>
        <v>Dodgeball Tournament in JCC Back Field 3</v>
      </c>
      <c r="J24" s="96" t="str">
        <f t="shared" si="18"/>
        <v/>
      </c>
      <c r="K24" s="114">
        <f t="shared" si="4"/>
        <v>0.85416666666666652</v>
      </c>
    </row>
    <row r="25" spans="1:11" ht="42" x14ac:dyDescent="0.3">
      <c r="A25" s="114">
        <f t="shared" si="2"/>
        <v>0.88888888888888873</v>
      </c>
      <c r="B25" s="96" t="str">
        <f t="shared" ref="B25:J25" si="19">IF(AND(B69&lt;&gt;"",B96&lt;&gt;""),"CONFLICT",B69&amp;B96&amp;B122&amp;B148)</f>
        <v/>
      </c>
      <c r="C25" s="96" t="str">
        <f t="shared" si="19"/>
        <v/>
      </c>
      <c r="D25" s="96" t="str">
        <f t="shared" si="19"/>
        <v/>
      </c>
      <c r="E25" s="96" t="str">
        <f t="shared" si="19"/>
        <v/>
      </c>
      <c r="F25" s="96" t="str">
        <f t="shared" si="19"/>
        <v/>
      </c>
      <c r="G25" s="96" t="str">
        <f t="shared" si="19"/>
        <v/>
      </c>
      <c r="H25" s="96" t="str">
        <f t="shared" si="19"/>
        <v/>
      </c>
      <c r="I25" s="96" t="str">
        <f t="shared" si="19"/>
        <v>Dodgeball Tournament in JCC Back Field 3</v>
      </c>
      <c r="J25" s="96" t="str">
        <f t="shared" si="19"/>
        <v/>
      </c>
      <c r="K25" s="114">
        <f t="shared" si="4"/>
        <v>0.88888888888888873</v>
      </c>
    </row>
    <row r="26" spans="1:11" x14ac:dyDescent="0.3">
      <c r="A26" s="114">
        <f t="shared" si="2"/>
        <v>0.92361111111111094</v>
      </c>
      <c r="B26" s="96" t="str">
        <f t="shared" ref="B26:J26" si="20">IF(AND(B70&lt;&gt;"",B97&lt;&gt;""),"CONFLICT",B70&amp;B97&amp;B123&amp;B149)</f>
        <v/>
      </c>
      <c r="C26" s="96" t="str">
        <f t="shared" si="20"/>
        <v/>
      </c>
      <c r="D26" s="96" t="str">
        <f t="shared" si="20"/>
        <v/>
      </c>
      <c r="E26" s="96" t="str">
        <f t="shared" si="20"/>
        <v/>
      </c>
      <c r="F26" s="96" t="str">
        <f t="shared" si="20"/>
        <v/>
      </c>
      <c r="G26" s="96" t="str">
        <f t="shared" si="20"/>
        <v/>
      </c>
      <c r="H26" s="96" t="str">
        <f t="shared" si="20"/>
        <v/>
      </c>
      <c r="I26" s="96" t="str">
        <f t="shared" si="20"/>
        <v/>
      </c>
      <c r="J26" s="96" t="str">
        <f t="shared" si="20"/>
        <v/>
      </c>
      <c r="K26" s="114">
        <f t="shared" si="4"/>
        <v>0.92361111111111094</v>
      </c>
    </row>
    <row r="27" spans="1:11" x14ac:dyDescent="0.3">
      <c r="A27" s="114">
        <f t="shared" si="2"/>
        <v>0.95833333333333315</v>
      </c>
      <c r="B27" s="96" t="str">
        <f t="shared" ref="B27:J27" si="21">IF(AND(B71&lt;&gt;"",B98&lt;&gt;""),"CONFLICT",B71&amp;B98&amp;B124&amp;B150)</f>
        <v/>
      </c>
      <c r="C27" s="96" t="str">
        <f t="shared" si="21"/>
        <v/>
      </c>
      <c r="D27" s="96" t="str">
        <f t="shared" si="21"/>
        <v/>
      </c>
      <c r="E27" s="96" t="str">
        <f t="shared" si="21"/>
        <v/>
      </c>
      <c r="F27" s="96" t="str">
        <f t="shared" si="21"/>
        <v/>
      </c>
      <c r="G27" s="96" t="str">
        <f t="shared" si="21"/>
        <v/>
      </c>
      <c r="H27" s="96" t="str">
        <f t="shared" si="21"/>
        <v/>
      </c>
      <c r="I27" s="96" t="str">
        <f t="shared" si="21"/>
        <v/>
      </c>
      <c r="J27" s="96" t="str">
        <f t="shared" si="21"/>
        <v/>
      </c>
    </row>
    <row r="28" spans="1:11" x14ac:dyDescent="0.3">
      <c r="A28" s="114">
        <f t="shared" si="2"/>
        <v>0.99305555555555536</v>
      </c>
      <c r="B28" s="97" t="str">
        <f t="shared" ref="B28:J28" si="22">IF(AND(B72&lt;&gt;"",B99&lt;&gt;""),"CONFLICT",B72&amp;B99&amp;B125&amp;B151)</f>
        <v/>
      </c>
      <c r="C28" s="97" t="str">
        <f t="shared" si="22"/>
        <v/>
      </c>
      <c r="D28" s="97" t="str">
        <f t="shared" si="22"/>
        <v/>
      </c>
      <c r="E28" s="97" t="str">
        <f t="shared" si="22"/>
        <v/>
      </c>
      <c r="F28" s="97" t="str">
        <f t="shared" si="22"/>
        <v/>
      </c>
      <c r="G28" s="97" t="str">
        <f t="shared" si="22"/>
        <v/>
      </c>
      <c r="H28" s="97" t="str">
        <f t="shared" si="22"/>
        <v/>
      </c>
      <c r="I28" s="97" t="str">
        <f t="shared" si="22"/>
        <v/>
      </c>
      <c r="J28" s="97" t="str">
        <f t="shared" si="22"/>
        <v/>
      </c>
    </row>
    <row r="29" spans="1:11" x14ac:dyDescent="0.3">
      <c r="A29" s="103"/>
      <c r="B29" s="26"/>
      <c r="C29" s="26"/>
      <c r="D29" s="26"/>
      <c r="E29" s="26"/>
      <c r="F29" s="26"/>
      <c r="G29" s="26"/>
      <c r="H29" s="26"/>
      <c r="I29" s="26"/>
      <c r="J29" s="26"/>
    </row>
    <row r="30" spans="1:11" ht="25" thickBot="1" x14ac:dyDescent="0.35">
      <c r="A30" s="103"/>
      <c r="B30" s="26"/>
      <c r="C30" s="26"/>
      <c r="D30" s="26"/>
      <c r="E30" s="26"/>
      <c r="F30" s="26"/>
      <c r="G30" s="26"/>
      <c r="H30" s="26"/>
      <c r="I30" s="26"/>
      <c r="J30" s="26"/>
    </row>
    <row r="31" spans="1:11" x14ac:dyDescent="0.3">
      <c r="A31" s="104" t="s">
        <v>320</v>
      </c>
      <c r="B31" s="31"/>
      <c r="C31" s="31"/>
      <c r="D31" s="31"/>
      <c r="E31" s="31"/>
      <c r="F31" s="31"/>
      <c r="G31" s="31"/>
      <c r="H31" s="31"/>
      <c r="I31" s="31"/>
      <c r="J31" s="31"/>
    </row>
    <row r="32" spans="1:11" x14ac:dyDescent="0.3">
      <c r="A32" s="105" t="s">
        <v>321</v>
      </c>
      <c r="B32" s="35">
        <f t="shared" ref="B32:J32" si="23">COUNTIF(B9:B24,"&gt;""")</f>
        <v>2</v>
      </c>
      <c r="C32" s="35">
        <f t="shared" si="23"/>
        <v>5</v>
      </c>
      <c r="D32" s="35">
        <f t="shared" si="23"/>
        <v>1</v>
      </c>
      <c r="E32" s="35">
        <f t="shared" si="23"/>
        <v>2</v>
      </c>
      <c r="F32" s="35">
        <f t="shared" si="23"/>
        <v>2</v>
      </c>
      <c r="G32" s="35">
        <f>COUNTIF(G9:G24,"&gt;""")</f>
        <v>3</v>
      </c>
      <c r="H32" s="35">
        <f t="shared" si="23"/>
        <v>3</v>
      </c>
      <c r="I32" s="35">
        <f t="shared" si="23"/>
        <v>3</v>
      </c>
      <c r="J32" s="35">
        <f t="shared" si="23"/>
        <v>7</v>
      </c>
    </row>
    <row r="33" spans="1:10" x14ac:dyDescent="0.3">
      <c r="A33" s="105" t="s">
        <v>322</v>
      </c>
      <c r="B33" s="35">
        <f t="shared" ref="B33:J33" si="24">First_game(B9:B24)</f>
        <v>14</v>
      </c>
      <c r="C33" s="35">
        <f t="shared" si="24"/>
        <v>4</v>
      </c>
      <c r="D33" s="35">
        <f t="shared" si="24"/>
        <v>15</v>
      </c>
      <c r="E33" s="35">
        <f t="shared" si="24"/>
        <v>13</v>
      </c>
      <c r="F33" s="35">
        <f t="shared" si="24"/>
        <v>12</v>
      </c>
      <c r="G33" s="35">
        <f>First_game(G9:G24)</f>
        <v>4</v>
      </c>
      <c r="H33" s="35">
        <f t="shared" si="24"/>
        <v>4</v>
      </c>
      <c r="I33" s="35">
        <f t="shared" si="24"/>
        <v>14</v>
      </c>
      <c r="J33" s="35">
        <f t="shared" si="24"/>
        <v>3</v>
      </c>
    </row>
    <row r="34" spans="1:10" x14ac:dyDescent="0.3">
      <c r="A34" s="105" t="s">
        <v>323</v>
      </c>
      <c r="B34" s="35">
        <f t="shared" ref="B34:J34" si="25">last_game(B9:B24)</f>
        <v>15</v>
      </c>
      <c r="C34" s="35">
        <f t="shared" si="25"/>
        <v>14</v>
      </c>
      <c r="D34" s="35">
        <f t="shared" si="25"/>
        <v>15</v>
      </c>
      <c r="E34" s="35">
        <f t="shared" si="25"/>
        <v>15</v>
      </c>
      <c r="F34" s="35">
        <f t="shared" si="25"/>
        <v>14</v>
      </c>
      <c r="G34" s="35">
        <f>last_game(G9:G24)</f>
        <v>11</v>
      </c>
      <c r="H34" s="35">
        <f t="shared" si="25"/>
        <v>10</v>
      </c>
      <c r="I34" s="35">
        <f t="shared" si="25"/>
        <v>16</v>
      </c>
      <c r="J34" s="35">
        <f t="shared" si="25"/>
        <v>11</v>
      </c>
    </row>
    <row r="35" spans="1:10" x14ac:dyDescent="0.3">
      <c r="A35" s="105" t="s">
        <v>324</v>
      </c>
      <c r="B35" s="35"/>
      <c r="C35" s="35"/>
      <c r="D35" s="35"/>
      <c r="E35" s="35"/>
      <c r="F35" s="35"/>
      <c r="G35" s="35"/>
      <c r="H35" s="35"/>
      <c r="I35" s="35"/>
      <c r="J35" s="35"/>
    </row>
    <row r="36" spans="1:10" ht="25" thickBot="1" x14ac:dyDescent="0.35">
      <c r="A36" s="106" t="s">
        <v>325</v>
      </c>
      <c r="B36" s="33">
        <f>IF(B32-1&lt;&gt;0,rest_between_games(B9:B24)/(B32-1),0)</f>
        <v>0</v>
      </c>
      <c r="C36" s="33">
        <f>IF(C32-1&lt;&gt;0,rest_between_games(C9:C24)/(C32-1),0)</f>
        <v>1.5</v>
      </c>
      <c r="D36" s="33">
        <f>IF(D32-1&lt;&gt;0,rest_between_games(D9:D24)/(D32-1),0)</f>
        <v>0</v>
      </c>
      <c r="E36" s="33">
        <f>IF(E32-1&lt;&gt;0,rest_between_games(E9:E24)/(E32-1),0)</f>
        <v>1</v>
      </c>
      <c r="F36" s="33">
        <f>IF(F32-1&lt;&gt;0,rest_between_games(F9:F24)/(F32-1),0)</f>
        <v>1</v>
      </c>
      <c r="G36" s="33">
        <f>IF(G32-1&lt;&gt;0,rest_between_games(G9:G24)/(G32-1),0)</f>
        <v>2.5</v>
      </c>
      <c r="H36" s="33">
        <f>IF(H32-1&lt;&gt;0,rest_between_games(H9:H24)/(H32-1),0)</f>
        <v>2</v>
      </c>
      <c r="I36" s="33">
        <f>IF(I32-1&lt;&gt;0,rest_between_games(I9:I24)/(I32-1),0)</f>
        <v>0</v>
      </c>
      <c r="J36" s="33">
        <f>IF(J32-1&lt;&gt;0,rest_between_games(J9:J24)/(J32-1),0)</f>
        <v>0.33333333333333331</v>
      </c>
    </row>
    <row r="37" spans="1:10" x14ac:dyDescent="0.3">
      <c r="A37" s="100"/>
      <c r="B37" s="62"/>
      <c r="C37" s="62"/>
      <c r="D37" s="62"/>
      <c r="E37" s="62"/>
      <c r="F37" s="62"/>
      <c r="G37" s="62"/>
      <c r="H37" s="62"/>
      <c r="I37" s="62"/>
      <c r="J37" s="62"/>
    </row>
    <row r="38" spans="1:10" ht="25" thickBot="1" x14ac:dyDescent="0.35"/>
    <row r="39" spans="1:10" x14ac:dyDescent="0.3">
      <c r="A39" s="104" t="s">
        <v>361</v>
      </c>
      <c r="B39" s="31"/>
      <c r="C39" s="31"/>
      <c r="D39" s="31"/>
      <c r="E39" s="31"/>
      <c r="F39" s="32"/>
    </row>
    <row r="40" spans="1:10" x14ac:dyDescent="0.3">
      <c r="A40" s="107" t="s">
        <v>327</v>
      </c>
      <c r="B40" s="18">
        <f>COUNTIF($B$9:$J$24,"&gt;''")</f>
        <v>28</v>
      </c>
      <c r="C40" s="6" t="s">
        <v>328</v>
      </c>
      <c r="D40" s="21">
        <f>min_exept_zeros(C32:J32)</f>
        <v>1</v>
      </c>
      <c r="E40" s="6" t="s">
        <v>329</v>
      </c>
      <c r="F40" s="27">
        <f>IF(SUM(B36:J36)=0,0,AVERAGEIF(B36:J36,"&gt;0"))</f>
        <v>1.3888888888888891</v>
      </c>
    </row>
    <row r="41" spans="1:10" x14ac:dyDescent="0.3">
      <c r="A41" s="108" t="s">
        <v>330</v>
      </c>
      <c r="B41" s="18">
        <f>COUNTIF($B$9:$J$24,"CONFLICT")</f>
        <v>0</v>
      </c>
      <c r="C41" s="7" t="s">
        <v>331</v>
      </c>
      <c r="D41" s="20">
        <f>AVERAGEIF(B32:J32,"&gt;0")</f>
        <v>3.1111111111111112</v>
      </c>
      <c r="E41" s="7" t="s">
        <v>332</v>
      </c>
      <c r="F41" s="28" t="s">
        <v>333</v>
      </c>
    </row>
    <row r="42" spans="1:10" ht="25" thickBot="1" x14ac:dyDescent="0.35">
      <c r="A42" s="106" t="s">
        <v>334</v>
      </c>
      <c r="B42" s="19">
        <f>COUNTIF(B32:J32,"&gt;0")</f>
        <v>9</v>
      </c>
      <c r="C42" s="11" t="s">
        <v>335</v>
      </c>
      <c r="D42" s="19">
        <f>MAX(B32:J32)</f>
        <v>7</v>
      </c>
      <c r="E42" s="11"/>
      <c r="F42" s="29"/>
    </row>
    <row r="44" spans="1:10" ht="25" thickBot="1" x14ac:dyDescent="0.35">
      <c r="A44" s="109" t="s">
        <v>336</v>
      </c>
      <c r="B44" s="24"/>
      <c r="C44" s="24"/>
      <c r="D44" s="24"/>
      <c r="E44" s="24"/>
      <c r="F44" s="24"/>
      <c r="G44" s="24"/>
      <c r="H44" s="24"/>
      <c r="I44" s="24"/>
      <c r="J44" s="24"/>
    </row>
    <row r="45" spans="1:10" x14ac:dyDescent="0.3">
      <c r="A45" s="110" t="s">
        <v>337</v>
      </c>
    </row>
    <row r="46" spans="1:10" ht="25" thickBot="1" x14ac:dyDescent="0.35">
      <c r="A46" s="111">
        <v>3.4722222222222224E-2</v>
      </c>
    </row>
    <row r="48" spans="1:10" x14ac:dyDescent="0.3">
      <c r="A48" s="112" t="s">
        <v>362</v>
      </c>
    </row>
    <row r="49" spans="1:10" x14ac:dyDescent="0.3">
      <c r="A49" s="113"/>
      <c r="B49" s="3" t="s">
        <v>338</v>
      </c>
      <c r="C49" s="3" t="str">
        <f>B1</f>
        <v>JR A M - COL 1</v>
      </c>
      <c r="D49" s="3"/>
      <c r="E49" s="3"/>
      <c r="F49" s="3"/>
      <c r="G49" s="3"/>
      <c r="H49" s="3"/>
      <c r="I49" s="3"/>
      <c r="J49" s="3"/>
    </row>
    <row r="50" spans="1:10" x14ac:dyDescent="0.3">
      <c r="A50" s="113"/>
      <c r="B50" s="49">
        <f t="shared" ref="B50:J50" si="26">B7</f>
        <v>43057</v>
      </c>
      <c r="C50" s="49">
        <f t="shared" si="26"/>
        <v>43058</v>
      </c>
      <c r="D50" s="49">
        <f t="shared" si="26"/>
        <v>43059</v>
      </c>
      <c r="E50" s="49">
        <f t="shared" si="26"/>
        <v>43060</v>
      </c>
      <c r="F50" s="49">
        <f t="shared" si="26"/>
        <v>43061</v>
      </c>
      <c r="G50" s="49">
        <f t="shared" si="26"/>
        <v>43062</v>
      </c>
      <c r="H50" s="49">
        <f t="shared" si="26"/>
        <v>43063</v>
      </c>
      <c r="I50" s="49">
        <f t="shared" si="26"/>
        <v>43064</v>
      </c>
      <c r="J50" s="49">
        <f t="shared" si="26"/>
        <v>43065</v>
      </c>
    </row>
    <row r="51" spans="1:10" x14ac:dyDescent="0.3">
      <c r="A51" s="113"/>
      <c r="B51" s="73" t="s">
        <v>339</v>
      </c>
      <c r="C51" s="73" t="s">
        <v>340</v>
      </c>
      <c r="D51" s="73" t="s">
        <v>341</v>
      </c>
      <c r="E51" s="73" t="s">
        <v>342</v>
      </c>
      <c r="F51" s="73" t="s">
        <v>343</v>
      </c>
      <c r="G51" s="73" t="s">
        <v>344</v>
      </c>
      <c r="H51" s="73" t="s">
        <v>345</v>
      </c>
      <c r="I51" s="73" t="s">
        <v>346</v>
      </c>
      <c r="J51" s="73" t="s">
        <v>347</v>
      </c>
    </row>
    <row r="52" spans="1:10" x14ac:dyDescent="0.3">
      <c r="A52" s="11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3">
      <c r="A53" s="113">
        <f t="shared" ref="A53:A72" si="27">A9</f>
        <v>0.33333333333333331</v>
      </c>
      <c r="B53" s="3" t="str">
        <f t="shared" ref="B53:J62" si="28">IFERROR(VLOOKUP(TEXT(B$7+$A53,"MM/DD/YYYY HH:MM")&amp;"-&gt;"&amp;$B$1,check_time_team_field,4,FALSE),"")</f>
        <v/>
      </c>
      <c r="C53" s="3" t="str">
        <f t="shared" si="28"/>
        <v/>
      </c>
      <c r="D53" s="3" t="str">
        <f t="shared" si="28"/>
        <v/>
      </c>
      <c r="E53" s="3" t="str">
        <f t="shared" si="28"/>
        <v/>
      </c>
      <c r="F53" s="3" t="str">
        <f t="shared" si="28"/>
        <v/>
      </c>
      <c r="G53" s="3" t="str">
        <f t="shared" si="28"/>
        <v/>
      </c>
      <c r="H53" s="3" t="str">
        <f t="shared" si="28"/>
        <v/>
      </c>
      <c r="I53" s="3" t="str">
        <f t="shared" si="28"/>
        <v/>
      </c>
      <c r="J53" s="3" t="str">
        <f t="shared" si="28"/>
        <v/>
      </c>
    </row>
    <row r="54" spans="1:10" x14ac:dyDescent="0.3">
      <c r="A54" s="113">
        <f t="shared" si="27"/>
        <v>0.36805555555555552</v>
      </c>
      <c r="B54" s="3" t="str">
        <f t="shared" si="28"/>
        <v/>
      </c>
      <c r="C54" s="3" t="str">
        <f t="shared" si="28"/>
        <v/>
      </c>
      <c r="D54" s="3" t="str">
        <f t="shared" si="28"/>
        <v/>
      </c>
      <c r="E54" s="3" t="str">
        <f t="shared" si="28"/>
        <v/>
      </c>
      <c r="F54" s="3" t="str">
        <f t="shared" si="28"/>
        <v/>
      </c>
      <c r="G54" s="3" t="str">
        <f t="shared" si="28"/>
        <v/>
      </c>
      <c r="H54" s="3" t="str">
        <f t="shared" si="28"/>
        <v/>
      </c>
      <c r="I54" s="3" t="str">
        <f t="shared" si="28"/>
        <v/>
      </c>
      <c r="J54" s="3" t="str">
        <f t="shared" si="28"/>
        <v/>
      </c>
    </row>
    <row r="55" spans="1:10" x14ac:dyDescent="0.3">
      <c r="A55" s="113">
        <f t="shared" si="27"/>
        <v>0.40277777777777773</v>
      </c>
      <c r="B55" s="3" t="str">
        <f t="shared" si="28"/>
        <v/>
      </c>
      <c r="C55" s="3" t="str">
        <f t="shared" si="28"/>
        <v/>
      </c>
      <c r="D55" s="3" t="str">
        <f t="shared" si="28"/>
        <v/>
      </c>
      <c r="E55" s="3" t="str">
        <f t="shared" si="28"/>
        <v/>
      </c>
      <c r="F55" s="3" t="str">
        <f t="shared" si="28"/>
        <v/>
      </c>
      <c r="G55" s="3" t="str">
        <f t="shared" si="28"/>
        <v/>
      </c>
      <c r="H55" s="3" t="str">
        <f t="shared" si="28"/>
        <v/>
      </c>
      <c r="I55" s="3" t="str">
        <f t="shared" si="28"/>
        <v/>
      </c>
      <c r="J55" s="3" t="str">
        <f t="shared" si="28"/>
        <v/>
      </c>
    </row>
    <row r="56" spans="1:10" x14ac:dyDescent="0.3">
      <c r="A56" s="113">
        <f t="shared" si="27"/>
        <v>0.43749999999999994</v>
      </c>
      <c r="B56" s="3" t="str">
        <f t="shared" si="28"/>
        <v/>
      </c>
      <c r="C56" s="3" t="str">
        <f t="shared" si="28"/>
        <v/>
      </c>
      <c r="D56" s="3" t="str">
        <f t="shared" si="28"/>
        <v/>
      </c>
      <c r="E56" s="3" t="str">
        <f t="shared" si="28"/>
        <v/>
      </c>
      <c r="F56" s="3" t="str">
        <f t="shared" si="28"/>
        <v/>
      </c>
      <c r="G56" s="3" t="str">
        <f t="shared" si="28"/>
        <v/>
      </c>
      <c r="H56" s="3" t="str">
        <f t="shared" si="28"/>
        <v>Basketball in JCC Gym North (COL1-USA2)</v>
      </c>
      <c r="I56" s="3" t="str">
        <f t="shared" si="28"/>
        <v/>
      </c>
      <c r="J56" s="3" t="str">
        <f t="shared" si="28"/>
        <v/>
      </c>
    </row>
    <row r="57" spans="1:10" x14ac:dyDescent="0.3">
      <c r="A57" s="113">
        <f t="shared" si="27"/>
        <v>0.47222222222222215</v>
      </c>
      <c r="B57" s="3" t="str">
        <f t="shared" si="28"/>
        <v/>
      </c>
      <c r="C57" s="3" t="str">
        <f t="shared" si="28"/>
        <v/>
      </c>
      <c r="D57" s="3" t="str">
        <f t="shared" si="28"/>
        <v/>
      </c>
      <c r="E57" s="3" t="str">
        <f t="shared" si="28"/>
        <v/>
      </c>
      <c r="F57" s="3" t="str">
        <f t="shared" si="28"/>
        <v/>
      </c>
      <c r="G57" s="3" t="str">
        <f t="shared" si="28"/>
        <v/>
      </c>
      <c r="H57" s="3" t="str">
        <f t="shared" si="28"/>
        <v/>
      </c>
      <c r="I57" s="3" t="str">
        <f t="shared" si="28"/>
        <v/>
      </c>
      <c r="J57" s="3" t="str">
        <f t="shared" si="28"/>
        <v/>
      </c>
    </row>
    <row r="58" spans="1:10" x14ac:dyDescent="0.3">
      <c r="A58" s="113">
        <f t="shared" si="27"/>
        <v>0.50694444444444442</v>
      </c>
      <c r="B58" s="3" t="str">
        <f t="shared" si="28"/>
        <v/>
      </c>
      <c r="C58" s="3" t="str">
        <f t="shared" si="28"/>
        <v>Basketball in JCC Gym North (COL1-ARG2)</v>
      </c>
      <c r="D58" s="3" t="str">
        <f t="shared" si="28"/>
        <v/>
      </c>
      <c r="E58" s="3" t="str">
        <f t="shared" si="28"/>
        <v/>
      </c>
      <c r="F58" s="3" t="str">
        <f t="shared" si="28"/>
        <v/>
      </c>
      <c r="G58" s="3" t="str">
        <f t="shared" si="28"/>
        <v/>
      </c>
      <c r="H58" s="3" t="str">
        <f t="shared" si="28"/>
        <v/>
      </c>
      <c r="I58" s="3" t="str">
        <f t="shared" si="28"/>
        <v/>
      </c>
      <c r="J58" s="3" t="str">
        <f t="shared" si="28"/>
        <v/>
      </c>
    </row>
    <row r="59" spans="1:10" x14ac:dyDescent="0.3">
      <c r="A59" s="113">
        <f t="shared" si="27"/>
        <v>0.54166666666666663</v>
      </c>
      <c r="B59" s="3" t="str">
        <f t="shared" si="28"/>
        <v/>
      </c>
      <c r="C59" s="3" t="str">
        <f t="shared" si="28"/>
        <v/>
      </c>
      <c r="D59" s="3" t="str">
        <f t="shared" si="28"/>
        <v/>
      </c>
      <c r="E59" s="3" t="str">
        <f t="shared" si="28"/>
        <v/>
      </c>
      <c r="F59" s="3" t="str">
        <f t="shared" si="28"/>
        <v/>
      </c>
      <c r="G59" s="3" t="str">
        <f t="shared" si="28"/>
        <v>Basketball in JCC Gym North (COL1-MEX2)</v>
      </c>
      <c r="H59" s="3" t="str">
        <f t="shared" si="28"/>
        <v/>
      </c>
      <c r="I59" s="3" t="str">
        <f t="shared" si="28"/>
        <v/>
      </c>
      <c r="J59" s="3" t="str">
        <f t="shared" si="28"/>
        <v/>
      </c>
    </row>
    <row r="60" spans="1:10" x14ac:dyDescent="0.3">
      <c r="A60" s="113">
        <f t="shared" si="27"/>
        <v>0.57638888888888884</v>
      </c>
      <c r="B60" s="3" t="str">
        <f t="shared" si="28"/>
        <v/>
      </c>
      <c r="C60" s="3" t="str">
        <f t="shared" si="28"/>
        <v>Flag Football in Hillel - Field 2 (COL1-VEN2)</v>
      </c>
      <c r="D60" s="3" t="str">
        <f t="shared" si="28"/>
        <v/>
      </c>
      <c r="E60" s="3" t="str">
        <f t="shared" si="28"/>
        <v/>
      </c>
      <c r="F60" s="3" t="str">
        <f t="shared" si="28"/>
        <v/>
      </c>
      <c r="G60" s="3" t="str">
        <f t="shared" si="28"/>
        <v/>
      </c>
      <c r="H60" s="3" t="str">
        <f t="shared" si="28"/>
        <v>Soccer in JCC Back Field 3 (COL1-MEX2)</v>
      </c>
      <c r="I60" s="3" t="str">
        <f t="shared" si="28"/>
        <v/>
      </c>
      <c r="J60" s="3" t="str">
        <f t="shared" si="28"/>
        <v/>
      </c>
    </row>
    <row r="61" spans="1:10" x14ac:dyDescent="0.3">
      <c r="A61" s="113">
        <f t="shared" si="27"/>
        <v>0.61111111111111105</v>
      </c>
      <c r="B61" s="3" t="str">
        <f t="shared" si="28"/>
        <v/>
      </c>
      <c r="C61" s="3" t="str">
        <f t="shared" si="28"/>
        <v/>
      </c>
      <c r="D61" s="3" t="str">
        <f t="shared" si="28"/>
        <v/>
      </c>
      <c r="E61" s="3" t="str">
        <f t="shared" si="28"/>
        <v/>
      </c>
      <c r="F61" s="3" t="str">
        <f t="shared" si="28"/>
        <v/>
      </c>
      <c r="G61" s="3" t="str">
        <f t="shared" si="28"/>
        <v/>
      </c>
      <c r="H61" s="3" t="str">
        <f t="shared" si="28"/>
        <v/>
      </c>
      <c r="I61" s="3" t="str">
        <f t="shared" si="28"/>
        <v/>
      </c>
      <c r="J61" s="3" t="str">
        <f t="shared" si="28"/>
        <v/>
      </c>
    </row>
    <row r="62" spans="1:10" x14ac:dyDescent="0.3">
      <c r="A62" s="113">
        <f t="shared" si="27"/>
        <v>0.64583333333333326</v>
      </c>
      <c r="B62" s="3" t="str">
        <f t="shared" si="28"/>
        <v/>
      </c>
      <c r="C62" s="3" t="str">
        <f t="shared" si="28"/>
        <v/>
      </c>
      <c r="D62" s="3" t="str">
        <f t="shared" si="28"/>
        <v/>
      </c>
      <c r="E62" s="3" t="str">
        <f t="shared" si="28"/>
        <v/>
      </c>
      <c r="F62" s="3" t="str">
        <f t="shared" si="28"/>
        <v/>
      </c>
      <c r="G62" s="3" t="str">
        <f t="shared" si="28"/>
        <v/>
      </c>
      <c r="H62" s="3" t="str">
        <f t="shared" si="28"/>
        <v>Flag Football in Hillel - Field 2 (COL1-ISR1)</v>
      </c>
      <c r="I62" s="3" t="str">
        <f t="shared" si="28"/>
        <v/>
      </c>
      <c r="J62" s="3" t="str">
        <f t="shared" si="28"/>
        <v/>
      </c>
    </row>
    <row r="63" spans="1:10" x14ac:dyDescent="0.3">
      <c r="A63" s="113">
        <f t="shared" si="27"/>
        <v>0.68055555555555547</v>
      </c>
      <c r="B63" s="3" t="str">
        <f t="shared" ref="B63:J72" si="29">IFERROR(VLOOKUP(TEXT(B$7+$A63,"MM/DD/YYYY HH:MM")&amp;"-&gt;"&amp;$B$1,check_time_team_field,4,FALSE),"")</f>
        <v/>
      </c>
      <c r="C63" s="3" t="str">
        <f t="shared" si="29"/>
        <v/>
      </c>
      <c r="D63" s="3" t="str">
        <f t="shared" si="29"/>
        <v/>
      </c>
      <c r="E63" s="3" t="str">
        <f t="shared" si="29"/>
        <v/>
      </c>
      <c r="F63" s="3" t="str">
        <f t="shared" si="29"/>
        <v/>
      </c>
      <c r="G63" s="3" t="str">
        <f t="shared" si="29"/>
        <v>Soccer in JCC Back Field 4 (COL1-VEN2)</v>
      </c>
      <c r="H63" s="3" t="str">
        <f t="shared" si="29"/>
        <v/>
      </c>
      <c r="I63" s="3" t="str">
        <f t="shared" si="29"/>
        <v/>
      </c>
      <c r="J63" s="3" t="str">
        <f t="shared" si="29"/>
        <v/>
      </c>
    </row>
    <row r="64" spans="1:10" x14ac:dyDescent="0.3">
      <c r="A64" s="113">
        <f t="shared" si="27"/>
        <v>0.71527777777777768</v>
      </c>
      <c r="B64" s="3" t="str">
        <f t="shared" si="29"/>
        <v/>
      </c>
      <c r="C64" s="3" t="str">
        <f t="shared" si="29"/>
        <v/>
      </c>
      <c r="D64" s="3" t="str">
        <f t="shared" si="29"/>
        <v/>
      </c>
      <c r="E64" s="3" t="str">
        <f t="shared" si="29"/>
        <v/>
      </c>
      <c r="F64" s="3" t="str">
        <f t="shared" si="29"/>
        <v/>
      </c>
      <c r="G64" s="3" t="str">
        <f t="shared" si="29"/>
        <v/>
      </c>
      <c r="H64" s="3" t="str">
        <f t="shared" si="29"/>
        <v/>
      </c>
      <c r="I64" s="3" t="str">
        <f t="shared" si="29"/>
        <v/>
      </c>
      <c r="J64" s="3" t="str">
        <f t="shared" si="29"/>
        <v/>
      </c>
    </row>
    <row r="65" spans="1:10" x14ac:dyDescent="0.3">
      <c r="A65" s="113">
        <f t="shared" si="27"/>
        <v>0.74999999999999989</v>
      </c>
      <c r="B65" s="3" t="str">
        <f t="shared" si="29"/>
        <v/>
      </c>
      <c r="C65" s="3" t="str">
        <f t="shared" si="29"/>
        <v/>
      </c>
      <c r="D65" s="3" t="str">
        <f t="shared" si="29"/>
        <v/>
      </c>
      <c r="E65" s="3" t="str">
        <f t="shared" si="29"/>
        <v/>
      </c>
      <c r="F65" s="3" t="str">
        <f t="shared" si="29"/>
        <v/>
      </c>
      <c r="G65" s="3" t="str">
        <f t="shared" si="29"/>
        <v/>
      </c>
      <c r="H65" s="3" t="str">
        <f t="shared" si="29"/>
        <v/>
      </c>
      <c r="I65" s="3" t="str">
        <f t="shared" si="29"/>
        <v/>
      </c>
      <c r="J65" s="3" t="str">
        <f t="shared" si="29"/>
        <v/>
      </c>
    </row>
    <row r="66" spans="1:10" x14ac:dyDescent="0.3">
      <c r="A66" s="113">
        <f t="shared" si="27"/>
        <v>0.7847222222222221</v>
      </c>
      <c r="B66" s="3" t="str">
        <f t="shared" si="29"/>
        <v>Volleyball in Hillel - Gym Volleyball (COL1-USA1)</v>
      </c>
      <c r="C66" s="3" t="str">
        <f t="shared" si="29"/>
        <v>Soccer in JCC Back Field 2 (COL1-USA2)</v>
      </c>
      <c r="D66" s="3" t="str">
        <f t="shared" si="29"/>
        <v/>
      </c>
      <c r="E66" s="3" t="str">
        <f t="shared" si="29"/>
        <v/>
      </c>
      <c r="F66" s="3" t="str">
        <f t="shared" si="29"/>
        <v>Volleyball in Hillel - Gym Volleyball (COL1-ARG2)</v>
      </c>
      <c r="G66" s="3" t="str">
        <f t="shared" si="29"/>
        <v/>
      </c>
      <c r="H66" s="3" t="str">
        <f t="shared" si="29"/>
        <v/>
      </c>
      <c r="I66" s="3" t="str">
        <f t="shared" si="29"/>
        <v/>
      </c>
      <c r="J66" s="3" t="str">
        <f t="shared" si="29"/>
        <v/>
      </c>
    </row>
    <row r="67" spans="1:10" x14ac:dyDescent="0.3">
      <c r="A67" s="113">
        <f t="shared" si="27"/>
        <v>0.81944444444444431</v>
      </c>
      <c r="B67" s="3" t="str">
        <f t="shared" si="29"/>
        <v>Volleyball in Hillel - Gym Volleyball (COL1-USA2)</v>
      </c>
      <c r="C67" s="3" t="str">
        <f t="shared" si="29"/>
        <v/>
      </c>
      <c r="D67" s="3" t="str">
        <f t="shared" si="29"/>
        <v>Flag Football in Hillel - Field 1 (COL1-ARG2)</v>
      </c>
      <c r="E67" s="3" t="str">
        <f t="shared" si="29"/>
        <v/>
      </c>
      <c r="F67" s="3" t="str">
        <f t="shared" si="29"/>
        <v/>
      </c>
      <c r="G67" s="3" t="str">
        <f t="shared" si="29"/>
        <v/>
      </c>
      <c r="H67" s="3" t="str">
        <f t="shared" si="29"/>
        <v/>
      </c>
      <c r="I67" s="3" t="str">
        <f t="shared" si="29"/>
        <v/>
      </c>
      <c r="J67" s="3" t="str">
        <f t="shared" si="29"/>
        <v/>
      </c>
    </row>
    <row r="68" spans="1:10" x14ac:dyDescent="0.3">
      <c r="A68" s="113">
        <f t="shared" si="27"/>
        <v>0.85416666666666652</v>
      </c>
      <c r="B68" s="3" t="str">
        <f t="shared" si="29"/>
        <v/>
      </c>
      <c r="C68" s="3" t="str">
        <f t="shared" si="29"/>
        <v/>
      </c>
      <c r="D68" s="3" t="str">
        <f t="shared" si="29"/>
        <v/>
      </c>
      <c r="E68" s="3" t="str">
        <f t="shared" si="29"/>
        <v/>
      </c>
      <c r="F68" s="3" t="str">
        <f t="shared" si="29"/>
        <v/>
      </c>
      <c r="G68" s="3" t="str">
        <f t="shared" si="29"/>
        <v/>
      </c>
      <c r="H68" s="3" t="str">
        <f t="shared" si="29"/>
        <v/>
      </c>
      <c r="I68" s="3" t="str">
        <f t="shared" si="29"/>
        <v/>
      </c>
      <c r="J68" s="3" t="str">
        <f t="shared" si="29"/>
        <v/>
      </c>
    </row>
    <row r="69" spans="1:10" x14ac:dyDescent="0.3">
      <c r="A69" s="113">
        <f t="shared" si="27"/>
        <v>0.88888888888888873</v>
      </c>
      <c r="B69" s="3" t="str">
        <f t="shared" si="29"/>
        <v/>
      </c>
      <c r="C69" s="3" t="str">
        <f t="shared" si="29"/>
        <v/>
      </c>
      <c r="D69" s="3" t="str">
        <f t="shared" si="29"/>
        <v/>
      </c>
      <c r="E69" s="3" t="str">
        <f t="shared" si="29"/>
        <v/>
      </c>
      <c r="F69" s="3" t="str">
        <f t="shared" si="29"/>
        <v/>
      </c>
      <c r="G69" s="3" t="str">
        <f t="shared" si="29"/>
        <v/>
      </c>
      <c r="H69" s="3" t="str">
        <f t="shared" si="29"/>
        <v/>
      </c>
      <c r="I69" s="3" t="str">
        <f t="shared" si="29"/>
        <v/>
      </c>
      <c r="J69" s="3" t="str">
        <f t="shared" si="29"/>
        <v/>
      </c>
    </row>
    <row r="70" spans="1:10" x14ac:dyDescent="0.3">
      <c r="A70" s="113">
        <f t="shared" si="27"/>
        <v>0.92361111111111094</v>
      </c>
      <c r="B70" s="3" t="str">
        <f t="shared" si="29"/>
        <v/>
      </c>
      <c r="C70" s="3" t="str">
        <f t="shared" si="29"/>
        <v/>
      </c>
      <c r="D70" s="3" t="str">
        <f t="shared" si="29"/>
        <v/>
      </c>
      <c r="E70" s="3" t="str">
        <f t="shared" si="29"/>
        <v/>
      </c>
      <c r="F70" s="3" t="str">
        <f t="shared" si="29"/>
        <v/>
      </c>
      <c r="G70" s="3" t="str">
        <f t="shared" si="29"/>
        <v/>
      </c>
      <c r="H70" s="3" t="str">
        <f t="shared" si="29"/>
        <v/>
      </c>
      <c r="I70" s="3" t="str">
        <f t="shared" si="29"/>
        <v/>
      </c>
      <c r="J70" s="3" t="str">
        <f t="shared" si="29"/>
        <v/>
      </c>
    </row>
    <row r="71" spans="1:10" x14ac:dyDescent="0.3">
      <c r="A71" s="113">
        <f t="shared" si="27"/>
        <v>0.95833333333333315</v>
      </c>
      <c r="B71" s="3" t="str">
        <f t="shared" si="29"/>
        <v/>
      </c>
      <c r="C71" s="3" t="str">
        <f t="shared" si="29"/>
        <v/>
      </c>
      <c r="D71" s="3" t="str">
        <f t="shared" si="29"/>
        <v/>
      </c>
      <c r="E71" s="3" t="str">
        <f t="shared" si="29"/>
        <v/>
      </c>
      <c r="F71" s="3" t="str">
        <f t="shared" si="29"/>
        <v/>
      </c>
      <c r="G71" s="3" t="str">
        <f t="shared" si="29"/>
        <v/>
      </c>
      <c r="H71" s="3" t="str">
        <f t="shared" si="29"/>
        <v/>
      </c>
      <c r="I71" s="3" t="str">
        <f t="shared" si="29"/>
        <v/>
      </c>
      <c r="J71" s="3" t="str">
        <f t="shared" si="29"/>
        <v/>
      </c>
    </row>
    <row r="72" spans="1:10" x14ac:dyDescent="0.3">
      <c r="A72" s="113">
        <f t="shared" si="27"/>
        <v>0.99305555555555536</v>
      </c>
      <c r="B72" s="3" t="str">
        <f t="shared" si="29"/>
        <v/>
      </c>
      <c r="C72" s="3" t="str">
        <f t="shared" si="29"/>
        <v/>
      </c>
      <c r="D72" s="3" t="str">
        <f t="shared" si="29"/>
        <v/>
      </c>
      <c r="E72" s="3" t="str">
        <f t="shared" si="29"/>
        <v/>
      </c>
      <c r="F72" s="3" t="str">
        <f t="shared" si="29"/>
        <v/>
      </c>
      <c r="G72" s="3" t="str">
        <f t="shared" si="29"/>
        <v/>
      </c>
      <c r="H72" s="3" t="str">
        <f t="shared" si="29"/>
        <v/>
      </c>
      <c r="I72" s="3" t="str">
        <f t="shared" si="29"/>
        <v/>
      </c>
      <c r="J72" s="3" t="str">
        <f t="shared" si="29"/>
        <v/>
      </c>
    </row>
    <row r="73" spans="1:10" x14ac:dyDescent="0.3">
      <c r="A73" s="11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3">
      <c r="A74" s="11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3">
      <c r="A75" s="112" t="s">
        <v>363</v>
      </c>
    </row>
    <row r="76" spans="1:10" x14ac:dyDescent="0.3">
      <c r="A76" s="113"/>
      <c r="B76" s="3" t="s">
        <v>338</v>
      </c>
      <c r="C76" s="3" t="str">
        <f>B1</f>
        <v>JR A M - COL 1</v>
      </c>
      <c r="D76" s="3"/>
      <c r="E76" s="3"/>
      <c r="F76" s="3"/>
      <c r="G76" s="3"/>
      <c r="H76" s="3"/>
      <c r="I76" s="3"/>
      <c r="J76" s="3"/>
    </row>
    <row r="77" spans="1:10" x14ac:dyDescent="0.3">
      <c r="A77" s="113"/>
      <c r="B77" s="49">
        <f t="shared" ref="B77:J77" si="30">B7</f>
        <v>43057</v>
      </c>
      <c r="C77" s="49">
        <f t="shared" si="30"/>
        <v>43058</v>
      </c>
      <c r="D77" s="49">
        <f t="shared" si="30"/>
        <v>43059</v>
      </c>
      <c r="E77" s="49">
        <f t="shared" si="30"/>
        <v>43060</v>
      </c>
      <c r="F77" s="49">
        <f t="shared" si="30"/>
        <v>43061</v>
      </c>
      <c r="G77" s="49">
        <f t="shared" si="30"/>
        <v>43062</v>
      </c>
      <c r="H77" s="49">
        <f t="shared" si="30"/>
        <v>43063</v>
      </c>
      <c r="I77" s="49">
        <f t="shared" si="30"/>
        <v>43064</v>
      </c>
      <c r="J77" s="49">
        <f t="shared" si="30"/>
        <v>43065</v>
      </c>
    </row>
    <row r="78" spans="1:10" x14ac:dyDescent="0.3">
      <c r="A78" s="113"/>
      <c r="B78" s="73" t="s">
        <v>339</v>
      </c>
      <c r="C78" s="73" t="s">
        <v>340</v>
      </c>
      <c r="D78" s="73" t="s">
        <v>341</v>
      </c>
      <c r="E78" s="73" t="s">
        <v>342</v>
      </c>
      <c r="F78" s="73" t="s">
        <v>343</v>
      </c>
      <c r="G78" s="73" t="s">
        <v>344</v>
      </c>
      <c r="H78" s="73" t="s">
        <v>345</v>
      </c>
      <c r="I78" s="73" t="s">
        <v>346</v>
      </c>
      <c r="J78" s="73" t="s">
        <v>347</v>
      </c>
    </row>
    <row r="79" spans="1:10" x14ac:dyDescent="0.3">
      <c r="A79" s="11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3">
      <c r="A80" s="113">
        <f t="shared" ref="A80:A99" si="31">A9</f>
        <v>0.33333333333333331</v>
      </c>
      <c r="B80" s="3" t="str">
        <f>IFERROR(VLOOKUP(TEXT(B$7+$A80,"MM/DD/YYYY HH:MM")&amp;"-&gt;"&amp;$B$1,'Schedule from TM'!$BG$11:$BI$5051,3,0),"")</f>
        <v/>
      </c>
      <c r="C80" s="3" t="str">
        <f>IFERROR(VLOOKUP(TEXT(C$7+$A80,"MM/DD/YYYY HH:MM")&amp;"-&gt;"&amp;$B$1,'Schedule from TM'!$BG$11:$BI$5051,3,0),"")</f>
        <v/>
      </c>
      <c r="D80" s="3" t="str">
        <f>IFERROR(VLOOKUP(TEXT(D$7+$A80,"MM/DD/YYYY HH:MM")&amp;"-&gt;"&amp;$B$1,'Schedule from TM'!$BG$11:$BI$5051,3,0),"")</f>
        <v/>
      </c>
      <c r="E80" s="3" t="str">
        <f>IFERROR(VLOOKUP(TEXT(E$7+$A80,"MM/DD/YYYY HH:MM")&amp;"-&gt;"&amp;$B$1,'Schedule from TM'!$BG$11:$BI$5051,3,0),"")</f>
        <v/>
      </c>
      <c r="F80" s="3" t="str">
        <f>IFERROR(VLOOKUP(TEXT(F$7+$A80,"MM/DD/YYYY HH:MM")&amp;"-&gt;"&amp;$B$1,'Schedule from TM'!$BG$11:$BI$5051,3,0),"")</f>
        <v/>
      </c>
      <c r="G80" s="3" t="str">
        <f>IFERROR(VLOOKUP(TEXT(G$7+$A80,"MM/DD/YYYY HH:MM")&amp;"-&gt;"&amp;$B$1,'Schedule from TM'!$BG$11:$BI$5051,3,0),"")</f>
        <v/>
      </c>
      <c r="H80" s="3" t="str">
        <f>IFERROR(VLOOKUP(TEXT(H$7+$A80,"MM/DD/YYYY HH:MM")&amp;"-&gt;"&amp;$B$1,'Schedule from TM'!$BG$11:$BI$5051,3,0),"")</f>
        <v/>
      </c>
      <c r="I80" s="3" t="str">
        <f>IFERROR(VLOOKUP(TEXT(I$7+$A80,"MM/DD/YYYY HH:MM")&amp;"-&gt;"&amp;$B$1,'Schedule from TM'!$BG$11:$BI$5051,3,0),"")</f>
        <v/>
      </c>
      <c r="J80" s="3" t="str">
        <f>IFERROR(VLOOKUP(TEXT(J$7+$A80,"MM/DD/YYYY HH:MM")&amp;"-&gt;"&amp;$B$1,'Schedule from TM'!$BG$11:$BI$5051,3,0),"")</f>
        <v/>
      </c>
    </row>
    <row r="81" spans="1:10" x14ac:dyDescent="0.3">
      <c r="A81" s="113">
        <f t="shared" si="31"/>
        <v>0.36805555555555552</v>
      </c>
      <c r="B81" s="3" t="str">
        <f>IFERROR(VLOOKUP(TEXT(B$7+$A81,"MM/DD/YYYY HH:MM")&amp;"-&gt;"&amp;$B$1,'Schedule from TM'!$BG$11:$BI$5051,3,0),"")</f>
        <v/>
      </c>
      <c r="C81" s="3" t="str">
        <f>IFERROR(VLOOKUP(TEXT(C$7+$A81,"MM/DD/YYYY HH:MM")&amp;"-&gt;"&amp;$B$1,'Schedule from TM'!$BG$11:$BI$5051,3,0),"")</f>
        <v/>
      </c>
      <c r="D81" s="3" t="str">
        <f>IFERROR(VLOOKUP(TEXT(D$7+$A81,"MM/DD/YYYY HH:MM")&amp;"-&gt;"&amp;$B$1,'Schedule from TM'!$BG$11:$BI$5051,3,0),"")</f>
        <v/>
      </c>
      <c r="E81" s="3" t="str">
        <f>IFERROR(VLOOKUP(TEXT(E$7+$A81,"MM/DD/YYYY HH:MM")&amp;"-&gt;"&amp;$B$1,'Schedule from TM'!$BG$11:$BI$5051,3,0),"")</f>
        <v/>
      </c>
      <c r="F81" s="3" t="str">
        <f>IFERROR(VLOOKUP(TEXT(F$7+$A81,"MM/DD/YYYY HH:MM")&amp;"-&gt;"&amp;$B$1,'Schedule from TM'!$BG$11:$BI$5051,3,0),"")</f>
        <v/>
      </c>
      <c r="G81" s="3" t="str">
        <f>IFERROR(VLOOKUP(TEXT(G$7+$A81,"MM/DD/YYYY HH:MM")&amp;"-&gt;"&amp;$B$1,'Schedule from TM'!$BG$11:$BI$5051,3,0),"")</f>
        <v/>
      </c>
      <c r="H81" s="3" t="str">
        <f>IFERROR(VLOOKUP(TEXT(H$7+$A81,"MM/DD/YYYY HH:MM")&amp;"-&gt;"&amp;$B$1,'Schedule from TM'!$BG$11:$BI$5051,3,0),"")</f>
        <v/>
      </c>
      <c r="I81" s="3" t="str">
        <f>IFERROR(VLOOKUP(TEXT(I$7+$A81,"MM/DD/YYYY HH:MM")&amp;"-&gt;"&amp;$B$1,'Schedule from TM'!$BG$11:$BI$5051,3,0),"")</f>
        <v/>
      </c>
      <c r="J81" s="3" t="str">
        <f>IFERROR(VLOOKUP(TEXT(J$7+$A81,"MM/DD/YYYY HH:MM")&amp;"-&gt;"&amp;$B$1,'Schedule from TM'!$BG$11:$BI$5051,3,0),"")</f>
        <v/>
      </c>
    </row>
    <row r="82" spans="1:10" x14ac:dyDescent="0.3">
      <c r="A82" s="113">
        <f t="shared" si="31"/>
        <v>0.40277777777777773</v>
      </c>
      <c r="B82" s="3" t="str">
        <f>IFERROR(VLOOKUP(TEXT(B$7+$A82,"MM/DD/YYYY HH:MM")&amp;"-&gt;"&amp;$B$1,'Schedule from TM'!$BG$11:$BI$5051,3,0),"")</f>
        <v/>
      </c>
      <c r="C82" s="3" t="str">
        <f>IFERROR(VLOOKUP(TEXT(C$7+$A82,"MM/DD/YYYY HH:MM")&amp;"-&gt;"&amp;$B$1,'Schedule from TM'!$BG$11:$BI$5051,3,0),"")</f>
        <v/>
      </c>
      <c r="D82" s="3" t="str">
        <f>IFERROR(VLOOKUP(TEXT(D$7+$A82,"MM/DD/YYYY HH:MM")&amp;"-&gt;"&amp;$B$1,'Schedule from TM'!$BG$11:$BI$5051,3,0),"")</f>
        <v/>
      </c>
      <c r="E82" s="3" t="str">
        <f>IFERROR(VLOOKUP(TEXT(E$7+$A82,"MM/DD/YYYY HH:MM")&amp;"-&gt;"&amp;$B$1,'Schedule from TM'!$BG$11:$BI$5051,3,0),"")</f>
        <v/>
      </c>
      <c r="F82" s="3" t="str">
        <f>IFERROR(VLOOKUP(TEXT(F$7+$A82,"MM/DD/YYYY HH:MM")&amp;"-&gt;"&amp;$B$1,'Schedule from TM'!$BG$11:$BI$5051,3,0),"")</f>
        <v/>
      </c>
      <c r="G82" s="3" t="str">
        <f>IFERROR(VLOOKUP(TEXT(G$7+$A82,"MM/DD/YYYY HH:MM")&amp;"-&gt;"&amp;$B$1,'Schedule from TM'!$BG$11:$BI$5051,3,0),"")</f>
        <v/>
      </c>
      <c r="H82" s="3" t="str">
        <f>IFERROR(VLOOKUP(TEXT(H$7+$A82,"MM/DD/YYYY HH:MM")&amp;"-&gt;"&amp;$B$1,'Schedule from TM'!$BG$11:$BI$5051,3,0),"")</f>
        <v/>
      </c>
      <c r="I82" s="3" t="str">
        <f>IFERROR(VLOOKUP(TEXT(I$7+$A82,"MM/DD/YYYY HH:MM")&amp;"-&gt;"&amp;$B$1,'Schedule from TM'!$BG$11:$BI$5051,3,0),"")</f>
        <v/>
      </c>
      <c r="J82" s="3" t="str">
        <f>IFERROR(VLOOKUP(TEXT(J$7+$A82,"MM/DD/YYYY HH:MM")&amp;"-&gt;"&amp;$B$1,'Schedule from TM'!$BG$11:$BI$5051,3,0),"")</f>
        <v>Basketball in Hillel - Gym Basketball (MEX2-COL1)</v>
      </c>
    </row>
    <row r="83" spans="1:10" x14ac:dyDescent="0.3">
      <c r="A83" s="113">
        <f t="shared" si="31"/>
        <v>0.43749999999999994</v>
      </c>
      <c r="B83" s="3" t="str">
        <f>IFERROR(VLOOKUP(TEXT(B$7+$A83,"MM/DD/YYYY HH:MM")&amp;"-&gt;"&amp;$B$1,'Schedule from TM'!$BG$11:$BI$5051,3,0),"")</f>
        <v/>
      </c>
      <c r="C83" s="3" t="str">
        <f>IFERROR(VLOOKUP(TEXT(C$7+$A83,"MM/DD/YYYY HH:MM")&amp;"-&gt;"&amp;$B$1,'Schedule from TM'!$BG$11:$BI$5051,3,0),"")</f>
        <v/>
      </c>
      <c r="D83" s="3" t="str">
        <f>IFERROR(VLOOKUP(TEXT(D$7+$A83,"MM/DD/YYYY HH:MM")&amp;"-&gt;"&amp;$B$1,'Schedule from TM'!$BG$11:$BI$5051,3,0),"")</f>
        <v/>
      </c>
      <c r="E83" s="3" t="str">
        <f>IFERROR(VLOOKUP(TEXT(E$7+$A83,"MM/DD/YYYY HH:MM")&amp;"-&gt;"&amp;$B$1,'Schedule from TM'!$BG$11:$BI$5051,3,0),"")</f>
        <v/>
      </c>
      <c r="F83" s="3" t="str">
        <f>IFERROR(VLOOKUP(TEXT(F$7+$A83,"MM/DD/YYYY HH:MM")&amp;"-&gt;"&amp;$B$1,'Schedule from TM'!$BG$11:$BI$5051,3,0),"")</f>
        <v/>
      </c>
      <c r="G83" s="3" t="str">
        <f>IFERROR(VLOOKUP(TEXT(G$7+$A83,"MM/DD/YYYY HH:MM")&amp;"-&gt;"&amp;$B$1,'Schedule from TM'!$BG$11:$BI$5051,3,0),"")</f>
        <v/>
      </c>
      <c r="H83" s="3" t="str">
        <f>IFERROR(VLOOKUP(TEXT(H$7+$A83,"MM/DD/YYYY HH:MM")&amp;"-&gt;"&amp;$B$1,'Schedule from TM'!$BG$11:$BI$5051,3,0),"")</f>
        <v/>
      </c>
      <c r="I83" s="3" t="str">
        <f>IFERROR(VLOOKUP(TEXT(I$7+$A83,"MM/DD/YYYY HH:MM")&amp;"-&gt;"&amp;$B$1,'Schedule from TM'!$BG$11:$BI$5051,3,0),"")</f>
        <v/>
      </c>
      <c r="J83" s="3" t="str">
        <f>IFERROR(VLOOKUP(TEXT(J$7+$A83,"MM/DD/YYYY HH:MM")&amp;"-&gt;"&amp;$B$1,'Schedule from TM'!$BG$11:$BI$5051,3,0),"")</f>
        <v>Soccer in JCC Back Field 1 (ARG1-COL1)</v>
      </c>
    </row>
    <row r="84" spans="1:10" x14ac:dyDescent="0.3">
      <c r="A84" s="113">
        <f t="shared" si="31"/>
        <v>0.47222222222222215</v>
      </c>
      <c r="B84" s="3" t="str">
        <f>IFERROR(VLOOKUP(TEXT(B$7+$A84,"MM/DD/YYYY HH:MM")&amp;"-&gt;"&amp;$B$1,'Schedule from TM'!$BG$11:$BI$5051,3,0),"")</f>
        <v/>
      </c>
      <c r="C84" s="3" t="str">
        <f>IFERROR(VLOOKUP(TEXT(C$7+$A84,"MM/DD/YYYY HH:MM")&amp;"-&gt;"&amp;$B$1,'Schedule from TM'!$BG$11:$BI$5051,3,0),"")</f>
        <v/>
      </c>
      <c r="D84" s="3" t="str">
        <f>IFERROR(VLOOKUP(TEXT(D$7+$A84,"MM/DD/YYYY HH:MM")&amp;"-&gt;"&amp;$B$1,'Schedule from TM'!$BG$11:$BI$5051,3,0),"")</f>
        <v/>
      </c>
      <c r="E84" s="3" t="str">
        <f>IFERROR(VLOOKUP(TEXT(E$7+$A84,"MM/DD/YYYY HH:MM")&amp;"-&gt;"&amp;$B$1,'Schedule from TM'!$BG$11:$BI$5051,3,0),"")</f>
        <v/>
      </c>
      <c r="F84" s="3" t="str">
        <f>IFERROR(VLOOKUP(TEXT(F$7+$A84,"MM/DD/YYYY HH:MM")&amp;"-&gt;"&amp;$B$1,'Schedule from TM'!$BG$11:$BI$5051,3,0),"")</f>
        <v/>
      </c>
      <c r="G84" s="3" t="str">
        <f>IFERROR(VLOOKUP(TEXT(G$7+$A84,"MM/DD/YYYY HH:MM")&amp;"-&gt;"&amp;$B$1,'Schedule from TM'!$BG$11:$BI$5051,3,0),"")</f>
        <v/>
      </c>
      <c r="H84" s="3" t="str">
        <f>IFERROR(VLOOKUP(TEXT(H$7+$A84,"MM/DD/YYYY HH:MM")&amp;"-&gt;"&amp;$B$1,'Schedule from TM'!$BG$11:$BI$5051,3,0),"")</f>
        <v/>
      </c>
      <c r="I84" s="3" t="str">
        <f>IFERROR(VLOOKUP(TEXT(I$7+$A84,"MM/DD/YYYY HH:MM")&amp;"-&gt;"&amp;$B$1,'Schedule from TM'!$BG$11:$BI$5051,3,0),"")</f>
        <v/>
      </c>
      <c r="J84" s="3" t="str">
        <f>IFERROR(VLOOKUP(TEXT(J$7+$A84,"MM/DD/YYYY HH:MM")&amp;"-&gt;"&amp;$B$1,'Schedule from TM'!$BG$11:$BI$5051,3,0),"")</f>
        <v/>
      </c>
    </row>
    <row r="85" spans="1:10" x14ac:dyDescent="0.3">
      <c r="A85" s="113">
        <f t="shared" si="31"/>
        <v>0.50694444444444442</v>
      </c>
      <c r="B85" s="3" t="str">
        <f>IFERROR(VLOOKUP(TEXT(B$7+$A85,"MM/DD/YYYY HH:MM")&amp;"-&gt;"&amp;$B$1,'Schedule from TM'!$BG$11:$BI$5051,3,0),"")</f>
        <v/>
      </c>
      <c r="C85" s="3" t="str">
        <f>IFERROR(VLOOKUP(TEXT(C$7+$A85,"MM/DD/YYYY HH:MM")&amp;"-&gt;"&amp;$B$1,'Schedule from TM'!$BG$11:$BI$5051,3,0),"")</f>
        <v/>
      </c>
      <c r="D85" s="3" t="str">
        <f>IFERROR(VLOOKUP(TEXT(D$7+$A85,"MM/DD/YYYY HH:MM")&amp;"-&gt;"&amp;$B$1,'Schedule from TM'!$BG$11:$BI$5051,3,0),"")</f>
        <v/>
      </c>
      <c r="E85" s="3" t="str">
        <f>IFERROR(VLOOKUP(TEXT(E$7+$A85,"MM/DD/YYYY HH:MM")&amp;"-&gt;"&amp;$B$1,'Schedule from TM'!$BG$11:$BI$5051,3,0),"")</f>
        <v/>
      </c>
      <c r="F85" s="3" t="str">
        <f>IFERROR(VLOOKUP(TEXT(F$7+$A85,"MM/DD/YYYY HH:MM")&amp;"-&gt;"&amp;$B$1,'Schedule from TM'!$BG$11:$BI$5051,3,0),"")</f>
        <v/>
      </c>
      <c r="G85" s="3" t="str">
        <f>IFERROR(VLOOKUP(TEXT(G$7+$A85,"MM/DD/YYYY HH:MM")&amp;"-&gt;"&amp;$B$1,'Schedule from TM'!$BG$11:$BI$5051,3,0),"")</f>
        <v/>
      </c>
      <c r="H85" s="3" t="str">
        <f>IFERROR(VLOOKUP(TEXT(H$7+$A85,"MM/DD/YYYY HH:MM")&amp;"-&gt;"&amp;$B$1,'Schedule from TM'!$BG$11:$BI$5051,3,0),"")</f>
        <v/>
      </c>
      <c r="I85" s="3" t="str">
        <f>IFERROR(VLOOKUP(TEXT(I$7+$A85,"MM/DD/YYYY HH:MM")&amp;"-&gt;"&amp;$B$1,'Schedule from TM'!$BG$11:$BI$5051,3,0),"")</f>
        <v/>
      </c>
      <c r="J85" s="3" t="str">
        <f>IFERROR(VLOOKUP(TEXT(J$7+$A85,"MM/DD/YYYY HH:MM")&amp;"-&gt;"&amp;$B$1,'Schedule from TM'!$BG$11:$BI$5051,3,0),"")</f>
        <v/>
      </c>
    </row>
    <row r="86" spans="1:10" x14ac:dyDescent="0.3">
      <c r="A86" s="113">
        <f t="shared" si="31"/>
        <v>0.54166666666666663</v>
      </c>
      <c r="B86" s="3" t="str">
        <f>IFERROR(VLOOKUP(TEXT(B$7+$A86,"MM/DD/YYYY HH:MM")&amp;"-&gt;"&amp;$B$1,'Schedule from TM'!$BG$11:$BI$5051,3,0),"")</f>
        <v/>
      </c>
      <c r="C86" s="3" t="str">
        <f>IFERROR(VLOOKUP(TEXT(C$7+$A86,"MM/DD/YYYY HH:MM")&amp;"-&gt;"&amp;$B$1,'Schedule from TM'!$BG$11:$BI$5051,3,0),"")</f>
        <v/>
      </c>
      <c r="D86" s="3" t="str">
        <f>IFERROR(VLOOKUP(TEXT(D$7+$A86,"MM/DD/YYYY HH:MM")&amp;"-&gt;"&amp;$B$1,'Schedule from TM'!$BG$11:$BI$5051,3,0),"")</f>
        <v/>
      </c>
      <c r="E86" s="3" t="str">
        <f>IFERROR(VLOOKUP(TEXT(E$7+$A86,"MM/DD/YYYY HH:MM")&amp;"-&gt;"&amp;$B$1,'Schedule from TM'!$BG$11:$BI$5051,3,0),"")</f>
        <v/>
      </c>
      <c r="F86" s="3" t="str">
        <f>IFERROR(VLOOKUP(TEXT(F$7+$A86,"MM/DD/YYYY HH:MM")&amp;"-&gt;"&amp;$B$1,'Schedule from TM'!$BG$11:$BI$5051,3,0),"")</f>
        <v/>
      </c>
      <c r="G86" s="3" t="str">
        <f>IFERROR(VLOOKUP(TEXT(G$7+$A86,"MM/DD/YYYY HH:MM")&amp;"-&gt;"&amp;$B$1,'Schedule from TM'!$BG$11:$BI$5051,3,0),"")</f>
        <v/>
      </c>
      <c r="H86" s="3" t="str">
        <f>IFERROR(VLOOKUP(TEXT(H$7+$A86,"MM/DD/YYYY HH:MM")&amp;"-&gt;"&amp;$B$1,'Schedule from TM'!$BG$11:$BI$5051,3,0),"")</f>
        <v/>
      </c>
      <c r="I86" s="3" t="str">
        <f>IFERROR(VLOOKUP(TEXT(I$7+$A86,"MM/DD/YYYY HH:MM")&amp;"-&gt;"&amp;$B$1,'Schedule from TM'!$BG$11:$BI$5051,3,0),"")</f>
        <v/>
      </c>
      <c r="J86" s="3" t="str">
        <f>IFERROR(VLOOKUP(TEXT(J$7+$A86,"MM/DD/YYYY HH:MM")&amp;"-&gt;"&amp;$B$1,'Schedule from TM'!$BG$11:$BI$5051,3,0),"")</f>
        <v/>
      </c>
    </row>
    <row r="87" spans="1:10" x14ac:dyDescent="0.3">
      <c r="A87" s="113">
        <f t="shared" si="31"/>
        <v>0.57638888888888884</v>
      </c>
      <c r="B87" s="3" t="str">
        <f>IFERROR(VLOOKUP(TEXT(B$7+$A87,"MM/DD/YYYY HH:MM")&amp;"-&gt;"&amp;$B$1,'Schedule from TM'!$BG$11:$BI$5051,3,0),"")</f>
        <v/>
      </c>
      <c r="C87" s="3" t="str">
        <f>IFERROR(VLOOKUP(TEXT(C$7+$A87,"MM/DD/YYYY HH:MM")&amp;"-&gt;"&amp;$B$1,'Schedule from TM'!$BG$11:$BI$5051,3,0),"")</f>
        <v/>
      </c>
      <c r="D87" s="3" t="str">
        <f>IFERROR(VLOOKUP(TEXT(D$7+$A87,"MM/DD/YYYY HH:MM")&amp;"-&gt;"&amp;$B$1,'Schedule from TM'!$BG$11:$BI$5051,3,0),"")</f>
        <v/>
      </c>
      <c r="E87" s="3" t="str">
        <f>IFERROR(VLOOKUP(TEXT(E$7+$A87,"MM/DD/YYYY HH:MM")&amp;"-&gt;"&amp;$B$1,'Schedule from TM'!$BG$11:$BI$5051,3,0),"")</f>
        <v/>
      </c>
      <c r="F87" s="3" t="str">
        <f>IFERROR(VLOOKUP(TEXT(F$7+$A87,"MM/DD/YYYY HH:MM")&amp;"-&gt;"&amp;$B$1,'Schedule from TM'!$BG$11:$BI$5051,3,0),"")</f>
        <v/>
      </c>
      <c r="G87" s="3" t="str">
        <f>IFERROR(VLOOKUP(TEXT(G$7+$A87,"MM/DD/YYYY HH:MM")&amp;"-&gt;"&amp;$B$1,'Schedule from TM'!$BG$11:$BI$5051,3,0),"")</f>
        <v/>
      </c>
      <c r="H87" s="3" t="str">
        <f>IFERROR(VLOOKUP(TEXT(H$7+$A87,"MM/DD/YYYY HH:MM")&amp;"-&gt;"&amp;$B$1,'Schedule from TM'!$BG$11:$BI$5051,3,0),"")</f>
        <v/>
      </c>
      <c r="I87" s="3" t="str">
        <f>IFERROR(VLOOKUP(TEXT(I$7+$A87,"MM/DD/YYYY HH:MM")&amp;"-&gt;"&amp;$B$1,'Schedule from TM'!$BG$11:$BI$5051,3,0),"")</f>
        <v/>
      </c>
      <c r="J87" s="3" t="str">
        <f>IFERROR(VLOOKUP(TEXT(J$7+$A87,"MM/DD/YYYY HH:MM")&amp;"-&gt;"&amp;$B$1,'Schedule from TM'!$BG$11:$BI$5051,3,0),"")</f>
        <v/>
      </c>
    </row>
    <row r="88" spans="1:10" x14ac:dyDescent="0.3">
      <c r="A88" s="113">
        <f t="shared" si="31"/>
        <v>0.61111111111111105</v>
      </c>
      <c r="B88" s="3" t="str">
        <f>IFERROR(VLOOKUP(TEXT(B$7+$A88,"MM/DD/YYYY HH:MM")&amp;"-&gt;"&amp;$B$1,'Schedule from TM'!$BG$11:$BI$5051,3,0),"")</f>
        <v/>
      </c>
      <c r="C88" s="3" t="str">
        <f>IFERROR(VLOOKUP(TEXT(C$7+$A88,"MM/DD/YYYY HH:MM")&amp;"-&gt;"&amp;$B$1,'Schedule from TM'!$BG$11:$BI$5051,3,0),"")</f>
        <v/>
      </c>
      <c r="D88" s="3" t="str">
        <f>IFERROR(VLOOKUP(TEXT(D$7+$A88,"MM/DD/YYYY HH:MM")&amp;"-&gt;"&amp;$B$1,'Schedule from TM'!$BG$11:$BI$5051,3,0),"")</f>
        <v/>
      </c>
      <c r="E88" s="3" t="str">
        <f>IFERROR(VLOOKUP(TEXT(E$7+$A88,"MM/DD/YYYY HH:MM")&amp;"-&gt;"&amp;$B$1,'Schedule from TM'!$BG$11:$BI$5051,3,0),"")</f>
        <v/>
      </c>
      <c r="F88" s="3" t="str">
        <f>IFERROR(VLOOKUP(TEXT(F$7+$A88,"MM/DD/YYYY HH:MM")&amp;"-&gt;"&amp;$B$1,'Schedule from TM'!$BG$11:$BI$5051,3,0),"")</f>
        <v/>
      </c>
      <c r="G88" s="3" t="str">
        <f>IFERROR(VLOOKUP(TEXT(G$7+$A88,"MM/DD/YYYY HH:MM")&amp;"-&gt;"&amp;$B$1,'Schedule from TM'!$BG$11:$BI$5051,3,0),"")</f>
        <v/>
      </c>
      <c r="H88" s="3" t="str">
        <f>IFERROR(VLOOKUP(TEXT(H$7+$A88,"MM/DD/YYYY HH:MM")&amp;"-&gt;"&amp;$B$1,'Schedule from TM'!$BG$11:$BI$5051,3,0),"")</f>
        <v/>
      </c>
      <c r="I88" s="3" t="str">
        <f>IFERROR(VLOOKUP(TEXT(I$7+$A88,"MM/DD/YYYY HH:MM")&amp;"-&gt;"&amp;$B$1,'Schedule from TM'!$BG$11:$BI$5051,3,0),"")</f>
        <v/>
      </c>
      <c r="J88" s="3" t="str">
        <f>IFERROR(VLOOKUP(TEXT(J$7+$A88,"MM/DD/YYYY HH:MM")&amp;"-&gt;"&amp;$B$1,'Schedule from TM'!$BG$11:$BI$5051,3,0),"")</f>
        <v/>
      </c>
    </row>
    <row r="89" spans="1:10" x14ac:dyDescent="0.3">
      <c r="A89" s="113">
        <f t="shared" si="31"/>
        <v>0.64583333333333326</v>
      </c>
      <c r="B89" s="3" t="str">
        <f>IFERROR(VLOOKUP(TEXT(B$7+$A89,"MM/DD/YYYY HH:MM")&amp;"-&gt;"&amp;$B$1,'Schedule from TM'!$BG$11:$BI$5051,3,0),"")</f>
        <v/>
      </c>
      <c r="C89" s="3" t="str">
        <f>IFERROR(VLOOKUP(TEXT(C$7+$A89,"MM/DD/YYYY HH:MM")&amp;"-&gt;"&amp;$B$1,'Schedule from TM'!$BG$11:$BI$5051,3,0),"")</f>
        <v/>
      </c>
      <c r="D89" s="3" t="str">
        <f>IFERROR(VLOOKUP(TEXT(D$7+$A89,"MM/DD/YYYY HH:MM")&amp;"-&gt;"&amp;$B$1,'Schedule from TM'!$BG$11:$BI$5051,3,0),"")</f>
        <v/>
      </c>
      <c r="E89" s="3" t="str">
        <f>IFERROR(VLOOKUP(TEXT(E$7+$A89,"MM/DD/YYYY HH:MM")&amp;"-&gt;"&amp;$B$1,'Schedule from TM'!$BG$11:$BI$5051,3,0),"")</f>
        <v/>
      </c>
      <c r="F89" s="3" t="str">
        <f>IFERROR(VLOOKUP(TEXT(F$7+$A89,"MM/DD/YYYY HH:MM")&amp;"-&gt;"&amp;$B$1,'Schedule from TM'!$BG$11:$BI$5051,3,0),"")</f>
        <v/>
      </c>
      <c r="G89" s="3" t="str">
        <f>IFERROR(VLOOKUP(TEXT(G$7+$A89,"MM/DD/YYYY HH:MM")&amp;"-&gt;"&amp;$B$1,'Schedule from TM'!$BG$11:$BI$5051,3,0),"")</f>
        <v/>
      </c>
      <c r="H89" s="3" t="str">
        <f>IFERROR(VLOOKUP(TEXT(H$7+$A89,"MM/DD/YYYY HH:MM")&amp;"-&gt;"&amp;$B$1,'Schedule from TM'!$BG$11:$BI$5051,3,0),"")</f>
        <v/>
      </c>
      <c r="I89" s="3" t="str">
        <f>IFERROR(VLOOKUP(TEXT(I$7+$A89,"MM/DD/YYYY HH:MM")&amp;"-&gt;"&amp;$B$1,'Schedule from TM'!$BG$11:$BI$5051,3,0),"")</f>
        <v/>
      </c>
      <c r="J89" s="3" t="str">
        <f>IFERROR(VLOOKUP(TEXT(J$7+$A89,"MM/DD/YYYY HH:MM")&amp;"-&gt;"&amp;$B$1,'Schedule from TM'!$BG$11:$BI$5051,3,0),"")</f>
        <v/>
      </c>
    </row>
    <row r="90" spans="1:10" x14ac:dyDescent="0.3">
      <c r="A90" s="113">
        <f t="shared" si="31"/>
        <v>0.68055555555555547</v>
      </c>
      <c r="B90" s="3" t="str">
        <f>IFERROR(VLOOKUP(TEXT(B$7+$A90,"MM/DD/YYYY HH:MM")&amp;"-&gt;"&amp;$B$1,'Schedule from TM'!$BG$11:$BI$5051,3,0),"")</f>
        <v/>
      </c>
      <c r="C90" s="3" t="str">
        <f>IFERROR(VLOOKUP(TEXT(C$7+$A90,"MM/DD/YYYY HH:MM")&amp;"-&gt;"&amp;$B$1,'Schedule from TM'!$BG$11:$BI$5051,3,0),"")</f>
        <v/>
      </c>
      <c r="D90" s="3" t="str">
        <f>IFERROR(VLOOKUP(TEXT(D$7+$A90,"MM/DD/YYYY HH:MM")&amp;"-&gt;"&amp;$B$1,'Schedule from TM'!$BG$11:$BI$5051,3,0),"")</f>
        <v/>
      </c>
      <c r="E90" s="3" t="str">
        <f>IFERROR(VLOOKUP(TEXT(E$7+$A90,"MM/DD/YYYY HH:MM")&amp;"-&gt;"&amp;$B$1,'Schedule from TM'!$BG$11:$BI$5051,3,0),"")</f>
        <v/>
      </c>
      <c r="F90" s="3" t="str">
        <f>IFERROR(VLOOKUP(TEXT(F$7+$A90,"MM/DD/YYYY HH:MM")&amp;"-&gt;"&amp;$B$1,'Schedule from TM'!$BG$11:$BI$5051,3,0),"")</f>
        <v/>
      </c>
      <c r="G90" s="3" t="str">
        <f>IFERROR(VLOOKUP(TEXT(G$7+$A90,"MM/DD/YYYY HH:MM")&amp;"-&gt;"&amp;$B$1,'Schedule from TM'!$BG$11:$BI$5051,3,0),"")</f>
        <v/>
      </c>
      <c r="H90" s="3" t="str">
        <f>IFERROR(VLOOKUP(TEXT(H$7+$A90,"MM/DD/YYYY HH:MM")&amp;"-&gt;"&amp;$B$1,'Schedule from TM'!$BG$11:$BI$5051,3,0),"")</f>
        <v/>
      </c>
      <c r="I90" s="3" t="str">
        <f>IFERROR(VLOOKUP(TEXT(I$7+$A90,"MM/DD/YYYY HH:MM")&amp;"-&gt;"&amp;$B$1,'Schedule from TM'!$BG$11:$BI$5051,3,0),"")</f>
        <v/>
      </c>
      <c r="J90" s="3" t="str">
        <f>IFERROR(VLOOKUP(TEXT(J$7+$A90,"MM/DD/YYYY HH:MM")&amp;"-&gt;"&amp;$B$1,'Schedule from TM'!$BG$11:$BI$5051,3,0),"")</f>
        <v/>
      </c>
    </row>
    <row r="91" spans="1:10" x14ac:dyDescent="0.3">
      <c r="A91" s="113">
        <f t="shared" si="31"/>
        <v>0.71527777777777768</v>
      </c>
      <c r="B91" s="3" t="str">
        <f>IFERROR(VLOOKUP(TEXT(B$7+$A91,"MM/DD/YYYY HH:MM")&amp;"-&gt;"&amp;$B$1,'Schedule from TM'!$BG$11:$BI$5051,3,0),"")</f>
        <v/>
      </c>
      <c r="C91" s="3" t="str">
        <f>IFERROR(VLOOKUP(TEXT(C$7+$A91,"MM/DD/YYYY HH:MM")&amp;"-&gt;"&amp;$B$1,'Schedule from TM'!$BG$11:$BI$5051,3,0),"")</f>
        <v>Flag Football in Hillel - Field 1 (MEX1-COL1)</v>
      </c>
      <c r="D91" s="3" t="str">
        <f>IFERROR(VLOOKUP(TEXT(D$7+$A91,"MM/DD/YYYY HH:MM")&amp;"-&gt;"&amp;$B$1,'Schedule from TM'!$BG$11:$BI$5051,3,0),"")</f>
        <v/>
      </c>
      <c r="E91" s="3" t="str">
        <f>IFERROR(VLOOKUP(TEXT(E$7+$A91,"MM/DD/YYYY HH:MM")&amp;"-&gt;"&amp;$B$1,'Schedule from TM'!$BG$11:$BI$5051,3,0),"")</f>
        <v/>
      </c>
      <c r="F91" s="3" t="str">
        <f>IFERROR(VLOOKUP(TEXT(F$7+$A91,"MM/DD/YYYY HH:MM")&amp;"-&gt;"&amp;$B$1,'Schedule from TM'!$BG$11:$BI$5051,3,0),"")</f>
        <v>Basketball in JCC Gym North (ARG1-COL1)</v>
      </c>
      <c r="G91" s="3" t="str">
        <f>IFERROR(VLOOKUP(TEXT(G$7+$A91,"MM/DD/YYYY HH:MM")&amp;"-&gt;"&amp;$B$1,'Schedule from TM'!$BG$11:$BI$5051,3,0),"")</f>
        <v/>
      </c>
      <c r="H91" s="3" t="str">
        <f>IFERROR(VLOOKUP(TEXT(H$7+$A91,"MM/DD/YYYY HH:MM")&amp;"-&gt;"&amp;$B$1,'Schedule from TM'!$BG$11:$BI$5051,3,0),"")</f>
        <v/>
      </c>
      <c r="I91" s="3" t="str">
        <f>IFERROR(VLOOKUP(TEXT(I$7+$A91,"MM/DD/YYYY HH:MM")&amp;"-&gt;"&amp;$B$1,'Schedule from TM'!$BG$11:$BI$5051,3,0),"")</f>
        <v/>
      </c>
      <c r="J91" s="3" t="str">
        <f>IFERROR(VLOOKUP(TEXT(J$7+$A91,"MM/DD/YYYY HH:MM")&amp;"-&gt;"&amp;$B$1,'Schedule from TM'!$BG$11:$BI$5051,3,0),"")</f>
        <v/>
      </c>
    </row>
    <row r="92" spans="1:10" x14ac:dyDescent="0.3">
      <c r="A92" s="113">
        <f t="shared" si="31"/>
        <v>0.74999999999999989</v>
      </c>
      <c r="B92" s="3" t="str">
        <f>IFERROR(VLOOKUP(TEXT(B$7+$A92,"MM/DD/YYYY HH:MM")&amp;"-&gt;"&amp;$B$1,'Schedule from TM'!$BG$11:$BI$5051,3,0),"")</f>
        <v/>
      </c>
      <c r="C92" s="3" t="str">
        <f>IFERROR(VLOOKUP(TEXT(C$7+$A92,"MM/DD/YYYY HH:MM")&amp;"-&gt;"&amp;$B$1,'Schedule from TM'!$BG$11:$BI$5051,3,0),"")</f>
        <v/>
      </c>
      <c r="D92" s="3" t="str">
        <f>IFERROR(VLOOKUP(TEXT(D$7+$A92,"MM/DD/YYYY HH:MM")&amp;"-&gt;"&amp;$B$1,'Schedule from TM'!$BG$11:$BI$5051,3,0),"")</f>
        <v/>
      </c>
      <c r="E92" s="3" t="str">
        <f>IFERROR(VLOOKUP(TEXT(E$7+$A92,"MM/DD/YYYY HH:MM")&amp;"-&gt;"&amp;$B$1,'Schedule from TM'!$BG$11:$BI$5051,3,0),"")</f>
        <v>Soccer in JCC Back Field 3 (MEX1-COL1)</v>
      </c>
      <c r="F92" s="3" t="str">
        <f>IFERROR(VLOOKUP(TEXT(F$7+$A92,"MM/DD/YYYY HH:MM")&amp;"-&gt;"&amp;$B$1,'Schedule from TM'!$BG$11:$BI$5051,3,0),"")</f>
        <v/>
      </c>
      <c r="G92" s="3" t="str">
        <f>IFERROR(VLOOKUP(TEXT(G$7+$A92,"MM/DD/YYYY HH:MM")&amp;"-&gt;"&amp;$B$1,'Schedule from TM'!$BG$11:$BI$5051,3,0),"")</f>
        <v/>
      </c>
      <c r="H92" s="3" t="str">
        <f>IFERROR(VLOOKUP(TEXT(H$7+$A92,"MM/DD/YYYY HH:MM")&amp;"-&gt;"&amp;$B$1,'Schedule from TM'!$BG$11:$BI$5051,3,0),"")</f>
        <v/>
      </c>
      <c r="I92" s="3" t="str">
        <f>IFERROR(VLOOKUP(TEXT(I$7+$A92,"MM/DD/YYYY HH:MM")&amp;"-&gt;"&amp;$B$1,'Schedule from TM'!$BG$11:$BI$5051,3,0),"")</f>
        <v/>
      </c>
      <c r="J92" s="3" t="str">
        <f>IFERROR(VLOOKUP(TEXT(J$7+$A92,"MM/DD/YYYY HH:MM")&amp;"-&gt;"&amp;$B$1,'Schedule from TM'!$BG$11:$BI$5051,3,0),"")</f>
        <v/>
      </c>
    </row>
    <row r="93" spans="1:10" x14ac:dyDescent="0.3">
      <c r="A93" s="113">
        <f t="shared" si="31"/>
        <v>0.7847222222222221</v>
      </c>
      <c r="B93" s="3" t="str">
        <f>IFERROR(VLOOKUP(TEXT(B$7+$A93,"MM/DD/YYYY HH:MM")&amp;"-&gt;"&amp;$B$1,'Schedule from TM'!$BG$11:$BI$5051,3,0),"")</f>
        <v/>
      </c>
      <c r="C93" s="3" t="str">
        <f>IFERROR(VLOOKUP(TEXT(C$7+$A93,"MM/DD/YYYY HH:MM")&amp;"-&gt;"&amp;$B$1,'Schedule from TM'!$BG$11:$BI$5051,3,0),"")</f>
        <v/>
      </c>
      <c r="D93" s="3" t="str">
        <f>IFERROR(VLOOKUP(TEXT(D$7+$A93,"MM/DD/YYYY HH:MM")&amp;"-&gt;"&amp;$B$1,'Schedule from TM'!$BG$11:$BI$5051,3,0),"")</f>
        <v/>
      </c>
      <c r="E93" s="3" t="str">
        <f>IFERROR(VLOOKUP(TEXT(E$7+$A93,"MM/DD/YYYY HH:MM")&amp;"-&gt;"&amp;$B$1,'Schedule from TM'!$BG$11:$BI$5051,3,0),"")</f>
        <v/>
      </c>
      <c r="F93" s="3" t="str">
        <f>IFERROR(VLOOKUP(TEXT(F$7+$A93,"MM/DD/YYYY HH:MM")&amp;"-&gt;"&amp;$B$1,'Schedule from TM'!$BG$11:$BI$5051,3,0),"")</f>
        <v/>
      </c>
      <c r="G93" s="3" t="str">
        <f>IFERROR(VLOOKUP(TEXT(G$7+$A93,"MM/DD/YYYY HH:MM")&amp;"-&gt;"&amp;$B$1,'Schedule from TM'!$BG$11:$BI$5051,3,0),"")</f>
        <v/>
      </c>
      <c r="H93" s="3" t="str">
        <f>IFERROR(VLOOKUP(TEXT(H$7+$A93,"MM/DD/YYYY HH:MM")&amp;"-&gt;"&amp;$B$1,'Schedule from TM'!$BG$11:$BI$5051,3,0),"")</f>
        <v/>
      </c>
      <c r="I93" s="3" t="str">
        <f>IFERROR(VLOOKUP(TEXT(I$7+$A93,"MM/DD/YYYY HH:MM")&amp;"-&gt;"&amp;$B$1,'Schedule from TM'!$BG$11:$BI$5051,3,0),"")</f>
        <v/>
      </c>
      <c r="J93" s="3" t="str">
        <f>IFERROR(VLOOKUP(TEXT(J$7+$A93,"MM/DD/YYYY HH:MM")&amp;"-&gt;"&amp;$B$1,'Schedule from TM'!$BG$11:$BI$5051,3,0),"")</f>
        <v/>
      </c>
    </row>
    <row r="94" spans="1:10" x14ac:dyDescent="0.3">
      <c r="A94" s="113">
        <f t="shared" si="31"/>
        <v>0.81944444444444431</v>
      </c>
      <c r="B94" s="3" t="str">
        <f>IFERROR(VLOOKUP(TEXT(B$7+$A94,"MM/DD/YYYY HH:MM")&amp;"-&gt;"&amp;$B$1,'Schedule from TM'!$BG$11:$BI$5051,3,0),"")</f>
        <v/>
      </c>
      <c r="C94" s="3" t="str">
        <f>IFERROR(VLOOKUP(TEXT(C$7+$A94,"MM/DD/YYYY HH:MM")&amp;"-&gt;"&amp;$B$1,'Schedule from TM'!$BG$11:$BI$5051,3,0),"")</f>
        <v/>
      </c>
      <c r="D94" s="3" t="str">
        <f>IFERROR(VLOOKUP(TEXT(D$7+$A94,"MM/DD/YYYY HH:MM")&amp;"-&gt;"&amp;$B$1,'Schedule from TM'!$BG$11:$BI$5051,3,0),"")</f>
        <v/>
      </c>
      <c r="E94" s="3" t="str">
        <f>IFERROR(VLOOKUP(TEXT(E$7+$A94,"MM/DD/YYYY HH:MM")&amp;"-&gt;"&amp;$B$1,'Schedule from TM'!$BG$11:$BI$5051,3,0),"")</f>
        <v>Volleyball in Hillel - Gym Volleyball (ARG1-COL1)</v>
      </c>
      <c r="F94" s="3" t="str">
        <f>IFERROR(VLOOKUP(TEXT(F$7+$A94,"MM/DD/YYYY HH:MM")&amp;"-&gt;"&amp;$B$1,'Schedule from TM'!$BG$11:$BI$5051,3,0),"")</f>
        <v/>
      </c>
      <c r="G94" s="3" t="str">
        <f>IFERROR(VLOOKUP(TEXT(G$7+$A94,"MM/DD/YYYY HH:MM")&amp;"-&gt;"&amp;$B$1,'Schedule from TM'!$BG$11:$BI$5051,3,0),"")</f>
        <v/>
      </c>
      <c r="H94" s="3" t="str">
        <f>IFERROR(VLOOKUP(TEXT(H$7+$A94,"MM/DD/YYYY HH:MM")&amp;"-&gt;"&amp;$B$1,'Schedule from TM'!$BG$11:$BI$5051,3,0),"")</f>
        <v/>
      </c>
      <c r="I94" s="3" t="str">
        <f>IFERROR(VLOOKUP(TEXT(I$7+$A94,"MM/DD/YYYY HH:MM")&amp;"-&gt;"&amp;$B$1,'Schedule from TM'!$BG$11:$BI$5051,3,0),"")</f>
        <v/>
      </c>
      <c r="J94" s="3" t="str">
        <f>IFERROR(VLOOKUP(TEXT(J$7+$A94,"MM/DD/YYYY HH:MM")&amp;"-&gt;"&amp;$B$1,'Schedule from TM'!$BG$11:$BI$5051,3,0),"")</f>
        <v/>
      </c>
    </row>
    <row r="95" spans="1:10" x14ac:dyDescent="0.3">
      <c r="A95" s="113">
        <f t="shared" si="31"/>
        <v>0.85416666666666652</v>
      </c>
      <c r="B95" s="3" t="str">
        <f>IFERROR(VLOOKUP(TEXT(B$7+$A95,"MM/DD/YYYY HH:MM")&amp;"-&gt;"&amp;$B$1,'Schedule from TM'!$BG$11:$BI$5051,3,0),"")</f>
        <v/>
      </c>
      <c r="C95" s="3" t="str">
        <f>IFERROR(VLOOKUP(TEXT(C$7+$A95,"MM/DD/YYYY HH:MM")&amp;"-&gt;"&amp;$B$1,'Schedule from TM'!$BG$11:$BI$5051,3,0),"")</f>
        <v/>
      </c>
      <c r="D95" s="3" t="str">
        <f>IFERROR(VLOOKUP(TEXT(D$7+$A95,"MM/DD/YYYY HH:MM")&amp;"-&gt;"&amp;$B$1,'Schedule from TM'!$BG$11:$BI$5051,3,0),"")</f>
        <v/>
      </c>
      <c r="E95" s="3" t="str">
        <f>IFERROR(VLOOKUP(TEXT(E$7+$A95,"MM/DD/YYYY HH:MM")&amp;"-&gt;"&amp;$B$1,'Schedule from TM'!$BG$11:$BI$5051,3,0),"")</f>
        <v/>
      </c>
      <c r="F95" s="3" t="str">
        <f>IFERROR(VLOOKUP(TEXT(F$7+$A95,"MM/DD/YYYY HH:MM")&amp;"-&gt;"&amp;$B$1,'Schedule from TM'!$BG$11:$BI$5051,3,0),"")</f>
        <v/>
      </c>
      <c r="G95" s="3" t="str">
        <f>IFERROR(VLOOKUP(TEXT(G$7+$A95,"MM/DD/YYYY HH:MM")&amp;"-&gt;"&amp;$B$1,'Schedule from TM'!$BG$11:$BI$5051,3,0),"")</f>
        <v/>
      </c>
      <c r="H95" s="3" t="str">
        <f>IFERROR(VLOOKUP(TEXT(H$7+$A95,"MM/DD/YYYY HH:MM")&amp;"-&gt;"&amp;$B$1,'Schedule from TM'!$BG$11:$BI$5051,3,0),"")</f>
        <v/>
      </c>
      <c r="I95" s="3" t="str">
        <f>IFERROR(VLOOKUP(TEXT(I$7+$A95,"MM/DD/YYYY HH:MM")&amp;"-&gt;"&amp;$B$1,'Schedule from TM'!$BG$11:$BI$5051,3,0),"")</f>
        <v/>
      </c>
      <c r="J95" s="3" t="str">
        <f>IFERROR(VLOOKUP(TEXT(J$7+$A95,"MM/DD/YYYY HH:MM")&amp;"-&gt;"&amp;$B$1,'Schedule from TM'!$BG$11:$BI$5051,3,0),"")</f>
        <v/>
      </c>
    </row>
    <row r="96" spans="1:10" x14ac:dyDescent="0.3">
      <c r="A96" s="113">
        <f t="shared" si="31"/>
        <v>0.88888888888888873</v>
      </c>
      <c r="B96" s="3" t="str">
        <f>IFERROR(VLOOKUP(TEXT(B$7+$A96,"MM/DD/YYYY HH:MM")&amp;"-&gt;"&amp;$B$1,'Schedule from TM'!$BG$11:$BI$5051,3,0),"")</f>
        <v/>
      </c>
      <c r="C96" s="3" t="str">
        <f>IFERROR(VLOOKUP(TEXT(C$7+$A96,"MM/DD/YYYY HH:MM")&amp;"-&gt;"&amp;$B$1,'Schedule from TM'!$BG$11:$BI$5051,3,0),"")</f>
        <v/>
      </c>
      <c r="D96" s="3" t="str">
        <f>IFERROR(VLOOKUP(TEXT(D$7+$A96,"MM/DD/YYYY HH:MM")&amp;"-&gt;"&amp;$B$1,'Schedule from TM'!$BG$11:$BI$5051,3,0),"")</f>
        <v/>
      </c>
      <c r="E96" s="3" t="str">
        <f>IFERROR(VLOOKUP(TEXT(E$7+$A96,"MM/DD/YYYY HH:MM")&amp;"-&gt;"&amp;$B$1,'Schedule from TM'!$BG$11:$BI$5051,3,0),"")</f>
        <v/>
      </c>
      <c r="F96" s="3" t="str">
        <f>IFERROR(VLOOKUP(TEXT(F$7+$A96,"MM/DD/YYYY HH:MM")&amp;"-&gt;"&amp;$B$1,'Schedule from TM'!$BG$11:$BI$5051,3,0),"")</f>
        <v/>
      </c>
      <c r="G96" s="3" t="str">
        <f>IFERROR(VLOOKUP(TEXT(G$7+$A96,"MM/DD/YYYY HH:MM")&amp;"-&gt;"&amp;$B$1,'Schedule from TM'!$BG$11:$BI$5051,3,0),"")</f>
        <v/>
      </c>
      <c r="H96" s="3" t="str">
        <f>IFERROR(VLOOKUP(TEXT(H$7+$A96,"MM/DD/YYYY HH:MM")&amp;"-&gt;"&amp;$B$1,'Schedule from TM'!$BG$11:$BI$5051,3,0),"")</f>
        <v/>
      </c>
      <c r="I96" s="3" t="str">
        <f>IFERROR(VLOOKUP(TEXT(I$7+$A96,"MM/DD/YYYY HH:MM")&amp;"-&gt;"&amp;$B$1,'Schedule from TM'!$BG$11:$BI$5051,3,0),"")</f>
        <v/>
      </c>
      <c r="J96" s="3" t="str">
        <f>IFERROR(VLOOKUP(TEXT(J$7+$A96,"MM/DD/YYYY HH:MM")&amp;"-&gt;"&amp;$B$1,'Schedule from TM'!$BG$11:$BI$5051,3,0),"")</f>
        <v/>
      </c>
    </row>
    <row r="97" spans="1:10" x14ac:dyDescent="0.3">
      <c r="A97" s="113">
        <f t="shared" si="31"/>
        <v>0.92361111111111094</v>
      </c>
      <c r="B97" s="3" t="str">
        <f>IFERROR(VLOOKUP(TEXT(B$7+$A97,"MM/DD/YYYY HH:MM")&amp;"-&gt;"&amp;$B$1,'Schedule from TM'!$BG$11:$BI$5051,3,0),"")</f>
        <v/>
      </c>
      <c r="C97" s="3" t="str">
        <f>IFERROR(VLOOKUP(TEXT(C$7+$A97,"MM/DD/YYYY HH:MM")&amp;"-&gt;"&amp;$B$1,'Schedule from TM'!$BG$11:$BI$5051,3,0),"")</f>
        <v/>
      </c>
      <c r="D97" s="3" t="str">
        <f>IFERROR(VLOOKUP(TEXT(D$7+$A97,"MM/DD/YYYY HH:MM")&amp;"-&gt;"&amp;$B$1,'Schedule from TM'!$BG$11:$BI$5051,3,0),"")</f>
        <v/>
      </c>
      <c r="E97" s="3" t="str">
        <f>IFERROR(VLOOKUP(TEXT(E$7+$A97,"MM/DD/YYYY HH:MM")&amp;"-&gt;"&amp;$B$1,'Schedule from TM'!$BG$11:$BI$5051,3,0),"")</f>
        <v/>
      </c>
      <c r="F97" s="3" t="str">
        <f>IFERROR(VLOOKUP(TEXT(F$7+$A97,"MM/DD/YYYY HH:MM")&amp;"-&gt;"&amp;$B$1,'Schedule from TM'!$BG$11:$BI$5051,3,0),"")</f>
        <v/>
      </c>
      <c r="G97" s="3" t="str">
        <f>IFERROR(VLOOKUP(TEXT(G$7+$A97,"MM/DD/YYYY HH:MM")&amp;"-&gt;"&amp;$B$1,'Schedule from TM'!$BG$11:$BI$5051,3,0),"")</f>
        <v/>
      </c>
      <c r="H97" s="3" t="str">
        <f>IFERROR(VLOOKUP(TEXT(H$7+$A97,"MM/DD/YYYY HH:MM")&amp;"-&gt;"&amp;$B$1,'Schedule from TM'!$BG$11:$BI$5051,3,0),"")</f>
        <v/>
      </c>
      <c r="I97" s="3" t="str">
        <f>IFERROR(VLOOKUP(TEXT(I$7+$A97,"MM/DD/YYYY HH:MM")&amp;"-&gt;"&amp;$B$1,'Schedule from TM'!$BG$11:$BI$5051,3,0),"")</f>
        <v/>
      </c>
      <c r="J97" s="3" t="str">
        <f>IFERROR(VLOOKUP(TEXT(J$7+$A97,"MM/DD/YYYY HH:MM")&amp;"-&gt;"&amp;$B$1,'Schedule from TM'!$BG$11:$BI$5051,3,0),"")</f>
        <v/>
      </c>
    </row>
    <row r="98" spans="1:10" x14ac:dyDescent="0.3">
      <c r="A98" s="113">
        <f t="shared" si="31"/>
        <v>0.95833333333333315</v>
      </c>
      <c r="B98" s="3" t="str">
        <f>IFERROR(VLOOKUP(TEXT(B$7+$A98,"MM/DD/YYYY HH:MM")&amp;"-&gt;"&amp;$B$1,'Schedule from TM'!$BG$11:$BI$5051,3,0),"")</f>
        <v/>
      </c>
      <c r="C98" s="3" t="str">
        <f>IFERROR(VLOOKUP(TEXT(C$7+$A98,"MM/DD/YYYY HH:MM")&amp;"-&gt;"&amp;$B$1,'Schedule from TM'!$BG$11:$BI$5051,3,0),"")</f>
        <v/>
      </c>
      <c r="D98" s="3" t="str">
        <f>IFERROR(VLOOKUP(TEXT(D$7+$A98,"MM/DD/YYYY HH:MM")&amp;"-&gt;"&amp;$B$1,'Schedule from TM'!$BG$11:$BI$5051,3,0),"")</f>
        <v/>
      </c>
      <c r="E98" s="3" t="str">
        <f>IFERROR(VLOOKUP(TEXT(E$7+$A98,"MM/DD/YYYY HH:MM")&amp;"-&gt;"&amp;$B$1,'Schedule from TM'!$BG$11:$BI$5051,3,0),"")</f>
        <v/>
      </c>
      <c r="F98" s="3" t="str">
        <f>IFERROR(VLOOKUP(TEXT(F$7+$A98,"MM/DD/YYYY HH:MM")&amp;"-&gt;"&amp;$B$1,'Schedule from TM'!$BG$11:$BI$5051,3,0),"")</f>
        <v/>
      </c>
      <c r="G98" s="3" t="str">
        <f>IFERROR(VLOOKUP(TEXT(G$7+$A98,"MM/DD/YYYY HH:MM")&amp;"-&gt;"&amp;$B$1,'Schedule from TM'!$BG$11:$BI$5051,3,0),"")</f>
        <v/>
      </c>
      <c r="H98" s="3" t="str">
        <f>IFERROR(VLOOKUP(TEXT(H$7+$A98,"MM/DD/YYYY HH:MM")&amp;"-&gt;"&amp;$B$1,'Schedule from TM'!$BG$11:$BI$5051,3,0),"")</f>
        <v/>
      </c>
      <c r="I98" s="3" t="str">
        <f>IFERROR(VLOOKUP(TEXT(I$7+$A98,"MM/DD/YYYY HH:MM")&amp;"-&gt;"&amp;$B$1,'Schedule from TM'!$BG$11:$BI$5051,3,0),"")</f>
        <v/>
      </c>
      <c r="J98" s="3" t="str">
        <f>IFERROR(VLOOKUP(TEXT(J$7+$A98,"MM/DD/YYYY HH:MM")&amp;"-&gt;"&amp;$B$1,'Schedule from TM'!$BG$11:$BI$5051,3,0),"")</f>
        <v/>
      </c>
    </row>
    <row r="99" spans="1:10" x14ac:dyDescent="0.3">
      <c r="A99" s="113">
        <f t="shared" si="31"/>
        <v>0.99305555555555536</v>
      </c>
      <c r="B99" s="3" t="str">
        <f>IFERROR(VLOOKUP(TEXT(B$7+$A99,"MM/DD/YYYY HH:MM")&amp;"-&gt;"&amp;$B$1,'Schedule from TM'!$BG$11:$BI$5051,3,0),"")</f>
        <v/>
      </c>
      <c r="C99" s="3" t="str">
        <f>IFERROR(VLOOKUP(TEXT(C$7+$A99,"MM/DD/YYYY HH:MM")&amp;"-&gt;"&amp;$B$1,'Schedule from TM'!$BG$11:$BI$5051,3,0),"")</f>
        <v/>
      </c>
      <c r="D99" s="3" t="str">
        <f>IFERROR(VLOOKUP(TEXT(D$7+$A99,"MM/DD/YYYY HH:MM")&amp;"-&gt;"&amp;$B$1,'Schedule from TM'!$BG$11:$BI$5051,3,0),"")</f>
        <v/>
      </c>
      <c r="E99" s="3" t="str">
        <f>IFERROR(VLOOKUP(TEXT(E$7+$A99,"MM/DD/YYYY HH:MM")&amp;"-&gt;"&amp;$B$1,'Schedule from TM'!$BG$11:$BI$5051,3,0),"")</f>
        <v/>
      </c>
      <c r="F99" s="3" t="str">
        <f>IFERROR(VLOOKUP(TEXT(F$7+$A99,"MM/DD/YYYY HH:MM")&amp;"-&gt;"&amp;$B$1,'Schedule from TM'!$BG$11:$BI$5051,3,0),"")</f>
        <v/>
      </c>
      <c r="G99" s="3" t="str">
        <f>IFERROR(VLOOKUP(TEXT(G$7+$A99,"MM/DD/YYYY HH:MM")&amp;"-&gt;"&amp;$B$1,'Schedule from TM'!$BG$11:$BI$5051,3,0),"")</f>
        <v/>
      </c>
      <c r="H99" s="3" t="str">
        <f>IFERROR(VLOOKUP(TEXT(H$7+$A99,"MM/DD/YYYY HH:MM")&amp;"-&gt;"&amp;$B$1,'Schedule from TM'!$BG$11:$BI$5051,3,0),"")</f>
        <v/>
      </c>
      <c r="I99" s="3" t="str">
        <f>IFERROR(VLOOKUP(TEXT(I$7+$A99,"MM/DD/YYYY HH:MM")&amp;"-&gt;"&amp;$B$1,'Schedule from TM'!$BG$11:$BI$5051,3,0),"")</f>
        <v/>
      </c>
      <c r="J99" s="3" t="str">
        <f>IFERROR(VLOOKUP(TEXT(J$7+$A99,"MM/DD/YYYY HH:MM")&amp;"-&gt;"&amp;$B$1,'Schedule from TM'!$BG$11:$BI$5051,3,0),"")</f>
        <v/>
      </c>
    </row>
    <row r="101" spans="1:10" x14ac:dyDescent="0.3">
      <c r="A101" s="112" t="s">
        <v>364</v>
      </c>
    </row>
    <row r="102" spans="1:10" x14ac:dyDescent="0.3">
      <c r="A102" s="113"/>
      <c r="B102" s="3" t="s">
        <v>338</v>
      </c>
      <c r="C102" s="3" t="str">
        <f>B1</f>
        <v>JR A M - COL 1</v>
      </c>
      <c r="D102" s="3"/>
      <c r="E102" s="3"/>
      <c r="F102" s="3"/>
      <c r="G102" s="3"/>
      <c r="H102" s="3"/>
      <c r="I102" s="3"/>
      <c r="J102" s="3"/>
    </row>
    <row r="103" spans="1:10" x14ac:dyDescent="0.3">
      <c r="A103" s="113"/>
      <c r="B103" s="49">
        <f t="shared" ref="B103:J103" si="32">B7</f>
        <v>43057</v>
      </c>
      <c r="C103" s="49">
        <f t="shared" si="32"/>
        <v>43058</v>
      </c>
      <c r="D103" s="49">
        <f t="shared" si="32"/>
        <v>43059</v>
      </c>
      <c r="E103" s="49">
        <f t="shared" si="32"/>
        <v>43060</v>
      </c>
      <c r="F103" s="49">
        <f t="shared" si="32"/>
        <v>43061</v>
      </c>
      <c r="G103" s="49">
        <f t="shared" si="32"/>
        <v>43062</v>
      </c>
      <c r="H103" s="49">
        <f t="shared" si="32"/>
        <v>43063</v>
      </c>
      <c r="I103" s="49">
        <f t="shared" si="32"/>
        <v>43064</v>
      </c>
      <c r="J103" s="49">
        <f t="shared" si="32"/>
        <v>43065</v>
      </c>
    </row>
    <row r="104" spans="1:10" x14ac:dyDescent="0.3">
      <c r="A104" s="113"/>
      <c r="B104" s="73" t="s">
        <v>339</v>
      </c>
      <c r="C104" s="73" t="s">
        <v>340</v>
      </c>
      <c r="D104" s="73" t="s">
        <v>341</v>
      </c>
      <c r="E104" s="73" t="s">
        <v>342</v>
      </c>
      <c r="F104" s="73" t="s">
        <v>343</v>
      </c>
      <c r="G104" s="73" t="s">
        <v>344</v>
      </c>
      <c r="H104" s="73" t="s">
        <v>345</v>
      </c>
      <c r="I104" s="73" t="s">
        <v>346</v>
      </c>
      <c r="J104" s="73" t="s">
        <v>347</v>
      </c>
    </row>
    <row r="105" spans="1:10" x14ac:dyDescent="0.3">
      <c r="A105" s="113"/>
      <c r="B105" s="3"/>
      <c r="C105" s="3"/>
      <c r="D105" s="3"/>
      <c r="E105" s="3"/>
      <c r="F105" s="3"/>
      <c r="G105" s="3"/>
      <c r="H105" s="3"/>
      <c r="I105" s="3"/>
      <c r="J105" s="3"/>
    </row>
    <row r="106" spans="1:10" x14ac:dyDescent="0.3">
      <c r="A106" s="113">
        <f t="shared" ref="A106:A125" si="33">A9</f>
        <v>0.33333333333333331</v>
      </c>
      <c r="B106" s="3" t="str">
        <f t="shared" ref="B106:J115" si="34">IFERROR(VLOOKUP(TEXT(B$7+$A106,"MM/DD/YYYY HH:MM")&amp;"-&gt;"&amp;$E$1,finals_search,2,0),"")</f>
        <v/>
      </c>
      <c r="C106" s="3" t="str">
        <f t="shared" si="34"/>
        <v/>
      </c>
      <c r="D106" s="3" t="str">
        <f t="shared" si="34"/>
        <v/>
      </c>
      <c r="E106" s="3" t="str">
        <f t="shared" si="34"/>
        <v/>
      </c>
      <c r="F106" s="3" t="str">
        <f t="shared" si="34"/>
        <v/>
      </c>
      <c r="G106" s="3" t="str">
        <f t="shared" si="34"/>
        <v/>
      </c>
      <c r="H106" s="3" t="str">
        <f t="shared" si="34"/>
        <v/>
      </c>
      <c r="I106" s="3" t="str">
        <f t="shared" si="34"/>
        <v/>
      </c>
      <c r="J106" s="3" t="str">
        <f t="shared" si="34"/>
        <v/>
      </c>
    </row>
    <row r="107" spans="1:10" x14ac:dyDescent="0.3">
      <c r="A107" s="113">
        <f t="shared" si="33"/>
        <v>0.36805555555555552</v>
      </c>
      <c r="B107" s="3" t="str">
        <f t="shared" si="34"/>
        <v/>
      </c>
      <c r="C107" s="3" t="str">
        <f t="shared" si="34"/>
        <v/>
      </c>
      <c r="D107" s="3" t="str">
        <f t="shared" si="34"/>
        <v/>
      </c>
      <c r="E107" s="3" t="str">
        <f t="shared" si="34"/>
        <v/>
      </c>
      <c r="F107" s="3" t="str">
        <f t="shared" si="34"/>
        <v/>
      </c>
      <c r="G107" s="3" t="str">
        <f t="shared" si="34"/>
        <v/>
      </c>
      <c r="H107" s="3" t="str">
        <f t="shared" si="34"/>
        <v/>
      </c>
      <c r="I107" s="3" t="str">
        <f t="shared" si="34"/>
        <v/>
      </c>
      <c r="J107" s="3" t="str">
        <f t="shared" si="34"/>
        <v/>
      </c>
    </row>
    <row r="108" spans="1:10" x14ac:dyDescent="0.3">
      <c r="A108" s="113">
        <f t="shared" si="33"/>
        <v>0.40277777777777773</v>
      </c>
      <c r="B108" s="3" t="str">
        <f t="shared" si="34"/>
        <v/>
      </c>
      <c r="C108" s="3" t="str">
        <f t="shared" si="34"/>
        <v/>
      </c>
      <c r="D108" s="3" t="str">
        <f t="shared" si="34"/>
        <v/>
      </c>
      <c r="E108" s="3" t="str">
        <f t="shared" si="34"/>
        <v/>
      </c>
      <c r="F108" s="3" t="str">
        <f t="shared" si="34"/>
        <v/>
      </c>
      <c r="G108" s="3" t="str">
        <f t="shared" si="34"/>
        <v/>
      </c>
      <c r="H108" s="3" t="str">
        <f t="shared" si="34"/>
        <v/>
      </c>
      <c r="I108" s="3" t="str">
        <f t="shared" si="34"/>
        <v/>
      </c>
      <c r="J108" s="3" t="str">
        <f t="shared" si="34"/>
        <v>Basketball Semi-Final in Hillel - Gym Basketball</v>
      </c>
    </row>
    <row r="109" spans="1:10" x14ac:dyDescent="0.3">
      <c r="A109" s="113">
        <f t="shared" si="33"/>
        <v>0.43749999999999994</v>
      </c>
      <c r="B109" s="3" t="str">
        <f t="shared" si="34"/>
        <v/>
      </c>
      <c r="C109" s="3" t="str">
        <f t="shared" si="34"/>
        <v/>
      </c>
      <c r="D109" s="3" t="str">
        <f t="shared" si="34"/>
        <v/>
      </c>
      <c r="E109" s="3" t="str">
        <f t="shared" si="34"/>
        <v/>
      </c>
      <c r="F109" s="3" t="str">
        <f t="shared" si="34"/>
        <v/>
      </c>
      <c r="G109" s="3" t="str">
        <f t="shared" si="34"/>
        <v/>
      </c>
      <c r="H109" s="3" t="str">
        <f t="shared" si="34"/>
        <v/>
      </c>
      <c r="I109" s="3" t="str">
        <f t="shared" si="34"/>
        <v/>
      </c>
      <c r="J109" s="3" t="str">
        <f t="shared" si="34"/>
        <v>Soccer Semi-Final in JCC Back Field 1</v>
      </c>
    </row>
    <row r="110" spans="1:10" x14ac:dyDescent="0.3">
      <c r="A110" s="113">
        <f t="shared" si="33"/>
        <v>0.47222222222222215</v>
      </c>
      <c r="B110" s="3" t="str">
        <f t="shared" si="34"/>
        <v/>
      </c>
      <c r="C110" s="3" t="str">
        <f t="shared" si="34"/>
        <v/>
      </c>
      <c r="D110" s="3" t="str">
        <f t="shared" si="34"/>
        <v/>
      </c>
      <c r="E110" s="3" t="str">
        <f t="shared" si="34"/>
        <v/>
      </c>
      <c r="F110" s="3" t="str">
        <f t="shared" si="34"/>
        <v/>
      </c>
      <c r="G110" s="3" t="str">
        <f t="shared" si="34"/>
        <v/>
      </c>
      <c r="H110" s="3" t="str">
        <f t="shared" si="34"/>
        <v/>
      </c>
      <c r="I110" s="3" t="str">
        <f t="shared" si="34"/>
        <v/>
      </c>
      <c r="J110" s="3" t="str">
        <f t="shared" si="34"/>
        <v>Volleyball Final in Hillel - Gym Volleyball</v>
      </c>
    </row>
    <row r="111" spans="1:10" x14ac:dyDescent="0.3">
      <c r="A111" s="113">
        <f t="shared" si="33"/>
        <v>0.50694444444444442</v>
      </c>
      <c r="B111" s="3" t="str">
        <f t="shared" si="34"/>
        <v/>
      </c>
      <c r="C111" s="3" t="str">
        <f t="shared" si="34"/>
        <v/>
      </c>
      <c r="D111" s="3" t="str">
        <f t="shared" si="34"/>
        <v/>
      </c>
      <c r="E111" s="3" t="str">
        <f t="shared" si="34"/>
        <v/>
      </c>
      <c r="F111" s="3" t="str">
        <f t="shared" si="34"/>
        <v/>
      </c>
      <c r="G111" s="3" t="str">
        <f t="shared" si="34"/>
        <v/>
      </c>
      <c r="H111" s="3" t="str">
        <f t="shared" si="34"/>
        <v/>
      </c>
      <c r="I111" s="3" t="str">
        <f t="shared" si="34"/>
        <v/>
      </c>
      <c r="J111" s="3" t="str">
        <f t="shared" si="34"/>
        <v>Basketball Final in Hillel - Gym Basketball</v>
      </c>
    </row>
    <row r="112" spans="1:10" x14ac:dyDescent="0.3">
      <c r="A112" s="113">
        <f t="shared" si="33"/>
        <v>0.54166666666666663</v>
      </c>
      <c r="B112" s="3" t="str">
        <f t="shared" si="34"/>
        <v/>
      </c>
      <c r="C112" s="3" t="str">
        <f t="shared" si="34"/>
        <v/>
      </c>
      <c r="D112" s="3" t="str">
        <f t="shared" si="34"/>
        <v/>
      </c>
      <c r="E112" s="3" t="str">
        <f t="shared" si="34"/>
        <v/>
      </c>
      <c r="F112" s="3" t="str">
        <f t="shared" si="34"/>
        <v/>
      </c>
      <c r="G112" s="3" t="str">
        <f t="shared" si="34"/>
        <v/>
      </c>
      <c r="H112" s="3" t="str">
        <f t="shared" si="34"/>
        <v/>
      </c>
      <c r="I112" s="3" t="str">
        <f t="shared" si="34"/>
        <v/>
      </c>
      <c r="J112" s="3" t="str">
        <f t="shared" si="34"/>
        <v/>
      </c>
    </row>
    <row r="113" spans="1:10" x14ac:dyDescent="0.3">
      <c r="A113" s="113">
        <f t="shared" si="33"/>
        <v>0.57638888888888884</v>
      </c>
      <c r="B113" s="3" t="str">
        <f t="shared" si="34"/>
        <v/>
      </c>
      <c r="C113" s="3" t="str">
        <f t="shared" si="34"/>
        <v/>
      </c>
      <c r="D113" s="3" t="str">
        <f t="shared" si="34"/>
        <v/>
      </c>
      <c r="E113" s="3" t="str">
        <f t="shared" si="34"/>
        <v/>
      </c>
      <c r="F113" s="3" t="str">
        <f t="shared" si="34"/>
        <v/>
      </c>
      <c r="G113" s="3" t="str">
        <f t="shared" si="34"/>
        <v/>
      </c>
      <c r="H113" s="3" t="str">
        <f t="shared" si="34"/>
        <v/>
      </c>
      <c r="I113" s="3" t="str">
        <f t="shared" si="34"/>
        <v/>
      </c>
      <c r="J113" s="3" t="str">
        <f t="shared" si="34"/>
        <v>Flag Football Semi-Final in Hillel - Field 3</v>
      </c>
    </row>
    <row r="114" spans="1:10" x14ac:dyDescent="0.3">
      <c r="A114" s="113">
        <f t="shared" si="33"/>
        <v>0.61111111111111105</v>
      </c>
      <c r="B114" s="3" t="str">
        <f t="shared" si="34"/>
        <v/>
      </c>
      <c r="C114" s="3" t="str">
        <f t="shared" si="34"/>
        <v/>
      </c>
      <c r="D114" s="3" t="str">
        <f t="shared" si="34"/>
        <v/>
      </c>
      <c r="E114" s="3" t="str">
        <f t="shared" si="34"/>
        <v/>
      </c>
      <c r="F114" s="3" t="str">
        <f t="shared" si="34"/>
        <v/>
      </c>
      <c r="G114" s="3" t="str">
        <f t="shared" si="34"/>
        <v/>
      </c>
      <c r="H114" s="3" t="str">
        <f t="shared" si="34"/>
        <v/>
      </c>
      <c r="I114" s="3" t="str">
        <f t="shared" si="34"/>
        <v/>
      </c>
      <c r="J114" s="3" t="str">
        <f t="shared" si="34"/>
        <v/>
      </c>
    </row>
    <row r="115" spans="1:10" x14ac:dyDescent="0.3">
      <c r="A115" s="113">
        <f t="shared" si="33"/>
        <v>0.64583333333333326</v>
      </c>
      <c r="B115" s="3" t="str">
        <f t="shared" si="34"/>
        <v/>
      </c>
      <c r="C115" s="3" t="str">
        <f t="shared" si="34"/>
        <v/>
      </c>
      <c r="D115" s="3" t="str">
        <f t="shared" si="34"/>
        <v/>
      </c>
      <c r="E115" s="3" t="str">
        <f t="shared" si="34"/>
        <v/>
      </c>
      <c r="F115" s="3" t="str">
        <f t="shared" si="34"/>
        <v/>
      </c>
      <c r="G115" s="3" t="str">
        <f t="shared" si="34"/>
        <v/>
      </c>
      <c r="H115" s="3" t="str">
        <f t="shared" si="34"/>
        <v/>
      </c>
      <c r="I115" s="3" t="str">
        <f t="shared" si="34"/>
        <v/>
      </c>
      <c r="J115" s="3" t="str">
        <f t="shared" si="34"/>
        <v>Soccer Final in JCC Back Field 2</v>
      </c>
    </row>
    <row r="116" spans="1:10" x14ac:dyDescent="0.3">
      <c r="A116" s="113">
        <f t="shared" si="33"/>
        <v>0.68055555555555547</v>
      </c>
      <c r="B116" s="3" t="str">
        <f t="shared" ref="B116:J125" si="35">IFERROR(VLOOKUP(TEXT(B$7+$A116,"MM/DD/YYYY HH:MM")&amp;"-&gt;"&amp;$E$1,finals_search,2,0),"")</f>
        <v/>
      </c>
      <c r="C116" s="3" t="str">
        <f t="shared" si="35"/>
        <v/>
      </c>
      <c r="D116" s="3" t="str">
        <f t="shared" si="35"/>
        <v/>
      </c>
      <c r="E116" s="3" t="str">
        <f t="shared" si="35"/>
        <v/>
      </c>
      <c r="F116" s="3" t="str">
        <f t="shared" si="35"/>
        <v/>
      </c>
      <c r="G116" s="3" t="str">
        <f t="shared" si="35"/>
        <v/>
      </c>
      <c r="H116" s="3" t="str">
        <f t="shared" si="35"/>
        <v/>
      </c>
      <c r="I116" s="3" t="str">
        <f t="shared" si="35"/>
        <v/>
      </c>
      <c r="J116" s="3" t="str">
        <f t="shared" si="35"/>
        <v>Flag Football Final in Hillel - Field 2</v>
      </c>
    </row>
    <row r="117" spans="1:10" x14ac:dyDescent="0.3">
      <c r="A117" s="113">
        <f t="shared" si="33"/>
        <v>0.71527777777777768</v>
      </c>
      <c r="B117" s="3" t="str">
        <f t="shared" si="35"/>
        <v/>
      </c>
      <c r="C117" s="3" t="str">
        <f t="shared" si="35"/>
        <v/>
      </c>
      <c r="D117" s="3" t="str">
        <f t="shared" si="35"/>
        <v/>
      </c>
      <c r="E117" s="3" t="str">
        <f t="shared" si="35"/>
        <v/>
      </c>
      <c r="F117" s="3" t="str">
        <f t="shared" si="35"/>
        <v/>
      </c>
      <c r="G117" s="3" t="str">
        <f t="shared" si="35"/>
        <v/>
      </c>
      <c r="H117" s="3" t="str">
        <f t="shared" si="35"/>
        <v/>
      </c>
      <c r="I117" s="3" t="str">
        <f t="shared" si="35"/>
        <v/>
      </c>
      <c r="J117" s="3" t="str">
        <f t="shared" si="35"/>
        <v/>
      </c>
    </row>
    <row r="118" spans="1:10" x14ac:dyDescent="0.3">
      <c r="A118" s="113">
        <f t="shared" si="33"/>
        <v>0.74999999999999989</v>
      </c>
      <c r="B118" s="3" t="str">
        <f t="shared" si="35"/>
        <v/>
      </c>
      <c r="C118" s="3" t="str">
        <f t="shared" si="35"/>
        <v/>
      </c>
      <c r="D118" s="3" t="str">
        <f t="shared" si="35"/>
        <v/>
      </c>
      <c r="E118" s="3" t="str">
        <f t="shared" si="35"/>
        <v/>
      </c>
      <c r="F118" s="3" t="str">
        <f t="shared" si="35"/>
        <v/>
      </c>
      <c r="G118" s="3" t="str">
        <f t="shared" si="35"/>
        <v/>
      </c>
      <c r="H118" s="3" t="str">
        <f t="shared" si="35"/>
        <v/>
      </c>
      <c r="I118" s="3" t="str">
        <f t="shared" si="35"/>
        <v/>
      </c>
      <c r="J118" s="3" t="str">
        <f t="shared" si="35"/>
        <v/>
      </c>
    </row>
    <row r="119" spans="1:10" x14ac:dyDescent="0.3">
      <c r="A119" s="113">
        <f t="shared" si="33"/>
        <v>0.7847222222222221</v>
      </c>
      <c r="B119" s="3" t="str">
        <f t="shared" si="35"/>
        <v/>
      </c>
      <c r="C119" s="3" t="str">
        <f t="shared" si="35"/>
        <v/>
      </c>
      <c r="D119" s="3" t="str">
        <f t="shared" si="35"/>
        <v/>
      </c>
      <c r="E119" s="3" t="str">
        <f t="shared" si="35"/>
        <v/>
      </c>
      <c r="F119" s="3" t="str">
        <f t="shared" si="35"/>
        <v/>
      </c>
      <c r="G119" s="3" t="str">
        <f t="shared" si="35"/>
        <v/>
      </c>
      <c r="H119" s="3" t="str">
        <f t="shared" si="35"/>
        <v/>
      </c>
      <c r="I119" s="3" t="str">
        <f t="shared" si="35"/>
        <v>Dodgeball Tournament in JCC Back Field 3</v>
      </c>
      <c r="J119" s="3" t="str">
        <f t="shared" si="35"/>
        <v/>
      </c>
    </row>
    <row r="120" spans="1:10" x14ac:dyDescent="0.3">
      <c r="A120" s="113">
        <f t="shared" si="33"/>
        <v>0.81944444444444431</v>
      </c>
      <c r="B120" s="3" t="str">
        <f t="shared" si="35"/>
        <v/>
      </c>
      <c r="C120" s="3" t="str">
        <f t="shared" si="35"/>
        <v/>
      </c>
      <c r="D120" s="3" t="str">
        <f t="shared" si="35"/>
        <v/>
      </c>
      <c r="E120" s="3" t="str">
        <f t="shared" si="35"/>
        <v/>
      </c>
      <c r="F120" s="3" t="str">
        <f t="shared" si="35"/>
        <v/>
      </c>
      <c r="G120" s="3" t="str">
        <f t="shared" si="35"/>
        <v/>
      </c>
      <c r="H120" s="3" t="str">
        <f t="shared" si="35"/>
        <v/>
      </c>
      <c r="I120" s="3" t="str">
        <f t="shared" si="35"/>
        <v>Dodgeball Tournament in JCC Back Field 3</v>
      </c>
      <c r="J120" s="3" t="str">
        <f t="shared" si="35"/>
        <v/>
      </c>
    </row>
    <row r="121" spans="1:10" x14ac:dyDescent="0.3">
      <c r="A121" s="113">
        <f t="shared" si="33"/>
        <v>0.85416666666666652</v>
      </c>
      <c r="B121" s="3" t="str">
        <f t="shared" si="35"/>
        <v/>
      </c>
      <c r="C121" s="3" t="str">
        <f t="shared" si="35"/>
        <v/>
      </c>
      <c r="D121" s="3" t="str">
        <f t="shared" si="35"/>
        <v/>
      </c>
      <c r="E121" s="3" t="str">
        <f t="shared" si="35"/>
        <v/>
      </c>
      <c r="F121" s="3" t="str">
        <f t="shared" si="35"/>
        <v/>
      </c>
      <c r="G121" s="3" t="str">
        <f t="shared" si="35"/>
        <v/>
      </c>
      <c r="H121" s="3" t="str">
        <f t="shared" si="35"/>
        <v/>
      </c>
      <c r="I121" s="3" t="str">
        <f t="shared" si="35"/>
        <v>Dodgeball Tournament in JCC Back Field 3</v>
      </c>
      <c r="J121" s="3" t="str">
        <f t="shared" si="35"/>
        <v/>
      </c>
    </row>
    <row r="122" spans="1:10" x14ac:dyDescent="0.3">
      <c r="A122" s="113">
        <f t="shared" si="33"/>
        <v>0.88888888888888873</v>
      </c>
      <c r="B122" s="3" t="str">
        <f t="shared" si="35"/>
        <v/>
      </c>
      <c r="C122" s="3" t="str">
        <f t="shared" si="35"/>
        <v/>
      </c>
      <c r="D122" s="3" t="str">
        <f t="shared" si="35"/>
        <v/>
      </c>
      <c r="E122" s="3" t="str">
        <f t="shared" si="35"/>
        <v/>
      </c>
      <c r="F122" s="3" t="str">
        <f t="shared" si="35"/>
        <v/>
      </c>
      <c r="G122" s="3" t="str">
        <f t="shared" si="35"/>
        <v/>
      </c>
      <c r="H122" s="3" t="str">
        <f t="shared" si="35"/>
        <v/>
      </c>
      <c r="I122" s="3" t="str">
        <f t="shared" si="35"/>
        <v>Dodgeball Tournament in JCC Back Field 3</v>
      </c>
      <c r="J122" s="3" t="str">
        <f t="shared" si="35"/>
        <v/>
      </c>
    </row>
    <row r="123" spans="1:10" x14ac:dyDescent="0.3">
      <c r="A123" s="113">
        <f t="shared" si="33"/>
        <v>0.92361111111111094</v>
      </c>
      <c r="B123" s="3" t="str">
        <f t="shared" si="35"/>
        <v/>
      </c>
      <c r="C123" s="3" t="str">
        <f t="shared" si="35"/>
        <v/>
      </c>
      <c r="D123" s="3" t="str">
        <f t="shared" si="35"/>
        <v/>
      </c>
      <c r="E123" s="3" t="str">
        <f t="shared" si="35"/>
        <v/>
      </c>
      <c r="F123" s="3" t="str">
        <f t="shared" si="35"/>
        <v/>
      </c>
      <c r="G123" s="3" t="str">
        <f t="shared" si="35"/>
        <v/>
      </c>
      <c r="H123" s="3" t="str">
        <f t="shared" si="35"/>
        <v/>
      </c>
      <c r="I123" s="3" t="str">
        <f t="shared" si="35"/>
        <v/>
      </c>
      <c r="J123" s="3" t="str">
        <f t="shared" si="35"/>
        <v/>
      </c>
    </row>
    <row r="124" spans="1:10" x14ac:dyDescent="0.3">
      <c r="A124" s="113">
        <f t="shared" si="33"/>
        <v>0.95833333333333315</v>
      </c>
      <c r="B124" s="3" t="str">
        <f t="shared" si="35"/>
        <v/>
      </c>
      <c r="C124" s="3" t="str">
        <f t="shared" si="35"/>
        <v/>
      </c>
      <c r="D124" s="3" t="str">
        <f t="shared" si="35"/>
        <v/>
      </c>
      <c r="E124" s="3" t="str">
        <f t="shared" si="35"/>
        <v/>
      </c>
      <c r="F124" s="3" t="str">
        <f t="shared" si="35"/>
        <v/>
      </c>
      <c r="G124" s="3" t="str">
        <f t="shared" si="35"/>
        <v/>
      </c>
      <c r="H124" s="3" t="str">
        <f t="shared" si="35"/>
        <v/>
      </c>
      <c r="I124" s="3" t="str">
        <f t="shared" si="35"/>
        <v/>
      </c>
      <c r="J124" s="3" t="str">
        <f t="shared" si="35"/>
        <v/>
      </c>
    </row>
    <row r="125" spans="1:10" x14ac:dyDescent="0.3">
      <c r="A125" s="113">
        <f t="shared" si="33"/>
        <v>0.99305555555555536</v>
      </c>
      <c r="B125" s="3" t="str">
        <f t="shared" si="35"/>
        <v/>
      </c>
      <c r="C125" s="3" t="str">
        <f t="shared" si="35"/>
        <v/>
      </c>
      <c r="D125" s="3" t="str">
        <f t="shared" si="35"/>
        <v/>
      </c>
      <c r="E125" s="3" t="str">
        <f t="shared" si="35"/>
        <v/>
      </c>
      <c r="F125" s="3" t="str">
        <f t="shared" si="35"/>
        <v/>
      </c>
      <c r="G125" s="3" t="str">
        <f t="shared" si="35"/>
        <v/>
      </c>
      <c r="H125" s="3" t="str">
        <f t="shared" si="35"/>
        <v/>
      </c>
      <c r="I125" s="3" t="str">
        <f t="shared" si="35"/>
        <v/>
      </c>
      <c r="J125" s="3" t="str">
        <f t="shared" si="35"/>
        <v/>
      </c>
    </row>
    <row r="127" spans="1:10" x14ac:dyDescent="0.3">
      <c r="A127" s="112" t="s">
        <v>365</v>
      </c>
    </row>
    <row r="128" spans="1:10" x14ac:dyDescent="0.3">
      <c r="A128" s="113"/>
      <c r="B128" s="3" t="s">
        <v>338</v>
      </c>
      <c r="C128" s="3" t="str">
        <f>B1</f>
        <v>JR A M - COL 1</v>
      </c>
      <c r="D128" s="3"/>
      <c r="E128" s="3"/>
      <c r="F128" s="3"/>
      <c r="G128" s="3"/>
      <c r="H128" s="3"/>
      <c r="I128" s="3"/>
      <c r="J128" s="3"/>
    </row>
    <row r="129" spans="1:10" x14ac:dyDescent="0.3">
      <c r="A129" s="113"/>
      <c r="B129" s="49">
        <f t="shared" ref="B129:J129" si="36">B7</f>
        <v>43057</v>
      </c>
      <c r="C129" s="49">
        <f t="shared" si="36"/>
        <v>43058</v>
      </c>
      <c r="D129" s="49">
        <f t="shared" si="36"/>
        <v>43059</v>
      </c>
      <c r="E129" s="49">
        <f t="shared" si="36"/>
        <v>43060</v>
      </c>
      <c r="F129" s="49">
        <f t="shared" si="36"/>
        <v>43061</v>
      </c>
      <c r="G129" s="49">
        <f t="shared" si="36"/>
        <v>43062</v>
      </c>
      <c r="H129" s="49">
        <f t="shared" si="36"/>
        <v>43063</v>
      </c>
      <c r="I129" s="49">
        <f t="shared" si="36"/>
        <v>43064</v>
      </c>
      <c r="J129" s="49">
        <f t="shared" si="36"/>
        <v>43065</v>
      </c>
    </row>
    <row r="130" spans="1:10" x14ac:dyDescent="0.3">
      <c r="A130" s="113"/>
      <c r="B130" s="73" t="s">
        <v>339</v>
      </c>
      <c r="C130" s="73" t="s">
        <v>340</v>
      </c>
      <c r="D130" s="73" t="s">
        <v>341</v>
      </c>
      <c r="E130" s="73" t="s">
        <v>342</v>
      </c>
      <c r="F130" s="73" t="s">
        <v>343</v>
      </c>
      <c r="G130" s="73" t="s">
        <v>344</v>
      </c>
      <c r="H130" s="73" t="s">
        <v>345</v>
      </c>
      <c r="I130" s="73" t="s">
        <v>346</v>
      </c>
      <c r="J130" s="73" t="s">
        <v>347</v>
      </c>
    </row>
    <row r="131" spans="1:10" x14ac:dyDescent="0.3">
      <c r="A131" s="113"/>
      <c r="B131" s="3"/>
      <c r="C131" s="3"/>
      <c r="D131" s="3"/>
      <c r="E131" s="3"/>
      <c r="F131" s="3"/>
      <c r="G131" s="3"/>
      <c r="H131" s="3"/>
      <c r="I131" s="3"/>
      <c r="J131" s="3"/>
    </row>
    <row r="132" spans="1:10" x14ac:dyDescent="0.3">
      <c r="A132" s="113">
        <f t="shared" ref="A132:A151" si="37">A9</f>
        <v>0.33333333333333331</v>
      </c>
      <c r="B132" s="3" t="str">
        <f>B159</f>
        <v/>
      </c>
      <c r="C132" s="3" t="str">
        <f t="shared" ref="C132:J132" si="38">C159</f>
        <v/>
      </c>
      <c r="D132" s="3" t="str">
        <f t="shared" si="38"/>
        <v/>
      </c>
      <c r="E132" s="3" t="str">
        <f t="shared" si="38"/>
        <v/>
      </c>
      <c r="F132" s="3" t="str">
        <f t="shared" si="38"/>
        <v/>
      </c>
      <c r="G132" s="3" t="str">
        <f t="shared" si="38"/>
        <v/>
      </c>
      <c r="H132" s="3" t="str">
        <f t="shared" si="38"/>
        <v/>
      </c>
      <c r="I132" s="3" t="str">
        <f t="shared" si="38"/>
        <v/>
      </c>
      <c r="J132" s="3" t="str">
        <f t="shared" si="38"/>
        <v/>
      </c>
    </row>
    <row r="133" spans="1:10" x14ac:dyDescent="0.3">
      <c r="A133" s="113">
        <f t="shared" si="37"/>
        <v>0.36805555555555552</v>
      </c>
      <c r="B133" s="3" t="str">
        <f t="shared" ref="B133:J151" si="39">B160</f>
        <v/>
      </c>
      <c r="C133" s="3" t="str">
        <f t="shared" si="39"/>
        <v/>
      </c>
      <c r="D133" s="3" t="str">
        <f t="shared" si="39"/>
        <v/>
      </c>
      <c r="E133" s="3" t="str">
        <f t="shared" si="39"/>
        <v/>
      </c>
      <c r="F133" s="3" t="str">
        <f t="shared" si="39"/>
        <v/>
      </c>
      <c r="G133" s="3" t="str">
        <f t="shared" si="39"/>
        <v/>
      </c>
      <c r="H133" s="3" t="str">
        <f t="shared" si="39"/>
        <v/>
      </c>
      <c r="I133" s="3" t="str">
        <f t="shared" si="39"/>
        <v/>
      </c>
      <c r="J133" s="3" t="str">
        <f t="shared" si="39"/>
        <v/>
      </c>
    </row>
    <row r="134" spans="1:10" x14ac:dyDescent="0.3">
      <c r="A134" s="113">
        <f t="shared" si="37"/>
        <v>0.40277777777777773</v>
      </c>
      <c r="B134" s="3" t="str">
        <f t="shared" si="39"/>
        <v/>
      </c>
      <c r="C134" s="3" t="str">
        <f t="shared" si="39"/>
        <v/>
      </c>
      <c r="D134" s="3" t="str">
        <f t="shared" si="39"/>
        <v/>
      </c>
      <c r="E134" s="3" t="str">
        <f t="shared" si="39"/>
        <v/>
      </c>
      <c r="F134" s="3" t="str">
        <f t="shared" si="39"/>
        <v/>
      </c>
      <c r="G134" s="3" t="str">
        <f t="shared" si="39"/>
        <v/>
      </c>
      <c r="H134" s="3" t="str">
        <f t="shared" si="39"/>
        <v/>
      </c>
      <c r="I134" s="3" t="str">
        <f t="shared" si="39"/>
        <v/>
      </c>
      <c r="J134" s="3" t="str">
        <f t="shared" si="39"/>
        <v/>
      </c>
    </row>
    <row r="135" spans="1:10" x14ac:dyDescent="0.3">
      <c r="A135" s="113">
        <f t="shared" si="37"/>
        <v>0.43749999999999994</v>
      </c>
      <c r="B135" s="3" t="str">
        <f t="shared" si="39"/>
        <v/>
      </c>
      <c r="C135" s="3" t="str">
        <f t="shared" si="39"/>
        <v>[Chess Tournament in Senior Lounge]</v>
      </c>
      <c r="D135" s="3" t="str">
        <f t="shared" si="39"/>
        <v/>
      </c>
      <c r="E135" s="3" t="str">
        <f t="shared" si="39"/>
        <v/>
      </c>
      <c r="F135" s="3" t="str">
        <f t="shared" si="39"/>
        <v/>
      </c>
      <c r="G135" s="3" t="str">
        <f t="shared" si="39"/>
        <v>[Chess Tournament in Senior Lounge]</v>
      </c>
      <c r="H135" s="3" t="str">
        <f t="shared" si="39"/>
        <v>[Chess Tournament in Senior Lounge]</v>
      </c>
      <c r="I135" s="3" t="str">
        <f t="shared" si="39"/>
        <v/>
      </c>
      <c r="J135" s="3" t="str">
        <f t="shared" si="39"/>
        <v/>
      </c>
    </row>
    <row r="136" spans="1:10" x14ac:dyDescent="0.3">
      <c r="A136" s="113">
        <f t="shared" si="37"/>
        <v>0.47222222222222215</v>
      </c>
      <c r="B136" s="3" t="str">
        <f t="shared" si="39"/>
        <v/>
      </c>
      <c r="C136" s="3" t="str">
        <f t="shared" si="39"/>
        <v/>
      </c>
      <c r="D136" s="3" t="str">
        <f t="shared" si="39"/>
        <v/>
      </c>
      <c r="E136" s="3" t="str">
        <f t="shared" si="39"/>
        <v/>
      </c>
      <c r="F136" s="3" t="str">
        <f t="shared" si="39"/>
        <v/>
      </c>
      <c r="G136" s="3" t="str">
        <f t="shared" si="39"/>
        <v/>
      </c>
      <c r="H136" s="3" t="str">
        <f t="shared" si="39"/>
        <v/>
      </c>
      <c r="I136" s="3" t="str">
        <f t="shared" si="39"/>
        <v/>
      </c>
      <c r="J136" s="3" t="str">
        <f t="shared" si="39"/>
        <v/>
      </c>
    </row>
    <row r="137" spans="1:10" x14ac:dyDescent="0.3">
      <c r="A137" s="113">
        <f t="shared" si="37"/>
        <v>0.50694444444444442</v>
      </c>
      <c r="B137" s="3" t="str">
        <f t="shared" si="39"/>
        <v/>
      </c>
      <c r="C137" s="3" t="str">
        <f t="shared" si="39"/>
        <v/>
      </c>
      <c r="D137" s="3" t="str">
        <f t="shared" si="39"/>
        <v/>
      </c>
      <c r="E137" s="3" t="str">
        <f t="shared" si="39"/>
        <v/>
      </c>
      <c r="F137" s="3" t="str">
        <f t="shared" si="39"/>
        <v/>
      </c>
      <c r="G137" s="3" t="str">
        <f t="shared" si="39"/>
        <v/>
      </c>
      <c r="H137" s="3" t="str">
        <f t="shared" si="39"/>
        <v/>
      </c>
      <c r="I137" s="3" t="str">
        <f t="shared" si="39"/>
        <v/>
      </c>
      <c r="J137" s="3" t="str">
        <f t="shared" si="39"/>
        <v/>
      </c>
    </row>
    <row r="138" spans="1:10" x14ac:dyDescent="0.3">
      <c r="A138" s="113">
        <f t="shared" si="37"/>
        <v>0.54166666666666663</v>
      </c>
      <c r="B138" s="3" t="str">
        <f t="shared" si="39"/>
        <v/>
      </c>
      <c r="C138" s="3" t="str">
        <f t="shared" si="39"/>
        <v/>
      </c>
      <c r="D138" s="3" t="str">
        <f t="shared" si="39"/>
        <v/>
      </c>
      <c r="E138" s="3" t="str">
        <f t="shared" si="39"/>
        <v/>
      </c>
      <c r="F138" s="3" t="str">
        <f t="shared" si="39"/>
        <v/>
      </c>
      <c r="G138" s="3" t="str">
        <f t="shared" si="39"/>
        <v/>
      </c>
      <c r="H138" s="3" t="str">
        <f t="shared" si="39"/>
        <v/>
      </c>
      <c r="I138" s="3" t="str">
        <f t="shared" si="39"/>
        <v/>
      </c>
      <c r="J138" s="3" t="str">
        <f t="shared" si="39"/>
        <v/>
      </c>
    </row>
    <row r="139" spans="1:10" x14ac:dyDescent="0.3">
      <c r="A139" s="113">
        <f t="shared" si="37"/>
        <v>0.57638888888888884</v>
      </c>
      <c r="B139" s="3" t="str">
        <f t="shared" si="39"/>
        <v/>
      </c>
      <c r="C139" s="3" t="str">
        <f t="shared" si="39"/>
        <v/>
      </c>
      <c r="D139" s="3" t="str">
        <f t="shared" si="39"/>
        <v/>
      </c>
      <c r="E139" s="3" t="str">
        <f t="shared" si="39"/>
        <v/>
      </c>
      <c r="F139" s="3" t="str">
        <f t="shared" si="39"/>
        <v/>
      </c>
      <c r="G139" s="3" t="str">
        <f t="shared" si="39"/>
        <v/>
      </c>
      <c r="H139" s="3" t="str">
        <f t="shared" si="39"/>
        <v/>
      </c>
      <c r="I139" s="3" t="str">
        <f t="shared" si="39"/>
        <v/>
      </c>
      <c r="J139" s="3" t="str">
        <f t="shared" si="39"/>
        <v/>
      </c>
    </row>
    <row r="140" spans="1:10" x14ac:dyDescent="0.3">
      <c r="A140" s="113">
        <f t="shared" si="37"/>
        <v>0.61111111111111105</v>
      </c>
      <c r="B140" s="3" t="str">
        <f t="shared" si="39"/>
        <v/>
      </c>
      <c r="C140" s="3" t="str">
        <f t="shared" si="39"/>
        <v/>
      </c>
      <c r="D140" s="3" t="str">
        <f t="shared" si="39"/>
        <v/>
      </c>
      <c r="E140" s="3" t="str">
        <f t="shared" si="39"/>
        <v/>
      </c>
      <c r="F140" s="3" t="str">
        <f t="shared" si="39"/>
        <v/>
      </c>
      <c r="G140" s="3" t="str">
        <f t="shared" si="39"/>
        <v/>
      </c>
      <c r="H140" s="3" t="str">
        <f t="shared" si="39"/>
        <v/>
      </c>
      <c r="I140" s="3" t="str">
        <f t="shared" si="39"/>
        <v/>
      </c>
      <c r="J140" s="3" t="str">
        <f t="shared" si="39"/>
        <v/>
      </c>
    </row>
    <row r="141" spans="1:10" x14ac:dyDescent="0.3">
      <c r="A141" s="113">
        <f t="shared" si="37"/>
        <v>0.64583333333333326</v>
      </c>
      <c r="B141" s="3" t="str">
        <f t="shared" si="39"/>
        <v/>
      </c>
      <c r="C141" s="3" t="str">
        <f t="shared" si="39"/>
        <v/>
      </c>
      <c r="D141" s="3" t="str">
        <f t="shared" si="39"/>
        <v/>
      </c>
      <c r="E141" s="3" t="str">
        <f t="shared" si="39"/>
        <v/>
      </c>
      <c r="F141" s="3" t="str">
        <f t="shared" si="39"/>
        <v/>
      </c>
      <c r="G141" s="3" t="str">
        <f t="shared" si="39"/>
        <v/>
      </c>
      <c r="H141" s="3" t="str">
        <f t="shared" si="39"/>
        <v/>
      </c>
      <c r="I141" s="3" t="str">
        <f t="shared" si="39"/>
        <v/>
      </c>
      <c r="J141" s="3" t="str">
        <f t="shared" si="39"/>
        <v/>
      </c>
    </row>
    <row r="142" spans="1:10" x14ac:dyDescent="0.3">
      <c r="A142" s="113">
        <f t="shared" si="37"/>
        <v>0.68055555555555547</v>
      </c>
      <c r="B142" s="3" t="str">
        <f t="shared" si="39"/>
        <v/>
      </c>
      <c r="C142" s="3" t="str">
        <f t="shared" si="39"/>
        <v/>
      </c>
      <c r="D142" s="3" t="str">
        <f t="shared" si="39"/>
        <v/>
      </c>
      <c r="E142" s="3" t="str">
        <f t="shared" si="39"/>
        <v/>
      </c>
      <c r="F142" s="3" t="str">
        <f t="shared" si="39"/>
        <v/>
      </c>
      <c r="G142" s="3" t="str">
        <f t="shared" si="39"/>
        <v/>
      </c>
      <c r="H142" s="3" t="str">
        <f t="shared" si="39"/>
        <v/>
      </c>
      <c r="I142" s="3" t="str">
        <f t="shared" si="39"/>
        <v/>
      </c>
      <c r="J142" s="3" t="str">
        <f t="shared" si="39"/>
        <v/>
      </c>
    </row>
    <row r="143" spans="1:10" x14ac:dyDescent="0.3">
      <c r="A143" s="113">
        <f t="shared" si="37"/>
        <v>0.71527777777777768</v>
      </c>
      <c r="B143" s="3" t="str">
        <f t="shared" si="39"/>
        <v/>
      </c>
      <c r="C143" s="3" t="str">
        <f t="shared" si="39"/>
        <v/>
      </c>
      <c r="D143" s="3" t="str">
        <f t="shared" si="39"/>
        <v/>
      </c>
      <c r="E143" s="3" t="str">
        <f t="shared" si="39"/>
        <v/>
      </c>
      <c r="F143" s="3" t="str">
        <f t="shared" si="39"/>
        <v/>
      </c>
      <c r="G143" s="3" t="str">
        <f t="shared" si="39"/>
        <v/>
      </c>
      <c r="H143" s="3" t="str">
        <f t="shared" si="39"/>
        <v/>
      </c>
      <c r="I143" s="3" t="str">
        <f t="shared" si="39"/>
        <v/>
      </c>
      <c r="J143" s="3" t="str">
        <f t="shared" si="39"/>
        <v/>
      </c>
    </row>
    <row r="144" spans="1:10" x14ac:dyDescent="0.3">
      <c r="A144" s="113">
        <f t="shared" si="37"/>
        <v>0.74999999999999989</v>
      </c>
      <c r="B144" s="3" t="str">
        <f t="shared" si="39"/>
        <v/>
      </c>
      <c r="C144" s="3" t="str">
        <f t="shared" si="39"/>
        <v/>
      </c>
      <c r="D144" s="3" t="str">
        <f t="shared" si="39"/>
        <v/>
      </c>
      <c r="E144" s="3" t="str">
        <f t="shared" si="39"/>
        <v>[Tennis in Tennis Courts][Tennis in Tennis Courts]</v>
      </c>
      <c r="F144" s="3" t="str">
        <f t="shared" si="39"/>
        <v/>
      </c>
      <c r="G144" s="3" t="str">
        <f t="shared" si="39"/>
        <v/>
      </c>
      <c r="H144" s="3" t="str">
        <f t="shared" si="39"/>
        <v/>
      </c>
      <c r="I144" s="3" t="str">
        <f t="shared" si="39"/>
        <v/>
      </c>
      <c r="J144" s="3" t="str">
        <f t="shared" si="39"/>
        <v/>
      </c>
    </row>
    <row r="145" spans="1:10" x14ac:dyDescent="0.3">
      <c r="A145" s="113">
        <f t="shared" si="37"/>
        <v>0.7847222222222221</v>
      </c>
      <c r="B145" s="3" t="str">
        <f t="shared" si="39"/>
        <v/>
      </c>
      <c r="C145" s="3" t="str">
        <f t="shared" si="39"/>
        <v/>
      </c>
      <c r="D145" s="3" t="str">
        <f t="shared" si="39"/>
        <v/>
      </c>
      <c r="E145" s="3" t="str">
        <f t="shared" si="39"/>
        <v/>
      </c>
      <c r="F145" s="3" t="str">
        <f t="shared" si="39"/>
        <v/>
      </c>
      <c r="G145" s="3" t="str">
        <f t="shared" si="39"/>
        <v/>
      </c>
      <c r="H145" s="3" t="str">
        <f t="shared" si="39"/>
        <v/>
      </c>
      <c r="I145" s="3" t="str">
        <f t="shared" si="39"/>
        <v/>
      </c>
      <c r="J145" s="3" t="str">
        <f t="shared" si="39"/>
        <v/>
      </c>
    </row>
    <row r="146" spans="1:10" x14ac:dyDescent="0.3">
      <c r="A146" s="113">
        <f t="shared" si="37"/>
        <v>0.81944444444444431</v>
      </c>
      <c r="B146" s="3" t="str">
        <f t="shared" si="39"/>
        <v/>
      </c>
      <c r="C146" s="3" t="str">
        <f t="shared" si="39"/>
        <v/>
      </c>
      <c r="D146" s="3" t="str">
        <f t="shared" si="39"/>
        <v>[Swimming in Pool]</v>
      </c>
      <c r="E146" s="3" t="str">
        <f t="shared" si="39"/>
        <v/>
      </c>
      <c r="F146" s="3" t="str">
        <f t="shared" si="39"/>
        <v/>
      </c>
      <c r="G146" s="3" t="str">
        <f t="shared" si="39"/>
        <v/>
      </c>
      <c r="H146" s="3" t="str">
        <f t="shared" si="39"/>
        <v/>
      </c>
      <c r="I146" s="3" t="str">
        <f t="shared" si="39"/>
        <v/>
      </c>
      <c r="J146" s="3" t="str">
        <f t="shared" si="39"/>
        <v/>
      </c>
    </row>
    <row r="147" spans="1:10" x14ac:dyDescent="0.3">
      <c r="A147" s="113">
        <f t="shared" si="37"/>
        <v>0.85416666666666652</v>
      </c>
      <c r="B147" s="3" t="str">
        <f t="shared" si="39"/>
        <v/>
      </c>
      <c r="C147" s="3" t="str">
        <f t="shared" si="39"/>
        <v/>
      </c>
      <c r="D147" s="3" t="str">
        <f t="shared" si="39"/>
        <v/>
      </c>
      <c r="E147" s="3" t="str">
        <f t="shared" si="39"/>
        <v/>
      </c>
      <c r="F147" s="3" t="str">
        <f t="shared" si="39"/>
        <v/>
      </c>
      <c r="G147" s="3" t="str">
        <f t="shared" si="39"/>
        <v/>
      </c>
      <c r="H147" s="3" t="str">
        <f t="shared" si="39"/>
        <v/>
      </c>
      <c r="I147" s="3" t="str">
        <f t="shared" si="39"/>
        <v/>
      </c>
      <c r="J147" s="3" t="str">
        <f t="shared" si="39"/>
        <v/>
      </c>
    </row>
    <row r="148" spans="1:10" x14ac:dyDescent="0.3">
      <c r="A148" s="113">
        <f t="shared" si="37"/>
        <v>0.88888888888888873</v>
      </c>
      <c r="B148" s="3" t="str">
        <f t="shared" si="39"/>
        <v/>
      </c>
      <c r="C148" s="3" t="str">
        <f t="shared" si="39"/>
        <v/>
      </c>
      <c r="D148" s="3" t="str">
        <f t="shared" si="39"/>
        <v/>
      </c>
      <c r="E148" s="3" t="str">
        <f t="shared" si="39"/>
        <v/>
      </c>
      <c r="F148" s="3" t="str">
        <f t="shared" si="39"/>
        <v/>
      </c>
      <c r="G148" s="3" t="str">
        <f t="shared" si="39"/>
        <v/>
      </c>
      <c r="H148" s="3" t="str">
        <f t="shared" si="39"/>
        <v/>
      </c>
      <c r="I148" s="3" t="str">
        <f t="shared" si="39"/>
        <v/>
      </c>
      <c r="J148" s="3" t="str">
        <f t="shared" si="39"/>
        <v/>
      </c>
    </row>
    <row r="149" spans="1:10" x14ac:dyDescent="0.3">
      <c r="A149" s="113">
        <f t="shared" si="37"/>
        <v>0.92361111111111094</v>
      </c>
      <c r="B149" s="3" t="str">
        <f t="shared" si="39"/>
        <v/>
      </c>
      <c r="C149" s="3" t="str">
        <f t="shared" si="39"/>
        <v/>
      </c>
      <c r="D149" s="3" t="str">
        <f t="shared" si="39"/>
        <v/>
      </c>
      <c r="E149" s="3" t="str">
        <f t="shared" si="39"/>
        <v/>
      </c>
      <c r="F149" s="3" t="str">
        <f t="shared" si="39"/>
        <v/>
      </c>
      <c r="G149" s="3" t="str">
        <f t="shared" si="39"/>
        <v/>
      </c>
      <c r="H149" s="3" t="str">
        <f t="shared" si="39"/>
        <v/>
      </c>
      <c r="I149" s="3" t="str">
        <f t="shared" si="39"/>
        <v/>
      </c>
      <c r="J149" s="3" t="str">
        <f t="shared" si="39"/>
        <v/>
      </c>
    </row>
    <row r="150" spans="1:10" x14ac:dyDescent="0.3">
      <c r="A150" s="113">
        <f t="shared" si="37"/>
        <v>0.95833333333333315</v>
      </c>
      <c r="B150" s="3" t="str">
        <f t="shared" si="39"/>
        <v/>
      </c>
      <c r="C150" s="3" t="str">
        <f t="shared" si="39"/>
        <v/>
      </c>
      <c r="D150" s="3" t="str">
        <f t="shared" si="39"/>
        <v/>
      </c>
      <c r="E150" s="3" t="str">
        <f t="shared" si="39"/>
        <v/>
      </c>
      <c r="F150" s="3" t="str">
        <f t="shared" si="39"/>
        <v/>
      </c>
      <c r="G150" s="3" t="str">
        <f t="shared" si="39"/>
        <v/>
      </c>
      <c r="H150" s="3" t="str">
        <f t="shared" si="39"/>
        <v/>
      </c>
      <c r="I150" s="3" t="str">
        <f t="shared" si="39"/>
        <v/>
      </c>
      <c r="J150" s="3" t="str">
        <f t="shared" si="39"/>
        <v/>
      </c>
    </row>
    <row r="151" spans="1:10" x14ac:dyDescent="0.3">
      <c r="A151" s="113">
        <f t="shared" si="37"/>
        <v>0.99305555555555536</v>
      </c>
      <c r="B151" s="3" t="str">
        <f t="shared" si="39"/>
        <v/>
      </c>
      <c r="C151" s="3" t="str">
        <f t="shared" si="39"/>
        <v/>
      </c>
      <c r="D151" s="3" t="str">
        <f t="shared" si="39"/>
        <v/>
      </c>
      <c r="E151" s="3" t="str">
        <f t="shared" si="39"/>
        <v/>
      </c>
      <c r="F151" s="3" t="str">
        <f t="shared" si="39"/>
        <v/>
      </c>
      <c r="G151" s="3" t="str">
        <f t="shared" si="39"/>
        <v/>
      </c>
      <c r="H151" s="3" t="str">
        <f t="shared" si="39"/>
        <v/>
      </c>
      <c r="I151" s="3" t="str">
        <f t="shared" si="39"/>
        <v/>
      </c>
      <c r="J151" s="3" t="str">
        <f t="shared" si="39"/>
        <v/>
      </c>
    </row>
    <row r="154" spans="1:10" x14ac:dyDescent="0.3">
      <c r="A154" s="112" t="s">
        <v>365</v>
      </c>
    </row>
    <row r="155" spans="1:10" x14ac:dyDescent="0.3">
      <c r="A155" s="113"/>
      <c r="B155" s="3" t="s">
        <v>338</v>
      </c>
      <c r="C155" s="3" t="str">
        <f>B28</f>
        <v/>
      </c>
      <c r="D155" s="3"/>
      <c r="E155" s="3"/>
      <c r="F155" s="3"/>
      <c r="G155" s="3"/>
      <c r="H155" s="3"/>
      <c r="I155" s="3"/>
      <c r="J155" s="3"/>
    </row>
    <row r="156" spans="1:10" x14ac:dyDescent="0.3">
      <c r="A156" s="113"/>
      <c r="B156" s="49">
        <f>B7</f>
        <v>43057</v>
      </c>
      <c r="C156" s="49">
        <f t="shared" ref="C156:J156" si="40">C7</f>
        <v>43058</v>
      </c>
      <c r="D156" s="49">
        <f t="shared" si="40"/>
        <v>43059</v>
      </c>
      <c r="E156" s="49">
        <f t="shared" si="40"/>
        <v>43060</v>
      </c>
      <c r="F156" s="49">
        <f t="shared" si="40"/>
        <v>43061</v>
      </c>
      <c r="G156" s="49">
        <f t="shared" si="40"/>
        <v>43062</v>
      </c>
      <c r="H156" s="49">
        <f t="shared" si="40"/>
        <v>43063</v>
      </c>
      <c r="I156" s="49">
        <f t="shared" si="40"/>
        <v>43064</v>
      </c>
      <c r="J156" s="49">
        <f t="shared" si="40"/>
        <v>43065</v>
      </c>
    </row>
    <row r="157" spans="1:10" x14ac:dyDescent="0.3">
      <c r="A157" s="113"/>
      <c r="B157" s="73" t="s">
        <v>339</v>
      </c>
      <c r="C157" s="73" t="s">
        <v>340</v>
      </c>
      <c r="D157" s="73" t="s">
        <v>341</v>
      </c>
      <c r="E157" s="73" t="s">
        <v>342</v>
      </c>
      <c r="F157" s="73" t="s">
        <v>343</v>
      </c>
      <c r="G157" s="73" t="s">
        <v>344</v>
      </c>
      <c r="H157" s="73" t="s">
        <v>345</v>
      </c>
      <c r="I157" s="73" t="s">
        <v>346</v>
      </c>
      <c r="J157" s="73" t="s">
        <v>347</v>
      </c>
    </row>
    <row r="158" spans="1:10" x14ac:dyDescent="0.3">
      <c r="A158" s="113"/>
      <c r="B158" s="3"/>
      <c r="C158" s="3"/>
      <c r="D158" s="3"/>
      <c r="E158" s="3"/>
      <c r="F158" s="3"/>
      <c r="G158" s="3"/>
      <c r="H158" s="3"/>
      <c r="I158" s="3"/>
      <c r="J158" s="3"/>
    </row>
    <row r="159" spans="1:10" x14ac:dyDescent="0.3">
      <c r="A159" s="113">
        <f>A9</f>
        <v>0.33333333333333331</v>
      </c>
      <c r="B159" s="3" t="str">
        <f t="shared" ref="B159:J168" si="41">vlookup_multi(TEXT(B$7+$A159,"MM/DD/YYYY HH:MM")&amp;"-&gt;"&amp;$E$1,extra_schedule_search)</f>
        <v/>
      </c>
      <c r="C159" s="3" t="str">
        <f t="shared" si="41"/>
        <v/>
      </c>
      <c r="D159" s="3" t="str">
        <f t="shared" si="41"/>
        <v/>
      </c>
      <c r="E159" s="3" t="str">
        <f t="shared" si="41"/>
        <v/>
      </c>
      <c r="F159" s="3" t="str">
        <f t="shared" si="41"/>
        <v/>
      </c>
      <c r="G159" s="3" t="str">
        <f t="shared" si="41"/>
        <v/>
      </c>
      <c r="H159" s="3" t="str">
        <f t="shared" si="41"/>
        <v/>
      </c>
      <c r="I159" s="3" t="str">
        <f t="shared" si="41"/>
        <v/>
      </c>
      <c r="J159" s="3" t="str">
        <f t="shared" si="41"/>
        <v/>
      </c>
    </row>
    <row r="160" spans="1:10" x14ac:dyDescent="0.3">
      <c r="A160" s="113">
        <f t="shared" ref="A160:A178" si="42">A10</f>
        <v>0.36805555555555552</v>
      </c>
      <c r="B160" s="3" t="str">
        <f t="shared" si="41"/>
        <v/>
      </c>
      <c r="C160" s="3" t="str">
        <f t="shared" si="41"/>
        <v/>
      </c>
      <c r="D160" s="3" t="str">
        <f t="shared" si="41"/>
        <v/>
      </c>
      <c r="E160" s="3" t="str">
        <f t="shared" si="41"/>
        <v/>
      </c>
      <c r="F160" s="3" t="str">
        <f t="shared" si="41"/>
        <v/>
      </c>
      <c r="G160" s="3" t="str">
        <f t="shared" si="41"/>
        <v/>
      </c>
      <c r="H160" s="3" t="str">
        <f t="shared" si="41"/>
        <v/>
      </c>
      <c r="I160" s="3" t="str">
        <f t="shared" si="41"/>
        <v/>
      </c>
      <c r="J160" s="3" t="str">
        <f t="shared" si="41"/>
        <v/>
      </c>
    </row>
    <row r="161" spans="1:10" x14ac:dyDescent="0.3">
      <c r="A161" s="113">
        <f t="shared" si="42"/>
        <v>0.40277777777777773</v>
      </c>
      <c r="B161" s="3" t="str">
        <f t="shared" si="41"/>
        <v/>
      </c>
      <c r="C161" s="3" t="str">
        <f t="shared" si="41"/>
        <v/>
      </c>
      <c r="D161" s="3" t="str">
        <f t="shared" si="41"/>
        <v/>
      </c>
      <c r="E161" s="3" t="str">
        <f t="shared" si="41"/>
        <v/>
      </c>
      <c r="F161" s="3" t="str">
        <f t="shared" si="41"/>
        <v/>
      </c>
      <c r="G161" s="3" t="str">
        <f t="shared" si="41"/>
        <v/>
      </c>
      <c r="H161" s="3" t="str">
        <f t="shared" si="41"/>
        <v/>
      </c>
      <c r="I161" s="3" t="str">
        <f t="shared" si="41"/>
        <v/>
      </c>
      <c r="J161" s="3" t="str">
        <f t="shared" si="41"/>
        <v/>
      </c>
    </row>
    <row r="162" spans="1:10" x14ac:dyDescent="0.3">
      <c r="A162" s="113">
        <f t="shared" si="42"/>
        <v>0.43749999999999994</v>
      </c>
      <c r="B162" s="3" t="str">
        <f t="shared" si="41"/>
        <v/>
      </c>
      <c r="C162" s="3" t="str">
        <f t="shared" si="41"/>
        <v>[Chess Tournament in Senior Lounge]</v>
      </c>
      <c r="D162" s="3" t="str">
        <f t="shared" si="41"/>
        <v/>
      </c>
      <c r="E162" s="3" t="str">
        <f t="shared" si="41"/>
        <v/>
      </c>
      <c r="F162" s="3" t="str">
        <f t="shared" si="41"/>
        <v/>
      </c>
      <c r="G162" s="3" t="str">
        <f t="shared" si="41"/>
        <v>[Chess Tournament in Senior Lounge]</v>
      </c>
      <c r="H162" s="3" t="str">
        <f t="shared" si="41"/>
        <v>[Chess Tournament in Senior Lounge]</v>
      </c>
      <c r="I162" s="3" t="str">
        <f t="shared" si="41"/>
        <v/>
      </c>
      <c r="J162" s="3" t="str">
        <f t="shared" si="41"/>
        <v/>
      </c>
    </row>
    <row r="163" spans="1:10" x14ac:dyDescent="0.3">
      <c r="A163" s="113">
        <f t="shared" si="42"/>
        <v>0.47222222222222215</v>
      </c>
      <c r="B163" s="3" t="str">
        <f t="shared" si="41"/>
        <v/>
      </c>
      <c r="C163" s="3" t="str">
        <f t="shared" si="41"/>
        <v/>
      </c>
      <c r="D163" s="3" t="str">
        <f t="shared" si="41"/>
        <v/>
      </c>
      <c r="E163" s="3" t="str">
        <f t="shared" si="41"/>
        <v/>
      </c>
      <c r="F163" s="3" t="str">
        <f t="shared" si="41"/>
        <v/>
      </c>
      <c r="G163" s="3" t="str">
        <f t="shared" si="41"/>
        <v/>
      </c>
      <c r="H163" s="3" t="str">
        <f t="shared" si="41"/>
        <v/>
      </c>
      <c r="I163" s="3" t="str">
        <f t="shared" si="41"/>
        <v/>
      </c>
      <c r="J163" s="3" t="str">
        <f t="shared" si="41"/>
        <v/>
      </c>
    </row>
    <row r="164" spans="1:10" x14ac:dyDescent="0.3">
      <c r="A164" s="113">
        <f t="shared" si="42"/>
        <v>0.50694444444444442</v>
      </c>
      <c r="B164" s="3" t="str">
        <f t="shared" si="41"/>
        <v/>
      </c>
      <c r="C164" s="3" t="str">
        <f t="shared" si="41"/>
        <v/>
      </c>
      <c r="D164" s="3" t="str">
        <f t="shared" si="41"/>
        <v/>
      </c>
      <c r="E164" s="3" t="str">
        <f t="shared" si="41"/>
        <v/>
      </c>
      <c r="F164" s="3" t="str">
        <f t="shared" si="41"/>
        <v/>
      </c>
      <c r="G164" s="3" t="str">
        <f t="shared" si="41"/>
        <v/>
      </c>
      <c r="H164" s="3" t="str">
        <f t="shared" si="41"/>
        <v/>
      </c>
      <c r="I164" s="3" t="str">
        <f t="shared" si="41"/>
        <v/>
      </c>
      <c r="J164" s="3" t="str">
        <f t="shared" si="41"/>
        <v/>
      </c>
    </row>
    <row r="165" spans="1:10" x14ac:dyDescent="0.3">
      <c r="A165" s="113">
        <f t="shared" si="42"/>
        <v>0.54166666666666663</v>
      </c>
      <c r="B165" s="3" t="str">
        <f t="shared" si="41"/>
        <v/>
      </c>
      <c r="C165" s="3" t="str">
        <f t="shared" si="41"/>
        <v/>
      </c>
      <c r="D165" s="3" t="str">
        <f t="shared" si="41"/>
        <v/>
      </c>
      <c r="E165" s="3" t="str">
        <f t="shared" si="41"/>
        <v/>
      </c>
      <c r="F165" s="3" t="str">
        <f t="shared" si="41"/>
        <v/>
      </c>
      <c r="G165" s="3" t="str">
        <f t="shared" si="41"/>
        <v/>
      </c>
      <c r="H165" s="3" t="str">
        <f t="shared" si="41"/>
        <v/>
      </c>
      <c r="I165" s="3" t="str">
        <f t="shared" si="41"/>
        <v/>
      </c>
      <c r="J165" s="3" t="str">
        <f t="shared" si="41"/>
        <v/>
      </c>
    </row>
    <row r="166" spans="1:10" x14ac:dyDescent="0.3">
      <c r="A166" s="113">
        <f t="shared" si="42"/>
        <v>0.57638888888888884</v>
      </c>
      <c r="B166" s="3" t="str">
        <f t="shared" si="41"/>
        <v/>
      </c>
      <c r="C166" s="3" t="str">
        <f t="shared" si="41"/>
        <v/>
      </c>
      <c r="D166" s="3" t="str">
        <f t="shared" si="41"/>
        <v/>
      </c>
      <c r="E166" s="3" t="str">
        <f t="shared" si="41"/>
        <v/>
      </c>
      <c r="F166" s="3" t="str">
        <f t="shared" si="41"/>
        <v/>
      </c>
      <c r="G166" s="3" t="str">
        <f t="shared" si="41"/>
        <v/>
      </c>
      <c r="H166" s="3" t="str">
        <f t="shared" si="41"/>
        <v/>
      </c>
      <c r="I166" s="3" t="str">
        <f t="shared" si="41"/>
        <v/>
      </c>
      <c r="J166" s="3" t="str">
        <f t="shared" si="41"/>
        <v/>
      </c>
    </row>
    <row r="167" spans="1:10" x14ac:dyDescent="0.3">
      <c r="A167" s="113">
        <f t="shared" si="42"/>
        <v>0.61111111111111105</v>
      </c>
      <c r="B167" s="3" t="str">
        <f t="shared" si="41"/>
        <v/>
      </c>
      <c r="C167" s="3" t="str">
        <f t="shared" si="41"/>
        <v/>
      </c>
      <c r="D167" s="3" t="str">
        <f t="shared" si="41"/>
        <v/>
      </c>
      <c r="E167" s="3" t="str">
        <f t="shared" si="41"/>
        <v/>
      </c>
      <c r="F167" s="3" t="str">
        <f t="shared" si="41"/>
        <v/>
      </c>
      <c r="G167" s="3" t="str">
        <f t="shared" si="41"/>
        <v/>
      </c>
      <c r="H167" s="3" t="str">
        <f t="shared" si="41"/>
        <v/>
      </c>
      <c r="I167" s="3" t="str">
        <f t="shared" si="41"/>
        <v/>
      </c>
      <c r="J167" s="3" t="str">
        <f t="shared" si="41"/>
        <v/>
      </c>
    </row>
    <row r="168" spans="1:10" x14ac:dyDescent="0.3">
      <c r="A168" s="113">
        <f t="shared" si="42"/>
        <v>0.64583333333333326</v>
      </c>
      <c r="B168" s="3" t="str">
        <f t="shared" si="41"/>
        <v/>
      </c>
      <c r="C168" s="3" t="str">
        <f t="shared" si="41"/>
        <v/>
      </c>
      <c r="D168" s="3" t="str">
        <f t="shared" si="41"/>
        <v/>
      </c>
      <c r="E168" s="3" t="str">
        <f t="shared" si="41"/>
        <v/>
      </c>
      <c r="F168" s="3" t="str">
        <f t="shared" si="41"/>
        <v/>
      </c>
      <c r="G168" s="3" t="str">
        <f t="shared" si="41"/>
        <v/>
      </c>
      <c r="H168" s="3" t="str">
        <f t="shared" si="41"/>
        <v/>
      </c>
      <c r="I168" s="3" t="str">
        <f t="shared" si="41"/>
        <v/>
      </c>
      <c r="J168" s="3" t="str">
        <f t="shared" si="41"/>
        <v/>
      </c>
    </row>
    <row r="169" spans="1:10" x14ac:dyDescent="0.3">
      <c r="A169" s="113">
        <f t="shared" si="42"/>
        <v>0.68055555555555547</v>
      </c>
      <c r="B169" s="3" t="str">
        <f t="shared" ref="B169:J178" si="43">vlookup_multi(TEXT(B$7+$A169,"MM/DD/YYYY HH:MM")&amp;"-&gt;"&amp;$E$1,extra_schedule_search)</f>
        <v/>
      </c>
      <c r="C169" s="3" t="str">
        <f t="shared" si="43"/>
        <v/>
      </c>
      <c r="D169" s="3" t="str">
        <f t="shared" si="43"/>
        <v/>
      </c>
      <c r="E169" s="3" t="str">
        <f t="shared" si="43"/>
        <v/>
      </c>
      <c r="F169" s="3" t="str">
        <f t="shared" si="43"/>
        <v/>
      </c>
      <c r="G169" s="3" t="str">
        <f t="shared" si="43"/>
        <v/>
      </c>
      <c r="H169" s="3" t="str">
        <f t="shared" si="43"/>
        <v/>
      </c>
      <c r="I169" s="3" t="str">
        <f t="shared" si="43"/>
        <v/>
      </c>
      <c r="J169" s="3" t="str">
        <f t="shared" si="43"/>
        <v/>
      </c>
    </row>
    <row r="170" spans="1:10" x14ac:dyDescent="0.3">
      <c r="A170" s="113">
        <f t="shared" si="42"/>
        <v>0.71527777777777768</v>
      </c>
      <c r="B170" s="3" t="str">
        <f t="shared" si="43"/>
        <v/>
      </c>
      <c r="C170" s="3" t="str">
        <f t="shared" si="43"/>
        <v/>
      </c>
      <c r="D170" s="3" t="str">
        <f t="shared" si="43"/>
        <v/>
      </c>
      <c r="E170" s="3" t="str">
        <f t="shared" si="43"/>
        <v/>
      </c>
      <c r="F170" s="3" t="str">
        <f t="shared" si="43"/>
        <v/>
      </c>
      <c r="G170" s="3" t="str">
        <f t="shared" si="43"/>
        <v/>
      </c>
      <c r="H170" s="3" t="str">
        <f t="shared" si="43"/>
        <v/>
      </c>
      <c r="I170" s="3" t="str">
        <f t="shared" si="43"/>
        <v/>
      </c>
      <c r="J170" s="3" t="str">
        <f t="shared" si="43"/>
        <v/>
      </c>
    </row>
    <row r="171" spans="1:10" x14ac:dyDescent="0.3">
      <c r="A171" s="113">
        <f t="shared" si="42"/>
        <v>0.74999999999999989</v>
      </c>
      <c r="B171" s="3" t="str">
        <f t="shared" si="43"/>
        <v/>
      </c>
      <c r="C171" s="3" t="str">
        <f t="shared" si="43"/>
        <v/>
      </c>
      <c r="D171" s="3" t="str">
        <f t="shared" si="43"/>
        <v/>
      </c>
      <c r="E171" s="3" t="str">
        <f t="shared" si="43"/>
        <v>[Tennis in Tennis Courts][Tennis in Tennis Courts]</v>
      </c>
      <c r="F171" s="3" t="str">
        <f t="shared" si="43"/>
        <v/>
      </c>
      <c r="G171" s="3" t="str">
        <f t="shared" si="43"/>
        <v/>
      </c>
      <c r="H171" s="3" t="str">
        <f t="shared" si="43"/>
        <v/>
      </c>
      <c r="I171" s="3" t="str">
        <f t="shared" si="43"/>
        <v/>
      </c>
      <c r="J171" s="3" t="str">
        <f t="shared" si="43"/>
        <v/>
      </c>
    </row>
    <row r="172" spans="1:10" x14ac:dyDescent="0.3">
      <c r="A172" s="113">
        <f t="shared" si="42"/>
        <v>0.7847222222222221</v>
      </c>
      <c r="B172" s="3" t="str">
        <f t="shared" si="43"/>
        <v/>
      </c>
      <c r="C172" s="3" t="str">
        <f t="shared" si="43"/>
        <v/>
      </c>
      <c r="D172" s="3" t="str">
        <f t="shared" si="43"/>
        <v/>
      </c>
      <c r="E172" s="3" t="str">
        <f t="shared" si="43"/>
        <v/>
      </c>
      <c r="F172" s="3" t="str">
        <f t="shared" si="43"/>
        <v/>
      </c>
      <c r="G172" s="3" t="str">
        <f t="shared" si="43"/>
        <v/>
      </c>
      <c r="H172" s="3" t="str">
        <f t="shared" si="43"/>
        <v/>
      </c>
      <c r="I172" s="3" t="str">
        <f t="shared" si="43"/>
        <v/>
      </c>
      <c r="J172" s="3" t="str">
        <f t="shared" si="43"/>
        <v/>
      </c>
    </row>
    <row r="173" spans="1:10" x14ac:dyDescent="0.3">
      <c r="A173" s="113">
        <f t="shared" si="42"/>
        <v>0.81944444444444431</v>
      </c>
      <c r="B173" s="3" t="str">
        <f t="shared" si="43"/>
        <v/>
      </c>
      <c r="C173" s="3" t="str">
        <f t="shared" si="43"/>
        <v/>
      </c>
      <c r="D173" s="3" t="str">
        <f t="shared" si="43"/>
        <v>[Swimming in Pool]</v>
      </c>
      <c r="E173" s="3" t="str">
        <f t="shared" si="43"/>
        <v/>
      </c>
      <c r="F173" s="3" t="str">
        <f t="shared" si="43"/>
        <v/>
      </c>
      <c r="G173" s="3" t="str">
        <f t="shared" si="43"/>
        <v/>
      </c>
      <c r="H173" s="3" t="str">
        <f t="shared" si="43"/>
        <v/>
      </c>
      <c r="I173" s="3" t="str">
        <f t="shared" si="43"/>
        <v/>
      </c>
      <c r="J173" s="3" t="str">
        <f t="shared" si="43"/>
        <v/>
      </c>
    </row>
    <row r="174" spans="1:10" x14ac:dyDescent="0.3">
      <c r="A174" s="113">
        <f t="shared" si="42"/>
        <v>0.85416666666666652</v>
      </c>
      <c r="B174" s="3" t="str">
        <f t="shared" si="43"/>
        <v/>
      </c>
      <c r="C174" s="3" t="str">
        <f t="shared" si="43"/>
        <v/>
      </c>
      <c r="D174" s="3" t="str">
        <f t="shared" si="43"/>
        <v/>
      </c>
      <c r="E174" s="3" t="str">
        <f t="shared" si="43"/>
        <v/>
      </c>
      <c r="F174" s="3" t="str">
        <f t="shared" si="43"/>
        <v/>
      </c>
      <c r="G174" s="3" t="str">
        <f t="shared" si="43"/>
        <v/>
      </c>
      <c r="H174" s="3" t="str">
        <f t="shared" si="43"/>
        <v/>
      </c>
      <c r="I174" s="3" t="str">
        <f t="shared" si="43"/>
        <v/>
      </c>
      <c r="J174" s="3" t="str">
        <f t="shared" si="43"/>
        <v/>
      </c>
    </row>
    <row r="175" spans="1:10" x14ac:dyDescent="0.3">
      <c r="A175" s="113">
        <f t="shared" si="42"/>
        <v>0.88888888888888873</v>
      </c>
      <c r="B175" s="3" t="str">
        <f t="shared" si="43"/>
        <v/>
      </c>
      <c r="C175" s="3" t="str">
        <f t="shared" si="43"/>
        <v/>
      </c>
      <c r="D175" s="3" t="str">
        <f t="shared" si="43"/>
        <v/>
      </c>
      <c r="E175" s="3" t="str">
        <f t="shared" si="43"/>
        <v/>
      </c>
      <c r="F175" s="3" t="str">
        <f t="shared" si="43"/>
        <v/>
      </c>
      <c r="G175" s="3" t="str">
        <f t="shared" si="43"/>
        <v/>
      </c>
      <c r="H175" s="3" t="str">
        <f t="shared" si="43"/>
        <v/>
      </c>
      <c r="I175" s="3" t="str">
        <f t="shared" si="43"/>
        <v/>
      </c>
      <c r="J175" s="3" t="str">
        <f t="shared" si="43"/>
        <v/>
      </c>
    </row>
    <row r="176" spans="1:10" x14ac:dyDescent="0.3">
      <c r="A176" s="113">
        <f t="shared" si="42"/>
        <v>0.92361111111111094</v>
      </c>
      <c r="B176" s="3" t="str">
        <f t="shared" si="43"/>
        <v/>
      </c>
      <c r="C176" s="3" t="str">
        <f t="shared" si="43"/>
        <v/>
      </c>
      <c r="D176" s="3" t="str">
        <f t="shared" si="43"/>
        <v/>
      </c>
      <c r="E176" s="3" t="str">
        <f t="shared" si="43"/>
        <v/>
      </c>
      <c r="F176" s="3" t="str">
        <f t="shared" si="43"/>
        <v/>
      </c>
      <c r="G176" s="3" t="str">
        <f t="shared" si="43"/>
        <v/>
      </c>
      <c r="H176" s="3" t="str">
        <f t="shared" si="43"/>
        <v/>
      </c>
      <c r="I176" s="3" t="str">
        <f t="shared" si="43"/>
        <v/>
      </c>
      <c r="J176" s="3" t="str">
        <f t="shared" si="43"/>
        <v/>
      </c>
    </row>
    <row r="177" spans="1:10" x14ac:dyDescent="0.3">
      <c r="A177" s="113">
        <f t="shared" si="42"/>
        <v>0.95833333333333315</v>
      </c>
      <c r="B177" s="3" t="str">
        <f t="shared" si="43"/>
        <v/>
      </c>
      <c r="C177" s="3" t="str">
        <f t="shared" si="43"/>
        <v/>
      </c>
      <c r="D177" s="3" t="str">
        <f t="shared" si="43"/>
        <v/>
      </c>
      <c r="E177" s="3" t="str">
        <f t="shared" si="43"/>
        <v/>
      </c>
      <c r="F177" s="3" t="str">
        <f t="shared" si="43"/>
        <v/>
      </c>
      <c r="G177" s="3" t="str">
        <f t="shared" si="43"/>
        <v/>
      </c>
      <c r="H177" s="3" t="str">
        <f t="shared" si="43"/>
        <v/>
      </c>
      <c r="I177" s="3" t="str">
        <f t="shared" si="43"/>
        <v/>
      </c>
      <c r="J177" s="3" t="str">
        <f t="shared" si="43"/>
        <v/>
      </c>
    </row>
    <row r="178" spans="1:10" x14ac:dyDescent="0.3">
      <c r="A178" s="113">
        <f t="shared" si="42"/>
        <v>0.99305555555555536</v>
      </c>
      <c r="B178" s="3" t="str">
        <f t="shared" si="43"/>
        <v/>
      </c>
      <c r="C178" s="3" t="str">
        <f t="shared" si="43"/>
        <v/>
      </c>
      <c r="D178" s="3" t="str">
        <f t="shared" si="43"/>
        <v/>
      </c>
      <c r="E178" s="3" t="str">
        <f t="shared" si="43"/>
        <v/>
      </c>
      <c r="F178" s="3" t="str">
        <f t="shared" si="43"/>
        <v/>
      </c>
      <c r="G178" s="3" t="str">
        <f t="shared" si="43"/>
        <v/>
      </c>
      <c r="H178" s="3" t="str">
        <f t="shared" si="43"/>
        <v/>
      </c>
      <c r="I178" s="3" t="str">
        <f t="shared" si="43"/>
        <v/>
      </c>
      <c r="J178" s="3" t="str">
        <f t="shared" si="43"/>
        <v/>
      </c>
    </row>
  </sheetData>
  <mergeCells count="2">
    <mergeCell ref="G5:K5"/>
    <mergeCell ref="A5:F5"/>
  </mergeCells>
  <conditionalFormatting sqref="B29:J30 B10:J24 D9:J28">
    <cfRule type="cellIs" dxfId="41" priority="111" stopIfTrue="1" operator="equal">
      <formula>"CONFLICT"</formula>
    </cfRule>
  </conditionalFormatting>
  <conditionalFormatting sqref="B25:J28">
    <cfRule type="cellIs" dxfId="40" priority="110" stopIfTrue="1" operator="equal">
      <formula>"CONFLICT"</formula>
    </cfRule>
  </conditionalFormatting>
  <conditionalFormatting sqref="B1 G5">
    <cfRule type="expression" dxfId="39" priority="4716" stopIfTrue="1">
      <formula>$E$1="children e female"</formula>
    </cfRule>
    <cfRule type="expression" dxfId="38" priority="4717" stopIfTrue="1">
      <formula>$E$1="children e male"</formula>
    </cfRule>
    <cfRule type="expression" dxfId="37" priority="4718" stopIfTrue="1">
      <formula>$E$1="children d female"</formula>
    </cfRule>
    <cfRule type="expression" dxfId="36" priority="4719" stopIfTrue="1">
      <formula>$E$1="children d male"</formula>
    </cfRule>
    <cfRule type="expression" dxfId="35" priority="4720" stopIfTrue="1">
      <formula>$E$1="Children c female"</formula>
    </cfRule>
    <cfRule type="expression" dxfId="34" priority="4721" stopIfTrue="1">
      <formula>$E$1="children c male"</formula>
    </cfRule>
    <cfRule type="expression" dxfId="33" priority="4722" stopIfTrue="1">
      <formula>$E$1="children b coed"</formula>
    </cfRule>
    <cfRule type="expression" dxfId="32" priority="4723" stopIfTrue="1">
      <formula>$E$1="children a coed"</formula>
    </cfRule>
    <cfRule type="expression" dxfId="31" priority="4724" stopIfTrue="1">
      <formula>$E$1="Juniors female"</formula>
    </cfRule>
    <cfRule type="expression" dxfId="30" priority="4725" stopIfTrue="1">
      <formula>$E$1="Juniors B male"</formula>
    </cfRule>
    <cfRule type="expression" dxfId="29" priority="4726" stopIfTrue="1">
      <formula>$E$1="juniors a male"</formula>
    </cfRule>
    <cfRule type="expression" dxfId="28" priority="4727" stopIfTrue="1">
      <formula>$E$1="adults female"</formula>
    </cfRule>
    <cfRule type="expression" dxfId="27" priority="4728" stopIfTrue="1">
      <formula>$E$1="college"</formula>
    </cfRule>
    <cfRule type="expression" dxfId="26" priority="4729" stopIfTrue="1">
      <formula>$E$1="adults male"</formula>
    </cfRule>
    <cfRule type="expression" dxfId="25" priority="4730" stopIfTrue="1">
      <formula>$E$1="veterans male"</formula>
    </cfRule>
  </conditionalFormatting>
  <conditionalFormatting sqref="B9:J28">
    <cfRule type="beginsWith" dxfId="24" priority="32" stopIfTrue="1" operator="beginsWith" text="[">
      <formula>LEFT(B9,LEN("["))="["</formula>
    </cfRule>
    <cfRule type="expression" dxfId="23" priority="4746" stopIfTrue="1">
      <formula>B9=""</formula>
    </cfRule>
    <cfRule type="expression" dxfId="22" priority="4747" stopIfTrue="1">
      <formula>$E$1="children e female"</formula>
    </cfRule>
    <cfRule type="expression" dxfId="21" priority="4748" stopIfTrue="1">
      <formula>$E$1="children e male"</formula>
    </cfRule>
    <cfRule type="expression" dxfId="20" priority="4749" stopIfTrue="1">
      <formula>$E$1="children d female"</formula>
    </cfRule>
    <cfRule type="expression" dxfId="19" priority="4750" stopIfTrue="1">
      <formula>$E$1="children d male"</formula>
    </cfRule>
    <cfRule type="expression" dxfId="18" priority="4751" stopIfTrue="1">
      <formula>$E$1="Children c female"</formula>
    </cfRule>
    <cfRule type="expression" dxfId="17" priority="4752" stopIfTrue="1">
      <formula>$E$1="children c male"</formula>
    </cfRule>
    <cfRule type="expression" dxfId="16" priority="4753" stopIfTrue="1">
      <formula>$E$1="children b coed"</formula>
    </cfRule>
    <cfRule type="expression" dxfId="15" priority="4754" stopIfTrue="1">
      <formula>$E$1="children a coed"</formula>
    </cfRule>
    <cfRule type="expression" dxfId="14" priority="4755" stopIfTrue="1">
      <formula>$E$1="Juniors female"</formula>
    </cfRule>
    <cfRule type="expression" dxfId="13" priority="4756" stopIfTrue="1">
      <formula>$E$1="Juniors B male"</formula>
    </cfRule>
    <cfRule type="expression" dxfId="12" priority="4757" stopIfTrue="1">
      <formula>$E$1="juniors a male"</formula>
    </cfRule>
    <cfRule type="expression" dxfId="11" priority="4758" stopIfTrue="1">
      <formula>$E$1="adults female"</formula>
    </cfRule>
    <cfRule type="expression" dxfId="10" priority="4759" stopIfTrue="1">
      <formula>$E$1="college"</formula>
    </cfRule>
    <cfRule type="expression" dxfId="9" priority="4760" stopIfTrue="1">
      <formula>$E$1="adults male"</formula>
    </cfRule>
    <cfRule type="expression" dxfId="8" priority="4761" stopIfTrue="1">
      <formula>$E$1="veterans male"</formula>
    </cfRule>
  </conditionalFormatting>
  <conditionalFormatting sqref="B9:J28">
    <cfRule type="cellIs" dxfId="7" priority="31" stopIfTrue="1" operator="equal">
      <formula>"CONFLICT"</formula>
    </cfRule>
  </conditionalFormatting>
  <dataValidations count="2">
    <dataValidation type="list" allowBlank="1" showInputMessage="1" showErrorMessage="1" sqref="C76 C128 C102 C49 C155" xr:uid="{00000000-0002-0000-0A00-000000000000}">
      <formula1>$R$10:$R$62</formula1>
    </dataValidation>
    <dataValidation type="list" allowBlank="1" showInputMessage="1" showErrorMessage="1" sqref="B1" xr:uid="{00000000-0002-0000-0A00-000001000000}">
      <formula1>team_list</formula1>
    </dataValidation>
  </dataValidations>
  <pageMargins left="1" right="0.5" top="1" bottom="6" header="0" footer="0"/>
  <pageSetup scale="11" fitToWidth="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C2:R142"/>
  <sheetViews>
    <sheetView workbookViewId="0"/>
  </sheetViews>
  <sheetFormatPr baseColWidth="10" defaultColWidth="8.83203125" defaultRowHeight="15" x14ac:dyDescent="0.2"/>
  <cols>
    <col min="3" max="3" width="43.1640625" customWidth="1"/>
    <col min="19" max="19" width="9" customWidth="1"/>
  </cols>
  <sheetData>
    <row r="2" spans="3:18" x14ac:dyDescent="0.2">
      <c r="D2" s="80">
        <f>SUM(D6:D119)</f>
        <v>1219</v>
      </c>
      <c r="E2">
        <f>D2/2</f>
        <v>609.5</v>
      </c>
      <c r="O2" s="45">
        <v>6</v>
      </c>
      <c r="P2" s="45">
        <v>10</v>
      </c>
      <c r="Q2" s="45">
        <v>3</v>
      </c>
      <c r="R2" s="45">
        <v>4</v>
      </c>
    </row>
    <row r="4" spans="3:18" ht="16" thickBot="1" x14ac:dyDescent="0.25">
      <c r="C4">
        <f>SI_teams!B2</f>
        <v>0</v>
      </c>
      <c r="D4" s="44">
        <f>SI_teams!B36</f>
        <v>13</v>
      </c>
      <c r="E4" s="44">
        <f>SI_teams!B37</f>
        <v>13</v>
      </c>
      <c r="F4" s="44">
        <f>SI_teams!B38</f>
        <v>6</v>
      </c>
      <c r="G4" s="44">
        <f>SI_teams!D36</f>
        <v>1</v>
      </c>
      <c r="H4" s="43">
        <f>SI_teams!D37</f>
        <v>2.1666666666666665</v>
      </c>
      <c r="I4" s="44">
        <f>SI_teams!D38</f>
        <v>4</v>
      </c>
      <c r="J4" s="43">
        <f>SI_teams!F36</f>
        <v>0</v>
      </c>
      <c r="K4" s="44" t="str">
        <f>SI_teams!F37</f>
        <v>(to be dev)</v>
      </c>
      <c r="O4" t="s">
        <v>373</v>
      </c>
    </row>
    <row r="5" spans="3:18" ht="58.5" customHeight="1" x14ac:dyDescent="0.2">
      <c r="C5" s="55" t="str">
        <f>Tables!C3</f>
        <v>Teams</v>
      </c>
      <c r="D5" s="56" t="s">
        <v>327</v>
      </c>
      <c r="E5" s="56" t="s">
        <v>330</v>
      </c>
      <c r="F5" s="56" t="s">
        <v>334</v>
      </c>
      <c r="G5" s="56" t="s">
        <v>328</v>
      </c>
      <c r="H5" s="56" t="s">
        <v>331</v>
      </c>
      <c r="I5" s="56" t="s">
        <v>335</v>
      </c>
      <c r="J5" s="56" t="s">
        <v>329</v>
      </c>
      <c r="K5" s="56" t="s">
        <v>332</v>
      </c>
      <c r="L5" s="56"/>
      <c r="M5" s="57"/>
      <c r="O5" s="50" t="s">
        <v>374</v>
      </c>
      <c r="P5" s="51" t="s">
        <v>375</v>
      </c>
      <c r="Q5" s="51" t="s">
        <v>376</v>
      </c>
      <c r="R5" s="52" t="s">
        <v>377</v>
      </c>
    </row>
    <row r="6" spans="3:18" x14ac:dyDescent="0.2">
      <c r="C6" s="9" t="s">
        <v>681</v>
      </c>
      <c r="D6" s="53">
        <v>8</v>
      </c>
      <c r="E6" s="53">
        <v>0</v>
      </c>
      <c r="F6" s="53">
        <v>5</v>
      </c>
      <c r="G6" s="53">
        <v>1</v>
      </c>
      <c r="H6" s="54">
        <v>1.6</v>
      </c>
      <c r="I6" s="53">
        <v>3</v>
      </c>
      <c r="J6" s="54">
        <v>4.25</v>
      </c>
      <c r="K6" s="53" t="s">
        <v>333</v>
      </c>
      <c r="L6" s="53"/>
      <c r="M6" s="8"/>
      <c r="O6" s="9" t="str">
        <f>IF(D6&lt;$O$2,"Alert","")</f>
        <v/>
      </c>
      <c r="P6" s="7" t="str">
        <f>IF(D6&gt;$P$2,"Alert","")</f>
        <v/>
      </c>
      <c r="Q6" s="7" t="str">
        <f>IF(F6&lt;$Q$2,"Alert","")</f>
        <v/>
      </c>
      <c r="R6" s="8" t="str">
        <f>IF(J6&gt;$R$2,"Alert","")</f>
        <v>Alert</v>
      </c>
    </row>
    <row r="7" spans="3:18" x14ac:dyDescent="0.2">
      <c r="C7" s="9" t="s">
        <v>682</v>
      </c>
      <c r="D7" s="53">
        <v>5</v>
      </c>
      <c r="E7" s="53">
        <v>0</v>
      </c>
      <c r="F7" s="53">
        <v>5</v>
      </c>
      <c r="G7" s="53">
        <v>1</v>
      </c>
      <c r="H7" s="54">
        <v>1</v>
      </c>
      <c r="I7" s="53">
        <v>1</v>
      </c>
      <c r="J7" s="54">
        <v>0</v>
      </c>
      <c r="K7" s="53" t="s">
        <v>333</v>
      </c>
      <c r="L7" s="53"/>
      <c r="M7" s="8"/>
      <c r="O7" s="9" t="str">
        <f t="shared" ref="O7:O70" si="0">IF(D7&lt;$O$2,"Alert","")</f>
        <v>Alert</v>
      </c>
      <c r="P7" s="7" t="str">
        <f t="shared" ref="P7:P70" si="1">IF(D7&gt;$P$2,"Alert","")</f>
        <v/>
      </c>
      <c r="Q7" s="7" t="str">
        <f t="shared" ref="Q7:Q70" si="2">IF(F7&lt;$Q$2,"Alert","")</f>
        <v/>
      </c>
      <c r="R7" s="8" t="str">
        <f t="shared" ref="R7:R70" si="3">IF(J7&gt;$R$2,"Alert","")</f>
        <v/>
      </c>
    </row>
    <row r="8" spans="3:18" x14ac:dyDescent="0.2">
      <c r="C8" s="9" t="s">
        <v>528</v>
      </c>
      <c r="D8" s="53">
        <v>0</v>
      </c>
      <c r="E8" s="53">
        <v>0</v>
      </c>
      <c r="F8" s="53">
        <v>0</v>
      </c>
      <c r="G8" s="53">
        <v>0</v>
      </c>
      <c r="H8" s="54" t="e">
        <v>#DIV/0!</v>
      </c>
      <c r="I8" s="53">
        <v>0</v>
      </c>
      <c r="J8" s="54">
        <v>0</v>
      </c>
      <c r="K8" s="53" t="s">
        <v>333</v>
      </c>
      <c r="L8" s="53"/>
      <c r="M8" s="8"/>
      <c r="O8" s="9" t="str">
        <f t="shared" si="0"/>
        <v>Alert</v>
      </c>
      <c r="P8" s="7" t="str">
        <f t="shared" si="1"/>
        <v/>
      </c>
      <c r="Q8" s="7" t="str">
        <f t="shared" si="2"/>
        <v>Alert</v>
      </c>
      <c r="R8" s="8" t="str">
        <f t="shared" si="3"/>
        <v/>
      </c>
    </row>
    <row r="9" spans="3:18" x14ac:dyDescent="0.2">
      <c r="C9" s="9" t="s">
        <v>529</v>
      </c>
      <c r="D9" s="53">
        <v>5</v>
      </c>
      <c r="E9" s="53">
        <v>0</v>
      </c>
      <c r="F9" s="53">
        <v>5</v>
      </c>
      <c r="G9" s="53">
        <v>1</v>
      </c>
      <c r="H9" s="54">
        <v>1</v>
      </c>
      <c r="I9" s="53">
        <v>1</v>
      </c>
      <c r="J9" s="54">
        <v>0</v>
      </c>
      <c r="K9" s="53" t="s">
        <v>333</v>
      </c>
      <c r="L9" s="53"/>
      <c r="M9" s="8"/>
      <c r="O9" s="9" t="str">
        <f t="shared" si="0"/>
        <v>Alert</v>
      </c>
      <c r="P9" s="7" t="str">
        <f t="shared" si="1"/>
        <v/>
      </c>
      <c r="Q9" s="7" t="str">
        <f t="shared" si="2"/>
        <v/>
      </c>
      <c r="R9" s="8" t="str">
        <f t="shared" si="3"/>
        <v/>
      </c>
    </row>
    <row r="10" spans="3:18" x14ac:dyDescent="0.2">
      <c r="C10" s="9" t="s">
        <v>530</v>
      </c>
      <c r="D10" s="53">
        <v>8</v>
      </c>
      <c r="E10" s="53">
        <v>0</v>
      </c>
      <c r="F10" s="53">
        <v>5</v>
      </c>
      <c r="G10" s="53">
        <v>1</v>
      </c>
      <c r="H10" s="54">
        <v>1.6</v>
      </c>
      <c r="I10" s="53">
        <v>2</v>
      </c>
      <c r="J10" s="54">
        <v>1.3333333333333333</v>
      </c>
      <c r="K10" s="53" t="s">
        <v>333</v>
      </c>
      <c r="L10" s="53"/>
      <c r="M10" s="8"/>
      <c r="O10" s="9" t="str">
        <f t="shared" si="0"/>
        <v/>
      </c>
      <c r="P10" s="7" t="str">
        <f t="shared" si="1"/>
        <v/>
      </c>
      <c r="Q10" s="7" t="str">
        <f t="shared" si="2"/>
        <v/>
      </c>
      <c r="R10" s="8" t="str">
        <f t="shared" si="3"/>
        <v/>
      </c>
    </row>
    <row r="11" spans="3:18" x14ac:dyDescent="0.2">
      <c r="C11" s="9" t="s">
        <v>531</v>
      </c>
      <c r="D11" s="53">
        <v>8</v>
      </c>
      <c r="E11" s="53">
        <v>0</v>
      </c>
      <c r="F11" s="53">
        <v>5</v>
      </c>
      <c r="G11" s="53">
        <v>1</v>
      </c>
      <c r="H11" s="54">
        <v>1.6</v>
      </c>
      <c r="I11" s="53">
        <v>3</v>
      </c>
      <c r="J11" s="54">
        <v>4</v>
      </c>
      <c r="K11" s="53" t="s">
        <v>333</v>
      </c>
      <c r="L11" s="53"/>
      <c r="M11" s="8"/>
      <c r="O11" s="9" t="str">
        <f t="shared" si="0"/>
        <v/>
      </c>
      <c r="P11" s="7" t="str">
        <f t="shared" si="1"/>
        <v/>
      </c>
      <c r="Q11" s="7" t="str">
        <f t="shared" si="2"/>
        <v/>
      </c>
      <c r="R11" s="8" t="str">
        <f t="shared" si="3"/>
        <v/>
      </c>
    </row>
    <row r="12" spans="3:18" x14ac:dyDescent="0.2">
      <c r="C12" s="9" t="s">
        <v>82</v>
      </c>
      <c r="D12" s="53">
        <v>17</v>
      </c>
      <c r="E12" s="53">
        <v>0</v>
      </c>
      <c r="F12" s="53">
        <v>6</v>
      </c>
      <c r="G12" s="53">
        <v>1</v>
      </c>
      <c r="H12" s="54">
        <v>2.6666666666666665</v>
      </c>
      <c r="I12" s="53">
        <v>6</v>
      </c>
      <c r="J12" s="54">
        <v>1.6444444444444446</v>
      </c>
      <c r="K12" s="53" t="s">
        <v>333</v>
      </c>
      <c r="L12" s="53"/>
      <c r="M12" s="8"/>
      <c r="O12" s="9" t="str">
        <f t="shared" si="0"/>
        <v/>
      </c>
      <c r="P12" s="7" t="str">
        <f t="shared" si="1"/>
        <v>Alert</v>
      </c>
      <c r="Q12" s="7" t="str">
        <f t="shared" si="2"/>
        <v/>
      </c>
      <c r="R12" s="8" t="str">
        <f t="shared" si="3"/>
        <v/>
      </c>
    </row>
    <row r="13" spans="3:18" x14ac:dyDescent="0.2">
      <c r="C13" s="9" t="s">
        <v>83</v>
      </c>
      <c r="D13" s="53">
        <v>8</v>
      </c>
      <c r="E13" s="53">
        <v>0</v>
      </c>
      <c r="F13" s="53">
        <v>6</v>
      </c>
      <c r="G13" s="53">
        <v>1</v>
      </c>
      <c r="H13" s="54">
        <v>1.3333333333333333</v>
      </c>
      <c r="I13" s="53">
        <v>2</v>
      </c>
      <c r="J13" s="54">
        <v>5.5</v>
      </c>
      <c r="K13" s="53" t="s">
        <v>333</v>
      </c>
      <c r="L13" s="53"/>
      <c r="M13" s="8"/>
      <c r="O13" s="9" t="str">
        <f t="shared" si="0"/>
        <v/>
      </c>
      <c r="P13" s="7" t="str">
        <f t="shared" si="1"/>
        <v/>
      </c>
      <c r="Q13" s="7" t="str">
        <f t="shared" si="2"/>
        <v/>
      </c>
      <c r="R13" s="8" t="str">
        <f t="shared" si="3"/>
        <v>Alert</v>
      </c>
    </row>
    <row r="14" spans="3:18" x14ac:dyDescent="0.2">
      <c r="C14" s="9" t="s">
        <v>84</v>
      </c>
      <c r="D14" s="53">
        <v>9</v>
      </c>
      <c r="E14" s="53">
        <v>0</v>
      </c>
      <c r="F14" s="53">
        <v>5</v>
      </c>
      <c r="G14" s="53">
        <v>1</v>
      </c>
      <c r="H14" s="54">
        <v>1.6</v>
      </c>
      <c r="I14" s="53">
        <v>3</v>
      </c>
      <c r="J14" s="54">
        <v>1.75</v>
      </c>
      <c r="K14" s="53" t="s">
        <v>333</v>
      </c>
      <c r="L14" s="53"/>
      <c r="M14" s="8"/>
      <c r="O14" s="9" t="str">
        <f t="shared" si="0"/>
        <v/>
      </c>
      <c r="P14" s="7" t="str">
        <f t="shared" si="1"/>
        <v/>
      </c>
      <c r="Q14" s="7" t="str">
        <f t="shared" si="2"/>
        <v/>
      </c>
      <c r="R14" s="8" t="str">
        <f t="shared" si="3"/>
        <v/>
      </c>
    </row>
    <row r="15" spans="3:18" x14ac:dyDescent="0.2">
      <c r="C15" s="9" t="s">
        <v>506</v>
      </c>
      <c r="D15" s="53">
        <v>0</v>
      </c>
      <c r="E15" s="53">
        <v>0</v>
      </c>
      <c r="F15" s="53">
        <v>0</v>
      </c>
      <c r="G15" s="53">
        <v>0</v>
      </c>
      <c r="H15" s="54" t="e">
        <v>#DIV/0!</v>
      </c>
      <c r="I15" s="53">
        <v>0</v>
      </c>
      <c r="J15" s="54">
        <v>0</v>
      </c>
      <c r="K15" s="53" t="s">
        <v>333</v>
      </c>
      <c r="L15" s="53"/>
      <c r="M15" s="8"/>
      <c r="O15" s="9" t="str">
        <f t="shared" si="0"/>
        <v>Alert</v>
      </c>
      <c r="P15" s="7" t="str">
        <f t="shared" si="1"/>
        <v/>
      </c>
      <c r="Q15" s="7" t="str">
        <f t="shared" si="2"/>
        <v>Alert</v>
      </c>
      <c r="R15" s="8" t="str">
        <f t="shared" si="3"/>
        <v/>
      </c>
    </row>
    <row r="16" spans="3:18" x14ac:dyDescent="0.2">
      <c r="C16" s="9" t="s">
        <v>507</v>
      </c>
      <c r="D16" s="53">
        <v>16</v>
      </c>
      <c r="E16" s="53">
        <v>0</v>
      </c>
      <c r="F16" s="53">
        <v>7</v>
      </c>
      <c r="G16" s="53">
        <v>1</v>
      </c>
      <c r="H16" s="54">
        <v>2.2857142857142856</v>
      </c>
      <c r="I16" s="53">
        <v>4</v>
      </c>
      <c r="J16" s="54">
        <v>1.7500000000000002</v>
      </c>
      <c r="K16" s="53" t="s">
        <v>333</v>
      </c>
      <c r="L16" s="53"/>
      <c r="M16" s="8"/>
      <c r="O16" s="9" t="str">
        <f t="shared" si="0"/>
        <v/>
      </c>
      <c r="P16" s="7" t="str">
        <f t="shared" si="1"/>
        <v>Alert</v>
      </c>
      <c r="Q16" s="7" t="str">
        <f t="shared" si="2"/>
        <v/>
      </c>
      <c r="R16" s="8" t="str">
        <f t="shared" si="3"/>
        <v/>
      </c>
    </row>
    <row r="17" spans="3:18" x14ac:dyDescent="0.2">
      <c r="C17" s="9" t="s">
        <v>508</v>
      </c>
      <c r="D17" s="53">
        <v>17</v>
      </c>
      <c r="E17" s="53">
        <v>0</v>
      </c>
      <c r="F17" s="53">
        <v>6</v>
      </c>
      <c r="G17" s="53">
        <v>1</v>
      </c>
      <c r="H17" s="54">
        <v>2.6666666666666665</v>
      </c>
      <c r="I17" s="53">
        <v>5</v>
      </c>
      <c r="J17" s="54">
        <v>1.4375</v>
      </c>
      <c r="K17" s="53" t="s">
        <v>333</v>
      </c>
      <c r="L17" s="53"/>
      <c r="M17" s="8"/>
      <c r="O17" s="9" t="str">
        <f t="shared" si="0"/>
        <v/>
      </c>
      <c r="P17" s="7" t="str">
        <f t="shared" si="1"/>
        <v>Alert</v>
      </c>
      <c r="Q17" s="7" t="str">
        <f t="shared" si="2"/>
        <v/>
      </c>
      <c r="R17" s="8" t="str">
        <f t="shared" si="3"/>
        <v/>
      </c>
    </row>
    <row r="18" spans="3:18" x14ac:dyDescent="0.2">
      <c r="C18" s="9" t="s">
        <v>509</v>
      </c>
      <c r="D18" s="53">
        <v>0</v>
      </c>
      <c r="E18" s="53">
        <v>0</v>
      </c>
      <c r="F18" s="53">
        <v>0</v>
      </c>
      <c r="G18" s="53">
        <v>0</v>
      </c>
      <c r="H18" s="54" t="e">
        <v>#DIV/0!</v>
      </c>
      <c r="I18" s="53">
        <v>0</v>
      </c>
      <c r="J18" s="54">
        <v>0</v>
      </c>
      <c r="K18" s="53" t="s">
        <v>333</v>
      </c>
      <c r="L18" s="53"/>
      <c r="M18" s="8"/>
      <c r="O18" s="9" t="str">
        <f t="shared" si="0"/>
        <v>Alert</v>
      </c>
      <c r="P18" s="7" t="str">
        <f t="shared" si="1"/>
        <v/>
      </c>
      <c r="Q18" s="7" t="str">
        <f t="shared" si="2"/>
        <v>Alert</v>
      </c>
      <c r="R18" s="8" t="str">
        <f t="shared" si="3"/>
        <v/>
      </c>
    </row>
    <row r="19" spans="3:18" x14ac:dyDescent="0.2">
      <c r="C19" s="9" t="s">
        <v>378</v>
      </c>
      <c r="D19" s="53">
        <v>17</v>
      </c>
      <c r="E19" s="53">
        <v>0</v>
      </c>
      <c r="F19" s="53">
        <v>8</v>
      </c>
      <c r="G19" s="53">
        <v>1</v>
      </c>
      <c r="H19" s="54">
        <v>2.125</v>
      </c>
      <c r="I19" s="53">
        <v>5</v>
      </c>
      <c r="J19" s="54">
        <v>1.5625</v>
      </c>
      <c r="K19" s="53" t="s">
        <v>333</v>
      </c>
      <c r="L19" s="53"/>
      <c r="M19" s="8"/>
      <c r="O19" s="9" t="str">
        <f t="shared" si="0"/>
        <v/>
      </c>
      <c r="P19" s="7" t="str">
        <f t="shared" si="1"/>
        <v>Alert</v>
      </c>
      <c r="Q19" s="7" t="str">
        <f t="shared" si="2"/>
        <v/>
      </c>
      <c r="R19" s="8" t="str">
        <f t="shared" si="3"/>
        <v/>
      </c>
    </row>
    <row r="20" spans="3:18" x14ac:dyDescent="0.2">
      <c r="C20" s="9" t="s">
        <v>510</v>
      </c>
      <c r="D20" s="53">
        <v>13</v>
      </c>
      <c r="E20" s="53">
        <v>0</v>
      </c>
      <c r="F20" s="53">
        <v>7</v>
      </c>
      <c r="G20" s="53">
        <v>1</v>
      </c>
      <c r="H20" s="54">
        <v>1.7142857142857142</v>
      </c>
      <c r="I20" s="53">
        <v>3</v>
      </c>
      <c r="J20" s="54">
        <v>3</v>
      </c>
      <c r="K20" s="53" t="s">
        <v>333</v>
      </c>
      <c r="L20" s="53"/>
      <c r="M20" s="8"/>
      <c r="O20" s="9" t="str">
        <f t="shared" si="0"/>
        <v/>
      </c>
      <c r="P20" s="7" t="str">
        <f t="shared" si="1"/>
        <v>Alert</v>
      </c>
      <c r="Q20" s="7" t="str">
        <f t="shared" si="2"/>
        <v/>
      </c>
      <c r="R20" s="8" t="str">
        <f t="shared" si="3"/>
        <v/>
      </c>
    </row>
    <row r="21" spans="3:18" x14ac:dyDescent="0.2">
      <c r="C21" s="9" t="s">
        <v>544</v>
      </c>
      <c r="D21" s="53">
        <v>12</v>
      </c>
      <c r="E21" s="53">
        <v>0</v>
      </c>
      <c r="F21" s="53">
        <v>3</v>
      </c>
      <c r="G21" s="53">
        <v>4</v>
      </c>
      <c r="H21" s="54">
        <v>4</v>
      </c>
      <c r="I21" s="53">
        <v>4</v>
      </c>
      <c r="J21" s="54">
        <v>1.5555555555555556</v>
      </c>
      <c r="K21" s="53" t="s">
        <v>333</v>
      </c>
      <c r="L21" s="53"/>
      <c r="M21" s="8"/>
      <c r="O21" s="9" t="str">
        <f t="shared" si="0"/>
        <v/>
      </c>
      <c r="P21" s="7" t="str">
        <f t="shared" si="1"/>
        <v>Alert</v>
      </c>
      <c r="Q21" s="7" t="str">
        <f t="shared" si="2"/>
        <v/>
      </c>
      <c r="R21" s="8" t="str">
        <f t="shared" si="3"/>
        <v/>
      </c>
    </row>
    <row r="22" spans="3:18" x14ac:dyDescent="0.2">
      <c r="C22" s="9" t="s">
        <v>545</v>
      </c>
      <c r="D22" s="53">
        <v>12</v>
      </c>
      <c r="E22" s="53">
        <v>0</v>
      </c>
      <c r="F22" s="53">
        <v>3</v>
      </c>
      <c r="G22" s="53">
        <v>4</v>
      </c>
      <c r="H22" s="54">
        <v>4</v>
      </c>
      <c r="I22" s="53">
        <v>4</v>
      </c>
      <c r="J22" s="54">
        <v>1.6666666666666667</v>
      </c>
      <c r="K22" s="53" t="s">
        <v>333</v>
      </c>
      <c r="L22" s="53"/>
      <c r="M22" s="8"/>
      <c r="O22" s="9" t="str">
        <f t="shared" si="0"/>
        <v/>
      </c>
      <c r="P22" s="7" t="str">
        <f t="shared" si="1"/>
        <v>Alert</v>
      </c>
      <c r="Q22" s="7" t="str">
        <f t="shared" si="2"/>
        <v/>
      </c>
      <c r="R22" s="8" t="str">
        <f t="shared" si="3"/>
        <v/>
      </c>
    </row>
    <row r="23" spans="3:18" x14ac:dyDescent="0.2">
      <c r="C23" s="9" t="s">
        <v>546</v>
      </c>
      <c r="D23" s="53">
        <v>0</v>
      </c>
      <c r="E23" s="53">
        <v>0</v>
      </c>
      <c r="F23" s="53">
        <v>0</v>
      </c>
      <c r="G23" s="53">
        <v>0</v>
      </c>
      <c r="H23" s="54" t="e">
        <v>#DIV/0!</v>
      </c>
      <c r="I23" s="53">
        <v>0</v>
      </c>
      <c r="J23" s="54">
        <v>0</v>
      </c>
      <c r="K23" s="53" t="s">
        <v>333</v>
      </c>
      <c r="L23" s="53"/>
      <c r="M23" s="8"/>
      <c r="O23" s="9" t="str">
        <f t="shared" si="0"/>
        <v>Alert</v>
      </c>
      <c r="P23" s="7" t="str">
        <f t="shared" si="1"/>
        <v/>
      </c>
      <c r="Q23" s="7" t="str">
        <f t="shared" si="2"/>
        <v>Alert</v>
      </c>
      <c r="R23" s="8" t="str">
        <f t="shared" si="3"/>
        <v/>
      </c>
    </row>
    <row r="24" spans="3:18" x14ac:dyDescent="0.2">
      <c r="C24" s="64" t="s">
        <v>547</v>
      </c>
      <c r="D24" s="65">
        <v>0</v>
      </c>
      <c r="E24" s="65">
        <v>0</v>
      </c>
      <c r="F24" s="65">
        <v>0</v>
      </c>
      <c r="G24" s="65">
        <v>0</v>
      </c>
      <c r="H24" s="66" t="e">
        <v>#DIV/0!</v>
      </c>
      <c r="I24" s="65">
        <v>0</v>
      </c>
      <c r="J24" s="66">
        <v>0</v>
      </c>
      <c r="K24" s="65" t="s">
        <v>333</v>
      </c>
      <c r="L24" s="65"/>
      <c r="M24" s="67"/>
      <c r="O24" s="9" t="str">
        <f t="shared" si="0"/>
        <v>Alert</v>
      </c>
      <c r="P24" s="7" t="str">
        <f t="shared" si="1"/>
        <v/>
      </c>
      <c r="Q24" s="7" t="str">
        <f t="shared" si="2"/>
        <v>Alert</v>
      </c>
      <c r="R24" s="8" t="str">
        <f t="shared" si="3"/>
        <v/>
      </c>
    </row>
    <row r="25" spans="3:18" x14ac:dyDescent="0.2">
      <c r="C25" s="9" t="s">
        <v>548</v>
      </c>
      <c r="D25" s="53">
        <v>12</v>
      </c>
      <c r="E25" s="53">
        <v>0</v>
      </c>
      <c r="F25" s="53">
        <v>3</v>
      </c>
      <c r="G25" s="53">
        <v>4</v>
      </c>
      <c r="H25" s="54">
        <v>4</v>
      </c>
      <c r="I25" s="53">
        <v>4</v>
      </c>
      <c r="J25" s="54">
        <v>1.6666666666666667</v>
      </c>
      <c r="K25" s="53" t="s">
        <v>333</v>
      </c>
      <c r="L25" s="53"/>
      <c r="M25" s="8"/>
      <c r="O25" s="9" t="str">
        <f t="shared" si="0"/>
        <v/>
      </c>
      <c r="P25" s="7" t="str">
        <f t="shared" si="1"/>
        <v>Alert</v>
      </c>
      <c r="Q25" s="7" t="str">
        <f t="shared" si="2"/>
        <v/>
      </c>
      <c r="R25" s="8" t="str">
        <f t="shared" si="3"/>
        <v/>
      </c>
    </row>
    <row r="26" spans="3:18" x14ac:dyDescent="0.2">
      <c r="C26" s="9" t="s">
        <v>680</v>
      </c>
      <c r="D26" s="53">
        <v>12</v>
      </c>
      <c r="E26" s="53">
        <v>0</v>
      </c>
      <c r="F26" s="53">
        <v>3</v>
      </c>
      <c r="G26" s="53">
        <v>4</v>
      </c>
      <c r="H26" s="54">
        <v>4</v>
      </c>
      <c r="I26" s="53">
        <v>4</v>
      </c>
      <c r="J26" s="54">
        <v>1.7777777777777777</v>
      </c>
      <c r="K26" s="53" t="s">
        <v>333</v>
      </c>
      <c r="L26" s="53"/>
      <c r="M26" s="8"/>
      <c r="O26" s="9" t="str">
        <f t="shared" si="0"/>
        <v/>
      </c>
      <c r="P26" s="7" t="str">
        <f t="shared" si="1"/>
        <v>Alert</v>
      </c>
      <c r="Q26" s="7" t="str">
        <f t="shared" si="2"/>
        <v/>
      </c>
      <c r="R26" s="8" t="str">
        <f t="shared" si="3"/>
        <v/>
      </c>
    </row>
    <row r="27" spans="3:18" x14ac:dyDescent="0.2">
      <c r="C27" s="9" t="s">
        <v>550</v>
      </c>
      <c r="D27" s="53">
        <v>0</v>
      </c>
      <c r="E27" s="53">
        <v>0</v>
      </c>
      <c r="F27" s="53">
        <v>0</v>
      </c>
      <c r="G27" s="53">
        <v>0</v>
      </c>
      <c r="H27" s="54" t="e">
        <v>#DIV/0!</v>
      </c>
      <c r="I27" s="53">
        <v>0</v>
      </c>
      <c r="J27" s="54">
        <v>0</v>
      </c>
      <c r="K27" s="53" t="s">
        <v>333</v>
      </c>
      <c r="L27" s="53"/>
      <c r="M27" s="8"/>
      <c r="O27" s="9" t="str">
        <f t="shared" si="0"/>
        <v>Alert</v>
      </c>
      <c r="P27" s="7" t="str">
        <f t="shared" si="1"/>
        <v/>
      </c>
      <c r="Q27" s="7" t="str">
        <f t="shared" si="2"/>
        <v>Alert</v>
      </c>
      <c r="R27" s="8" t="str">
        <f t="shared" si="3"/>
        <v/>
      </c>
    </row>
    <row r="28" spans="3:18" x14ac:dyDescent="0.2">
      <c r="C28" s="9" t="s">
        <v>552</v>
      </c>
      <c r="D28" s="53">
        <v>12</v>
      </c>
      <c r="E28" s="53">
        <v>0</v>
      </c>
      <c r="F28" s="53">
        <v>4</v>
      </c>
      <c r="G28" s="53">
        <v>3</v>
      </c>
      <c r="H28" s="54">
        <v>3</v>
      </c>
      <c r="I28" s="53">
        <v>3</v>
      </c>
      <c r="J28" s="54">
        <v>2.125</v>
      </c>
      <c r="K28" s="53" t="s">
        <v>333</v>
      </c>
      <c r="L28" s="53"/>
      <c r="M28" s="8"/>
      <c r="O28" s="9" t="str">
        <f t="shared" si="0"/>
        <v/>
      </c>
      <c r="P28" s="7" t="str">
        <f t="shared" si="1"/>
        <v>Alert</v>
      </c>
      <c r="Q28" s="7" t="str">
        <f t="shared" si="2"/>
        <v/>
      </c>
      <c r="R28" s="8" t="str">
        <f t="shared" si="3"/>
        <v/>
      </c>
    </row>
    <row r="29" spans="3:18" x14ac:dyDescent="0.2">
      <c r="C29" s="9" t="s">
        <v>553</v>
      </c>
      <c r="D29" s="53">
        <v>12</v>
      </c>
      <c r="E29" s="53">
        <v>0</v>
      </c>
      <c r="F29" s="53">
        <v>4</v>
      </c>
      <c r="G29" s="53">
        <v>2</v>
      </c>
      <c r="H29" s="54">
        <v>3</v>
      </c>
      <c r="I29" s="53">
        <v>4</v>
      </c>
      <c r="J29" s="54">
        <v>3.6666666666666665</v>
      </c>
      <c r="K29" s="53" t="s">
        <v>333</v>
      </c>
      <c r="L29" s="53"/>
      <c r="M29" s="8"/>
      <c r="O29" s="9" t="str">
        <f t="shared" si="0"/>
        <v/>
      </c>
      <c r="P29" s="7" t="str">
        <f t="shared" si="1"/>
        <v>Alert</v>
      </c>
      <c r="Q29" s="7" t="str">
        <f t="shared" si="2"/>
        <v/>
      </c>
      <c r="R29" s="8" t="str">
        <f t="shared" si="3"/>
        <v/>
      </c>
    </row>
    <row r="30" spans="3:18" x14ac:dyDescent="0.2">
      <c r="C30" s="9" t="s">
        <v>554</v>
      </c>
      <c r="D30" s="53">
        <v>12</v>
      </c>
      <c r="E30" s="53">
        <v>0</v>
      </c>
      <c r="F30" s="53">
        <v>4</v>
      </c>
      <c r="G30" s="53">
        <v>2</v>
      </c>
      <c r="H30" s="54">
        <v>3</v>
      </c>
      <c r="I30" s="53">
        <v>4</v>
      </c>
      <c r="J30" s="54">
        <v>2.333333333333333</v>
      </c>
      <c r="K30" s="53" t="s">
        <v>333</v>
      </c>
      <c r="L30" s="53"/>
      <c r="M30" s="8"/>
      <c r="O30" s="9" t="str">
        <f t="shared" si="0"/>
        <v/>
      </c>
      <c r="P30" s="7" t="str">
        <f t="shared" si="1"/>
        <v>Alert</v>
      </c>
      <c r="Q30" s="7" t="str">
        <f t="shared" si="2"/>
        <v/>
      </c>
      <c r="R30" s="8" t="str">
        <f t="shared" si="3"/>
        <v/>
      </c>
    </row>
    <row r="31" spans="3:18" x14ac:dyDescent="0.2">
      <c r="C31" s="9" t="s">
        <v>555</v>
      </c>
      <c r="D31" s="53">
        <v>12</v>
      </c>
      <c r="E31" s="53">
        <v>0</v>
      </c>
      <c r="F31" s="53">
        <v>4</v>
      </c>
      <c r="G31" s="53">
        <v>1</v>
      </c>
      <c r="H31" s="54">
        <v>3</v>
      </c>
      <c r="I31" s="53">
        <v>4</v>
      </c>
      <c r="J31" s="54">
        <v>1.4444444444444446</v>
      </c>
      <c r="K31" s="53" t="s">
        <v>333</v>
      </c>
      <c r="L31" s="53"/>
      <c r="M31" s="8"/>
      <c r="O31" s="9" t="str">
        <f t="shared" si="0"/>
        <v/>
      </c>
      <c r="P31" s="7" t="str">
        <f t="shared" si="1"/>
        <v>Alert</v>
      </c>
      <c r="Q31" s="7" t="str">
        <f t="shared" si="2"/>
        <v/>
      </c>
      <c r="R31" s="8" t="str">
        <f t="shared" si="3"/>
        <v/>
      </c>
    </row>
    <row r="32" spans="3:18" x14ac:dyDescent="0.2">
      <c r="C32" s="9" t="s">
        <v>556</v>
      </c>
      <c r="D32" s="53">
        <v>0</v>
      </c>
      <c r="E32" s="53">
        <v>0</v>
      </c>
      <c r="F32" s="53">
        <v>0</v>
      </c>
      <c r="G32" s="53">
        <v>0</v>
      </c>
      <c r="H32" s="54" t="e">
        <v>#DIV/0!</v>
      </c>
      <c r="I32" s="53">
        <v>0</v>
      </c>
      <c r="J32" s="54">
        <v>0</v>
      </c>
      <c r="K32" s="53" t="s">
        <v>333</v>
      </c>
      <c r="L32" s="53"/>
      <c r="M32" s="8"/>
      <c r="O32" s="9" t="str">
        <f t="shared" si="0"/>
        <v>Alert</v>
      </c>
      <c r="P32" s="7" t="str">
        <f t="shared" si="1"/>
        <v/>
      </c>
      <c r="Q32" s="7" t="str">
        <f t="shared" si="2"/>
        <v>Alert</v>
      </c>
      <c r="R32" s="8" t="str">
        <f t="shared" si="3"/>
        <v/>
      </c>
    </row>
    <row r="33" spans="3:18" x14ac:dyDescent="0.2">
      <c r="C33" s="9" t="s">
        <v>557</v>
      </c>
      <c r="D33" s="53">
        <v>0</v>
      </c>
      <c r="E33" s="53">
        <v>0</v>
      </c>
      <c r="F33" s="53">
        <v>0</v>
      </c>
      <c r="G33" s="53">
        <v>0</v>
      </c>
      <c r="H33" s="54" t="e">
        <v>#DIV/0!</v>
      </c>
      <c r="I33" s="53">
        <v>0</v>
      </c>
      <c r="J33" s="54">
        <v>0</v>
      </c>
      <c r="K33" s="53" t="s">
        <v>333</v>
      </c>
      <c r="L33" s="53"/>
      <c r="M33" s="8"/>
      <c r="O33" s="9" t="str">
        <f t="shared" si="0"/>
        <v>Alert</v>
      </c>
      <c r="P33" s="7" t="str">
        <f t="shared" si="1"/>
        <v/>
      </c>
      <c r="Q33" s="7" t="str">
        <f t="shared" si="2"/>
        <v>Alert</v>
      </c>
      <c r="R33" s="8" t="str">
        <f t="shared" si="3"/>
        <v/>
      </c>
    </row>
    <row r="34" spans="3:18" x14ac:dyDescent="0.2">
      <c r="C34" s="9" t="s">
        <v>558</v>
      </c>
      <c r="D34" s="53">
        <v>12</v>
      </c>
      <c r="E34" s="53">
        <v>0</v>
      </c>
      <c r="F34" s="53">
        <v>4</v>
      </c>
      <c r="G34" s="53">
        <v>2</v>
      </c>
      <c r="H34" s="54">
        <v>3</v>
      </c>
      <c r="I34" s="53">
        <v>4</v>
      </c>
      <c r="J34" s="54">
        <v>1.0555555555555556</v>
      </c>
      <c r="K34" s="53" t="s">
        <v>333</v>
      </c>
      <c r="L34" s="53"/>
      <c r="M34" s="8"/>
      <c r="O34" s="9" t="str">
        <f t="shared" si="0"/>
        <v/>
      </c>
      <c r="P34" s="7" t="str">
        <f t="shared" si="1"/>
        <v>Alert</v>
      </c>
      <c r="Q34" s="7" t="str">
        <f t="shared" si="2"/>
        <v/>
      </c>
      <c r="R34" s="8" t="str">
        <f t="shared" si="3"/>
        <v/>
      </c>
    </row>
    <row r="35" spans="3:18" x14ac:dyDescent="0.2">
      <c r="C35" s="9" t="s">
        <v>559</v>
      </c>
      <c r="D35" s="53">
        <v>12</v>
      </c>
      <c r="E35" s="53">
        <v>0</v>
      </c>
      <c r="F35" s="53">
        <v>4</v>
      </c>
      <c r="G35" s="53">
        <v>1</v>
      </c>
      <c r="H35" s="54">
        <v>3</v>
      </c>
      <c r="I35" s="53">
        <v>5</v>
      </c>
      <c r="J35" s="54">
        <v>1.5833333333333333</v>
      </c>
      <c r="K35" s="53" t="s">
        <v>333</v>
      </c>
      <c r="L35" s="53"/>
      <c r="M35" s="8"/>
      <c r="O35" s="9" t="str">
        <f t="shared" si="0"/>
        <v/>
      </c>
      <c r="P35" s="7" t="str">
        <f t="shared" si="1"/>
        <v>Alert</v>
      </c>
      <c r="Q35" s="7" t="str">
        <f t="shared" si="2"/>
        <v/>
      </c>
      <c r="R35" s="8" t="str">
        <f t="shared" si="3"/>
        <v/>
      </c>
    </row>
    <row r="36" spans="3:18" x14ac:dyDescent="0.2">
      <c r="C36" s="9" t="s">
        <v>560</v>
      </c>
      <c r="D36" s="53">
        <v>12</v>
      </c>
      <c r="E36" s="53">
        <v>0</v>
      </c>
      <c r="F36" s="53">
        <v>4</v>
      </c>
      <c r="G36" s="53">
        <v>2</v>
      </c>
      <c r="H36" s="54">
        <v>3</v>
      </c>
      <c r="I36" s="53">
        <v>4</v>
      </c>
      <c r="J36" s="54">
        <v>2.166666666666667</v>
      </c>
      <c r="K36" s="53" t="s">
        <v>333</v>
      </c>
      <c r="L36" s="53"/>
      <c r="M36" s="8"/>
      <c r="O36" s="9" t="str">
        <f t="shared" si="0"/>
        <v/>
      </c>
      <c r="P36" s="7" t="str">
        <f t="shared" si="1"/>
        <v>Alert</v>
      </c>
      <c r="Q36" s="7" t="str">
        <f t="shared" si="2"/>
        <v/>
      </c>
      <c r="R36" s="8" t="str">
        <f t="shared" si="3"/>
        <v/>
      </c>
    </row>
    <row r="37" spans="3:18" x14ac:dyDescent="0.2">
      <c r="C37" s="64" t="s">
        <v>561</v>
      </c>
      <c r="D37" s="65">
        <v>12</v>
      </c>
      <c r="E37" s="65">
        <v>0</v>
      </c>
      <c r="F37" s="65">
        <v>4</v>
      </c>
      <c r="G37" s="65">
        <v>1</v>
      </c>
      <c r="H37" s="66">
        <v>3</v>
      </c>
      <c r="I37" s="65">
        <v>4</v>
      </c>
      <c r="J37" s="66">
        <v>1.1666666666666667</v>
      </c>
      <c r="K37" s="65" t="s">
        <v>333</v>
      </c>
      <c r="L37" s="65"/>
      <c r="M37" s="67"/>
      <c r="O37" s="9" t="str">
        <f t="shared" si="0"/>
        <v/>
      </c>
      <c r="P37" s="7" t="str">
        <f t="shared" si="1"/>
        <v>Alert</v>
      </c>
      <c r="Q37" s="7" t="str">
        <f t="shared" si="2"/>
        <v/>
      </c>
      <c r="R37" s="8" t="str">
        <f t="shared" si="3"/>
        <v/>
      </c>
    </row>
    <row r="38" spans="3:18" x14ac:dyDescent="0.2">
      <c r="C38" s="9" t="s">
        <v>562</v>
      </c>
      <c r="D38" s="53">
        <v>0</v>
      </c>
      <c r="E38" s="53">
        <v>0</v>
      </c>
      <c r="F38" s="53">
        <v>0</v>
      </c>
      <c r="G38" s="53">
        <v>0</v>
      </c>
      <c r="H38" s="54" t="e">
        <v>#DIV/0!</v>
      </c>
      <c r="I38" s="53">
        <v>0</v>
      </c>
      <c r="J38" s="54">
        <v>0</v>
      </c>
      <c r="K38" s="53" t="s">
        <v>333</v>
      </c>
      <c r="L38" s="53"/>
      <c r="M38" s="8"/>
      <c r="O38" s="9" t="str">
        <f t="shared" si="0"/>
        <v>Alert</v>
      </c>
      <c r="P38" s="7" t="str">
        <f t="shared" si="1"/>
        <v/>
      </c>
      <c r="Q38" s="7" t="str">
        <f t="shared" si="2"/>
        <v>Alert</v>
      </c>
      <c r="R38" s="8" t="str">
        <f t="shared" si="3"/>
        <v/>
      </c>
    </row>
    <row r="39" spans="3:18" x14ac:dyDescent="0.2">
      <c r="C39" s="9" t="s">
        <v>564</v>
      </c>
      <c r="D39" s="53">
        <v>16</v>
      </c>
      <c r="E39" s="53">
        <v>0</v>
      </c>
      <c r="F39" s="53">
        <v>6</v>
      </c>
      <c r="G39" s="53">
        <v>1</v>
      </c>
      <c r="H39" s="54">
        <v>2.6666666666666665</v>
      </c>
      <c r="I39" s="53">
        <v>4</v>
      </c>
      <c r="J39" s="54">
        <v>2.0416666666666665</v>
      </c>
      <c r="K39" s="53" t="s">
        <v>333</v>
      </c>
      <c r="L39" s="53"/>
      <c r="M39" s="8"/>
      <c r="O39" s="9" t="str">
        <f t="shared" si="0"/>
        <v/>
      </c>
      <c r="P39" s="7" t="str">
        <f t="shared" si="1"/>
        <v>Alert</v>
      </c>
      <c r="Q39" s="7" t="str">
        <f t="shared" si="2"/>
        <v/>
      </c>
      <c r="R39" s="8" t="str">
        <f t="shared" si="3"/>
        <v/>
      </c>
    </row>
    <row r="40" spans="3:18" x14ac:dyDescent="0.2">
      <c r="C40" s="9" t="s">
        <v>565</v>
      </c>
      <c r="D40" s="53">
        <v>17</v>
      </c>
      <c r="E40" s="53">
        <v>0</v>
      </c>
      <c r="F40" s="53">
        <v>6</v>
      </c>
      <c r="G40" s="53">
        <v>1</v>
      </c>
      <c r="H40" s="54">
        <v>2.8333333333333335</v>
      </c>
      <c r="I40" s="53">
        <v>4</v>
      </c>
      <c r="J40" s="54">
        <v>1.75</v>
      </c>
      <c r="K40" s="53" t="s">
        <v>333</v>
      </c>
      <c r="L40" s="53"/>
      <c r="M40" s="8"/>
      <c r="O40" s="9" t="str">
        <f t="shared" si="0"/>
        <v/>
      </c>
      <c r="P40" s="7" t="str">
        <f t="shared" si="1"/>
        <v>Alert</v>
      </c>
      <c r="Q40" s="7" t="str">
        <f t="shared" si="2"/>
        <v/>
      </c>
      <c r="R40" s="8" t="str">
        <f t="shared" si="3"/>
        <v/>
      </c>
    </row>
    <row r="41" spans="3:18" x14ac:dyDescent="0.2">
      <c r="C41" s="9" t="s">
        <v>566</v>
      </c>
      <c r="D41" s="53">
        <v>16</v>
      </c>
      <c r="E41" s="53">
        <v>0</v>
      </c>
      <c r="F41" s="53">
        <v>5</v>
      </c>
      <c r="G41" s="53">
        <v>2</v>
      </c>
      <c r="H41" s="54">
        <v>3.2</v>
      </c>
      <c r="I41" s="53">
        <v>4</v>
      </c>
      <c r="J41" s="54">
        <v>1.625</v>
      </c>
      <c r="K41" s="53" t="s">
        <v>333</v>
      </c>
      <c r="L41" s="53"/>
      <c r="M41" s="8"/>
      <c r="O41" s="9" t="str">
        <f t="shared" si="0"/>
        <v/>
      </c>
      <c r="P41" s="7" t="str">
        <f t="shared" si="1"/>
        <v>Alert</v>
      </c>
      <c r="Q41" s="7" t="str">
        <f t="shared" si="2"/>
        <v/>
      </c>
      <c r="R41" s="8" t="str">
        <f t="shared" si="3"/>
        <v/>
      </c>
    </row>
    <row r="42" spans="3:18" x14ac:dyDescent="0.2">
      <c r="C42" s="9" t="s">
        <v>567</v>
      </c>
      <c r="D42" s="53">
        <v>17</v>
      </c>
      <c r="E42" s="53">
        <v>0</v>
      </c>
      <c r="F42" s="53">
        <v>6</v>
      </c>
      <c r="G42" s="53">
        <v>1</v>
      </c>
      <c r="H42" s="54">
        <v>2.8333333333333335</v>
      </c>
      <c r="I42" s="53">
        <v>5</v>
      </c>
      <c r="J42" s="54">
        <v>2.25</v>
      </c>
      <c r="K42" s="53" t="s">
        <v>333</v>
      </c>
      <c r="L42" s="53"/>
      <c r="M42" s="8"/>
      <c r="O42" s="9" t="str">
        <f t="shared" si="0"/>
        <v/>
      </c>
      <c r="P42" s="7" t="str">
        <f t="shared" si="1"/>
        <v>Alert</v>
      </c>
      <c r="Q42" s="7" t="str">
        <f t="shared" si="2"/>
        <v/>
      </c>
      <c r="R42" s="8" t="str">
        <f t="shared" si="3"/>
        <v/>
      </c>
    </row>
    <row r="43" spans="3:18" x14ac:dyDescent="0.2">
      <c r="C43" s="9" t="s">
        <v>568</v>
      </c>
      <c r="D43" s="53">
        <v>14</v>
      </c>
      <c r="E43" s="53">
        <v>1</v>
      </c>
      <c r="F43" s="53">
        <v>6</v>
      </c>
      <c r="G43" s="53">
        <v>1</v>
      </c>
      <c r="H43" s="54">
        <v>2.3333333333333335</v>
      </c>
      <c r="I43" s="53">
        <v>4</v>
      </c>
      <c r="J43" s="54">
        <v>1.6666666666666667</v>
      </c>
      <c r="K43" s="53" t="s">
        <v>333</v>
      </c>
      <c r="L43" s="53"/>
      <c r="M43" s="8"/>
      <c r="O43" s="9" t="str">
        <f t="shared" si="0"/>
        <v/>
      </c>
      <c r="P43" s="7" t="str">
        <f t="shared" si="1"/>
        <v>Alert</v>
      </c>
      <c r="Q43" s="7" t="str">
        <f t="shared" si="2"/>
        <v/>
      </c>
      <c r="R43" s="8" t="str">
        <f t="shared" si="3"/>
        <v/>
      </c>
    </row>
    <row r="44" spans="3:18" x14ac:dyDescent="0.2">
      <c r="C44" s="9" t="s">
        <v>569</v>
      </c>
      <c r="D44" s="53">
        <v>17</v>
      </c>
      <c r="E44" s="53">
        <v>0</v>
      </c>
      <c r="F44" s="53">
        <v>6</v>
      </c>
      <c r="G44" s="53">
        <v>1</v>
      </c>
      <c r="H44" s="54">
        <v>2.8333333333333335</v>
      </c>
      <c r="I44" s="53">
        <v>5</v>
      </c>
      <c r="J44" s="54">
        <v>1.5</v>
      </c>
      <c r="K44" s="53" t="s">
        <v>333</v>
      </c>
      <c r="L44" s="53"/>
      <c r="M44" s="8"/>
      <c r="O44" s="9" t="str">
        <f t="shared" si="0"/>
        <v/>
      </c>
      <c r="P44" s="7" t="str">
        <f t="shared" si="1"/>
        <v>Alert</v>
      </c>
      <c r="Q44" s="7" t="str">
        <f t="shared" si="2"/>
        <v/>
      </c>
      <c r="R44" s="8" t="str">
        <f t="shared" si="3"/>
        <v/>
      </c>
    </row>
    <row r="45" spans="3:18" x14ac:dyDescent="0.2">
      <c r="C45" s="9" t="s">
        <v>570</v>
      </c>
      <c r="D45" s="53">
        <v>15</v>
      </c>
      <c r="E45" s="53">
        <v>2</v>
      </c>
      <c r="F45" s="53">
        <v>6</v>
      </c>
      <c r="G45" s="53">
        <v>1</v>
      </c>
      <c r="H45" s="54">
        <v>2.5</v>
      </c>
      <c r="I45" s="53">
        <v>4</v>
      </c>
      <c r="J45" s="54">
        <v>2.041666666666667</v>
      </c>
      <c r="K45" s="53" t="s">
        <v>333</v>
      </c>
      <c r="L45" s="53"/>
      <c r="M45" s="8"/>
      <c r="O45" s="9" t="str">
        <f t="shared" si="0"/>
        <v/>
      </c>
      <c r="P45" s="7" t="str">
        <f t="shared" si="1"/>
        <v>Alert</v>
      </c>
      <c r="Q45" s="7" t="str">
        <f t="shared" si="2"/>
        <v/>
      </c>
      <c r="R45" s="8" t="str">
        <f t="shared" si="3"/>
        <v/>
      </c>
    </row>
    <row r="46" spans="3:18" x14ac:dyDescent="0.2">
      <c r="C46" s="9" t="s">
        <v>572</v>
      </c>
      <c r="D46" s="53">
        <v>17</v>
      </c>
      <c r="E46" s="53">
        <v>0</v>
      </c>
      <c r="F46" s="53">
        <v>6</v>
      </c>
      <c r="G46" s="53">
        <v>1</v>
      </c>
      <c r="H46" s="54">
        <v>2.8333333333333335</v>
      </c>
      <c r="I46" s="53">
        <v>4</v>
      </c>
      <c r="J46" s="54">
        <v>1.5833333333333335</v>
      </c>
      <c r="K46" s="53" t="s">
        <v>333</v>
      </c>
      <c r="L46" s="53"/>
      <c r="M46" s="8"/>
      <c r="O46" s="9" t="str">
        <f t="shared" si="0"/>
        <v/>
      </c>
      <c r="P46" s="7" t="str">
        <f t="shared" si="1"/>
        <v>Alert</v>
      </c>
      <c r="Q46" s="7" t="str">
        <f t="shared" si="2"/>
        <v/>
      </c>
      <c r="R46" s="8" t="str">
        <f t="shared" si="3"/>
        <v/>
      </c>
    </row>
    <row r="47" spans="3:18" x14ac:dyDescent="0.2">
      <c r="C47" s="9" t="s">
        <v>573</v>
      </c>
      <c r="D47" s="53">
        <v>17</v>
      </c>
      <c r="E47" s="53">
        <v>0</v>
      </c>
      <c r="F47" s="53">
        <v>7</v>
      </c>
      <c r="G47" s="53">
        <v>1</v>
      </c>
      <c r="H47" s="54">
        <v>2.4285714285714284</v>
      </c>
      <c r="I47" s="53">
        <v>4</v>
      </c>
      <c r="J47" s="54">
        <v>1.5</v>
      </c>
      <c r="K47" s="53" t="s">
        <v>333</v>
      </c>
      <c r="L47" s="53"/>
      <c r="M47" s="8"/>
      <c r="O47" s="9" t="str">
        <f t="shared" si="0"/>
        <v/>
      </c>
      <c r="P47" s="7" t="str">
        <f t="shared" si="1"/>
        <v>Alert</v>
      </c>
      <c r="Q47" s="7" t="str">
        <f t="shared" si="2"/>
        <v/>
      </c>
      <c r="R47" s="8" t="str">
        <f t="shared" si="3"/>
        <v/>
      </c>
    </row>
    <row r="48" spans="3:18" x14ac:dyDescent="0.2">
      <c r="C48" s="9" t="s">
        <v>574</v>
      </c>
      <c r="D48" s="53">
        <v>17</v>
      </c>
      <c r="E48" s="53">
        <v>0</v>
      </c>
      <c r="F48" s="53">
        <v>7</v>
      </c>
      <c r="G48" s="53">
        <v>1</v>
      </c>
      <c r="H48" s="54">
        <v>2.4285714285714284</v>
      </c>
      <c r="I48" s="53">
        <v>4</v>
      </c>
      <c r="J48" s="54">
        <v>1.3333333333333335</v>
      </c>
      <c r="K48" s="53" t="s">
        <v>333</v>
      </c>
      <c r="L48" s="53"/>
      <c r="M48" s="8"/>
      <c r="O48" s="9" t="str">
        <f t="shared" si="0"/>
        <v/>
      </c>
      <c r="P48" s="7" t="str">
        <f t="shared" si="1"/>
        <v>Alert</v>
      </c>
      <c r="Q48" s="7" t="str">
        <f t="shared" si="2"/>
        <v/>
      </c>
      <c r="R48" s="8" t="str">
        <f t="shared" si="3"/>
        <v/>
      </c>
    </row>
    <row r="49" spans="3:18" x14ac:dyDescent="0.2">
      <c r="C49" s="9" t="s">
        <v>575</v>
      </c>
      <c r="D49" s="53">
        <v>17</v>
      </c>
      <c r="E49" s="53">
        <v>0</v>
      </c>
      <c r="F49" s="53">
        <v>7</v>
      </c>
      <c r="G49" s="53">
        <v>1</v>
      </c>
      <c r="H49" s="54">
        <v>2.4285714285714284</v>
      </c>
      <c r="I49" s="53">
        <v>4</v>
      </c>
      <c r="J49" s="54">
        <v>1.4333333333333333</v>
      </c>
      <c r="K49" s="53" t="s">
        <v>333</v>
      </c>
      <c r="L49" s="53"/>
      <c r="M49" s="8"/>
      <c r="O49" s="9" t="str">
        <f t="shared" si="0"/>
        <v/>
      </c>
      <c r="P49" s="7" t="str">
        <f t="shared" si="1"/>
        <v>Alert</v>
      </c>
      <c r="Q49" s="7" t="str">
        <f t="shared" si="2"/>
        <v/>
      </c>
      <c r="R49" s="8" t="str">
        <f t="shared" si="3"/>
        <v/>
      </c>
    </row>
    <row r="50" spans="3:18" x14ac:dyDescent="0.2">
      <c r="C50" s="9" t="s">
        <v>576</v>
      </c>
      <c r="D50" s="53">
        <v>16</v>
      </c>
      <c r="E50" s="53">
        <v>0</v>
      </c>
      <c r="F50" s="53">
        <v>6</v>
      </c>
      <c r="G50" s="53">
        <v>2</v>
      </c>
      <c r="H50" s="54">
        <v>2.6666666666666665</v>
      </c>
      <c r="I50" s="53">
        <v>3</v>
      </c>
      <c r="J50" s="54">
        <v>1.8</v>
      </c>
      <c r="K50" s="53" t="s">
        <v>333</v>
      </c>
      <c r="L50" s="53"/>
      <c r="M50" s="8"/>
      <c r="O50" s="9" t="str">
        <f t="shared" si="0"/>
        <v/>
      </c>
      <c r="P50" s="7" t="str">
        <f t="shared" si="1"/>
        <v>Alert</v>
      </c>
      <c r="Q50" s="7" t="str">
        <f t="shared" si="2"/>
        <v/>
      </c>
      <c r="R50" s="8" t="str">
        <f t="shared" si="3"/>
        <v/>
      </c>
    </row>
    <row r="51" spans="3:18" x14ac:dyDescent="0.2">
      <c r="C51" s="9" t="s">
        <v>577</v>
      </c>
      <c r="D51" s="53">
        <v>16</v>
      </c>
      <c r="E51" s="53">
        <v>0</v>
      </c>
      <c r="F51" s="53">
        <v>6</v>
      </c>
      <c r="G51" s="53">
        <v>1</v>
      </c>
      <c r="H51" s="54">
        <v>2.6666666666666665</v>
      </c>
      <c r="I51" s="53">
        <v>4</v>
      </c>
      <c r="J51" s="54">
        <v>1.5</v>
      </c>
      <c r="K51" s="53" t="s">
        <v>333</v>
      </c>
      <c r="L51" s="53"/>
      <c r="M51" s="8"/>
      <c r="O51" s="9" t="str">
        <f t="shared" si="0"/>
        <v/>
      </c>
      <c r="P51" s="7" t="str">
        <f t="shared" si="1"/>
        <v>Alert</v>
      </c>
      <c r="Q51" s="7" t="str">
        <f t="shared" si="2"/>
        <v/>
      </c>
      <c r="R51" s="8" t="str">
        <f t="shared" si="3"/>
        <v/>
      </c>
    </row>
    <row r="52" spans="3:18" x14ac:dyDescent="0.2">
      <c r="C52" s="9" t="s">
        <v>578</v>
      </c>
      <c r="D52" s="53">
        <v>15</v>
      </c>
      <c r="E52" s="53">
        <v>0</v>
      </c>
      <c r="F52" s="53">
        <v>7</v>
      </c>
      <c r="G52" s="53">
        <v>1</v>
      </c>
      <c r="H52" s="54">
        <v>2.1428571428571428</v>
      </c>
      <c r="I52" s="53">
        <v>4</v>
      </c>
      <c r="J52" s="54">
        <v>1.9583333333333333</v>
      </c>
      <c r="K52" s="53" t="s">
        <v>333</v>
      </c>
      <c r="L52" s="53"/>
      <c r="M52" s="8"/>
      <c r="O52" s="9" t="str">
        <f t="shared" si="0"/>
        <v/>
      </c>
      <c r="P52" s="7" t="str">
        <f t="shared" si="1"/>
        <v>Alert</v>
      </c>
      <c r="Q52" s="7" t="str">
        <f t="shared" si="2"/>
        <v/>
      </c>
      <c r="R52" s="8" t="str">
        <f t="shared" si="3"/>
        <v/>
      </c>
    </row>
    <row r="53" spans="3:18" x14ac:dyDescent="0.2">
      <c r="C53" s="9" t="s">
        <v>579</v>
      </c>
      <c r="D53" s="53">
        <v>17</v>
      </c>
      <c r="E53" s="53">
        <v>0</v>
      </c>
      <c r="F53" s="53">
        <v>7</v>
      </c>
      <c r="G53" s="53">
        <v>1</v>
      </c>
      <c r="H53" s="54">
        <v>2.4285714285714284</v>
      </c>
      <c r="I53" s="53">
        <v>4</v>
      </c>
      <c r="J53" s="54">
        <v>2</v>
      </c>
      <c r="K53" s="53" t="s">
        <v>333</v>
      </c>
      <c r="L53" s="53"/>
      <c r="M53" s="8"/>
      <c r="O53" s="9" t="str">
        <f t="shared" si="0"/>
        <v/>
      </c>
      <c r="P53" s="7" t="str">
        <f t="shared" si="1"/>
        <v>Alert</v>
      </c>
      <c r="Q53" s="7" t="str">
        <f t="shared" si="2"/>
        <v/>
      </c>
      <c r="R53" s="8" t="str">
        <f t="shared" si="3"/>
        <v/>
      </c>
    </row>
    <row r="54" spans="3:18" x14ac:dyDescent="0.2">
      <c r="C54" s="9" t="s">
        <v>580</v>
      </c>
      <c r="D54" s="53">
        <v>17</v>
      </c>
      <c r="E54" s="53">
        <v>0</v>
      </c>
      <c r="F54" s="53">
        <v>7</v>
      </c>
      <c r="G54" s="53">
        <v>1</v>
      </c>
      <c r="H54" s="54">
        <v>2.4285714285714284</v>
      </c>
      <c r="I54" s="53">
        <v>4</v>
      </c>
      <c r="J54" s="54">
        <v>1.1666666666666665</v>
      </c>
      <c r="K54" s="53" t="s">
        <v>333</v>
      </c>
      <c r="L54" s="53"/>
      <c r="M54" s="8"/>
      <c r="O54" s="9" t="str">
        <f t="shared" si="0"/>
        <v/>
      </c>
      <c r="P54" s="7" t="str">
        <f t="shared" si="1"/>
        <v>Alert</v>
      </c>
      <c r="Q54" s="7" t="str">
        <f t="shared" si="2"/>
        <v/>
      </c>
      <c r="R54" s="8" t="str">
        <f t="shared" si="3"/>
        <v/>
      </c>
    </row>
    <row r="55" spans="3:18" x14ac:dyDescent="0.2">
      <c r="C55" s="9" t="s">
        <v>581</v>
      </c>
      <c r="D55" s="53">
        <v>15</v>
      </c>
      <c r="E55" s="53">
        <v>0</v>
      </c>
      <c r="F55" s="53">
        <v>7</v>
      </c>
      <c r="G55" s="53">
        <v>1</v>
      </c>
      <c r="H55" s="54">
        <v>2.1428571428571428</v>
      </c>
      <c r="I55" s="53">
        <v>4</v>
      </c>
      <c r="J55" s="54">
        <v>1.9666666666666663</v>
      </c>
      <c r="K55" s="53" t="s">
        <v>333</v>
      </c>
      <c r="L55" s="53"/>
      <c r="M55" s="8"/>
      <c r="O55" s="9" t="str">
        <f t="shared" si="0"/>
        <v/>
      </c>
      <c r="P55" s="7" t="str">
        <f t="shared" si="1"/>
        <v>Alert</v>
      </c>
      <c r="Q55" s="7" t="str">
        <f t="shared" si="2"/>
        <v/>
      </c>
      <c r="R55" s="8" t="str">
        <f t="shared" si="3"/>
        <v/>
      </c>
    </row>
    <row r="56" spans="3:18" x14ac:dyDescent="0.2">
      <c r="C56" s="9" t="s">
        <v>583</v>
      </c>
      <c r="D56" s="53">
        <v>17</v>
      </c>
      <c r="E56" s="53">
        <v>0</v>
      </c>
      <c r="F56" s="53">
        <v>5</v>
      </c>
      <c r="G56" s="53">
        <v>2</v>
      </c>
      <c r="H56" s="54">
        <v>3.4</v>
      </c>
      <c r="I56" s="53">
        <v>6</v>
      </c>
      <c r="J56" s="54">
        <v>1.8374999999999999</v>
      </c>
      <c r="K56" s="53" t="s">
        <v>333</v>
      </c>
      <c r="L56" s="53"/>
      <c r="M56" s="8"/>
      <c r="O56" s="9" t="str">
        <f t="shared" si="0"/>
        <v/>
      </c>
      <c r="P56" s="7" t="str">
        <f t="shared" si="1"/>
        <v>Alert</v>
      </c>
      <c r="Q56" s="7" t="str">
        <f t="shared" si="2"/>
        <v/>
      </c>
      <c r="R56" s="8" t="str">
        <f t="shared" si="3"/>
        <v/>
      </c>
    </row>
    <row r="57" spans="3:18" x14ac:dyDescent="0.2">
      <c r="C57" s="9" t="s">
        <v>585</v>
      </c>
      <c r="D57" s="53">
        <v>17</v>
      </c>
      <c r="E57" s="53">
        <v>0</v>
      </c>
      <c r="F57" s="53">
        <v>6</v>
      </c>
      <c r="G57" s="53">
        <v>1</v>
      </c>
      <c r="H57" s="54">
        <v>2.8333333333333335</v>
      </c>
      <c r="I57" s="53">
        <v>6</v>
      </c>
      <c r="J57" s="54">
        <v>1.4000000000000001</v>
      </c>
      <c r="K57" s="53" t="s">
        <v>333</v>
      </c>
      <c r="L57" s="53"/>
      <c r="M57" s="8"/>
      <c r="O57" s="9" t="str">
        <f t="shared" si="0"/>
        <v/>
      </c>
      <c r="P57" s="7" t="str">
        <f t="shared" si="1"/>
        <v>Alert</v>
      </c>
      <c r="Q57" s="7" t="str">
        <f t="shared" si="2"/>
        <v/>
      </c>
      <c r="R57" s="8" t="str">
        <f t="shared" si="3"/>
        <v/>
      </c>
    </row>
    <row r="58" spans="3:18" x14ac:dyDescent="0.2">
      <c r="C58" s="9" t="s">
        <v>586</v>
      </c>
      <c r="D58" s="53">
        <v>17</v>
      </c>
      <c r="E58" s="53">
        <v>0</v>
      </c>
      <c r="F58" s="53">
        <v>5</v>
      </c>
      <c r="G58" s="53">
        <v>2</v>
      </c>
      <c r="H58" s="54">
        <v>3.4</v>
      </c>
      <c r="I58" s="53">
        <v>6</v>
      </c>
      <c r="J58" s="54">
        <v>1.5249999999999999</v>
      </c>
      <c r="K58" s="53" t="s">
        <v>333</v>
      </c>
      <c r="L58" s="7"/>
      <c r="M58" s="8"/>
      <c r="O58" s="9" t="str">
        <f t="shared" si="0"/>
        <v/>
      </c>
      <c r="P58" s="7" t="str">
        <f t="shared" si="1"/>
        <v>Alert</v>
      </c>
      <c r="Q58" s="7" t="str">
        <f t="shared" si="2"/>
        <v/>
      </c>
      <c r="R58" s="8" t="str">
        <f t="shared" si="3"/>
        <v/>
      </c>
    </row>
    <row r="59" spans="3:18" x14ac:dyDescent="0.2">
      <c r="C59" s="9" t="s">
        <v>587</v>
      </c>
      <c r="D59" s="53">
        <v>17</v>
      </c>
      <c r="E59" s="53">
        <v>0</v>
      </c>
      <c r="F59" s="53">
        <v>6</v>
      </c>
      <c r="G59" s="53">
        <v>1</v>
      </c>
      <c r="H59" s="54">
        <v>2.8333333333333335</v>
      </c>
      <c r="I59" s="53">
        <v>7</v>
      </c>
      <c r="J59" s="54">
        <v>2.75</v>
      </c>
      <c r="K59" s="53" t="s">
        <v>333</v>
      </c>
      <c r="L59" s="7"/>
      <c r="M59" s="8"/>
      <c r="O59" s="9" t="str">
        <f t="shared" si="0"/>
        <v/>
      </c>
      <c r="P59" s="7" t="str">
        <f t="shared" si="1"/>
        <v>Alert</v>
      </c>
      <c r="Q59" s="7" t="str">
        <f t="shared" si="2"/>
        <v/>
      </c>
      <c r="R59" s="8" t="str">
        <f t="shared" si="3"/>
        <v/>
      </c>
    </row>
    <row r="60" spans="3:18" x14ac:dyDescent="0.2">
      <c r="C60" s="9" t="s">
        <v>588</v>
      </c>
      <c r="D60" s="53">
        <v>17</v>
      </c>
      <c r="E60" s="53">
        <v>0</v>
      </c>
      <c r="F60" s="53">
        <v>6</v>
      </c>
      <c r="G60" s="53">
        <v>1</v>
      </c>
      <c r="H60" s="54">
        <v>2.8333333333333335</v>
      </c>
      <c r="I60" s="53">
        <v>5</v>
      </c>
      <c r="J60" s="54">
        <v>1.4166666666666667</v>
      </c>
      <c r="K60" s="53" t="s">
        <v>333</v>
      </c>
      <c r="L60" s="7"/>
      <c r="M60" s="8"/>
      <c r="O60" s="9" t="str">
        <f t="shared" si="0"/>
        <v/>
      </c>
      <c r="P60" s="7" t="str">
        <f t="shared" si="1"/>
        <v>Alert</v>
      </c>
      <c r="Q60" s="7" t="str">
        <f t="shared" si="2"/>
        <v/>
      </c>
      <c r="R60" s="8" t="str">
        <f t="shared" si="3"/>
        <v/>
      </c>
    </row>
    <row r="61" spans="3:18" x14ac:dyDescent="0.2">
      <c r="C61" s="9" t="s">
        <v>589</v>
      </c>
      <c r="D61" s="53">
        <v>17</v>
      </c>
      <c r="E61" s="53">
        <v>0</v>
      </c>
      <c r="F61" s="53">
        <v>6</v>
      </c>
      <c r="G61" s="53">
        <v>1</v>
      </c>
      <c r="H61" s="54">
        <v>2.8333333333333335</v>
      </c>
      <c r="I61" s="53">
        <v>6</v>
      </c>
      <c r="J61" s="54">
        <v>1.7833333333333332</v>
      </c>
      <c r="K61" s="53" t="s">
        <v>333</v>
      </c>
      <c r="L61" s="7"/>
      <c r="M61" s="8"/>
      <c r="O61" s="9" t="str">
        <f t="shared" si="0"/>
        <v/>
      </c>
      <c r="P61" s="7" t="str">
        <f t="shared" si="1"/>
        <v>Alert</v>
      </c>
      <c r="Q61" s="7" t="str">
        <f t="shared" si="2"/>
        <v/>
      </c>
      <c r="R61" s="8" t="str">
        <f t="shared" si="3"/>
        <v/>
      </c>
    </row>
    <row r="62" spans="3:18" x14ac:dyDescent="0.2">
      <c r="C62" s="9" t="s">
        <v>590</v>
      </c>
      <c r="D62" s="53">
        <v>17</v>
      </c>
      <c r="E62" s="53">
        <v>0</v>
      </c>
      <c r="F62" s="53">
        <v>5</v>
      </c>
      <c r="G62" s="53">
        <v>1</v>
      </c>
      <c r="H62" s="54">
        <v>3.4</v>
      </c>
      <c r="I62" s="53">
        <v>5</v>
      </c>
      <c r="J62" s="54">
        <v>0.77083333333333326</v>
      </c>
      <c r="K62" s="53" t="s">
        <v>333</v>
      </c>
      <c r="L62" s="7"/>
      <c r="M62" s="8"/>
      <c r="O62" s="9" t="str">
        <f t="shared" si="0"/>
        <v/>
      </c>
      <c r="P62" s="7" t="str">
        <f t="shared" si="1"/>
        <v>Alert</v>
      </c>
      <c r="Q62" s="7" t="str">
        <f t="shared" si="2"/>
        <v/>
      </c>
      <c r="R62" s="8" t="str">
        <f t="shared" si="3"/>
        <v/>
      </c>
    </row>
    <row r="63" spans="3:18" x14ac:dyDescent="0.2">
      <c r="C63" s="9" t="s">
        <v>592</v>
      </c>
      <c r="D63" s="53">
        <v>12</v>
      </c>
      <c r="E63" s="53">
        <v>0</v>
      </c>
      <c r="F63" s="53">
        <v>7</v>
      </c>
      <c r="G63" s="53">
        <v>1</v>
      </c>
      <c r="H63" s="54">
        <v>1.7142857142857142</v>
      </c>
      <c r="I63" s="53">
        <v>3</v>
      </c>
      <c r="J63" s="54">
        <v>3</v>
      </c>
      <c r="K63" s="53" t="s">
        <v>333</v>
      </c>
      <c r="L63" s="7"/>
      <c r="M63" s="8"/>
      <c r="O63" s="9" t="str">
        <f t="shared" si="0"/>
        <v/>
      </c>
      <c r="P63" s="7" t="str">
        <f t="shared" si="1"/>
        <v>Alert</v>
      </c>
      <c r="Q63" s="7" t="str">
        <f t="shared" si="2"/>
        <v/>
      </c>
      <c r="R63" s="8" t="str">
        <f t="shared" si="3"/>
        <v/>
      </c>
    </row>
    <row r="64" spans="3:18" x14ac:dyDescent="0.2">
      <c r="C64" s="9" t="s">
        <v>598</v>
      </c>
      <c r="D64" s="53">
        <v>14</v>
      </c>
      <c r="E64" s="53">
        <v>0</v>
      </c>
      <c r="F64" s="53">
        <v>7</v>
      </c>
      <c r="G64" s="53">
        <v>1</v>
      </c>
      <c r="H64" s="54">
        <v>2</v>
      </c>
      <c r="I64" s="53">
        <v>4</v>
      </c>
      <c r="J64" s="54">
        <v>1.5</v>
      </c>
      <c r="K64" s="53" t="s">
        <v>333</v>
      </c>
      <c r="L64" s="7"/>
      <c r="M64" s="8"/>
      <c r="O64" s="9" t="str">
        <f t="shared" si="0"/>
        <v/>
      </c>
      <c r="P64" s="7" t="str">
        <f t="shared" si="1"/>
        <v>Alert</v>
      </c>
      <c r="Q64" s="7" t="str">
        <f t="shared" si="2"/>
        <v/>
      </c>
      <c r="R64" s="8" t="str">
        <f t="shared" si="3"/>
        <v/>
      </c>
    </row>
    <row r="65" spans="3:18" x14ac:dyDescent="0.2">
      <c r="C65" s="9" t="s">
        <v>593</v>
      </c>
      <c r="D65" s="53">
        <v>13</v>
      </c>
      <c r="E65" s="53">
        <v>0</v>
      </c>
      <c r="F65" s="53">
        <v>6</v>
      </c>
      <c r="G65" s="53">
        <v>1</v>
      </c>
      <c r="H65" s="54">
        <v>2.1666666666666665</v>
      </c>
      <c r="I65" s="53">
        <v>3</v>
      </c>
      <c r="J65" s="54">
        <v>2.5</v>
      </c>
      <c r="K65" s="53" t="s">
        <v>333</v>
      </c>
      <c r="L65" s="7"/>
      <c r="M65" s="8"/>
      <c r="O65" s="9" t="str">
        <f t="shared" si="0"/>
        <v/>
      </c>
      <c r="P65" s="7" t="str">
        <f t="shared" si="1"/>
        <v>Alert</v>
      </c>
      <c r="Q65" s="7" t="str">
        <f t="shared" si="2"/>
        <v/>
      </c>
      <c r="R65" s="8" t="str">
        <f t="shared" si="3"/>
        <v/>
      </c>
    </row>
    <row r="66" spans="3:18" x14ac:dyDescent="0.2">
      <c r="C66" s="9" t="s">
        <v>599</v>
      </c>
      <c r="D66" s="53">
        <v>14</v>
      </c>
      <c r="E66" s="53">
        <v>0</v>
      </c>
      <c r="F66" s="53">
        <v>7</v>
      </c>
      <c r="G66" s="53">
        <v>1</v>
      </c>
      <c r="H66" s="54">
        <v>2</v>
      </c>
      <c r="I66" s="53">
        <v>3</v>
      </c>
      <c r="J66" s="54">
        <v>1.625</v>
      </c>
      <c r="K66" s="53" t="s">
        <v>333</v>
      </c>
      <c r="L66" s="7"/>
      <c r="M66" s="8"/>
      <c r="O66" s="9" t="str">
        <f t="shared" si="0"/>
        <v/>
      </c>
      <c r="P66" s="7" t="str">
        <f t="shared" si="1"/>
        <v>Alert</v>
      </c>
      <c r="Q66" s="7" t="str">
        <f t="shared" si="2"/>
        <v/>
      </c>
      <c r="R66" s="8" t="str">
        <f t="shared" si="3"/>
        <v/>
      </c>
    </row>
    <row r="67" spans="3:18" x14ac:dyDescent="0.2">
      <c r="C67" s="9" t="s">
        <v>600</v>
      </c>
      <c r="D67" s="53">
        <v>0</v>
      </c>
      <c r="E67" s="53">
        <v>0</v>
      </c>
      <c r="F67" s="53">
        <v>0</v>
      </c>
      <c r="G67" s="53">
        <v>0</v>
      </c>
      <c r="H67" s="54" t="e">
        <v>#DIV/0!</v>
      </c>
      <c r="I67" s="53">
        <v>0</v>
      </c>
      <c r="J67" s="54">
        <v>0</v>
      </c>
      <c r="K67" s="53" t="s">
        <v>333</v>
      </c>
      <c r="L67" s="7"/>
      <c r="M67" s="8"/>
      <c r="O67" s="9" t="str">
        <f t="shared" si="0"/>
        <v>Alert</v>
      </c>
      <c r="P67" s="7" t="str">
        <f t="shared" si="1"/>
        <v/>
      </c>
      <c r="Q67" s="7" t="str">
        <f t="shared" si="2"/>
        <v>Alert</v>
      </c>
      <c r="R67" s="8" t="str">
        <f t="shared" si="3"/>
        <v/>
      </c>
    </row>
    <row r="68" spans="3:18" x14ac:dyDescent="0.2">
      <c r="C68" s="9" t="s">
        <v>601</v>
      </c>
      <c r="D68" s="53">
        <v>14</v>
      </c>
      <c r="E68" s="53">
        <v>0</v>
      </c>
      <c r="F68" s="53">
        <v>7</v>
      </c>
      <c r="G68" s="53">
        <v>1</v>
      </c>
      <c r="H68" s="54">
        <v>2</v>
      </c>
      <c r="I68" s="53">
        <v>4</v>
      </c>
      <c r="J68" s="54">
        <v>1.9444444444444444</v>
      </c>
      <c r="K68" s="53" t="s">
        <v>333</v>
      </c>
      <c r="L68" s="7"/>
      <c r="M68" s="8"/>
      <c r="O68" s="9" t="str">
        <f t="shared" si="0"/>
        <v/>
      </c>
      <c r="P68" s="7" t="str">
        <f t="shared" si="1"/>
        <v>Alert</v>
      </c>
      <c r="Q68" s="7" t="str">
        <f t="shared" si="2"/>
        <v/>
      </c>
      <c r="R68" s="8" t="str">
        <f t="shared" si="3"/>
        <v/>
      </c>
    </row>
    <row r="69" spans="3:18" x14ac:dyDescent="0.2">
      <c r="C69" s="9" t="s">
        <v>594</v>
      </c>
      <c r="D69" s="53">
        <v>13</v>
      </c>
      <c r="E69" s="53">
        <v>0</v>
      </c>
      <c r="F69" s="53">
        <v>6</v>
      </c>
      <c r="G69" s="53">
        <v>1</v>
      </c>
      <c r="H69" s="54">
        <v>2.1666666666666665</v>
      </c>
      <c r="I69" s="53">
        <v>4</v>
      </c>
      <c r="J69" s="54">
        <v>2.25</v>
      </c>
      <c r="K69" s="53" t="s">
        <v>333</v>
      </c>
      <c r="L69" s="7"/>
      <c r="M69" s="8"/>
      <c r="O69" s="9" t="str">
        <f t="shared" si="0"/>
        <v/>
      </c>
      <c r="P69" s="7" t="str">
        <f t="shared" si="1"/>
        <v>Alert</v>
      </c>
      <c r="Q69" s="7" t="str">
        <f t="shared" si="2"/>
        <v/>
      </c>
      <c r="R69" s="8" t="str">
        <f t="shared" si="3"/>
        <v/>
      </c>
    </row>
    <row r="70" spans="3:18" x14ac:dyDescent="0.2">
      <c r="C70" s="9" t="s">
        <v>595</v>
      </c>
      <c r="D70" s="53">
        <v>14</v>
      </c>
      <c r="E70" s="53">
        <v>0</v>
      </c>
      <c r="F70" s="53">
        <v>6</v>
      </c>
      <c r="G70" s="53">
        <v>1</v>
      </c>
      <c r="H70" s="54">
        <v>2.3333333333333335</v>
      </c>
      <c r="I70" s="53">
        <v>4</v>
      </c>
      <c r="J70" s="54">
        <v>1.9444444444444444</v>
      </c>
      <c r="K70" s="53" t="s">
        <v>333</v>
      </c>
      <c r="L70" s="7"/>
      <c r="M70" s="8"/>
      <c r="O70" s="9" t="str">
        <f t="shared" si="0"/>
        <v/>
      </c>
      <c r="P70" s="7" t="str">
        <f t="shared" si="1"/>
        <v>Alert</v>
      </c>
      <c r="Q70" s="7" t="str">
        <f t="shared" si="2"/>
        <v/>
      </c>
      <c r="R70" s="8" t="str">
        <f t="shared" si="3"/>
        <v/>
      </c>
    </row>
    <row r="71" spans="3:18" x14ac:dyDescent="0.2">
      <c r="C71" s="9" t="s">
        <v>596</v>
      </c>
      <c r="D71" s="53">
        <v>0</v>
      </c>
      <c r="E71" s="53">
        <v>0</v>
      </c>
      <c r="F71" s="53">
        <v>0</v>
      </c>
      <c r="G71" s="53">
        <v>0</v>
      </c>
      <c r="H71" s="54" t="e">
        <v>#DIV/0!</v>
      </c>
      <c r="I71" s="53">
        <v>0</v>
      </c>
      <c r="J71" s="54">
        <v>0</v>
      </c>
      <c r="K71" s="53" t="s">
        <v>333</v>
      </c>
      <c r="L71" s="7"/>
      <c r="M71" s="8"/>
      <c r="O71" s="9" t="str">
        <f t="shared" ref="O71:O119" si="4">IF(D71&lt;$O$2,"Alert","")</f>
        <v>Alert</v>
      </c>
      <c r="P71" s="7" t="str">
        <f t="shared" ref="P71:P119" si="5">IF(D71&gt;$P$2,"Alert","")</f>
        <v/>
      </c>
      <c r="Q71" s="7" t="str">
        <f t="shared" ref="Q71:Q119" si="6">IF(F71&lt;$Q$2,"Alert","")</f>
        <v>Alert</v>
      </c>
      <c r="R71" s="8" t="str">
        <f t="shared" ref="R71:R119" si="7">IF(J71&gt;$R$2,"Alert","")</f>
        <v/>
      </c>
    </row>
    <row r="72" spans="3:18" x14ac:dyDescent="0.2">
      <c r="C72" s="9" t="s">
        <v>597</v>
      </c>
      <c r="D72" s="53">
        <v>14</v>
      </c>
      <c r="E72" s="53">
        <v>0</v>
      </c>
      <c r="F72" s="53">
        <v>7</v>
      </c>
      <c r="G72" s="53">
        <v>1</v>
      </c>
      <c r="H72" s="54">
        <v>2</v>
      </c>
      <c r="I72" s="53">
        <v>4</v>
      </c>
      <c r="J72" s="54">
        <v>3.8888888888888888</v>
      </c>
      <c r="K72" s="53" t="s">
        <v>333</v>
      </c>
      <c r="L72" s="7"/>
      <c r="M72" s="8"/>
      <c r="O72" s="9" t="str">
        <f t="shared" si="4"/>
        <v/>
      </c>
      <c r="P72" s="7" t="str">
        <f t="shared" si="5"/>
        <v>Alert</v>
      </c>
      <c r="Q72" s="7" t="str">
        <f t="shared" si="6"/>
        <v/>
      </c>
      <c r="R72" s="8" t="str">
        <f t="shared" si="7"/>
        <v/>
      </c>
    </row>
    <row r="73" spans="3:18" x14ac:dyDescent="0.2">
      <c r="C73" s="9" t="s">
        <v>602</v>
      </c>
      <c r="D73" s="53">
        <v>13</v>
      </c>
      <c r="E73" s="53">
        <v>0</v>
      </c>
      <c r="F73" s="53">
        <v>5</v>
      </c>
      <c r="G73" s="53">
        <v>1</v>
      </c>
      <c r="H73" s="54">
        <v>2.6</v>
      </c>
      <c r="I73" s="53">
        <v>4</v>
      </c>
      <c r="J73" s="54">
        <v>2.583333333333333</v>
      </c>
      <c r="K73" s="53" t="s">
        <v>333</v>
      </c>
      <c r="L73" s="7"/>
      <c r="M73" s="8"/>
      <c r="O73" s="9" t="str">
        <f t="shared" si="4"/>
        <v/>
      </c>
      <c r="P73" s="7" t="str">
        <f t="shared" si="5"/>
        <v>Alert</v>
      </c>
      <c r="Q73" s="7" t="str">
        <f t="shared" si="6"/>
        <v/>
      </c>
      <c r="R73" s="8" t="str">
        <f t="shared" si="7"/>
        <v/>
      </c>
    </row>
    <row r="74" spans="3:18" x14ac:dyDescent="0.2">
      <c r="C74" s="9" t="s">
        <v>603</v>
      </c>
      <c r="D74" s="53">
        <v>14</v>
      </c>
      <c r="E74" s="53">
        <v>0</v>
      </c>
      <c r="F74" s="53">
        <v>7</v>
      </c>
      <c r="G74" s="53">
        <v>1</v>
      </c>
      <c r="H74" s="54">
        <v>2</v>
      </c>
      <c r="I74" s="53">
        <v>5</v>
      </c>
      <c r="J74" s="54">
        <v>1.5833333333333333</v>
      </c>
      <c r="K74" s="53" t="s">
        <v>333</v>
      </c>
      <c r="L74" s="7"/>
      <c r="M74" s="8"/>
      <c r="O74" s="9" t="str">
        <f t="shared" si="4"/>
        <v/>
      </c>
      <c r="P74" s="7" t="str">
        <f t="shared" si="5"/>
        <v>Alert</v>
      </c>
      <c r="Q74" s="7" t="str">
        <f t="shared" si="6"/>
        <v/>
      </c>
      <c r="R74" s="8" t="str">
        <f t="shared" si="7"/>
        <v/>
      </c>
    </row>
    <row r="75" spans="3:18" x14ac:dyDescent="0.2">
      <c r="C75" s="9" t="s">
        <v>605</v>
      </c>
      <c r="D75" s="53">
        <v>10</v>
      </c>
      <c r="E75" s="53">
        <v>0</v>
      </c>
      <c r="F75" s="53">
        <v>5</v>
      </c>
      <c r="G75" s="53">
        <v>1</v>
      </c>
      <c r="H75" s="54">
        <v>2</v>
      </c>
      <c r="I75" s="53">
        <v>3</v>
      </c>
      <c r="J75" s="54">
        <v>2.8333333333333335</v>
      </c>
      <c r="K75" s="53" t="s">
        <v>333</v>
      </c>
      <c r="L75" s="7"/>
      <c r="M75" s="8"/>
      <c r="O75" s="9" t="str">
        <f t="shared" si="4"/>
        <v/>
      </c>
      <c r="P75" s="7" t="str">
        <f t="shared" si="5"/>
        <v/>
      </c>
      <c r="Q75" s="7" t="str">
        <f t="shared" si="6"/>
        <v/>
      </c>
      <c r="R75" s="8" t="str">
        <f t="shared" si="7"/>
        <v/>
      </c>
    </row>
    <row r="76" spans="3:18" x14ac:dyDescent="0.2">
      <c r="C76" s="9" t="s">
        <v>606</v>
      </c>
      <c r="D76" s="53">
        <v>9</v>
      </c>
      <c r="E76" s="53">
        <v>1</v>
      </c>
      <c r="F76" s="53">
        <v>5</v>
      </c>
      <c r="G76" s="53">
        <v>1</v>
      </c>
      <c r="H76" s="54">
        <v>1.8</v>
      </c>
      <c r="I76" s="53">
        <v>3</v>
      </c>
      <c r="J76" s="54">
        <v>2.5</v>
      </c>
      <c r="K76" s="53" t="s">
        <v>333</v>
      </c>
      <c r="L76" s="7"/>
      <c r="M76" s="8"/>
      <c r="O76" s="9" t="str">
        <f t="shared" si="4"/>
        <v/>
      </c>
      <c r="P76" s="7" t="str">
        <f t="shared" si="5"/>
        <v/>
      </c>
      <c r="Q76" s="7" t="str">
        <f t="shared" si="6"/>
        <v/>
      </c>
      <c r="R76" s="8" t="str">
        <f t="shared" si="7"/>
        <v/>
      </c>
    </row>
    <row r="77" spans="3:18" x14ac:dyDescent="0.2">
      <c r="C77" s="9" t="s">
        <v>611</v>
      </c>
      <c r="D77" s="53">
        <v>10</v>
      </c>
      <c r="E77" s="53">
        <v>0</v>
      </c>
      <c r="F77" s="53">
        <v>6</v>
      </c>
      <c r="G77" s="53">
        <v>1</v>
      </c>
      <c r="H77" s="54">
        <v>1.6666666666666667</v>
      </c>
      <c r="I77" s="53">
        <v>3</v>
      </c>
      <c r="J77" s="54">
        <v>3</v>
      </c>
      <c r="K77" s="53" t="s">
        <v>333</v>
      </c>
      <c r="L77" s="7"/>
      <c r="M77" s="8"/>
      <c r="O77" s="9" t="str">
        <f t="shared" si="4"/>
        <v/>
      </c>
      <c r="P77" s="7" t="str">
        <f t="shared" si="5"/>
        <v/>
      </c>
      <c r="Q77" s="7" t="str">
        <f t="shared" si="6"/>
        <v/>
      </c>
      <c r="R77" s="8" t="str">
        <f t="shared" si="7"/>
        <v/>
      </c>
    </row>
    <row r="78" spans="3:18" x14ac:dyDescent="0.2">
      <c r="C78" s="9" t="s">
        <v>607</v>
      </c>
      <c r="D78" s="53">
        <v>9</v>
      </c>
      <c r="E78" s="53">
        <v>0</v>
      </c>
      <c r="F78" s="53">
        <v>5</v>
      </c>
      <c r="G78" s="53">
        <v>1</v>
      </c>
      <c r="H78" s="54">
        <v>1.8</v>
      </c>
      <c r="I78" s="53">
        <v>3</v>
      </c>
      <c r="J78" s="54">
        <v>1</v>
      </c>
      <c r="K78" s="53" t="s">
        <v>333</v>
      </c>
      <c r="L78" s="7"/>
      <c r="M78" s="8"/>
      <c r="O78" s="9" t="str">
        <f t="shared" si="4"/>
        <v/>
      </c>
      <c r="P78" s="7" t="str">
        <f t="shared" si="5"/>
        <v/>
      </c>
      <c r="Q78" s="7" t="str">
        <f t="shared" si="6"/>
        <v/>
      </c>
      <c r="R78" s="8" t="str">
        <f t="shared" si="7"/>
        <v/>
      </c>
    </row>
    <row r="79" spans="3:18" x14ac:dyDescent="0.2">
      <c r="C79" s="9" t="s">
        <v>612</v>
      </c>
      <c r="D79" s="53">
        <v>0</v>
      </c>
      <c r="E79" s="53">
        <v>0</v>
      </c>
      <c r="F79" s="53">
        <v>0</v>
      </c>
      <c r="G79" s="53">
        <v>0</v>
      </c>
      <c r="H79" s="54" t="e">
        <v>#DIV/0!</v>
      </c>
      <c r="I79" s="53">
        <v>0</v>
      </c>
      <c r="J79" s="54">
        <v>0</v>
      </c>
      <c r="K79" s="53" t="s">
        <v>333</v>
      </c>
      <c r="L79" s="7"/>
      <c r="M79" s="8"/>
      <c r="O79" s="9" t="str">
        <f t="shared" si="4"/>
        <v>Alert</v>
      </c>
      <c r="P79" s="7" t="str">
        <f t="shared" si="5"/>
        <v/>
      </c>
      <c r="Q79" s="7" t="str">
        <f t="shared" si="6"/>
        <v>Alert</v>
      </c>
      <c r="R79" s="8" t="str">
        <f t="shared" si="7"/>
        <v/>
      </c>
    </row>
    <row r="80" spans="3:18" x14ac:dyDescent="0.2">
      <c r="C80" s="9" t="s">
        <v>609</v>
      </c>
      <c r="D80" s="53">
        <v>10</v>
      </c>
      <c r="E80" s="53">
        <v>0</v>
      </c>
      <c r="F80" s="53">
        <v>5</v>
      </c>
      <c r="G80" s="53">
        <v>1</v>
      </c>
      <c r="H80" s="54">
        <v>2</v>
      </c>
      <c r="I80" s="53">
        <v>4</v>
      </c>
      <c r="J80" s="54">
        <v>2.916666666666667</v>
      </c>
      <c r="K80" s="53" t="s">
        <v>333</v>
      </c>
      <c r="L80" s="7"/>
      <c r="M80" s="8"/>
      <c r="O80" s="9" t="str">
        <f t="shared" si="4"/>
        <v/>
      </c>
      <c r="P80" s="7" t="str">
        <f t="shared" si="5"/>
        <v/>
      </c>
      <c r="Q80" s="7" t="str">
        <f t="shared" si="6"/>
        <v/>
      </c>
      <c r="R80" s="8" t="str">
        <f t="shared" si="7"/>
        <v/>
      </c>
    </row>
    <row r="81" spans="3:18" x14ac:dyDescent="0.2">
      <c r="C81" s="9" t="s">
        <v>610</v>
      </c>
      <c r="D81" s="53">
        <v>10</v>
      </c>
      <c r="E81" s="53">
        <v>0</v>
      </c>
      <c r="F81" s="53">
        <v>5</v>
      </c>
      <c r="G81" s="53">
        <v>1</v>
      </c>
      <c r="H81" s="54">
        <v>2</v>
      </c>
      <c r="I81" s="53">
        <v>3</v>
      </c>
      <c r="J81" s="54">
        <v>2.3333333333333335</v>
      </c>
      <c r="K81" s="53" t="s">
        <v>333</v>
      </c>
      <c r="L81" s="7"/>
      <c r="M81" s="8"/>
      <c r="O81" s="9" t="str">
        <f t="shared" si="4"/>
        <v/>
      </c>
      <c r="P81" s="7" t="str">
        <f t="shared" si="5"/>
        <v/>
      </c>
      <c r="Q81" s="7" t="str">
        <f t="shared" si="6"/>
        <v/>
      </c>
      <c r="R81" s="8" t="str">
        <f t="shared" si="7"/>
        <v/>
      </c>
    </row>
    <row r="82" spans="3:18" x14ac:dyDescent="0.2">
      <c r="C82" s="9" t="s">
        <v>613</v>
      </c>
      <c r="D82" s="53">
        <v>10</v>
      </c>
      <c r="E82" s="53">
        <v>0</v>
      </c>
      <c r="F82" s="53">
        <v>5</v>
      </c>
      <c r="G82" s="53">
        <v>1</v>
      </c>
      <c r="H82" s="54">
        <v>2</v>
      </c>
      <c r="I82" s="53">
        <v>3</v>
      </c>
      <c r="J82" s="54">
        <v>3</v>
      </c>
      <c r="K82" s="53" t="s">
        <v>333</v>
      </c>
      <c r="L82" s="7"/>
      <c r="M82" s="8"/>
      <c r="O82" s="9" t="str">
        <f t="shared" si="4"/>
        <v/>
      </c>
      <c r="P82" s="7" t="str">
        <f t="shared" si="5"/>
        <v/>
      </c>
      <c r="Q82" s="7" t="str">
        <f t="shared" si="6"/>
        <v/>
      </c>
      <c r="R82" s="8" t="str">
        <f t="shared" si="7"/>
        <v/>
      </c>
    </row>
    <row r="83" spans="3:18" x14ac:dyDescent="0.2">
      <c r="C83" s="9" t="s">
        <v>614</v>
      </c>
      <c r="D83" s="53">
        <v>10</v>
      </c>
      <c r="E83" s="53">
        <v>0</v>
      </c>
      <c r="F83" s="53">
        <v>6</v>
      </c>
      <c r="G83" s="53">
        <v>1</v>
      </c>
      <c r="H83" s="54">
        <v>1.6666666666666667</v>
      </c>
      <c r="I83" s="53">
        <v>3</v>
      </c>
      <c r="J83" s="54">
        <v>3.5</v>
      </c>
      <c r="K83" s="53" t="s">
        <v>333</v>
      </c>
      <c r="L83" s="7"/>
      <c r="M83" s="8"/>
      <c r="O83" s="9" t="str">
        <f t="shared" si="4"/>
        <v/>
      </c>
      <c r="P83" s="7" t="str">
        <f t="shared" si="5"/>
        <v/>
      </c>
      <c r="Q83" s="7" t="str">
        <f t="shared" si="6"/>
        <v/>
      </c>
      <c r="R83" s="8" t="str">
        <f t="shared" si="7"/>
        <v/>
      </c>
    </row>
    <row r="84" spans="3:18" x14ac:dyDescent="0.2">
      <c r="C84" s="9" t="s">
        <v>616</v>
      </c>
      <c r="D84" s="53">
        <v>11</v>
      </c>
      <c r="E84" s="53">
        <v>0</v>
      </c>
      <c r="F84" s="53">
        <v>5</v>
      </c>
      <c r="G84" s="53">
        <v>1</v>
      </c>
      <c r="H84" s="54">
        <v>2.2000000000000002</v>
      </c>
      <c r="I84" s="53">
        <v>4</v>
      </c>
      <c r="J84" s="54">
        <v>3.2222222222222219</v>
      </c>
      <c r="K84" s="53" t="s">
        <v>333</v>
      </c>
      <c r="L84" s="7"/>
      <c r="M84" s="8"/>
      <c r="O84" s="9" t="str">
        <f t="shared" si="4"/>
        <v/>
      </c>
      <c r="P84" s="7" t="str">
        <f t="shared" si="5"/>
        <v>Alert</v>
      </c>
      <c r="Q84" s="7" t="str">
        <f t="shared" si="6"/>
        <v/>
      </c>
      <c r="R84" s="8" t="str">
        <f t="shared" si="7"/>
        <v/>
      </c>
    </row>
    <row r="85" spans="3:18" x14ac:dyDescent="0.2">
      <c r="C85" s="9" t="s">
        <v>617</v>
      </c>
      <c r="D85" s="53">
        <v>10</v>
      </c>
      <c r="E85" s="53">
        <v>0</v>
      </c>
      <c r="F85" s="53">
        <v>6</v>
      </c>
      <c r="G85" s="53">
        <v>1</v>
      </c>
      <c r="H85" s="54">
        <v>1.6666666666666667</v>
      </c>
      <c r="I85" s="53">
        <v>3</v>
      </c>
      <c r="J85" s="54">
        <v>3.25</v>
      </c>
      <c r="K85" s="53" t="s">
        <v>333</v>
      </c>
      <c r="L85" s="7"/>
      <c r="M85" s="8"/>
      <c r="O85" s="9" t="str">
        <f t="shared" si="4"/>
        <v/>
      </c>
      <c r="P85" s="7" t="str">
        <f t="shared" si="5"/>
        <v/>
      </c>
      <c r="Q85" s="7" t="str">
        <f t="shared" si="6"/>
        <v/>
      </c>
      <c r="R85" s="8" t="str">
        <f t="shared" si="7"/>
        <v/>
      </c>
    </row>
    <row r="86" spans="3:18" x14ac:dyDescent="0.2">
      <c r="C86" s="9" t="s">
        <v>618</v>
      </c>
      <c r="D86" s="53">
        <v>11</v>
      </c>
      <c r="E86" s="53">
        <v>0</v>
      </c>
      <c r="F86" s="53">
        <v>6</v>
      </c>
      <c r="G86" s="53">
        <v>1</v>
      </c>
      <c r="H86" s="54">
        <v>1.8333333333333333</v>
      </c>
      <c r="I86" s="53">
        <v>4</v>
      </c>
      <c r="J86" s="54">
        <v>2.25</v>
      </c>
      <c r="K86" s="53" t="s">
        <v>333</v>
      </c>
      <c r="L86" s="7"/>
      <c r="M86" s="8"/>
      <c r="O86" s="9" t="str">
        <f t="shared" si="4"/>
        <v/>
      </c>
      <c r="P86" s="7" t="str">
        <f t="shared" si="5"/>
        <v>Alert</v>
      </c>
      <c r="Q86" s="7" t="str">
        <f t="shared" si="6"/>
        <v/>
      </c>
      <c r="R86" s="8" t="str">
        <f t="shared" si="7"/>
        <v/>
      </c>
    </row>
    <row r="87" spans="3:18" x14ac:dyDescent="0.2">
      <c r="C87" s="9" t="s">
        <v>623</v>
      </c>
      <c r="D87" s="53">
        <v>11</v>
      </c>
      <c r="E87" s="53">
        <v>0</v>
      </c>
      <c r="F87" s="53">
        <v>6</v>
      </c>
      <c r="G87" s="53">
        <v>1</v>
      </c>
      <c r="H87" s="54">
        <v>1.8333333333333333</v>
      </c>
      <c r="I87" s="53">
        <v>3</v>
      </c>
      <c r="J87" s="54">
        <v>2.1666666666666665</v>
      </c>
      <c r="K87" s="53" t="s">
        <v>333</v>
      </c>
      <c r="L87" s="7"/>
      <c r="M87" s="8"/>
      <c r="O87" s="9" t="str">
        <f t="shared" si="4"/>
        <v/>
      </c>
      <c r="P87" s="7" t="str">
        <f t="shared" si="5"/>
        <v>Alert</v>
      </c>
      <c r="Q87" s="7" t="str">
        <f t="shared" si="6"/>
        <v/>
      </c>
      <c r="R87" s="8" t="str">
        <f t="shared" si="7"/>
        <v/>
      </c>
    </row>
    <row r="88" spans="3:18" x14ac:dyDescent="0.2">
      <c r="C88" s="9" t="s">
        <v>619</v>
      </c>
      <c r="D88" s="53">
        <v>10</v>
      </c>
      <c r="E88" s="53">
        <v>0</v>
      </c>
      <c r="F88" s="53">
        <v>5</v>
      </c>
      <c r="G88" s="53">
        <v>1</v>
      </c>
      <c r="H88" s="54">
        <v>2</v>
      </c>
      <c r="I88" s="53">
        <v>3</v>
      </c>
      <c r="J88" s="54">
        <v>2</v>
      </c>
      <c r="K88" s="53" t="s">
        <v>333</v>
      </c>
      <c r="L88" s="7"/>
      <c r="M88" s="8"/>
      <c r="O88" s="9" t="str">
        <f t="shared" si="4"/>
        <v/>
      </c>
      <c r="P88" s="7" t="str">
        <f t="shared" si="5"/>
        <v/>
      </c>
      <c r="Q88" s="7" t="str">
        <f t="shared" si="6"/>
        <v/>
      </c>
      <c r="R88" s="8" t="str">
        <f t="shared" si="7"/>
        <v/>
      </c>
    </row>
    <row r="89" spans="3:18" x14ac:dyDescent="0.2">
      <c r="C89" s="9" t="s">
        <v>620</v>
      </c>
      <c r="D89" s="53">
        <v>9</v>
      </c>
      <c r="E89" s="53">
        <v>0</v>
      </c>
      <c r="F89" s="53">
        <v>4</v>
      </c>
      <c r="G89" s="53">
        <v>1</v>
      </c>
      <c r="H89" s="54">
        <v>2.25</v>
      </c>
      <c r="I89" s="53">
        <v>4</v>
      </c>
      <c r="J89" s="54">
        <v>3.7777777777777781</v>
      </c>
      <c r="K89" s="53" t="s">
        <v>333</v>
      </c>
      <c r="L89" s="7"/>
      <c r="M89" s="8"/>
      <c r="O89" s="9" t="str">
        <f t="shared" si="4"/>
        <v/>
      </c>
      <c r="P89" s="7" t="str">
        <f t="shared" si="5"/>
        <v/>
      </c>
      <c r="Q89" s="7" t="str">
        <f t="shared" si="6"/>
        <v/>
      </c>
      <c r="R89" s="8" t="str">
        <f t="shared" si="7"/>
        <v/>
      </c>
    </row>
    <row r="90" spans="3:18" x14ac:dyDescent="0.2">
      <c r="C90" s="9" t="s">
        <v>621</v>
      </c>
      <c r="D90" s="53">
        <v>11</v>
      </c>
      <c r="E90" s="53">
        <v>0</v>
      </c>
      <c r="F90" s="53">
        <v>5</v>
      </c>
      <c r="G90" s="53">
        <v>1</v>
      </c>
      <c r="H90" s="54">
        <v>2.2000000000000002</v>
      </c>
      <c r="I90" s="53">
        <v>3</v>
      </c>
      <c r="J90" s="54">
        <v>3.3333333333333335</v>
      </c>
      <c r="K90" s="53" t="s">
        <v>333</v>
      </c>
      <c r="L90" s="7"/>
      <c r="M90" s="8"/>
      <c r="O90" s="9" t="str">
        <f t="shared" si="4"/>
        <v/>
      </c>
      <c r="P90" s="7" t="str">
        <f t="shared" si="5"/>
        <v>Alert</v>
      </c>
      <c r="Q90" s="7" t="str">
        <f t="shared" si="6"/>
        <v/>
      </c>
      <c r="R90" s="8" t="str">
        <f t="shared" si="7"/>
        <v/>
      </c>
    </row>
    <row r="91" spans="3:18" x14ac:dyDescent="0.2">
      <c r="C91" s="9" t="s">
        <v>622</v>
      </c>
      <c r="D91" s="53">
        <v>0</v>
      </c>
      <c r="E91" s="53">
        <v>0</v>
      </c>
      <c r="F91" s="53">
        <v>0</v>
      </c>
      <c r="G91" s="53">
        <v>0</v>
      </c>
      <c r="H91" s="54" t="e">
        <v>#DIV/0!</v>
      </c>
      <c r="I91" s="53">
        <v>0</v>
      </c>
      <c r="J91" s="54">
        <v>0</v>
      </c>
      <c r="K91" s="53" t="s">
        <v>333</v>
      </c>
      <c r="L91" s="7"/>
      <c r="M91" s="8"/>
      <c r="O91" s="9" t="str">
        <f t="shared" si="4"/>
        <v>Alert</v>
      </c>
      <c r="P91" s="7" t="str">
        <f t="shared" si="5"/>
        <v/>
      </c>
      <c r="Q91" s="7" t="str">
        <f t="shared" si="6"/>
        <v>Alert</v>
      </c>
      <c r="R91" s="8" t="str">
        <f t="shared" si="7"/>
        <v/>
      </c>
    </row>
    <row r="92" spans="3:18" x14ac:dyDescent="0.2">
      <c r="C92" s="9" t="s">
        <v>624</v>
      </c>
      <c r="D92" s="53">
        <v>11</v>
      </c>
      <c r="E92" s="53">
        <v>0</v>
      </c>
      <c r="F92" s="53">
        <v>5</v>
      </c>
      <c r="G92" s="53">
        <v>1</v>
      </c>
      <c r="H92" s="54">
        <v>2.2000000000000002</v>
      </c>
      <c r="I92" s="53">
        <v>4</v>
      </c>
      <c r="J92" s="54">
        <v>4.4444444444444446</v>
      </c>
      <c r="K92" s="53" t="s">
        <v>333</v>
      </c>
      <c r="L92" s="7"/>
      <c r="M92" s="8"/>
      <c r="O92" s="9" t="str">
        <f t="shared" si="4"/>
        <v/>
      </c>
      <c r="P92" s="7" t="str">
        <f t="shared" si="5"/>
        <v>Alert</v>
      </c>
      <c r="Q92" s="7" t="str">
        <f t="shared" si="6"/>
        <v/>
      </c>
      <c r="R92" s="8" t="str">
        <f t="shared" si="7"/>
        <v>Alert</v>
      </c>
    </row>
    <row r="93" spans="3:18" x14ac:dyDescent="0.2">
      <c r="C93" s="9" t="s">
        <v>625</v>
      </c>
      <c r="D93" s="53">
        <v>10</v>
      </c>
      <c r="E93" s="53">
        <v>0</v>
      </c>
      <c r="F93" s="53">
        <v>6</v>
      </c>
      <c r="G93" s="53">
        <v>1</v>
      </c>
      <c r="H93" s="54">
        <v>1.6666666666666667</v>
      </c>
      <c r="I93" s="53">
        <v>3</v>
      </c>
      <c r="J93" s="54">
        <v>2.5</v>
      </c>
      <c r="K93" s="53" t="s">
        <v>333</v>
      </c>
      <c r="L93" s="7"/>
      <c r="M93" s="8"/>
      <c r="O93" s="9" t="str">
        <f t="shared" si="4"/>
        <v/>
      </c>
      <c r="P93" s="7" t="str">
        <f t="shared" si="5"/>
        <v/>
      </c>
      <c r="Q93" s="7" t="str">
        <f t="shared" si="6"/>
        <v/>
      </c>
      <c r="R93" s="8" t="str">
        <f t="shared" si="7"/>
        <v/>
      </c>
    </row>
    <row r="94" spans="3:18" x14ac:dyDescent="0.2">
      <c r="C94" s="9" t="s">
        <v>627</v>
      </c>
      <c r="D94" s="53">
        <v>8</v>
      </c>
      <c r="E94" s="53">
        <v>0</v>
      </c>
      <c r="F94" s="53">
        <v>3</v>
      </c>
      <c r="G94" s="53">
        <v>2</v>
      </c>
      <c r="H94" s="54">
        <v>2.6666666666666665</v>
      </c>
      <c r="I94" s="53">
        <v>4</v>
      </c>
      <c r="J94" s="54">
        <v>1</v>
      </c>
      <c r="K94" s="53" t="s">
        <v>333</v>
      </c>
      <c r="L94" s="7"/>
      <c r="M94" s="8"/>
      <c r="O94" s="9" t="str">
        <f t="shared" si="4"/>
        <v/>
      </c>
      <c r="P94" s="7" t="str">
        <f t="shared" si="5"/>
        <v/>
      </c>
      <c r="Q94" s="7" t="str">
        <f t="shared" si="6"/>
        <v/>
      </c>
      <c r="R94" s="8" t="str">
        <f t="shared" si="7"/>
        <v/>
      </c>
    </row>
    <row r="95" spans="3:18" x14ac:dyDescent="0.2">
      <c r="C95" s="9" t="s">
        <v>628</v>
      </c>
      <c r="D95" s="53">
        <v>8</v>
      </c>
      <c r="E95" s="53">
        <v>0</v>
      </c>
      <c r="F95" s="53">
        <v>3</v>
      </c>
      <c r="G95" s="53">
        <v>2</v>
      </c>
      <c r="H95" s="54">
        <v>2.6666666666666665</v>
      </c>
      <c r="I95" s="53">
        <v>3</v>
      </c>
      <c r="J95" s="54">
        <v>2</v>
      </c>
      <c r="K95" s="53" t="s">
        <v>333</v>
      </c>
      <c r="L95" s="7"/>
      <c r="M95" s="8"/>
      <c r="O95" s="9" t="str">
        <f t="shared" si="4"/>
        <v/>
      </c>
      <c r="P95" s="7" t="str">
        <f t="shared" si="5"/>
        <v/>
      </c>
      <c r="Q95" s="7" t="str">
        <f t="shared" si="6"/>
        <v/>
      </c>
      <c r="R95" s="8" t="str">
        <f t="shared" si="7"/>
        <v/>
      </c>
    </row>
    <row r="96" spans="3:18" x14ac:dyDescent="0.2">
      <c r="C96" s="9" t="s">
        <v>629</v>
      </c>
      <c r="D96" s="53">
        <v>7</v>
      </c>
      <c r="E96" s="53">
        <v>0</v>
      </c>
      <c r="F96" s="53">
        <v>3</v>
      </c>
      <c r="G96" s="53">
        <v>1</v>
      </c>
      <c r="H96" s="54">
        <v>2.3333333333333335</v>
      </c>
      <c r="I96" s="53">
        <v>3</v>
      </c>
      <c r="J96" s="54">
        <v>0.75</v>
      </c>
      <c r="K96" s="53" t="s">
        <v>333</v>
      </c>
      <c r="L96" s="7"/>
      <c r="M96" s="8"/>
      <c r="O96" s="9" t="str">
        <f t="shared" si="4"/>
        <v/>
      </c>
      <c r="P96" s="7" t="str">
        <f t="shared" si="5"/>
        <v/>
      </c>
      <c r="Q96" s="7" t="str">
        <f t="shared" si="6"/>
        <v/>
      </c>
      <c r="R96" s="8" t="str">
        <f t="shared" si="7"/>
        <v/>
      </c>
    </row>
    <row r="97" spans="3:18" x14ac:dyDescent="0.2">
      <c r="C97" s="9" t="s">
        <v>630</v>
      </c>
      <c r="D97" s="53">
        <v>8</v>
      </c>
      <c r="E97" s="53">
        <v>0</v>
      </c>
      <c r="F97" s="53">
        <v>3</v>
      </c>
      <c r="G97" s="53">
        <v>1</v>
      </c>
      <c r="H97" s="54">
        <v>2.6666666666666665</v>
      </c>
      <c r="I97" s="53">
        <v>4</v>
      </c>
      <c r="J97" s="54">
        <v>0.91666666666666663</v>
      </c>
      <c r="K97" s="53" t="s">
        <v>333</v>
      </c>
      <c r="L97" s="7"/>
      <c r="M97" s="8"/>
      <c r="O97" s="9" t="str">
        <f t="shared" si="4"/>
        <v/>
      </c>
      <c r="P97" s="7" t="str">
        <f t="shared" si="5"/>
        <v/>
      </c>
      <c r="Q97" s="7" t="str">
        <f t="shared" si="6"/>
        <v/>
      </c>
      <c r="R97" s="8" t="str">
        <f t="shared" si="7"/>
        <v/>
      </c>
    </row>
    <row r="98" spans="3:18" x14ac:dyDescent="0.2">
      <c r="C98" s="9" t="s">
        <v>631</v>
      </c>
      <c r="D98" s="53">
        <v>0</v>
      </c>
      <c r="E98" s="53">
        <v>0</v>
      </c>
      <c r="F98" s="53">
        <v>0</v>
      </c>
      <c r="G98" s="53">
        <v>0</v>
      </c>
      <c r="H98" s="54" t="e">
        <v>#DIV/0!</v>
      </c>
      <c r="I98" s="53">
        <v>0</v>
      </c>
      <c r="J98" s="54">
        <v>0</v>
      </c>
      <c r="K98" s="53" t="s">
        <v>333</v>
      </c>
      <c r="L98" s="7"/>
      <c r="M98" s="8"/>
      <c r="O98" s="9" t="str">
        <f t="shared" si="4"/>
        <v>Alert</v>
      </c>
      <c r="P98" s="7" t="str">
        <f t="shared" si="5"/>
        <v/>
      </c>
      <c r="Q98" s="7" t="str">
        <f t="shared" si="6"/>
        <v>Alert</v>
      </c>
      <c r="R98" s="8" t="str">
        <f t="shared" si="7"/>
        <v/>
      </c>
    </row>
    <row r="99" spans="3:18" x14ac:dyDescent="0.2">
      <c r="C99" s="9" t="s">
        <v>632</v>
      </c>
      <c r="D99" s="53">
        <v>7</v>
      </c>
      <c r="E99" s="53">
        <v>0</v>
      </c>
      <c r="F99" s="53">
        <v>3</v>
      </c>
      <c r="G99" s="53">
        <v>1</v>
      </c>
      <c r="H99" s="54">
        <v>2.3333333333333335</v>
      </c>
      <c r="I99" s="53">
        <v>4</v>
      </c>
      <c r="J99" s="54">
        <v>0.66666666666666663</v>
      </c>
      <c r="K99" s="53" t="s">
        <v>333</v>
      </c>
      <c r="L99" s="7"/>
      <c r="M99" s="8"/>
      <c r="O99" s="9" t="str">
        <f t="shared" si="4"/>
        <v/>
      </c>
      <c r="P99" s="7" t="str">
        <f t="shared" si="5"/>
        <v/>
      </c>
      <c r="Q99" s="7" t="str">
        <f t="shared" si="6"/>
        <v/>
      </c>
      <c r="R99" s="8" t="str">
        <f t="shared" si="7"/>
        <v/>
      </c>
    </row>
    <row r="100" spans="3:18" x14ac:dyDescent="0.2">
      <c r="C100" s="9" t="s">
        <v>633</v>
      </c>
      <c r="D100" s="53">
        <v>8</v>
      </c>
      <c r="E100" s="53">
        <v>0</v>
      </c>
      <c r="F100" s="53">
        <v>3</v>
      </c>
      <c r="G100" s="53">
        <v>2</v>
      </c>
      <c r="H100" s="54">
        <v>2.6666666666666665</v>
      </c>
      <c r="I100" s="53">
        <v>4</v>
      </c>
      <c r="J100" s="54">
        <v>1.2222222222222223</v>
      </c>
      <c r="K100" s="53" t="s">
        <v>333</v>
      </c>
      <c r="L100" s="7"/>
      <c r="M100" s="8"/>
      <c r="O100" s="9" t="str">
        <f t="shared" si="4"/>
        <v/>
      </c>
      <c r="P100" s="7" t="str">
        <f t="shared" si="5"/>
        <v/>
      </c>
      <c r="Q100" s="7" t="str">
        <f t="shared" si="6"/>
        <v/>
      </c>
      <c r="R100" s="8" t="str">
        <f t="shared" si="7"/>
        <v/>
      </c>
    </row>
    <row r="101" spans="3:18" x14ac:dyDescent="0.2">
      <c r="C101" s="9" t="s">
        <v>634</v>
      </c>
      <c r="D101" s="53">
        <v>8</v>
      </c>
      <c r="E101" s="53">
        <v>0</v>
      </c>
      <c r="F101" s="53">
        <v>3</v>
      </c>
      <c r="G101" s="53">
        <v>1</v>
      </c>
      <c r="H101" s="54">
        <v>2.6666666666666665</v>
      </c>
      <c r="I101" s="53">
        <v>4</v>
      </c>
      <c r="J101" s="54">
        <v>0.5</v>
      </c>
      <c r="K101" s="53" t="s">
        <v>333</v>
      </c>
      <c r="L101" s="7"/>
      <c r="M101" s="8"/>
      <c r="O101" s="9" t="str">
        <f t="shared" si="4"/>
        <v/>
      </c>
      <c r="P101" s="7" t="str">
        <f t="shared" si="5"/>
        <v/>
      </c>
      <c r="Q101" s="7" t="str">
        <f t="shared" si="6"/>
        <v/>
      </c>
      <c r="R101" s="8" t="str">
        <f t="shared" si="7"/>
        <v/>
      </c>
    </row>
    <row r="102" spans="3:18" x14ac:dyDescent="0.2">
      <c r="C102" s="9" t="s">
        <v>635</v>
      </c>
      <c r="D102" s="53">
        <v>8</v>
      </c>
      <c r="E102" s="53">
        <v>0</v>
      </c>
      <c r="F102" s="53">
        <v>3</v>
      </c>
      <c r="G102" s="53">
        <v>2</v>
      </c>
      <c r="H102" s="54">
        <v>2.6666666666666665</v>
      </c>
      <c r="I102" s="53">
        <v>3</v>
      </c>
      <c r="J102" s="54">
        <v>1.5</v>
      </c>
      <c r="K102" s="53" t="s">
        <v>333</v>
      </c>
      <c r="L102" s="7"/>
      <c r="M102" s="8"/>
      <c r="O102" s="9" t="str">
        <f t="shared" si="4"/>
        <v/>
      </c>
      <c r="P102" s="7" t="str">
        <f t="shared" si="5"/>
        <v/>
      </c>
      <c r="Q102" s="7" t="str">
        <f t="shared" si="6"/>
        <v/>
      </c>
      <c r="R102" s="8" t="str">
        <f t="shared" si="7"/>
        <v/>
      </c>
    </row>
    <row r="103" spans="3:18" x14ac:dyDescent="0.2">
      <c r="C103" s="9" t="s">
        <v>637</v>
      </c>
      <c r="D103" s="53">
        <v>11</v>
      </c>
      <c r="E103" s="53">
        <v>0</v>
      </c>
      <c r="F103" s="53">
        <v>6</v>
      </c>
      <c r="G103" s="53">
        <v>1</v>
      </c>
      <c r="H103" s="54">
        <v>1.8333333333333333</v>
      </c>
      <c r="I103" s="53">
        <v>3</v>
      </c>
      <c r="J103" s="54">
        <v>3.75</v>
      </c>
      <c r="K103" s="53" t="s">
        <v>333</v>
      </c>
      <c r="L103" s="7"/>
      <c r="M103" s="8"/>
      <c r="O103" s="9" t="str">
        <f t="shared" si="4"/>
        <v/>
      </c>
      <c r="P103" s="7" t="str">
        <f t="shared" si="5"/>
        <v>Alert</v>
      </c>
      <c r="Q103" s="7" t="str">
        <f t="shared" si="6"/>
        <v/>
      </c>
      <c r="R103" s="8" t="str">
        <f t="shared" si="7"/>
        <v/>
      </c>
    </row>
    <row r="104" spans="3:18" x14ac:dyDescent="0.2">
      <c r="C104" s="9" t="s">
        <v>638</v>
      </c>
      <c r="D104" s="53">
        <v>0</v>
      </c>
      <c r="E104" s="53">
        <v>0</v>
      </c>
      <c r="F104" s="53">
        <v>0</v>
      </c>
      <c r="G104" s="53">
        <v>0</v>
      </c>
      <c r="H104" s="54" t="e">
        <v>#DIV/0!</v>
      </c>
      <c r="I104" s="53">
        <v>0</v>
      </c>
      <c r="J104" s="54">
        <v>0</v>
      </c>
      <c r="K104" s="53" t="s">
        <v>333</v>
      </c>
      <c r="L104" s="7"/>
      <c r="M104" s="8"/>
      <c r="O104" s="9" t="str">
        <f t="shared" si="4"/>
        <v>Alert</v>
      </c>
      <c r="P104" s="7" t="str">
        <f t="shared" si="5"/>
        <v/>
      </c>
      <c r="Q104" s="7" t="str">
        <f t="shared" si="6"/>
        <v>Alert</v>
      </c>
      <c r="R104" s="8" t="str">
        <f t="shared" si="7"/>
        <v/>
      </c>
    </row>
    <row r="105" spans="3:18" x14ac:dyDescent="0.2">
      <c r="C105" s="9" t="s">
        <v>639</v>
      </c>
      <c r="D105" s="53">
        <v>11</v>
      </c>
      <c r="E105" s="53">
        <v>0</v>
      </c>
      <c r="F105" s="53">
        <v>6</v>
      </c>
      <c r="G105" s="53">
        <v>1</v>
      </c>
      <c r="H105" s="54">
        <v>1.6666666666666667</v>
      </c>
      <c r="I105" s="53">
        <v>3</v>
      </c>
      <c r="J105" s="54">
        <v>0.75</v>
      </c>
      <c r="K105" s="53" t="s">
        <v>333</v>
      </c>
      <c r="L105" s="7"/>
      <c r="M105" s="8"/>
      <c r="O105" s="9" t="str">
        <f t="shared" si="4"/>
        <v/>
      </c>
      <c r="P105" s="7" t="str">
        <f t="shared" si="5"/>
        <v>Alert</v>
      </c>
      <c r="Q105" s="7" t="str">
        <f t="shared" si="6"/>
        <v/>
      </c>
      <c r="R105" s="8" t="str">
        <f t="shared" si="7"/>
        <v/>
      </c>
    </row>
    <row r="106" spans="3:18" x14ac:dyDescent="0.2">
      <c r="C106" s="9" t="s">
        <v>644</v>
      </c>
      <c r="D106" s="53">
        <v>11</v>
      </c>
      <c r="E106" s="53">
        <v>0</v>
      </c>
      <c r="F106" s="53">
        <v>6</v>
      </c>
      <c r="G106" s="53">
        <v>1</v>
      </c>
      <c r="H106" s="54">
        <v>1.6666666666666667</v>
      </c>
      <c r="I106" s="53">
        <v>2</v>
      </c>
      <c r="J106" s="54">
        <v>2.25</v>
      </c>
      <c r="K106" s="53" t="s">
        <v>333</v>
      </c>
      <c r="L106" s="7"/>
      <c r="M106" s="8"/>
      <c r="O106" s="9" t="str">
        <f t="shared" si="4"/>
        <v/>
      </c>
      <c r="P106" s="7" t="str">
        <f t="shared" si="5"/>
        <v>Alert</v>
      </c>
      <c r="Q106" s="7" t="str">
        <f t="shared" si="6"/>
        <v/>
      </c>
      <c r="R106" s="8" t="str">
        <f t="shared" si="7"/>
        <v/>
      </c>
    </row>
    <row r="107" spans="3:18" x14ac:dyDescent="0.2">
      <c r="C107" s="9" t="s">
        <v>640</v>
      </c>
      <c r="D107" s="53">
        <v>10</v>
      </c>
      <c r="E107" s="53">
        <v>0</v>
      </c>
      <c r="F107" s="53">
        <v>6</v>
      </c>
      <c r="G107" s="53">
        <v>1</v>
      </c>
      <c r="H107" s="54">
        <v>1.5</v>
      </c>
      <c r="I107" s="53">
        <v>3</v>
      </c>
      <c r="J107" s="54">
        <v>2.75</v>
      </c>
      <c r="K107" s="53" t="s">
        <v>333</v>
      </c>
      <c r="L107" s="7"/>
      <c r="M107" s="8"/>
      <c r="O107" s="9" t="str">
        <f t="shared" si="4"/>
        <v/>
      </c>
      <c r="P107" s="7" t="str">
        <f t="shared" si="5"/>
        <v/>
      </c>
      <c r="Q107" s="7" t="str">
        <f t="shared" si="6"/>
        <v/>
      </c>
      <c r="R107" s="8" t="str">
        <f t="shared" si="7"/>
        <v/>
      </c>
    </row>
    <row r="108" spans="3:18" x14ac:dyDescent="0.2">
      <c r="C108" s="9" t="s">
        <v>641</v>
      </c>
      <c r="D108" s="53">
        <v>9</v>
      </c>
      <c r="E108" s="53">
        <v>0</v>
      </c>
      <c r="F108" s="53">
        <v>5</v>
      </c>
      <c r="G108" s="53">
        <v>1</v>
      </c>
      <c r="H108" s="54">
        <v>1.6</v>
      </c>
      <c r="I108" s="53">
        <v>2</v>
      </c>
      <c r="J108" s="54">
        <v>2.3333333333333335</v>
      </c>
      <c r="K108" s="53" t="s">
        <v>333</v>
      </c>
      <c r="L108" s="7"/>
      <c r="M108" s="8"/>
      <c r="O108" s="9" t="str">
        <f t="shared" si="4"/>
        <v/>
      </c>
      <c r="P108" s="7" t="str">
        <f t="shared" si="5"/>
        <v/>
      </c>
      <c r="Q108" s="7" t="str">
        <f t="shared" si="6"/>
        <v/>
      </c>
      <c r="R108" s="8" t="str">
        <f t="shared" si="7"/>
        <v/>
      </c>
    </row>
    <row r="109" spans="3:18" x14ac:dyDescent="0.2">
      <c r="C109" s="9" t="s">
        <v>642</v>
      </c>
      <c r="D109" s="53">
        <v>11</v>
      </c>
      <c r="E109" s="53">
        <v>0</v>
      </c>
      <c r="F109" s="53">
        <v>6</v>
      </c>
      <c r="G109" s="53">
        <v>1</v>
      </c>
      <c r="H109" s="54">
        <v>1.6666666666666667</v>
      </c>
      <c r="I109" s="53">
        <v>2</v>
      </c>
      <c r="J109" s="54">
        <v>3.25</v>
      </c>
      <c r="K109" s="53" t="s">
        <v>333</v>
      </c>
      <c r="L109" s="7"/>
      <c r="M109" s="8"/>
      <c r="O109" s="9" t="str">
        <f t="shared" si="4"/>
        <v/>
      </c>
      <c r="P109" s="7" t="str">
        <f t="shared" si="5"/>
        <v>Alert</v>
      </c>
      <c r="Q109" s="7" t="str">
        <f t="shared" si="6"/>
        <v/>
      </c>
      <c r="R109" s="8" t="str">
        <f t="shared" si="7"/>
        <v/>
      </c>
    </row>
    <row r="110" spans="3:18" x14ac:dyDescent="0.2">
      <c r="C110" s="9" t="s">
        <v>643</v>
      </c>
      <c r="D110" s="53">
        <v>10</v>
      </c>
      <c r="E110" s="53">
        <v>0</v>
      </c>
      <c r="F110" s="53">
        <v>4</v>
      </c>
      <c r="G110" s="53">
        <v>2</v>
      </c>
      <c r="H110" s="54">
        <v>2.25</v>
      </c>
      <c r="I110" s="53">
        <v>3</v>
      </c>
      <c r="J110" s="54">
        <v>3</v>
      </c>
      <c r="K110" s="53" t="s">
        <v>333</v>
      </c>
      <c r="L110" s="7"/>
      <c r="M110" s="8"/>
      <c r="O110" s="9" t="str">
        <f t="shared" si="4"/>
        <v/>
      </c>
      <c r="P110" s="7" t="str">
        <f t="shared" si="5"/>
        <v/>
      </c>
      <c r="Q110" s="7" t="str">
        <f t="shared" si="6"/>
        <v/>
      </c>
      <c r="R110" s="8" t="str">
        <f t="shared" si="7"/>
        <v/>
      </c>
    </row>
    <row r="111" spans="3:18" x14ac:dyDescent="0.2">
      <c r="C111" s="9" t="s">
        <v>645</v>
      </c>
      <c r="D111" s="53">
        <v>11</v>
      </c>
      <c r="E111" s="53">
        <v>0</v>
      </c>
      <c r="F111" s="53">
        <v>5</v>
      </c>
      <c r="G111" s="53">
        <v>1</v>
      </c>
      <c r="H111" s="54">
        <v>2</v>
      </c>
      <c r="I111" s="53">
        <v>3</v>
      </c>
      <c r="J111" s="54">
        <v>3.5</v>
      </c>
      <c r="K111" s="53" t="s">
        <v>333</v>
      </c>
      <c r="L111" s="7"/>
      <c r="M111" s="8"/>
      <c r="O111" s="9" t="str">
        <f t="shared" si="4"/>
        <v/>
      </c>
      <c r="P111" s="7" t="str">
        <f t="shared" si="5"/>
        <v>Alert</v>
      </c>
      <c r="Q111" s="7" t="str">
        <f t="shared" si="6"/>
        <v/>
      </c>
      <c r="R111" s="8" t="str">
        <f t="shared" si="7"/>
        <v/>
      </c>
    </row>
    <row r="112" spans="3:18" x14ac:dyDescent="0.2">
      <c r="C112" s="9" t="s">
        <v>646</v>
      </c>
      <c r="D112" s="53">
        <v>10</v>
      </c>
      <c r="E112" s="53">
        <v>0</v>
      </c>
      <c r="F112" s="53">
        <v>6</v>
      </c>
      <c r="G112" s="53">
        <v>1</v>
      </c>
      <c r="H112" s="54">
        <v>1.5</v>
      </c>
      <c r="I112" s="53">
        <v>2</v>
      </c>
      <c r="J112" s="54">
        <v>2.6666666666666665</v>
      </c>
      <c r="K112" s="53" t="s">
        <v>333</v>
      </c>
      <c r="L112" s="7"/>
      <c r="M112" s="8"/>
      <c r="O112" s="9" t="str">
        <f t="shared" si="4"/>
        <v/>
      </c>
      <c r="P112" s="7" t="str">
        <f t="shared" si="5"/>
        <v/>
      </c>
      <c r="Q112" s="7" t="str">
        <f t="shared" si="6"/>
        <v/>
      </c>
      <c r="R112" s="8" t="str">
        <f t="shared" si="7"/>
        <v/>
      </c>
    </row>
    <row r="113" spans="3:18" x14ac:dyDescent="0.2">
      <c r="C113" s="9" t="s">
        <v>648</v>
      </c>
      <c r="D113" s="53">
        <v>12</v>
      </c>
      <c r="E113" s="53">
        <v>0</v>
      </c>
      <c r="F113" s="53">
        <v>7</v>
      </c>
      <c r="G113" s="53">
        <v>1</v>
      </c>
      <c r="H113" s="54">
        <v>1.7142857142857142</v>
      </c>
      <c r="I113" s="53">
        <v>3</v>
      </c>
      <c r="J113" s="54">
        <v>3.375</v>
      </c>
      <c r="K113" s="53" t="s">
        <v>333</v>
      </c>
      <c r="L113" s="7"/>
      <c r="M113" s="8"/>
      <c r="O113" s="9" t="str">
        <f t="shared" si="4"/>
        <v/>
      </c>
      <c r="P113" s="7" t="str">
        <f t="shared" si="5"/>
        <v>Alert</v>
      </c>
      <c r="Q113" s="7" t="str">
        <f t="shared" si="6"/>
        <v/>
      </c>
      <c r="R113" s="8" t="str">
        <f t="shared" si="7"/>
        <v/>
      </c>
    </row>
    <row r="114" spans="3:18" x14ac:dyDescent="0.2">
      <c r="C114" s="9" t="s">
        <v>649</v>
      </c>
      <c r="D114" s="53">
        <v>12</v>
      </c>
      <c r="E114" s="53">
        <v>0</v>
      </c>
      <c r="F114" s="53">
        <v>7</v>
      </c>
      <c r="G114" s="53">
        <v>1</v>
      </c>
      <c r="H114" s="54">
        <v>1.7142857142857142</v>
      </c>
      <c r="I114" s="53">
        <v>3</v>
      </c>
      <c r="J114" s="54">
        <v>3.3333333333333335</v>
      </c>
      <c r="K114" s="53" t="s">
        <v>333</v>
      </c>
      <c r="L114" s="7"/>
      <c r="M114" s="8"/>
      <c r="O114" s="9" t="str">
        <f t="shared" si="4"/>
        <v/>
      </c>
      <c r="P114" s="7" t="str">
        <f t="shared" si="5"/>
        <v>Alert</v>
      </c>
      <c r="Q114" s="7" t="str">
        <f t="shared" si="6"/>
        <v/>
      </c>
      <c r="R114" s="8" t="str">
        <f t="shared" si="7"/>
        <v/>
      </c>
    </row>
    <row r="115" spans="3:18" x14ac:dyDescent="0.2">
      <c r="C115" s="9" t="s">
        <v>650</v>
      </c>
      <c r="D115" s="53">
        <v>12</v>
      </c>
      <c r="E115" s="53">
        <v>0</v>
      </c>
      <c r="F115" s="53">
        <v>6</v>
      </c>
      <c r="G115" s="53">
        <v>1</v>
      </c>
      <c r="H115" s="54">
        <v>2</v>
      </c>
      <c r="I115" s="53">
        <v>3</v>
      </c>
      <c r="J115" s="54">
        <v>1.5</v>
      </c>
      <c r="K115" s="53" t="s">
        <v>333</v>
      </c>
      <c r="L115" s="7"/>
      <c r="M115" s="8"/>
      <c r="O115" s="9" t="str">
        <f t="shared" si="4"/>
        <v/>
      </c>
      <c r="P115" s="7" t="str">
        <f t="shared" si="5"/>
        <v>Alert</v>
      </c>
      <c r="Q115" s="7" t="str">
        <f t="shared" si="6"/>
        <v/>
      </c>
      <c r="R115" s="8" t="str">
        <f t="shared" si="7"/>
        <v/>
      </c>
    </row>
    <row r="116" spans="3:18" x14ac:dyDescent="0.2">
      <c r="C116" s="9" t="s">
        <v>651</v>
      </c>
      <c r="D116" s="53">
        <v>13</v>
      </c>
      <c r="E116" s="53">
        <v>0</v>
      </c>
      <c r="F116" s="53">
        <v>7</v>
      </c>
      <c r="G116" s="53">
        <v>1</v>
      </c>
      <c r="H116" s="54">
        <v>1.8571428571428572</v>
      </c>
      <c r="I116" s="53">
        <v>3</v>
      </c>
      <c r="J116" s="54">
        <v>3</v>
      </c>
      <c r="K116" s="53" t="s">
        <v>333</v>
      </c>
      <c r="L116" s="7"/>
      <c r="M116" s="8"/>
      <c r="O116" s="9" t="str">
        <f t="shared" si="4"/>
        <v/>
      </c>
      <c r="P116" s="7" t="str">
        <f t="shared" si="5"/>
        <v>Alert</v>
      </c>
      <c r="Q116" s="7" t="str">
        <f t="shared" si="6"/>
        <v/>
      </c>
      <c r="R116" s="8" t="str">
        <f t="shared" si="7"/>
        <v/>
      </c>
    </row>
    <row r="117" spans="3:18" x14ac:dyDescent="0.2">
      <c r="C117" s="9" t="s">
        <v>652</v>
      </c>
      <c r="D117" s="53">
        <v>13</v>
      </c>
      <c r="E117" s="53">
        <v>0</v>
      </c>
      <c r="F117" s="53">
        <v>7</v>
      </c>
      <c r="G117" s="53">
        <v>1</v>
      </c>
      <c r="H117" s="54">
        <v>1.8571428571428572</v>
      </c>
      <c r="I117" s="53">
        <v>4</v>
      </c>
      <c r="J117" s="54">
        <v>2.5833333333333335</v>
      </c>
      <c r="K117" s="53" t="s">
        <v>333</v>
      </c>
      <c r="L117" s="7"/>
      <c r="M117" s="8"/>
      <c r="O117" s="9" t="str">
        <f t="shared" si="4"/>
        <v/>
      </c>
      <c r="P117" s="7" t="str">
        <f t="shared" si="5"/>
        <v>Alert</v>
      </c>
      <c r="Q117" s="7" t="str">
        <f t="shared" si="6"/>
        <v/>
      </c>
      <c r="R117" s="8" t="str">
        <f t="shared" si="7"/>
        <v/>
      </c>
    </row>
    <row r="118" spans="3:18" x14ac:dyDescent="0.2">
      <c r="C118" s="9" t="s">
        <v>653</v>
      </c>
      <c r="D118" s="53">
        <v>12</v>
      </c>
      <c r="E118" s="53">
        <v>0</v>
      </c>
      <c r="F118" s="53">
        <v>7</v>
      </c>
      <c r="G118" s="53">
        <v>1</v>
      </c>
      <c r="H118" s="54">
        <v>1.7142857142857142</v>
      </c>
      <c r="I118" s="53">
        <v>4</v>
      </c>
      <c r="J118" s="54">
        <v>2</v>
      </c>
      <c r="K118" s="53" t="s">
        <v>333</v>
      </c>
      <c r="L118" s="7"/>
      <c r="M118" s="8"/>
      <c r="O118" s="9" t="str">
        <f t="shared" si="4"/>
        <v/>
      </c>
      <c r="P118" s="7" t="str">
        <f t="shared" si="5"/>
        <v>Alert</v>
      </c>
      <c r="Q118" s="7" t="str">
        <f t="shared" si="6"/>
        <v/>
      </c>
      <c r="R118" s="8" t="str">
        <f t="shared" si="7"/>
        <v/>
      </c>
    </row>
    <row r="119" spans="3:18" ht="16" thickBot="1" x14ac:dyDescent="0.25">
      <c r="C119" s="10" t="s">
        <v>654</v>
      </c>
      <c r="D119" s="58">
        <v>12</v>
      </c>
      <c r="E119" s="58">
        <v>0</v>
      </c>
      <c r="F119" s="58">
        <v>6</v>
      </c>
      <c r="G119" s="58">
        <v>1</v>
      </c>
      <c r="H119" s="59">
        <v>2</v>
      </c>
      <c r="I119" s="58">
        <v>4</v>
      </c>
      <c r="J119" s="59">
        <v>2.1111111111111112</v>
      </c>
      <c r="K119" s="58" t="s">
        <v>333</v>
      </c>
      <c r="L119" s="11"/>
      <c r="M119" s="12"/>
      <c r="O119" s="10" t="str">
        <f t="shared" si="4"/>
        <v/>
      </c>
      <c r="P119" s="11" t="str">
        <f t="shared" si="5"/>
        <v>Alert</v>
      </c>
      <c r="Q119" s="11" t="str">
        <f t="shared" si="6"/>
        <v/>
      </c>
      <c r="R119" s="12" t="str">
        <f t="shared" si="7"/>
        <v/>
      </c>
    </row>
    <row r="120" spans="3:18" x14ac:dyDescent="0.2">
      <c r="C120" t="s">
        <v>655</v>
      </c>
      <c r="D120">
        <v>12</v>
      </c>
      <c r="E120">
        <v>0</v>
      </c>
      <c r="F120">
        <v>6</v>
      </c>
      <c r="G120">
        <v>1</v>
      </c>
      <c r="H120">
        <v>2</v>
      </c>
      <c r="I120">
        <v>4</v>
      </c>
      <c r="J120">
        <v>2</v>
      </c>
      <c r="K120" t="s">
        <v>333</v>
      </c>
    </row>
    <row r="121" spans="3:18" x14ac:dyDescent="0.2">
      <c r="C121" t="s">
        <v>656</v>
      </c>
      <c r="D121">
        <v>12</v>
      </c>
      <c r="E121">
        <v>0</v>
      </c>
      <c r="F121">
        <v>8</v>
      </c>
      <c r="G121">
        <v>1</v>
      </c>
      <c r="H121">
        <v>1.5</v>
      </c>
      <c r="I121">
        <v>3</v>
      </c>
      <c r="J121">
        <v>1</v>
      </c>
      <c r="K121" t="s">
        <v>333</v>
      </c>
    </row>
    <row r="122" spans="3:18" x14ac:dyDescent="0.2">
      <c r="C122" t="s">
        <v>657</v>
      </c>
      <c r="D122">
        <v>12</v>
      </c>
      <c r="E122">
        <v>0</v>
      </c>
      <c r="F122">
        <v>7</v>
      </c>
      <c r="G122">
        <v>1</v>
      </c>
      <c r="H122">
        <v>1.7142857142857142</v>
      </c>
      <c r="I122">
        <v>3</v>
      </c>
      <c r="J122">
        <v>2.5</v>
      </c>
      <c r="K122" t="s">
        <v>333</v>
      </c>
    </row>
    <row r="123" spans="3:18" x14ac:dyDescent="0.2">
      <c r="C123" t="s">
        <v>659</v>
      </c>
      <c r="D123">
        <v>12</v>
      </c>
      <c r="E123">
        <v>0</v>
      </c>
      <c r="F123">
        <v>5</v>
      </c>
      <c r="G123">
        <v>1</v>
      </c>
      <c r="H123">
        <v>2.4</v>
      </c>
      <c r="I123">
        <v>4</v>
      </c>
      <c r="J123">
        <v>1.125</v>
      </c>
      <c r="K123" t="s">
        <v>333</v>
      </c>
    </row>
    <row r="124" spans="3:18" x14ac:dyDescent="0.2">
      <c r="C124" t="s">
        <v>666</v>
      </c>
      <c r="D124">
        <v>12</v>
      </c>
      <c r="E124">
        <v>0</v>
      </c>
      <c r="F124">
        <v>5</v>
      </c>
      <c r="G124">
        <v>1</v>
      </c>
      <c r="H124">
        <v>2.4</v>
      </c>
      <c r="I124">
        <v>4</v>
      </c>
      <c r="J124">
        <v>1.4166666666666665</v>
      </c>
      <c r="K124" t="s">
        <v>333</v>
      </c>
    </row>
    <row r="125" spans="3:18" x14ac:dyDescent="0.2">
      <c r="C125" t="s">
        <v>660</v>
      </c>
      <c r="D125">
        <v>12</v>
      </c>
      <c r="E125">
        <v>0</v>
      </c>
      <c r="F125">
        <v>5</v>
      </c>
      <c r="G125">
        <v>1</v>
      </c>
      <c r="H125">
        <v>2.4</v>
      </c>
      <c r="I125">
        <v>4</v>
      </c>
      <c r="J125">
        <v>2.833333333333333</v>
      </c>
      <c r="K125" t="s">
        <v>333</v>
      </c>
    </row>
    <row r="126" spans="3:18" x14ac:dyDescent="0.2">
      <c r="C126" t="s">
        <v>661</v>
      </c>
      <c r="D126">
        <v>13</v>
      </c>
      <c r="E126">
        <v>0</v>
      </c>
      <c r="F126">
        <v>5</v>
      </c>
      <c r="G126">
        <v>2</v>
      </c>
      <c r="H126">
        <v>2.6</v>
      </c>
      <c r="I126">
        <v>3</v>
      </c>
      <c r="J126">
        <v>1.2</v>
      </c>
      <c r="K126" t="s">
        <v>333</v>
      </c>
    </row>
    <row r="127" spans="3:18" x14ac:dyDescent="0.2">
      <c r="C127" t="s">
        <v>662</v>
      </c>
      <c r="D127">
        <v>12</v>
      </c>
      <c r="E127">
        <v>0</v>
      </c>
      <c r="F127">
        <v>5</v>
      </c>
      <c r="G127">
        <v>1</v>
      </c>
      <c r="H127">
        <v>2.4</v>
      </c>
      <c r="I127">
        <v>3</v>
      </c>
      <c r="J127">
        <v>1.5</v>
      </c>
      <c r="K127" t="s">
        <v>333</v>
      </c>
    </row>
    <row r="128" spans="3:18" x14ac:dyDescent="0.2">
      <c r="C128" t="s">
        <v>663</v>
      </c>
      <c r="D128">
        <v>0</v>
      </c>
      <c r="E128">
        <v>0</v>
      </c>
      <c r="F128">
        <v>0</v>
      </c>
      <c r="G128">
        <v>0</v>
      </c>
      <c r="H128" t="e">
        <v>#DIV/0!</v>
      </c>
      <c r="I128">
        <v>0</v>
      </c>
      <c r="J128">
        <v>0</v>
      </c>
      <c r="K128" t="s">
        <v>333</v>
      </c>
    </row>
    <row r="129" spans="3:11" x14ac:dyDescent="0.2">
      <c r="C129" t="s">
        <v>664</v>
      </c>
      <c r="D129">
        <v>12</v>
      </c>
      <c r="E129">
        <v>0</v>
      </c>
      <c r="F129">
        <v>5</v>
      </c>
      <c r="G129">
        <v>2</v>
      </c>
      <c r="H129">
        <v>2.4</v>
      </c>
      <c r="I129">
        <v>4</v>
      </c>
      <c r="J129">
        <v>2.6</v>
      </c>
      <c r="K129" t="s">
        <v>333</v>
      </c>
    </row>
    <row r="130" spans="3:11" x14ac:dyDescent="0.2">
      <c r="C130" t="s">
        <v>665</v>
      </c>
      <c r="D130">
        <v>13</v>
      </c>
      <c r="E130">
        <v>0</v>
      </c>
      <c r="F130">
        <v>5</v>
      </c>
      <c r="G130">
        <v>2</v>
      </c>
      <c r="H130">
        <v>2.6</v>
      </c>
      <c r="I130">
        <v>4</v>
      </c>
      <c r="J130">
        <v>1.9583333333333335</v>
      </c>
      <c r="K130" t="s">
        <v>333</v>
      </c>
    </row>
    <row r="131" spans="3:11" x14ac:dyDescent="0.2">
      <c r="C131" t="s">
        <v>667</v>
      </c>
      <c r="D131">
        <v>12</v>
      </c>
      <c r="E131">
        <v>0</v>
      </c>
      <c r="F131">
        <v>5</v>
      </c>
      <c r="G131">
        <v>1</v>
      </c>
      <c r="H131">
        <v>2.4</v>
      </c>
      <c r="I131">
        <v>4</v>
      </c>
      <c r="J131">
        <v>1.7916666666666667</v>
      </c>
      <c r="K131" t="s">
        <v>333</v>
      </c>
    </row>
    <row r="132" spans="3:11" x14ac:dyDescent="0.2">
      <c r="C132" t="s">
        <v>668</v>
      </c>
      <c r="D132">
        <v>12</v>
      </c>
      <c r="E132">
        <v>0</v>
      </c>
      <c r="F132">
        <v>5</v>
      </c>
      <c r="G132">
        <v>1</v>
      </c>
      <c r="H132">
        <v>2.4</v>
      </c>
      <c r="I132">
        <v>5</v>
      </c>
      <c r="J132">
        <v>1.0625</v>
      </c>
      <c r="K132" t="s">
        <v>333</v>
      </c>
    </row>
    <row r="133" spans="3:11" x14ac:dyDescent="0.2">
      <c r="C133" t="s">
        <v>669</v>
      </c>
      <c r="D133">
        <v>12</v>
      </c>
      <c r="E133">
        <v>0</v>
      </c>
      <c r="F133">
        <v>5</v>
      </c>
      <c r="G133">
        <v>1</v>
      </c>
      <c r="H133">
        <v>2.4</v>
      </c>
      <c r="I133">
        <v>4</v>
      </c>
      <c r="J133">
        <v>1.375</v>
      </c>
      <c r="K133" t="s">
        <v>333</v>
      </c>
    </row>
    <row r="134" spans="3:11" x14ac:dyDescent="0.2">
      <c r="C134" t="s">
        <v>670</v>
      </c>
      <c r="D134">
        <v>0</v>
      </c>
      <c r="E134">
        <v>0</v>
      </c>
      <c r="F134">
        <v>0</v>
      </c>
      <c r="G134">
        <v>0</v>
      </c>
      <c r="H134" t="e">
        <v>#DIV/0!</v>
      </c>
      <c r="I134">
        <v>0</v>
      </c>
      <c r="J134">
        <v>0</v>
      </c>
      <c r="K134" t="s">
        <v>333</v>
      </c>
    </row>
    <row r="135" spans="3:11" x14ac:dyDescent="0.2">
      <c r="C135" t="s">
        <v>672</v>
      </c>
      <c r="D135">
        <v>10</v>
      </c>
      <c r="E135">
        <v>0</v>
      </c>
      <c r="F135">
        <v>5</v>
      </c>
      <c r="G135">
        <v>1</v>
      </c>
      <c r="H135">
        <v>2</v>
      </c>
      <c r="I135">
        <v>4</v>
      </c>
      <c r="J135">
        <v>2.833333333333333</v>
      </c>
      <c r="K135" t="s">
        <v>333</v>
      </c>
    </row>
    <row r="136" spans="3:11" x14ac:dyDescent="0.2">
      <c r="C136" t="s">
        <v>673</v>
      </c>
      <c r="D136">
        <v>10</v>
      </c>
      <c r="E136">
        <v>0</v>
      </c>
      <c r="F136">
        <v>6</v>
      </c>
      <c r="G136">
        <v>1</v>
      </c>
      <c r="H136">
        <v>1.6666666666666667</v>
      </c>
      <c r="I136">
        <v>3</v>
      </c>
      <c r="J136">
        <v>3</v>
      </c>
      <c r="K136" t="s">
        <v>333</v>
      </c>
    </row>
    <row r="137" spans="3:11" x14ac:dyDescent="0.2">
      <c r="C137" t="s">
        <v>674</v>
      </c>
      <c r="D137">
        <v>10</v>
      </c>
      <c r="E137">
        <v>0</v>
      </c>
      <c r="F137">
        <v>6</v>
      </c>
      <c r="G137">
        <v>1</v>
      </c>
      <c r="H137">
        <v>1.6666666666666667</v>
      </c>
      <c r="I137">
        <v>2</v>
      </c>
      <c r="J137">
        <v>9</v>
      </c>
      <c r="K137" t="s">
        <v>333</v>
      </c>
    </row>
    <row r="138" spans="3:11" x14ac:dyDescent="0.2">
      <c r="C138" t="s">
        <v>675</v>
      </c>
      <c r="D138">
        <v>10</v>
      </c>
      <c r="E138">
        <v>0</v>
      </c>
      <c r="F138">
        <v>7</v>
      </c>
      <c r="G138">
        <v>1</v>
      </c>
      <c r="H138">
        <v>1.4285714285714286</v>
      </c>
      <c r="I138">
        <v>2</v>
      </c>
      <c r="J138">
        <v>4</v>
      </c>
      <c r="K138" t="s">
        <v>333</v>
      </c>
    </row>
    <row r="139" spans="3:11" x14ac:dyDescent="0.2">
      <c r="C139" t="s">
        <v>676</v>
      </c>
      <c r="D139">
        <v>0</v>
      </c>
      <c r="E139">
        <v>0</v>
      </c>
      <c r="F139">
        <v>0</v>
      </c>
      <c r="G139">
        <v>0</v>
      </c>
      <c r="H139" t="e">
        <v>#DIV/0!</v>
      </c>
      <c r="I139">
        <v>0</v>
      </c>
      <c r="J139">
        <v>0</v>
      </c>
      <c r="K139" t="s">
        <v>333</v>
      </c>
    </row>
    <row r="140" spans="3:11" x14ac:dyDescent="0.2">
      <c r="C140" t="s">
        <v>677</v>
      </c>
      <c r="D140">
        <v>14</v>
      </c>
      <c r="E140">
        <v>0</v>
      </c>
      <c r="F140">
        <v>7</v>
      </c>
      <c r="G140">
        <v>1</v>
      </c>
      <c r="H140">
        <v>2</v>
      </c>
      <c r="I140">
        <v>4</v>
      </c>
      <c r="J140">
        <v>3.2777777777777781</v>
      </c>
      <c r="K140" t="s">
        <v>333</v>
      </c>
    </row>
    <row r="141" spans="3:11" x14ac:dyDescent="0.2">
      <c r="C141" t="s">
        <v>678</v>
      </c>
      <c r="D141">
        <v>10</v>
      </c>
      <c r="E141">
        <v>0</v>
      </c>
      <c r="F141">
        <v>6</v>
      </c>
      <c r="G141">
        <v>1</v>
      </c>
      <c r="H141">
        <v>1.6666666666666667</v>
      </c>
      <c r="I141">
        <v>3</v>
      </c>
      <c r="J141">
        <v>6.75</v>
      </c>
      <c r="K141" t="s">
        <v>333</v>
      </c>
    </row>
    <row r="142" spans="3:11" x14ac:dyDescent="0.2">
      <c r="C142" t="s">
        <v>379</v>
      </c>
      <c r="D142">
        <v>0</v>
      </c>
      <c r="E142">
        <v>0</v>
      </c>
      <c r="F142">
        <v>0</v>
      </c>
      <c r="G142">
        <v>0</v>
      </c>
      <c r="H142" t="e">
        <v>#DIV/0!</v>
      </c>
      <c r="I142">
        <v>0</v>
      </c>
      <c r="J142">
        <v>0</v>
      </c>
      <c r="K142" t="s">
        <v>333</v>
      </c>
    </row>
  </sheetData>
  <autoFilter ref="C5:R142" xr:uid="{00000000-0009-0000-0000-00000B000000}"/>
  <printOptions horizontalCentered="1"/>
  <pageMargins left="0.25" right="0.25" top="0.75" bottom="0.75" header="0.3" footer="0.3"/>
  <pageSetup scale="40" orientation="portrait" horizontalDpi="360" verticalDpi="36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>
    <pageSetUpPr fitToPage="1"/>
  </sheetPr>
  <dimension ref="A3:K93"/>
  <sheetViews>
    <sheetView workbookViewId="0"/>
  </sheetViews>
  <sheetFormatPr baseColWidth="10" defaultColWidth="8.83203125" defaultRowHeight="15" x14ac:dyDescent="0.2"/>
  <cols>
    <col min="1" max="1" width="19.1640625" customWidth="1"/>
    <col min="2" max="11" width="24.6640625" customWidth="1"/>
    <col min="15" max="15" width="10.6640625" bestFit="1" customWidth="1"/>
  </cols>
  <sheetData>
    <row r="3" spans="1:11" ht="19" x14ac:dyDescent="0.25">
      <c r="A3" s="46" t="s">
        <v>307</v>
      </c>
      <c r="B3" s="482" t="s">
        <v>701</v>
      </c>
      <c r="C3" s="483"/>
      <c r="D3" s="47" t="s">
        <v>308</v>
      </c>
    </row>
    <row r="6" spans="1:11" x14ac:dyDescent="0.2">
      <c r="A6" s="37" t="s">
        <v>309</v>
      </c>
      <c r="B6" s="38">
        <v>43055</v>
      </c>
      <c r="C6" s="38">
        <v>43057</v>
      </c>
      <c r="D6" s="38">
        <v>43058</v>
      </c>
      <c r="E6" s="38">
        <v>43059</v>
      </c>
      <c r="F6" s="38">
        <v>43060</v>
      </c>
      <c r="G6" s="38">
        <v>43061</v>
      </c>
      <c r="H6" s="38">
        <v>43062</v>
      </c>
      <c r="I6" s="38">
        <v>43063</v>
      </c>
      <c r="J6" s="38">
        <v>43064</v>
      </c>
      <c r="K6" s="38">
        <v>43065</v>
      </c>
    </row>
    <row r="7" spans="1:11" x14ac:dyDescent="0.2">
      <c r="A7" s="39"/>
      <c r="B7" s="40" t="s">
        <v>380</v>
      </c>
      <c r="C7" s="40" t="s">
        <v>381</v>
      </c>
      <c r="D7" s="40" t="s">
        <v>382</v>
      </c>
      <c r="E7" s="40" t="s">
        <v>383</v>
      </c>
      <c r="F7" s="40" t="s">
        <v>314</v>
      </c>
      <c r="G7" s="40" t="s">
        <v>384</v>
      </c>
      <c r="H7" s="40" t="s">
        <v>315</v>
      </c>
      <c r="I7" s="40" t="s">
        <v>316</v>
      </c>
      <c r="J7" s="40" t="s">
        <v>317</v>
      </c>
      <c r="K7" s="40" t="s">
        <v>318</v>
      </c>
    </row>
    <row r="8" spans="1:11" ht="61.5" customHeight="1" x14ac:dyDescent="0.2">
      <c r="A8" s="41">
        <v>0.33333333333333331</v>
      </c>
      <c r="B8" s="68" t="str">
        <f>B48</f>
        <v/>
      </c>
      <c r="C8" s="60" t="str">
        <f t="shared" ref="C8:K8" si="0">C48</f>
        <v/>
      </c>
      <c r="D8" s="126" t="str">
        <f t="shared" si="0"/>
        <v/>
      </c>
      <c r="E8" s="126" t="str">
        <f t="shared" si="0"/>
        <v/>
      </c>
      <c r="F8" s="126" t="str">
        <f t="shared" si="0"/>
        <v/>
      </c>
      <c r="G8" s="127" t="str">
        <f t="shared" si="0"/>
        <v/>
      </c>
      <c r="H8" s="127" t="str">
        <f t="shared" si="0"/>
        <v/>
      </c>
      <c r="I8" s="128" t="str">
        <f t="shared" si="0"/>
        <v/>
      </c>
      <c r="J8" s="127" t="str">
        <f t="shared" si="0"/>
        <v/>
      </c>
      <c r="K8" s="129" t="str">
        <f t="shared" si="0"/>
        <v>Ch C Female Newcomb-- CHILD CF - VEN 1 vs. CHILD CF - COL 1</v>
      </c>
    </row>
    <row r="9" spans="1:11" ht="61.5" customHeight="1" x14ac:dyDescent="0.2">
      <c r="A9" s="42">
        <f t="shared" ref="A9:A23" si="1">A8+$A$42</f>
        <v>0.36805555555555552</v>
      </c>
      <c r="B9" s="68" t="str">
        <f t="shared" ref="B9:K23" si="2">B49</f>
        <v/>
      </c>
      <c r="C9" s="60" t="str">
        <f t="shared" si="2"/>
        <v/>
      </c>
      <c r="D9" s="126" t="str">
        <f t="shared" si="2"/>
        <v>Ch C Female Newcomb-- CHILD CF - USA 1 vs. CHILD CF - COL 1</v>
      </c>
      <c r="E9" s="126" t="str">
        <f t="shared" si="2"/>
        <v/>
      </c>
      <c r="F9" s="126" t="str">
        <f t="shared" si="2"/>
        <v/>
      </c>
      <c r="G9" s="127" t="str">
        <f t="shared" si="2"/>
        <v/>
      </c>
      <c r="H9" s="127" t="str">
        <f t="shared" si="2"/>
        <v>Ch D Female Volleyball-- CHILD DF - VEN 1 vs. CHILD DF - ISR</v>
      </c>
      <c r="I9" s="128" t="str">
        <f t="shared" si="2"/>
        <v>Ch C Female Newcomb-- CHILD CF - VEN 2 vs. CHILD CF - ARG 1</v>
      </c>
      <c r="J9" s="127" t="str">
        <f t="shared" si="2"/>
        <v/>
      </c>
      <c r="K9" s="129" t="str">
        <f t="shared" si="2"/>
        <v>Ch E Female Volleyball-- CHILD EF - COL 2 vs. CHILD EF - PER</v>
      </c>
    </row>
    <row r="10" spans="1:11" ht="61.5" customHeight="1" x14ac:dyDescent="0.2">
      <c r="A10" s="42">
        <f t="shared" si="1"/>
        <v>0.40277777777777773</v>
      </c>
      <c r="B10" s="68" t="str">
        <f t="shared" si="2"/>
        <v/>
      </c>
      <c r="C10" s="60" t="str">
        <f t="shared" si="2"/>
        <v/>
      </c>
      <c r="D10" s="126" t="str">
        <f t="shared" si="2"/>
        <v>Ch D Female Volleyball-- CHILD DF - USA 1 vs. CHILD DF - ISR</v>
      </c>
      <c r="E10" s="126" t="str">
        <f t="shared" si="2"/>
        <v/>
      </c>
      <c r="F10" s="126" t="str">
        <f t="shared" si="2"/>
        <v/>
      </c>
      <c r="G10" s="127" t="str">
        <f t="shared" si="2"/>
        <v/>
      </c>
      <c r="H10" s="127" t="str">
        <f t="shared" si="2"/>
        <v>Ch D Female Volleyball-- CHILD DF - ARG 1 vs. CHILD DF - USA 1</v>
      </c>
      <c r="I10" s="128" t="str">
        <f t="shared" si="2"/>
        <v>Ch E Male Volleyball-- CHILD EM - ARG 1 vs. CHILD EM - COL 1</v>
      </c>
      <c r="J10" s="127" t="str">
        <f t="shared" si="2"/>
        <v/>
      </c>
      <c r="K10" s="129" t="str">
        <f t="shared" si="2"/>
        <v>Ch C Female Newcomb-- CHILD CF - VEN 1 vs. CHILD CF - USA 2</v>
      </c>
    </row>
    <row r="11" spans="1:11" ht="61.5" customHeight="1" x14ac:dyDescent="0.2">
      <c r="A11" s="42">
        <f t="shared" si="1"/>
        <v>0.43749999999999994</v>
      </c>
      <c r="B11" s="68" t="str">
        <f t="shared" si="2"/>
        <v/>
      </c>
      <c r="C11" s="60" t="str">
        <f t="shared" si="2"/>
        <v/>
      </c>
      <c r="D11" s="126" t="str">
        <f t="shared" si="2"/>
        <v>Ch E Male Volleyball-- CHILD EM - COL 1 vs. CHILD EM - PER</v>
      </c>
      <c r="E11" s="126" t="str">
        <f t="shared" si="2"/>
        <v/>
      </c>
      <c r="F11" s="126" t="str">
        <f t="shared" si="2"/>
        <v/>
      </c>
      <c r="G11" s="127" t="str">
        <f t="shared" si="2"/>
        <v/>
      </c>
      <c r="H11" s="127" t="str">
        <f t="shared" si="2"/>
        <v>Ch C Female Newcomb-- CHILD CF - VEN 2 vs. CHILD CF - USA 2</v>
      </c>
      <c r="I11" s="128" t="str">
        <f t="shared" si="2"/>
        <v>Ch E Female Volleyball-- CHILD EF - ARG 1 vs. CHILD EF - USA 1</v>
      </c>
      <c r="J11" s="127" t="str">
        <f t="shared" si="2"/>
        <v/>
      </c>
      <c r="K11" s="129" t="str">
        <f t="shared" si="2"/>
        <v/>
      </c>
    </row>
    <row r="12" spans="1:11" ht="61.5" customHeight="1" x14ac:dyDescent="0.2">
      <c r="A12" s="42">
        <f t="shared" si="1"/>
        <v>0.47222222222222215</v>
      </c>
      <c r="B12" s="68" t="str">
        <f t="shared" si="2"/>
        <v/>
      </c>
      <c r="C12" s="60" t="str">
        <f t="shared" si="2"/>
        <v/>
      </c>
      <c r="D12" s="126" t="str">
        <f t="shared" si="2"/>
        <v>Ch C Female Newcomb-- CHILD CF - VEN 1 vs. CHILD CF - USA 1</v>
      </c>
      <c r="E12" s="126" t="str">
        <f t="shared" si="2"/>
        <v/>
      </c>
      <c r="F12" s="126" t="str">
        <f t="shared" si="2"/>
        <v/>
      </c>
      <c r="G12" s="127" t="str">
        <f t="shared" si="2"/>
        <v/>
      </c>
      <c r="H12" s="127" t="str">
        <f t="shared" si="2"/>
        <v>Ch E Female Volleyball-- CHILD EF - COL 2 vs. CHILD EF - MEX</v>
      </c>
      <c r="I12" s="128" t="str">
        <f t="shared" si="2"/>
        <v>Ch C Female Newcomb-- CHILD CF - USA 1 vs. CHILD CF - ARG 1</v>
      </c>
      <c r="J12" s="127" t="str">
        <f t="shared" si="2"/>
        <v/>
      </c>
      <c r="K12" s="129" t="str">
        <f t="shared" si="2"/>
        <v>Ch D Female Volleyball-- CHILD DF - ARG 1 vs. CHILD DF - VEN 1</v>
      </c>
    </row>
    <row r="13" spans="1:11" ht="61.5" customHeight="1" x14ac:dyDescent="0.2">
      <c r="A13" s="42">
        <f t="shared" si="1"/>
        <v>0.50694444444444442</v>
      </c>
      <c r="B13" s="68" t="str">
        <f t="shared" si="2"/>
        <v/>
      </c>
      <c r="C13" s="60" t="str">
        <f t="shared" si="2"/>
        <v/>
      </c>
      <c r="D13" s="126" t="str">
        <f t="shared" si="2"/>
        <v>Ch D Female Volleyball-- CHILD DF - COL 1 vs. CHILD DF - MEX</v>
      </c>
      <c r="E13" s="126" t="str">
        <f t="shared" si="2"/>
        <v/>
      </c>
      <c r="F13" s="126" t="str">
        <f t="shared" si="2"/>
        <v/>
      </c>
      <c r="G13" s="127" t="str">
        <f t="shared" si="2"/>
        <v/>
      </c>
      <c r="H13" s="127" t="str">
        <f t="shared" si="2"/>
        <v>Ch E Female Volleyball-- CHILD EF - PER vs. CHILD EF - USA 1</v>
      </c>
      <c r="I13" s="128" t="str">
        <f t="shared" si="2"/>
        <v>Ch E Female Volleyball-- CHILD EF - COL 1 vs. CHILD EF - ISR 1</v>
      </c>
      <c r="J13" s="127" t="str">
        <f t="shared" si="2"/>
        <v/>
      </c>
      <c r="K13" s="129" t="str">
        <f t="shared" si="2"/>
        <v>Ch D Female Volleyball-- CHILD DF - USA 1 vs. CHILD DF - VEN 1</v>
      </c>
    </row>
    <row r="14" spans="1:11" ht="61.5" customHeight="1" x14ac:dyDescent="0.2">
      <c r="A14" s="42">
        <f t="shared" si="1"/>
        <v>0.54166666666666663</v>
      </c>
      <c r="B14" s="68" t="str">
        <f t="shared" si="2"/>
        <v/>
      </c>
      <c r="C14" s="60" t="str">
        <f t="shared" si="2"/>
        <v/>
      </c>
      <c r="D14" s="126" t="str">
        <f t="shared" si="2"/>
        <v>Ch E Male Volleyball-- CHILD EM - MEX 1 vs. CHILD EM - PER</v>
      </c>
      <c r="E14" s="126" t="str">
        <f t="shared" si="2"/>
        <v/>
      </c>
      <c r="F14" s="126" t="str">
        <f t="shared" si="2"/>
        <v/>
      </c>
      <c r="G14" s="127" t="str">
        <f t="shared" si="2"/>
        <v/>
      </c>
      <c r="H14" s="127" t="str">
        <f t="shared" si="2"/>
        <v>Ch D Female Volleyball-- CHILD DF - ARG 1 vs. CHILD DF - ISR</v>
      </c>
      <c r="I14" s="128" t="str">
        <f t="shared" si="2"/>
        <v>Ch D Female Volleyball-- CHILD DF - COL 1 vs. CHILD DF - USA 2</v>
      </c>
      <c r="J14" s="127" t="str">
        <f t="shared" si="2"/>
        <v/>
      </c>
      <c r="K14" s="129" t="str">
        <f t="shared" si="2"/>
        <v/>
      </c>
    </row>
    <row r="15" spans="1:11" ht="61.5" customHeight="1" x14ac:dyDescent="0.2">
      <c r="A15" s="42">
        <f t="shared" si="1"/>
        <v>0.57638888888888884</v>
      </c>
      <c r="B15" s="68" t="str">
        <f t="shared" si="2"/>
        <v/>
      </c>
      <c r="C15" s="60" t="str">
        <f t="shared" si="2"/>
        <v/>
      </c>
      <c r="D15" s="126" t="str">
        <f t="shared" si="2"/>
        <v>Ch D Female Volleyball-- CHILD DF - COL 1 vs. CHILD DF - VEN 2</v>
      </c>
      <c r="E15" s="126" t="str">
        <f t="shared" si="2"/>
        <v/>
      </c>
      <c r="F15" s="126" t="str">
        <f t="shared" si="2"/>
        <v/>
      </c>
      <c r="G15" s="127" t="str">
        <f t="shared" si="2"/>
        <v/>
      </c>
      <c r="H15" s="127" t="str">
        <f t="shared" si="2"/>
        <v>Ch C Female Newcomb-- CHILD CF - VEN 2 vs. CHILD CF - COL 1</v>
      </c>
      <c r="I15" s="128" t="str">
        <f t="shared" si="2"/>
        <v>Ch D Female Volleyball-- CHILD DF - VEN 2 vs. CHILD DF - MEX</v>
      </c>
      <c r="J15" s="127" t="str">
        <f t="shared" si="2"/>
        <v/>
      </c>
      <c r="K15" s="129" t="str">
        <f t="shared" si="2"/>
        <v/>
      </c>
    </row>
    <row r="16" spans="1:11" ht="61.5" customHeight="1" x14ac:dyDescent="0.2">
      <c r="A16" s="42">
        <f t="shared" si="1"/>
        <v>0.61111111111111105</v>
      </c>
      <c r="B16" s="68" t="str">
        <f t="shared" si="2"/>
        <v/>
      </c>
      <c r="C16" s="60" t="str">
        <f t="shared" si="2"/>
        <v/>
      </c>
      <c r="D16" s="126" t="str">
        <f t="shared" si="2"/>
        <v>Ch C Female Newcomb-- CHILD CF - ARG 1 vs. CHILD CF - USA 2</v>
      </c>
      <c r="E16" s="126" t="str">
        <f t="shared" si="2"/>
        <v/>
      </c>
      <c r="F16" s="126" t="str">
        <f t="shared" si="2"/>
        <v/>
      </c>
      <c r="G16" s="127" t="str">
        <f t="shared" si="2"/>
        <v/>
      </c>
      <c r="H16" s="127" t="str">
        <f t="shared" si="2"/>
        <v>Ch D Female Volleyball-- CHILD DF - USA 2 vs. CHILD DF - VEN 2</v>
      </c>
      <c r="I16" s="128" t="str">
        <f t="shared" si="2"/>
        <v>Ch E Female Volleyball-- CHILD EF - ISR 1 vs. CHILD EF - COL 2</v>
      </c>
      <c r="J16" s="127" t="str">
        <f t="shared" si="2"/>
        <v/>
      </c>
      <c r="K16" s="129" t="str">
        <f t="shared" si="2"/>
        <v/>
      </c>
    </row>
    <row r="17" spans="1:11" ht="61.5" customHeight="1" x14ac:dyDescent="0.2">
      <c r="A17" s="42">
        <f t="shared" si="1"/>
        <v>0.64583333333333326</v>
      </c>
      <c r="B17" s="68" t="str">
        <f t="shared" si="2"/>
        <v/>
      </c>
      <c r="C17" s="60" t="str">
        <f t="shared" si="2"/>
        <v/>
      </c>
      <c r="D17" s="126" t="str">
        <f t="shared" si="2"/>
        <v>Ch E Female Volleyball-- CHILD EF - MEX vs. CHILD EF - PER</v>
      </c>
      <c r="E17" s="126" t="str">
        <f t="shared" si="2"/>
        <v/>
      </c>
      <c r="F17" s="126" t="str">
        <f t="shared" si="2"/>
        <v/>
      </c>
      <c r="G17" s="127" t="str">
        <f t="shared" si="2"/>
        <v/>
      </c>
      <c r="H17" s="130" t="str">
        <f t="shared" si="2"/>
        <v>Ch E Male Volleyball-- CHILD EM - MEX 1 vs. CHILD EM - VEN 2</v>
      </c>
      <c r="I17" s="128" t="str">
        <f t="shared" si="2"/>
        <v>Ch D Female Volleyball-- CHILD DF - USA 2 vs. CHILD DF - MEX</v>
      </c>
      <c r="J17" s="127" t="str">
        <f t="shared" si="2"/>
        <v/>
      </c>
      <c r="K17" s="129" t="str">
        <f t="shared" si="2"/>
        <v>Ch C Female Newcomb-- CHILD CF - USA 1 vs. CHILD CF - ARG 1</v>
      </c>
    </row>
    <row r="18" spans="1:11" ht="61.5" customHeight="1" x14ac:dyDescent="0.2">
      <c r="A18" s="42">
        <f t="shared" si="1"/>
        <v>0.68055555555555547</v>
      </c>
      <c r="B18" s="68" t="str">
        <f t="shared" si="2"/>
        <v/>
      </c>
      <c r="C18" s="60" t="str">
        <f t="shared" si="2"/>
        <v/>
      </c>
      <c r="D18" s="126" t="str">
        <f t="shared" si="2"/>
        <v>Ch E Male Volleyball-- CHILD EM - ARG 1 vs. CHILD EM - VEN 2</v>
      </c>
      <c r="E18" s="126" t="str">
        <f t="shared" si="2"/>
        <v/>
      </c>
      <c r="F18" s="126" t="str">
        <f t="shared" si="2"/>
        <v/>
      </c>
      <c r="G18" s="130" t="str">
        <f t="shared" si="2"/>
        <v/>
      </c>
      <c r="H18" s="128" t="str">
        <f t="shared" si="2"/>
        <v>Ch E Male Volleyball-- CHILD EM - USA 1 vs. CHILD EM - VEN 1</v>
      </c>
      <c r="I18" s="128" t="str">
        <f t="shared" si="2"/>
        <v/>
      </c>
      <c r="J18" s="127" t="str">
        <f t="shared" si="2"/>
        <v/>
      </c>
      <c r="K18" s="129" t="str">
        <f t="shared" si="2"/>
        <v/>
      </c>
    </row>
    <row r="19" spans="1:11" ht="61.5" customHeight="1" x14ac:dyDescent="0.2">
      <c r="A19" s="42">
        <f t="shared" si="1"/>
        <v>0.71527777777777768</v>
      </c>
      <c r="B19" s="68" t="str">
        <f t="shared" si="2"/>
        <v/>
      </c>
      <c r="C19" s="60" t="str">
        <f t="shared" si="2"/>
        <v/>
      </c>
      <c r="D19" s="126" t="str">
        <f t="shared" si="2"/>
        <v/>
      </c>
      <c r="E19" s="126" t="str">
        <f t="shared" si="2"/>
        <v/>
      </c>
      <c r="F19" s="126" t="str">
        <f t="shared" si="2"/>
        <v/>
      </c>
      <c r="G19" s="128" t="str">
        <f t="shared" si="2"/>
        <v/>
      </c>
      <c r="H19" s="128" t="str">
        <f t="shared" si="2"/>
        <v/>
      </c>
      <c r="I19" s="128" t="str">
        <f t="shared" si="2"/>
        <v/>
      </c>
      <c r="J19" s="127" t="str">
        <f t="shared" si="2"/>
        <v/>
      </c>
      <c r="K19" s="129" t="str">
        <f t="shared" si="2"/>
        <v/>
      </c>
    </row>
    <row r="20" spans="1:11" ht="61.5" customHeight="1" x14ac:dyDescent="0.2">
      <c r="A20" s="42">
        <f t="shared" si="1"/>
        <v>0.74999999999999989</v>
      </c>
      <c r="B20" s="68" t="str">
        <f t="shared" si="2"/>
        <v/>
      </c>
      <c r="C20" s="60" t="str">
        <f t="shared" si="2"/>
        <v/>
      </c>
      <c r="D20" s="126" t="str">
        <f t="shared" si="2"/>
        <v/>
      </c>
      <c r="E20" s="126" t="str">
        <f t="shared" si="2"/>
        <v/>
      </c>
      <c r="F20" s="126" t="str">
        <f t="shared" si="2"/>
        <v/>
      </c>
      <c r="G20" s="128" t="str">
        <f t="shared" si="2"/>
        <v/>
      </c>
      <c r="H20" s="128" t="str">
        <f t="shared" si="2"/>
        <v/>
      </c>
      <c r="I20" s="128" t="str">
        <f t="shared" si="2"/>
        <v/>
      </c>
      <c r="J20" s="127" t="str">
        <f t="shared" si="2"/>
        <v/>
      </c>
      <c r="K20" s="129" t="str">
        <f t="shared" si="2"/>
        <v/>
      </c>
    </row>
    <row r="21" spans="1:11" ht="61.5" customHeight="1" x14ac:dyDescent="0.2">
      <c r="A21" s="42">
        <f t="shared" si="1"/>
        <v>0.7847222222222221</v>
      </c>
      <c r="B21" s="69" t="str">
        <f t="shared" si="2"/>
        <v/>
      </c>
      <c r="C21" s="60" t="str">
        <f t="shared" si="2"/>
        <v/>
      </c>
      <c r="D21" s="126" t="str">
        <f t="shared" si="2"/>
        <v/>
      </c>
      <c r="E21" s="126" t="str">
        <f t="shared" si="2"/>
        <v/>
      </c>
      <c r="F21" s="126" t="str">
        <f t="shared" si="2"/>
        <v/>
      </c>
      <c r="G21" s="128" t="str">
        <f t="shared" si="2"/>
        <v/>
      </c>
      <c r="H21" s="128" t="str">
        <f t="shared" si="2"/>
        <v/>
      </c>
      <c r="I21" s="127" t="str">
        <f t="shared" si="2"/>
        <v/>
      </c>
      <c r="J21" s="127" t="str">
        <f t="shared" si="2"/>
        <v/>
      </c>
      <c r="K21" s="129" t="str">
        <f t="shared" si="2"/>
        <v/>
      </c>
    </row>
    <row r="22" spans="1:11" ht="61.5" customHeight="1" x14ac:dyDescent="0.2">
      <c r="A22" s="42">
        <f t="shared" si="1"/>
        <v>0.81944444444444431</v>
      </c>
      <c r="B22" s="69" t="str">
        <f t="shared" si="2"/>
        <v/>
      </c>
      <c r="C22" s="60" t="str">
        <f t="shared" si="2"/>
        <v/>
      </c>
      <c r="D22" s="126" t="str">
        <f t="shared" si="2"/>
        <v/>
      </c>
      <c r="E22" s="126" t="str">
        <f t="shared" si="2"/>
        <v/>
      </c>
      <c r="F22" s="126" t="str">
        <f t="shared" si="2"/>
        <v/>
      </c>
      <c r="G22" s="128" t="str">
        <f t="shared" si="2"/>
        <v/>
      </c>
      <c r="H22" s="128" t="str">
        <f t="shared" si="2"/>
        <v/>
      </c>
      <c r="I22" s="127" t="str">
        <f t="shared" si="2"/>
        <v/>
      </c>
      <c r="J22" s="127" t="str">
        <f t="shared" si="2"/>
        <v/>
      </c>
      <c r="K22" s="129" t="str">
        <f t="shared" si="2"/>
        <v/>
      </c>
    </row>
    <row r="23" spans="1:11" ht="61.5" customHeight="1" x14ac:dyDescent="0.2">
      <c r="A23" s="42">
        <f t="shared" si="1"/>
        <v>0.85416666666666652</v>
      </c>
      <c r="B23" s="69" t="str">
        <f t="shared" si="2"/>
        <v/>
      </c>
      <c r="C23" s="60" t="str">
        <f t="shared" si="2"/>
        <v/>
      </c>
      <c r="D23" s="126" t="str">
        <f t="shared" si="2"/>
        <v/>
      </c>
      <c r="E23" s="126" t="str">
        <f t="shared" si="2"/>
        <v/>
      </c>
      <c r="F23" s="126" t="str">
        <f t="shared" si="2"/>
        <v/>
      </c>
      <c r="G23" s="128" t="str">
        <f t="shared" si="2"/>
        <v/>
      </c>
      <c r="H23" s="128" t="str">
        <f t="shared" si="2"/>
        <v/>
      </c>
      <c r="I23" s="127" t="str">
        <f t="shared" si="2"/>
        <v/>
      </c>
      <c r="J23" s="127" t="str">
        <f t="shared" si="2"/>
        <v/>
      </c>
      <c r="K23" s="129" t="str">
        <f t="shared" si="2"/>
        <v/>
      </c>
    </row>
    <row r="24" spans="1:11" ht="54.75" customHeight="1" x14ac:dyDescent="0.2">
      <c r="A24" s="42">
        <f>A23+$A$42</f>
        <v>0.88888888888888873</v>
      </c>
      <c r="B24" s="69" t="str">
        <f t="shared" ref="B24:K24" si="3">B64</f>
        <v/>
      </c>
      <c r="C24" s="60" t="str">
        <f t="shared" si="3"/>
        <v/>
      </c>
      <c r="D24" s="70" t="str">
        <f t="shared" si="3"/>
        <v/>
      </c>
      <c r="E24" s="70" t="str">
        <f t="shared" si="3"/>
        <v/>
      </c>
      <c r="F24" s="70" t="str">
        <f t="shared" si="3"/>
        <v/>
      </c>
      <c r="G24" s="68" t="str">
        <f t="shared" si="3"/>
        <v/>
      </c>
      <c r="H24" s="68" t="str">
        <f t="shared" si="3"/>
        <v/>
      </c>
      <c r="I24" s="60" t="str">
        <f t="shared" si="3"/>
        <v/>
      </c>
      <c r="J24" s="60" t="str">
        <f t="shared" si="3"/>
        <v/>
      </c>
      <c r="K24" s="61" t="str">
        <f t="shared" si="3"/>
        <v/>
      </c>
    </row>
    <row r="25" spans="1:11" ht="54.75" customHeight="1" x14ac:dyDescent="0.2">
      <c r="A25" s="42">
        <f>A24+$A$42</f>
        <v>0.92361111111111094</v>
      </c>
      <c r="B25" s="69" t="str">
        <f t="shared" ref="B25:K25" si="4">B65</f>
        <v/>
      </c>
      <c r="C25" s="60" t="str">
        <f t="shared" si="4"/>
        <v/>
      </c>
      <c r="D25" s="70" t="str">
        <f t="shared" si="4"/>
        <v/>
      </c>
      <c r="E25" s="70" t="str">
        <f t="shared" si="4"/>
        <v/>
      </c>
      <c r="F25" s="70" t="str">
        <f t="shared" si="4"/>
        <v/>
      </c>
      <c r="G25" s="68" t="str">
        <f t="shared" si="4"/>
        <v/>
      </c>
      <c r="H25" s="68" t="str">
        <f t="shared" si="4"/>
        <v/>
      </c>
      <c r="I25" s="60" t="str">
        <f t="shared" si="4"/>
        <v/>
      </c>
      <c r="J25" s="60" t="str">
        <f t="shared" si="4"/>
        <v/>
      </c>
      <c r="K25" s="61" t="str">
        <f t="shared" si="4"/>
        <v/>
      </c>
    </row>
    <row r="26" spans="1:11" ht="54.75" customHeight="1" x14ac:dyDescent="0.2">
      <c r="A26" s="42">
        <f>A25+$A$42</f>
        <v>0.95833333333333315</v>
      </c>
      <c r="B26" s="69" t="str">
        <f t="shared" ref="B26:K26" si="5">B66</f>
        <v/>
      </c>
      <c r="C26" s="60" t="str">
        <f t="shared" si="5"/>
        <v/>
      </c>
      <c r="D26" s="70" t="str">
        <f t="shared" si="5"/>
        <v/>
      </c>
      <c r="E26" s="70" t="str">
        <f t="shared" si="5"/>
        <v/>
      </c>
      <c r="F26" s="70" t="str">
        <f t="shared" si="5"/>
        <v/>
      </c>
      <c r="G26" s="68" t="str">
        <f t="shared" si="5"/>
        <v/>
      </c>
      <c r="H26" s="68" t="str">
        <f t="shared" si="5"/>
        <v/>
      </c>
      <c r="I26" s="60" t="str">
        <f t="shared" si="5"/>
        <v/>
      </c>
      <c r="J26" s="60" t="str">
        <f t="shared" si="5"/>
        <v/>
      </c>
      <c r="K26" s="61" t="str">
        <f t="shared" si="5"/>
        <v/>
      </c>
    </row>
    <row r="27" spans="1:11" ht="54.75" customHeight="1" x14ac:dyDescent="0.2">
      <c r="A27" s="42">
        <f>A26+$A$42</f>
        <v>0.99305555555555536</v>
      </c>
      <c r="B27" s="69" t="str">
        <f t="shared" ref="B27:K27" si="6">B67</f>
        <v/>
      </c>
      <c r="C27" s="60" t="str">
        <f t="shared" si="6"/>
        <v/>
      </c>
      <c r="D27" s="70" t="str">
        <f t="shared" si="6"/>
        <v/>
      </c>
      <c r="E27" s="70" t="str">
        <f t="shared" si="6"/>
        <v/>
      </c>
      <c r="F27" s="70" t="str">
        <f t="shared" si="6"/>
        <v/>
      </c>
      <c r="G27" s="68" t="str">
        <f t="shared" si="6"/>
        <v/>
      </c>
      <c r="H27" s="68" t="str">
        <f t="shared" si="6"/>
        <v/>
      </c>
      <c r="I27" s="60" t="str">
        <f t="shared" si="6"/>
        <v/>
      </c>
      <c r="J27" s="60" t="str">
        <f t="shared" si="6"/>
        <v/>
      </c>
      <c r="K27" s="61" t="str">
        <f t="shared" si="6"/>
        <v/>
      </c>
    </row>
    <row r="28" spans="1:11" ht="29.5" customHeight="1" thickBot="1" x14ac:dyDescent="0.25"/>
    <row r="29" spans="1:11" x14ac:dyDescent="0.2">
      <c r="A29" s="30" t="s">
        <v>320</v>
      </c>
      <c r="B29" s="31"/>
      <c r="C29" s="31"/>
      <c r="D29" s="31"/>
      <c r="E29" s="31"/>
      <c r="F29" s="31"/>
      <c r="G29" s="31"/>
      <c r="H29" s="31"/>
      <c r="I29" s="31"/>
      <c r="J29" s="31"/>
      <c r="K29" s="32"/>
    </row>
    <row r="30" spans="1:11" x14ac:dyDescent="0.2">
      <c r="A30" s="9" t="s">
        <v>321</v>
      </c>
      <c r="B30" s="35">
        <f>COUNTIF(B8:B27,"&gt;""")</f>
        <v>0</v>
      </c>
      <c r="C30" s="35">
        <f t="shared" ref="C30:K30" si="7">COUNTIF(C8:C27,"&gt;""")</f>
        <v>0</v>
      </c>
      <c r="D30" s="35">
        <f t="shared" si="7"/>
        <v>10</v>
      </c>
      <c r="E30" s="35">
        <f t="shared" si="7"/>
        <v>0</v>
      </c>
      <c r="F30" s="35">
        <f t="shared" si="7"/>
        <v>0</v>
      </c>
      <c r="G30" s="35">
        <f t="shared" si="7"/>
        <v>0</v>
      </c>
      <c r="H30" s="35">
        <f t="shared" si="7"/>
        <v>10</v>
      </c>
      <c r="I30" s="35">
        <f t="shared" si="7"/>
        <v>9</v>
      </c>
      <c r="J30" s="35">
        <f t="shared" si="7"/>
        <v>0</v>
      </c>
      <c r="K30" s="36">
        <f t="shared" si="7"/>
        <v>6</v>
      </c>
    </row>
    <row r="31" spans="1:11" x14ac:dyDescent="0.2">
      <c r="A31" s="9" t="s">
        <v>322</v>
      </c>
      <c r="B31" s="35">
        <f>First_game(B8:B27)</f>
        <v>0</v>
      </c>
      <c r="C31" s="35">
        <f t="shared" ref="C31:K31" si="8">First_game(C8:C27)</f>
        <v>0</v>
      </c>
      <c r="D31" s="35">
        <f t="shared" si="8"/>
        <v>2</v>
      </c>
      <c r="E31" s="35">
        <f t="shared" si="8"/>
        <v>0</v>
      </c>
      <c r="F31" s="35">
        <f t="shared" si="8"/>
        <v>0</v>
      </c>
      <c r="G31" s="35">
        <f t="shared" si="8"/>
        <v>0</v>
      </c>
      <c r="H31" s="35">
        <f t="shared" si="8"/>
        <v>2</v>
      </c>
      <c r="I31" s="35">
        <f t="shared" si="8"/>
        <v>2</v>
      </c>
      <c r="J31" s="35">
        <f t="shared" si="8"/>
        <v>0</v>
      </c>
      <c r="K31" s="36">
        <f t="shared" si="8"/>
        <v>1</v>
      </c>
    </row>
    <row r="32" spans="1:11" x14ac:dyDescent="0.2">
      <c r="A32" s="9" t="s">
        <v>323</v>
      </c>
      <c r="B32" s="35">
        <f>last_game(B8:B27)</f>
        <v>0</v>
      </c>
      <c r="C32" s="35">
        <f t="shared" ref="C32:K32" si="9">last_game(C8:C27)</f>
        <v>0</v>
      </c>
      <c r="D32" s="35">
        <f t="shared" si="9"/>
        <v>11</v>
      </c>
      <c r="E32" s="35">
        <f t="shared" si="9"/>
        <v>0</v>
      </c>
      <c r="F32" s="35">
        <f t="shared" si="9"/>
        <v>0</v>
      </c>
      <c r="G32" s="35">
        <f t="shared" si="9"/>
        <v>0</v>
      </c>
      <c r="H32" s="35">
        <f t="shared" si="9"/>
        <v>11</v>
      </c>
      <c r="I32" s="35">
        <f t="shared" si="9"/>
        <v>10</v>
      </c>
      <c r="J32" s="35">
        <f t="shared" si="9"/>
        <v>0</v>
      </c>
      <c r="K32" s="36">
        <f t="shared" si="9"/>
        <v>10</v>
      </c>
    </row>
    <row r="33" spans="1:11" ht="16" thickBot="1" x14ac:dyDescent="0.25">
      <c r="A33" s="10" t="s">
        <v>325</v>
      </c>
      <c r="B33" s="33">
        <f>IF(B30-1&lt;&gt;0,rest_between_games(B8:B27)/(B30-1),0)</f>
        <v>0</v>
      </c>
      <c r="C33" s="33">
        <f>IF(C30-1&lt;&gt;0,rest_between_games(C8:C27)/(C30-1),0)</f>
        <v>0</v>
      </c>
      <c r="D33" s="33">
        <f>IF(D30-1&lt;&gt;0,rest_between_games(D8:D27)/(D30-1),0)</f>
        <v>0</v>
      </c>
      <c r="E33" s="33">
        <f>IF(E30-1&lt;&gt;0,rest_between_games(E8:E27)/(E30-1),0)</f>
        <v>0</v>
      </c>
      <c r="F33" s="33">
        <f>IF(F30-1&lt;&gt;0,rest_between_games(F8:F27)/(F30-1),0)</f>
        <v>0</v>
      </c>
      <c r="G33" s="33">
        <f>IF(G30-1&lt;&gt;0,rest_between_games(G8:G27)/(G30-1),0)</f>
        <v>0</v>
      </c>
      <c r="H33" s="33">
        <f>IF(H30-1&lt;&gt;0,rest_between_games(H8:H27)/(H30-1),0)</f>
        <v>0</v>
      </c>
      <c r="I33" s="33">
        <f>IF(I30-1&lt;&gt;0,rest_between_games(I8:I27)/(I30-1),0)</f>
        <v>0</v>
      </c>
      <c r="J33" s="33">
        <f>IF(J30-1&lt;&gt;0,rest_between_games(J8:J27)/(J30-1),0)</f>
        <v>0</v>
      </c>
      <c r="K33" s="34">
        <f>IF(K30-1&lt;&gt;0,rest_between_games(K8:K27)/(K30-1),0)</f>
        <v>0.8</v>
      </c>
    </row>
    <row r="34" spans="1:11" ht="16" thickBot="1" x14ac:dyDescent="0.25"/>
    <row r="35" spans="1:11" x14ac:dyDescent="0.2">
      <c r="A35" s="30" t="s">
        <v>326</v>
      </c>
      <c r="B35" s="31"/>
      <c r="C35" s="31"/>
      <c r="D35" s="31"/>
      <c r="E35" s="31"/>
      <c r="F35" s="32"/>
    </row>
    <row r="36" spans="1:11" x14ac:dyDescent="0.2">
      <c r="A36" s="13" t="s">
        <v>327</v>
      </c>
      <c r="B36" s="18">
        <f>COUNTIF($B$8:$K$27,"&gt;''")</f>
        <v>35</v>
      </c>
      <c r="C36" s="6" t="s">
        <v>328</v>
      </c>
      <c r="D36" s="21">
        <f>min_exept_zeros(C30:K30)</f>
        <v>6</v>
      </c>
      <c r="E36" s="6" t="s">
        <v>329</v>
      </c>
      <c r="F36" s="27">
        <f>IF(SUM(B33:K33)=0,0,AVERAGEIF(B33:K33,"&gt;0"))</f>
        <v>0.8</v>
      </c>
    </row>
    <row r="37" spans="1:11" x14ac:dyDescent="0.2">
      <c r="A37" s="14" t="s">
        <v>330</v>
      </c>
      <c r="B37" s="18" t="s">
        <v>385</v>
      </c>
      <c r="C37" s="7" t="s">
        <v>331</v>
      </c>
      <c r="D37" s="20">
        <f>AVERAGEIF(B30:K30,"&gt;0")</f>
        <v>8.75</v>
      </c>
      <c r="E37" s="7" t="s">
        <v>332</v>
      </c>
      <c r="F37" s="28" t="s">
        <v>333</v>
      </c>
    </row>
    <row r="38" spans="1:11" ht="16" thickBot="1" x14ac:dyDescent="0.25">
      <c r="A38" s="10" t="s">
        <v>334</v>
      </c>
      <c r="B38" s="19">
        <f>COUNTIF(B30:K30,"&gt;0")</f>
        <v>4</v>
      </c>
      <c r="C38" s="11" t="s">
        <v>335</v>
      </c>
      <c r="D38" s="19">
        <f>MAX(B30:K30)</f>
        <v>10</v>
      </c>
      <c r="E38" s="11"/>
      <c r="F38" s="29"/>
    </row>
    <row r="40" spans="1:11" ht="16" thickBot="1" x14ac:dyDescent="0.25">
      <c r="A40" s="24" t="s">
        <v>336</v>
      </c>
      <c r="B40" s="24"/>
      <c r="C40" s="24"/>
      <c r="D40" s="24"/>
      <c r="E40" s="24"/>
      <c r="F40" s="24"/>
      <c r="G40" s="24"/>
      <c r="H40" s="24"/>
      <c r="I40" s="24"/>
      <c r="J40" s="24"/>
      <c r="K40" s="24"/>
    </row>
    <row r="41" spans="1:11" x14ac:dyDescent="0.2">
      <c r="A41" s="15" t="s">
        <v>386</v>
      </c>
    </row>
    <row r="42" spans="1:11" ht="16" thickBot="1" x14ac:dyDescent="0.25">
      <c r="A42" s="16">
        <v>3.4722222222222224E-2</v>
      </c>
    </row>
    <row r="44" spans="1:11" x14ac:dyDescent="0.2">
      <c r="A44" s="3"/>
      <c r="B44" s="3" t="s">
        <v>338</v>
      </c>
      <c r="C44" s="3" t="str">
        <f>B3</f>
        <v>Hillel - Volleyball Out</v>
      </c>
      <c r="D44" s="3"/>
      <c r="E44" s="3"/>
      <c r="F44" s="3"/>
      <c r="G44" s="3"/>
      <c r="H44" s="3"/>
      <c r="I44" s="3"/>
      <c r="J44" s="3"/>
      <c r="K44" s="3"/>
    </row>
    <row r="45" spans="1:11" x14ac:dyDescent="0.2">
      <c r="A45" s="3"/>
      <c r="B45" s="4">
        <f>B6</f>
        <v>43055</v>
      </c>
      <c r="C45" s="4">
        <f t="shared" ref="C45:K45" si="10">C6</f>
        <v>43057</v>
      </c>
      <c r="D45" s="4">
        <f t="shared" si="10"/>
        <v>43058</v>
      </c>
      <c r="E45" s="4">
        <f t="shared" si="10"/>
        <v>43059</v>
      </c>
      <c r="F45" s="4">
        <f t="shared" si="10"/>
        <v>43060</v>
      </c>
      <c r="G45" s="4">
        <f t="shared" si="10"/>
        <v>43061</v>
      </c>
      <c r="H45" s="4">
        <f t="shared" si="10"/>
        <v>43062</v>
      </c>
      <c r="I45" s="4">
        <f t="shared" si="10"/>
        <v>43063</v>
      </c>
      <c r="J45" s="4">
        <f t="shared" si="10"/>
        <v>43064</v>
      </c>
      <c r="K45" s="4">
        <f t="shared" si="10"/>
        <v>43065</v>
      </c>
    </row>
    <row r="46" spans="1:11" x14ac:dyDescent="0.2">
      <c r="A46" s="3"/>
      <c r="B46" s="3" t="s">
        <v>339</v>
      </c>
      <c r="C46" s="3" t="s">
        <v>340</v>
      </c>
      <c r="D46" s="3" t="s">
        <v>341</v>
      </c>
      <c r="E46" s="3" t="s">
        <v>342</v>
      </c>
      <c r="F46" s="3" t="s">
        <v>343</v>
      </c>
      <c r="G46" s="3" t="s">
        <v>344</v>
      </c>
      <c r="H46" s="3" t="s">
        <v>345</v>
      </c>
      <c r="I46" s="3" t="s">
        <v>346</v>
      </c>
      <c r="J46" s="3" t="s">
        <v>347</v>
      </c>
      <c r="K46" s="3" t="s">
        <v>346</v>
      </c>
    </row>
    <row r="47" spans="1:1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</row>
    <row r="48" spans="1:11" x14ac:dyDescent="0.2">
      <c r="A48" s="5">
        <f>A8</f>
        <v>0.33333333333333331</v>
      </c>
      <c r="B48" s="3" t="str">
        <f t="shared" ref="B48:K57" si="11">IFERROR(VLOOKUP(TEXT(B$6+$A48,"MM/DD/YYYY HH:MM")&amp;"-&gt;"&amp;$B$3,search_locations,3,FALSE),"")</f>
        <v/>
      </c>
      <c r="C48" s="3" t="str">
        <f t="shared" si="11"/>
        <v/>
      </c>
      <c r="D48" s="3" t="str">
        <f t="shared" si="11"/>
        <v/>
      </c>
      <c r="E48" s="3" t="str">
        <f t="shared" si="11"/>
        <v/>
      </c>
      <c r="F48" s="3" t="str">
        <f t="shared" si="11"/>
        <v/>
      </c>
      <c r="G48" s="3" t="str">
        <f t="shared" si="11"/>
        <v/>
      </c>
      <c r="H48" s="3" t="str">
        <f t="shared" si="11"/>
        <v/>
      </c>
      <c r="I48" s="3" t="str">
        <f t="shared" si="11"/>
        <v/>
      </c>
      <c r="J48" s="3" t="str">
        <f t="shared" si="11"/>
        <v/>
      </c>
      <c r="K48" s="3" t="str">
        <f t="shared" si="11"/>
        <v>Ch C Female Newcomb-- CHILD CF - VEN 1 vs. CHILD CF - COL 1</v>
      </c>
    </row>
    <row r="49" spans="1:11" x14ac:dyDescent="0.2">
      <c r="A49" s="5">
        <f>A9</f>
        <v>0.36805555555555552</v>
      </c>
      <c r="B49" s="3" t="str">
        <f t="shared" si="11"/>
        <v/>
      </c>
      <c r="C49" s="3" t="str">
        <f t="shared" si="11"/>
        <v/>
      </c>
      <c r="D49" s="3" t="str">
        <f t="shared" si="11"/>
        <v>Ch C Female Newcomb-- CHILD CF - USA 1 vs. CHILD CF - COL 1</v>
      </c>
      <c r="E49" s="3" t="str">
        <f t="shared" si="11"/>
        <v/>
      </c>
      <c r="F49" s="3" t="str">
        <f t="shared" si="11"/>
        <v/>
      </c>
      <c r="G49" s="3" t="str">
        <f t="shared" si="11"/>
        <v/>
      </c>
      <c r="H49" s="3" t="str">
        <f t="shared" si="11"/>
        <v>Ch D Female Volleyball-- CHILD DF - VEN 1 vs. CHILD DF - ISR</v>
      </c>
      <c r="I49" s="3" t="str">
        <f t="shared" si="11"/>
        <v>Ch C Female Newcomb-- CHILD CF - VEN 2 vs. CHILD CF - ARG 1</v>
      </c>
      <c r="J49" s="3" t="str">
        <f t="shared" si="11"/>
        <v/>
      </c>
      <c r="K49" s="3" t="str">
        <f t="shared" si="11"/>
        <v>Ch E Female Volleyball-- CHILD EF - COL 2 vs. CHILD EF - PER</v>
      </c>
    </row>
    <row r="50" spans="1:11" x14ac:dyDescent="0.2">
      <c r="A50" s="5">
        <f t="shared" ref="A50:A67" si="12">A10</f>
        <v>0.40277777777777773</v>
      </c>
      <c r="B50" s="3" t="str">
        <f t="shared" si="11"/>
        <v/>
      </c>
      <c r="C50" s="3" t="str">
        <f t="shared" si="11"/>
        <v/>
      </c>
      <c r="D50" s="3" t="str">
        <f t="shared" si="11"/>
        <v>Ch D Female Volleyball-- CHILD DF - USA 1 vs. CHILD DF - ISR</v>
      </c>
      <c r="E50" s="3" t="str">
        <f t="shared" si="11"/>
        <v/>
      </c>
      <c r="F50" s="3" t="str">
        <f t="shared" si="11"/>
        <v/>
      </c>
      <c r="G50" s="3" t="str">
        <f t="shared" si="11"/>
        <v/>
      </c>
      <c r="H50" s="3" t="str">
        <f t="shared" si="11"/>
        <v>Ch D Female Volleyball-- CHILD DF - ARG 1 vs. CHILD DF - USA 1</v>
      </c>
      <c r="I50" s="3" t="str">
        <f t="shared" si="11"/>
        <v>Ch E Male Volleyball-- CHILD EM - ARG 1 vs. CHILD EM - COL 1</v>
      </c>
      <c r="J50" s="3" t="str">
        <f t="shared" si="11"/>
        <v/>
      </c>
      <c r="K50" s="3" t="str">
        <f t="shared" si="11"/>
        <v>Ch C Female Newcomb-- CHILD CF - VEN 1 vs. CHILD CF - USA 2</v>
      </c>
    </row>
    <row r="51" spans="1:11" x14ac:dyDescent="0.2">
      <c r="A51" s="5">
        <f t="shared" si="12"/>
        <v>0.43749999999999994</v>
      </c>
      <c r="B51" s="3" t="str">
        <f t="shared" si="11"/>
        <v/>
      </c>
      <c r="C51" s="3" t="str">
        <f t="shared" si="11"/>
        <v/>
      </c>
      <c r="D51" s="3" t="str">
        <f t="shared" si="11"/>
        <v>Ch E Male Volleyball-- CHILD EM - COL 1 vs. CHILD EM - PER</v>
      </c>
      <c r="E51" s="3" t="str">
        <f t="shared" si="11"/>
        <v/>
      </c>
      <c r="F51" s="3" t="str">
        <f t="shared" si="11"/>
        <v/>
      </c>
      <c r="G51" s="3" t="str">
        <f t="shared" si="11"/>
        <v/>
      </c>
      <c r="H51" s="3" t="str">
        <f t="shared" si="11"/>
        <v>Ch C Female Newcomb-- CHILD CF - VEN 2 vs. CHILD CF - USA 2</v>
      </c>
      <c r="I51" s="3" t="str">
        <f t="shared" si="11"/>
        <v>Ch E Female Volleyball-- CHILD EF - ARG 1 vs. CHILD EF - USA 1</v>
      </c>
      <c r="J51" s="3" t="str">
        <f t="shared" si="11"/>
        <v/>
      </c>
      <c r="K51" s="3" t="str">
        <f t="shared" si="11"/>
        <v/>
      </c>
    </row>
    <row r="52" spans="1:11" x14ac:dyDescent="0.2">
      <c r="A52" s="5">
        <f t="shared" si="12"/>
        <v>0.47222222222222215</v>
      </c>
      <c r="B52" s="3" t="str">
        <f t="shared" si="11"/>
        <v/>
      </c>
      <c r="C52" s="3" t="str">
        <f t="shared" si="11"/>
        <v/>
      </c>
      <c r="D52" s="3" t="str">
        <f t="shared" si="11"/>
        <v>Ch C Female Newcomb-- CHILD CF - VEN 1 vs. CHILD CF - USA 1</v>
      </c>
      <c r="E52" s="3" t="str">
        <f t="shared" si="11"/>
        <v/>
      </c>
      <c r="F52" s="3" t="str">
        <f t="shared" si="11"/>
        <v/>
      </c>
      <c r="G52" s="3" t="str">
        <f t="shared" si="11"/>
        <v/>
      </c>
      <c r="H52" s="3" t="str">
        <f t="shared" si="11"/>
        <v>Ch E Female Volleyball-- CHILD EF - COL 2 vs. CHILD EF - MEX</v>
      </c>
      <c r="I52" s="3" t="str">
        <f t="shared" si="11"/>
        <v>Ch C Female Newcomb-- CHILD CF - USA 1 vs. CHILD CF - ARG 1</v>
      </c>
      <c r="J52" s="3" t="str">
        <f t="shared" si="11"/>
        <v/>
      </c>
      <c r="K52" s="3" t="str">
        <f t="shared" si="11"/>
        <v>Ch D Female Volleyball-- CHILD DF - ARG 1 vs. CHILD DF - VEN 1</v>
      </c>
    </row>
    <row r="53" spans="1:11" x14ac:dyDescent="0.2">
      <c r="A53" s="5">
        <f t="shared" si="12"/>
        <v>0.50694444444444442</v>
      </c>
      <c r="B53" s="3" t="str">
        <f t="shared" si="11"/>
        <v/>
      </c>
      <c r="C53" s="3" t="str">
        <f t="shared" si="11"/>
        <v/>
      </c>
      <c r="D53" s="3" t="str">
        <f t="shared" si="11"/>
        <v>Ch D Female Volleyball-- CHILD DF - COL 1 vs. CHILD DF - MEX</v>
      </c>
      <c r="E53" s="3" t="str">
        <f t="shared" si="11"/>
        <v/>
      </c>
      <c r="F53" s="3" t="str">
        <f t="shared" si="11"/>
        <v/>
      </c>
      <c r="G53" s="3" t="str">
        <f t="shared" si="11"/>
        <v/>
      </c>
      <c r="H53" s="3" t="str">
        <f t="shared" si="11"/>
        <v>Ch E Female Volleyball-- CHILD EF - PER vs. CHILD EF - USA 1</v>
      </c>
      <c r="I53" s="3" t="str">
        <f t="shared" si="11"/>
        <v>Ch E Female Volleyball-- CHILD EF - COL 1 vs. CHILD EF - ISR 1</v>
      </c>
      <c r="J53" s="3" t="str">
        <f t="shared" si="11"/>
        <v/>
      </c>
      <c r="K53" s="3" t="str">
        <f t="shared" si="11"/>
        <v>Ch D Female Volleyball-- CHILD DF - USA 1 vs. CHILD DF - VEN 1</v>
      </c>
    </row>
    <row r="54" spans="1:11" x14ac:dyDescent="0.2">
      <c r="A54" s="5">
        <f t="shared" si="12"/>
        <v>0.54166666666666663</v>
      </c>
      <c r="B54" s="3" t="str">
        <f t="shared" si="11"/>
        <v/>
      </c>
      <c r="C54" s="3" t="str">
        <f t="shared" si="11"/>
        <v/>
      </c>
      <c r="D54" s="3" t="str">
        <f t="shared" si="11"/>
        <v>Ch E Male Volleyball-- CHILD EM - MEX 1 vs. CHILD EM - PER</v>
      </c>
      <c r="E54" s="3" t="str">
        <f t="shared" si="11"/>
        <v/>
      </c>
      <c r="F54" s="3" t="str">
        <f t="shared" si="11"/>
        <v/>
      </c>
      <c r="G54" s="3" t="str">
        <f t="shared" si="11"/>
        <v/>
      </c>
      <c r="H54" s="3" t="str">
        <f t="shared" si="11"/>
        <v>Ch D Female Volleyball-- CHILD DF - ARG 1 vs. CHILD DF - ISR</v>
      </c>
      <c r="I54" s="3" t="str">
        <f t="shared" si="11"/>
        <v>Ch D Female Volleyball-- CHILD DF - COL 1 vs. CHILD DF - USA 2</v>
      </c>
      <c r="J54" s="3" t="str">
        <f t="shared" si="11"/>
        <v/>
      </c>
      <c r="K54" s="3" t="str">
        <f t="shared" si="11"/>
        <v/>
      </c>
    </row>
    <row r="55" spans="1:11" x14ac:dyDescent="0.2">
      <c r="A55" s="5">
        <f t="shared" si="12"/>
        <v>0.57638888888888884</v>
      </c>
      <c r="B55" s="3" t="str">
        <f t="shared" si="11"/>
        <v/>
      </c>
      <c r="C55" s="3" t="str">
        <f t="shared" si="11"/>
        <v/>
      </c>
      <c r="D55" s="3" t="str">
        <f t="shared" si="11"/>
        <v>Ch D Female Volleyball-- CHILD DF - COL 1 vs. CHILD DF - VEN 2</v>
      </c>
      <c r="E55" s="3" t="str">
        <f t="shared" si="11"/>
        <v/>
      </c>
      <c r="F55" s="3" t="str">
        <f t="shared" si="11"/>
        <v/>
      </c>
      <c r="G55" s="3" t="str">
        <f t="shared" si="11"/>
        <v/>
      </c>
      <c r="H55" s="3" t="str">
        <f t="shared" si="11"/>
        <v>Ch C Female Newcomb-- CHILD CF - VEN 2 vs. CHILD CF - COL 1</v>
      </c>
      <c r="I55" s="3" t="str">
        <f t="shared" si="11"/>
        <v>Ch D Female Volleyball-- CHILD DF - VEN 2 vs. CHILD DF - MEX</v>
      </c>
      <c r="J55" s="3" t="str">
        <f t="shared" si="11"/>
        <v/>
      </c>
      <c r="K55" s="3" t="str">
        <f t="shared" si="11"/>
        <v/>
      </c>
    </row>
    <row r="56" spans="1:11" x14ac:dyDescent="0.2">
      <c r="A56" s="5">
        <f t="shared" si="12"/>
        <v>0.61111111111111105</v>
      </c>
      <c r="B56" s="3" t="str">
        <f t="shared" si="11"/>
        <v/>
      </c>
      <c r="C56" s="3" t="str">
        <f t="shared" si="11"/>
        <v/>
      </c>
      <c r="D56" s="3" t="str">
        <f t="shared" si="11"/>
        <v>Ch C Female Newcomb-- CHILD CF - ARG 1 vs. CHILD CF - USA 2</v>
      </c>
      <c r="E56" s="3" t="str">
        <f t="shared" si="11"/>
        <v/>
      </c>
      <c r="F56" s="3" t="str">
        <f t="shared" si="11"/>
        <v/>
      </c>
      <c r="G56" s="3" t="str">
        <f t="shared" si="11"/>
        <v/>
      </c>
      <c r="H56" s="3" t="str">
        <f t="shared" si="11"/>
        <v>Ch D Female Volleyball-- CHILD DF - USA 2 vs. CHILD DF - VEN 2</v>
      </c>
      <c r="I56" s="3" t="str">
        <f t="shared" si="11"/>
        <v>Ch E Female Volleyball-- CHILD EF - ISR 1 vs. CHILD EF - COL 2</v>
      </c>
      <c r="J56" s="3" t="str">
        <f t="shared" si="11"/>
        <v/>
      </c>
      <c r="K56" s="3" t="str">
        <f t="shared" si="11"/>
        <v/>
      </c>
    </row>
    <row r="57" spans="1:11" x14ac:dyDescent="0.2">
      <c r="A57" s="5">
        <f t="shared" si="12"/>
        <v>0.64583333333333326</v>
      </c>
      <c r="B57" s="3" t="str">
        <f t="shared" si="11"/>
        <v/>
      </c>
      <c r="C57" s="3" t="str">
        <f t="shared" si="11"/>
        <v/>
      </c>
      <c r="D57" s="3" t="str">
        <f t="shared" si="11"/>
        <v>Ch E Female Volleyball-- CHILD EF - MEX vs. CHILD EF - PER</v>
      </c>
      <c r="E57" s="3" t="str">
        <f t="shared" si="11"/>
        <v/>
      </c>
      <c r="F57" s="3" t="str">
        <f t="shared" si="11"/>
        <v/>
      </c>
      <c r="G57" s="3" t="str">
        <f t="shared" si="11"/>
        <v/>
      </c>
      <c r="H57" s="3" t="str">
        <f t="shared" si="11"/>
        <v>Ch E Male Volleyball-- CHILD EM - MEX 1 vs. CHILD EM - VEN 2</v>
      </c>
      <c r="I57" s="3" t="str">
        <f t="shared" si="11"/>
        <v>Ch D Female Volleyball-- CHILD DF - USA 2 vs. CHILD DF - MEX</v>
      </c>
      <c r="J57" s="3" t="str">
        <f t="shared" si="11"/>
        <v/>
      </c>
      <c r="K57" s="3" t="str">
        <f t="shared" si="11"/>
        <v>Ch C Female Newcomb-- CHILD CF - USA 1 vs. CHILD CF - ARG 1</v>
      </c>
    </row>
    <row r="58" spans="1:11" x14ac:dyDescent="0.2">
      <c r="A58" s="5">
        <f t="shared" si="12"/>
        <v>0.68055555555555547</v>
      </c>
      <c r="B58" s="3" t="str">
        <f t="shared" ref="B58:K67" si="13">IFERROR(VLOOKUP(TEXT(B$6+$A58,"MM/DD/YYYY HH:MM")&amp;"-&gt;"&amp;$B$3,search_locations,3,FALSE),"")</f>
        <v/>
      </c>
      <c r="C58" s="3" t="str">
        <f t="shared" si="13"/>
        <v/>
      </c>
      <c r="D58" s="3" t="str">
        <f t="shared" si="13"/>
        <v>Ch E Male Volleyball-- CHILD EM - ARG 1 vs. CHILD EM - VEN 2</v>
      </c>
      <c r="E58" s="3" t="str">
        <f t="shared" si="13"/>
        <v/>
      </c>
      <c r="F58" s="3" t="str">
        <f t="shared" si="13"/>
        <v/>
      </c>
      <c r="G58" s="3" t="str">
        <f t="shared" si="13"/>
        <v/>
      </c>
      <c r="H58" s="3" t="str">
        <f t="shared" si="13"/>
        <v>Ch E Male Volleyball-- CHILD EM - USA 1 vs. CHILD EM - VEN 1</v>
      </c>
      <c r="I58" s="3" t="str">
        <f t="shared" si="13"/>
        <v/>
      </c>
      <c r="J58" s="3" t="str">
        <f t="shared" si="13"/>
        <v/>
      </c>
      <c r="K58" s="3" t="str">
        <f t="shared" si="13"/>
        <v/>
      </c>
    </row>
    <row r="59" spans="1:11" x14ac:dyDescent="0.2">
      <c r="A59" s="5">
        <f t="shared" si="12"/>
        <v>0.71527777777777768</v>
      </c>
      <c r="B59" s="3" t="str">
        <f t="shared" si="13"/>
        <v/>
      </c>
      <c r="C59" s="3" t="str">
        <f t="shared" si="13"/>
        <v/>
      </c>
      <c r="D59" s="3" t="str">
        <f t="shared" si="13"/>
        <v/>
      </c>
      <c r="E59" s="3" t="str">
        <f t="shared" si="13"/>
        <v/>
      </c>
      <c r="F59" s="3" t="str">
        <f t="shared" si="13"/>
        <v/>
      </c>
      <c r="G59" s="3" t="str">
        <f t="shared" si="13"/>
        <v/>
      </c>
      <c r="H59" s="3" t="str">
        <f t="shared" si="13"/>
        <v/>
      </c>
      <c r="I59" s="3" t="str">
        <f t="shared" si="13"/>
        <v/>
      </c>
      <c r="J59" s="3" t="str">
        <f t="shared" si="13"/>
        <v/>
      </c>
      <c r="K59" s="3" t="str">
        <f t="shared" si="13"/>
        <v/>
      </c>
    </row>
    <row r="60" spans="1:11" x14ac:dyDescent="0.2">
      <c r="A60" s="5">
        <f t="shared" si="12"/>
        <v>0.74999999999999989</v>
      </c>
      <c r="B60" s="3" t="str">
        <f t="shared" si="13"/>
        <v/>
      </c>
      <c r="C60" s="3" t="str">
        <f t="shared" si="13"/>
        <v/>
      </c>
      <c r="D60" s="3" t="str">
        <f t="shared" si="13"/>
        <v/>
      </c>
      <c r="E60" s="3" t="str">
        <f t="shared" si="13"/>
        <v/>
      </c>
      <c r="F60" s="3" t="str">
        <f t="shared" si="13"/>
        <v/>
      </c>
      <c r="G60" s="3" t="str">
        <f t="shared" si="13"/>
        <v/>
      </c>
      <c r="H60" s="3" t="str">
        <f t="shared" si="13"/>
        <v/>
      </c>
      <c r="I60" s="3" t="str">
        <f t="shared" si="13"/>
        <v/>
      </c>
      <c r="J60" s="3" t="str">
        <f t="shared" si="13"/>
        <v/>
      </c>
      <c r="K60" s="3" t="str">
        <f t="shared" si="13"/>
        <v/>
      </c>
    </row>
    <row r="61" spans="1:11" x14ac:dyDescent="0.2">
      <c r="A61" s="5">
        <f t="shared" si="12"/>
        <v>0.7847222222222221</v>
      </c>
      <c r="B61" s="3" t="str">
        <f t="shared" si="13"/>
        <v/>
      </c>
      <c r="C61" s="3" t="str">
        <f t="shared" si="13"/>
        <v/>
      </c>
      <c r="D61" s="3" t="str">
        <f t="shared" si="13"/>
        <v/>
      </c>
      <c r="E61" s="3" t="str">
        <f t="shared" si="13"/>
        <v/>
      </c>
      <c r="F61" s="3" t="str">
        <f t="shared" si="13"/>
        <v/>
      </c>
      <c r="G61" s="3" t="str">
        <f t="shared" si="13"/>
        <v/>
      </c>
      <c r="H61" s="3" t="str">
        <f t="shared" si="13"/>
        <v/>
      </c>
      <c r="I61" s="3" t="str">
        <f t="shared" si="13"/>
        <v/>
      </c>
      <c r="J61" s="3" t="str">
        <f t="shared" si="13"/>
        <v/>
      </c>
      <c r="K61" s="3" t="str">
        <f t="shared" si="13"/>
        <v/>
      </c>
    </row>
    <row r="62" spans="1:11" x14ac:dyDescent="0.2">
      <c r="A62" s="5">
        <f t="shared" si="12"/>
        <v>0.81944444444444431</v>
      </c>
      <c r="B62" s="3" t="str">
        <f t="shared" si="13"/>
        <v/>
      </c>
      <c r="C62" s="3" t="str">
        <f t="shared" si="13"/>
        <v/>
      </c>
      <c r="D62" s="3" t="str">
        <f t="shared" si="13"/>
        <v/>
      </c>
      <c r="E62" s="3" t="str">
        <f t="shared" si="13"/>
        <v/>
      </c>
      <c r="F62" s="3" t="str">
        <f t="shared" si="13"/>
        <v/>
      </c>
      <c r="G62" s="3" t="str">
        <f t="shared" si="13"/>
        <v/>
      </c>
      <c r="H62" s="3" t="str">
        <f t="shared" si="13"/>
        <v/>
      </c>
      <c r="I62" s="3" t="str">
        <f t="shared" si="13"/>
        <v/>
      </c>
      <c r="J62" s="3" t="str">
        <f t="shared" si="13"/>
        <v/>
      </c>
      <c r="K62" s="3" t="str">
        <f t="shared" si="13"/>
        <v/>
      </c>
    </row>
    <row r="63" spans="1:11" x14ac:dyDescent="0.2">
      <c r="A63" s="5">
        <f t="shared" si="12"/>
        <v>0.85416666666666652</v>
      </c>
      <c r="B63" s="3" t="str">
        <f t="shared" si="13"/>
        <v/>
      </c>
      <c r="C63" s="3" t="str">
        <f t="shared" si="13"/>
        <v/>
      </c>
      <c r="D63" s="3" t="str">
        <f t="shared" si="13"/>
        <v/>
      </c>
      <c r="E63" s="3" t="str">
        <f t="shared" si="13"/>
        <v/>
      </c>
      <c r="F63" s="3" t="str">
        <f t="shared" si="13"/>
        <v/>
      </c>
      <c r="G63" s="3" t="str">
        <f t="shared" si="13"/>
        <v/>
      </c>
      <c r="H63" s="3" t="str">
        <f t="shared" si="13"/>
        <v/>
      </c>
      <c r="I63" s="3" t="str">
        <f t="shared" si="13"/>
        <v/>
      </c>
      <c r="J63" s="3" t="str">
        <f t="shared" si="13"/>
        <v/>
      </c>
      <c r="K63" s="3" t="str">
        <f t="shared" si="13"/>
        <v/>
      </c>
    </row>
    <row r="64" spans="1:11" x14ac:dyDescent="0.2">
      <c r="A64" s="5">
        <f t="shared" si="12"/>
        <v>0.88888888888888873</v>
      </c>
      <c r="B64" s="3" t="str">
        <f t="shared" si="13"/>
        <v/>
      </c>
      <c r="C64" s="3" t="str">
        <f t="shared" si="13"/>
        <v/>
      </c>
      <c r="D64" s="3" t="str">
        <f t="shared" si="13"/>
        <v/>
      </c>
      <c r="E64" s="3" t="str">
        <f t="shared" si="13"/>
        <v/>
      </c>
      <c r="F64" s="3" t="str">
        <f t="shared" si="13"/>
        <v/>
      </c>
      <c r="G64" s="3" t="str">
        <f t="shared" si="13"/>
        <v/>
      </c>
      <c r="H64" s="3" t="str">
        <f t="shared" si="13"/>
        <v/>
      </c>
      <c r="I64" s="3" t="str">
        <f t="shared" si="13"/>
        <v/>
      </c>
      <c r="J64" s="3" t="str">
        <f t="shared" si="13"/>
        <v/>
      </c>
      <c r="K64" s="3" t="str">
        <f t="shared" si="13"/>
        <v/>
      </c>
    </row>
    <row r="65" spans="1:11" x14ac:dyDescent="0.2">
      <c r="A65" s="5">
        <f t="shared" si="12"/>
        <v>0.92361111111111094</v>
      </c>
      <c r="B65" s="3" t="str">
        <f t="shared" si="13"/>
        <v/>
      </c>
      <c r="C65" s="3" t="str">
        <f t="shared" si="13"/>
        <v/>
      </c>
      <c r="D65" s="3" t="str">
        <f t="shared" si="13"/>
        <v/>
      </c>
      <c r="E65" s="3" t="str">
        <f t="shared" si="13"/>
        <v/>
      </c>
      <c r="F65" s="3" t="str">
        <f t="shared" si="13"/>
        <v/>
      </c>
      <c r="G65" s="3" t="str">
        <f t="shared" si="13"/>
        <v/>
      </c>
      <c r="H65" s="3" t="str">
        <f t="shared" si="13"/>
        <v/>
      </c>
      <c r="I65" s="3" t="str">
        <f t="shared" si="13"/>
        <v/>
      </c>
      <c r="J65" s="3" t="str">
        <f t="shared" si="13"/>
        <v/>
      </c>
      <c r="K65" s="3" t="str">
        <f t="shared" si="13"/>
        <v/>
      </c>
    </row>
    <row r="66" spans="1:11" x14ac:dyDescent="0.2">
      <c r="A66" s="5">
        <f t="shared" si="12"/>
        <v>0.95833333333333315</v>
      </c>
      <c r="B66" s="3" t="str">
        <f t="shared" si="13"/>
        <v/>
      </c>
      <c r="C66" s="3" t="str">
        <f t="shared" si="13"/>
        <v/>
      </c>
      <c r="D66" s="3" t="str">
        <f t="shared" si="13"/>
        <v/>
      </c>
      <c r="E66" s="3" t="str">
        <f t="shared" si="13"/>
        <v/>
      </c>
      <c r="F66" s="3" t="str">
        <f t="shared" si="13"/>
        <v/>
      </c>
      <c r="G66" s="3" t="str">
        <f t="shared" si="13"/>
        <v/>
      </c>
      <c r="H66" s="3" t="str">
        <f t="shared" si="13"/>
        <v/>
      </c>
      <c r="I66" s="3" t="str">
        <f t="shared" si="13"/>
        <v/>
      </c>
      <c r="J66" s="3" t="str">
        <f t="shared" si="13"/>
        <v/>
      </c>
      <c r="K66" s="3" t="str">
        <f t="shared" si="13"/>
        <v/>
      </c>
    </row>
    <row r="67" spans="1:11" x14ac:dyDescent="0.2">
      <c r="A67" s="5">
        <f t="shared" si="12"/>
        <v>0.99305555555555536</v>
      </c>
      <c r="B67" s="3" t="str">
        <f t="shared" si="13"/>
        <v/>
      </c>
      <c r="C67" s="3" t="str">
        <f t="shared" si="13"/>
        <v/>
      </c>
      <c r="D67" s="3" t="str">
        <f t="shared" si="13"/>
        <v/>
      </c>
      <c r="E67" s="3" t="str">
        <f t="shared" si="13"/>
        <v/>
      </c>
      <c r="F67" s="3" t="str">
        <f t="shared" si="13"/>
        <v/>
      </c>
      <c r="G67" s="3" t="str">
        <f t="shared" si="13"/>
        <v/>
      </c>
      <c r="H67" s="3" t="str">
        <f t="shared" si="13"/>
        <v/>
      </c>
      <c r="I67" s="3" t="str">
        <f t="shared" si="13"/>
        <v/>
      </c>
      <c r="J67" s="3" t="str">
        <f t="shared" si="13"/>
        <v/>
      </c>
      <c r="K67" s="3" t="str">
        <f t="shared" si="13"/>
        <v/>
      </c>
    </row>
    <row r="70" spans="1:11" x14ac:dyDescent="0.2">
      <c r="A70" s="3"/>
      <c r="B70" s="3" t="s">
        <v>338</v>
      </c>
      <c r="C70" s="3">
        <f>C3</f>
        <v>0</v>
      </c>
      <c r="D70" s="3"/>
      <c r="E70" s="3"/>
      <c r="F70" s="3"/>
      <c r="G70" s="3"/>
      <c r="H70" s="3"/>
      <c r="I70" s="3"/>
      <c r="J70" s="3"/>
      <c r="K70" s="3"/>
    </row>
    <row r="71" spans="1:11" x14ac:dyDescent="0.2">
      <c r="A71" s="3"/>
      <c r="B71" s="4">
        <f t="shared" ref="B71:K71" si="14">B6</f>
        <v>43055</v>
      </c>
      <c r="C71" s="4">
        <f t="shared" si="14"/>
        <v>43057</v>
      </c>
      <c r="D71" s="4">
        <f t="shared" si="14"/>
        <v>43058</v>
      </c>
      <c r="E71" s="4">
        <f t="shared" si="14"/>
        <v>43059</v>
      </c>
      <c r="F71" s="4">
        <f t="shared" si="14"/>
        <v>43060</v>
      </c>
      <c r="G71" s="4">
        <f t="shared" si="14"/>
        <v>43061</v>
      </c>
      <c r="H71" s="4">
        <f t="shared" si="14"/>
        <v>43062</v>
      </c>
      <c r="I71" s="4">
        <f t="shared" si="14"/>
        <v>43063</v>
      </c>
      <c r="J71" s="4">
        <f t="shared" si="14"/>
        <v>43064</v>
      </c>
      <c r="K71" s="4">
        <f t="shared" si="14"/>
        <v>43065</v>
      </c>
    </row>
    <row r="72" spans="1:11" x14ac:dyDescent="0.2">
      <c r="A72" s="3"/>
      <c r="B72" s="3" t="s">
        <v>339</v>
      </c>
      <c r="C72" s="3" t="s">
        <v>340</v>
      </c>
      <c r="D72" s="3" t="s">
        <v>341</v>
      </c>
      <c r="E72" s="3" t="s">
        <v>342</v>
      </c>
      <c r="F72" s="3" t="s">
        <v>343</v>
      </c>
      <c r="G72" s="3" t="s">
        <v>344</v>
      </c>
      <c r="H72" s="3" t="s">
        <v>345</v>
      </c>
      <c r="I72" s="3" t="s">
        <v>346</v>
      </c>
      <c r="J72" s="3" t="s">
        <v>347</v>
      </c>
      <c r="K72" s="3" t="s">
        <v>346</v>
      </c>
    </row>
    <row r="73" spans="1:1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</row>
    <row r="74" spans="1:11" x14ac:dyDescent="0.2">
      <c r="A74" s="5">
        <f>A8</f>
        <v>0.33333333333333331</v>
      </c>
      <c r="B74" s="3">
        <f>COUNTIF('Schedule from TM'!$BH$11:$BH$1026,(TEXT(B$6+$A48,"MM/DD/YYYY HH:MM")&amp;"-&gt;"&amp;$B$3))</f>
        <v>0</v>
      </c>
      <c r="C74" s="3">
        <f>COUNTIF('Schedule from TM'!$BH$11:$BH$1026,(TEXT(C$6+$A48,"MM/DD/YYYY HH:MM")&amp;"-&gt;"&amp;$B$3))</f>
        <v>0</v>
      </c>
      <c r="D74" s="3">
        <f>COUNTIF('Schedule from TM'!$BH$11:$BH$1026,(TEXT(D$6+$A48,"MM/DD/YYYY HH:MM")&amp;"-&gt;"&amp;$B$3))</f>
        <v>0</v>
      </c>
      <c r="E74" s="3">
        <f>COUNTIF('Schedule from TM'!$BH$11:$BH$1026,(TEXT(E$6+$A48,"MM/DD/YYYY HH:MM")&amp;"-&gt;"&amp;$B$3))</f>
        <v>0</v>
      </c>
      <c r="F74" s="3">
        <f>COUNTIF('Schedule from TM'!$BH$11:$BH$1026,(TEXT(F$6+$A48,"MM/DD/YYYY HH:MM")&amp;"-&gt;"&amp;$B$3))</f>
        <v>0</v>
      </c>
      <c r="G74" s="3">
        <f>COUNTIF('Schedule from TM'!$BH$11:$BH$1026,(TEXT(G$6+$A48,"MM/DD/YYYY HH:MM")&amp;"-&gt;"&amp;$B$3))</f>
        <v>0</v>
      </c>
      <c r="H74" s="3">
        <f>COUNTIF('Schedule from TM'!$BH$11:$BH$1026,(TEXT(H$6+$A48,"MM/DD/YYYY HH:MM")&amp;"-&gt;"&amp;$B$3))</f>
        <v>0</v>
      </c>
      <c r="I74" s="3">
        <f>COUNTIF('Schedule from TM'!$BH$11:$BH$1026,(TEXT(I$6+$A48,"MM/DD/YYYY HH:MM")&amp;"-&gt;"&amp;$B$3))</f>
        <v>0</v>
      </c>
      <c r="J74" s="3">
        <f>COUNTIF('Schedule from TM'!$BH$11:$BH$1026,(TEXT(J$6+$A48,"MM/DD/YYYY HH:MM")&amp;"-&gt;"&amp;$B$3))</f>
        <v>0</v>
      </c>
      <c r="K74" s="3">
        <f>COUNTIF('Schedule from TM'!$BH$11:$BH$1026,(TEXT(K$6+$A48,"MM/DD/YYYY HH:MM")&amp;"-&gt;"&amp;$B$3))</f>
        <v>1</v>
      </c>
    </row>
    <row r="75" spans="1:11" x14ac:dyDescent="0.2">
      <c r="A75" s="5">
        <f>A9</f>
        <v>0.36805555555555552</v>
      </c>
      <c r="B75" s="3">
        <f>COUNTIF('Schedule from TM'!$BH$11:$BH$1026,(TEXT(B$6+$A49,"MM/DD/YYYY HH:MM")&amp;"-&gt;"&amp;$B$3))</f>
        <v>0</v>
      </c>
      <c r="C75" s="3">
        <f>COUNTIF('Schedule from TM'!$BH$11:$BH$1026,(TEXT(C$6+$A49,"MM/DD/YYYY HH:MM")&amp;"-&gt;"&amp;$B$3))</f>
        <v>0</v>
      </c>
      <c r="D75" s="3">
        <f>COUNTIF('Schedule from TM'!$BH$11:$BH$1026,(TEXT(D$6+$A49,"MM/DD/YYYY HH:MM")&amp;"-&gt;"&amp;$B$3))</f>
        <v>1</v>
      </c>
      <c r="E75" s="3">
        <f>COUNTIF('Schedule from TM'!$BH$11:$BH$1026,(TEXT(E$6+$A49,"MM/DD/YYYY HH:MM")&amp;"-&gt;"&amp;$B$3))</f>
        <v>0</v>
      </c>
      <c r="F75" s="3">
        <f>COUNTIF('Schedule from TM'!$BH$11:$BH$1026,(TEXT(F$6+$A49,"MM/DD/YYYY HH:MM")&amp;"-&gt;"&amp;$B$3))</f>
        <v>0</v>
      </c>
      <c r="G75" s="3">
        <f>COUNTIF('Schedule from TM'!$BH$11:$BH$1026,(TEXT(G$6+$A49,"MM/DD/YYYY HH:MM")&amp;"-&gt;"&amp;$B$3))</f>
        <v>0</v>
      </c>
      <c r="H75" s="3">
        <f>COUNTIF('Schedule from TM'!$BH$11:$BH$1026,(TEXT(H$6+$A49,"MM/DD/YYYY HH:MM")&amp;"-&gt;"&amp;$B$3))</f>
        <v>1</v>
      </c>
      <c r="I75" s="3">
        <f>COUNTIF('Schedule from TM'!$BH$11:$BH$1026,(TEXT(I$6+$A49,"MM/DD/YYYY HH:MM")&amp;"-&gt;"&amp;$B$3))</f>
        <v>1</v>
      </c>
      <c r="J75" s="3">
        <f>COUNTIF('Schedule from TM'!$BH$11:$BH$1026,(TEXT(J$6+$A49,"MM/DD/YYYY HH:MM")&amp;"-&gt;"&amp;$B$3))</f>
        <v>0</v>
      </c>
      <c r="K75" s="3">
        <f>COUNTIF('Schedule from TM'!$BH$11:$BH$1026,(TEXT(K$6+$A49,"MM/DD/YYYY HH:MM")&amp;"-&gt;"&amp;$B$3))</f>
        <v>1</v>
      </c>
    </row>
    <row r="76" spans="1:11" x14ac:dyDescent="0.2">
      <c r="A76" s="5">
        <f t="shared" ref="A76:A93" si="15">A10</f>
        <v>0.40277777777777773</v>
      </c>
      <c r="B76" s="3">
        <f>COUNTIF('Schedule from TM'!$BH$11:$BH$1026,(TEXT(B$6+$A50,"MM/DD/YYYY HH:MM")&amp;"-&gt;"&amp;$B$3))</f>
        <v>0</v>
      </c>
      <c r="C76" s="3">
        <f>COUNTIF('Schedule from TM'!$BH$11:$BH$1026,(TEXT(C$6+$A50,"MM/DD/YYYY HH:MM")&amp;"-&gt;"&amp;$B$3))</f>
        <v>0</v>
      </c>
      <c r="D76" s="3">
        <f>COUNTIF('Schedule from TM'!$BH$11:$BH$1026,(TEXT(D$6+$A50,"MM/DD/YYYY HH:MM")&amp;"-&gt;"&amp;$B$3))</f>
        <v>1</v>
      </c>
      <c r="E76" s="3">
        <f>COUNTIF('Schedule from TM'!$BH$11:$BH$1026,(TEXT(E$6+$A50,"MM/DD/YYYY HH:MM")&amp;"-&gt;"&amp;$B$3))</f>
        <v>0</v>
      </c>
      <c r="F76" s="3">
        <f>COUNTIF('Schedule from TM'!$BH$11:$BH$1026,(TEXT(F$6+$A50,"MM/DD/YYYY HH:MM")&amp;"-&gt;"&amp;$B$3))</f>
        <v>0</v>
      </c>
      <c r="G76" s="3">
        <f>COUNTIF('Schedule from TM'!$BH$11:$BH$1026,(TEXT(G$6+$A50,"MM/DD/YYYY HH:MM")&amp;"-&gt;"&amp;$B$3))</f>
        <v>0</v>
      </c>
      <c r="H76" s="3">
        <f>COUNTIF('Schedule from TM'!$BH$11:$BH$1026,(TEXT(H$6+$A50,"MM/DD/YYYY HH:MM")&amp;"-&gt;"&amp;$B$3))</f>
        <v>1</v>
      </c>
      <c r="I76" s="3">
        <f>COUNTIF('Schedule from TM'!$BH$11:$BH$1026,(TEXT(I$6+$A50,"MM/DD/YYYY HH:MM")&amp;"-&gt;"&amp;$B$3))</f>
        <v>1</v>
      </c>
      <c r="J76" s="3">
        <f>COUNTIF('Schedule from TM'!$BH$11:$BH$1026,(TEXT(J$6+$A50,"MM/DD/YYYY HH:MM")&amp;"-&gt;"&amp;$B$3))</f>
        <v>0</v>
      </c>
      <c r="K76" s="3">
        <f>COUNTIF('Schedule from TM'!$BH$11:$BH$1026,(TEXT(K$6+$A50,"MM/DD/YYYY HH:MM")&amp;"-&gt;"&amp;$B$3))</f>
        <v>1</v>
      </c>
    </row>
    <row r="77" spans="1:11" x14ac:dyDescent="0.2">
      <c r="A77" s="5">
        <f t="shared" si="15"/>
        <v>0.43749999999999994</v>
      </c>
      <c r="B77" s="3">
        <f>COUNTIF('Schedule from TM'!$BH$11:$BH$1026,(TEXT(B$6+$A51,"MM/DD/YYYY HH:MM")&amp;"-&gt;"&amp;$B$3))</f>
        <v>0</v>
      </c>
      <c r="C77" s="3">
        <f>COUNTIF('Schedule from TM'!$BH$11:$BH$1026,(TEXT(C$6+$A51,"MM/DD/YYYY HH:MM")&amp;"-&gt;"&amp;$B$3))</f>
        <v>0</v>
      </c>
      <c r="D77" s="3">
        <f>COUNTIF('Schedule from TM'!$BH$11:$BH$1026,(TEXT(D$6+$A51,"MM/DD/YYYY HH:MM")&amp;"-&gt;"&amp;$B$3))</f>
        <v>1</v>
      </c>
      <c r="E77" s="3">
        <f>COUNTIF('Schedule from TM'!$BH$11:$BH$1026,(TEXT(E$6+$A51,"MM/DD/YYYY HH:MM")&amp;"-&gt;"&amp;$B$3))</f>
        <v>0</v>
      </c>
      <c r="F77" s="3">
        <f>COUNTIF('Schedule from TM'!$BH$11:$BH$1026,(TEXT(F$6+$A51,"MM/DD/YYYY HH:MM")&amp;"-&gt;"&amp;$B$3))</f>
        <v>0</v>
      </c>
      <c r="G77" s="3">
        <f>COUNTIF('Schedule from TM'!$BH$11:$BH$1026,(TEXT(G$6+$A51,"MM/DD/YYYY HH:MM")&amp;"-&gt;"&amp;$B$3))</f>
        <v>0</v>
      </c>
      <c r="H77" s="3">
        <f>COUNTIF('Schedule from TM'!$BH$11:$BH$1026,(TEXT(H$6+$A51,"MM/DD/YYYY HH:MM")&amp;"-&gt;"&amp;$B$3))</f>
        <v>1</v>
      </c>
      <c r="I77" s="3">
        <f>COUNTIF('Schedule from TM'!$BH$11:$BH$1026,(TEXT(I$6+$A51,"MM/DD/YYYY HH:MM")&amp;"-&gt;"&amp;$B$3))</f>
        <v>1</v>
      </c>
      <c r="J77" s="3">
        <f>COUNTIF('Schedule from TM'!$BH$11:$BH$1026,(TEXT(J$6+$A51,"MM/DD/YYYY HH:MM")&amp;"-&gt;"&amp;$B$3))</f>
        <v>0</v>
      </c>
      <c r="K77" s="3">
        <f>COUNTIF('Schedule from TM'!$BH$11:$BH$1026,(TEXT(K$6+$A51,"MM/DD/YYYY HH:MM")&amp;"-&gt;"&amp;$B$3))</f>
        <v>0</v>
      </c>
    </row>
    <row r="78" spans="1:11" x14ac:dyDescent="0.2">
      <c r="A78" s="5">
        <f t="shared" si="15"/>
        <v>0.47222222222222215</v>
      </c>
      <c r="B78" s="3">
        <f>COUNTIF('Schedule from TM'!$BH$11:$BH$1026,(TEXT(B$6+$A52,"MM/DD/YYYY HH:MM")&amp;"-&gt;"&amp;$B$3))</f>
        <v>0</v>
      </c>
      <c r="C78" s="3">
        <f>COUNTIF('Schedule from TM'!$BH$11:$BH$1026,(TEXT(C$6+$A52,"MM/DD/YYYY HH:MM")&amp;"-&gt;"&amp;$B$3))</f>
        <v>0</v>
      </c>
      <c r="D78" s="3">
        <f>COUNTIF('Schedule from TM'!$BH$11:$BH$1026,(TEXT(D$6+$A52,"MM/DD/YYYY HH:MM")&amp;"-&gt;"&amp;$B$3))</f>
        <v>1</v>
      </c>
      <c r="E78" s="3">
        <f>COUNTIF('Schedule from TM'!$BH$11:$BH$1026,(TEXT(E$6+$A52,"MM/DD/YYYY HH:MM")&amp;"-&gt;"&amp;$B$3))</f>
        <v>0</v>
      </c>
      <c r="F78" s="3">
        <f>COUNTIF('Schedule from TM'!$BH$11:$BH$1026,(TEXT(F$6+$A52,"MM/DD/YYYY HH:MM")&amp;"-&gt;"&amp;$B$3))</f>
        <v>0</v>
      </c>
      <c r="G78" s="3">
        <f>COUNTIF('Schedule from TM'!$BH$11:$BH$1026,(TEXT(G$6+$A52,"MM/DD/YYYY HH:MM")&amp;"-&gt;"&amp;$B$3))</f>
        <v>0</v>
      </c>
      <c r="H78" s="3">
        <f>COUNTIF('Schedule from TM'!$BH$11:$BH$1026,(TEXT(H$6+$A52,"MM/DD/YYYY HH:MM")&amp;"-&gt;"&amp;$B$3))</f>
        <v>1</v>
      </c>
      <c r="I78" s="3">
        <f>COUNTIF('Schedule from TM'!$BH$11:$BH$1026,(TEXT(I$6+$A52,"MM/DD/YYYY HH:MM")&amp;"-&gt;"&amp;$B$3))</f>
        <v>1</v>
      </c>
      <c r="J78" s="3">
        <f>COUNTIF('Schedule from TM'!$BH$11:$BH$1026,(TEXT(J$6+$A52,"MM/DD/YYYY HH:MM")&amp;"-&gt;"&amp;$B$3))</f>
        <v>0</v>
      </c>
      <c r="K78" s="3">
        <f>COUNTIF('Schedule from TM'!$BH$11:$BH$1026,(TEXT(K$6+$A52,"MM/DD/YYYY HH:MM")&amp;"-&gt;"&amp;$B$3))</f>
        <v>1</v>
      </c>
    </row>
    <row r="79" spans="1:11" x14ac:dyDescent="0.2">
      <c r="A79" s="5">
        <f t="shared" si="15"/>
        <v>0.50694444444444442</v>
      </c>
      <c r="B79" s="3">
        <f>COUNTIF('Schedule from TM'!$BH$11:$BH$1026,(TEXT(B$6+$A53,"MM/DD/YYYY HH:MM")&amp;"-&gt;"&amp;$B$3))</f>
        <v>0</v>
      </c>
      <c r="C79" s="3">
        <f>COUNTIF('Schedule from TM'!$BH$11:$BH$1026,(TEXT(C$6+$A53,"MM/DD/YYYY HH:MM")&amp;"-&gt;"&amp;$B$3))</f>
        <v>0</v>
      </c>
      <c r="D79" s="3">
        <f>COUNTIF('Schedule from TM'!$BH$11:$BH$1026,(TEXT(D$6+$A53,"MM/DD/YYYY HH:MM")&amp;"-&gt;"&amp;$B$3))</f>
        <v>1</v>
      </c>
      <c r="E79" s="3">
        <f>COUNTIF('Schedule from TM'!$BH$11:$BH$1026,(TEXT(E$6+$A53,"MM/DD/YYYY HH:MM")&amp;"-&gt;"&amp;$B$3))</f>
        <v>0</v>
      </c>
      <c r="F79" s="3">
        <f>COUNTIF('Schedule from TM'!$BH$11:$BH$1026,(TEXT(F$6+$A53,"MM/DD/YYYY HH:MM")&amp;"-&gt;"&amp;$B$3))</f>
        <v>0</v>
      </c>
      <c r="G79" s="3">
        <f>COUNTIF('Schedule from TM'!$BH$11:$BH$1026,(TEXT(G$6+$A53,"MM/DD/YYYY HH:MM")&amp;"-&gt;"&amp;$B$3))</f>
        <v>0</v>
      </c>
      <c r="H79" s="3">
        <f>COUNTIF('Schedule from TM'!$BH$11:$BH$1026,(TEXT(H$6+$A53,"MM/DD/YYYY HH:MM")&amp;"-&gt;"&amp;$B$3))</f>
        <v>1</v>
      </c>
      <c r="I79" s="3">
        <f>COUNTIF('Schedule from TM'!$BH$11:$BH$1026,(TEXT(I$6+$A53,"MM/DD/YYYY HH:MM")&amp;"-&gt;"&amp;$B$3))</f>
        <v>1</v>
      </c>
      <c r="J79" s="3">
        <f>COUNTIF('Schedule from TM'!$BH$11:$BH$1026,(TEXT(J$6+$A53,"MM/DD/YYYY HH:MM")&amp;"-&gt;"&amp;$B$3))</f>
        <v>0</v>
      </c>
      <c r="K79" s="3">
        <f>COUNTIF('Schedule from TM'!$BH$11:$BH$1026,(TEXT(K$6+$A53,"MM/DD/YYYY HH:MM")&amp;"-&gt;"&amp;$B$3))</f>
        <v>1</v>
      </c>
    </row>
    <row r="80" spans="1:11" x14ac:dyDescent="0.2">
      <c r="A80" s="5">
        <f t="shared" si="15"/>
        <v>0.54166666666666663</v>
      </c>
      <c r="B80" s="3">
        <f>COUNTIF('Schedule from TM'!$BH$11:$BH$1026,(TEXT(B$6+$A54,"MM/DD/YYYY HH:MM")&amp;"-&gt;"&amp;$B$3))</f>
        <v>0</v>
      </c>
      <c r="C80" s="3">
        <f>COUNTIF('Schedule from TM'!$BH$11:$BH$1026,(TEXT(C$6+$A54,"MM/DD/YYYY HH:MM")&amp;"-&gt;"&amp;$B$3))</f>
        <v>0</v>
      </c>
      <c r="D80" s="3">
        <f>COUNTIF('Schedule from TM'!$BH$11:$BH$1026,(TEXT(D$6+$A54,"MM/DD/YYYY HH:MM")&amp;"-&gt;"&amp;$B$3))</f>
        <v>1</v>
      </c>
      <c r="E80" s="3">
        <f>COUNTIF('Schedule from TM'!$BH$11:$BH$1026,(TEXT(E$6+$A54,"MM/DD/YYYY HH:MM")&amp;"-&gt;"&amp;$B$3))</f>
        <v>0</v>
      </c>
      <c r="F80" s="3">
        <f>COUNTIF('Schedule from TM'!$BH$11:$BH$1026,(TEXT(F$6+$A54,"MM/DD/YYYY HH:MM")&amp;"-&gt;"&amp;$B$3))</f>
        <v>0</v>
      </c>
      <c r="G80" s="3">
        <f>COUNTIF('Schedule from TM'!$BH$11:$BH$1026,(TEXT(G$6+$A54,"MM/DD/YYYY HH:MM")&amp;"-&gt;"&amp;$B$3))</f>
        <v>0</v>
      </c>
      <c r="H80" s="3">
        <f>COUNTIF('Schedule from TM'!$BH$11:$BH$1026,(TEXT(H$6+$A54,"MM/DD/YYYY HH:MM")&amp;"-&gt;"&amp;$B$3))</f>
        <v>1</v>
      </c>
      <c r="I80" s="3">
        <f>COUNTIF('Schedule from TM'!$BH$11:$BH$1026,(TEXT(I$6+$A54,"MM/DD/YYYY HH:MM")&amp;"-&gt;"&amp;$B$3))</f>
        <v>1</v>
      </c>
      <c r="J80" s="3">
        <f>COUNTIF('Schedule from TM'!$BH$11:$BH$1026,(TEXT(J$6+$A54,"MM/DD/YYYY HH:MM")&amp;"-&gt;"&amp;$B$3))</f>
        <v>0</v>
      </c>
      <c r="K80" s="3">
        <f>COUNTIF('Schedule from TM'!$BH$11:$BH$1026,(TEXT(K$6+$A54,"MM/DD/YYYY HH:MM")&amp;"-&gt;"&amp;$B$3))</f>
        <v>0</v>
      </c>
    </row>
    <row r="81" spans="1:11" x14ac:dyDescent="0.2">
      <c r="A81" s="5">
        <f t="shared" si="15"/>
        <v>0.57638888888888884</v>
      </c>
      <c r="B81" s="3">
        <f>COUNTIF('Schedule from TM'!$BH$11:$BH$1026,(TEXT(B$6+$A55,"MM/DD/YYYY HH:MM")&amp;"-&gt;"&amp;$B$3))</f>
        <v>0</v>
      </c>
      <c r="C81" s="3">
        <f>COUNTIF('Schedule from TM'!$BH$11:$BH$1026,(TEXT(C$6+$A55,"MM/DD/YYYY HH:MM")&amp;"-&gt;"&amp;$B$3))</f>
        <v>0</v>
      </c>
      <c r="D81" s="3">
        <f>COUNTIF('Schedule from TM'!$BH$11:$BH$1026,(TEXT(D$6+$A55,"MM/DD/YYYY HH:MM")&amp;"-&gt;"&amp;$B$3))</f>
        <v>1</v>
      </c>
      <c r="E81" s="3">
        <f>COUNTIF('Schedule from TM'!$BH$11:$BH$1026,(TEXT(E$6+$A55,"MM/DD/YYYY HH:MM")&amp;"-&gt;"&amp;$B$3))</f>
        <v>0</v>
      </c>
      <c r="F81" s="3">
        <f>COUNTIF('Schedule from TM'!$BH$11:$BH$1026,(TEXT(F$6+$A55,"MM/DD/YYYY HH:MM")&amp;"-&gt;"&amp;$B$3))</f>
        <v>0</v>
      </c>
      <c r="G81" s="3">
        <f>COUNTIF('Schedule from TM'!$BH$11:$BH$1026,(TEXT(G$6+$A55,"MM/DD/YYYY HH:MM")&amp;"-&gt;"&amp;$B$3))</f>
        <v>0</v>
      </c>
      <c r="H81" s="3">
        <f>COUNTIF('Schedule from TM'!$BH$11:$BH$1026,(TEXT(H$6+$A55,"MM/DD/YYYY HH:MM")&amp;"-&gt;"&amp;$B$3))</f>
        <v>1</v>
      </c>
      <c r="I81" s="3">
        <f>COUNTIF('Schedule from TM'!$BH$11:$BH$1026,(TEXT(I$6+$A55,"MM/DD/YYYY HH:MM")&amp;"-&gt;"&amp;$B$3))</f>
        <v>1</v>
      </c>
      <c r="J81" s="3">
        <f>COUNTIF('Schedule from TM'!$BH$11:$BH$1026,(TEXT(J$6+$A55,"MM/DD/YYYY HH:MM")&amp;"-&gt;"&amp;$B$3))</f>
        <v>0</v>
      </c>
      <c r="K81" s="3">
        <f>COUNTIF('Schedule from TM'!$BH$11:$BH$1026,(TEXT(K$6+$A55,"MM/DD/YYYY HH:MM")&amp;"-&gt;"&amp;$B$3))</f>
        <v>0</v>
      </c>
    </row>
    <row r="82" spans="1:11" x14ac:dyDescent="0.2">
      <c r="A82" s="5">
        <f t="shared" si="15"/>
        <v>0.61111111111111105</v>
      </c>
      <c r="B82" s="3">
        <f>COUNTIF('Schedule from TM'!$BH$11:$BH$1026,(TEXT(B$6+$A56,"MM/DD/YYYY HH:MM")&amp;"-&gt;"&amp;$B$3))</f>
        <v>0</v>
      </c>
      <c r="C82" s="3">
        <f>COUNTIF('Schedule from TM'!$BH$11:$BH$1026,(TEXT(C$6+$A56,"MM/DD/YYYY HH:MM")&amp;"-&gt;"&amp;$B$3))</f>
        <v>0</v>
      </c>
      <c r="D82" s="3">
        <f>COUNTIF('Schedule from TM'!$BH$11:$BH$1026,(TEXT(D$6+$A56,"MM/DD/YYYY HH:MM")&amp;"-&gt;"&amp;$B$3))</f>
        <v>1</v>
      </c>
      <c r="E82" s="3">
        <f>COUNTIF('Schedule from TM'!$BH$11:$BH$1026,(TEXT(E$6+$A56,"MM/DD/YYYY HH:MM")&amp;"-&gt;"&amp;$B$3))</f>
        <v>0</v>
      </c>
      <c r="F82" s="3">
        <f>COUNTIF('Schedule from TM'!$BH$11:$BH$1026,(TEXT(F$6+$A56,"MM/DD/YYYY HH:MM")&amp;"-&gt;"&amp;$B$3))</f>
        <v>0</v>
      </c>
      <c r="G82" s="3">
        <f>COUNTIF('Schedule from TM'!$BH$11:$BH$1026,(TEXT(G$6+$A56,"MM/DD/YYYY HH:MM")&amp;"-&gt;"&amp;$B$3))</f>
        <v>0</v>
      </c>
      <c r="H82" s="3">
        <f>COUNTIF('Schedule from TM'!$BH$11:$BH$1026,(TEXT(H$6+$A56,"MM/DD/YYYY HH:MM")&amp;"-&gt;"&amp;$B$3))</f>
        <v>1</v>
      </c>
      <c r="I82" s="3">
        <f>COUNTIF('Schedule from TM'!$BH$11:$BH$1026,(TEXT(I$6+$A56,"MM/DD/YYYY HH:MM")&amp;"-&gt;"&amp;$B$3))</f>
        <v>1</v>
      </c>
      <c r="J82" s="3">
        <f>COUNTIF('Schedule from TM'!$BH$11:$BH$1026,(TEXT(J$6+$A56,"MM/DD/YYYY HH:MM")&amp;"-&gt;"&amp;$B$3))</f>
        <v>0</v>
      </c>
      <c r="K82" s="3">
        <f>COUNTIF('Schedule from TM'!$BH$11:$BH$1026,(TEXT(K$6+$A56,"MM/DD/YYYY HH:MM")&amp;"-&gt;"&amp;$B$3))</f>
        <v>0</v>
      </c>
    </row>
    <row r="83" spans="1:11" x14ac:dyDescent="0.2">
      <c r="A83" s="5">
        <f t="shared" si="15"/>
        <v>0.64583333333333326</v>
      </c>
      <c r="B83" s="3">
        <f>COUNTIF('Schedule from TM'!$BH$11:$BH$1026,(TEXT(B$6+$A57,"MM/DD/YYYY HH:MM")&amp;"-&gt;"&amp;$B$3))</f>
        <v>0</v>
      </c>
      <c r="C83" s="3">
        <f>COUNTIF('Schedule from TM'!$BH$11:$BH$1026,(TEXT(C$6+$A57,"MM/DD/YYYY HH:MM")&amp;"-&gt;"&amp;$B$3))</f>
        <v>0</v>
      </c>
      <c r="D83" s="3">
        <f>COUNTIF('Schedule from TM'!$BH$11:$BH$1026,(TEXT(D$6+$A57,"MM/DD/YYYY HH:MM")&amp;"-&gt;"&amp;$B$3))</f>
        <v>1</v>
      </c>
      <c r="E83" s="3">
        <f>COUNTIF('Schedule from TM'!$BH$11:$BH$1026,(TEXT(E$6+$A57,"MM/DD/YYYY HH:MM")&amp;"-&gt;"&amp;$B$3))</f>
        <v>0</v>
      </c>
      <c r="F83" s="3">
        <f>COUNTIF('Schedule from TM'!$BH$11:$BH$1026,(TEXT(F$6+$A57,"MM/DD/YYYY HH:MM")&amp;"-&gt;"&amp;$B$3))</f>
        <v>0</v>
      </c>
      <c r="G83" s="3">
        <f>COUNTIF('Schedule from TM'!$BH$11:$BH$1026,(TEXT(G$6+$A57,"MM/DD/YYYY HH:MM")&amp;"-&gt;"&amp;$B$3))</f>
        <v>0</v>
      </c>
      <c r="H83" s="3">
        <f>COUNTIF('Schedule from TM'!$BH$11:$BH$1026,(TEXT(H$6+$A57,"MM/DD/YYYY HH:MM")&amp;"-&gt;"&amp;$B$3))</f>
        <v>1</v>
      </c>
      <c r="I83" s="3">
        <f>COUNTIF('Schedule from TM'!$BH$11:$BH$1026,(TEXT(I$6+$A57,"MM/DD/YYYY HH:MM")&amp;"-&gt;"&amp;$B$3))</f>
        <v>1</v>
      </c>
      <c r="J83" s="3">
        <f>COUNTIF('Schedule from TM'!$BH$11:$BH$1026,(TEXT(J$6+$A57,"MM/DD/YYYY HH:MM")&amp;"-&gt;"&amp;$B$3))</f>
        <v>0</v>
      </c>
      <c r="K83" s="3">
        <f>COUNTIF('Schedule from TM'!$BH$11:$BH$1026,(TEXT(K$6+$A57,"MM/DD/YYYY HH:MM")&amp;"-&gt;"&amp;$B$3))</f>
        <v>1</v>
      </c>
    </row>
    <row r="84" spans="1:11" x14ac:dyDescent="0.2">
      <c r="A84" s="5">
        <f t="shared" si="15"/>
        <v>0.68055555555555547</v>
      </c>
      <c r="B84" s="3">
        <f>COUNTIF('Schedule from TM'!$BH$11:$BH$1026,(TEXT(B$6+$A58,"MM/DD/YYYY HH:MM")&amp;"-&gt;"&amp;$B$3))</f>
        <v>0</v>
      </c>
      <c r="C84" s="3">
        <f>COUNTIF('Schedule from TM'!$BH$11:$BH$1026,(TEXT(C$6+$A58,"MM/DD/YYYY HH:MM")&amp;"-&gt;"&amp;$B$3))</f>
        <v>0</v>
      </c>
      <c r="D84" s="3">
        <f>COUNTIF('Schedule from TM'!$BH$11:$BH$1026,(TEXT(D$6+$A58,"MM/DD/YYYY HH:MM")&amp;"-&gt;"&amp;$B$3))</f>
        <v>1</v>
      </c>
      <c r="E84" s="3">
        <f>COUNTIF('Schedule from TM'!$BH$11:$BH$1026,(TEXT(E$6+$A58,"MM/DD/YYYY HH:MM")&amp;"-&gt;"&amp;$B$3))</f>
        <v>0</v>
      </c>
      <c r="F84" s="3">
        <f>COUNTIF('Schedule from TM'!$BH$11:$BH$1026,(TEXT(F$6+$A58,"MM/DD/YYYY HH:MM")&amp;"-&gt;"&amp;$B$3))</f>
        <v>0</v>
      </c>
      <c r="G84" s="3">
        <f>COUNTIF('Schedule from TM'!$BH$11:$BH$1026,(TEXT(G$6+$A58,"MM/DD/YYYY HH:MM")&amp;"-&gt;"&amp;$B$3))</f>
        <v>0</v>
      </c>
      <c r="H84" s="3">
        <f>COUNTIF('Schedule from TM'!$BH$11:$BH$1026,(TEXT(H$6+$A58,"MM/DD/YYYY HH:MM")&amp;"-&gt;"&amp;$B$3))</f>
        <v>1</v>
      </c>
      <c r="I84" s="3">
        <f>COUNTIF('Schedule from TM'!$BH$11:$BH$1026,(TEXT(I$6+$A58,"MM/DD/YYYY HH:MM")&amp;"-&gt;"&amp;$B$3))</f>
        <v>0</v>
      </c>
      <c r="J84" s="3">
        <f>COUNTIF('Schedule from TM'!$BH$11:$BH$1026,(TEXT(J$6+$A58,"MM/DD/YYYY HH:MM")&amp;"-&gt;"&amp;$B$3))</f>
        <v>0</v>
      </c>
      <c r="K84" s="3">
        <f>COUNTIF('Schedule from TM'!$BH$11:$BH$1026,(TEXT(K$6+$A58,"MM/DD/YYYY HH:MM")&amp;"-&gt;"&amp;$B$3))</f>
        <v>0</v>
      </c>
    </row>
    <row r="85" spans="1:11" x14ac:dyDescent="0.2">
      <c r="A85" s="5">
        <f t="shared" si="15"/>
        <v>0.71527777777777768</v>
      </c>
      <c r="B85" s="3">
        <f>COUNTIF('Schedule from TM'!$BH$11:$BH$1026,(TEXT(B$6+$A59,"MM/DD/YYYY HH:MM")&amp;"-&gt;"&amp;$B$3))</f>
        <v>0</v>
      </c>
      <c r="C85" s="3">
        <f>COUNTIF('Schedule from TM'!$BH$11:$BH$1026,(TEXT(C$6+$A59,"MM/DD/YYYY HH:MM")&amp;"-&gt;"&amp;$B$3))</f>
        <v>0</v>
      </c>
      <c r="D85" s="3">
        <f>COUNTIF('Schedule from TM'!$BH$11:$BH$1026,(TEXT(D$6+$A59,"MM/DD/YYYY HH:MM")&amp;"-&gt;"&amp;$B$3))</f>
        <v>0</v>
      </c>
      <c r="E85" s="3">
        <f>COUNTIF('Schedule from TM'!$BH$11:$BH$1026,(TEXT(E$6+$A59,"MM/DD/YYYY HH:MM")&amp;"-&gt;"&amp;$B$3))</f>
        <v>0</v>
      </c>
      <c r="F85" s="3">
        <f>COUNTIF('Schedule from TM'!$BH$11:$BH$1026,(TEXT(F$6+$A59,"MM/DD/YYYY HH:MM")&amp;"-&gt;"&amp;$B$3))</f>
        <v>0</v>
      </c>
      <c r="G85" s="3">
        <f>COUNTIF('Schedule from TM'!$BH$11:$BH$1026,(TEXT(G$6+$A59,"MM/DD/YYYY HH:MM")&amp;"-&gt;"&amp;$B$3))</f>
        <v>0</v>
      </c>
      <c r="H85" s="3">
        <f>COUNTIF('Schedule from TM'!$BH$11:$BH$1026,(TEXT(H$6+$A59,"MM/DD/YYYY HH:MM")&amp;"-&gt;"&amp;$B$3))</f>
        <v>0</v>
      </c>
      <c r="I85" s="3">
        <f>COUNTIF('Schedule from TM'!$BH$11:$BH$1026,(TEXT(I$6+$A59,"MM/DD/YYYY HH:MM")&amp;"-&gt;"&amp;$B$3))</f>
        <v>0</v>
      </c>
      <c r="J85" s="3">
        <f>COUNTIF('Schedule from TM'!$BH$11:$BH$1026,(TEXT(J$6+$A59,"MM/DD/YYYY HH:MM")&amp;"-&gt;"&amp;$B$3))</f>
        <v>0</v>
      </c>
      <c r="K85" s="3">
        <f>COUNTIF('Schedule from TM'!$BH$11:$BH$1026,(TEXT(K$6+$A59,"MM/DD/YYYY HH:MM")&amp;"-&gt;"&amp;$B$3))</f>
        <v>0</v>
      </c>
    </row>
    <row r="86" spans="1:11" x14ac:dyDescent="0.2">
      <c r="A86" s="5">
        <f t="shared" si="15"/>
        <v>0.74999999999999989</v>
      </c>
      <c r="B86" s="3">
        <f>COUNTIF('Schedule from TM'!$BH$11:$BH$1026,(TEXT(B$6+$A60,"MM/DD/YYYY HH:MM")&amp;"-&gt;"&amp;$B$3))</f>
        <v>0</v>
      </c>
      <c r="C86" s="3">
        <f>COUNTIF('Schedule from TM'!$BH$11:$BH$1026,(TEXT(C$6+$A60,"MM/DD/YYYY HH:MM")&amp;"-&gt;"&amp;$B$3))</f>
        <v>0</v>
      </c>
      <c r="D86" s="3">
        <f>COUNTIF('Schedule from TM'!$BH$11:$BH$1026,(TEXT(D$6+$A60,"MM/DD/YYYY HH:MM")&amp;"-&gt;"&amp;$B$3))</f>
        <v>0</v>
      </c>
      <c r="E86" s="3">
        <f>COUNTIF('Schedule from TM'!$BH$11:$BH$1026,(TEXT(E$6+$A60,"MM/DD/YYYY HH:MM")&amp;"-&gt;"&amp;$B$3))</f>
        <v>0</v>
      </c>
      <c r="F86" s="3">
        <f>COUNTIF('Schedule from TM'!$BH$11:$BH$1026,(TEXT(F$6+$A60,"MM/DD/YYYY HH:MM")&amp;"-&gt;"&amp;$B$3))</f>
        <v>0</v>
      </c>
      <c r="G86" s="3">
        <f>COUNTIF('Schedule from TM'!$BH$11:$BH$1026,(TEXT(G$6+$A60,"MM/DD/YYYY HH:MM")&amp;"-&gt;"&amp;$B$3))</f>
        <v>0</v>
      </c>
      <c r="H86" s="3">
        <f>COUNTIF('Schedule from TM'!$BH$11:$BH$1026,(TEXT(H$6+$A60,"MM/DD/YYYY HH:MM")&amp;"-&gt;"&amp;$B$3))</f>
        <v>0</v>
      </c>
      <c r="I86" s="3">
        <f>COUNTIF('Schedule from TM'!$BH$11:$BH$1026,(TEXT(I$6+$A60,"MM/DD/YYYY HH:MM")&amp;"-&gt;"&amp;$B$3))</f>
        <v>0</v>
      </c>
      <c r="J86" s="3">
        <f>COUNTIF('Schedule from TM'!$BH$11:$BH$1026,(TEXT(J$6+$A60,"MM/DD/YYYY HH:MM")&amp;"-&gt;"&amp;$B$3))</f>
        <v>0</v>
      </c>
      <c r="K86" s="3">
        <f>COUNTIF('Schedule from TM'!$BH$11:$BH$1026,(TEXT(K$6+$A60,"MM/DD/YYYY HH:MM")&amp;"-&gt;"&amp;$B$3))</f>
        <v>0</v>
      </c>
    </row>
    <row r="87" spans="1:11" x14ac:dyDescent="0.2">
      <c r="A87" s="5">
        <f t="shared" si="15"/>
        <v>0.7847222222222221</v>
      </c>
      <c r="B87" s="3">
        <f>COUNTIF('Schedule from TM'!$BH$11:$BH$1026,(TEXT(B$6+$A61,"MM/DD/YYYY HH:MM")&amp;"-&gt;"&amp;$B$3))</f>
        <v>0</v>
      </c>
      <c r="C87" s="3">
        <f>COUNTIF('Schedule from TM'!$BH$11:$BH$1026,(TEXT(C$6+$A61,"MM/DD/YYYY HH:MM")&amp;"-&gt;"&amp;$B$3))</f>
        <v>0</v>
      </c>
      <c r="D87" s="3">
        <f>COUNTIF('Schedule from TM'!$BH$11:$BH$1026,(TEXT(D$6+$A61,"MM/DD/YYYY HH:MM")&amp;"-&gt;"&amp;$B$3))</f>
        <v>0</v>
      </c>
      <c r="E87" s="3">
        <f>COUNTIF('Schedule from TM'!$BH$11:$BH$1026,(TEXT(E$6+$A61,"MM/DD/YYYY HH:MM")&amp;"-&gt;"&amp;$B$3))</f>
        <v>0</v>
      </c>
      <c r="F87" s="3">
        <f>COUNTIF('Schedule from TM'!$BH$11:$BH$1026,(TEXT(F$6+$A61,"MM/DD/YYYY HH:MM")&amp;"-&gt;"&amp;$B$3))</f>
        <v>0</v>
      </c>
      <c r="G87" s="3">
        <f>COUNTIF('Schedule from TM'!$BH$11:$BH$1026,(TEXT(G$6+$A61,"MM/DD/YYYY HH:MM")&amp;"-&gt;"&amp;$B$3))</f>
        <v>0</v>
      </c>
      <c r="H87" s="3">
        <f>COUNTIF('Schedule from TM'!$BH$11:$BH$1026,(TEXT(H$6+$A61,"MM/DD/YYYY HH:MM")&amp;"-&gt;"&amp;$B$3))</f>
        <v>0</v>
      </c>
      <c r="I87" s="3">
        <f>COUNTIF('Schedule from TM'!$BH$11:$BH$1026,(TEXT(I$6+$A61,"MM/DD/YYYY HH:MM")&amp;"-&gt;"&amp;$B$3))</f>
        <v>0</v>
      </c>
      <c r="J87" s="3">
        <f>COUNTIF('Schedule from TM'!$BH$11:$BH$1026,(TEXT(J$6+$A61,"MM/DD/YYYY HH:MM")&amp;"-&gt;"&amp;$B$3))</f>
        <v>0</v>
      </c>
      <c r="K87" s="3">
        <f>COUNTIF('Schedule from TM'!$BH$11:$BH$1026,(TEXT(K$6+$A61,"MM/DD/YYYY HH:MM")&amp;"-&gt;"&amp;$B$3))</f>
        <v>0</v>
      </c>
    </row>
    <row r="88" spans="1:11" x14ac:dyDescent="0.2">
      <c r="A88" s="5">
        <f t="shared" si="15"/>
        <v>0.81944444444444431</v>
      </c>
      <c r="B88" s="3">
        <f>COUNTIF('Schedule from TM'!$BH$11:$BH$1026,(TEXT(B$6+$A62,"MM/DD/YYYY HH:MM")&amp;"-&gt;"&amp;$B$3))</f>
        <v>0</v>
      </c>
      <c r="C88" s="3">
        <f>COUNTIF('Schedule from TM'!$BH$11:$BH$1026,(TEXT(C$6+$A62,"MM/DD/YYYY HH:MM")&amp;"-&gt;"&amp;$B$3))</f>
        <v>0</v>
      </c>
      <c r="D88" s="3">
        <f>COUNTIF('Schedule from TM'!$BH$11:$BH$1026,(TEXT(D$6+$A62,"MM/DD/YYYY HH:MM")&amp;"-&gt;"&amp;$B$3))</f>
        <v>0</v>
      </c>
      <c r="E88" s="3">
        <f>COUNTIF('Schedule from TM'!$BH$11:$BH$1026,(TEXT(E$6+$A62,"MM/DD/YYYY HH:MM")&amp;"-&gt;"&amp;$B$3))</f>
        <v>0</v>
      </c>
      <c r="F88" s="3">
        <f>COUNTIF('Schedule from TM'!$BH$11:$BH$1026,(TEXT(F$6+$A62,"MM/DD/YYYY HH:MM")&amp;"-&gt;"&amp;$B$3))</f>
        <v>0</v>
      </c>
      <c r="G88" s="3">
        <f>COUNTIF('Schedule from TM'!$BH$11:$BH$1026,(TEXT(G$6+$A62,"MM/DD/YYYY HH:MM")&amp;"-&gt;"&amp;$B$3))</f>
        <v>0</v>
      </c>
      <c r="H88" s="3">
        <f>COUNTIF('Schedule from TM'!$BH$11:$BH$1026,(TEXT(H$6+$A62,"MM/DD/YYYY HH:MM")&amp;"-&gt;"&amp;$B$3))</f>
        <v>0</v>
      </c>
      <c r="I88" s="3">
        <f>COUNTIF('Schedule from TM'!$BH$11:$BH$1026,(TEXT(I$6+$A62,"MM/DD/YYYY HH:MM")&amp;"-&gt;"&amp;$B$3))</f>
        <v>0</v>
      </c>
      <c r="J88" s="3">
        <f>COUNTIF('Schedule from TM'!$BH$11:$BH$1026,(TEXT(J$6+$A62,"MM/DD/YYYY HH:MM")&amp;"-&gt;"&amp;$B$3))</f>
        <v>0</v>
      </c>
      <c r="K88" s="3">
        <f>COUNTIF('Schedule from TM'!$BH$11:$BH$1026,(TEXT(K$6+$A62,"MM/DD/YYYY HH:MM")&amp;"-&gt;"&amp;$B$3))</f>
        <v>0</v>
      </c>
    </row>
    <row r="89" spans="1:11" x14ac:dyDescent="0.2">
      <c r="A89" s="5">
        <f t="shared" si="15"/>
        <v>0.85416666666666652</v>
      </c>
      <c r="B89" s="3">
        <f>COUNTIF('Schedule from TM'!$BH$11:$BH$1026,(TEXT(B$6+$A63,"MM/DD/YYYY HH:MM")&amp;"-&gt;"&amp;$B$3))</f>
        <v>0</v>
      </c>
      <c r="C89" s="3">
        <f>COUNTIF('Schedule from TM'!$BH$11:$BH$1026,(TEXT(C$6+$A63,"MM/DD/YYYY HH:MM")&amp;"-&gt;"&amp;$B$3))</f>
        <v>0</v>
      </c>
      <c r="D89" s="3">
        <f>COUNTIF('Schedule from TM'!$BH$11:$BH$1026,(TEXT(D$6+$A63,"MM/DD/YYYY HH:MM")&amp;"-&gt;"&amp;$B$3))</f>
        <v>0</v>
      </c>
      <c r="E89" s="3">
        <f>COUNTIF('Schedule from TM'!$BH$11:$BH$1026,(TEXT(E$6+$A63,"MM/DD/YYYY HH:MM")&amp;"-&gt;"&amp;$B$3))</f>
        <v>0</v>
      </c>
      <c r="F89" s="3">
        <f>COUNTIF('Schedule from TM'!$BH$11:$BH$1026,(TEXT(F$6+$A63,"MM/DD/YYYY HH:MM")&amp;"-&gt;"&amp;$B$3))</f>
        <v>0</v>
      </c>
      <c r="G89" s="3">
        <f>COUNTIF('Schedule from TM'!$BH$11:$BH$1026,(TEXT(G$6+$A63,"MM/DD/YYYY HH:MM")&amp;"-&gt;"&amp;$B$3))</f>
        <v>0</v>
      </c>
      <c r="H89" s="3">
        <f>COUNTIF('Schedule from TM'!$BH$11:$BH$1026,(TEXT(H$6+$A63,"MM/DD/YYYY HH:MM")&amp;"-&gt;"&amp;$B$3))</f>
        <v>0</v>
      </c>
      <c r="I89" s="3">
        <f>COUNTIF('Schedule from TM'!$BH$11:$BH$1026,(TEXT(I$6+$A63,"MM/DD/YYYY HH:MM")&amp;"-&gt;"&amp;$B$3))</f>
        <v>0</v>
      </c>
      <c r="J89" s="3">
        <f>COUNTIF('Schedule from TM'!$BH$11:$BH$1026,(TEXT(J$6+$A63,"MM/DD/YYYY HH:MM")&amp;"-&gt;"&amp;$B$3))</f>
        <v>0</v>
      </c>
      <c r="K89" s="3">
        <f>COUNTIF('Schedule from TM'!$BH$11:$BH$1026,(TEXT(K$6+$A63,"MM/DD/YYYY HH:MM")&amp;"-&gt;"&amp;$B$3))</f>
        <v>0</v>
      </c>
    </row>
    <row r="90" spans="1:11" x14ac:dyDescent="0.2">
      <c r="A90" s="5">
        <f t="shared" si="15"/>
        <v>0.88888888888888873</v>
      </c>
      <c r="B90" s="3">
        <f>COUNTIF('Schedule from TM'!$BH$11:$BH$1026,(TEXT(B$6+$A64,"MM/DD/YYYY HH:MM")&amp;"-&gt;"&amp;$B$3))</f>
        <v>0</v>
      </c>
      <c r="C90" s="3">
        <f>COUNTIF('Schedule from TM'!$BH$11:$BH$1026,(TEXT(C$6+$A64,"MM/DD/YYYY HH:MM")&amp;"-&gt;"&amp;$B$3))</f>
        <v>0</v>
      </c>
      <c r="D90" s="3">
        <f>COUNTIF('Schedule from TM'!$BH$11:$BH$1026,(TEXT(D$6+$A64,"MM/DD/YYYY HH:MM")&amp;"-&gt;"&amp;$B$3))</f>
        <v>0</v>
      </c>
      <c r="E90" s="3">
        <f>COUNTIF('Schedule from TM'!$BH$11:$BH$1026,(TEXT(E$6+$A64,"MM/DD/YYYY HH:MM")&amp;"-&gt;"&amp;$B$3))</f>
        <v>0</v>
      </c>
      <c r="F90" s="3">
        <f>COUNTIF('Schedule from TM'!$BH$11:$BH$1026,(TEXT(F$6+$A64,"MM/DD/YYYY HH:MM")&amp;"-&gt;"&amp;$B$3))</f>
        <v>0</v>
      </c>
      <c r="G90" s="3">
        <f>COUNTIF('Schedule from TM'!$BH$11:$BH$1026,(TEXT(G$6+$A64,"MM/DD/YYYY HH:MM")&amp;"-&gt;"&amp;$B$3))</f>
        <v>0</v>
      </c>
      <c r="H90" s="3">
        <f>COUNTIF('Schedule from TM'!$BH$11:$BH$1026,(TEXT(H$6+$A64,"MM/DD/YYYY HH:MM")&amp;"-&gt;"&amp;$B$3))</f>
        <v>0</v>
      </c>
      <c r="I90" s="3">
        <f>COUNTIF('Schedule from TM'!$BH$11:$BH$1026,(TEXT(I$6+$A64,"MM/DD/YYYY HH:MM")&amp;"-&gt;"&amp;$B$3))</f>
        <v>0</v>
      </c>
      <c r="J90" s="3">
        <f>COUNTIF('Schedule from TM'!$BH$11:$BH$1026,(TEXT(J$6+$A64,"MM/DD/YYYY HH:MM")&amp;"-&gt;"&amp;$B$3))</f>
        <v>0</v>
      </c>
      <c r="K90" s="3">
        <f>COUNTIF('Schedule from TM'!$BH$11:$BH$1026,(TEXT(K$6+$A64,"MM/DD/YYYY HH:MM")&amp;"-&gt;"&amp;$B$3))</f>
        <v>0</v>
      </c>
    </row>
    <row r="91" spans="1:11" x14ac:dyDescent="0.2">
      <c r="A91" s="5">
        <f t="shared" si="15"/>
        <v>0.92361111111111094</v>
      </c>
      <c r="B91" s="3">
        <f>COUNTIF('Schedule from TM'!$BH$11:$BH$1026,(TEXT(B$6+$A65,"MM/DD/YYYY HH:MM")&amp;"-&gt;"&amp;$B$3))</f>
        <v>0</v>
      </c>
      <c r="C91" s="3">
        <f>COUNTIF('Schedule from TM'!$BH$11:$BH$1026,(TEXT(C$6+$A65,"MM/DD/YYYY HH:MM")&amp;"-&gt;"&amp;$B$3))</f>
        <v>0</v>
      </c>
      <c r="D91" s="3">
        <f>COUNTIF('Schedule from TM'!$BH$11:$BH$1026,(TEXT(D$6+$A65,"MM/DD/YYYY HH:MM")&amp;"-&gt;"&amp;$B$3))</f>
        <v>0</v>
      </c>
      <c r="E91" s="3">
        <f>COUNTIF('Schedule from TM'!$BH$11:$BH$1026,(TEXT(E$6+$A65,"MM/DD/YYYY HH:MM")&amp;"-&gt;"&amp;$B$3))</f>
        <v>0</v>
      </c>
      <c r="F91" s="3">
        <f>COUNTIF('Schedule from TM'!$BH$11:$BH$1026,(TEXT(F$6+$A65,"MM/DD/YYYY HH:MM")&amp;"-&gt;"&amp;$B$3))</f>
        <v>0</v>
      </c>
      <c r="G91" s="3">
        <f>COUNTIF('Schedule from TM'!$BH$11:$BH$1026,(TEXT(G$6+$A65,"MM/DD/YYYY HH:MM")&amp;"-&gt;"&amp;$B$3))</f>
        <v>0</v>
      </c>
      <c r="H91" s="3">
        <f>COUNTIF('Schedule from TM'!$BH$11:$BH$1026,(TEXT(H$6+$A65,"MM/DD/YYYY HH:MM")&amp;"-&gt;"&amp;$B$3))</f>
        <v>0</v>
      </c>
      <c r="I91" s="3">
        <f>COUNTIF('Schedule from TM'!$BH$11:$BH$1026,(TEXT(I$6+$A65,"MM/DD/YYYY HH:MM")&amp;"-&gt;"&amp;$B$3))</f>
        <v>0</v>
      </c>
      <c r="J91" s="3">
        <f>COUNTIF('Schedule from TM'!$BH$11:$BH$1026,(TEXT(J$6+$A65,"MM/DD/YYYY HH:MM")&amp;"-&gt;"&amp;$B$3))</f>
        <v>0</v>
      </c>
      <c r="K91" s="3">
        <f>COUNTIF('Schedule from TM'!$BH$11:$BH$1026,(TEXT(K$6+$A65,"MM/DD/YYYY HH:MM")&amp;"-&gt;"&amp;$B$3))</f>
        <v>0</v>
      </c>
    </row>
    <row r="92" spans="1:11" x14ac:dyDescent="0.2">
      <c r="A92" s="5">
        <f t="shared" si="15"/>
        <v>0.95833333333333315</v>
      </c>
      <c r="B92" s="3">
        <f>COUNTIF('Schedule from TM'!$BH$11:$BH$1026,(TEXT(B$6+$A66,"MM/DD/YYYY HH:MM")&amp;"-&gt;"&amp;$B$3))</f>
        <v>0</v>
      </c>
      <c r="C92" s="3">
        <f>COUNTIF('Schedule from TM'!$BH$11:$BH$1026,(TEXT(C$6+$A66,"MM/DD/YYYY HH:MM")&amp;"-&gt;"&amp;$B$3))</f>
        <v>0</v>
      </c>
      <c r="D92" s="3">
        <f>COUNTIF('Schedule from TM'!$BH$11:$BH$1026,(TEXT(D$6+$A66,"MM/DD/YYYY HH:MM")&amp;"-&gt;"&amp;$B$3))</f>
        <v>0</v>
      </c>
      <c r="E92" s="3">
        <f>COUNTIF('Schedule from TM'!$BH$11:$BH$1026,(TEXT(E$6+$A66,"MM/DD/YYYY HH:MM")&amp;"-&gt;"&amp;$B$3))</f>
        <v>0</v>
      </c>
      <c r="F92" s="3">
        <f>COUNTIF('Schedule from TM'!$BH$11:$BH$1026,(TEXT(F$6+$A66,"MM/DD/YYYY HH:MM")&amp;"-&gt;"&amp;$B$3))</f>
        <v>0</v>
      </c>
      <c r="G92" s="3">
        <f>COUNTIF('Schedule from TM'!$BH$11:$BH$1026,(TEXT(G$6+$A66,"MM/DD/YYYY HH:MM")&amp;"-&gt;"&amp;$B$3))</f>
        <v>0</v>
      </c>
      <c r="H92" s="3">
        <f>COUNTIF('Schedule from TM'!$BH$11:$BH$1026,(TEXT(H$6+$A66,"MM/DD/YYYY HH:MM")&amp;"-&gt;"&amp;$B$3))</f>
        <v>0</v>
      </c>
      <c r="I92" s="3">
        <f>COUNTIF('Schedule from TM'!$BH$11:$BH$1026,(TEXT(I$6+$A66,"MM/DD/YYYY HH:MM")&amp;"-&gt;"&amp;$B$3))</f>
        <v>0</v>
      </c>
      <c r="J92" s="3">
        <f>COUNTIF('Schedule from TM'!$BH$11:$BH$1026,(TEXT(J$6+$A66,"MM/DD/YYYY HH:MM")&amp;"-&gt;"&amp;$B$3))</f>
        <v>0</v>
      </c>
      <c r="K92" s="3">
        <f>COUNTIF('Schedule from TM'!$BH$11:$BH$1026,(TEXT(K$6+$A66,"MM/DD/YYYY HH:MM")&amp;"-&gt;"&amp;$B$3))</f>
        <v>0</v>
      </c>
    </row>
    <row r="93" spans="1:11" x14ac:dyDescent="0.2">
      <c r="A93" s="5">
        <f t="shared" si="15"/>
        <v>0.99305555555555536</v>
      </c>
      <c r="B93" s="3">
        <f>COUNTIF('Schedule from TM'!$BH$11:$BH$1026,(TEXT(B$6+$A68,"MM/DD/YYYY HH:MM")&amp;"-&gt;"&amp;$B$3))</f>
        <v>0</v>
      </c>
      <c r="C93" s="3">
        <f>COUNTIF('Schedule from TM'!$BH$11:$BH$1026,(TEXT(C$6+$A68,"MM/DD/YYYY HH:MM")&amp;"-&gt;"&amp;$B$3))</f>
        <v>0</v>
      </c>
      <c r="D93" s="3">
        <f>COUNTIF('Schedule from TM'!$BH$11:$BH$1026,(TEXT(D$6+$A68,"MM/DD/YYYY HH:MM")&amp;"-&gt;"&amp;$B$3))</f>
        <v>0</v>
      </c>
      <c r="E93" s="3">
        <f>COUNTIF('Schedule from TM'!$BH$11:$BH$1026,(TEXT(E$6+$A68,"MM/DD/YYYY HH:MM")&amp;"-&gt;"&amp;$B$3))</f>
        <v>0</v>
      </c>
      <c r="F93" s="3">
        <f>COUNTIF('Schedule from TM'!$BH$11:$BH$1026,(TEXT(F$6+$A68,"MM/DD/YYYY HH:MM")&amp;"-&gt;"&amp;$B$3))</f>
        <v>0</v>
      </c>
      <c r="G93" s="3">
        <f>COUNTIF('Schedule from TM'!$BH$11:$BH$1026,(TEXT(G$6+$A68,"MM/DD/YYYY HH:MM")&amp;"-&gt;"&amp;$B$3))</f>
        <v>0</v>
      </c>
      <c r="H93" s="3">
        <f>COUNTIF('Schedule from TM'!$BH$11:$BH$1026,(TEXT(H$6+$A68,"MM/DD/YYYY HH:MM")&amp;"-&gt;"&amp;$B$3))</f>
        <v>0</v>
      </c>
      <c r="I93" s="3">
        <f>COUNTIF('Schedule from TM'!$BH$11:$BH$1026,(TEXT(I$6+$A68,"MM/DD/YYYY HH:MM")&amp;"-&gt;"&amp;$B$3))</f>
        <v>0</v>
      </c>
      <c r="J93" s="3">
        <f>COUNTIF('Schedule from TM'!$BH$11:$BH$1026,(TEXT(J$6+$A68,"MM/DD/YYYY HH:MM")&amp;"-&gt;"&amp;$B$3))</f>
        <v>0</v>
      </c>
      <c r="K93" s="3">
        <f>COUNTIF('Schedule from TM'!$BH$11:$BH$1026,(TEXT(K$6+$A68,"MM/DD/YYYY HH:MM")&amp;"-&gt;"&amp;$B$3))</f>
        <v>0</v>
      </c>
    </row>
  </sheetData>
  <sortState ref="S10:S23">
    <sortCondition ref="S10:S23"/>
  </sortState>
  <mergeCells count="1">
    <mergeCell ref="B3:C3"/>
  </mergeCells>
  <conditionalFormatting sqref="B8:K22">
    <cfRule type="expression" dxfId="6" priority="3737">
      <formula>B74&gt;1</formula>
    </cfRule>
  </conditionalFormatting>
  <conditionalFormatting sqref="B23:K27">
    <cfRule type="expression" dxfId="5" priority="3738">
      <formula>#REF!&gt;1</formula>
    </cfRule>
  </conditionalFormatting>
  <dataValidations count="2">
    <dataValidation type="list" allowBlank="1" showInputMessage="1" showErrorMessage="1" sqref="C70" xr:uid="{00000000-0002-0000-0C00-000000000000}">
      <formula1>$S$9:$S$57</formula1>
    </dataValidation>
    <dataValidation type="list" allowBlank="1" showInputMessage="1" showErrorMessage="1" sqref="B3:C3" xr:uid="{00000000-0002-0000-0C00-000001000000}">
      <formula1>location_list</formula1>
    </dataValidation>
  </dataValidations>
  <printOptions horizontalCentered="1"/>
  <pageMargins left="0.25" right="0.25" top="0.75" bottom="0.75" header="0.3" footer="0.3"/>
  <pageSetup scale="48" orientation="landscape" horizontalDpi="360" verticalDpi="36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L244"/>
  <sheetViews>
    <sheetView workbookViewId="0"/>
  </sheetViews>
  <sheetFormatPr baseColWidth="10" defaultColWidth="8.83203125" defaultRowHeight="15" x14ac:dyDescent="0.2"/>
  <cols>
    <col min="1" max="1" width="22.6640625" customWidth="1"/>
    <col min="2" max="11" width="26" customWidth="1"/>
    <col min="15" max="15" width="10.6640625" bestFit="1" customWidth="1"/>
  </cols>
  <sheetData>
    <row r="1" spans="1:12" ht="21" customHeight="1" x14ac:dyDescent="0.2">
      <c r="A1" s="23" t="s">
        <v>387</v>
      </c>
    </row>
    <row r="2" spans="1:12" x14ac:dyDescent="0.2">
      <c r="A2" s="7"/>
      <c r="B2" s="7"/>
      <c r="C2" s="7"/>
      <c r="D2" s="7"/>
    </row>
    <row r="3" spans="1:12" ht="19" x14ac:dyDescent="0.25">
      <c r="A3" s="46" t="s">
        <v>388</v>
      </c>
      <c r="B3" s="482" t="s">
        <v>379</v>
      </c>
      <c r="C3" s="483"/>
      <c r="D3" s="47" t="s">
        <v>308</v>
      </c>
      <c r="E3" s="46" t="s">
        <v>389</v>
      </c>
      <c r="F3" s="482" t="s">
        <v>40</v>
      </c>
      <c r="G3" s="483"/>
      <c r="H3" s="47" t="s">
        <v>308</v>
      </c>
      <c r="I3" s="46" t="s">
        <v>390</v>
      </c>
      <c r="J3" s="482" t="s">
        <v>391</v>
      </c>
      <c r="K3" s="483"/>
      <c r="L3" s="47" t="s">
        <v>308</v>
      </c>
    </row>
    <row r="4" spans="1:12" ht="19" x14ac:dyDescent="0.25">
      <c r="A4" s="46" t="s">
        <v>392</v>
      </c>
      <c r="B4" s="482" t="s">
        <v>379</v>
      </c>
      <c r="C4" s="483"/>
      <c r="D4" s="47" t="s">
        <v>308</v>
      </c>
      <c r="E4" s="46" t="s">
        <v>393</v>
      </c>
      <c r="F4" s="482" t="s">
        <v>391</v>
      </c>
      <c r="G4" s="483"/>
      <c r="H4" s="47" t="s">
        <v>308</v>
      </c>
      <c r="I4" s="46" t="s">
        <v>394</v>
      </c>
      <c r="J4" s="482" t="s">
        <v>391</v>
      </c>
      <c r="K4" s="483"/>
      <c r="L4" s="47" t="s">
        <v>308</v>
      </c>
    </row>
    <row r="5" spans="1:12" x14ac:dyDescent="0.2">
      <c r="A5" s="17"/>
      <c r="B5" s="7"/>
      <c r="C5" s="7"/>
      <c r="D5" s="7"/>
      <c r="E5" s="18"/>
      <c r="F5" s="7"/>
      <c r="G5" s="18"/>
      <c r="H5" s="7"/>
    </row>
    <row r="6" spans="1:12" x14ac:dyDescent="0.2">
      <c r="A6" s="37" t="s">
        <v>309</v>
      </c>
      <c r="B6" s="38">
        <f>Tables!U5</f>
        <v>43057</v>
      </c>
      <c r="C6" s="38">
        <f>B6+1</f>
        <v>43058</v>
      </c>
      <c r="D6" s="38">
        <f t="shared" ref="D6:K6" si="0">C6+1</f>
        <v>43059</v>
      </c>
      <c r="E6" s="38">
        <f t="shared" si="0"/>
        <v>43060</v>
      </c>
      <c r="F6" s="38">
        <f t="shared" si="0"/>
        <v>43061</v>
      </c>
      <c r="G6" s="38">
        <f t="shared" si="0"/>
        <v>43062</v>
      </c>
      <c r="H6" s="38">
        <f t="shared" si="0"/>
        <v>43063</v>
      </c>
      <c r="I6" s="38">
        <f t="shared" si="0"/>
        <v>43064</v>
      </c>
      <c r="J6" s="38">
        <f t="shared" si="0"/>
        <v>43065</v>
      </c>
      <c r="K6" s="38">
        <f t="shared" si="0"/>
        <v>43066</v>
      </c>
    </row>
    <row r="7" spans="1:12" x14ac:dyDescent="0.2">
      <c r="A7" s="39"/>
      <c r="B7" s="40" t="s">
        <v>310</v>
      </c>
      <c r="C7" s="40" t="s">
        <v>311</v>
      </c>
      <c r="D7" s="40" t="s">
        <v>312</v>
      </c>
      <c r="E7" s="40" t="s">
        <v>313</v>
      </c>
      <c r="F7" s="40" t="s">
        <v>314</v>
      </c>
      <c r="G7" s="40" t="s">
        <v>315</v>
      </c>
      <c r="H7" s="40" t="s">
        <v>316</v>
      </c>
      <c r="I7" s="40" t="s">
        <v>317</v>
      </c>
      <c r="J7" s="40" t="s">
        <v>318</v>
      </c>
      <c r="K7" s="40" t="s">
        <v>319</v>
      </c>
    </row>
    <row r="8" spans="1:12" ht="33" customHeight="1" x14ac:dyDescent="0.2">
      <c r="A8" s="41">
        <v>0.33333333333333331</v>
      </c>
      <c r="B8" s="71" t="str">
        <f t="shared" ref="B8:J8" si="1">IF(B48&amp;B73&amp;B98&amp;B123&lt;&gt;"","Teams unavailable ","")&amp;IF(AND(B148="",$F$3&lt;&gt;"&lt;no field&gt;")," L1 ","")&amp;IF(AND(B174="",$F$4&lt;&gt;"&lt;no field&gt;")," L2 ","")&amp;IF(AND(B200="",$J$3&lt;&gt;"&lt;no field&gt;")," L3","")&amp;IF(AND(B226="",$J$4&lt;&gt;"&lt;no field&gt;")," L4 ","")</f>
        <v xml:space="preserve"> L1  L2  L3 L4 </v>
      </c>
      <c r="C8" s="25" t="str">
        <f t="shared" si="1"/>
        <v xml:space="preserve"> L1  L2  L3 L4 </v>
      </c>
      <c r="D8" s="72" t="str">
        <f t="shared" si="1"/>
        <v xml:space="preserve"> L1  L2  L3 L4 </v>
      </c>
      <c r="E8" s="72" t="str">
        <f t="shared" si="1"/>
        <v xml:space="preserve"> L1  L2  L3 L4 </v>
      </c>
      <c r="F8" s="72" t="str">
        <f t="shared" si="1"/>
        <v xml:space="preserve"> L1  L2  L3 L4 </v>
      </c>
      <c r="G8" s="25" t="str">
        <f t="shared" si="1"/>
        <v xml:space="preserve"> L1  L2  L3 L4 </v>
      </c>
      <c r="H8" s="25" t="str">
        <f t="shared" si="1"/>
        <v xml:space="preserve"> L1  L2  L3 L4 </v>
      </c>
      <c r="I8" s="71" t="str">
        <f t="shared" si="1"/>
        <v xml:space="preserve"> L1  L2  L3 L4 </v>
      </c>
      <c r="J8" s="25" t="str">
        <f t="shared" si="1"/>
        <v xml:space="preserve"> L1  L2  L3 L4 </v>
      </c>
      <c r="K8" s="48"/>
    </row>
    <row r="9" spans="1:12" ht="33" customHeight="1" x14ac:dyDescent="0.2">
      <c r="A9" s="42">
        <f t="shared" ref="A9:A23" si="2">A8+$A$41</f>
        <v>0.36805555555555552</v>
      </c>
      <c r="B9" s="71" t="str">
        <f t="shared" ref="B9:J9" si="3">IF(B49&amp;B74&amp;B99&amp;B124&lt;&gt;"","Teams unavailable ","")&amp;IF(AND(B149="",$F$3&lt;&gt;"&lt;no field&gt;")," L1 ","")&amp;IF(AND(B175="",$F$4&lt;&gt;"&lt;no field&gt;")," L2 ","")&amp;IF(AND(B201="",$J$3&lt;&gt;"&lt;no field&gt;")," L3","")&amp;IF(AND(B227="",$J$4&lt;&gt;"&lt;no field&gt;")," L4 ","")</f>
        <v xml:space="preserve"> L1  L2  L3 L4 </v>
      </c>
      <c r="C9" s="25" t="str">
        <f t="shared" si="3"/>
        <v xml:space="preserve"> L1  L2  L3 L4 </v>
      </c>
      <c r="D9" s="72" t="str">
        <f t="shared" si="3"/>
        <v xml:space="preserve"> L1  L2  L3 L4 </v>
      </c>
      <c r="E9" s="72" t="str">
        <f t="shared" si="3"/>
        <v xml:space="preserve"> L1  L2  L3 L4 </v>
      </c>
      <c r="F9" s="72" t="str">
        <f t="shared" si="3"/>
        <v xml:space="preserve"> L1  L2  L3 L4 </v>
      </c>
      <c r="G9" s="25" t="str">
        <f t="shared" si="3"/>
        <v xml:space="preserve"> L1  L2  L3 L4 </v>
      </c>
      <c r="H9" s="25" t="str">
        <f t="shared" si="3"/>
        <v xml:space="preserve"> L1  L2  L3 L4 </v>
      </c>
      <c r="I9" s="71" t="str">
        <f t="shared" si="3"/>
        <v xml:space="preserve"> L1  L2  L3 L4 </v>
      </c>
      <c r="J9" s="25" t="str">
        <f t="shared" si="3"/>
        <v xml:space="preserve"> L1  L2  L3 L4 </v>
      </c>
      <c r="K9" s="48"/>
    </row>
    <row r="10" spans="1:12" ht="33" customHeight="1" x14ac:dyDescent="0.2">
      <c r="A10" s="42">
        <f t="shared" si="2"/>
        <v>0.40277777777777773</v>
      </c>
      <c r="B10" s="71" t="str">
        <f t="shared" ref="B10:J10" si="4">IF(B50&amp;B75&amp;B100&amp;B125&lt;&gt;"","Teams unavailable ","")&amp;IF(AND(B150="",$F$3&lt;&gt;"&lt;no field&gt;")," L1 ","")&amp;IF(AND(B176="",$F$4&lt;&gt;"&lt;no field&gt;")," L2 ","")&amp;IF(AND(B202="",$J$3&lt;&gt;"&lt;no field&gt;")," L3","")&amp;IF(AND(B228="",$J$4&lt;&gt;"&lt;no field&gt;")," L4 ","")</f>
        <v xml:space="preserve"> L1  L2  L3 L4 </v>
      </c>
      <c r="C10" s="25" t="str">
        <f t="shared" si="4"/>
        <v xml:space="preserve"> L1  L2  L3 L4 </v>
      </c>
      <c r="D10" s="72" t="str">
        <f t="shared" si="4"/>
        <v xml:space="preserve"> L1  L2  L3 L4 </v>
      </c>
      <c r="E10" s="72" t="str">
        <f t="shared" si="4"/>
        <v xml:space="preserve"> L1  L2  L3 L4 </v>
      </c>
      <c r="F10" s="72" t="str">
        <f t="shared" si="4"/>
        <v xml:space="preserve"> L1  L2  L3 L4 </v>
      </c>
      <c r="G10" s="25" t="str">
        <f t="shared" si="4"/>
        <v xml:space="preserve"> L1  L2  L3 L4 </v>
      </c>
      <c r="H10" s="25" t="str">
        <f t="shared" si="4"/>
        <v xml:space="preserve"> L1  L2  L3 L4 </v>
      </c>
      <c r="I10" s="71" t="str">
        <f t="shared" si="4"/>
        <v xml:space="preserve"> L1  L2  L3 L4 </v>
      </c>
      <c r="J10" s="25" t="str">
        <f t="shared" si="4"/>
        <v xml:space="preserve"> L1  L2  L3 L4 </v>
      </c>
      <c r="K10" s="48"/>
    </row>
    <row r="11" spans="1:12" ht="33" customHeight="1" x14ac:dyDescent="0.2">
      <c r="A11" s="42">
        <f t="shared" si="2"/>
        <v>0.43749999999999994</v>
      </c>
      <c r="B11" s="71" t="str">
        <f t="shared" ref="B11:J11" si="5">IF(B51&amp;B76&amp;B101&amp;B126&lt;&gt;"","Teams unavailable ","")&amp;IF(AND(B151="",$F$3&lt;&gt;"&lt;no field&gt;")," L1 ","")&amp;IF(AND(B177="",$F$4&lt;&gt;"&lt;no field&gt;")," L2 ","")&amp;IF(AND(B203="",$J$3&lt;&gt;"&lt;no field&gt;")," L3","")&amp;IF(AND(B229="",$J$4&lt;&gt;"&lt;no field&gt;")," L4 ","")</f>
        <v xml:space="preserve"> L1  L2  L3 L4 </v>
      </c>
      <c r="C11" s="25" t="str">
        <f t="shared" si="5"/>
        <v xml:space="preserve"> L1  L2  L3 L4 </v>
      </c>
      <c r="D11" s="72" t="str">
        <f t="shared" si="5"/>
        <v xml:space="preserve"> L1  L2  L3 L4 </v>
      </c>
      <c r="E11" s="72" t="str">
        <f t="shared" si="5"/>
        <v xml:space="preserve"> L1  L2  L3 L4 </v>
      </c>
      <c r="F11" s="72" t="str">
        <f t="shared" si="5"/>
        <v xml:space="preserve"> L1  L2  L3 L4 </v>
      </c>
      <c r="G11" s="25" t="str">
        <f t="shared" si="5"/>
        <v xml:space="preserve"> L1  L2  L3 L4 </v>
      </c>
      <c r="H11" s="25" t="str">
        <f t="shared" si="5"/>
        <v xml:space="preserve"> L1  L2  L3 L4 </v>
      </c>
      <c r="I11" s="71" t="str">
        <f t="shared" si="5"/>
        <v xml:space="preserve"> L1  L2  L3 L4 </v>
      </c>
      <c r="J11" s="25" t="str">
        <f t="shared" si="5"/>
        <v xml:space="preserve"> L1  L2  L3 L4 </v>
      </c>
      <c r="K11" s="48"/>
    </row>
    <row r="12" spans="1:12" ht="33" customHeight="1" x14ac:dyDescent="0.2">
      <c r="A12" s="42">
        <f t="shared" si="2"/>
        <v>0.47222222222222215</v>
      </c>
      <c r="B12" s="71" t="str">
        <f t="shared" ref="B12:J12" si="6">IF(B52&amp;B77&amp;B102&amp;B127&lt;&gt;"","Teams unavailable ","")&amp;IF(AND(B152="",$F$3&lt;&gt;"&lt;no field&gt;")," L1 ","")&amp;IF(AND(B178="",$F$4&lt;&gt;"&lt;no field&gt;")," L2 ","")&amp;IF(AND(B204="",$J$3&lt;&gt;"&lt;no field&gt;")," L3","")&amp;IF(AND(B230="",$J$4&lt;&gt;"&lt;no field&gt;")," L4 ","")</f>
        <v xml:space="preserve"> L1  L2  L3 L4 </v>
      </c>
      <c r="C12" s="25" t="str">
        <f t="shared" si="6"/>
        <v xml:space="preserve"> L1  L2  L3 L4 </v>
      </c>
      <c r="D12" s="72" t="str">
        <f t="shared" si="6"/>
        <v xml:space="preserve"> L1  L2  L3 L4 </v>
      </c>
      <c r="E12" s="72" t="str">
        <f t="shared" si="6"/>
        <v xml:space="preserve"> L1  L2  L3 L4 </v>
      </c>
      <c r="F12" s="72" t="str">
        <f t="shared" si="6"/>
        <v xml:space="preserve"> L1  L2  L3 L4 </v>
      </c>
      <c r="G12" s="25" t="str">
        <f t="shared" si="6"/>
        <v xml:space="preserve"> L1  L2  L3 L4 </v>
      </c>
      <c r="H12" s="25" t="str">
        <f t="shared" si="6"/>
        <v xml:space="preserve"> L1  L2  L3 L4 </v>
      </c>
      <c r="I12" s="71" t="str">
        <f t="shared" si="6"/>
        <v xml:space="preserve"> L1  L2  L3 L4 </v>
      </c>
      <c r="J12" s="25" t="str">
        <f t="shared" si="6"/>
        <v xml:space="preserve"> L1  L2  L3 L4 </v>
      </c>
      <c r="K12" s="48"/>
    </row>
    <row r="13" spans="1:12" ht="33" customHeight="1" x14ac:dyDescent="0.2">
      <c r="A13" s="42">
        <f t="shared" si="2"/>
        <v>0.50694444444444442</v>
      </c>
      <c r="B13" s="71" t="str">
        <f t="shared" ref="B13:J13" si="7">IF(B53&amp;B78&amp;B103&amp;B128&lt;&gt;"","Teams unavailable ","")&amp;IF(AND(B153="",$F$3&lt;&gt;"&lt;no field&gt;")," L1 ","")&amp;IF(AND(B179="",$F$4&lt;&gt;"&lt;no field&gt;")," L2 ","")&amp;IF(AND(B205="",$J$3&lt;&gt;"&lt;no field&gt;")," L3","")&amp;IF(AND(B231="",$J$4&lt;&gt;"&lt;no field&gt;")," L4 ","")</f>
        <v xml:space="preserve"> L1  L2  L3 L4 </v>
      </c>
      <c r="C13" s="25" t="str">
        <f t="shared" si="7"/>
        <v xml:space="preserve"> L1  L2  L3 L4 </v>
      </c>
      <c r="D13" s="72" t="str">
        <f t="shared" si="7"/>
        <v xml:space="preserve"> L1  L2  L3 L4 </v>
      </c>
      <c r="E13" s="72" t="str">
        <f t="shared" si="7"/>
        <v xml:space="preserve"> L1  L2  L3 L4 </v>
      </c>
      <c r="F13" s="72" t="str">
        <f t="shared" si="7"/>
        <v xml:space="preserve"> L1  L2  L3 L4 </v>
      </c>
      <c r="G13" s="25" t="str">
        <f t="shared" si="7"/>
        <v xml:space="preserve"> L1  L2  L3 L4 </v>
      </c>
      <c r="H13" s="25" t="str">
        <f t="shared" si="7"/>
        <v xml:space="preserve"> L1  L2  L3 L4 </v>
      </c>
      <c r="I13" s="71" t="str">
        <f t="shared" si="7"/>
        <v xml:space="preserve"> L1  L2  L3 L4 </v>
      </c>
      <c r="J13" s="25" t="str">
        <f t="shared" si="7"/>
        <v xml:space="preserve"> L1  L2  L3 L4 </v>
      </c>
      <c r="K13" s="48"/>
    </row>
    <row r="14" spans="1:12" ht="33" customHeight="1" x14ac:dyDescent="0.2">
      <c r="A14" s="42">
        <f t="shared" si="2"/>
        <v>0.54166666666666663</v>
      </c>
      <c r="B14" s="71" t="str">
        <f t="shared" ref="B14:J14" si="8">IF(B54&amp;B79&amp;B104&amp;B129&lt;&gt;"","Teams unavailable ","")&amp;IF(AND(B154="",$F$3&lt;&gt;"&lt;no field&gt;")," L1 ","")&amp;IF(AND(B180="",$F$4&lt;&gt;"&lt;no field&gt;")," L2 ","")&amp;IF(AND(B206="",$J$3&lt;&gt;"&lt;no field&gt;")," L3","")&amp;IF(AND(B232="",$J$4&lt;&gt;"&lt;no field&gt;")," L4 ","")</f>
        <v xml:space="preserve"> L1  L2  L3 L4 </v>
      </c>
      <c r="C14" s="25" t="str">
        <f t="shared" si="8"/>
        <v xml:space="preserve"> L1  L2  L3 L4 </v>
      </c>
      <c r="D14" s="72" t="str">
        <f t="shared" si="8"/>
        <v xml:space="preserve"> L1  L2  L3 L4 </v>
      </c>
      <c r="E14" s="72" t="str">
        <f t="shared" si="8"/>
        <v xml:space="preserve"> L1  L2  L3 L4 </v>
      </c>
      <c r="F14" s="72" t="str">
        <f t="shared" si="8"/>
        <v xml:space="preserve"> L1  L2  L3 L4 </v>
      </c>
      <c r="G14" s="25" t="str">
        <f t="shared" si="8"/>
        <v xml:space="preserve"> L1  L2  L3 L4 </v>
      </c>
      <c r="H14" s="25" t="str">
        <f t="shared" si="8"/>
        <v xml:space="preserve"> L1  L2  L3 L4 </v>
      </c>
      <c r="I14" s="71" t="str">
        <f t="shared" si="8"/>
        <v xml:space="preserve"> L1  L2  L3 L4 </v>
      </c>
      <c r="J14" s="25" t="str">
        <f t="shared" si="8"/>
        <v xml:space="preserve"> L1  L2  L3 L4 </v>
      </c>
      <c r="K14" s="48"/>
    </row>
    <row r="15" spans="1:12" ht="33" customHeight="1" x14ac:dyDescent="0.2">
      <c r="A15" s="42">
        <f t="shared" si="2"/>
        <v>0.57638888888888884</v>
      </c>
      <c r="B15" s="71" t="str">
        <f t="shared" ref="B15:J15" si="9">IF(B55&amp;B80&amp;B105&amp;B130&lt;&gt;"","Teams unavailable ","")&amp;IF(AND(B155="",$F$3&lt;&gt;"&lt;no field&gt;")," L1 ","")&amp;IF(AND(B181="",$F$4&lt;&gt;"&lt;no field&gt;")," L2 ","")&amp;IF(AND(B207="",$J$3&lt;&gt;"&lt;no field&gt;")," L3","")&amp;IF(AND(B233="",$J$4&lt;&gt;"&lt;no field&gt;")," L4 ","")</f>
        <v xml:space="preserve"> L1  L2  L3 L4 </v>
      </c>
      <c r="C15" s="25" t="str">
        <f t="shared" si="9"/>
        <v xml:space="preserve"> L1  L2  L3 L4 </v>
      </c>
      <c r="D15" s="72" t="str">
        <f t="shared" si="9"/>
        <v xml:space="preserve"> L1  L2  L3 L4 </v>
      </c>
      <c r="E15" s="72" t="str">
        <f t="shared" si="9"/>
        <v xml:space="preserve"> L1  L2  L3 L4 </v>
      </c>
      <c r="F15" s="72" t="str">
        <f t="shared" si="9"/>
        <v xml:space="preserve"> L1  L2  L3 L4 </v>
      </c>
      <c r="G15" s="25" t="str">
        <f t="shared" si="9"/>
        <v xml:space="preserve"> L1  L2  L3 L4 </v>
      </c>
      <c r="H15" s="25" t="str">
        <f t="shared" si="9"/>
        <v xml:space="preserve"> L1  L2  L3 L4 </v>
      </c>
      <c r="I15" s="71" t="str">
        <f t="shared" si="9"/>
        <v xml:space="preserve"> L1  L2  L3 L4 </v>
      </c>
      <c r="J15" s="25" t="str">
        <f t="shared" si="9"/>
        <v xml:space="preserve"> L1  L2  L3 L4 </v>
      </c>
      <c r="K15" s="48"/>
    </row>
    <row r="16" spans="1:12" ht="33" customHeight="1" x14ac:dyDescent="0.2">
      <c r="A16" s="42">
        <f t="shared" si="2"/>
        <v>0.61111111111111105</v>
      </c>
      <c r="B16" s="71" t="str">
        <f t="shared" ref="B16:J16" si="10">IF(B56&amp;B81&amp;B106&amp;B131&lt;&gt;"","Teams unavailable ","")&amp;IF(AND(B156="",$F$3&lt;&gt;"&lt;no field&gt;")," L1 ","")&amp;IF(AND(B182="",$F$4&lt;&gt;"&lt;no field&gt;")," L2 ","")&amp;IF(AND(B208="",$J$3&lt;&gt;"&lt;no field&gt;")," L3","")&amp;IF(AND(B234="",$J$4&lt;&gt;"&lt;no field&gt;")," L4 ","")</f>
        <v xml:space="preserve"> L1  L2  L3 L4 </v>
      </c>
      <c r="C16" s="25" t="str">
        <f t="shared" si="10"/>
        <v xml:space="preserve"> L1  L2  L3 L4 </v>
      </c>
      <c r="D16" s="72" t="str">
        <f t="shared" si="10"/>
        <v xml:space="preserve"> L1  L2  L3 L4 </v>
      </c>
      <c r="E16" s="72" t="str">
        <f t="shared" si="10"/>
        <v xml:space="preserve"> L1  L2  L3 L4 </v>
      </c>
      <c r="F16" s="72" t="str">
        <f t="shared" si="10"/>
        <v xml:space="preserve"> L1  L2  L3 L4 </v>
      </c>
      <c r="G16" s="25" t="str">
        <f t="shared" si="10"/>
        <v xml:space="preserve"> L1  L2  L3 L4 </v>
      </c>
      <c r="H16" s="25" t="str">
        <f t="shared" si="10"/>
        <v xml:space="preserve"> L1  L2  L3 L4 </v>
      </c>
      <c r="I16" s="71" t="str">
        <f t="shared" si="10"/>
        <v xml:space="preserve"> L1  L2  L3 L4 </v>
      </c>
      <c r="J16" s="25" t="str">
        <f t="shared" si="10"/>
        <v xml:space="preserve"> L1  L2  L3 L4 </v>
      </c>
      <c r="K16" s="48"/>
    </row>
    <row r="17" spans="1:11" ht="33" customHeight="1" x14ac:dyDescent="0.2">
      <c r="A17" s="42">
        <f t="shared" si="2"/>
        <v>0.64583333333333326</v>
      </c>
      <c r="B17" s="71" t="str">
        <f t="shared" ref="B17:J17" si="11">IF(B57&amp;B82&amp;B107&amp;B132&lt;&gt;"","Teams unavailable ","")&amp;IF(AND(B157="",$F$3&lt;&gt;"&lt;no field&gt;")," L1 ","")&amp;IF(AND(B183="",$F$4&lt;&gt;"&lt;no field&gt;")," L2 ","")&amp;IF(AND(B209="",$J$3&lt;&gt;"&lt;no field&gt;")," L3","")&amp;IF(AND(B235="",$J$4&lt;&gt;"&lt;no field&gt;")," L4 ","")</f>
        <v xml:space="preserve"> L1  L2  L3 L4 </v>
      </c>
      <c r="C17" s="25" t="str">
        <f t="shared" si="11"/>
        <v xml:space="preserve"> L1  L2  L3 L4 </v>
      </c>
      <c r="D17" s="72" t="str">
        <f t="shared" si="11"/>
        <v xml:space="preserve"> L1  L2  L3 L4 </v>
      </c>
      <c r="E17" s="72" t="str">
        <f t="shared" si="11"/>
        <v xml:space="preserve"> L1  L2  L3 L4 </v>
      </c>
      <c r="F17" s="72" t="str">
        <f t="shared" si="11"/>
        <v xml:space="preserve"> L1  L2  L3 L4 </v>
      </c>
      <c r="G17" s="25" t="str">
        <f t="shared" si="11"/>
        <v xml:space="preserve"> L1  L2  L3 L4 </v>
      </c>
      <c r="H17" s="25" t="str">
        <f t="shared" si="11"/>
        <v xml:space="preserve"> L1  L2  L3 L4 </v>
      </c>
      <c r="I17" s="71" t="str">
        <f t="shared" si="11"/>
        <v xml:space="preserve"> L1  L2  L3 L4 </v>
      </c>
      <c r="J17" s="25" t="str">
        <f t="shared" si="11"/>
        <v xml:space="preserve"> L1  L2  L3 L4 </v>
      </c>
      <c r="K17" s="48"/>
    </row>
    <row r="18" spans="1:11" ht="33" customHeight="1" x14ac:dyDescent="0.2">
      <c r="A18" s="42">
        <f t="shared" si="2"/>
        <v>0.68055555555555547</v>
      </c>
      <c r="B18" s="71" t="str">
        <f t="shared" ref="B18:J18" si="12">IF(B58&amp;B83&amp;B108&amp;B133&lt;&gt;"","Teams unavailable ","")&amp;IF(AND(B158="",$F$3&lt;&gt;"&lt;no field&gt;")," L1 ","")&amp;IF(AND(B184="",$F$4&lt;&gt;"&lt;no field&gt;")," L2 ","")&amp;IF(AND(B210="",$J$3&lt;&gt;"&lt;no field&gt;")," L3","")&amp;IF(AND(B236="",$J$4&lt;&gt;"&lt;no field&gt;")," L4 ","")</f>
        <v xml:space="preserve"> L1  L2  L3 L4 </v>
      </c>
      <c r="C18" s="25" t="str">
        <f t="shared" si="12"/>
        <v xml:space="preserve"> L1  L2  L3 L4 </v>
      </c>
      <c r="D18" s="72" t="str">
        <f t="shared" si="12"/>
        <v xml:space="preserve"> L1  L2  L3 L4 </v>
      </c>
      <c r="E18" s="72" t="str">
        <f t="shared" si="12"/>
        <v xml:space="preserve"> L1  L2  L3 L4 </v>
      </c>
      <c r="F18" s="72" t="str">
        <f t="shared" si="12"/>
        <v xml:space="preserve"> L1  L2  L3 L4 </v>
      </c>
      <c r="G18" s="25" t="str">
        <f t="shared" si="12"/>
        <v xml:space="preserve"> L1  L2  L3 L4 </v>
      </c>
      <c r="H18" s="71" t="str">
        <f t="shared" si="12"/>
        <v xml:space="preserve"> L1  L2  L3 L4 </v>
      </c>
      <c r="I18" s="71" t="str">
        <f t="shared" si="12"/>
        <v xml:space="preserve"> L1  L2  L3 L4 </v>
      </c>
      <c r="J18" s="25" t="str">
        <f t="shared" si="12"/>
        <v xml:space="preserve"> L1  L2  L3 L4 </v>
      </c>
      <c r="K18" s="48"/>
    </row>
    <row r="19" spans="1:11" ht="33" customHeight="1" x14ac:dyDescent="0.2">
      <c r="A19" s="42">
        <f t="shared" si="2"/>
        <v>0.71527777777777768</v>
      </c>
      <c r="B19" s="71" t="str">
        <f t="shared" ref="B19:J19" si="13">IF(B59&amp;B84&amp;B109&amp;B134&lt;&gt;"","Teams unavailable ","")&amp;IF(AND(B159="",$F$3&lt;&gt;"&lt;no field&gt;")," L1 ","")&amp;IF(AND(B185="",$F$4&lt;&gt;"&lt;no field&gt;")," L2 ","")&amp;IF(AND(B211="",$J$3&lt;&gt;"&lt;no field&gt;")," L3","")&amp;IF(AND(B237="",$J$4&lt;&gt;"&lt;no field&gt;")," L4 ","")</f>
        <v xml:space="preserve"> L1  L2  L3 L4 </v>
      </c>
      <c r="C19" s="25" t="str">
        <f t="shared" si="13"/>
        <v xml:space="preserve"> L1  L2  L3 L4 </v>
      </c>
      <c r="D19" s="72" t="str">
        <f t="shared" si="13"/>
        <v xml:space="preserve"> L1  L2  L3 L4 </v>
      </c>
      <c r="E19" s="72" t="str">
        <f t="shared" si="13"/>
        <v xml:space="preserve"> L1  L2  L3 L4 </v>
      </c>
      <c r="F19" s="72" t="str">
        <f t="shared" si="13"/>
        <v xml:space="preserve"> L1  L2  L3 L4 </v>
      </c>
      <c r="G19" s="71" t="str">
        <f t="shared" si="13"/>
        <v xml:space="preserve"> L1  L2  L3 L4 </v>
      </c>
      <c r="H19" s="71" t="str">
        <f t="shared" si="13"/>
        <v xml:space="preserve"> L1  L2  L3 L4 </v>
      </c>
      <c r="I19" s="71" t="str">
        <f t="shared" si="13"/>
        <v xml:space="preserve"> L1  L2  L3 L4 </v>
      </c>
      <c r="J19" s="25" t="str">
        <f t="shared" si="13"/>
        <v xml:space="preserve"> L1  L2  L3 L4 </v>
      </c>
      <c r="K19" s="48"/>
    </row>
    <row r="20" spans="1:11" ht="33" customHeight="1" x14ac:dyDescent="0.2">
      <c r="A20" s="42">
        <f t="shared" si="2"/>
        <v>0.74999999999999989</v>
      </c>
      <c r="B20" s="71" t="str">
        <f t="shared" ref="B20:J20" si="14">IF(B60&amp;B85&amp;B110&amp;B135&lt;&gt;"","Teams unavailable ","")&amp;IF(AND(B160="",$F$3&lt;&gt;"&lt;no field&gt;")," L1 ","")&amp;IF(AND(B186="",$F$4&lt;&gt;"&lt;no field&gt;")," L2 ","")&amp;IF(AND(B212="",$J$3&lt;&gt;"&lt;no field&gt;")," L3","")&amp;IF(AND(B238="",$J$4&lt;&gt;"&lt;no field&gt;")," L4 ","")</f>
        <v xml:space="preserve"> L1  L2  L3 L4 </v>
      </c>
      <c r="C20" s="25" t="str">
        <f t="shared" si="14"/>
        <v xml:space="preserve"> L1  L2  L3 L4 </v>
      </c>
      <c r="D20" s="25" t="str">
        <f t="shared" si="14"/>
        <v xml:space="preserve"> L1  L2  L3 L4 </v>
      </c>
      <c r="E20" s="25" t="str">
        <f t="shared" si="14"/>
        <v xml:space="preserve"> L1  L2  L3 L4 </v>
      </c>
      <c r="F20" s="25" t="str">
        <f t="shared" si="14"/>
        <v xml:space="preserve"> L1  L2  L3 L4 </v>
      </c>
      <c r="G20" s="71" t="str">
        <f t="shared" si="14"/>
        <v xml:space="preserve"> L1  L2  L3 L4 </v>
      </c>
      <c r="H20" s="71" t="str">
        <f t="shared" si="14"/>
        <v xml:space="preserve"> L1  L2  L3 L4 </v>
      </c>
      <c r="I20" s="71" t="str">
        <f t="shared" si="14"/>
        <v xml:space="preserve"> L1  L2  L3 L4 </v>
      </c>
      <c r="J20" s="25" t="str">
        <f t="shared" si="14"/>
        <v xml:space="preserve"> L1  L2  L3 L4 </v>
      </c>
      <c r="K20" s="48"/>
    </row>
    <row r="21" spans="1:11" ht="33" customHeight="1" x14ac:dyDescent="0.2">
      <c r="A21" s="42">
        <f t="shared" si="2"/>
        <v>0.7847222222222221</v>
      </c>
      <c r="B21" s="25" t="str">
        <f t="shared" ref="B21:J21" si="15">IF(B61&amp;B86&amp;B111&amp;B136&lt;&gt;"","Teams unavailable ","")&amp;IF(AND(B161="",$F$3&lt;&gt;"&lt;no field&gt;")," L1 ","")&amp;IF(AND(B187="",$F$4&lt;&gt;"&lt;no field&gt;")," L2 ","")&amp;IF(AND(B213="",$J$3&lt;&gt;"&lt;no field&gt;")," L3","")&amp;IF(AND(B239="",$J$4&lt;&gt;"&lt;no field&gt;")," L4 ","")</f>
        <v xml:space="preserve"> L1  L2  L3 L4 </v>
      </c>
      <c r="C21" s="25" t="str">
        <f t="shared" si="15"/>
        <v xml:space="preserve"> L1  L2  L3 L4 </v>
      </c>
      <c r="D21" s="25" t="str">
        <f t="shared" si="15"/>
        <v xml:space="preserve"> L1  L2  L3 L4 </v>
      </c>
      <c r="E21" s="25" t="str">
        <f t="shared" si="15"/>
        <v xml:space="preserve"> L1  L2  L3 L4 </v>
      </c>
      <c r="F21" s="25" t="str">
        <f t="shared" si="15"/>
        <v xml:space="preserve"> L1  L2  L3 L4 </v>
      </c>
      <c r="G21" s="71" t="str">
        <f t="shared" si="15"/>
        <v xml:space="preserve"> L1  L2  L3 L4 </v>
      </c>
      <c r="H21" s="71" t="str">
        <f t="shared" si="15"/>
        <v xml:space="preserve"> L1  L2  L3 L4 </v>
      </c>
      <c r="I21" s="25" t="str">
        <f t="shared" si="15"/>
        <v xml:space="preserve"> L1  L2  L3 L4 </v>
      </c>
      <c r="J21" s="25" t="str">
        <f t="shared" si="15"/>
        <v xml:space="preserve"> L1  L2  L3 L4 </v>
      </c>
      <c r="K21" s="48"/>
    </row>
    <row r="22" spans="1:11" ht="33" customHeight="1" x14ac:dyDescent="0.2">
      <c r="A22" s="42">
        <f t="shared" si="2"/>
        <v>0.81944444444444431</v>
      </c>
      <c r="B22" s="25" t="str">
        <f t="shared" ref="B22:J22" si="16">IF(B62&amp;B87&amp;B112&amp;B137&lt;&gt;"","Teams unavailable ","")&amp;IF(AND(B162="",$F$3&lt;&gt;"&lt;no field&gt;")," L1 ","")&amp;IF(AND(B188="",$F$4&lt;&gt;"&lt;no field&gt;")," L2 ","")&amp;IF(AND(B214="",$J$3&lt;&gt;"&lt;no field&gt;")," L3","")&amp;IF(AND(B240="",$J$4&lt;&gt;"&lt;no field&gt;")," L4 ","")</f>
        <v xml:space="preserve"> L1  L2  L3 L4 </v>
      </c>
      <c r="C22" s="25" t="str">
        <f t="shared" si="16"/>
        <v xml:space="preserve"> L1  L2  L3 L4 </v>
      </c>
      <c r="D22" s="25" t="str">
        <f t="shared" si="16"/>
        <v xml:space="preserve"> L1  L2  L3 L4 </v>
      </c>
      <c r="E22" s="25" t="str">
        <f t="shared" si="16"/>
        <v xml:space="preserve"> L1  L2  L3 L4 </v>
      </c>
      <c r="F22" s="25" t="str">
        <f t="shared" si="16"/>
        <v xml:space="preserve"> L1  L2  L3 L4 </v>
      </c>
      <c r="G22" s="71" t="str">
        <f t="shared" si="16"/>
        <v xml:space="preserve"> L1  L2  L3 L4 </v>
      </c>
      <c r="H22" s="71" t="str">
        <f t="shared" si="16"/>
        <v xml:space="preserve"> L1  L2  L3 L4 </v>
      </c>
      <c r="I22" s="25" t="str">
        <f t="shared" si="16"/>
        <v xml:space="preserve"> L1  L2  L3 L4 </v>
      </c>
      <c r="J22" s="25" t="str">
        <f t="shared" si="16"/>
        <v xml:space="preserve"> L1  L2  L3 L4 </v>
      </c>
      <c r="K22" s="48"/>
    </row>
    <row r="23" spans="1:11" ht="33" customHeight="1" x14ac:dyDescent="0.2">
      <c r="A23" s="42">
        <f t="shared" si="2"/>
        <v>0.85416666666666652</v>
      </c>
      <c r="B23" s="25" t="str">
        <f t="shared" ref="B23:J23" si="17">IF(B63&amp;B88&amp;B113&amp;B138&lt;&gt;"","Teams unavailable ","")&amp;IF(AND(B163="",$F$3&lt;&gt;"&lt;no field&gt;")," L1 ","")&amp;IF(AND(B189="",$F$4&lt;&gt;"&lt;no field&gt;")," L2 ","")&amp;IF(AND(B215="",$J$3&lt;&gt;"&lt;no field&gt;")," L3","")&amp;IF(AND(B241="",$J$4&lt;&gt;"&lt;no field&gt;")," L4 ","")</f>
        <v xml:space="preserve"> L1  L2  L3 L4 </v>
      </c>
      <c r="C23" s="25" t="str">
        <f t="shared" si="17"/>
        <v xml:space="preserve"> L1  L2  L3 L4 </v>
      </c>
      <c r="D23" s="25" t="str">
        <f t="shared" si="17"/>
        <v xml:space="preserve"> L1  L2  L3 L4 </v>
      </c>
      <c r="E23" s="25" t="str">
        <f t="shared" si="17"/>
        <v xml:space="preserve"> L1  L2  L3 L4 </v>
      </c>
      <c r="F23" s="25" t="str">
        <f t="shared" si="17"/>
        <v xml:space="preserve"> L1  L2  L3 L4 </v>
      </c>
      <c r="G23" s="71" t="str">
        <f t="shared" si="17"/>
        <v xml:space="preserve"> L1  L2  L3 L4 </v>
      </c>
      <c r="H23" s="71" t="str">
        <f t="shared" si="17"/>
        <v xml:space="preserve"> L1  L2  L3 L4 </v>
      </c>
      <c r="I23" s="25" t="str">
        <f t="shared" si="17"/>
        <v xml:space="preserve"> L1  L2  L3 L4 </v>
      </c>
      <c r="J23" s="25" t="str">
        <f t="shared" si="17"/>
        <v xml:space="preserve"> L1  L2  L3 L4 </v>
      </c>
      <c r="K23" s="48"/>
    </row>
    <row r="24" spans="1:11" ht="33" customHeight="1" x14ac:dyDescent="0.2">
      <c r="A24" s="42">
        <f>A23+$A$41</f>
        <v>0.88888888888888873</v>
      </c>
      <c r="B24" s="25" t="str">
        <f t="shared" ref="B24:J24" si="18">IF(B64&amp;B89&amp;B114&amp;B139&lt;&gt;"","Teams unavailable ","")&amp;IF(AND(B164="",$F$3&lt;&gt;"&lt;no field&gt;")," L1 ","")&amp;IF(AND(B190="",$F$4&lt;&gt;"&lt;no field&gt;")," L2 ","")&amp;IF(AND(B216="",$J$3&lt;&gt;"&lt;no field&gt;")," L3","")&amp;IF(AND(B242="",$J$4&lt;&gt;"&lt;no field&gt;")," L4 ","")</f>
        <v xml:space="preserve"> L1  L2  L3 L4 </v>
      </c>
      <c r="C24" s="25" t="str">
        <f t="shared" si="18"/>
        <v xml:space="preserve"> L1  L2  L3 L4 </v>
      </c>
      <c r="D24" s="25" t="str">
        <f t="shared" si="18"/>
        <v xml:space="preserve"> L1  L2  L3 L4 </v>
      </c>
      <c r="E24" s="25" t="str">
        <f t="shared" si="18"/>
        <v xml:space="preserve"> L1  L2  L3 L4 </v>
      </c>
      <c r="F24" s="25" t="str">
        <f t="shared" si="18"/>
        <v xml:space="preserve"> L1  L2  L3 L4 </v>
      </c>
      <c r="G24" s="71" t="str">
        <f t="shared" si="18"/>
        <v xml:space="preserve"> L1  L2  L3 L4 </v>
      </c>
      <c r="H24" s="71" t="str">
        <f t="shared" si="18"/>
        <v xml:space="preserve"> L1  L2  L3 L4 </v>
      </c>
      <c r="I24" s="25" t="str">
        <f t="shared" si="18"/>
        <v xml:space="preserve"> L1  L2  L3 L4 </v>
      </c>
      <c r="J24" s="25" t="str">
        <f t="shared" si="18"/>
        <v xml:space="preserve"> L1  L2  L3 L4 </v>
      </c>
      <c r="K24" s="48"/>
    </row>
    <row r="25" spans="1:11" ht="33" customHeight="1" x14ac:dyDescent="0.2">
      <c r="A25" s="42">
        <f>A24+$A$41</f>
        <v>0.92361111111111094</v>
      </c>
      <c r="B25" s="25" t="str">
        <f t="shared" ref="B25:J25" si="19">IF(B65&amp;B90&amp;B115&amp;B140&lt;&gt;"","Teams unavailable ","")&amp;IF(AND(B165="",$F$3&lt;&gt;"&lt;no field&gt;")," L1 ","")&amp;IF(AND(B191="",$F$4&lt;&gt;"&lt;no field&gt;")," L2 ","")&amp;IF(AND(B217="",$J$3&lt;&gt;"&lt;no field&gt;")," L3","")&amp;IF(AND(B243="",$J$4&lt;&gt;"&lt;no field&gt;")," L4 ","")</f>
        <v xml:space="preserve"> L1  L2  L3 L4 </v>
      </c>
      <c r="C25" s="25" t="str">
        <f t="shared" si="19"/>
        <v xml:space="preserve"> L1  L2  L3 L4 </v>
      </c>
      <c r="D25" s="25" t="str">
        <f t="shared" si="19"/>
        <v xml:space="preserve"> L1  L2  L3 L4 </v>
      </c>
      <c r="E25" s="25" t="str">
        <f t="shared" si="19"/>
        <v xml:space="preserve"> L1  L2  L3 L4 </v>
      </c>
      <c r="F25" s="25" t="str">
        <f t="shared" si="19"/>
        <v xml:space="preserve"> L1  L2  L3 L4 </v>
      </c>
      <c r="G25" s="71" t="str">
        <f t="shared" si="19"/>
        <v xml:space="preserve"> L1  L2  L3 L4 </v>
      </c>
      <c r="H25" s="71" t="str">
        <f t="shared" si="19"/>
        <v xml:space="preserve"> L1  L2  L3 L4 </v>
      </c>
      <c r="I25" s="25" t="str">
        <f t="shared" si="19"/>
        <v xml:space="preserve"> L1  L2  L3 L4 </v>
      </c>
      <c r="J25" s="25" t="str">
        <f t="shared" si="19"/>
        <v xml:space="preserve"> L1  L2  L3 L4 </v>
      </c>
      <c r="K25" s="48"/>
    </row>
    <row r="26" spans="1:11" ht="33" customHeight="1" x14ac:dyDescent="0.2">
      <c r="A26" s="42">
        <f>A25+$A$41</f>
        <v>0.95833333333333315</v>
      </c>
      <c r="B26" s="25" t="str">
        <f t="shared" ref="B26:J26" si="20">IF(B66&amp;B91&amp;B116&amp;B141&lt;&gt;"","Teams unavailable ","")&amp;IF(AND(B166="",$F$3&lt;&gt;"&lt;no field&gt;")," L1 ","")&amp;IF(AND(B192="",$F$4&lt;&gt;"&lt;no field&gt;")," L2 ","")&amp;IF(AND(B218="",$J$3&lt;&gt;"&lt;no field&gt;")," L3","")&amp;IF(AND(B244="",$J$4&lt;&gt;"&lt;no field&gt;")," L4 ","")</f>
        <v xml:space="preserve"> L1  L2  L3 L4 </v>
      </c>
      <c r="C26" s="25" t="str">
        <f t="shared" si="20"/>
        <v xml:space="preserve"> L1  L2  L3 L4 </v>
      </c>
      <c r="D26" s="25" t="str">
        <f t="shared" si="20"/>
        <v xml:space="preserve"> L1  L2  L3 L4 </v>
      </c>
      <c r="E26" s="25" t="str">
        <f t="shared" si="20"/>
        <v xml:space="preserve"> L1  L2  L3 L4 </v>
      </c>
      <c r="F26" s="25" t="str">
        <f t="shared" si="20"/>
        <v xml:space="preserve"> L1  L2  L3 L4 </v>
      </c>
      <c r="G26" s="71" t="str">
        <f t="shared" si="20"/>
        <v xml:space="preserve"> L1  L2  L3 L4 </v>
      </c>
      <c r="H26" s="71" t="str">
        <f t="shared" si="20"/>
        <v xml:space="preserve"> L1  L2  L3 L4 </v>
      </c>
      <c r="I26" s="25" t="str">
        <f t="shared" si="20"/>
        <v xml:space="preserve"> L1  L2  L3 L4 </v>
      </c>
      <c r="J26" s="25" t="str">
        <f t="shared" si="20"/>
        <v xml:space="preserve"> L1  L2  L3 L4 </v>
      </c>
      <c r="K26" s="48"/>
    </row>
    <row r="27" spans="1:11" ht="33" customHeight="1" thickBot="1" x14ac:dyDescent="0.25">
      <c r="A27" s="22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30" t="s">
        <v>320</v>
      </c>
      <c r="B28" s="31"/>
      <c r="C28" s="31"/>
      <c r="D28" s="31"/>
      <c r="E28" s="31"/>
      <c r="F28" s="31"/>
      <c r="G28" s="31"/>
      <c r="H28" s="31"/>
      <c r="I28" s="31"/>
      <c r="J28" s="31"/>
      <c r="K28" s="32"/>
    </row>
    <row r="29" spans="1:11" x14ac:dyDescent="0.2">
      <c r="A29" s="9" t="s">
        <v>321</v>
      </c>
      <c r="B29" s="35">
        <f t="shared" ref="B29:K29" si="21">COUNTIF(B8:B23,"&gt;""")</f>
        <v>0</v>
      </c>
      <c r="C29" s="35">
        <f t="shared" si="21"/>
        <v>0</v>
      </c>
      <c r="D29" s="35">
        <f t="shared" si="21"/>
        <v>0</v>
      </c>
      <c r="E29" s="35">
        <f t="shared" si="21"/>
        <v>0</v>
      </c>
      <c r="F29" s="35">
        <f t="shared" si="21"/>
        <v>0</v>
      </c>
      <c r="G29" s="35">
        <f t="shared" si="21"/>
        <v>0</v>
      </c>
      <c r="H29" s="35">
        <f t="shared" si="21"/>
        <v>0</v>
      </c>
      <c r="I29" s="35">
        <f t="shared" si="21"/>
        <v>0</v>
      </c>
      <c r="J29" s="35">
        <f t="shared" si="21"/>
        <v>0</v>
      </c>
      <c r="K29" s="36">
        <f t="shared" si="21"/>
        <v>0</v>
      </c>
    </row>
    <row r="30" spans="1:11" x14ac:dyDescent="0.2">
      <c r="A30" s="9" t="s">
        <v>322</v>
      </c>
      <c r="B30" s="35">
        <f t="shared" ref="B30:K30" si="22">First_game(B8:B23)</f>
        <v>1</v>
      </c>
      <c r="C30" s="35">
        <f t="shared" si="22"/>
        <v>1</v>
      </c>
      <c r="D30" s="35">
        <f t="shared" si="22"/>
        <v>1</v>
      </c>
      <c r="E30" s="35">
        <f t="shared" si="22"/>
        <v>1</v>
      </c>
      <c r="F30" s="35">
        <f t="shared" si="22"/>
        <v>1</v>
      </c>
      <c r="G30" s="35">
        <f t="shared" si="22"/>
        <v>1</v>
      </c>
      <c r="H30" s="35">
        <f t="shared" si="22"/>
        <v>1</v>
      </c>
      <c r="I30" s="35">
        <f t="shared" si="22"/>
        <v>1</v>
      </c>
      <c r="J30" s="35">
        <f t="shared" si="22"/>
        <v>1</v>
      </c>
      <c r="K30" s="36">
        <f t="shared" si="22"/>
        <v>0</v>
      </c>
    </row>
    <row r="31" spans="1:11" x14ac:dyDescent="0.2">
      <c r="A31" s="9" t="s">
        <v>323</v>
      </c>
      <c r="B31" s="35">
        <f t="shared" ref="B31:K31" si="23">last_game(B8:B23)</f>
        <v>16</v>
      </c>
      <c r="C31" s="35">
        <f t="shared" si="23"/>
        <v>16</v>
      </c>
      <c r="D31" s="35">
        <f t="shared" si="23"/>
        <v>16</v>
      </c>
      <c r="E31" s="35">
        <f t="shared" si="23"/>
        <v>16</v>
      </c>
      <c r="F31" s="35">
        <f t="shared" si="23"/>
        <v>16</v>
      </c>
      <c r="G31" s="35">
        <f t="shared" si="23"/>
        <v>16</v>
      </c>
      <c r="H31" s="35">
        <f t="shared" si="23"/>
        <v>16</v>
      </c>
      <c r="I31" s="35">
        <f t="shared" si="23"/>
        <v>16</v>
      </c>
      <c r="J31" s="35">
        <f t="shared" si="23"/>
        <v>16</v>
      </c>
      <c r="K31" s="36">
        <f t="shared" si="23"/>
        <v>0</v>
      </c>
    </row>
    <row r="32" spans="1:11" ht="16" thickBot="1" x14ac:dyDescent="0.25">
      <c r="A32" s="10" t="s">
        <v>325</v>
      </c>
      <c r="B32" s="33">
        <f>IF(B29-1&lt;&gt;0,rest_between_games(B8:B23)/(B29-1),0)</f>
        <v>0</v>
      </c>
      <c r="C32" s="33">
        <f>IF(C29-1&lt;&gt;0,rest_between_games(C8:C23)/(C29-1),0)</f>
        <v>0</v>
      </c>
      <c r="D32" s="33">
        <f>IF(D29-1&lt;&gt;0,rest_between_games(D8:D23)/(D29-1),0)</f>
        <v>0</v>
      </c>
      <c r="E32" s="33">
        <f>IF(E29-1&lt;&gt;0,rest_between_games(E8:E23)/(E29-1),0)</f>
        <v>0</v>
      </c>
      <c r="F32" s="33">
        <f>IF(F29-1&lt;&gt;0,rest_between_games(F8:F23)/(F29-1),0)</f>
        <v>0</v>
      </c>
      <c r="G32" s="33">
        <f>IF(G29-1&lt;&gt;0,rest_between_games(G8:G23)/(G29-1),0)</f>
        <v>0</v>
      </c>
      <c r="H32" s="33">
        <f>IF(H29-1&lt;&gt;0,rest_between_games(H8:H23)/(H29-1),0)</f>
        <v>0</v>
      </c>
      <c r="I32" s="33">
        <f>IF(I29-1&lt;&gt;0,rest_between_games(I8:I23)/(I29-1),0)</f>
        <v>0</v>
      </c>
      <c r="J32" s="33">
        <f>IF(J29-1&lt;&gt;0,rest_between_games(J8:J23)/(J29-1),0)</f>
        <v>0</v>
      </c>
      <c r="K32" s="34">
        <f>IF(K29-1&lt;&gt;0,rest_between_games(K8:K23)/(K29-1),0)</f>
        <v>0</v>
      </c>
    </row>
    <row r="33" spans="1:11" ht="16" thickBot="1" x14ac:dyDescent="0.25"/>
    <row r="34" spans="1:11" x14ac:dyDescent="0.2">
      <c r="A34" s="30" t="s">
        <v>326</v>
      </c>
      <c r="B34" s="31"/>
      <c r="C34" s="31"/>
      <c r="D34" s="31"/>
      <c r="E34" s="31"/>
      <c r="F34" s="32"/>
    </row>
    <row r="35" spans="1:11" x14ac:dyDescent="0.2">
      <c r="A35" s="13" t="s">
        <v>327</v>
      </c>
      <c r="B35" s="18">
        <f>COUNTIF($B$8:$K$23,"&gt;''")</f>
        <v>0</v>
      </c>
      <c r="C35" s="6" t="s">
        <v>328</v>
      </c>
      <c r="D35" s="21">
        <f>min_exept_zeros(C29:K29)</f>
        <v>0</v>
      </c>
      <c r="E35" s="6" t="s">
        <v>329</v>
      </c>
      <c r="F35" s="27">
        <f>IF(SUM(B32:K32)=0,0,AVERAGEIF(B32:K32,"&gt;0"))</f>
        <v>0</v>
      </c>
    </row>
    <row r="36" spans="1:11" x14ac:dyDescent="0.2">
      <c r="A36" s="14" t="s">
        <v>330</v>
      </c>
      <c r="B36" s="18">
        <f>COUNTIF($B$8:$K$23,"CONFLICT")</f>
        <v>0</v>
      </c>
      <c r="C36" s="7" t="s">
        <v>331</v>
      </c>
      <c r="D36" s="20" t="e">
        <f>AVERAGEIF(B29:K29,"&gt;0")</f>
        <v>#DIV/0!</v>
      </c>
      <c r="E36" s="7" t="s">
        <v>332</v>
      </c>
      <c r="F36" s="28" t="s">
        <v>333</v>
      </c>
    </row>
    <row r="37" spans="1:11" ht="16" thickBot="1" x14ac:dyDescent="0.25">
      <c r="A37" s="10" t="s">
        <v>334</v>
      </c>
      <c r="B37" s="19">
        <f>COUNTIF(B29:K29,"&gt;0")</f>
        <v>0</v>
      </c>
      <c r="C37" s="11" t="s">
        <v>335</v>
      </c>
      <c r="D37" s="19">
        <f>MAX(B29:K29)</f>
        <v>0</v>
      </c>
      <c r="E37" s="11"/>
      <c r="F37" s="29"/>
    </row>
    <row r="39" spans="1:11" ht="16" thickBot="1" x14ac:dyDescent="0.25">
      <c r="A39" s="24" t="s">
        <v>336</v>
      </c>
      <c r="B39" s="24"/>
      <c r="C39" s="24"/>
      <c r="D39" s="24"/>
      <c r="E39" s="24"/>
      <c r="F39" s="24"/>
      <c r="G39" s="24"/>
      <c r="H39" s="24"/>
      <c r="I39" s="24"/>
      <c r="J39" s="24"/>
      <c r="K39" s="24"/>
    </row>
    <row r="40" spans="1:11" x14ac:dyDescent="0.2">
      <c r="A40" s="15" t="s">
        <v>337</v>
      </c>
    </row>
    <row r="41" spans="1:11" ht="16" thickBot="1" x14ac:dyDescent="0.25">
      <c r="A41" s="16">
        <v>3.4722222222222224E-2</v>
      </c>
    </row>
    <row r="43" spans="1:11" x14ac:dyDescent="0.2">
      <c r="A43" t="s">
        <v>395</v>
      </c>
    </row>
    <row r="44" spans="1:11" x14ac:dyDescent="0.2">
      <c r="A44" s="3"/>
      <c r="B44" s="3" t="s">
        <v>338</v>
      </c>
      <c r="C44" s="3" t="str">
        <f>B3</f>
        <v>&lt;no team&gt;</v>
      </c>
      <c r="D44" s="3"/>
      <c r="E44" s="3"/>
      <c r="F44" s="3"/>
      <c r="G44" s="3"/>
      <c r="H44" s="3"/>
      <c r="I44" s="3"/>
      <c r="J44" s="3"/>
      <c r="K44" s="3"/>
    </row>
    <row r="45" spans="1:11" x14ac:dyDescent="0.2">
      <c r="A45" s="3"/>
      <c r="B45" s="49">
        <f>B$6</f>
        <v>43057</v>
      </c>
      <c r="C45" s="49">
        <f t="shared" ref="C45:K45" si="24">C$6</f>
        <v>43058</v>
      </c>
      <c r="D45" s="49">
        <f t="shared" si="24"/>
        <v>43059</v>
      </c>
      <c r="E45" s="49">
        <f t="shared" si="24"/>
        <v>43060</v>
      </c>
      <c r="F45" s="49">
        <f t="shared" si="24"/>
        <v>43061</v>
      </c>
      <c r="G45" s="49">
        <f t="shared" si="24"/>
        <v>43062</v>
      </c>
      <c r="H45" s="49">
        <f t="shared" si="24"/>
        <v>43063</v>
      </c>
      <c r="I45" s="49">
        <f t="shared" si="24"/>
        <v>43064</v>
      </c>
      <c r="J45" s="49">
        <f t="shared" si="24"/>
        <v>43065</v>
      </c>
      <c r="K45" s="49">
        <f t="shared" si="24"/>
        <v>43066</v>
      </c>
    </row>
    <row r="46" spans="1:11" x14ac:dyDescent="0.2">
      <c r="A46" s="3"/>
      <c r="B46" s="49" t="str">
        <f>B$7</f>
        <v>Day 1 - Saturday</v>
      </c>
      <c r="C46" s="49" t="str">
        <f t="shared" ref="C46:K46" si="25">C$7</f>
        <v>Day 2 - Sunday</v>
      </c>
      <c r="D46" s="49" t="str">
        <f t="shared" si="25"/>
        <v>Day 3 - Monday</v>
      </c>
      <c r="E46" s="49" t="str">
        <f t="shared" si="25"/>
        <v>Day 4 - Tuesday</v>
      </c>
      <c r="F46" s="49" t="str">
        <f t="shared" si="25"/>
        <v>Day 5 - Wednesdy</v>
      </c>
      <c r="G46" s="49" t="str">
        <f t="shared" si="25"/>
        <v>Day 6 - Thursday</v>
      </c>
      <c r="H46" s="49" t="str">
        <f t="shared" si="25"/>
        <v>Day 7 - Friday</v>
      </c>
      <c r="I46" s="49" t="str">
        <f t="shared" si="25"/>
        <v>Day 8 - Saturday</v>
      </c>
      <c r="J46" s="49" t="str">
        <f t="shared" si="25"/>
        <v>Day 9 - Sunday</v>
      </c>
      <c r="K46" s="49" t="str">
        <f t="shared" si="25"/>
        <v>Day 9 - Monday</v>
      </c>
    </row>
    <row r="47" spans="1:1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</row>
    <row r="48" spans="1:11" x14ac:dyDescent="0.2">
      <c r="A48" s="5">
        <f t="shared" ref="A48:A62" si="26">A8</f>
        <v>0.33333333333333331</v>
      </c>
      <c r="B48" s="3" t="str">
        <f t="shared" ref="B48:K63" si="27">IFERROR(VLOOKUP(TEXT(B$6+$A48,"MM/DD/YYYY HH:MM")&amp;"-&gt;"&amp;$B$3,check_time_team_field,4,FALSE),"")</f>
        <v/>
      </c>
      <c r="C48" s="3" t="str">
        <f t="shared" si="27"/>
        <v/>
      </c>
      <c r="D48" s="3" t="str">
        <f t="shared" si="27"/>
        <v/>
      </c>
      <c r="E48" s="3" t="str">
        <f t="shared" si="27"/>
        <v/>
      </c>
      <c r="F48" s="3" t="str">
        <f t="shared" si="27"/>
        <v/>
      </c>
      <c r="G48" s="3" t="str">
        <f t="shared" si="27"/>
        <v/>
      </c>
      <c r="H48" s="3" t="str">
        <f t="shared" si="27"/>
        <v/>
      </c>
      <c r="I48" s="3" t="str">
        <f t="shared" si="27"/>
        <v/>
      </c>
      <c r="J48" s="3" t="str">
        <f t="shared" si="27"/>
        <v/>
      </c>
      <c r="K48" s="3" t="str">
        <f t="shared" si="27"/>
        <v/>
      </c>
    </row>
    <row r="49" spans="1:11" x14ac:dyDescent="0.2">
      <c r="A49" s="5">
        <f t="shared" si="26"/>
        <v>0.36805555555555552</v>
      </c>
      <c r="B49" s="3" t="str">
        <f t="shared" si="27"/>
        <v/>
      </c>
      <c r="C49" s="3" t="str">
        <f t="shared" si="27"/>
        <v/>
      </c>
      <c r="D49" s="3" t="str">
        <f t="shared" si="27"/>
        <v/>
      </c>
      <c r="E49" s="3" t="str">
        <f t="shared" si="27"/>
        <v/>
      </c>
      <c r="F49" s="3" t="str">
        <f t="shared" si="27"/>
        <v/>
      </c>
      <c r="G49" s="3" t="str">
        <f t="shared" si="27"/>
        <v/>
      </c>
      <c r="H49" s="3" t="str">
        <f t="shared" si="27"/>
        <v/>
      </c>
      <c r="I49" s="3" t="str">
        <f t="shared" si="27"/>
        <v/>
      </c>
      <c r="J49" s="3" t="str">
        <f t="shared" si="27"/>
        <v/>
      </c>
      <c r="K49" s="3" t="str">
        <f t="shared" si="27"/>
        <v/>
      </c>
    </row>
    <row r="50" spans="1:11" x14ac:dyDescent="0.2">
      <c r="A50" s="5">
        <f t="shared" si="26"/>
        <v>0.40277777777777773</v>
      </c>
      <c r="B50" s="3" t="str">
        <f t="shared" si="27"/>
        <v/>
      </c>
      <c r="C50" s="3" t="str">
        <f t="shared" si="27"/>
        <v/>
      </c>
      <c r="D50" s="3" t="str">
        <f t="shared" si="27"/>
        <v/>
      </c>
      <c r="E50" s="3" t="str">
        <f t="shared" si="27"/>
        <v/>
      </c>
      <c r="F50" s="3" t="str">
        <f t="shared" si="27"/>
        <v/>
      </c>
      <c r="G50" s="3" t="str">
        <f t="shared" si="27"/>
        <v/>
      </c>
      <c r="H50" s="3" t="str">
        <f t="shared" si="27"/>
        <v/>
      </c>
      <c r="I50" s="3" t="str">
        <f t="shared" si="27"/>
        <v/>
      </c>
      <c r="J50" s="3" t="str">
        <f t="shared" si="27"/>
        <v/>
      </c>
      <c r="K50" s="3" t="str">
        <f t="shared" si="27"/>
        <v/>
      </c>
    </row>
    <row r="51" spans="1:11" x14ac:dyDescent="0.2">
      <c r="A51" s="5">
        <f t="shared" si="26"/>
        <v>0.43749999999999994</v>
      </c>
      <c r="B51" s="3" t="str">
        <f t="shared" si="27"/>
        <v/>
      </c>
      <c r="C51" s="3" t="str">
        <f t="shared" si="27"/>
        <v/>
      </c>
      <c r="D51" s="3" t="str">
        <f t="shared" si="27"/>
        <v/>
      </c>
      <c r="E51" s="3" t="str">
        <f t="shared" si="27"/>
        <v/>
      </c>
      <c r="F51" s="3" t="str">
        <f t="shared" si="27"/>
        <v/>
      </c>
      <c r="G51" s="3" t="str">
        <f t="shared" si="27"/>
        <v/>
      </c>
      <c r="H51" s="3" t="str">
        <f t="shared" si="27"/>
        <v/>
      </c>
      <c r="I51" s="3" t="str">
        <f t="shared" si="27"/>
        <v/>
      </c>
      <c r="J51" s="3" t="str">
        <f t="shared" si="27"/>
        <v/>
      </c>
      <c r="K51" s="3" t="str">
        <f t="shared" si="27"/>
        <v/>
      </c>
    </row>
    <row r="52" spans="1:11" x14ac:dyDescent="0.2">
      <c r="A52" s="5">
        <f t="shared" si="26"/>
        <v>0.47222222222222215</v>
      </c>
      <c r="B52" s="3" t="str">
        <f t="shared" si="27"/>
        <v/>
      </c>
      <c r="C52" s="3" t="str">
        <f t="shared" si="27"/>
        <v/>
      </c>
      <c r="D52" s="3" t="str">
        <f t="shared" si="27"/>
        <v/>
      </c>
      <c r="E52" s="3" t="str">
        <f t="shared" si="27"/>
        <v/>
      </c>
      <c r="F52" s="3" t="str">
        <f t="shared" si="27"/>
        <v/>
      </c>
      <c r="G52" s="3" t="str">
        <f t="shared" si="27"/>
        <v/>
      </c>
      <c r="H52" s="3" t="str">
        <f t="shared" si="27"/>
        <v/>
      </c>
      <c r="I52" s="3" t="str">
        <f t="shared" si="27"/>
        <v/>
      </c>
      <c r="J52" s="3" t="str">
        <f t="shared" si="27"/>
        <v/>
      </c>
      <c r="K52" s="3" t="str">
        <f t="shared" si="27"/>
        <v/>
      </c>
    </row>
    <row r="53" spans="1:11" x14ac:dyDescent="0.2">
      <c r="A53" s="5">
        <f t="shared" si="26"/>
        <v>0.50694444444444442</v>
      </c>
      <c r="B53" s="3" t="str">
        <f t="shared" si="27"/>
        <v/>
      </c>
      <c r="C53" s="3" t="str">
        <f t="shared" si="27"/>
        <v/>
      </c>
      <c r="D53" s="3" t="str">
        <f t="shared" si="27"/>
        <v/>
      </c>
      <c r="E53" s="3" t="str">
        <f t="shared" si="27"/>
        <v/>
      </c>
      <c r="F53" s="3" t="str">
        <f t="shared" si="27"/>
        <v/>
      </c>
      <c r="G53" s="3" t="str">
        <f t="shared" si="27"/>
        <v/>
      </c>
      <c r="H53" s="3" t="str">
        <f t="shared" si="27"/>
        <v/>
      </c>
      <c r="I53" s="3" t="str">
        <f t="shared" si="27"/>
        <v/>
      </c>
      <c r="J53" s="3" t="str">
        <f t="shared" si="27"/>
        <v/>
      </c>
      <c r="K53" s="3" t="str">
        <f t="shared" si="27"/>
        <v/>
      </c>
    </row>
    <row r="54" spans="1:11" x14ac:dyDescent="0.2">
      <c r="A54" s="5">
        <f t="shared" si="26"/>
        <v>0.54166666666666663</v>
      </c>
      <c r="B54" s="3" t="str">
        <f t="shared" si="27"/>
        <v/>
      </c>
      <c r="C54" s="3" t="str">
        <f t="shared" si="27"/>
        <v/>
      </c>
      <c r="D54" s="3" t="str">
        <f t="shared" si="27"/>
        <v/>
      </c>
      <c r="E54" s="3" t="str">
        <f t="shared" si="27"/>
        <v/>
      </c>
      <c r="F54" s="3" t="str">
        <f t="shared" si="27"/>
        <v/>
      </c>
      <c r="G54" s="3" t="str">
        <f t="shared" si="27"/>
        <v/>
      </c>
      <c r="H54" s="3" t="str">
        <f t="shared" si="27"/>
        <v/>
      </c>
      <c r="I54" s="3" t="str">
        <f t="shared" si="27"/>
        <v/>
      </c>
      <c r="J54" s="3" t="str">
        <f t="shared" si="27"/>
        <v/>
      </c>
      <c r="K54" s="3" t="str">
        <f t="shared" si="27"/>
        <v/>
      </c>
    </row>
    <row r="55" spans="1:11" x14ac:dyDescent="0.2">
      <c r="A55" s="5">
        <f t="shared" si="26"/>
        <v>0.57638888888888884</v>
      </c>
      <c r="B55" s="3" t="str">
        <f t="shared" si="27"/>
        <v/>
      </c>
      <c r="C55" s="3" t="str">
        <f t="shared" si="27"/>
        <v/>
      </c>
      <c r="D55" s="3" t="str">
        <f t="shared" si="27"/>
        <v/>
      </c>
      <c r="E55" s="3" t="str">
        <f t="shared" si="27"/>
        <v/>
      </c>
      <c r="F55" s="3" t="str">
        <f t="shared" si="27"/>
        <v/>
      </c>
      <c r="G55" s="3" t="str">
        <f t="shared" si="27"/>
        <v/>
      </c>
      <c r="H55" s="3" t="str">
        <f t="shared" si="27"/>
        <v/>
      </c>
      <c r="I55" s="3" t="str">
        <f t="shared" si="27"/>
        <v/>
      </c>
      <c r="J55" s="3" t="str">
        <f t="shared" si="27"/>
        <v/>
      </c>
      <c r="K55" s="3" t="str">
        <f t="shared" si="27"/>
        <v/>
      </c>
    </row>
    <row r="56" spans="1:11" x14ac:dyDescent="0.2">
      <c r="A56" s="5">
        <f t="shared" si="26"/>
        <v>0.61111111111111105</v>
      </c>
      <c r="B56" s="3" t="str">
        <f t="shared" si="27"/>
        <v/>
      </c>
      <c r="C56" s="3" t="str">
        <f t="shared" si="27"/>
        <v/>
      </c>
      <c r="D56" s="3" t="str">
        <f t="shared" si="27"/>
        <v/>
      </c>
      <c r="E56" s="3" t="str">
        <f t="shared" si="27"/>
        <v/>
      </c>
      <c r="F56" s="3" t="str">
        <f t="shared" si="27"/>
        <v/>
      </c>
      <c r="G56" s="3" t="str">
        <f t="shared" si="27"/>
        <v/>
      </c>
      <c r="H56" s="3" t="str">
        <f t="shared" si="27"/>
        <v/>
      </c>
      <c r="I56" s="3" t="str">
        <f t="shared" si="27"/>
        <v/>
      </c>
      <c r="J56" s="3" t="str">
        <f t="shared" si="27"/>
        <v/>
      </c>
      <c r="K56" s="3" t="str">
        <f t="shared" si="27"/>
        <v/>
      </c>
    </row>
    <row r="57" spans="1:11" x14ac:dyDescent="0.2">
      <c r="A57" s="5">
        <f t="shared" si="26"/>
        <v>0.64583333333333326</v>
      </c>
      <c r="B57" s="3" t="str">
        <f t="shared" si="27"/>
        <v/>
      </c>
      <c r="C57" s="3" t="str">
        <f t="shared" si="27"/>
        <v/>
      </c>
      <c r="D57" s="3" t="str">
        <f t="shared" si="27"/>
        <v/>
      </c>
      <c r="E57" s="3" t="str">
        <f t="shared" si="27"/>
        <v/>
      </c>
      <c r="F57" s="3" t="str">
        <f t="shared" si="27"/>
        <v/>
      </c>
      <c r="G57" s="3" t="str">
        <f t="shared" si="27"/>
        <v/>
      </c>
      <c r="H57" s="3" t="str">
        <f t="shared" si="27"/>
        <v/>
      </c>
      <c r="I57" s="3" t="str">
        <f t="shared" si="27"/>
        <v/>
      </c>
      <c r="J57" s="3" t="str">
        <f t="shared" si="27"/>
        <v/>
      </c>
      <c r="K57" s="3" t="str">
        <f t="shared" si="27"/>
        <v/>
      </c>
    </row>
    <row r="58" spans="1:11" x14ac:dyDescent="0.2">
      <c r="A58" s="5">
        <f t="shared" si="26"/>
        <v>0.68055555555555547</v>
      </c>
      <c r="B58" s="3" t="str">
        <f t="shared" si="27"/>
        <v/>
      </c>
      <c r="C58" s="3" t="str">
        <f t="shared" si="27"/>
        <v/>
      </c>
      <c r="D58" s="3" t="str">
        <f t="shared" si="27"/>
        <v/>
      </c>
      <c r="E58" s="3" t="str">
        <f t="shared" si="27"/>
        <v/>
      </c>
      <c r="F58" s="3" t="str">
        <f t="shared" si="27"/>
        <v/>
      </c>
      <c r="G58" s="3" t="str">
        <f t="shared" si="27"/>
        <v/>
      </c>
      <c r="H58" s="3" t="str">
        <f t="shared" si="27"/>
        <v/>
      </c>
      <c r="I58" s="3" t="str">
        <f t="shared" si="27"/>
        <v/>
      </c>
      <c r="J58" s="3" t="str">
        <f t="shared" si="27"/>
        <v/>
      </c>
      <c r="K58" s="3" t="str">
        <f t="shared" ref="K58:K66" si="28">IFERROR(VLOOKUP(TEXT(K$6+$A58,"MM/DD/YYYY HH:MM")&amp;"-&gt;"&amp;$B$3,check_time_team_field,4,FALSE),"")</f>
        <v/>
      </c>
    </row>
    <row r="59" spans="1:11" x14ac:dyDescent="0.2">
      <c r="A59" s="5">
        <f t="shared" si="26"/>
        <v>0.71527777777777768</v>
      </c>
      <c r="B59" s="3" t="str">
        <f t="shared" si="27"/>
        <v/>
      </c>
      <c r="C59" s="3" t="str">
        <f t="shared" si="27"/>
        <v/>
      </c>
      <c r="D59" s="3" t="str">
        <f t="shared" si="27"/>
        <v/>
      </c>
      <c r="E59" s="3" t="str">
        <f t="shared" si="27"/>
        <v/>
      </c>
      <c r="F59" s="3" t="str">
        <f t="shared" si="27"/>
        <v/>
      </c>
      <c r="G59" s="3" t="str">
        <f t="shared" si="27"/>
        <v/>
      </c>
      <c r="H59" s="3" t="str">
        <f t="shared" si="27"/>
        <v/>
      </c>
      <c r="I59" s="3" t="str">
        <f t="shared" si="27"/>
        <v/>
      </c>
      <c r="J59" s="3" t="str">
        <f t="shared" si="27"/>
        <v/>
      </c>
      <c r="K59" s="3" t="str">
        <f t="shared" si="28"/>
        <v/>
      </c>
    </row>
    <row r="60" spans="1:11" x14ac:dyDescent="0.2">
      <c r="A60" s="5">
        <f t="shared" si="26"/>
        <v>0.74999999999999989</v>
      </c>
      <c r="B60" s="3" t="str">
        <f t="shared" si="27"/>
        <v/>
      </c>
      <c r="C60" s="3" t="str">
        <f t="shared" si="27"/>
        <v/>
      </c>
      <c r="D60" s="3" t="str">
        <f t="shared" si="27"/>
        <v/>
      </c>
      <c r="E60" s="3" t="str">
        <f t="shared" si="27"/>
        <v/>
      </c>
      <c r="F60" s="3" t="str">
        <f t="shared" si="27"/>
        <v/>
      </c>
      <c r="G60" s="3" t="str">
        <f t="shared" si="27"/>
        <v/>
      </c>
      <c r="H60" s="3" t="str">
        <f t="shared" si="27"/>
        <v/>
      </c>
      <c r="I60" s="3" t="str">
        <f t="shared" si="27"/>
        <v/>
      </c>
      <c r="J60" s="3" t="str">
        <f t="shared" si="27"/>
        <v/>
      </c>
      <c r="K60" s="3" t="str">
        <f t="shared" si="28"/>
        <v/>
      </c>
    </row>
    <row r="61" spans="1:11" x14ac:dyDescent="0.2">
      <c r="A61" s="5">
        <f t="shared" si="26"/>
        <v>0.7847222222222221</v>
      </c>
      <c r="B61" s="3" t="str">
        <f t="shared" si="27"/>
        <v/>
      </c>
      <c r="C61" s="3" t="str">
        <f t="shared" si="27"/>
        <v/>
      </c>
      <c r="D61" s="3" t="str">
        <f t="shared" si="27"/>
        <v/>
      </c>
      <c r="E61" s="3" t="str">
        <f t="shared" si="27"/>
        <v/>
      </c>
      <c r="F61" s="3" t="str">
        <f t="shared" si="27"/>
        <v/>
      </c>
      <c r="G61" s="3" t="str">
        <f t="shared" si="27"/>
        <v/>
      </c>
      <c r="H61" s="3" t="str">
        <f t="shared" si="27"/>
        <v/>
      </c>
      <c r="I61" s="3" t="str">
        <f t="shared" si="27"/>
        <v/>
      </c>
      <c r="J61" s="3" t="str">
        <f t="shared" si="27"/>
        <v/>
      </c>
      <c r="K61" s="3" t="str">
        <f t="shared" si="28"/>
        <v/>
      </c>
    </row>
    <row r="62" spans="1:11" x14ac:dyDescent="0.2">
      <c r="A62" s="5">
        <f t="shared" si="26"/>
        <v>0.81944444444444431</v>
      </c>
      <c r="B62" s="3" t="str">
        <f t="shared" si="27"/>
        <v/>
      </c>
      <c r="C62" s="3" t="str">
        <f t="shared" si="27"/>
        <v/>
      </c>
      <c r="D62" s="3" t="str">
        <f t="shared" si="27"/>
        <v/>
      </c>
      <c r="E62" s="3" t="str">
        <f t="shared" si="27"/>
        <v/>
      </c>
      <c r="F62" s="3" t="str">
        <f t="shared" si="27"/>
        <v/>
      </c>
      <c r="G62" s="3" t="str">
        <f t="shared" si="27"/>
        <v/>
      </c>
      <c r="H62" s="3" t="str">
        <f t="shared" si="27"/>
        <v/>
      </c>
      <c r="I62" s="3" t="str">
        <f t="shared" si="27"/>
        <v/>
      </c>
      <c r="J62" s="3" t="str">
        <f t="shared" si="27"/>
        <v/>
      </c>
      <c r="K62" s="3" t="str">
        <f t="shared" si="28"/>
        <v/>
      </c>
    </row>
    <row r="63" spans="1:11" x14ac:dyDescent="0.2">
      <c r="A63" s="5">
        <f>A23</f>
        <v>0.85416666666666652</v>
      </c>
      <c r="B63" s="3" t="str">
        <f t="shared" si="27"/>
        <v/>
      </c>
      <c r="C63" s="3" t="str">
        <f t="shared" si="27"/>
        <v/>
      </c>
      <c r="D63" s="3" t="str">
        <f t="shared" si="27"/>
        <v/>
      </c>
      <c r="E63" s="3" t="str">
        <f t="shared" si="27"/>
        <v/>
      </c>
      <c r="F63" s="3" t="str">
        <f t="shared" si="27"/>
        <v/>
      </c>
      <c r="G63" s="3" t="str">
        <f t="shared" si="27"/>
        <v/>
      </c>
      <c r="H63" s="3" t="str">
        <f t="shared" si="27"/>
        <v/>
      </c>
      <c r="I63" s="3" t="str">
        <f t="shared" si="27"/>
        <v/>
      </c>
      <c r="J63" s="3" t="str">
        <f t="shared" si="27"/>
        <v/>
      </c>
      <c r="K63" s="3" t="str">
        <f t="shared" si="28"/>
        <v/>
      </c>
    </row>
    <row r="64" spans="1:11" x14ac:dyDescent="0.2">
      <c r="A64" s="5">
        <f>A24</f>
        <v>0.88888888888888873</v>
      </c>
      <c r="B64" s="3" t="str">
        <f t="shared" ref="B64:J66" si="29">IFERROR(VLOOKUP(TEXT(B$6+$A64,"MM/DD/YYYY HH:MM")&amp;"-&gt;"&amp;$B$3,check_time_team_field,4,FALSE),"")</f>
        <v/>
      </c>
      <c r="C64" s="3" t="str">
        <f t="shared" si="29"/>
        <v/>
      </c>
      <c r="D64" s="3" t="str">
        <f t="shared" si="29"/>
        <v/>
      </c>
      <c r="E64" s="3" t="str">
        <f t="shared" si="29"/>
        <v/>
      </c>
      <c r="F64" s="3" t="str">
        <f t="shared" si="29"/>
        <v/>
      </c>
      <c r="G64" s="3" t="str">
        <f t="shared" si="29"/>
        <v/>
      </c>
      <c r="H64" s="3" t="str">
        <f t="shared" si="29"/>
        <v/>
      </c>
      <c r="I64" s="3" t="str">
        <f t="shared" si="29"/>
        <v/>
      </c>
      <c r="J64" s="3" t="str">
        <f t="shared" si="29"/>
        <v/>
      </c>
      <c r="K64" s="3" t="str">
        <f t="shared" si="28"/>
        <v/>
      </c>
    </row>
    <row r="65" spans="1:11" x14ac:dyDescent="0.2">
      <c r="A65" s="5">
        <f>A25</f>
        <v>0.92361111111111094</v>
      </c>
      <c r="B65" s="3" t="str">
        <f t="shared" si="29"/>
        <v/>
      </c>
      <c r="C65" s="3" t="str">
        <f t="shared" si="29"/>
        <v/>
      </c>
      <c r="D65" s="3" t="str">
        <f t="shared" si="29"/>
        <v/>
      </c>
      <c r="E65" s="3" t="str">
        <f t="shared" si="29"/>
        <v/>
      </c>
      <c r="F65" s="3" t="str">
        <f t="shared" si="29"/>
        <v/>
      </c>
      <c r="G65" s="3" t="str">
        <f t="shared" si="29"/>
        <v/>
      </c>
      <c r="H65" s="3" t="str">
        <f t="shared" si="29"/>
        <v/>
      </c>
      <c r="I65" s="3" t="str">
        <f t="shared" si="29"/>
        <v/>
      </c>
      <c r="J65" s="3" t="str">
        <f t="shared" si="29"/>
        <v/>
      </c>
      <c r="K65" s="3" t="str">
        <f t="shared" si="28"/>
        <v/>
      </c>
    </row>
    <row r="66" spans="1:11" x14ac:dyDescent="0.2">
      <c r="A66" s="5">
        <f>A26</f>
        <v>0.95833333333333315</v>
      </c>
      <c r="B66" s="3" t="str">
        <f t="shared" si="29"/>
        <v/>
      </c>
      <c r="C66" s="3" t="str">
        <f t="shared" si="29"/>
        <v/>
      </c>
      <c r="D66" s="3" t="str">
        <f t="shared" si="29"/>
        <v/>
      </c>
      <c r="E66" s="3" t="str">
        <f t="shared" si="29"/>
        <v/>
      </c>
      <c r="F66" s="3" t="str">
        <f t="shared" si="29"/>
        <v/>
      </c>
      <c r="G66" s="3" t="str">
        <f t="shared" si="29"/>
        <v/>
      </c>
      <c r="H66" s="3" t="str">
        <f t="shared" si="29"/>
        <v/>
      </c>
      <c r="I66" s="3" t="str">
        <f t="shared" si="29"/>
        <v/>
      </c>
      <c r="J66" s="3" t="str">
        <f t="shared" si="29"/>
        <v/>
      </c>
      <c r="K66" s="3" t="str">
        <f t="shared" si="28"/>
        <v/>
      </c>
    </row>
    <row r="68" spans="1:11" x14ac:dyDescent="0.2">
      <c r="A68" t="s">
        <v>396</v>
      </c>
    </row>
    <row r="69" spans="1:11" x14ac:dyDescent="0.2">
      <c r="A69" s="3"/>
      <c r="B69" s="3" t="s">
        <v>338</v>
      </c>
      <c r="C69" s="3" t="str">
        <f>B3</f>
        <v>&lt;no team&gt;</v>
      </c>
      <c r="D69" s="3"/>
      <c r="E69" s="3"/>
      <c r="F69" s="3"/>
      <c r="G69" s="3"/>
      <c r="H69" s="3"/>
      <c r="I69" s="3"/>
      <c r="J69" s="3"/>
      <c r="K69" s="3"/>
    </row>
    <row r="70" spans="1:11" x14ac:dyDescent="0.2">
      <c r="A70" s="3"/>
      <c r="B70" s="49">
        <f>B$6</f>
        <v>43057</v>
      </c>
      <c r="C70" s="49">
        <f t="shared" ref="C70:K70" si="30">C$6</f>
        <v>43058</v>
      </c>
      <c r="D70" s="49">
        <f t="shared" si="30"/>
        <v>43059</v>
      </c>
      <c r="E70" s="49">
        <f t="shared" si="30"/>
        <v>43060</v>
      </c>
      <c r="F70" s="49">
        <f t="shared" si="30"/>
        <v>43061</v>
      </c>
      <c r="G70" s="49">
        <f t="shared" si="30"/>
        <v>43062</v>
      </c>
      <c r="H70" s="49">
        <f t="shared" si="30"/>
        <v>43063</v>
      </c>
      <c r="I70" s="49">
        <f t="shared" si="30"/>
        <v>43064</v>
      </c>
      <c r="J70" s="49">
        <f t="shared" si="30"/>
        <v>43065</v>
      </c>
      <c r="K70" s="49">
        <f t="shared" si="30"/>
        <v>43066</v>
      </c>
    </row>
    <row r="71" spans="1:11" x14ac:dyDescent="0.2">
      <c r="A71" s="3"/>
      <c r="B71" s="49" t="str">
        <f>B$7</f>
        <v>Day 1 - Saturday</v>
      </c>
      <c r="C71" s="49" t="str">
        <f t="shared" ref="C71:K71" si="31">C$7</f>
        <v>Day 2 - Sunday</v>
      </c>
      <c r="D71" s="49" t="str">
        <f t="shared" si="31"/>
        <v>Day 3 - Monday</v>
      </c>
      <c r="E71" s="49" t="str">
        <f t="shared" si="31"/>
        <v>Day 4 - Tuesday</v>
      </c>
      <c r="F71" s="49" t="str">
        <f t="shared" si="31"/>
        <v>Day 5 - Wednesdy</v>
      </c>
      <c r="G71" s="49" t="str">
        <f t="shared" si="31"/>
        <v>Day 6 - Thursday</v>
      </c>
      <c r="H71" s="49" t="str">
        <f t="shared" si="31"/>
        <v>Day 7 - Friday</v>
      </c>
      <c r="I71" s="49" t="str">
        <f t="shared" si="31"/>
        <v>Day 8 - Saturday</v>
      </c>
      <c r="J71" s="49" t="str">
        <f t="shared" si="31"/>
        <v>Day 9 - Sunday</v>
      </c>
      <c r="K71" s="49" t="str">
        <f t="shared" si="31"/>
        <v>Day 9 - Monday</v>
      </c>
    </row>
    <row r="72" spans="1:1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</row>
    <row r="73" spans="1:11" x14ac:dyDescent="0.2">
      <c r="A73" s="5">
        <f t="shared" ref="A73:A91" si="32">A8</f>
        <v>0.33333333333333331</v>
      </c>
      <c r="B73" s="3" t="str">
        <f>IFERROR(VLOOKUP(TEXT(B$6+$A73,"MM/DD/YYYY HH:MM")&amp;"-&gt;"&amp;$B$3,'Schedule from TM'!$BG$11:$BI$5051,3,0),"")</f>
        <v/>
      </c>
      <c r="C73" s="3" t="str">
        <f>IFERROR(VLOOKUP(TEXT(C$6+$A73,"MM/DD/YYYY HH:MM")&amp;"-&gt;"&amp;$B$3,'Schedule from TM'!$BG$11:$BI$5051,3,0),"")</f>
        <v/>
      </c>
      <c r="D73" s="3" t="str">
        <f>IFERROR(VLOOKUP(TEXT(D$6+$A73,"MM/DD/YYYY HH:MM")&amp;"-&gt;"&amp;$B$3,'Schedule from TM'!$BG$11:$BI$5051,3,0),"")</f>
        <v/>
      </c>
      <c r="E73" s="3" t="str">
        <f>IFERROR(VLOOKUP(TEXT(E$6+$A73,"MM/DD/YYYY HH:MM")&amp;"-&gt;"&amp;$B$3,'Schedule from TM'!$BG$11:$BI$5051,3,0),"")</f>
        <v/>
      </c>
      <c r="F73" s="3" t="str">
        <f>IFERROR(VLOOKUP(TEXT(F$6+$A73,"MM/DD/YYYY HH:MM")&amp;"-&gt;"&amp;$B$3,'Schedule from TM'!$BG$11:$BI$5051,3,0),"")</f>
        <v/>
      </c>
      <c r="G73" s="3" t="str">
        <f>IFERROR(VLOOKUP(TEXT(G$6+$A73,"MM/DD/YYYY HH:MM")&amp;"-&gt;"&amp;$B$3,'Schedule from TM'!$BG$11:$BI$5051,3,0),"")</f>
        <v/>
      </c>
      <c r="H73" s="3" t="str">
        <f>IFERROR(VLOOKUP(TEXT(H$6+$A73,"MM/DD/YYYY HH:MM")&amp;"-&gt;"&amp;$B$3,'Schedule from TM'!$BG$11:$BI$5051,3,0),"")</f>
        <v/>
      </c>
      <c r="I73" s="3" t="str">
        <f>IFERROR(VLOOKUP(TEXT(I$6+$A73,"MM/DD/YYYY HH:MM")&amp;"-&gt;"&amp;$B$3,'Schedule from TM'!$BG$11:$BI$5051,3,0),"")</f>
        <v/>
      </c>
      <c r="J73" s="3" t="str">
        <f>IFERROR(VLOOKUP(TEXT(J$6+$A73,"MM/DD/YYYY HH:MM")&amp;"-&gt;"&amp;$B$3,'Schedule from TM'!$BG$11:$BI$5051,3,0),"")</f>
        <v/>
      </c>
      <c r="K73" s="3" t="str">
        <f>IFERROR(VLOOKUP(TEXT(K$6+$A73,"MM/DD/YYYY HH:MM")&amp;"-&gt;"&amp;$B$3,'Schedule from TM'!$BG$11:$BI$5051,3,0),"")</f>
        <v/>
      </c>
    </row>
    <row r="74" spans="1:11" x14ac:dyDescent="0.2">
      <c r="A74" s="5">
        <f t="shared" si="32"/>
        <v>0.36805555555555552</v>
      </c>
      <c r="B74" s="3" t="str">
        <f>IFERROR(VLOOKUP(TEXT(B$6+$A74,"MM/DD/YYYY HH:MM")&amp;"-&gt;"&amp;$B$3,'Schedule from TM'!$BG$11:$BI$5051,3,0),"")</f>
        <v/>
      </c>
      <c r="C74" s="3" t="str">
        <f>IFERROR(VLOOKUP(TEXT(C$6+$A74,"MM/DD/YYYY HH:MM")&amp;"-&gt;"&amp;$B$3,'Schedule from TM'!$BG$11:$BI$5051,3,0),"")</f>
        <v/>
      </c>
      <c r="D74" s="3" t="str">
        <f>IFERROR(VLOOKUP(TEXT(D$6+$A74,"MM/DD/YYYY HH:MM")&amp;"-&gt;"&amp;$B$3,'Schedule from TM'!$BG$11:$BI$5051,3,0),"")</f>
        <v/>
      </c>
      <c r="E74" s="3" t="str">
        <f>IFERROR(VLOOKUP(TEXT(E$6+$A74,"MM/DD/YYYY HH:MM")&amp;"-&gt;"&amp;$B$3,'Schedule from TM'!$BG$11:$BI$5051,3,0),"")</f>
        <v/>
      </c>
      <c r="F74" s="3" t="str">
        <f>IFERROR(VLOOKUP(TEXT(F$6+$A74,"MM/DD/YYYY HH:MM")&amp;"-&gt;"&amp;$B$3,'Schedule from TM'!$BG$11:$BI$5051,3,0),"")</f>
        <v/>
      </c>
      <c r="G74" s="3" t="str">
        <f>IFERROR(VLOOKUP(TEXT(G$6+$A74,"MM/DD/YYYY HH:MM")&amp;"-&gt;"&amp;$B$3,'Schedule from TM'!$BG$11:$BI$5051,3,0),"")</f>
        <v/>
      </c>
      <c r="H74" s="3" t="str">
        <f>IFERROR(VLOOKUP(TEXT(H$6+$A74,"MM/DD/YYYY HH:MM")&amp;"-&gt;"&amp;$B$3,'Schedule from TM'!$BG$11:$BI$5051,3,0),"")</f>
        <v/>
      </c>
      <c r="I74" s="3" t="str">
        <f>IFERROR(VLOOKUP(TEXT(I$6+$A74,"MM/DD/YYYY HH:MM")&amp;"-&gt;"&amp;$B$3,'Schedule from TM'!$BG$11:$BI$5051,3,0),"")</f>
        <v/>
      </c>
      <c r="J74" s="3" t="str">
        <f>IFERROR(VLOOKUP(TEXT(J$6+$A74,"MM/DD/YYYY HH:MM")&amp;"-&gt;"&amp;$B$3,'Schedule from TM'!$BG$11:$BI$5051,3,0),"")</f>
        <v/>
      </c>
      <c r="K74" s="3" t="str">
        <f>IFERROR(VLOOKUP(TEXT(K$6+$A74,"MM/DD/YYYY HH:MM")&amp;"-&gt;"&amp;$B$3,'Schedule from TM'!$BG$11:$BI$5051,3,0),"")</f>
        <v/>
      </c>
    </row>
    <row r="75" spans="1:11" x14ac:dyDescent="0.2">
      <c r="A75" s="5">
        <f t="shared" si="32"/>
        <v>0.40277777777777773</v>
      </c>
      <c r="B75" s="3" t="str">
        <f>IFERROR(VLOOKUP(TEXT(B$6+$A75,"MM/DD/YYYY HH:MM")&amp;"-&gt;"&amp;$B$3,'Schedule from TM'!$BG$11:$BI$5051,3,0),"")</f>
        <v/>
      </c>
      <c r="C75" s="3" t="str">
        <f>IFERROR(VLOOKUP(TEXT(C$6+$A75,"MM/DD/YYYY HH:MM")&amp;"-&gt;"&amp;$B$3,'Schedule from TM'!$BG$11:$BI$5051,3,0),"")</f>
        <v/>
      </c>
      <c r="D75" s="3" t="str">
        <f>IFERROR(VLOOKUP(TEXT(D$6+$A75,"MM/DD/YYYY HH:MM")&amp;"-&gt;"&amp;$B$3,'Schedule from TM'!$BG$11:$BI$5051,3,0),"")</f>
        <v/>
      </c>
      <c r="E75" s="3" t="str">
        <f>IFERROR(VLOOKUP(TEXT(E$6+$A75,"MM/DD/YYYY HH:MM")&amp;"-&gt;"&amp;$B$3,'Schedule from TM'!$BG$11:$BI$5051,3,0),"")</f>
        <v/>
      </c>
      <c r="F75" s="3" t="str">
        <f>IFERROR(VLOOKUP(TEXT(F$6+$A75,"MM/DD/YYYY HH:MM")&amp;"-&gt;"&amp;$B$3,'Schedule from TM'!$BG$11:$BI$5051,3,0),"")</f>
        <v/>
      </c>
      <c r="G75" s="3" t="str">
        <f>IFERROR(VLOOKUP(TEXT(G$6+$A75,"MM/DD/YYYY HH:MM")&amp;"-&gt;"&amp;$B$3,'Schedule from TM'!$BG$11:$BI$5051,3,0),"")</f>
        <v/>
      </c>
      <c r="H75" s="3" t="str">
        <f>IFERROR(VLOOKUP(TEXT(H$6+$A75,"MM/DD/YYYY HH:MM")&amp;"-&gt;"&amp;$B$3,'Schedule from TM'!$BG$11:$BI$5051,3,0),"")</f>
        <v/>
      </c>
      <c r="I75" s="3" t="str">
        <f>IFERROR(VLOOKUP(TEXT(I$6+$A75,"MM/DD/YYYY HH:MM")&amp;"-&gt;"&amp;$B$3,'Schedule from TM'!$BG$11:$BI$5051,3,0),"")</f>
        <v/>
      </c>
      <c r="J75" s="3" t="str">
        <f>IFERROR(VLOOKUP(TEXT(J$6+$A75,"MM/DD/YYYY HH:MM")&amp;"-&gt;"&amp;$B$3,'Schedule from TM'!$BG$11:$BI$5051,3,0),"")</f>
        <v/>
      </c>
      <c r="K75" s="3" t="str">
        <f>IFERROR(VLOOKUP(TEXT(K$6+$A75,"MM/DD/YYYY HH:MM")&amp;"-&gt;"&amp;$B$3,'Schedule from TM'!$BG$11:$BI$5051,3,0),"")</f>
        <v/>
      </c>
    </row>
    <row r="76" spans="1:11" x14ac:dyDescent="0.2">
      <c r="A76" s="5">
        <f t="shared" si="32"/>
        <v>0.43749999999999994</v>
      </c>
      <c r="B76" s="3" t="str">
        <f>IFERROR(VLOOKUP(TEXT(B$6+$A76,"MM/DD/YYYY HH:MM")&amp;"-&gt;"&amp;$B$3,'Schedule from TM'!$BG$11:$BI$5051,3,0),"")</f>
        <v/>
      </c>
      <c r="C76" s="3" t="str">
        <f>IFERROR(VLOOKUP(TEXT(C$6+$A76,"MM/DD/YYYY HH:MM")&amp;"-&gt;"&amp;$B$3,'Schedule from TM'!$BG$11:$BI$5051,3,0),"")</f>
        <v/>
      </c>
      <c r="D76" s="3" t="str">
        <f>IFERROR(VLOOKUP(TEXT(D$6+$A76,"MM/DD/YYYY HH:MM")&amp;"-&gt;"&amp;$B$3,'Schedule from TM'!$BG$11:$BI$5051,3,0),"")</f>
        <v/>
      </c>
      <c r="E76" s="3" t="str">
        <f>IFERROR(VLOOKUP(TEXT(E$6+$A76,"MM/DD/YYYY HH:MM")&amp;"-&gt;"&amp;$B$3,'Schedule from TM'!$BG$11:$BI$5051,3,0),"")</f>
        <v/>
      </c>
      <c r="F76" s="3" t="str">
        <f>IFERROR(VLOOKUP(TEXT(F$6+$A76,"MM/DD/YYYY HH:MM")&amp;"-&gt;"&amp;$B$3,'Schedule from TM'!$BG$11:$BI$5051,3,0),"")</f>
        <v/>
      </c>
      <c r="G76" s="3" t="str">
        <f>IFERROR(VLOOKUP(TEXT(G$6+$A76,"MM/DD/YYYY HH:MM")&amp;"-&gt;"&amp;$B$3,'Schedule from TM'!$BG$11:$BI$5051,3,0),"")</f>
        <v/>
      </c>
      <c r="H76" s="3" t="str">
        <f>IFERROR(VLOOKUP(TEXT(H$6+$A76,"MM/DD/YYYY HH:MM")&amp;"-&gt;"&amp;$B$3,'Schedule from TM'!$BG$11:$BI$5051,3,0),"")</f>
        <v/>
      </c>
      <c r="I76" s="3" t="str">
        <f>IFERROR(VLOOKUP(TEXT(I$6+$A76,"MM/DD/YYYY HH:MM")&amp;"-&gt;"&amp;$B$3,'Schedule from TM'!$BG$11:$BI$5051,3,0),"")</f>
        <v/>
      </c>
      <c r="J76" s="3" t="str">
        <f>IFERROR(VLOOKUP(TEXT(J$6+$A76,"MM/DD/YYYY HH:MM")&amp;"-&gt;"&amp;$B$3,'Schedule from TM'!$BG$11:$BI$5051,3,0),"")</f>
        <v/>
      </c>
      <c r="K76" s="3" t="str">
        <f>IFERROR(VLOOKUP(TEXT(K$6+$A76,"MM/DD/YYYY HH:MM")&amp;"-&gt;"&amp;$B$3,'Schedule from TM'!$BG$11:$BI$5051,3,0),"")</f>
        <v/>
      </c>
    </row>
    <row r="77" spans="1:11" x14ac:dyDescent="0.2">
      <c r="A77" s="5">
        <f t="shared" si="32"/>
        <v>0.47222222222222215</v>
      </c>
      <c r="B77" s="3" t="str">
        <f>IFERROR(VLOOKUP(TEXT(B$6+$A77,"MM/DD/YYYY HH:MM")&amp;"-&gt;"&amp;$B$3,'Schedule from TM'!$BG$11:$BI$5051,3,0),"")</f>
        <v/>
      </c>
      <c r="C77" s="3" t="str">
        <f>IFERROR(VLOOKUP(TEXT(C$6+$A77,"MM/DD/YYYY HH:MM")&amp;"-&gt;"&amp;$B$3,'Schedule from TM'!$BG$11:$BI$5051,3,0),"")</f>
        <v/>
      </c>
      <c r="D77" s="3" t="str">
        <f>IFERROR(VLOOKUP(TEXT(D$6+$A77,"MM/DD/YYYY HH:MM")&amp;"-&gt;"&amp;$B$3,'Schedule from TM'!$BG$11:$BI$5051,3,0),"")</f>
        <v/>
      </c>
      <c r="E77" s="3" t="str">
        <f>IFERROR(VLOOKUP(TEXT(E$6+$A77,"MM/DD/YYYY HH:MM")&amp;"-&gt;"&amp;$B$3,'Schedule from TM'!$BG$11:$BI$5051,3,0),"")</f>
        <v/>
      </c>
      <c r="F77" s="3" t="str">
        <f>IFERROR(VLOOKUP(TEXT(F$6+$A77,"MM/DD/YYYY HH:MM")&amp;"-&gt;"&amp;$B$3,'Schedule from TM'!$BG$11:$BI$5051,3,0),"")</f>
        <v/>
      </c>
      <c r="G77" s="3" t="str">
        <f>IFERROR(VLOOKUP(TEXT(G$6+$A77,"MM/DD/YYYY HH:MM")&amp;"-&gt;"&amp;$B$3,'Schedule from TM'!$BG$11:$BI$5051,3,0),"")</f>
        <v/>
      </c>
      <c r="H77" s="3" t="str">
        <f>IFERROR(VLOOKUP(TEXT(H$6+$A77,"MM/DD/YYYY HH:MM")&amp;"-&gt;"&amp;$B$3,'Schedule from TM'!$BG$11:$BI$5051,3,0),"")</f>
        <v/>
      </c>
      <c r="I77" s="3" t="str">
        <f>IFERROR(VLOOKUP(TEXT(I$6+$A77,"MM/DD/YYYY HH:MM")&amp;"-&gt;"&amp;$B$3,'Schedule from TM'!$BG$11:$BI$5051,3,0),"")</f>
        <v/>
      </c>
      <c r="J77" s="3" t="str">
        <f>IFERROR(VLOOKUP(TEXT(J$6+$A77,"MM/DD/YYYY HH:MM")&amp;"-&gt;"&amp;$B$3,'Schedule from TM'!$BG$11:$BI$5051,3,0),"")</f>
        <v/>
      </c>
      <c r="K77" s="3" t="str">
        <f>IFERROR(VLOOKUP(TEXT(K$6+$A77,"MM/DD/YYYY HH:MM")&amp;"-&gt;"&amp;$B$3,'Schedule from TM'!$BG$11:$BI$5051,3,0),"")</f>
        <v/>
      </c>
    </row>
    <row r="78" spans="1:11" x14ac:dyDescent="0.2">
      <c r="A78" s="5">
        <f t="shared" si="32"/>
        <v>0.50694444444444442</v>
      </c>
      <c r="B78" s="3" t="str">
        <f>IFERROR(VLOOKUP(TEXT(B$6+$A78,"MM/DD/YYYY HH:MM")&amp;"-&gt;"&amp;$B$3,'Schedule from TM'!$BG$11:$BI$5051,3,0),"")</f>
        <v/>
      </c>
      <c r="C78" s="3" t="str">
        <f>IFERROR(VLOOKUP(TEXT(C$6+$A78,"MM/DD/YYYY HH:MM")&amp;"-&gt;"&amp;$B$3,'Schedule from TM'!$BG$11:$BI$5051,3,0),"")</f>
        <v/>
      </c>
      <c r="D78" s="3" t="str">
        <f>IFERROR(VLOOKUP(TEXT(D$6+$A78,"MM/DD/YYYY HH:MM")&amp;"-&gt;"&amp;$B$3,'Schedule from TM'!$BG$11:$BI$5051,3,0),"")</f>
        <v/>
      </c>
      <c r="E78" s="3" t="str">
        <f>IFERROR(VLOOKUP(TEXT(E$6+$A78,"MM/DD/YYYY HH:MM")&amp;"-&gt;"&amp;$B$3,'Schedule from TM'!$BG$11:$BI$5051,3,0),"")</f>
        <v/>
      </c>
      <c r="F78" s="3" t="str">
        <f>IFERROR(VLOOKUP(TEXT(F$6+$A78,"MM/DD/YYYY HH:MM")&amp;"-&gt;"&amp;$B$3,'Schedule from TM'!$BG$11:$BI$5051,3,0),"")</f>
        <v/>
      </c>
      <c r="G78" s="3" t="str">
        <f>IFERROR(VLOOKUP(TEXT(G$6+$A78,"MM/DD/YYYY HH:MM")&amp;"-&gt;"&amp;$B$3,'Schedule from TM'!$BG$11:$BI$5051,3,0),"")</f>
        <v/>
      </c>
      <c r="H78" s="3" t="str">
        <f>IFERROR(VLOOKUP(TEXT(H$6+$A78,"MM/DD/YYYY HH:MM")&amp;"-&gt;"&amp;$B$3,'Schedule from TM'!$BG$11:$BI$5051,3,0),"")</f>
        <v/>
      </c>
      <c r="I78" s="3" t="str">
        <f>IFERROR(VLOOKUP(TEXT(I$6+$A78,"MM/DD/YYYY HH:MM")&amp;"-&gt;"&amp;$B$3,'Schedule from TM'!$BG$11:$BI$5051,3,0),"")</f>
        <v/>
      </c>
      <c r="J78" s="3" t="str">
        <f>IFERROR(VLOOKUP(TEXT(J$6+$A78,"MM/DD/YYYY HH:MM")&amp;"-&gt;"&amp;$B$3,'Schedule from TM'!$BG$11:$BI$5051,3,0),"")</f>
        <v/>
      </c>
      <c r="K78" s="3" t="str">
        <f>IFERROR(VLOOKUP(TEXT(K$6+$A78,"MM/DD/YYYY HH:MM")&amp;"-&gt;"&amp;$B$3,'Schedule from TM'!$BG$11:$BI$5051,3,0),"")</f>
        <v/>
      </c>
    </row>
    <row r="79" spans="1:11" x14ac:dyDescent="0.2">
      <c r="A79" s="5">
        <f t="shared" si="32"/>
        <v>0.54166666666666663</v>
      </c>
      <c r="B79" s="3" t="str">
        <f>IFERROR(VLOOKUP(TEXT(B$6+$A79,"MM/DD/YYYY HH:MM")&amp;"-&gt;"&amp;$B$3,'Schedule from TM'!$BG$11:$BI$5051,3,0),"")</f>
        <v/>
      </c>
      <c r="C79" s="3" t="str">
        <f>IFERROR(VLOOKUP(TEXT(C$6+$A79,"MM/DD/YYYY HH:MM")&amp;"-&gt;"&amp;$B$3,'Schedule from TM'!$BG$11:$BI$5051,3,0),"")</f>
        <v/>
      </c>
      <c r="D79" s="3" t="str">
        <f>IFERROR(VLOOKUP(TEXT(D$6+$A79,"MM/DD/YYYY HH:MM")&amp;"-&gt;"&amp;$B$3,'Schedule from TM'!$BG$11:$BI$5051,3,0),"")</f>
        <v/>
      </c>
      <c r="E79" s="3" t="str">
        <f>IFERROR(VLOOKUP(TEXT(E$6+$A79,"MM/DD/YYYY HH:MM")&amp;"-&gt;"&amp;$B$3,'Schedule from TM'!$BG$11:$BI$5051,3,0),"")</f>
        <v/>
      </c>
      <c r="F79" s="3" t="str">
        <f>IFERROR(VLOOKUP(TEXT(F$6+$A79,"MM/DD/YYYY HH:MM")&amp;"-&gt;"&amp;$B$3,'Schedule from TM'!$BG$11:$BI$5051,3,0),"")</f>
        <v/>
      </c>
      <c r="G79" s="3" t="str">
        <f>IFERROR(VLOOKUP(TEXT(G$6+$A79,"MM/DD/YYYY HH:MM")&amp;"-&gt;"&amp;$B$3,'Schedule from TM'!$BG$11:$BI$5051,3,0),"")</f>
        <v/>
      </c>
      <c r="H79" s="3" t="str">
        <f>IFERROR(VLOOKUP(TEXT(H$6+$A79,"MM/DD/YYYY HH:MM")&amp;"-&gt;"&amp;$B$3,'Schedule from TM'!$BG$11:$BI$5051,3,0),"")</f>
        <v/>
      </c>
      <c r="I79" s="3" t="str">
        <f>IFERROR(VLOOKUP(TEXT(I$6+$A79,"MM/DD/YYYY HH:MM")&amp;"-&gt;"&amp;$B$3,'Schedule from TM'!$BG$11:$BI$5051,3,0),"")</f>
        <v/>
      </c>
      <c r="J79" s="3" t="str">
        <f>IFERROR(VLOOKUP(TEXT(J$6+$A79,"MM/DD/YYYY HH:MM")&amp;"-&gt;"&amp;$B$3,'Schedule from TM'!$BG$11:$BI$5051,3,0),"")</f>
        <v/>
      </c>
      <c r="K79" s="3" t="str">
        <f>IFERROR(VLOOKUP(TEXT(K$6+$A79,"MM/DD/YYYY HH:MM")&amp;"-&gt;"&amp;$B$3,'Schedule from TM'!$BG$11:$BI$5051,3,0),"")</f>
        <v/>
      </c>
    </row>
    <row r="80" spans="1:11" x14ac:dyDescent="0.2">
      <c r="A80" s="5">
        <f t="shared" si="32"/>
        <v>0.57638888888888884</v>
      </c>
      <c r="B80" s="3" t="str">
        <f>IFERROR(VLOOKUP(TEXT(B$6+$A80,"MM/DD/YYYY HH:MM")&amp;"-&gt;"&amp;$B$3,'Schedule from TM'!$BG$11:$BI$5051,3,0),"")</f>
        <v/>
      </c>
      <c r="C80" s="3" t="str">
        <f>IFERROR(VLOOKUP(TEXT(C$6+$A80,"MM/DD/YYYY HH:MM")&amp;"-&gt;"&amp;$B$3,'Schedule from TM'!$BG$11:$BI$5051,3,0),"")</f>
        <v/>
      </c>
      <c r="D80" s="3" t="str">
        <f>IFERROR(VLOOKUP(TEXT(D$6+$A80,"MM/DD/YYYY HH:MM")&amp;"-&gt;"&amp;$B$3,'Schedule from TM'!$BG$11:$BI$5051,3,0),"")</f>
        <v/>
      </c>
      <c r="E80" s="3" t="str">
        <f>IFERROR(VLOOKUP(TEXT(E$6+$A80,"MM/DD/YYYY HH:MM")&amp;"-&gt;"&amp;$B$3,'Schedule from TM'!$BG$11:$BI$5051,3,0),"")</f>
        <v/>
      </c>
      <c r="F80" s="3" t="str">
        <f>IFERROR(VLOOKUP(TEXT(F$6+$A80,"MM/DD/YYYY HH:MM")&amp;"-&gt;"&amp;$B$3,'Schedule from TM'!$BG$11:$BI$5051,3,0),"")</f>
        <v/>
      </c>
      <c r="G80" s="3" t="str">
        <f>IFERROR(VLOOKUP(TEXT(G$6+$A80,"MM/DD/YYYY HH:MM")&amp;"-&gt;"&amp;$B$3,'Schedule from TM'!$BG$11:$BI$5051,3,0),"")</f>
        <v/>
      </c>
      <c r="H80" s="3" t="str">
        <f>IFERROR(VLOOKUP(TEXT(H$6+$A80,"MM/DD/YYYY HH:MM")&amp;"-&gt;"&amp;$B$3,'Schedule from TM'!$BG$11:$BI$5051,3,0),"")</f>
        <v/>
      </c>
      <c r="I80" s="3" t="str">
        <f>IFERROR(VLOOKUP(TEXT(I$6+$A80,"MM/DD/YYYY HH:MM")&amp;"-&gt;"&amp;$B$3,'Schedule from TM'!$BG$11:$BI$5051,3,0),"")</f>
        <v/>
      </c>
      <c r="J80" s="3" t="str">
        <f>IFERROR(VLOOKUP(TEXT(J$6+$A80,"MM/DD/YYYY HH:MM")&amp;"-&gt;"&amp;$B$3,'Schedule from TM'!$BG$11:$BI$5051,3,0),"")</f>
        <v/>
      </c>
      <c r="K80" s="3" t="str">
        <f>IFERROR(VLOOKUP(TEXT(K$6+$A80,"MM/DD/YYYY HH:MM")&amp;"-&gt;"&amp;$B$3,'Schedule from TM'!$BG$11:$BI$5051,3,0),"")</f>
        <v/>
      </c>
    </row>
    <row r="81" spans="1:11" x14ac:dyDescent="0.2">
      <c r="A81" s="5">
        <f t="shared" si="32"/>
        <v>0.61111111111111105</v>
      </c>
      <c r="B81" s="3" t="str">
        <f>IFERROR(VLOOKUP(TEXT(B$6+$A81,"MM/DD/YYYY HH:MM")&amp;"-&gt;"&amp;$B$3,'Schedule from TM'!$BG$11:$BI$5051,3,0),"")</f>
        <v/>
      </c>
      <c r="C81" s="3" t="str">
        <f>IFERROR(VLOOKUP(TEXT(C$6+$A81,"MM/DD/YYYY HH:MM")&amp;"-&gt;"&amp;$B$3,'Schedule from TM'!$BG$11:$BI$5051,3,0),"")</f>
        <v/>
      </c>
      <c r="D81" s="3" t="str">
        <f>IFERROR(VLOOKUP(TEXT(D$6+$A81,"MM/DD/YYYY HH:MM")&amp;"-&gt;"&amp;$B$3,'Schedule from TM'!$BG$11:$BI$5051,3,0),"")</f>
        <v/>
      </c>
      <c r="E81" s="3" t="str">
        <f>IFERROR(VLOOKUP(TEXT(E$6+$A81,"MM/DD/YYYY HH:MM")&amp;"-&gt;"&amp;$B$3,'Schedule from TM'!$BG$11:$BI$5051,3,0),"")</f>
        <v/>
      </c>
      <c r="F81" s="3" t="str">
        <f>IFERROR(VLOOKUP(TEXT(F$6+$A81,"MM/DD/YYYY HH:MM")&amp;"-&gt;"&amp;$B$3,'Schedule from TM'!$BG$11:$BI$5051,3,0),"")</f>
        <v/>
      </c>
      <c r="G81" s="3" t="str">
        <f>IFERROR(VLOOKUP(TEXT(G$6+$A81,"MM/DD/YYYY HH:MM")&amp;"-&gt;"&amp;$B$3,'Schedule from TM'!$BG$11:$BI$5051,3,0),"")</f>
        <v/>
      </c>
      <c r="H81" s="3" t="str">
        <f>IFERROR(VLOOKUP(TEXT(H$6+$A81,"MM/DD/YYYY HH:MM")&amp;"-&gt;"&amp;$B$3,'Schedule from TM'!$BG$11:$BI$5051,3,0),"")</f>
        <v/>
      </c>
      <c r="I81" s="3" t="str">
        <f>IFERROR(VLOOKUP(TEXT(I$6+$A81,"MM/DD/YYYY HH:MM")&amp;"-&gt;"&amp;$B$3,'Schedule from TM'!$BG$11:$BI$5051,3,0),"")</f>
        <v/>
      </c>
      <c r="J81" s="3" t="str">
        <f>IFERROR(VLOOKUP(TEXT(J$6+$A81,"MM/DD/YYYY HH:MM")&amp;"-&gt;"&amp;$B$3,'Schedule from TM'!$BG$11:$BI$5051,3,0),"")</f>
        <v/>
      </c>
      <c r="K81" s="3" t="str">
        <f>IFERROR(VLOOKUP(TEXT(K$6+$A81,"MM/DD/YYYY HH:MM")&amp;"-&gt;"&amp;$B$3,'Schedule from TM'!$BG$11:$BI$5051,3,0),"")</f>
        <v/>
      </c>
    </row>
    <row r="82" spans="1:11" x14ac:dyDescent="0.2">
      <c r="A82" s="5">
        <f t="shared" si="32"/>
        <v>0.64583333333333326</v>
      </c>
      <c r="B82" s="3" t="str">
        <f>IFERROR(VLOOKUP(TEXT(B$6+$A82,"MM/DD/YYYY HH:MM")&amp;"-&gt;"&amp;$B$3,'Schedule from TM'!$BG$11:$BI$5051,3,0),"")</f>
        <v/>
      </c>
      <c r="C82" s="3" t="str">
        <f>IFERROR(VLOOKUP(TEXT(C$6+$A82,"MM/DD/YYYY HH:MM")&amp;"-&gt;"&amp;$B$3,'Schedule from TM'!$BG$11:$BI$5051,3,0),"")</f>
        <v/>
      </c>
      <c r="D82" s="3" t="str">
        <f>IFERROR(VLOOKUP(TEXT(D$6+$A82,"MM/DD/YYYY HH:MM")&amp;"-&gt;"&amp;$B$3,'Schedule from TM'!$BG$11:$BI$5051,3,0),"")</f>
        <v/>
      </c>
      <c r="E82" s="3" t="str">
        <f>IFERROR(VLOOKUP(TEXT(E$6+$A82,"MM/DD/YYYY HH:MM")&amp;"-&gt;"&amp;$B$3,'Schedule from TM'!$BG$11:$BI$5051,3,0),"")</f>
        <v/>
      </c>
      <c r="F82" s="3" t="str">
        <f>IFERROR(VLOOKUP(TEXT(F$6+$A82,"MM/DD/YYYY HH:MM")&amp;"-&gt;"&amp;$B$3,'Schedule from TM'!$BG$11:$BI$5051,3,0),"")</f>
        <v/>
      </c>
      <c r="G82" s="3" t="str">
        <f>IFERROR(VLOOKUP(TEXT(G$6+$A82,"MM/DD/YYYY HH:MM")&amp;"-&gt;"&amp;$B$3,'Schedule from TM'!$BG$11:$BI$5051,3,0),"")</f>
        <v/>
      </c>
      <c r="H82" s="3" t="str">
        <f>IFERROR(VLOOKUP(TEXT(H$6+$A82,"MM/DD/YYYY HH:MM")&amp;"-&gt;"&amp;$B$3,'Schedule from TM'!$BG$11:$BI$5051,3,0),"")</f>
        <v/>
      </c>
      <c r="I82" s="3" t="str">
        <f>IFERROR(VLOOKUP(TEXT(I$6+$A82,"MM/DD/YYYY HH:MM")&amp;"-&gt;"&amp;$B$3,'Schedule from TM'!$BG$11:$BI$5051,3,0),"")</f>
        <v/>
      </c>
      <c r="J82" s="3" t="str">
        <f>IFERROR(VLOOKUP(TEXT(J$6+$A82,"MM/DD/YYYY HH:MM")&amp;"-&gt;"&amp;$B$3,'Schedule from TM'!$BG$11:$BI$5051,3,0),"")</f>
        <v/>
      </c>
      <c r="K82" s="3" t="str">
        <f>IFERROR(VLOOKUP(TEXT(K$6+$A82,"MM/DD/YYYY HH:MM")&amp;"-&gt;"&amp;$B$3,'Schedule from TM'!$BG$11:$BI$5051,3,0),"")</f>
        <v/>
      </c>
    </row>
    <row r="83" spans="1:11" x14ac:dyDescent="0.2">
      <c r="A83" s="5">
        <f t="shared" si="32"/>
        <v>0.68055555555555547</v>
      </c>
      <c r="B83" s="3" t="str">
        <f>IFERROR(VLOOKUP(TEXT(B$6+$A83,"MM/DD/YYYY HH:MM")&amp;"-&gt;"&amp;$B$3,'Schedule from TM'!$BG$11:$BI$5051,3,0),"")</f>
        <v/>
      </c>
      <c r="C83" s="3" t="str">
        <f>IFERROR(VLOOKUP(TEXT(C$6+$A83,"MM/DD/YYYY HH:MM")&amp;"-&gt;"&amp;$B$3,'Schedule from TM'!$BG$11:$BI$5051,3,0),"")</f>
        <v/>
      </c>
      <c r="D83" s="3" t="str">
        <f>IFERROR(VLOOKUP(TEXT(D$6+$A83,"MM/DD/YYYY HH:MM")&amp;"-&gt;"&amp;$B$3,'Schedule from TM'!$BG$11:$BI$5051,3,0),"")</f>
        <v/>
      </c>
      <c r="E83" s="3" t="str">
        <f>IFERROR(VLOOKUP(TEXT(E$6+$A83,"MM/DD/YYYY HH:MM")&amp;"-&gt;"&amp;$B$3,'Schedule from TM'!$BG$11:$BI$5051,3,0),"")</f>
        <v/>
      </c>
      <c r="F83" s="3" t="str">
        <f>IFERROR(VLOOKUP(TEXT(F$6+$A83,"MM/DD/YYYY HH:MM")&amp;"-&gt;"&amp;$B$3,'Schedule from TM'!$BG$11:$BI$5051,3,0),"")</f>
        <v/>
      </c>
      <c r="G83" s="3" t="str">
        <f>IFERROR(VLOOKUP(TEXT(G$6+$A83,"MM/DD/YYYY HH:MM")&amp;"-&gt;"&amp;$B$3,'Schedule from TM'!$BG$11:$BI$5051,3,0),"")</f>
        <v/>
      </c>
      <c r="H83" s="3" t="str">
        <f>IFERROR(VLOOKUP(TEXT(H$6+$A83,"MM/DD/YYYY HH:MM")&amp;"-&gt;"&amp;$B$3,'Schedule from TM'!$BG$11:$BI$5051,3,0),"")</f>
        <v/>
      </c>
      <c r="I83" s="3" t="str">
        <f>IFERROR(VLOOKUP(TEXT(I$6+$A83,"MM/DD/YYYY HH:MM")&amp;"-&gt;"&amp;$B$3,'Schedule from TM'!$BG$11:$BI$5051,3,0),"")</f>
        <v/>
      </c>
      <c r="J83" s="3" t="str">
        <f>IFERROR(VLOOKUP(TEXT(J$6+$A83,"MM/DD/YYYY HH:MM")&amp;"-&gt;"&amp;$B$3,'Schedule from TM'!$BG$11:$BI$5051,3,0),"")</f>
        <v/>
      </c>
      <c r="K83" s="3" t="str">
        <f>IFERROR(VLOOKUP(TEXT(K$6+$A83,"MM/DD/YYYY HH:MM")&amp;"-&gt;"&amp;$B$3,'Schedule from TM'!$BG$11:$BI$5051,3,0),"")</f>
        <v/>
      </c>
    </row>
    <row r="84" spans="1:11" x14ac:dyDescent="0.2">
      <c r="A84" s="5">
        <f t="shared" si="32"/>
        <v>0.71527777777777768</v>
      </c>
      <c r="B84" s="3" t="str">
        <f>IFERROR(VLOOKUP(TEXT(B$6+$A84,"MM/DD/YYYY HH:MM")&amp;"-&gt;"&amp;$B$3,'Schedule from TM'!$BG$11:$BI$5051,3,0),"")</f>
        <v/>
      </c>
      <c r="C84" s="3" t="str">
        <f>IFERROR(VLOOKUP(TEXT(C$6+$A84,"MM/DD/YYYY HH:MM")&amp;"-&gt;"&amp;$B$3,'Schedule from TM'!$BG$11:$BI$5051,3,0),"")</f>
        <v/>
      </c>
      <c r="D84" s="3" t="str">
        <f>IFERROR(VLOOKUP(TEXT(D$6+$A84,"MM/DD/YYYY HH:MM")&amp;"-&gt;"&amp;$B$3,'Schedule from TM'!$BG$11:$BI$5051,3,0),"")</f>
        <v/>
      </c>
      <c r="E84" s="3" t="str">
        <f>IFERROR(VLOOKUP(TEXT(E$6+$A84,"MM/DD/YYYY HH:MM")&amp;"-&gt;"&amp;$B$3,'Schedule from TM'!$BG$11:$BI$5051,3,0),"")</f>
        <v/>
      </c>
      <c r="F84" s="3" t="str">
        <f>IFERROR(VLOOKUP(TEXT(F$6+$A84,"MM/DD/YYYY HH:MM")&amp;"-&gt;"&amp;$B$3,'Schedule from TM'!$BG$11:$BI$5051,3,0),"")</f>
        <v/>
      </c>
      <c r="G84" s="3" t="str">
        <f>IFERROR(VLOOKUP(TEXT(G$6+$A84,"MM/DD/YYYY HH:MM")&amp;"-&gt;"&amp;$B$3,'Schedule from TM'!$BG$11:$BI$5051,3,0),"")</f>
        <v/>
      </c>
      <c r="H84" s="3" t="str">
        <f>IFERROR(VLOOKUP(TEXT(H$6+$A84,"MM/DD/YYYY HH:MM")&amp;"-&gt;"&amp;$B$3,'Schedule from TM'!$BG$11:$BI$5051,3,0),"")</f>
        <v/>
      </c>
      <c r="I84" s="3" t="str">
        <f>IFERROR(VLOOKUP(TEXT(I$6+$A84,"MM/DD/YYYY HH:MM")&amp;"-&gt;"&amp;$B$3,'Schedule from TM'!$BG$11:$BI$5051,3,0),"")</f>
        <v/>
      </c>
      <c r="J84" s="3" t="str">
        <f>IFERROR(VLOOKUP(TEXT(J$6+$A84,"MM/DD/YYYY HH:MM")&amp;"-&gt;"&amp;$B$3,'Schedule from TM'!$BG$11:$BI$5051,3,0),"")</f>
        <v/>
      </c>
      <c r="K84" s="3" t="str">
        <f>IFERROR(VLOOKUP(TEXT(K$6+$A84,"MM/DD/YYYY HH:MM")&amp;"-&gt;"&amp;$B$3,'Schedule from TM'!$BG$11:$BI$5051,3,0),"")</f>
        <v/>
      </c>
    </row>
    <row r="85" spans="1:11" x14ac:dyDescent="0.2">
      <c r="A85" s="5">
        <f t="shared" si="32"/>
        <v>0.74999999999999989</v>
      </c>
      <c r="B85" s="3" t="str">
        <f>IFERROR(VLOOKUP(TEXT(B$6+$A85,"MM/DD/YYYY HH:MM")&amp;"-&gt;"&amp;$B$3,'Schedule from TM'!$BG$11:$BI$5051,3,0),"")</f>
        <v/>
      </c>
      <c r="C85" s="3" t="str">
        <f>IFERROR(VLOOKUP(TEXT(C$6+$A85,"MM/DD/YYYY HH:MM")&amp;"-&gt;"&amp;$B$3,'Schedule from TM'!$BG$11:$BI$5051,3,0),"")</f>
        <v/>
      </c>
      <c r="D85" s="3" t="str">
        <f>IFERROR(VLOOKUP(TEXT(D$6+$A85,"MM/DD/YYYY HH:MM")&amp;"-&gt;"&amp;$B$3,'Schedule from TM'!$BG$11:$BI$5051,3,0),"")</f>
        <v/>
      </c>
      <c r="E85" s="3" t="str">
        <f>IFERROR(VLOOKUP(TEXT(E$6+$A85,"MM/DD/YYYY HH:MM")&amp;"-&gt;"&amp;$B$3,'Schedule from TM'!$BG$11:$BI$5051,3,0),"")</f>
        <v/>
      </c>
      <c r="F85" s="3" t="str">
        <f>IFERROR(VLOOKUP(TEXT(F$6+$A85,"MM/DD/YYYY HH:MM")&amp;"-&gt;"&amp;$B$3,'Schedule from TM'!$BG$11:$BI$5051,3,0),"")</f>
        <v/>
      </c>
      <c r="G85" s="3" t="str">
        <f>IFERROR(VLOOKUP(TEXT(G$6+$A85,"MM/DD/YYYY HH:MM")&amp;"-&gt;"&amp;$B$3,'Schedule from TM'!$BG$11:$BI$5051,3,0),"")</f>
        <v/>
      </c>
      <c r="H85" s="3" t="str">
        <f>IFERROR(VLOOKUP(TEXT(H$6+$A85,"MM/DD/YYYY HH:MM")&amp;"-&gt;"&amp;$B$3,'Schedule from TM'!$BG$11:$BI$5051,3,0),"")</f>
        <v/>
      </c>
      <c r="I85" s="3" t="str">
        <f>IFERROR(VLOOKUP(TEXT(I$6+$A85,"MM/DD/YYYY HH:MM")&amp;"-&gt;"&amp;$B$3,'Schedule from TM'!$BG$11:$BI$5051,3,0),"")</f>
        <v/>
      </c>
      <c r="J85" s="3" t="str">
        <f>IFERROR(VLOOKUP(TEXT(J$6+$A85,"MM/DD/YYYY HH:MM")&amp;"-&gt;"&amp;$B$3,'Schedule from TM'!$BG$11:$BI$5051,3,0),"")</f>
        <v/>
      </c>
      <c r="K85" s="3" t="str">
        <f>IFERROR(VLOOKUP(TEXT(K$6+$A85,"MM/DD/YYYY HH:MM")&amp;"-&gt;"&amp;$B$3,'Schedule from TM'!$BG$11:$BI$5051,3,0),"")</f>
        <v/>
      </c>
    </row>
    <row r="86" spans="1:11" x14ac:dyDescent="0.2">
      <c r="A86" s="5">
        <f t="shared" si="32"/>
        <v>0.7847222222222221</v>
      </c>
      <c r="B86" s="3" t="str">
        <f>IFERROR(VLOOKUP(TEXT(B$6+$A86,"MM/DD/YYYY HH:MM")&amp;"-&gt;"&amp;$B$3,'Schedule from TM'!$BG$11:$BI$5051,3,0),"")</f>
        <v/>
      </c>
      <c r="C86" s="3" t="str">
        <f>IFERROR(VLOOKUP(TEXT(C$6+$A86,"MM/DD/YYYY HH:MM")&amp;"-&gt;"&amp;$B$3,'Schedule from TM'!$BG$11:$BI$5051,3,0),"")</f>
        <v/>
      </c>
      <c r="D86" s="3" t="str">
        <f>IFERROR(VLOOKUP(TEXT(D$6+$A86,"MM/DD/YYYY HH:MM")&amp;"-&gt;"&amp;$B$3,'Schedule from TM'!$BG$11:$BI$5051,3,0),"")</f>
        <v/>
      </c>
      <c r="E86" s="3" t="str">
        <f>IFERROR(VLOOKUP(TEXT(E$6+$A86,"MM/DD/YYYY HH:MM")&amp;"-&gt;"&amp;$B$3,'Schedule from TM'!$BG$11:$BI$5051,3,0),"")</f>
        <v/>
      </c>
      <c r="F86" s="3" t="str">
        <f>IFERROR(VLOOKUP(TEXT(F$6+$A86,"MM/DD/YYYY HH:MM")&amp;"-&gt;"&amp;$B$3,'Schedule from TM'!$BG$11:$BI$5051,3,0),"")</f>
        <v/>
      </c>
      <c r="G86" s="3" t="str">
        <f>IFERROR(VLOOKUP(TEXT(G$6+$A86,"MM/DD/YYYY HH:MM")&amp;"-&gt;"&amp;$B$3,'Schedule from TM'!$BG$11:$BI$5051,3,0),"")</f>
        <v/>
      </c>
      <c r="H86" s="3" t="str">
        <f>IFERROR(VLOOKUP(TEXT(H$6+$A86,"MM/DD/YYYY HH:MM")&amp;"-&gt;"&amp;$B$3,'Schedule from TM'!$BG$11:$BI$5051,3,0),"")</f>
        <v/>
      </c>
      <c r="I86" s="3" t="str">
        <f>IFERROR(VLOOKUP(TEXT(I$6+$A86,"MM/DD/YYYY HH:MM")&amp;"-&gt;"&amp;$B$3,'Schedule from TM'!$BG$11:$BI$5051,3,0),"")</f>
        <v/>
      </c>
      <c r="J86" s="3" t="str">
        <f>IFERROR(VLOOKUP(TEXT(J$6+$A86,"MM/DD/YYYY HH:MM")&amp;"-&gt;"&amp;$B$3,'Schedule from TM'!$BG$11:$BI$5051,3,0),"")</f>
        <v/>
      </c>
      <c r="K86" s="3" t="str">
        <f>IFERROR(VLOOKUP(TEXT(K$6+$A86,"MM/DD/YYYY HH:MM")&amp;"-&gt;"&amp;$B$3,'Schedule from TM'!$BG$11:$BI$5051,3,0),"")</f>
        <v/>
      </c>
    </row>
    <row r="87" spans="1:11" x14ac:dyDescent="0.2">
      <c r="A87" s="5">
        <f t="shared" si="32"/>
        <v>0.81944444444444431</v>
      </c>
      <c r="B87" s="3" t="str">
        <f>IFERROR(VLOOKUP(TEXT(B$6+$A87,"MM/DD/YYYY HH:MM")&amp;"-&gt;"&amp;$B$3,'Schedule from TM'!$BG$11:$BI$5051,3,0),"")</f>
        <v/>
      </c>
      <c r="C87" s="3" t="str">
        <f>IFERROR(VLOOKUP(TEXT(C$6+$A87,"MM/DD/YYYY HH:MM")&amp;"-&gt;"&amp;$B$3,'Schedule from TM'!$BG$11:$BI$5051,3,0),"")</f>
        <v/>
      </c>
      <c r="D87" s="3" t="str">
        <f>IFERROR(VLOOKUP(TEXT(D$6+$A87,"MM/DD/YYYY HH:MM")&amp;"-&gt;"&amp;$B$3,'Schedule from TM'!$BG$11:$BI$5051,3,0),"")</f>
        <v/>
      </c>
      <c r="E87" s="3" t="str">
        <f>IFERROR(VLOOKUP(TEXT(E$6+$A87,"MM/DD/YYYY HH:MM")&amp;"-&gt;"&amp;$B$3,'Schedule from TM'!$BG$11:$BI$5051,3,0),"")</f>
        <v/>
      </c>
      <c r="F87" s="3" t="str">
        <f>IFERROR(VLOOKUP(TEXT(F$6+$A87,"MM/DD/YYYY HH:MM")&amp;"-&gt;"&amp;$B$3,'Schedule from TM'!$BG$11:$BI$5051,3,0),"")</f>
        <v/>
      </c>
      <c r="G87" s="3" t="str">
        <f>IFERROR(VLOOKUP(TEXT(G$6+$A87,"MM/DD/YYYY HH:MM")&amp;"-&gt;"&amp;$B$3,'Schedule from TM'!$BG$11:$BI$5051,3,0),"")</f>
        <v/>
      </c>
      <c r="H87" s="3" t="str">
        <f>IFERROR(VLOOKUP(TEXT(H$6+$A87,"MM/DD/YYYY HH:MM")&amp;"-&gt;"&amp;$B$3,'Schedule from TM'!$BG$11:$BI$5051,3,0),"")</f>
        <v/>
      </c>
      <c r="I87" s="3" t="str">
        <f>IFERROR(VLOOKUP(TEXT(I$6+$A87,"MM/DD/YYYY HH:MM")&amp;"-&gt;"&amp;$B$3,'Schedule from TM'!$BG$11:$BI$5051,3,0),"")</f>
        <v/>
      </c>
      <c r="J87" s="3" t="str">
        <f>IFERROR(VLOOKUP(TEXT(J$6+$A87,"MM/DD/YYYY HH:MM")&amp;"-&gt;"&amp;$B$3,'Schedule from TM'!$BG$11:$BI$5051,3,0),"")</f>
        <v/>
      </c>
      <c r="K87" s="3" t="str">
        <f>IFERROR(VLOOKUP(TEXT(K$6+$A87,"MM/DD/YYYY HH:MM")&amp;"-&gt;"&amp;$B$3,'Schedule from TM'!$BG$11:$BI$5051,3,0),"")</f>
        <v/>
      </c>
    </row>
    <row r="88" spans="1:11" x14ac:dyDescent="0.2">
      <c r="A88" s="5">
        <f t="shared" si="32"/>
        <v>0.85416666666666652</v>
      </c>
      <c r="B88" s="3" t="str">
        <f>IFERROR(VLOOKUP(TEXT(B$6+$A88,"MM/DD/YYYY HH:MM")&amp;"-&gt;"&amp;$B$3,'Schedule from TM'!$BG$11:$BI$5051,3,0),"")</f>
        <v/>
      </c>
      <c r="C88" s="3" t="str">
        <f>IFERROR(VLOOKUP(TEXT(C$6+$A88,"MM/DD/YYYY HH:MM")&amp;"-&gt;"&amp;$B$3,'Schedule from TM'!$BG$11:$BI$5051,3,0),"")</f>
        <v/>
      </c>
      <c r="D88" s="3" t="str">
        <f>IFERROR(VLOOKUP(TEXT(D$6+$A88,"MM/DD/YYYY HH:MM")&amp;"-&gt;"&amp;$B$3,'Schedule from TM'!$BG$11:$BI$5051,3,0),"")</f>
        <v/>
      </c>
      <c r="E88" s="3" t="str">
        <f>IFERROR(VLOOKUP(TEXT(E$6+$A88,"MM/DD/YYYY HH:MM")&amp;"-&gt;"&amp;$B$3,'Schedule from TM'!$BG$11:$BI$5051,3,0),"")</f>
        <v/>
      </c>
      <c r="F88" s="3" t="str">
        <f>IFERROR(VLOOKUP(TEXT(F$6+$A88,"MM/DD/YYYY HH:MM")&amp;"-&gt;"&amp;$B$3,'Schedule from TM'!$BG$11:$BI$5051,3,0),"")</f>
        <v/>
      </c>
      <c r="G88" s="3" t="str">
        <f>IFERROR(VLOOKUP(TEXT(G$6+$A88,"MM/DD/YYYY HH:MM")&amp;"-&gt;"&amp;$B$3,'Schedule from TM'!$BG$11:$BI$5051,3,0),"")</f>
        <v/>
      </c>
      <c r="H88" s="3" t="str">
        <f>IFERROR(VLOOKUP(TEXT(H$6+$A88,"MM/DD/YYYY HH:MM")&amp;"-&gt;"&amp;$B$3,'Schedule from TM'!$BG$11:$BI$5051,3,0),"")</f>
        <v/>
      </c>
      <c r="I88" s="3" t="str">
        <f>IFERROR(VLOOKUP(TEXT(I$6+$A88,"MM/DD/YYYY HH:MM")&amp;"-&gt;"&amp;$B$3,'Schedule from TM'!$BG$11:$BI$5051,3,0),"")</f>
        <v/>
      </c>
      <c r="J88" s="3" t="str">
        <f>IFERROR(VLOOKUP(TEXT(J$6+$A88,"MM/DD/YYYY HH:MM")&amp;"-&gt;"&amp;$B$3,'Schedule from TM'!$BG$11:$BI$5051,3,0),"")</f>
        <v/>
      </c>
      <c r="K88" s="3" t="str">
        <f>IFERROR(VLOOKUP(TEXT(K$6+$A88,"MM/DD/YYYY HH:MM")&amp;"-&gt;"&amp;$B$3,'Schedule from TM'!$BG$11:$BI$5051,3,0),"")</f>
        <v/>
      </c>
    </row>
    <row r="89" spans="1:11" x14ac:dyDescent="0.2">
      <c r="A89" s="5">
        <f t="shared" si="32"/>
        <v>0.88888888888888873</v>
      </c>
      <c r="B89" s="3" t="str">
        <f>IFERROR(VLOOKUP(TEXT(B$6+$A89,"MM/DD/YYYY HH:MM")&amp;"-&gt;"&amp;$B$3,'Schedule from TM'!$BG$11:$BI$5051,3,0),"")</f>
        <v/>
      </c>
      <c r="C89" s="3" t="str">
        <f>IFERROR(VLOOKUP(TEXT(C$6+$A89,"MM/DD/YYYY HH:MM")&amp;"-&gt;"&amp;$B$3,'Schedule from TM'!$BG$11:$BI$5051,3,0),"")</f>
        <v/>
      </c>
      <c r="D89" s="3" t="str">
        <f>IFERROR(VLOOKUP(TEXT(D$6+$A89,"MM/DD/YYYY HH:MM")&amp;"-&gt;"&amp;$B$3,'Schedule from TM'!$BG$11:$BI$5051,3,0),"")</f>
        <v/>
      </c>
      <c r="E89" s="3" t="str">
        <f>IFERROR(VLOOKUP(TEXT(E$6+$A89,"MM/DD/YYYY HH:MM")&amp;"-&gt;"&amp;$B$3,'Schedule from TM'!$BG$11:$BI$5051,3,0),"")</f>
        <v/>
      </c>
      <c r="F89" s="3" t="str">
        <f>IFERROR(VLOOKUP(TEXT(F$6+$A89,"MM/DD/YYYY HH:MM")&amp;"-&gt;"&amp;$B$3,'Schedule from TM'!$BG$11:$BI$5051,3,0),"")</f>
        <v/>
      </c>
      <c r="G89" s="3" t="str">
        <f>IFERROR(VLOOKUP(TEXT(G$6+$A89,"MM/DD/YYYY HH:MM")&amp;"-&gt;"&amp;$B$3,'Schedule from TM'!$BG$11:$BI$5051,3,0),"")</f>
        <v/>
      </c>
      <c r="H89" s="3" t="str">
        <f>IFERROR(VLOOKUP(TEXT(H$6+$A89,"MM/DD/YYYY HH:MM")&amp;"-&gt;"&amp;$B$3,'Schedule from TM'!$BG$11:$BI$5051,3,0),"")</f>
        <v/>
      </c>
      <c r="I89" s="3" t="str">
        <f>IFERROR(VLOOKUP(TEXT(I$6+$A89,"MM/DD/YYYY HH:MM")&amp;"-&gt;"&amp;$B$3,'Schedule from TM'!$BG$11:$BI$5051,3,0),"")</f>
        <v/>
      </c>
      <c r="J89" s="3" t="str">
        <f>IFERROR(VLOOKUP(TEXT(J$6+$A89,"MM/DD/YYYY HH:MM")&amp;"-&gt;"&amp;$B$3,'Schedule from TM'!$BG$11:$BI$5051,3,0),"")</f>
        <v/>
      </c>
      <c r="K89" s="3" t="str">
        <f>IFERROR(VLOOKUP(TEXT(K$6+$A89,"MM/DD/YYYY HH:MM")&amp;"-&gt;"&amp;$B$3,'Schedule from TM'!$BG$11:$BI$5051,3,0),"")</f>
        <v/>
      </c>
    </row>
    <row r="90" spans="1:11" x14ac:dyDescent="0.2">
      <c r="A90" s="5">
        <f t="shared" si="32"/>
        <v>0.92361111111111094</v>
      </c>
      <c r="B90" s="3" t="str">
        <f>IFERROR(VLOOKUP(TEXT(B$6+$A90,"MM/DD/YYYY HH:MM")&amp;"-&gt;"&amp;$B$3,'Schedule from TM'!$BG$11:$BI$5051,3,0),"")</f>
        <v/>
      </c>
      <c r="C90" s="3" t="str">
        <f>IFERROR(VLOOKUP(TEXT(C$6+$A90,"MM/DD/YYYY HH:MM")&amp;"-&gt;"&amp;$B$3,'Schedule from TM'!$BG$11:$BI$5051,3,0),"")</f>
        <v/>
      </c>
      <c r="D90" s="3" t="str">
        <f>IFERROR(VLOOKUP(TEXT(D$6+$A90,"MM/DD/YYYY HH:MM")&amp;"-&gt;"&amp;$B$3,'Schedule from TM'!$BG$11:$BI$5051,3,0),"")</f>
        <v/>
      </c>
      <c r="E90" s="3" t="str">
        <f>IFERROR(VLOOKUP(TEXT(E$6+$A90,"MM/DD/YYYY HH:MM")&amp;"-&gt;"&amp;$B$3,'Schedule from TM'!$BG$11:$BI$5051,3,0),"")</f>
        <v/>
      </c>
      <c r="F90" s="3" t="str">
        <f>IFERROR(VLOOKUP(TEXT(F$6+$A90,"MM/DD/YYYY HH:MM")&amp;"-&gt;"&amp;$B$3,'Schedule from TM'!$BG$11:$BI$5051,3,0),"")</f>
        <v/>
      </c>
      <c r="G90" s="3" t="str">
        <f>IFERROR(VLOOKUP(TEXT(G$6+$A90,"MM/DD/YYYY HH:MM")&amp;"-&gt;"&amp;$B$3,'Schedule from TM'!$BG$11:$BI$5051,3,0),"")</f>
        <v/>
      </c>
      <c r="H90" s="3" t="str">
        <f>IFERROR(VLOOKUP(TEXT(H$6+$A90,"MM/DD/YYYY HH:MM")&amp;"-&gt;"&amp;$B$3,'Schedule from TM'!$BG$11:$BI$5051,3,0),"")</f>
        <v/>
      </c>
      <c r="I90" s="3" t="str">
        <f>IFERROR(VLOOKUP(TEXT(I$6+$A90,"MM/DD/YYYY HH:MM")&amp;"-&gt;"&amp;$B$3,'Schedule from TM'!$BG$11:$BI$5051,3,0),"")</f>
        <v/>
      </c>
      <c r="J90" s="3" t="str">
        <f>IFERROR(VLOOKUP(TEXT(J$6+$A90,"MM/DD/YYYY HH:MM")&amp;"-&gt;"&amp;$B$3,'Schedule from TM'!$BG$11:$BI$5051,3,0),"")</f>
        <v/>
      </c>
      <c r="K90" s="3" t="str">
        <f>IFERROR(VLOOKUP(TEXT(K$6+$A90,"MM/DD/YYYY HH:MM")&amp;"-&gt;"&amp;$B$3,'Schedule from TM'!$BG$11:$BI$5051,3,0),"")</f>
        <v/>
      </c>
    </row>
    <row r="91" spans="1:11" x14ac:dyDescent="0.2">
      <c r="A91" s="5">
        <f t="shared" si="32"/>
        <v>0.95833333333333315</v>
      </c>
      <c r="B91" s="3" t="str">
        <f>IFERROR(VLOOKUP(TEXT(B$6+$A91,"MM/DD/YYYY HH:MM")&amp;"-&gt;"&amp;$B$3,'Schedule from TM'!$BG$11:$BI$5051,3,0),"")</f>
        <v/>
      </c>
      <c r="C91" s="3" t="str">
        <f>IFERROR(VLOOKUP(TEXT(C$6+$A91,"MM/DD/YYYY HH:MM")&amp;"-&gt;"&amp;$B$3,'Schedule from TM'!$BG$11:$BI$5051,3,0),"")</f>
        <v/>
      </c>
      <c r="D91" s="3" t="str">
        <f>IFERROR(VLOOKUP(TEXT(D$6+$A91,"MM/DD/YYYY HH:MM")&amp;"-&gt;"&amp;$B$3,'Schedule from TM'!$BG$11:$BI$5051,3,0),"")</f>
        <v/>
      </c>
      <c r="E91" s="3" t="str">
        <f>IFERROR(VLOOKUP(TEXT(E$6+$A91,"MM/DD/YYYY HH:MM")&amp;"-&gt;"&amp;$B$3,'Schedule from TM'!$BG$11:$BI$5051,3,0),"")</f>
        <v/>
      </c>
      <c r="F91" s="3" t="str">
        <f>IFERROR(VLOOKUP(TEXT(F$6+$A91,"MM/DD/YYYY HH:MM")&amp;"-&gt;"&amp;$B$3,'Schedule from TM'!$BG$11:$BI$5051,3,0),"")</f>
        <v/>
      </c>
      <c r="G91" s="3" t="str">
        <f>IFERROR(VLOOKUP(TEXT(G$6+$A91,"MM/DD/YYYY HH:MM")&amp;"-&gt;"&amp;$B$3,'Schedule from TM'!$BG$11:$BI$5051,3,0),"")</f>
        <v/>
      </c>
      <c r="H91" s="3" t="str">
        <f>IFERROR(VLOOKUP(TEXT(H$6+$A91,"MM/DD/YYYY HH:MM")&amp;"-&gt;"&amp;$B$3,'Schedule from TM'!$BG$11:$BI$5051,3,0),"")</f>
        <v/>
      </c>
      <c r="I91" s="3" t="str">
        <f>IFERROR(VLOOKUP(TEXT(I$6+$A91,"MM/DD/YYYY HH:MM")&amp;"-&gt;"&amp;$B$3,'Schedule from TM'!$BG$11:$BI$5051,3,0),"")</f>
        <v/>
      </c>
      <c r="J91" s="3" t="str">
        <f>IFERROR(VLOOKUP(TEXT(J$6+$A91,"MM/DD/YYYY HH:MM")&amp;"-&gt;"&amp;$B$3,'Schedule from TM'!$BG$11:$BI$5051,3,0),"")</f>
        <v/>
      </c>
      <c r="K91" s="3" t="str">
        <f>IFERROR(VLOOKUP(TEXT(K$6+$A91,"MM/DD/YYYY HH:MM")&amp;"-&gt;"&amp;$B$3,'Schedule from TM'!$BG$11:$BI$5051,3,0),"")</f>
        <v/>
      </c>
    </row>
    <row r="93" spans="1:11" x14ac:dyDescent="0.2">
      <c r="A93" t="s">
        <v>397</v>
      </c>
    </row>
    <row r="94" spans="1:11" x14ac:dyDescent="0.2">
      <c r="A94" s="3"/>
      <c r="B94" s="3" t="s">
        <v>338</v>
      </c>
      <c r="C94" s="3" t="str">
        <f>B4</f>
        <v>&lt;no team&gt;</v>
      </c>
      <c r="D94" s="3"/>
      <c r="E94" s="3"/>
      <c r="F94" s="3"/>
      <c r="G94" s="3"/>
      <c r="H94" s="3"/>
      <c r="I94" s="3"/>
      <c r="J94" s="3"/>
      <c r="K94" s="3"/>
    </row>
    <row r="95" spans="1:11" x14ac:dyDescent="0.2">
      <c r="A95" s="3"/>
      <c r="B95" s="49">
        <f>B$6</f>
        <v>43057</v>
      </c>
      <c r="C95" s="49">
        <f t="shared" ref="C95:K95" si="33">C$6</f>
        <v>43058</v>
      </c>
      <c r="D95" s="49">
        <f t="shared" si="33"/>
        <v>43059</v>
      </c>
      <c r="E95" s="49">
        <f t="shared" si="33"/>
        <v>43060</v>
      </c>
      <c r="F95" s="49">
        <f t="shared" si="33"/>
        <v>43061</v>
      </c>
      <c r="G95" s="49">
        <f t="shared" si="33"/>
        <v>43062</v>
      </c>
      <c r="H95" s="49">
        <f t="shared" si="33"/>
        <v>43063</v>
      </c>
      <c r="I95" s="49">
        <f t="shared" si="33"/>
        <v>43064</v>
      </c>
      <c r="J95" s="49">
        <f t="shared" si="33"/>
        <v>43065</v>
      </c>
      <c r="K95" s="49">
        <f t="shared" si="33"/>
        <v>43066</v>
      </c>
    </row>
    <row r="96" spans="1:11" x14ac:dyDescent="0.2">
      <c r="A96" s="3"/>
      <c r="B96" s="49" t="str">
        <f>B$7</f>
        <v>Day 1 - Saturday</v>
      </c>
      <c r="C96" s="49" t="str">
        <f t="shared" ref="C96:K96" si="34">C$7</f>
        <v>Day 2 - Sunday</v>
      </c>
      <c r="D96" s="49" t="str">
        <f t="shared" si="34"/>
        <v>Day 3 - Monday</v>
      </c>
      <c r="E96" s="49" t="str">
        <f t="shared" si="34"/>
        <v>Day 4 - Tuesday</v>
      </c>
      <c r="F96" s="49" t="str">
        <f t="shared" si="34"/>
        <v>Day 5 - Wednesdy</v>
      </c>
      <c r="G96" s="49" t="str">
        <f t="shared" si="34"/>
        <v>Day 6 - Thursday</v>
      </c>
      <c r="H96" s="49" t="str">
        <f t="shared" si="34"/>
        <v>Day 7 - Friday</v>
      </c>
      <c r="I96" s="49" t="str">
        <f t="shared" si="34"/>
        <v>Day 8 - Saturday</v>
      </c>
      <c r="J96" s="49" t="str">
        <f t="shared" si="34"/>
        <v>Day 9 - Sunday</v>
      </c>
      <c r="K96" s="49" t="str">
        <f t="shared" si="34"/>
        <v>Day 9 - Monday</v>
      </c>
    </row>
    <row r="97" spans="1:1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</row>
    <row r="98" spans="1:11" x14ac:dyDescent="0.2">
      <c r="A98" s="5">
        <f t="shared" ref="A98:A116" si="35">A8</f>
        <v>0.33333333333333331</v>
      </c>
      <c r="B98" s="3" t="str">
        <f t="shared" ref="B98:K107" si="36">IFERROR(VLOOKUP(TEXT(B$6+$A98,"MM/DD/YYYY HH:MM")&amp;"-&gt;"&amp;$B$4,check_time_team_field,4,FALSE),"")</f>
        <v/>
      </c>
      <c r="C98" s="3" t="str">
        <f t="shared" si="36"/>
        <v/>
      </c>
      <c r="D98" s="3" t="str">
        <f t="shared" si="36"/>
        <v/>
      </c>
      <c r="E98" s="3" t="str">
        <f t="shared" si="36"/>
        <v/>
      </c>
      <c r="F98" s="3" t="str">
        <f t="shared" si="36"/>
        <v/>
      </c>
      <c r="G98" s="3" t="str">
        <f t="shared" si="36"/>
        <v/>
      </c>
      <c r="H98" s="3" t="str">
        <f t="shared" si="36"/>
        <v/>
      </c>
      <c r="I98" s="3" t="str">
        <f t="shared" si="36"/>
        <v/>
      </c>
      <c r="J98" s="3" t="str">
        <f t="shared" si="36"/>
        <v/>
      </c>
      <c r="K98" s="3" t="str">
        <f t="shared" si="36"/>
        <v/>
      </c>
    </row>
    <row r="99" spans="1:11" x14ac:dyDescent="0.2">
      <c r="A99" s="5">
        <f t="shared" si="35"/>
        <v>0.36805555555555552</v>
      </c>
      <c r="B99" s="3" t="str">
        <f t="shared" si="36"/>
        <v/>
      </c>
      <c r="C99" s="3" t="str">
        <f t="shared" si="36"/>
        <v/>
      </c>
      <c r="D99" s="3" t="str">
        <f t="shared" si="36"/>
        <v/>
      </c>
      <c r="E99" s="3" t="str">
        <f t="shared" si="36"/>
        <v/>
      </c>
      <c r="F99" s="3" t="str">
        <f t="shared" si="36"/>
        <v/>
      </c>
      <c r="G99" s="3" t="str">
        <f t="shared" si="36"/>
        <v/>
      </c>
      <c r="H99" s="3" t="str">
        <f t="shared" si="36"/>
        <v/>
      </c>
      <c r="I99" s="3" t="str">
        <f t="shared" si="36"/>
        <v/>
      </c>
      <c r="J99" s="3" t="str">
        <f t="shared" si="36"/>
        <v/>
      </c>
      <c r="K99" s="3" t="str">
        <f t="shared" si="36"/>
        <v/>
      </c>
    </row>
    <row r="100" spans="1:11" x14ac:dyDescent="0.2">
      <c r="A100" s="5">
        <f t="shared" si="35"/>
        <v>0.40277777777777773</v>
      </c>
      <c r="B100" s="3" t="str">
        <f t="shared" si="36"/>
        <v/>
      </c>
      <c r="C100" s="3" t="str">
        <f t="shared" si="36"/>
        <v/>
      </c>
      <c r="D100" s="3" t="str">
        <f t="shared" si="36"/>
        <v/>
      </c>
      <c r="E100" s="3" t="str">
        <f t="shared" si="36"/>
        <v/>
      </c>
      <c r="F100" s="3" t="str">
        <f t="shared" si="36"/>
        <v/>
      </c>
      <c r="G100" s="3" t="str">
        <f t="shared" si="36"/>
        <v/>
      </c>
      <c r="H100" s="3" t="str">
        <f t="shared" si="36"/>
        <v/>
      </c>
      <c r="I100" s="3" t="str">
        <f t="shared" si="36"/>
        <v/>
      </c>
      <c r="J100" s="3" t="str">
        <f t="shared" si="36"/>
        <v/>
      </c>
      <c r="K100" s="3" t="str">
        <f t="shared" si="36"/>
        <v/>
      </c>
    </row>
    <row r="101" spans="1:11" x14ac:dyDescent="0.2">
      <c r="A101" s="5">
        <f t="shared" si="35"/>
        <v>0.43749999999999994</v>
      </c>
      <c r="B101" s="3" t="str">
        <f t="shared" si="36"/>
        <v/>
      </c>
      <c r="C101" s="3" t="str">
        <f t="shared" si="36"/>
        <v/>
      </c>
      <c r="D101" s="3" t="str">
        <f t="shared" si="36"/>
        <v/>
      </c>
      <c r="E101" s="3" t="str">
        <f t="shared" si="36"/>
        <v/>
      </c>
      <c r="F101" s="3" t="str">
        <f t="shared" si="36"/>
        <v/>
      </c>
      <c r="G101" s="3" t="str">
        <f t="shared" si="36"/>
        <v/>
      </c>
      <c r="H101" s="3" t="str">
        <f t="shared" si="36"/>
        <v/>
      </c>
      <c r="I101" s="3" t="str">
        <f t="shared" si="36"/>
        <v/>
      </c>
      <c r="J101" s="3" t="str">
        <f t="shared" si="36"/>
        <v/>
      </c>
      <c r="K101" s="3" t="str">
        <f t="shared" si="36"/>
        <v/>
      </c>
    </row>
    <row r="102" spans="1:11" x14ac:dyDescent="0.2">
      <c r="A102" s="5">
        <f t="shared" si="35"/>
        <v>0.47222222222222215</v>
      </c>
      <c r="B102" s="3" t="str">
        <f t="shared" si="36"/>
        <v/>
      </c>
      <c r="C102" s="3" t="str">
        <f t="shared" si="36"/>
        <v/>
      </c>
      <c r="D102" s="3" t="str">
        <f t="shared" si="36"/>
        <v/>
      </c>
      <c r="E102" s="3" t="str">
        <f t="shared" si="36"/>
        <v/>
      </c>
      <c r="F102" s="3" t="str">
        <f t="shared" si="36"/>
        <v/>
      </c>
      <c r="G102" s="3" t="str">
        <f t="shared" si="36"/>
        <v/>
      </c>
      <c r="H102" s="3" t="str">
        <f t="shared" si="36"/>
        <v/>
      </c>
      <c r="I102" s="3" t="str">
        <f t="shared" si="36"/>
        <v/>
      </c>
      <c r="J102" s="3" t="str">
        <f t="shared" si="36"/>
        <v/>
      </c>
      <c r="K102" s="3" t="str">
        <f t="shared" si="36"/>
        <v/>
      </c>
    </row>
    <row r="103" spans="1:11" x14ac:dyDescent="0.2">
      <c r="A103" s="5">
        <f t="shared" si="35"/>
        <v>0.50694444444444442</v>
      </c>
      <c r="B103" s="3" t="str">
        <f t="shared" si="36"/>
        <v/>
      </c>
      <c r="C103" s="3" t="str">
        <f t="shared" si="36"/>
        <v/>
      </c>
      <c r="D103" s="3" t="str">
        <f t="shared" si="36"/>
        <v/>
      </c>
      <c r="E103" s="3" t="str">
        <f t="shared" si="36"/>
        <v/>
      </c>
      <c r="F103" s="3" t="str">
        <f t="shared" si="36"/>
        <v/>
      </c>
      <c r="G103" s="3" t="str">
        <f t="shared" si="36"/>
        <v/>
      </c>
      <c r="H103" s="3" t="str">
        <f t="shared" si="36"/>
        <v/>
      </c>
      <c r="I103" s="3" t="str">
        <f t="shared" si="36"/>
        <v/>
      </c>
      <c r="J103" s="3" t="str">
        <f t="shared" si="36"/>
        <v/>
      </c>
      <c r="K103" s="3" t="str">
        <f t="shared" si="36"/>
        <v/>
      </c>
    </row>
    <row r="104" spans="1:11" x14ac:dyDescent="0.2">
      <c r="A104" s="5">
        <f t="shared" si="35"/>
        <v>0.54166666666666663</v>
      </c>
      <c r="B104" s="3" t="str">
        <f t="shared" si="36"/>
        <v/>
      </c>
      <c r="C104" s="3" t="str">
        <f t="shared" si="36"/>
        <v/>
      </c>
      <c r="D104" s="3" t="str">
        <f t="shared" si="36"/>
        <v/>
      </c>
      <c r="E104" s="3" t="str">
        <f t="shared" si="36"/>
        <v/>
      </c>
      <c r="F104" s="3" t="str">
        <f t="shared" si="36"/>
        <v/>
      </c>
      <c r="G104" s="3" t="str">
        <f t="shared" si="36"/>
        <v/>
      </c>
      <c r="H104" s="3" t="str">
        <f t="shared" si="36"/>
        <v/>
      </c>
      <c r="I104" s="3" t="str">
        <f t="shared" si="36"/>
        <v/>
      </c>
      <c r="J104" s="3" t="str">
        <f t="shared" si="36"/>
        <v/>
      </c>
      <c r="K104" s="3" t="str">
        <f t="shared" si="36"/>
        <v/>
      </c>
    </row>
    <row r="105" spans="1:11" x14ac:dyDescent="0.2">
      <c r="A105" s="5">
        <f t="shared" si="35"/>
        <v>0.57638888888888884</v>
      </c>
      <c r="B105" s="3" t="str">
        <f t="shared" si="36"/>
        <v/>
      </c>
      <c r="C105" s="3" t="str">
        <f t="shared" si="36"/>
        <v/>
      </c>
      <c r="D105" s="3" t="str">
        <f t="shared" si="36"/>
        <v/>
      </c>
      <c r="E105" s="3" t="str">
        <f t="shared" si="36"/>
        <v/>
      </c>
      <c r="F105" s="3" t="str">
        <f t="shared" si="36"/>
        <v/>
      </c>
      <c r="G105" s="3" t="str">
        <f t="shared" si="36"/>
        <v/>
      </c>
      <c r="H105" s="3" t="str">
        <f t="shared" si="36"/>
        <v/>
      </c>
      <c r="I105" s="3" t="str">
        <f t="shared" si="36"/>
        <v/>
      </c>
      <c r="J105" s="3" t="str">
        <f t="shared" si="36"/>
        <v/>
      </c>
      <c r="K105" s="3" t="str">
        <f t="shared" si="36"/>
        <v/>
      </c>
    </row>
    <row r="106" spans="1:11" x14ac:dyDescent="0.2">
      <c r="A106" s="5">
        <f t="shared" si="35"/>
        <v>0.61111111111111105</v>
      </c>
      <c r="B106" s="3" t="str">
        <f t="shared" si="36"/>
        <v/>
      </c>
      <c r="C106" s="3" t="str">
        <f t="shared" si="36"/>
        <v/>
      </c>
      <c r="D106" s="3" t="str">
        <f t="shared" si="36"/>
        <v/>
      </c>
      <c r="E106" s="3" t="str">
        <f t="shared" si="36"/>
        <v/>
      </c>
      <c r="F106" s="3" t="str">
        <f t="shared" si="36"/>
        <v/>
      </c>
      <c r="G106" s="3" t="str">
        <f t="shared" si="36"/>
        <v/>
      </c>
      <c r="H106" s="3" t="str">
        <f t="shared" si="36"/>
        <v/>
      </c>
      <c r="I106" s="3" t="str">
        <f t="shared" si="36"/>
        <v/>
      </c>
      <c r="J106" s="3" t="str">
        <f t="shared" si="36"/>
        <v/>
      </c>
      <c r="K106" s="3" t="str">
        <f t="shared" si="36"/>
        <v/>
      </c>
    </row>
    <row r="107" spans="1:11" x14ac:dyDescent="0.2">
      <c r="A107" s="5">
        <f t="shared" si="35"/>
        <v>0.64583333333333326</v>
      </c>
      <c r="B107" s="3" t="str">
        <f t="shared" si="36"/>
        <v/>
      </c>
      <c r="C107" s="3" t="str">
        <f t="shared" si="36"/>
        <v/>
      </c>
      <c r="D107" s="3" t="str">
        <f t="shared" si="36"/>
        <v/>
      </c>
      <c r="E107" s="3" t="str">
        <f t="shared" si="36"/>
        <v/>
      </c>
      <c r="F107" s="3" t="str">
        <f t="shared" si="36"/>
        <v/>
      </c>
      <c r="G107" s="3" t="str">
        <f t="shared" si="36"/>
        <v/>
      </c>
      <c r="H107" s="3" t="str">
        <f t="shared" si="36"/>
        <v/>
      </c>
      <c r="I107" s="3" t="str">
        <f t="shared" si="36"/>
        <v/>
      </c>
      <c r="J107" s="3" t="str">
        <f t="shared" si="36"/>
        <v/>
      </c>
      <c r="K107" s="3" t="str">
        <f t="shared" si="36"/>
        <v/>
      </c>
    </row>
    <row r="108" spans="1:11" x14ac:dyDescent="0.2">
      <c r="A108" s="5">
        <f t="shared" si="35"/>
        <v>0.68055555555555547</v>
      </c>
      <c r="B108" s="3" t="str">
        <f t="shared" ref="B108:K116" si="37">IFERROR(VLOOKUP(TEXT(B$6+$A108,"MM/DD/YYYY HH:MM")&amp;"-&gt;"&amp;$B$4,check_time_team_field,4,FALSE),"")</f>
        <v/>
      </c>
      <c r="C108" s="3" t="str">
        <f t="shared" si="37"/>
        <v/>
      </c>
      <c r="D108" s="3" t="str">
        <f t="shared" si="37"/>
        <v/>
      </c>
      <c r="E108" s="3" t="str">
        <f t="shared" si="37"/>
        <v/>
      </c>
      <c r="F108" s="3" t="str">
        <f t="shared" si="37"/>
        <v/>
      </c>
      <c r="G108" s="3" t="str">
        <f t="shared" si="37"/>
        <v/>
      </c>
      <c r="H108" s="3" t="str">
        <f t="shared" si="37"/>
        <v/>
      </c>
      <c r="I108" s="3" t="str">
        <f t="shared" si="37"/>
        <v/>
      </c>
      <c r="J108" s="3" t="str">
        <f t="shared" si="37"/>
        <v/>
      </c>
      <c r="K108" s="3" t="str">
        <f t="shared" si="37"/>
        <v/>
      </c>
    </row>
    <row r="109" spans="1:11" x14ac:dyDescent="0.2">
      <c r="A109" s="5">
        <f t="shared" si="35"/>
        <v>0.71527777777777768</v>
      </c>
      <c r="B109" s="3" t="str">
        <f t="shared" si="37"/>
        <v/>
      </c>
      <c r="C109" s="3" t="str">
        <f t="shared" si="37"/>
        <v/>
      </c>
      <c r="D109" s="3" t="str">
        <f t="shared" si="37"/>
        <v/>
      </c>
      <c r="E109" s="3" t="str">
        <f t="shared" si="37"/>
        <v/>
      </c>
      <c r="F109" s="3" t="str">
        <f t="shared" si="37"/>
        <v/>
      </c>
      <c r="G109" s="3" t="str">
        <f t="shared" si="37"/>
        <v/>
      </c>
      <c r="H109" s="3" t="str">
        <f t="shared" si="37"/>
        <v/>
      </c>
      <c r="I109" s="3" t="str">
        <f t="shared" si="37"/>
        <v/>
      </c>
      <c r="J109" s="3" t="str">
        <f t="shared" si="37"/>
        <v/>
      </c>
      <c r="K109" s="3" t="str">
        <f t="shared" si="37"/>
        <v/>
      </c>
    </row>
    <row r="110" spans="1:11" x14ac:dyDescent="0.2">
      <c r="A110" s="5">
        <f t="shared" si="35"/>
        <v>0.74999999999999989</v>
      </c>
      <c r="B110" s="3" t="str">
        <f t="shared" si="37"/>
        <v/>
      </c>
      <c r="C110" s="3" t="str">
        <f t="shared" si="37"/>
        <v/>
      </c>
      <c r="D110" s="3" t="str">
        <f t="shared" si="37"/>
        <v/>
      </c>
      <c r="E110" s="3" t="str">
        <f t="shared" si="37"/>
        <v/>
      </c>
      <c r="F110" s="3" t="str">
        <f t="shared" si="37"/>
        <v/>
      </c>
      <c r="G110" s="3" t="str">
        <f t="shared" si="37"/>
        <v/>
      </c>
      <c r="H110" s="3" t="str">
        <f t="shared" si="37"/>
        <v/>
      </c>
      <c r="I110" s="3" t="str">
        <f t="shared" si="37"/>
        <v/>
      </c>
      <c r="J110" s="3" t="str">
        <f t="shared" si="37"/>
        <v/>
      </c>
      <c r="K110" s="3" t="str">
        <f t="shared" si="37"/>
        <v/>
      </c>
    </row>
    <row r="111" spans="1:11" x14ac:dyDescent="0.2">
      <c r="A111" s="5">
        <f t="shared" si="35"/>
        <v>0.7847222222222221</v>
      </c>
      <c r="B111" s="3" t="str">
        <f t="shared" si="37"/>
        <v/>
      </c>
      <c r="C111" s="3" t="str">
        <f t="shared" si="37"/>
        <v/>
      </c>
      <c r="D111" s="3" t="str">
        <f t="shared" si="37"/>
        <v/>
      </c>
      <c r="E111" s="3" t="str">
        <f t="shared" si="37"/>
        <v/>
      </c>
      <c r="F111" s="3" t="str">
        <f t="shared" si="37"/>
        <v/>
      </c>
      <c r="G111" s="3" t="str">
        <f t="shared" si="37"/>
        <v/>
      </c>
      <c r="H111" s="3" t="str">
        <f t="shared" si="37"/>
        <v/>
      </c>
      <c r="I111" s="3" t="str">
        <f t="shared" si="37"/>
        <v/>
      </c>
      <c r="J111" s="3" t="str">
        <f t="shared" si="37"/>
        <v/>
      </c>
      <c r="K111" s="3" t="str">
        <f t="shared" si="37"/>
        <v/>
      </c>
    </row>
    <row r="112" spans="1:11" x14ac:dyDescent="0.2">
      <c r="A112" s="5">
        <f t="shared" si="35"/>
        <v>0.81944444444444431</v>
      </c>
      <c r="B112" s="3" t="str">
        <f t="shared" si="37"/>
        <v/>
      </c>
      <c r="C112" s="3" t="str">
        <f t="shared" si="37"/>
        <v/>
      </c>
      <c r="D112" s="3" t="str">
        <f t="shared" si="37"/>
        <v/>
      </c>
      <c r="E112" s="3" t="str">
        <f t="shared" si="37"/>
        <v/>
      </c>
      <c r="F112" s="3" t="str">
        <f t="shared" si="37"/>
        <v/>
      </c>
      <c r="G112" s="3" t="str">
        <f t="shared" si="37"/>
        <v/>
      </c>
      <c r="H112" s="3" t="str">
        <f t="shared" si="37"/>
        <v/>
      </c>
      <c r="I112" s="3" t="str">
        <f t="shared" si="37"/>
        <v/>
      </c>
      <c r="J112" s="3" t="str">
        <f t="shared" si="37"/>
        <v/>
      </c>
      <c r="K112" s="3" t="str">
        <f t="shared" si="37"/>
        <v/>
      </c>
    </row>
    <row r="113" spans="1:11" x14ac:dyDescent="0.2">
      <c r="A113" s="5">
        <f t="shared" si="35"/>
        <v>0.85416666666666652</v>
      </c>
      <c r="B113" s="3" t="str">
        <f t="shared" si="37"/>
        <v/>
      </c>
      <c r="C113" s="3" t="str">
        <f t="shared" si="37"/>
        <v/>
      </c>
      <c r="D113" s="3" t="str">
        <f t="shared" si="37"/>
        <v/>
      </c>
      <c r="E113" s="3" t="str">
        <f t="shared" si="37"/>
        <v/>
      </c>
      <c r="F113" s="3" t="str">
        <f t="shared" si="37"/>
        <v/>
      </c>
      <c r="G113" s="3" t="str">
        <f t="shared" si="37"/>
        <v/>
      </c>
      <c r="H113" s="3" t="str">
        <f t="shared" si="37"/>
        <v/>
      </c>
      <c r="I113" s="3" t="str">
        <f t="shared" si="37"/>
        <v/>
      </c>
      <c r="J113" s="3" t="str">
        <f t="shared" si="37"/>
        <v/>
      </c>
      <c r="K113" s="3" t="str">
        <f t="shared" si="37"/>
        <v/>
      </c>
    </row>
    <row r="114" spans="1:11" x14ac:dyDescent="0.2">
      <c r="A114" s="5">
        <f t="shared" si="35"/>
        <v>0.88888888888888873</v>
      </c>
      <c r="B114" s="3" t="str">
        <f t="shared" si="37"/>
        <v/>
      </c>
      <c r="C114" s="3" t="str">
        <f t="shared" si="37"/>
        <v/>
      </c>
      <c r="D114" s="3" t="str">
        <f t="shared" si="37"/>
        <v/>
      </c>
      <c r="E114" s="3" t="str">
        <f t="shared" si="37"/>
        <v/>
      </c>
      <c r="F114" s="3" t="str">
        <f t="shared" si="37"/>
        <v/>
      </c>
      <c r="G114" s="3" t="str">
        <f t="shared" si="37"/>
        <v/>
      </c>
      <c r="H114" s="3" t="str">
        <f t="shared" si="37"/>
        <v/>
      </c>
      <c r="I114" s="3" t="str">
        <f t="shared" si="37"/>
        <v/>
      </c>
      <c r="J114" s="3" t="str">
        <f t="shared" si="37"/>
        <v/>
      </c>
      <c r="K114" s="3" t="str">
        <f t="shared" si="37"/>
        <v/>
      </c>
    </row>
    <row r="115" spans="1:11" x14ac:dyDescent="0.2">
      <c r="A115" s="5">
        <f t="shared" si="35"/>
        <v>0.92361111111111094</v>
      </c>
      <c r="B115" s="3" t="str">
        <f t="shared" si="37"/>
        <v/>
      </c>
      <c r="C115" s="3" t="str">
        <f t="shared" si="37"/>
        <v/>
      </c>
      <c r="D115" s="3" t="str">
        <f t="shared" si="37"/>
        <v/>
      </c>
      <c r="E115" s="3" t="str">
        <f t="shared" si="37"/>
        <v/>
      </c>
      <c r="F115" s="3" t="str">
        <f t="shared" si="37"/>
        <v/>
      </c>
      <c r="G115" s="3" t="str">
        <f t="shared" si="37"/>
        <v/>
      </c>
      <c r="H115" s="3" t="str">
        <f t="shared" si="37"/>
        <v/>
      </c>
      <c r="I115" s="3" t="str">
        <f t="shared" si="37"/>
        <v/>
      </c>
      <c r="J115" s="3" t="str">
        <f t="shared" si="37"/>
        <v/>
      </c>
      <c r="K115" s="3" t="str">
        <f t="shared" si="37"/>
        <v/>
      </c>
    </row>
    <row r="116" spans="1:11" x14ac:dyDescent="0.2">
      <c r="A116" s="5">
        <f t="shared" si="35"/>
        <v>0.95833333333333315</v>
      </c>
      <c r="B116" s="3" t="str">
        <f t="shared" si="37"/>
        <v/>
      </c>
      <c r="C116" s="3" t="str">
        <f t="shared" si="37"/>
        <v/>
      </c>
      <c r="D116" s="3" t="str">
        <f t="shared" si="37"/>
        <v/>
      </c>
      <c r="E116" s="3" t="str">
        <f t="shared" si="37"/>
        <v/>
      </c>
      <c r="F116" s="3" t="str">
        <f t="shared" si="37"/>
        <v/>
      </c>
      <c r="G116" s="3" t="str">
        <f t="shared" si="37"/>
        <v/>
      </c>
      <c r="H116" s="3" t="str">
        <f t="shared" si="37"/>
        <v/>
      </c>
      <c r="I116" s="3" t="str">
        <f t="shared" si="37"/>
        <v/>
      </c>
      <c r="J116" s="3" t="str">
        <f t="shared" si="37"/>
        <v/>
      </c>
      <c r="K116" s="3" t="str">
        <f t="shared" si="37"/>
        <v/>
      </c>
    </row>
    <row r="118" spans="1:11" x14ac:dyDescent="0.2">
      <c r="A118" t="s">
        <v>398</v>
      </c>
    </row>
    <row r="119" spans="1:11" x14ac:dyDescent="0.2">
      <c r="A119" s="3"/>
      <c r="B119" s="3" t="s">
        <v>338</v>
      </c>
      <c r="C119" s="3" t="str">
        <f>B4</f>
        <v>&lt;no team&gt;</v>
      </c>
      <c r="D119" s="3"/>
      <c r="E119" s="3"/>
      <c r="F119" s="3"/>
      <c r="G119" s="3"/>
      <c r="H119" s="3"/>
      <c r="I119" s="3"/>
      <c r="J119" s="3"/>
      <c r="K119" s="3"/>
    </row>
    <row r="120" spans="1:11" x14ac:dyDescent="0.2">
      <c r="A120" s="3"/>
      <c r="B120" s="49">
        <f>B$6</f>
        <v>43057</v>
      </c>
      <c r="C120" s="49">
        <f t="shared" ref="C120:K120" si="38">C$6</f>
        <v>43058</v>
      </c>
      <c r="D120" s="49">
        <f t="shared" si="38"/>
        <v>43059</v>
      </c>
      <c r="E120" s="49">
        <f t="shared" si="38"/>
        <v>43060</v>
      </c>
      <c r="F120" s="49">
        <f t="shared" si="38"/>
        <v>43061</v>
      </c>
      <c r="G120" s="49">
        <f t="shared" si="38"/>
        <v>43062</v>
      </c>
      <c r="H120" s="49">
        <f t="shared" si="38"/>
        <v>43063</v>
      </c>
      <c r="I120" s="49">
        <f t="shared" si="38"/>
        <v>43064</v>
      </c>
      <c r="J120" s="49">
        <f t="shared" si="38"/>
        <v>43065</v>
      </c>
      <c r="K120" s="49">
        <f t="shared" si="38"/>
        <v>43066</v>
      </c>
    </row>
    <row r="121" spans="1:11" x14ac:dyDescent="0.2">
      <c r="A121" s="3"/>
      <c r="B121" s="49" t="str">
        <f>B$7</f>
        <v>Day 1 - Saturday</v>
      </c>
      <c r="C121" s="49" t="str">
        <f t="shared" ref="C121:K121" si="39">C$7</f>
        <v>Day 2 - Sunday</v>
      </c>
      <c r="D121" s="49" t="str">
        <f t="shared" si="39"/>
        <v>Day 3 - Monday</v>
      </c>
      <c r="E121" s="49" t="str">
        <f t="shared" si="39"/>
        <v>Day 4 - Tuesday</v>
      </c>
      <c r="F121" s="49" t="str">
        <f t="shared" si="39"/>
        <v>Day 5 - Wednesdy</v>
      </c>
      <c r="G121" s="49" t="str">
        <f t="shared" si="39"/>
        <v>Day 6 - Thursday</v>
      </c>
      <c r="H121" s="49" t="str">
        <f t="shared" si="39"/>
        <v>Day 7 - Friday</v>
      </c>
      <c r="I121" s="49" t="str">
        <f t="shared" si="39"/>
        <v>Day 8 - Saturday</v>
      </c>
      <c r="J121" s="49" t="str">
        <f t="shared" si="39"/>
        <v>Day 9 - Sunday</v>
      </c>
      <c r="K121" s="49" t="str">
        <f t="shared" si="39"/>
        <v>Day 9 - Monday</v>
      </c>
    </row>
    <row r="122" spans="1:1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</row>
    <row r="123" spans="1:11" x14ac:dyDescent="0.2">
      <c r="A123" s="5">
        <f t="shared" ref="A123:A141" si="40">A8</f>
        <v>0.33333333333333331</v>
      </c>
      <c r="B123" s="3" t="str">
        <f>IFERROR(VLOOKUP(TEXT(B$6+$A123,"MM/DD/YYYY HH:MM")&amp;"-&gt;"&amp;$B$4,'Schedule from TM'!$BG$11:$BI$5051,3,0),"")</f>
        <v/>
      </c>
      <c r="C123" s="3" t="str">
        <f>IFERROR(VLOOKUP(TEXT(C$6+$A123,"MM/DD/YYYY HH:MM")&amp;"-&gt;"&amp;$B$4,'Schedule from TM'!$BG$11:$BI$5051,3,0),"")</f>
        <v/>
      </c>
      <c r="D123" s="3" t="str">
        <f>IFERROR(VLOOKUP(TEXT(D$6+$A123,"MM/DD/YYYY HH:MM")&amp;"-&gt;"&amp;$B$4,'Schedule from TM'!$BG$11:$BI$5051,3,0),"")</f>
        <v/>
      </c>
      <c r="E123" s="3" t="str">
        <f>IFERROR(VLOOKUP(TEXT(E$6+$A123,"MM/DD/YYYY HH:MM")&amp;"-&gt;"&amp;$B$4,'Schedule from TM'!$BG$11:$BI$5051,3,0),"")</f>
        <v/>
      </c>
      <c r="F123" s="3" t="str">
        <f>IFERROR(VLOOKUP(TEXT(F$6+$A123,"MM/DD/YYYY HH:MM")&amp;"-&gt;"&amp;$B$4,'Schedule from TM'!$BG$11:$BI$5051,3,0),"")</f>
        <v/>
      </c>
      <c r="G123" s="3" t="str">
        <f>IFERROR(VLOOKUP(TEXT(G$6+$A123,"MM/DD/YYYY HH:MM")&amp;"-&gt;"&amp;$B$4,'Schedule from TM'!$BG$11:$BI$5051,3,0),"")</f>
        <v/>
      </c>
      <c r="H123" s="3" t="str">
        <f>IFERROR(VLOOKUP(TEXT(H$6+$A123,"MM/DD/YYYY HH:MM")&amp;"-&gt;"&amp;$B$4,'Schedule from TM'!$BG$11:$BI$5051,3,0),"")</f>
        <v/>
      </c>
      <c r="I123" s="3" t="str">
        <f>IFERROR(VLOOKUP(TEXT(I$6+$A123,"MM/DD/YYYY HH:MM")&amp;"-&gt;"&amp;$B$4,'Schedule from TM'!$BG$11:$BI$5051,3,0),"")</f>
        <v/>
      </c>
      <c r="J123" s="3" t="str">
        <f>IFERROR(VLOOKUP(TEXT(J$6+$A123,"MM/DD/YYYY HH:MM")&amp;"-&gt;"&amp;$B$4,'Schedule from TM'!$BG$11:$BI$5051,3,0),"")</f>
        <v/>
      </c>
      <c r="K123" s="3" t="str">
        <f>IFERROR(VLOOKUP(TEXT(K$6+$A123,"MM/DD/YYYY HH:MM")&amp;"-&gt;"&amp;$B$4,'Schedule from TM'!$BG$11:$BI$5051,3,0),"")</f>
        <v/>
      </c>
    </row>
    <row r="124" spans="1:11" x14ac:dyDescent="0.2">
      <c r="A124" s="5">
        <f t="shared" si="40"/>
        <v>0.36805555555555552</v>
      </c>
      <c r="B124" s="3" t="str">
        <f>IFERROR(VLOOKUP(TEXT(B$6+$A124,"MM/DD/YYYY HH:MM")&amp;"-&gt;"&amp;$B$4,'Schedule from TM'!$BG$11:$BI$5051,3,0),"")</f>
        <v/>
      </c>
      <c r="C124" s="3" t="str">
        <f>IFERROR(VLOOKUP(TEXT(C$6+$A124,"MM/DD/YYYY HH:MM")&amp;"-&gt;"&amp;$B$4,'Schedule from TM'!$BG$11:$BI$5051,3,0),"")</f>
        <v/>
      </c>
      <c r="D124" s="3" t="str">
        <f>IFERROR(VLOOKUP(TEXT(D$6+$A124,"MM/DD/YYYY HH:MM")&amp;"-&gt;"&amp;$B$4,'Schedule from TM'!$BG$11:$BI$5051,3,0),"")</f>
        <v/>
      </c>
      <c r="E124" s="3" t="str">
        <f>IFERROR(VLOOKUP(TEXT(E$6+$A124,"MM/DD/YYYY HH:MM")&amp;"-&gt;"&amp;$B$4,'Schedule from TM'!$BG$11:$BI$5051,3,0),"")</f>
        <v/>
      </c>
      <c r="F124" s="3" t="str">
        <f>IFERROR(VLOOKUP(TEXT(F$6+$A124,"MM/DD/YYYY HH:MM")&amp;"-&gt;"&amp;$B$4,'Schedule from TM'!$BG$11:$BI$5051,3,0),"")</f>
        <v/>
      </c>
      <c r="G124" s="3" t="str">
        <f>IFERROR(VLOOKUP(TEXT(G$6+$A124,"MM/DD/YYYY HH:MM")&amp;"-&gt;"&amp;$B$4,'Schedule from TM'!$BG$11:$BI$5051,3,0),"")</f>
        <v/>
      </c>
      <c r="H124" s="3" t="str">
        <f>IFERROR(VLOOKUP(TEXT(H$6+$A124,"MM/DD/YYYY HH:MM")&amp;"-&gt;"&amp;$B$4,'Schedule from TM'!$BG$11:$BI$5051,3,0),"")</f>
        <v/>
      </c>
      <c r="I124" s="3" t="str">
        <f>IFERROR(VLOOKUP(TEXT(I$6+$A124,"MM/DD/YYYY HH:MM")&amp;"-&gt;"&amp;$B$4,'Schedule from TM'!$BG$11:$BI$5051,3,0),"")</f>
        <v/>
      </c>
      <c r="J124" s="3" t="str">
        <f>IFERROR(VLOOKUP(TEXT(J$6+$A124,"MM/DD/YYYY HH:MM")&amp;"-&gt;"&amp;$B$4,'Schedule from TM'!$BG$11:$BI$5051,3,0),"")</f>
        <v/>
      </c>
      <c r="K124" s="3" t="str">
        <f>IFERROR(VLOOKUP(TEXT(K$6+$A124,"MM/DD/YYYY HH:MM")&amp;"-&gt;"&amp;$B$4,'Schedule from TM'!$BG$11:$BI$5051,3,0),"")</f>
        <v/>
      </c>
    </row>
    <row r="125" spans="1:11" x14ac:dyDescent="0.2">
      <c r="A125" s="5">
        <f t="shared" si="40"/>
        <v>0.40277777777777773</v>
      </c>
      <c r="B125" s="3" t="str">
        <f>IFERROR(VLOOKUP(TEXT(B$6+$A125,"MM/DD/YYYY HH:MM")&amp;"-&gt;"&amp;$B$4,'Schedule from TM'!$BG$11:$BI$5051,3,0),"")</f>
        <v/>
      </c>
      <c r="C125" s="3" t="str">
        <f>IFERROR(VLOOKUP(TEXT(C$6+$A125,"MM/DD/YYYY HH:MM")&amp;"-&gt;"&amp;$B$4,'Schedule from TM'!$BG$11:$BI$5051,3,0),"")</f>
        <v/>
      </c>
      <c r="D125" s="3" t="str">
        <f>IFERROR(VLOOKUP(TEXT(D$6+$A125,"MM/DD/YYYY HH:MM")&amp;"-&gt;"&amp;$B$4,'Schedule from TM'!$BG$11:$BI$5051,3,0),"")</f>
        <v/>
      </c>
      <c r="E125" s="3" t="str">
        <f>IFERROR(VLOOKUP(TEXT(E$6+$A125,"MM/DD/YYYY HH:MM")&amp;"-&gt;"&amp;$B$4,'Schedule from TM'!$BG$11:$BI$5051,3,0),"")</f>
        <v/>
      </c>
      <c r="F125" s="3" t="str">
        <f>IFERROR(VLOOKUP(TEXT(F$6+$A125,"MM/DD/YYYY HH:MM")&amp;"-&gt;"&amp;$B$4,'Schedule from TM'!$BG$11:$BI$5051,3,0),"")</f>
        <v/>
      </c>
      <c r="G125" s="3" t="str">
        <f>IFERROR(VLOOKUP(TEXT(G$6+$A125,"MM/DD/YYYY HH:MM")&amp;"-&gt;"&amp;$B$4,'Schedule from TM'!$BG$11:$BI$5051,3,0),"")</f>
        <v/>
      </c>
      <c r="H125" s="3" t="str">
        <f>IFERROR(VLOOKUP(TEXT(H$6+$A125,"MM/DD/YYYY HH:MM")&amp;"-&gt;"&amp;$B$4,'Schedule from TM'!$BG$11:$BI$5051,3,0),"")</f>
        <v/>
      </c>
      <c r="I125" s="3" t="str">
        <f>IFERROR(VLOOKUP(TEXT(I$6+$A125,"MM/DD/YYYY HH:MM")&amp;"-&gt;"&amp;$B$4,'Schedule from TM'!$BG$11:$BI$5051,3,0),"")</f>
        <v/>
      </c>
      <c r="J125" s="3" t="str">
        <f>IFERROR(VLOOKUP(TEXT(J$6+$A125,"MM/DD/YYYY HH:MM")&amp;"-&gt;"&amp;$B$4,'Schedule from TM'!$BG$11:$BI$5051,3,0),"")</f>
        <v/>
      </c>
      <c r="K125" s="3" t="str">
        <f>IFERROR(VLOOKUP(TEXT(K$6+$A125,"MM/DD/YYYY HH:MM")&amp;"-&gt;"&amp;$B$4,'Schedule from TM'!$BG$11:$BI$5051,3,0),"")</f>
        <v/>
      </c>
    </row>
    <row r="126" spans="1:11" x14ac:dyDescent="0.2">
      <c r="A126" s="5">
        <f t="shared" si="40"/>
        <v>0.43749999999999994</v>
      </c>
      <c r="B126" s="3" t="str">
        <f>IFERROR(VLOOKUP(TEXT(B$6+$A126,"MM/DD/YYYY HH:MM")&amp;"-&gt;"&amp;$B$4,'Schedule from TM'!$BG$11:$BI$5051,3,0),"")</f>
        <v/>
      </c>
      <c r="C126" s="3" t="str">
        <f>IFERROR(VLOOKUP(TEXT(C$6+$A126,"MM/DD/YYYY HH:MM")&amp;"-&gt;"&amp;$B$4,'Schedule from TM'!$BG$11:$BI$5051,3,0),"")</f>
        <v/>
      </c>
      <c r="D126" s="3" t="str">
        <f>IFERROR(VLOOKUP(TEXT(D$6+$A126,"MM/DD/YYYY HH:MM")&amp;"-&gt;"&amp;$B$4,'Schedule from TM'!$BG$11:$BI$5051,3,0),"")</f>
        <v/>
      </c>
      <c r="E126" s="3" t="str">
        <f>IFERROR(VLOOKUP(TEXT(E$6+$A126,"MM/DD/YYYY HH:MM")&amp;"-&gt;"&amp;$B$4,'Schedule from TM'!$BG$11:$BI$5051,3,0),"")</f>
        <v/>
      </c>
      <c r="F126" s="3" t="str">
        <f>IFERROR(VLOOKUP(TEXT(F$6+$A126,"MM/DD/YYYY HH:MM")&amp;"-&gt;"&amp;$B$4,'Schedule from TM'!$BG$11:$BI$5051,3,0),"")</f>
        <v/>
      </c>
      <c r="G126" s="3" t="str">
        <f>IFERROR(VLOOKUP(TEXT(G$6+$A126,"MM/DD/YYYY HH:MM")&amp;"-&gt;"&amp;$B$4,'Schedule from TM'!$BG$11:$BI$5051,3,0),"")</f>
        <v/>
      </c>
      <c r="H126" s="3" t="str">
        <f>IFERROR(VLOOKUP(TEXT(H$6+$A126,"MM/DD/YYYY HH:MM")&amp;"-&gt;"&amp;$B$4,'Schedule from TM'!$BG$11:$BI$5051,3,0),"")</f>
        <v/>
      </c>
      <c r="I126" s="3" t="str">
        <f>IFERROR(VLOOKUP(TEXT(I$6+$A126,"MM/DD/YYYY HH:MM")&amp;"-&gt;"&amp;$B$4,'Schedule from TM'!$BG$11:$BI$5051,3,0),"")</f>
        <v/>
      </c>
      <c r="J126" s="3" t="str">
        <f>IFERROR(VLOOKUP(TEXT(J$6+$A126,"MM/DD/YYYY HH:MM")&amp;"-&gt;"&amp;$B$4,'Schedule from TM'!$BG$11:$BI$5051,3,0),"")</f>
        <v/>
      </c>
      <c r="K126" s="3" t="str">
        <f>IFERROR(VLOOKUP(TEXT(K$6+$A126,"MM/DD/YYYY HH:MM")&amp;"-&gt;"&amp;$B$4,'Schedule from TM'!$BG$11:$BI$5051,3,0),"")</f>
        <v/>
      </c>
    </row>
    <row r="127" spans="1:11" x14ac:dyDescent="0.2">
      <c r="A127" s="5">
        <f t="shared" si="40"/>
        <v>0.47222222222222215</v>
      </c>
      <c r="B127" s="3" t="str">
        <f>IFERROR(VLOOKUP(TEXT(B$6+$A127,"MM/DD/YYYY HH:MM")&amp;"-&gt;"&amp;$B$4,'Schedule from TM'!$BG$11:$BI$5051,3,0),"")</f>
        <v/>
      </c>
      <c r="C127" s="3" t="str">
        <f>IFERROR(VLOOKUP(TEXT(C$6+$A127,"MM/DD/YYYY HH:MM")&amp;"-&gt;"&amp;$B$4,'Schedule from TM'!$BG$11:$BI$5051,3,0),"")</f>
        <v/>
      </c>
      <c r="D127" s="3" t="str">
        <f>IFERROR(VLOOKUP(TEXT(D$6+$A127,"MM/DD/YYYY HH:MM")&amp;"-&gt;"&amp;$B$4,'Schedule from TM'!$BG$11:$BI$5051,3,0),"")</f>
        <v/>
      </c>
      <c r="E127" s="3" t="str">
        <f>IFERROR(VLOOKUP(TEXT(E$6+$A127,"MM/DD/YYYY HH:MM")&amp;"-&gt;"&amp;$B$4,'Schedule from TM'!$BG$11:$BI$5051,3,0),"")</f>
        <v/>
      </c>
      <c r="F127" s="3" t="str">
        <f>IFERROR(VLOOKUP(TEXT(F$6+$A127,"MM/DD/YYYY HH:MM")&amp;"-&gt;"&amp;$B$4,'Schedule from TM'!$BG$11:$BI$5051,3,0),"")</f>
        <v/>
      </c>
      <c r="G127" s="3" t="str">
        <f>IFERROR(VLOOKUP(TEXT(G$6+$A127,"MM/DD/YYYY HH:MM")&amp;"-&gt;"&amp;$B$4,'Schedule from TM'!$BG$11:$BI$5051,3,0),"")</f>
        <v/>
      </c>
      <c r="H127" s="3" t="str">
        <f>IFERROR(VLOOKUP(TEXT(H$6+$A127,"MM/DD/YYYY HH:MM")&amp;"-&gt;"&amp;$B$4,'Schedule from TM'!$BG$11:$BI$5051,3,0),"")</f>
        <v/>
      </c>
      <c r="I127" s="3" t="str">
        <f>IFERROR(VLOOKUP(TEXT(I$6+$A127,"MM/DD/YYYY HH:MM")&amp;"-&gt;"&amp;$B$4,'Schedule from TM'!$BG$11:$BI$5051,3,0),"")</f>
        <v/>
      </c>
      <c r="J127" s="3" t="str">
        <f>IFERROR(VLOOKUP(TEXT(J$6+$A127,"MM/DD/YYYY HH:MM")&amp;"-&gt;"&amp;$B$4,'Schedule from TM'!$BG$11:$BI$5051,3,0),"")</f>
        <v/>
      </c>
      <c r="K127" s="3" t="str">
        <f>IFERROR(VLOOKUP(TEXT(K$6+$A127,"MM/DD/YYYY HH:MM")&amp;"-&gt;"&amp;$B$4,'Schedule from TM'!$BG$11:$BI$5051,3,0),"")</f>
        <v/>
      </c>
    </row>
    <row r="128" spans="1:11" x14ac:dyDescent="0.2">
      <c r="A128" s="5">
        <f t="shared" si="40"/>
        <v>0.50694444444444442</v>
      </c>
      <c r="B128" s="3" t="str">
        <f>IFERROR(VLOOKUP(TEXT(B$6+$A128,"MM/DD/YYYY HH:MM")&amp;"-&gt;"&amp;$B$4,'Schedule from TM'!$BG$11:$BI$5051,3,0),"")</f>
        <v/>
      </c>
      <c r="C128" s="3" t="str">
        <f>IFERROR(VLOOKUP(TEXT(C$6+$A128,"MM/DD/YYYY HH:MM")&amp;"-&gt;"&amp;$B$4,'Schedule from TM'!$BG$11:$BI$5051,3,0),"")</f>
        <v/>
      </c>
      <c r="D128" s="3" t="str">
        <f>IFERROR(VLOOKUP(TEXT(D$6+$A128,"MM/DD/YYYY HH:MM")&amp;"-&gt;"&amp;$B$4,'Schedule from TM'!$BG$11:$BI$5051,3,0),"")</f>
        <v/>
      </c>
      <c r="E128" s="3" t="str">
        <f>IFERROR(VLOOKUP(TEXT(E$6+$A128,"MM/DD/YYYY HH:MM")&amp;"-&gt;"&amp;$B$4,'Schedule from TM'!$BG$11:$BI$5051,3,0),"")</f>
        <v/>
      </c>
      <c r="F128" s="3" t="str">
        <f>IFERROR(VLOOKUP(TEXT(F$6+$A128,"MM/DD/YYYY HH:MM")&amp;"-&gt;"&amp;$B$4,'Schedule from TM'!$BG$11:$BI$5051,3,0),"")</f>
        <v/>
      </c>
      <c r="G128" s="3" t="str">
        <f>IFERROR(VLOOKUP(TEXT(G$6+$A128,"MM/DD/YYYY HH:MM")&amp;"-&gt;"&amp;$B$4,'Schedule from TM'!$BG$11:$BI$5051,3,0),"")</f>
        <v/>
      </c>
      <c r="H128" s="3" t="str">
        <f>IFERROR(VLOOKUP(TEXT(H$6+$A128,"MM/DD/YYYY HH:MM")&amp;"-&gt;"&amp;$B$4,'Schedule from TM'!$BG$11:$BI$5051,3,0),"")</f>
        <v/>
      </c>
      <c r="I128" s="3" t="str">
        <f>IFERROR(VLOOKUP(TEXT(I$6+$A128,"MM/DD/YYYY HH:MM")&amp;"-&gt;"&amp;$B$4,'Schedule from TM'!$BG$11:$BI$5051,3,0),"")</f>
        <v/>
      </c>
      <c r="J128" s="3" t="str">
        <f>IFERROR(VLOOKUP(TEXT(J$6+$A128,"MM/DD/YYYY HH:MM")&amp;"-&gt;"&amp;$B$4,'Schedule from TM'!$BG$11:$BI$5051,3,0),"")</f>
        <v/>
      </c>
      <c r="K128" s="3" t="str">
        <f>IFERROR(VLOOKUP(TEXT(K$6+$A128,"MM/DD/YYYY HH:MM")&amp;"-&gt;"&amp;$B$4,'Schedule from TM'!$BG$11:$BI$5051,3,0),"")</f>
        <v/>
      </c>
    </row>
    <row r="129" spans="1:11" x14ac:dyDescent="0.2">
      <c r="A129" s="5">
        <f t="shared" si="40"/>
        <v>0.54166666666666663</v>
      </c>
      <c r="B129" s="3" t="str">
        <f>IFERROR(VLOOKUP(TEXT(B$6+$A129,"MM/DD/YYYY HH:MM")&amp;"-&gt;"&amp;$B$4,'Schedule from TM'!$BG$11:$BI$5051,3,0),"")</f>
        <v/>
      </c>
      <c r="C129" s="3" t="str">
        <f>IFERROR(VLOOKUP(TEXT(C$6+$A129,"MM/DD/YYYY HH:MM")&amp;"-&gt;"&amp;$B$4,'Schedule from TM'!$BG$11:$BI$5051,3,0),"")</f>
        <v/>
      </c>
      <c r="D129" s="3" t="str">
        <f>IFERROR(VLOOKUP(TEXT(D$6+$A129,"MM/DD/YYYY HH:MM")&amp;"-&gt;"&amp;$B$4,'Schedule from TM'!$BG$11:$BI$5051,3,0),"")</f>
        <v/>
      </c>
      <c r="E129" s="3" t="str">
        <f>IFERROR(VLOOKUP(TEXT(E$6+$A129,"MM/DD/YYYY HH:MM")&amp;"-&gt;"&amp;$B$4,'Schedule from TM'!$BG$11:$BI$5051,3,0),"")</f>
        <v/>
      </c>
      <c r="F129" s="3" t="str">
        <f>IFERROR(VLOOKUP(TEXT(F$6+$A129,"MM/DD/YYYY HH:MM")&amp;"-&gt;"&amp;$B$4,'Schedule from TM'!$BG$11:$BI$5051,3,0),"")</f>
        <v/>
      </c>
      <c r="G129" s="3" t="str">
        <f>IFERROR(VLOOKUP(TEXT(G$6+$A129,"MM/DD/YYYY HH:MM")&amp;"-&gt;"&amp;$B$4,'Schedule from TM'!$BG$11:$BI$5051,3,0),"")</f>
        <v/>
      </c>
      <c r="H129" s="3" t="str">
        <f>IFERROR(VLOOKUP(TEXT(H$6+$A129,"MM/DD/YYYY HH:MM")&amp;"-&gt;"&amp;$B$4,'Schedule from TM'!$BG$11:$BI$5051,3,0),"")</f>
        <v/>
      </c>
      <c r="I129" s="3" t="str">
        <f>IFERROR(VLOOKUP(TEXT(I$6+$A129,"MM/DD/YYYY HH:MM")&amp;"-&gt;"&amp;$B$4,'Schedule from TM'!$BG$11:$BI$5051,3,0),"")</f>
        <v/>
      </c>
      <c r="J129" s="3" t="str">
        <f>IFERROR(VLOOKUP(TEXT(J$6+$A129,"MM/DD/YYYY HH:MM")&amp;"-&gt;"&amp;$B$4,'Schedule from TM'!$BG$11:$BI$5051,3,0),"")</f>
        <v/>
      </c>
      <c r="K129" s="3" t="str">
        <f>IFERROR(VLOOKUP(TEXT(K$6+$A129,"MM/DD/YYYY HH:MM")&amp;"-&gt;"&amp;$B$4,'Schedule from TM'!$BG$11:$BI$5051,3,0),"")</f>
        <v/>
      </c>
    </row>
    <row r="130" spans="1:11" x14ac:dyDescent="0.2">
      <c r="A130" s="5">
        <f t="shared" si="40"/>
        <v>0.57638888888888884</v>
      </c>
      <c r="B130" s="3" t="str">
        <f>IFERROR(VLOOKUP(TEXT(B$6+$A130,"MM/DD/YYYY HH:MM")&amp;"-&gt;"&amp;$B$4,'Schedule from TM'!$BG$11:$BI$5051,3,0),"")</f>
        <v/>
      </c>
      <c r="C130" s="3" t="str">
        <f>IFERROR(VLOOKUP(TEXT(C$6+$A130,"MM/DD/YYYY HH:MM")&amp;"-&gt;"&amp;$B$4,'Schedule from TM'!$BG$11:$BI$5051,3,0),"")</f>
        <v/>
      </c>
      <c r="D130" s="3" t="str">
        <f>IFERROR(VLOOKUP(TEXT(D$6+$A130,"MM/DD/YYYY HH:MM")&amp;"-&gt;"&amp;$B$4,'Schedule from TM'!$BG$11:$BI$5051,3,0),"")</f>
        <v/>
      </c>
      <c r="E130" s="3" t="str">
        <f>IFERROR(VLOOKUP(TEXT(E$6+$A130,"MM/DD/YYYY HH:MM")&amp;"-&gt;"&amp;$B$4,'Schedule from TM'!$BG$11:$BI$5051,3,0),"")</f>
        <v/>
      </c>
      <c r="F130" s="3" t="str">
        <f>IFERROR(VLOOKUP(TEXT(F$6+$A130,"MM/DD/YYYY HH:MM")&amp;"-&gt;"&amp;$B$4,'Schedule from TM'!$BG$11:$BI$5051,3,0),"")</f>
        <v/>
      </c>
      <c r="G130" s="3" t="str">
        <f>IFERROR(VLOOKUP(TEXT(G$6+$A130,"MM/DD/YYYY HH:MM")&amp;"-&gt;"&amp;$B$4,'Schedule from TM'!$BG$11:$BI$5051,3,0),"")</f>
        <v/>
      </c>
      <c r="H130" s="3" t="str">
        <f>IFERROR(VLOOKUP(TEXT(H$6+$A130,"MM/DD/YYYY HH:MM")&amp;"-&gt;"&amp;$B$4,'Schedule from TM'!$BG$11:$BI$5051,3,0),"")</f>
        <v/>
      </c>
      <c r="I130" s="3" t="str">
        <f>IFERROR(VLOOKUP(TEXT(I$6+$A130,"MM/DD/YYYY HH:MM")&amp;"-&gt;"&amp;$B$4,'Schedule from TM'!$BG$11:$BI$5051,3,0),"")</f>
        <v/>
      </c>
      <c r="J130" s="3" t="str">
        <f>IFERROR(VLOOKUP(TEXT(J$6+$A130,"MM/DD/YYYY HH:MM")&amp;"-&gt;"&amp;$B$4,'Schedule from TM'!$BG$11:$BI$5051,3,0),"")</f>
        <v/>
      </c>
      <c r="K130" s="3" t="str">
        <f>IFERROR(VLOOKUP(TEXT(K$6+$A130,"MM/DD/YYYY HH:MM")&amp;"-&gt;"&amp;$B$4,'Schedule from TM'!$BG$11:$BI$5051,3,0),"")</f>
        <v/>
      </c>
    </row>
    <row r="131" spans="1:11" x14ac:dyDescent="0.2">
      <c r="A131" s="5">
        <f t="shared" si="40"/>
        <v>0.61111111111111105</v>
      </c>
      <c r="B131" s="3" t="str">
        <f>IFERROR(VLOOKUP(TEXT(B$6+$A131,"MM/DD/YYYY HH:MM")&amp;"-&gt;"&amp;$B$4,'Schedule from TM'!$BG$11:$BI$5051,3,0),"")</f>
        <v/>
      </c>
      <c r="C131" s="3" t="str">
        <f>IFERROR(VLOOKUP(TEXT(C$6+$A131,"MM/DD/YYYY HH:MM")&amp;"-&gt;"&amp;$B$4,'Schedule from TM'!$BG$11:$BI$5051,3,0),"")</f>
        <v/>
      </c>
      <c r="D131" s="3" t="str">
        <f>IFERROR(VLOOKUP(TEXT(D$6+$A131,"MM/DD/YYYY HH:MM")&amp;"-&gt;"&amp;$B$4,'Schedule from TM'!$BG$11:$BI$5051,3,0),"")</f>
        <v/>
      </c>
      <c r="E131" s="3" t="str">
        <f>IFERROR(VLOOKUP(TEXT(E$6+$A131,"MM/DD/YYYY HH:MM")&amp;"-&gt;"&amp;$B$4,'Schedule from TM'!$BG$11:$BI$5051,3,0),"")</f>
        <v/>
      </c>
      <c r="F131" s="3" t="str">
        <f>IFERROR(VLOOKUP(TEXT(F$6+$A131,"MM/DD/YYYY HH:MM")&amp;"-&gt;"&amp;$B$4,'Schedule from TM'!$BG$11:$BI$5051,3,0),"")</f>
        <v/>
      </c>
      <c r="G131" s="3" t="str">
        <f>IFERROR(VLOOKUP(TEXT(G$6+$A131,"MM/DD/YYYY HH:MM")&amp;"-&gt;"&amp;$B$4,'Schedule from TM'!$BG$11:$BI$5051,3,0),"")</f>
        <v/>
      </c>
      <c r="H131" s="3" t="str">
        <f>IFERROR(VLOOKUP(TEXT(H$6+$A131,"MM/DD/YYYY HH:MM")&amp;"-&gt;"&amp;$B$4,'Schedule from TM'!$BG$11:$BI$5051,3,0),"")</f>
        <v/>
      </c>
      <c r="I131" s="3" t="str">
        <f>IFERROR(VLOOKUP(TEXT(I$6+$A131,"MM/DD/YYYY HH:MM")&amp;"-&gt;"&amp;$B$4,'Schedule from TM'!$BG$11:$BI$5051,3,0),"")</f>
        <v/>
      </c>
      <c r="J131" s="3" t="str">
        <f>IFERROR(VLOOKUP(TEXT(J$6+$A131,"MM/DD/YYYY HH:MM")&amp;"-&gt;"&amp;$B$4,'Schedule from TM'!$BG$11:$BI$5051,3,0),"")</f>
        <v/>
      </c>
      <c r="K131" s="3" t="str">
        <f>IFERROR(VLOOKUP(TEXT(K$6+$A131,"MM/DD/YYYY HH:MM")&amp;"-&gt;"&amp;$B$4,'Schedule from TM'!$BG$11:$BI$5051,3,0),"")</f>
        <v/>
      </c>
    </row>
    <row r="132" spans="1:11" x14ac:dyDescent="0.2">
      <c r="A132" s="5">
        <f t="shared" si="40"/>
        <v>0.64583333333333326</v>
      </c>
      <c r="B132" s="3" t="str">
        <f>IFERROR(VLOOKUP(TEXT(B$6+$A132,"MM/DD/YYYY HH:MM")&amp;"-&gt;"&amp;$B$4,'Schedule from TM'!$BG$11:$BI$5051,3,0),"")</f>
        <v/>
      </c>
      <c r="C132" s="3" t="str">
        <f>IFERROR(VLOOKUP(TEXT(C$6+$A132,"MM/DD/YYYY HH:MM")&amp;"-&gt;"&amp;$B$4,'Schedule from TM'!$BG$11:$BI$5051,3,0),"")</f>
        <v/>
      </c>
      <c r="D132" s="3" t="str">
        <f>IFERROR(VLOOKUP(TEXT(D$6+$A132,"MM/DD/YYYY HH:MM")&amp;"-&gt;"&amp;$B$4,'Schedule from TM'!$BG$11:$BI$5051,3,0),"")</f>
        <v/>
      </c>
      <c r="E132" s="3" t="str">
        <f>IFERROR(VLOOKUP(TEXT(E$6+$A132,"MM/DD/YYYY HH:MM")&amp;"-&gt;"&amp;$B$4,'Schedule from TM'!$BG$11:$BI$5051,3,0),"")</f>
        <v/>
      </c>
      <c r="F132" s="3" t="str">
        <f>IFERROR(VLOOKUP(TEXT(F$6+$A132,"MM/DD/YYYY HH:MM")&amp;"-&gt;"&amp;$B$4,'Schedule from TM'!$BG$11:$BI$5051,3,0),"")</f>
        <v/>
      </c>
      <c r="G132" s="3" t="str">
        <f>IFERROR(VLOOKUP(TEXT(G$6+$A132,"MM/DD/YYYY HH:MM")&amp;"-&gt;"&amp;$B$4,'Schedule from TM'!$BG$11:$BI$5051,3,0),"")</f>
        <v/>
      </c>
      <c r="H132" s="3" t="str">
        <f>IFERROR(VLOOKUP(TEXT(H$6+$A132,"MM/DD/YYYY HH:MM")&amp;"-&gt;"&amp;$B$4,'Schedule from TM'!$BG$11:$BI$5051,3,0),"")</f>
        <v/>
      </c>
      <c r="I132" s="3" t="str">
        <f>IFERROR(VLOOKUP(TEXT(I$6+$A132,"MM/DD/YYYY HH:MM")&amp;"-&gt;"&amp;$B$4,'Schedule from TM'!$BG$11:$BI$5051,3,0),"")</f>
        <v/>
      </c>
      <c r="J132" s="3" t="str">
        <f>IFERROR(VLOOKUP(TEXT(J$6+$A132,"MM/DD/YYYY HH:MM")&amp;"-&gt;"&amp;$B$4,'Schedule from TM'!$BG$11:$BI$5051,3,0),"")</f>
        <v/>
      </c>
      <c r="K132" s="3" t="str">
        <f>IFERROR(VLOOKUP(TEXT(K$6+$A132,"MM/DD/YYYY HH:MM")&amp;"-&gt;"&amp;$B$4,'Schedule from TM'!$BG$11:$BI$5051,3,0),"")</f>
        <v/>
      </c>
    </row>
    <row r="133" spans="1:11" x14ac:dyDescent="0.2">
      <c r="A133" s="5">
        <f t="shared" si="40"/>
        <v>0.68055555555555547</v>
      </c>
      <c r="B133" s="3" t="str">
        <f>IFERROR(VLOOKUP(TEXT(B$6+$A133,"MM/DD/YYYY HH:MM")&amp;"-&gt;"&amp;$B$4,'Schedule from TM'!$BG$11:$BI$5051,3,0),"")</f>
        <v/>
      </c>
      <c r="C133" s="3" t="str">
        <f>IFERROR(VLOOKUP(TEXT(C$6+$A133,"MM/DD/YYYY HH:MM")&amp;"-&gt;"&amp;$B$4,'Schedule from TM'!$BG$11:$BI$5051,3,0),"")</f>
        <v/>
      </c>
      <c r="D133" s="3" t="str">
        <f>IFERROR(VLOOKUP(TEXT(D$6+$A133,"MM/DD/YYYY HH:MM")&amp;"-&gt;"&amp;$B$4,'Schedule from TM'!$BG$11:$BI$5051,3,0),"")</f>
        <v/>
      </c>
      <c r="E133" s="3" t="str">
        <f>IFERROR(VLOOKUP(TEXT(E$6+$A133,"MM/DD/YYYY HH:MM")&amp;"-&gt;"&amp;$B$4,'Schedule from TM'!$BG$11:$BI$5051,3,0),"")</f>
        <v/>
      </c>
      <c r="F133" s="3" t="str">
        <f>IFERROR(VLOOKUP(TEXT(F$6+$A133,"MM/DD/YYYY HH:MM")&amp;"-&gt;"&amp;$B$4,'Schedule from TM'!$BG$11:$BI$5051,3,0),"")</f>
        <v/>
      </c>
      <c r="G133" s="3" t="str">
        <f>IFERROR(VLOOKUP(TEXT(G$6+$A133,"MM/DD/YYYY HH:MM")&amp;"-&gt;"&amp;$B$4,'Schedule from TM'!$BG$11:$BI$5051,3,0),"")</f>
        <v/>
      </c>
      <c r="H133" s="3" t="str">
        <f>IFERROR(VLOOKUP(TEXT(H$6+$A133,"MM/DD/YYYY HH:MM")&amp;"-&gt;"&amp;$B$4,'Schedule from TM'!$BG$11:$BI$5051,3,0),"")</f>
        <v/>
      </c>
      <c r="I133" s="3" t="str">
        <f>IFERROR(VLOOKUP(TEXT(I$6+$A133,"MM/DD/YYYY HH:MM")&amp;"-&gt;"&amp;$B$4,'Schedule from TM'!$BG$11:$BI$5051,3,0),"")</f>
        <v/>
      </c>
      <c r="J133" s="3" t="str">
        <f>IFERROR(VLOOKUP(TEXT(J$6+$A133,"MM/DD/YYYY HH:MM")&amp;"-&gt;"&amp;$B$4,'Schedule from TM'!$BG$11:$BI$5051,3,0),"")</f>
        <v/>
      </c>
      <c r="K133" s="3" t="str">
        <f>IFERROR(VLOOKUP(TEXT(K$6+$A133,"MM/DD/YYYY HH:MM")&amp;"-&gt;"&amp;$B$4,'Schedule from TM'!$BG$11:$BI$5051,3,0),"")</f>
        <v/>
      </c>
    </row>
    <row r="134" spans="1:11" x14ac:dyDescent="0.2">
      <c r="A134" s="5">
        <f t="shared" si="40"/>
        <v>0.71527777777777768</v>
      </c>
      <c r="B134" s="3" t="str">
        <f>IFERROR(VLOOKUP(TEXT(B$6+$A134,"MM/DD/YYYY HH:MM")&amp;"-&gt;"&amp;$B$4,'Schedule from TM'!$BG$11:$BI$5051,3,0),"")</f>
        <v/>
      </c>
      <c r="C134" s="3" t="str">
        <f>IFERROR(VLOOKUP(TEXT(C$6+$A134,"MM/DD/YYYY HH:MM")&amp;"-&gt;"&amp;$B$4,'Schedule from TM'!$BG$11:$BI$5051,3,0),"")</f>
        <v/>
      </c>
      <c r="D134" s="3" t="str">
        <f>IFERROR(VLOOKUP(TEXT(D$6+$A134,"MM/DD/YYYY HH:MM")&amp;"-&gt;"&amp;$B$4,'Schedule from TM'!$BG$11:$BI$5051,3,0),"")</f>
        <v/>
      </c>
      <c r="E134" s="3" t="str">
        <f>IFERROR(VLOOKUP(TEXT(E$6+$A134,"MM/DD/YYYY HH:MM")&amp;"-&gt;"&amp;$B$4,'Schedule from TM'!$BG$11:$BI$5051,3,0),"")</f>
        <v/>
      </c>
      <c r="F134" s="3" t="str">
        <f>IFERROR(VLOOKUP(TEXT(F$6+$A134,"MM/DD/YYYY HH:MM")&amp;"-&gt;"&amp;$B$4,'Schedule from TM'!$BG$11:$BI$5051,3,0),"")</f>
        <v/>
      </c>
      <c r="G134" s="3" t="str">
        <f>IFERROR(VLOOKUP(TEXT(G$6+$A134,"MM/DD/YYYY HH:MM")&amp;"-&gt;"&amp;$B$4,'Schedule from TM'!$BG$11:$BI$5051,3,0),"")</f>
        <v/>
      </c>
      <c r="H134" s="3" t="str">
        <f>IFERROR(VLOOKUP(TEXT(H$6+$A134,"MM/DD/YYYY HH:MM")&amp;"-&gt;"&amp;$B$4,'Schedule from TM'!$BG$11:$BI$5051,3,0),"")</f>
        <v/>
      </c>
      <c r="I134" s="3" t="str">
        <f>IFERROR(VLOOKUP(TEXT(I$6+$A134,"MM/DD/YYYY HH:MM")&amp;"-&gt;"&amp;$B$4,'Schedule from TM'!$BG$11:$BI$5051,3,0),"")</f>
        <v/>
      </c>
      <c r="J134" s="3" t="str">
        <f>IFERROR(VLOOKUP(TEXT(J$6+$A134,"MM/DD/YYYY HH:MM")&amp;"-&gt;"&amp;$B$4,'Schedule from TM'!$BG$11:$BI$5051,3,0),"")</f>
        <v/>
      </c>
      <c r="K134" s="3" t="str">
        <f>IFERROR(VLOOKUP(TEXT(K$6+$A134,"MM/DD/YYYY HH:MM")&amp;"-&gt;"&amp;$B$4,'Schedule from TM'!$BG$11:$BI$5051,3,0),"")</f>
        <v/>
      </c>
    </row>
    <row r="135" spans="1:11" x14ac:dyDescent="0.2">
      <c r="A135" s="5">
        <f t="shared" si="40"/>
        <v>0.74999999999999989</v>
      </c>
      <c r="B135" s="3" t="str">
        <f>IFERROR(VLOOKUP(TEXT(B$6+$A135,"MM/DD/YYYY HH:MM")&amp;"-&gt;"&amp;$B$4,'Schedule from TM'!$BG$11:$BI$5051,3,0),"")</f>
        <v/>
      </c>
      <c r="C135" s="3" t="str">
        <f>IFERROR(VLOOKUP(TEXT(C$6+$A135,"MM/DD/YYYY HH:MM")&amp;"-&gt;"&amp;$B$4,'Schedule from TM'!$BG$11:$BI$5051,3,0),"")</f>
        <v/>
      </c>
      <c r="D135" s="3" t="str">
        <f>IFERROR(VLOOKUP(TEXT(D$6+$A135,"MM/DD/YYYY HH:MM")&amp;"-&gt;"&amp;$B$4,'Schedule from TM'!$BG$11:$BI$5051,3,0),"")</f>
        <v/>
      </c>
      <c r="E135" s="3" t="str">
        <f>IFERROR(VLOOKUP(TEXT(E$6+$A135,"MM/DD/YYYY HH:MM")&amp;"-&gt;"&amp;$B$4,'Schedule from TM'!$BG$11:$BI$5051,3,0),"")</f>
        <v/>
      </c>
      <c r="F135" s="3" t="str">
        <f>IFERROR(VLOOKUP(TEXT(F$6+$A135,"MM/DD/YYYY HH:MM")&amp;"-&gt;"&amp;$B$4,'Schedule from TM'!$BG$11:$BI$5051,3,0),"")</f>
        <v/>
      </c>
      <c r="G135" s="3" t="str">
        <f>IFERROR(VLOOKUP(TEXT(G$6+$A135,"MM/DD/YYYY HH:MM")&amp;"-&gt;"&amp;$B$4,'Schedule from TM'!$BG$11:$BI$5051,3,0),"")</f>
        <v/>
      </c>
      <c r="H135" s="3" t="str">
        <f>IFERROR(VLOOKUP(TEXT(H$6+$A135,"MM/DD/YYYY HH:MM")&amp;"-&gt;"&amp;$B$4,'Schedule from TM'!$BG$11:$BI$5051,3,0),"")</f>
        <v/>
      </c>
      <c r="I135" s="3" t="str">
        <f>IFERROR(VLOOKUP(TEXT(I$6+$A135,"MM/DD/YYYY HH:MM")&amp;"-&gt;"&amp;$B$4,'Schedule from TM'!$BG$11:$BI$5051,3,0),"")</f>
        <v/>
      </c>
      <c r="J135" s="3" t="str">
        <f>IFERROR(VLOOKUP(TEXT(J$6+$A135,"MM/DD/YYYY HH:MM")&amp;"-&gt;"&amp;$B$4,'Schedule from TM'!$BG$11:$BI$5051,3,0),"")</f>
        <v/>
      </c>
      <c r="K135" s="3" t="str">
        <f>IFERROR(VLOOKUP(TEXT(K$6+$A135,"MM/DD/YYYY HH:MM")&amp;"-&gt;"&amp;$B$4,'Schedule from TM'!$BG$11:$BI$5051,3,0),"")</f>
        <v/>
      </c>
    </row>
    <row r="136" spans="1:11" x14ac:dyDescent="0.2">
      <c r="A136" s="5">
        <f t="shared" si="40"/>
        <v>0.7847222222222221</v>
      </c>
      <c r="B136" s="3" t="str">
        <f>IFERROR(VLOOKUP(TEXT(B$6+$A136,"MM/DD/YYYY HH:MM")&amp;"-&gt;"&amp;$B$4,'Schedule from TM'!$BG$11:$BI$5051,3,0),"")</f>
        <v/>
      </c>
      <c r="C136" s="3" t="str">
        <f>IFERROR(VLOOKUP(TEXT(C$6+$A136,"MM/DD/YYYY HH:MM")&amp;"-&gt;"&amp;$B$4,'Schedule from TM'!$BG$11:$BI$5051,3,0),"")</f>
        <v/>
      </c>
      <c r="D136" s="3" t="str">
        <f>IFERROR(VLOOKUP(TEXT(D$6+$A136,"MM/DD/YYYY HH:MM")&amp;"-&gt;"&amp;$B$4,'Schedule from TM'!$BG$11:$BI$5051,3,0),"")</f>
        <v/>
      </c>
      <c r="E136" s="3" t="str">
        <f>IFERROR(VLOOKUP(TEXT(E$6+$A136,"MM/DD/YYYY HH:MM")&amp;"-&gt;"&amp;$B$4,'Schedule from TM'!$BG$11:$BI$5051,3,0),"")</f>
        <v/>
      </c>
      <c r="F136" s="3" t="str">
        <f>IFERROR(VLOOKUP(TEXT(F$6+$A136,"MM/DD/YYYY HH:MM")&amp;"-&gt;"&amp;$B$4,'Schedule from TM'!$BG$11:$BI$5051,3,0),"")</f>
        <v/>
      </c>
      <c r="G136" s="3" t="str">
        <f>IFERROR(VLOOKUP(TEXT(G$6+$A136,"MM/DD/YYYY HH:MM")&amp;"-&gt;"&amp;$B$4,'Schedule from TM'!$BG$11:$BI$5051,3,0),"")</f>
        <v/>
      </c>
      <c r="H136" s="3" t="str">
        <f>IFERROR(VLOOKUP(TEXT(H$6+$A136,"MM/DD/YYYY HH:MM")&amp;"-&gt;"&amp;$B$4,'Schedule from TM'!$BG$11:$BI$5051,3,0),"")</f>
        <v/>
      </c>
      <c r="I136" s="3" t="str">
        <f>IFERROR(VLOOKUP(TEXT(I$6+$A136,"MM/DD/YYYY HH:MM")&amp;"-&gt;"&amp;$B$4,'Schedule from TM'!$BG$11:$BI$5051,3,0),"")</f>
        <v/>
      </c>
      <c r="J136" s="3" t="str">
        <f>IFERROR(VLOOKUP(TEXT(J$6+$A136,"MM/DD/YYYY HH:MM")&amp;"-&gt;"&amp;$B$4,'Schedule from TM'!$BG$11:$BI$5051,3,0),"")</f>
        <v/>
      </c>
      <c r="K136" s="3" t="str">
        <f>IFERROR(VLOOKUP(TEXT(K$6+$A136,"MM/DD/YYYY HH:MM")&amp;"-&gt;"&amp;$B$4,'Schedule from TM'!$BG$11:$BI$5051,3,0),"")</f>
        <v/>
      </c>
    </row>
    <row r="137" spans="1:11" x14ac:dyDescent="0.2">
      <c r="A137" s="5">
        <f t="shared" si="40"/>
        <v>0.81944444444444431</v>
      </c>
      <c r="B137" s="3" t="str">
        <f>IFERROR(VLOOKUP(TEXT(B$6+$A137,"MM/DD/YYYY HH:MM")&amp;"-&gt;"&amp;$B$4,'Schedule from TM'!$BG$11:$BI$5051,3,0),"")</f>
        <v/>
      </c>
      <c r="C137" s="3" t="str">
        <f>IFERROR(VLOOKUP(TEXT(C$6+$A137,"MM/DD/YYYY HH:MM")&amp;"-&gt;"&amp;$B$4,'Schedule from TM'!$BG$11:$BI$5051,3,0),"")</f>
        <v/>
      </c>
      <c r="D137" s="3" t="str">
        <f>IFERROR(VLOOKUP(TEXT(D$6+$A137,"MM/DD/YYYY HH:MM")&amp;"-&gt;"&amp;$B$4,'Schedule from TM'!$BG$11:$BI$5051,3,0),"")</f>
        <v/>
      </c>
      <c r="E137" s="3" t="str">
        <f>IFERROR(VLOOKUP(TEXT(E$6+$A137,"MM/DD/YYYY HH:MM")&amp;"-&gt;"&amp;$B$4,'Schedule from TM'!$BG$11:$BI$5051,3,0),"")</f>
        <v/>
      </c>
      <c r="F137" s="3" t="str">
        <f>IFERROR(VLOOKUP(TEXT(F$6+$A137,"MM/DD/YYYY HH:MM")&amp;"-&gt;"&amp;$B$4,'Schedule from TM'!$BG$11:$BI$5051,3,0),"")</f>
        <v/>
      </c>
      <c r="G137" s="3" t="str">
        <f>IFERROR(VLOOKUP(TEXT(G$6+$A137,"MM/DD/YYYY HH:MM")&amp;"-&gt;"&amp;$B$4,'Schedule from TM'!$BG$11:$BI$5051,3,0),"")</f>
        <v/>
      </c>
      <c r="H137" s="3" t="str">
        <f>IFERROR(VLOOKUP(TEXT(H$6+$A137,"MM/DD/YYYY HH:MM")&amp;"-&gt;"&amp;$B$4,'Schedule from TM'!$BG$11:$BI$5051,3,0),"")</f>
        <v/>
      </c>
      <c r="I137" s="3" t="str">
        <f>IFERROR(VLOOKUP(TEXT(I$6+$A137,"MM/DD/YYYY HH:MM")&amp;"-&gt;"&amp;$B$4,'Schedule from TM'!$BG$11:$BI$5051,3,0),"")</f>
        <v/>
      </c>
      <c r="J137" s="3" t="str">
        <f>IFERROR(VLOOKUP(TEXT(J$6+$A137,"MM/DD/YYYY HH:MM")&amp;"-&gt;"&amp;$B$4,'Schedule from TM'!$BG$11:$BI$5051,3,0),"")</f>
        <v/>
      </c>
      <c r="K137" s="3" t="str">
        <f>IFERROR(VLOOKUP(TEXT(K$6+$A137,"MM/DD/YYYY HH:MM")&amp;"-&gt;"&amp;$B$4,'Schedule from TM'!$BG$11:$BI$5051,3,0),"")</f>
        <v/>
      </c>
    </row>
    <row r="138" spans="1:11" x14ac:dyDescent="0.2">
      <c r="A138" s="5">
        <f t="shared" si="40"/>
        <v>0.85416666666666652</v>
      </c>
      <c r="B138" s="3" t="str">
        <f>IFERROR(VLOOKUP(TEXT(B$6+$A138,"MM/DD/YYYY HH:MM")&amp;"-&gt;"&amp;$B$4,'Schedule from TM'!$BG$11:$BI$5051,3,0),"")</f>
        <v/>
      </c>
      <c r="C138" s="3" t="str">
        <f>IFERROR(VLOOKUP(TEXT(C$6+$A138,"MM/DD/YYYY HH:MM")&amp;"-&gt;"&amp;$B$4,'Schedule from TM'!$BG$11:$BI$5051,3,0),"")</f>
        <v/>
      </c>
      <c r="D138" s="3" t="str">
        <f>IFERROR(VLOOKUP(TEXT(D$6+$A138,"MM/DD/YYYY HH:MM")&amp;"-&gt;"&amp;$B$4,'Schedule from TM'!$BG$11:$BI$5051,3,0),"")</f>
        <v/>
      </c>
      <c r="E138" s="3" t="str">
        <f>IFERROR(VLOOKUP(TEXT(E$6+$A138,"MM/DD/YYYY HH:MM")&amp;"-&gt;"&amp;$B$4,'Schedule from TM'!$BG$11:$BI$5051,3,0),"")</f>
        <v/>
      </c>
      <c r="F138" s="3" t="str">
        <f>IFERROR(VLOOKUP(TEXT(F$6+$A138,"MM/DD/YYYY HH:MM")&amp;"-&gt;"&amp;$B$4,'Schedule from TM'!$BG$11:$BI$5051,3,0),"")</f>
        <v/>
      </c>
      <c r="G138" s="3" t="str">
        <f>IFERROR(VLOOKUP(TEXT(G$6+$A138,"MM/DD/YYYY HH:MM")&amp;"-&gt;"&amp;$B$4,'Schedule from TM'!$BG$11:$BI$5051,3,0),"")</f>
        <v/>
      </c>
      <c r="H138" s="3" t="str">
        <f>IFERROR(VLOOKUP(TEXT(H$6+$A138,"MM/DD/YYYY HH:MM")&amp;"-&gt;"&amp;$B$4,'Schedule from TM'!$BG$11:$BI$5051,3,0),"")</f>
        <v/>
      </c>
      <c r="I138" s="3" t="str">
        <f>IFERROR(VLOOKUP(TEXT(I$6+$A138,"MM/DD/YYYY HH:MM")&amp;"-&gt;"&amp;$B$4,'Schedule from TM'!$BG$11:$BI$5051,3,0),"")</f>
        <v/>
      </c>
      <c r="J138" s="3" t="str">
        <f>IFERROR(VLOOKUP(TEXT(J$6+$A138,"MM/DD/YYYY HH:MM")&amp;"-&gt;"&amp;$B$4,'Schedule from TM'!$BG$11:$BI$5051,3,0),"")</f>
        <v/>
      </c>
      <c r="K138" s="3" t="str">
        <f>IFERROR(VLOOKUP(TEXT(K$6+$A138,"MM/DD/YYYY HH:MM")&amp;"-&gt;"&amp;$B$4,'Schedule from TM'!$BG$11:$BI$5051,3,0),"")</f>
        <v/>
      </c>
    </row>
    <row r="139" spans="1:11" x14ac:dyDescent="0.2">
      <c r="A139" s="5">
        <f t="shared" si="40"/>
        <v>0.88888888888888873</v>
      </c>
      <c r="B139" s="3" t="str">
        <f>IFERROR(VLOOKUP(TEXT(B$6+$A139,"MM/DD/YYYY HH:MM")&amp;"-&gt;"&amp;$B$4,'Schedule from TM'!$BG$11:$BI$5051,3,0),"")</f>
        <v/>
      </c>
      <c r="C139" s="3" t="str">
        <f>IFERROR(VLOOKUP(TEXT(C$6+$A139,"MM/DD/YYYY HH:MM")&amp;"-&gt;"&amp;$B$4,'Schedule from TM'!$BG$11:$BI$5051,3,0),"")</f>
        <v/>
      </c>
      <c r="D139" s="3" t="str">
        <f>IFERROR(VLOOKUP(TEXT(D$6+$A139,"MM/DD/YYYY HH:MM")&amp;"-&gt;"&amp;$B$4,'Schedule from TM'!$BG$11:$BI$5051,3,0),"")</f>
        <v/>
      </c>
      <c r="E139" s="3" t="str">
        <f>IFERROR(VLOOKUP(TEXT(E$6+$A139,"MM/DD/YYYY HH:MM")&amp;"-&gt;"&amp;$B$4,'Schedule from TM'!$BG$11:$BI$5051,3,0),"")</f>
        <v/>
      </c>
      <c r="F139" s="3" t="str">
        <f>IFERROR(VLOOKUP(TEXT(F$6+$A139,"MM/DD/YYYY HH:MM")&amp;"-&gt;"&amp;$B$4,'Schedule from TM'!$BG$11:$BI$5051,3,0),"")</f>
        <v/>
      </c>
      <c r="G139" s="3" t="str">
        <f>IFERROR(VLOOKUP(TEXT(G$6+$A139,"MM/DD/YYYY HH:MM")&amp;"-&gt;"&amp;$B$4,'Schedule from TM'!$BG$11:$BI$5051,3,0),"")</f>
        <v/>
      </c>
      <c r="H139" s="3" t="str">
        <f>IFERROR(VLOOKUP(TEXT(H$6+$A139,"MM/DD/YYYY HH:MM")&amp;"-&gt;"&amp;$B$4,'Schedule from TM'!$BG$11:$BI$5051,3,0),"")</f>
        <v/>
      </c>
      <c r="I139" s="3" t="str">
        <f>IFERROR(VLOOKUP(TEXT(I$6+$A139,"MM/DD/YYYY HH:MM")&amp;"-&gt;"&amp;$B$4,'Schedule from TM'!$BG$11:$BI$5051,3,0),"")</f>
        <v/>
      </c>
      <c r="J139" s="3" t="str">
        <f>IFERROR(VLOOKUP(TEXT(J$6+$A139,"MM/DD/YYYY HH:MM")&amp;"-&gt;"&amp;$B$4,'Schedule from TM'!$BG$11:$BI$5051,3,0),"")</f>
        <v/>
      </c>
      <c r="K139" s="3" t="str">
        <f>IFERROR(VLOOKUP(TEXT(K$6+$A139,"MM/DD/YYYY HH:MM")&amp;"-&gt;"&amp;$B$4,'Schedule from TM'!$BG$11:$BI$5051,3,0),"")</f>
        <v/>
      </c>
    </row>
    <row r="140" spans="1:11" x14ac:dyDescent="0.2">
      <c r="A140" s="5">
        <f t="shared" si="40"/>
        <v>0.92361111111111094</v>
      </c>
      <c r="B140" s="3" t="str">
        <f>IFERROR(VLOOKUP(TEXT(B$6+$A140,"MM/DD/YYYY HH:MM")&amp;"-&gt;"&amp;$B$4,'Schedule from TM'!$BG$11:$BI$5051,3,0),"")</f>
        <v/>
      </c>
      <c r="C140" s="3" t="str">
        <f>IFERROR(VLOOKUP(TEXT(C$6+$A140,"MM/DD/YYYY HH:MM")&amp;"-&gt;"&amp;$B$4,'Schedule from TM'!$BG$11:$BI$5051,3,0),"")</f>
        <v/>
      </c>
      <c r="D140" s="3" t="str">
        <f>IFERROR(VLOOKUP(TEXT(D$6+$A140,"MM/DD/YYYY HH:MM")&amp;"-&gt;"&amp;$B$4,'Schedule from TM'!$BG$11:$BI$5051,3,0),"")</f>
        <v/>
      </c>
      <c r="E140" s="3" t="str">
        <f>IFERROR(VLOOKUP(TEXT(E$6+$A140,"MM/DD/YYYY HH:MM")&amp;"-&gt;"&amp;$B$4,'Schedule from TM'!$BG$11:$BI$5051,3,0),"")</f>
        <v/>
      </c>
      <c r="F140" s="3" t="str">
        <f>IFERROR(VLOOKUP(TEXT(F$6+$A140,"MM/DD/YYYY HH:MM")&amp;"-&gt;"&amp;$B$4,'Schedule from TM'!$BG$11:$BI$5051,3,0),"")</f>
        <v/>
      </c>
      <c r="G140" s="3" t="str">
        <f>IFERROR(VLOOKUP(TEXT(G$6+$A140,"MM/DD/YYYY HH:MM")&amp;"-&gt;"&amp;$B$4,'Schedule from TM'!$BG$11:$BI$5051,3,0),"")</f>
        <v/>
      </c>
      <c r="H140" s="3" t="str">
        <f>IFERROR(VLOOKUP(TEXT(H$6+$A140,"MM/DD/YYYY HH:MM")&amp;"-&gt;"&amp;$B$4,'Schedule from TM'!$BG$11:$BI$5051,3,0),"")</f>
        <v/>
      </c>
      <c r="I140" s="3" t="str">
        <f>IFERROR(VLOOKUP(TEXT(I$6+$A140,"MM/DD/YYYY HH:MM")&amp;"-&gt;"&amp;$B$4,'Schedule from TM'!$BG$11:$BI$5051,3,0),"")</f>
        <v/>
      </c>
      <c r="J140" s="3" t="str">
        <f>IFERROR(VLOOKUP(TEXT(J$6+$A140,"MM/DD/YYYY HH:MM")&amp;"-&gt;"&amp;$B$4,'Schedule from TM'!$BG$11:$BI$5051,3,0),"")</f>
        <v/>
      </c>
      <c r="K140" s="3" t="str">
        <f>IFERROR(VLOOKUP(TEXT(K$6+$A140,"MM/DD/YYYY HH:MM")&amp;"-&gt;"&amp;$B$4,'Schedule from TM'!$BG$11:$BI$5051,3,0),"")</f>
        <v/>
      </c>
    </row>
    <row r="141" spans="1:11" x14ac:dyDescent="0.2">
      <c r="A141" s="5">
        <f t="shared" si="40"/>
        <v>0.95833333333333315</v>
      </c>
      <c r="B141" s="3" t="str">
        <f>IFERROR(VLOOKUP(TEXT(B$6+$A141,"MM/DD/YYYY HH:MM")&amp;"-&gt;"&amp;$B$4,'Schedule from TM'!$BG$11:$BI$5051,3,0),"")</f>
        <v/>
      </c>
      <c r="C141" s="3" t="str">
        <f>IFERROR(VLOOKUP(TEXT(C$6+$A141,"MM/DD/YYYY HH:MM")&amp;"-&gt;"&amp;$B$4,'Schedule from TM'!$BG$11:$BI$5051,3,0),"")</f>
        <v/>
      </c>
      <c r="D141" s="3" t="str">
        <f>IFERROR(VLOOKUP(TEXT(D$6+$A141,"MM/DD/YYYY HH:MM")&amp;"-&gt;"&amp;$B$4,'Schedule from TM'!$BG$11:$BI$5051,3,0),"")</f>
        <v/>
      </c>
      <c r="E141" s="3" t="str">
        <f>IFERROR(VLOOKUP(TEXT(E$6+$A141,"MM/DD/YYYY HH:MM")&amp;"-&gt;"&amp;$B$4,'Schedule from TM'!$BG$11:$BI$5051,3,0),"")</f>
        <v/>
      </c>
      <c r="F141" s="3" t="str">
        <f>IFERROR(VLOOKUP(TEXT(F$6+$A141,"MM/DD/YYYY HH:MM")&amp;"-&gt;"&amp;$B$4,'Schedule from TM'!$BG$11:$BI$5051,3,0),"")</f>
        <v/>
      </c>
      <c r="G141" s="3" t="str">
        <f>IFERROR(VLOOKUP(TEXT(G$6+$A141,"MM/DD/YYYY HH:MM")&amp;"-&gt;"&amp;$B$4,'Schedule from TM'!$BG$11:$BI$5051,3,0),"")</f>
        <v/>
      </c>
      <c r="H141" s="3" t="str">
        <f>IFERROR(VLOOKUP(TEXT(H$6+$A141,"MM/DD/YYYY HH:MM")&amp;"-&gt;"&amp;$B$4,'Schedule from TM'!$BG$11:$BI$5051,3,0),"")</f>
        <v/>
      </c>
      <c r="I141" s="3" t="str">
        <f>IFERROR(VLOOKUP(TEXT(I$6+$A141,"MM/DD/YYYY HH:MM")&amp;"-&gt;"&amp;$B$4,'Schedule from TM'!$BG$11:$BI$5051,3,0),"")</f>
        <v/>
      </c>
      <c r="J141" s="3" t="str">
        <f>IFERROR(VLOOKUP(TEXT(J$6+$A141,"MM/DD/YYYY HH:MM")&amp;"-&gt;"&amp;$B$4,'Schedule from TM'!$BG$11:$BI$5051,3,0),"")</f>
        <v/>
      </c>
      <c r="K141" s="3" t="str">
        <f>IFERROR(VLOOKUP(TEXT(K$6+$A141,"MM/DD/YYYY HH:MM")&amp;"-&gt;"&amp;$B$4,'Schedule from TM'!$BG$11:$BI$5051,3,0),"")</f>
        <v/>
      </c>
    </row>
    <row r="143" spans="1:11" x14ac:dyDescent="0.2">
      <c r="A143" s="23" t="s">
        <v>399</v>
      </c>
    </row>
    <row r="144" spans="1:11" x14ac:dyDescent="0.2">
      <c r="A144" s="3"/>
      <c r="B144" s="3" t="s">
        <v>400</v>
      </c>
      <c r="C144" s="3" t="str">
        <f>F3</f>
        <v>JCC Baskettball out 2</v>
      </c>
      <c r="D144" s="3"/>
      <c r="E144" s="3"/>
      <c r="F144" s="3"/>
      <c r="G144" s="3"/>
      <c r="H144" s="3"/>
      <c r="I144" s="3"/>
      <c r="J144" s="3"/>
      <c r="K144" s="3"/>
    </row>
    <row r="145" spans="1:11" x14ac:dyDescent="0.2">
      <c r="A145" s="3"/>
      <c r="B145" s="49">
        <f>B$6</f>
        <v>43057</v>
      </c>
      <c r="C145" s="49">
        <f t="shared" ref="C145:K145" si="41">C$6</f>
        <v>43058</v>
      </c>
      <c r="D145" s="49">
        <f t="shared" si="41"/>
        <v>43059</v>
      </c>
      <c r="E145" s="49">
        <f t="shared" si="41"/>
        <v>43060</v>
      </c>
      <c r="F145" s="49">
        <f t="shared" si="41"/>
        <v>43061</v>
      </c>
      <c r="G145" s="49">
        <f t="shared" si="41"/>
        <v>43062</v>
      </c>
      <c r="H145" s="49">
        <f t="shared" si="41"/>
        <v>43063</v>
      </c>
      <c r="I145" s="49">
        <f t="shared" si="41"/>
        <v>43064</v>
      </c>
      <c r="J145" s="49">
        <f t="shared" si="41"/>
        <v>43065</v>
      </c>
      <c r="K145" s="49">
        <f t="shared" si="41"/>
        <v>43066</v>
      </c>
    </row>
    <row r="146" spans="1:11" x14ac:dyDescent="0.2">
      <c r="A146" s="3"/>
      <c r="B146" s="49" t="str">
        <f>B$7</f>
        <v>Day 1 - Saturday</v>
      </c>
      <c r="C146" s="49" t="str">
        <f t="shared" ref="C146:K146" si="42">C$7</f>
        <v>Day 2 - Sunday</v>
      </c>
      <c r="D146" s="49" t="str">
        <f t="shared" si="42"/>
        <v>Day 3 - Monday</v>
      </c>
      <c r="E146" s="49" t="str">
        <f t="shared" si="42"/>
        <v>Day 4 - Tuesday</v>
      </c>
      <c r="F146" s="49" t="str">
        <f t="shared" si="42"/>
        <v>Day 5 - Wednesdy</v>
      </c>
      <c r="G146" s="49" t="str">
        <f t="shared" si="42"/>
        <v>Day 6 - Thursday</v>
      </c>
      <c r="H146" s="49" t="str">
        <f t="shared" si="42"/>
        <v>Day 7 - Friday</v>
      </c>
      <c r="I146" s="49" t="str">
        <f t="shared" si="42"/>
        <v>Day 8 - Saturday</v>
      </c>
      <c r="J146" s="49" t="str">
        <f t="shared" si="42"/>
        <v>Day 9 - Sunday</v>
      </c>
      <c r="K146" s="49" t="str">
        <f t="shared" si="42"/>
        <v>Day 9 - Monday</v>
      </c>
    </row>
    <row r="147" spans="1:1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</row>
    <row r="148" spans="1:11" x14ac:dyDescent="0.2">
      <c r="A148" s="5">
        <f t="shared" ref="A148:A166" si="43">A8</f>
        <v>0.33333333333333331</v>
      </c>
      <c r="B148" s="3" t="str">
        <f t="shared" ref="B148:K157" si="44">IFERROR(VLOOKUP(TEXT(B$6+$A148,"MM/DD/YYYY HH:MM")&amp;"-&gt;"&amp;$F$3,search_locations,3,FALSE),"")</f>
        <v/>
      </c>
      <c r="C148" s="3" t="str">
        <f t="shared" si="44"/>
        <v/>
      </c>
      <c r="D148" s="3" t="str">
        <f t="shared" si="44"/>
        <v/>
      </c>
      <c r="E148" s="3" t="str">
        <f t="shared" si="44"/>
        <v/>
      </c>
      <c r="F148" s="3" t="str">
        <f t="shared" si="44"/>
        <v/>
      </c>
      <c r="G148" s="3" t="str">
        <f t="shared" si="44"/>
        <v/>
      </c>
      <c r="H148" s="3" t="str">
        <f t="shared" si="44"/>
        <v/>
      </c>
      <c r="I148" s="3" t="str">
        <f t="shared" si="44"/>
        <v/>
      </c>
      <c r="J148" s="3" t="str">
        <f t="shared" si="44"/>
        <v/>
      </c>
      <c r="K148" s="3" t="str">
        <f t="shared" si="44"/>
        <v/>
      </c>
    </row>
    <row r="149" spans="1:11" x14ac:dyDescent="0.2">
      <c r="A149" s="5">
        <f t="shared" si="43"/>
        <v>0.36805555555555552</v>
      </c>
      <c r="B149" s="3" t="str">
        <f t="shared" si="44"/>
        <v/>
      </c>
      <c r="C149" s="3" t="str">
        <f t="shared" si="44"/>
        <v/>
      </c>
      <c r="D149" s="3" t="str">
        <f t="shared" si="44"/>
        <v/>
      </c>
      <c r="E149" s="3" t="str">
        <f t="shared" si="44"/>
        <v/>
      </c>
      <c r="F149" s="3" t="str">
        <f t="shared" si="44"/>
        <v/>
      </c>
      <c r="G149" s="3" t="str">
        <f t="shared" si="44"/>
        <v/>
      </c>
      <c r="H149" s="3" t="str">
        <f t="shared" si="44"/>
        <v/>
      </c>
      <c r="I149" s="3" t="str">
        <f t="shared" si="44"/>
        <v/>
      </c>
      <c r="J149" s="3" t="str">
        <f t="shared" si="44"/>
        <v/>
      </c>
      <c r="K149" s="3" t="str">
        <f t="shared" si="44"/>
        <v/>
      </c>
    </row>
    <row r="150" spans="1:11" x14ac:dyDescent="0.2">
      <c r="A150" s="5">
        <f t="shared" si="43"/>
        <v>0.40277777777777773</v>
      </c>
      <c r="B150" s="3" t="str">
        <f t="shared" si="44"/>
        <v/>
      </c>
      <c r="C150" s="3" t="str">
        <f t="shared" si="44"/>
        <v/>
      </c>
      <c r="D150" s="3" t="str">
        <f t="shared" si="44"/>
        <v/>
      </c>
      <c r="E150" s="3" t="str">
        <f t="shared" si="44"/>
        <v/>
      </c>
      <c r="F150" s="3" t="str">
        <f t="shared" si="44"/>
        <v/>
      </c>
      <c r="G150" s="3" t="str">
        <f t="shared" si="44"/>
        <v/>
      </c>
      <c r="H150" s="3" t="str">
        <f t="shared" si="44"/>
        <v/>
      </c>
      <c r="I150" s="3" t="str">
        <f t="shared" si="44"/>
        <v/>
      </c>
      <c r="J150" s="3" t="str">
        <f t="shared" si="44"/>
        <v/>
      </c>
      <c r="K150" s="3" t="str">
        <f t="shared" si="44"/>
        <v/>
      </c>
    </row>
    <row r="151" spans="1:11" x14ac:dyDescent="0.2">
      <c r="A151" s="5">
        <f t="shared" si="43"/>
        <v>0.43749999999999994</v>
      </c>
      <c r="B151" s="3" t="str">
        <f t="shared" si="44"/>
        <v/>
      </c>
      <c r="C151" s="3" t="str">
        <f t="shared" si="44"/>
        <v/>
      </c>
      <c r="D151" s="3" t="str">
        <f t="shared" si="44"/>
        <v/>
      </c>
      <c r="E151" s="3" t="str">
        <f t="shared" si="44"/>
        <v/>
      </c>
      <c r="F151" s="3" t="str">
        <f t="shared" si="44"/>
        <v/>
      </c>
      <c r="G151" s="3" t="str">
        <f t="shared" si="44"/>
        <v/>
      </c>
      <c r="H151" s="3" t="str">
        <f t="shared" si="44"/>
        <v/>
      </c>
      <c r="I151" s="3" t="str">
        <f t="shared" si="44"/>
        <v/>
      </c>
      <c r="J151" s="3" t="str">
        <f t="shared" si="44"/>
        <v/>
      </c>
      <c r="K151" s="3" t="str">
        <f t="shared" si="44"/>
        <v/>
      </c>
    </row>
    <row r="152" spans="1:11" x14ac:dyDescent="0.2">
      <c r="A152" s="5">
        <f t="shared" si="43"/>
        <v>0.47222222222222215</v>
      </c>
      <c r="B152" s="3" t="str">
        <f t="shared" si="44"/>
        <v/>
      </c>
      <c r="C152" s="3" t="str">
        <f t="shared" si="44"/>
        <v/>
      </c>
      <c r="D152" s="3" t="str">
        <f t="shared" si="44"/>
        <v/>
      </c>
      <c r="E152" s="3" t="str">
        <f t="shared" si="44"/>
        <v/>
      </c>
      <c r="F152" s="3" t="str">
        <f t="shared" si="44"/>
        <v/>
      </c>
      <c r="G152" s="3" t="str">
        <f t="shared" si="44"/>
        <v/>
      </c>
      <c r="H152" s="3" t="str">
        <f t="shared" si="44"/>
        <v/>
      </c>
      <c r="I152" s="3" t="str">
        <f t="shared" si="44"/>
        <v/>
      </c>
      <c r="J152" s="3" t="str">
        <f t="shared" si="44"/>
        <v/>
      </c>
      <c r="K152" s="3" t="str">
        <f t="shared" si="44"/>
        <v/>
      </c>
    </row>
    <row r="153" spans="1:11" x14ac:dyDescent="0.2">
      <c r="A153" s="5">
        <f t="shared" si="43"/>
        <v>0.50694444444444442</v>
      </c>
      <c r="B153" s="3" t="str">
        <f t="shared" si="44"/>
        <v/>
      </c>
      <c r="C153" s="3" t="str">
        <f t="shared" si="44"/>
        <v/>
      </c>
      <c r="D153" s="3" t="str">
        <f t="shared" si="44"/>
        <v/>
      </c>
      <c r="E153" s="3" t="str">
        <f t="shared" si="44"/>
        <v/>
      </c>
      <c r="F153" s="3" t="str">
        <f t="shared" si="44"/>
        <v/>
      </c>
      <c r="G153" s="3" t="str">
        <f t="shared" si="44"/>
        <v/>
      </c>
      <c r="H153" s="3" t="str">
        <f t="shared" si="44"/>
        <v/>
      </c>
      <c r="I153" s="3" t="str">
        <f t="shared" si="44"/>
        <v/>
      </c>
      <c r="J153" s="3" t="str">
        <f t="shared" si="44"/>
        <v/>
      </c>
      <c r="K153" s="3" t="str">
        <f t="shared" si="44"/>
        <v/>
      </c>
    </row>
    <row r="154" spans="1:11" x14ac:dyDescent="0.2">
      <c r="A154" s="5">
        <f t="shared" si="43"/>
        <v>0.54166666666666663</v>
      </c>
      <c r="B154" s="3" t="str">
        <f t="shared" si="44"/>
        <v/>
      </c>
      <c r="C154" s="3" t="str">
        <f t="shared" si="44"/>
        <v/>
      </c>
      <c r="D154" s="3" t="str">
        <f t="shared" si="44"/>
        <v/>
      </c>
      <c r="E154" s="3" t="str">
        <f t="shared" si="44"/>
        <v/>
      </c>
      <c r="F154" s="3" t="str">
        <f t="shared" si="44"/>
        <v/>
      </c>
      <c r="G154" s="3" t="str">
        <f t="shared" si="44"/>
        <v/>
      </c>
      <c r="H154" s="3" t="str">
        <f t="shared" si="44"/>
        <v/>
      </c>
      <c r="I154" s="3" t="str">
        <f t="shared" si="44"/>
        <v/>
      </c>
      <c r="J154" s="3" t="str">
        <f t="shared" si="44"/>
        <v/>
      </c>
      <c r="K154" s="3" t="str">
        <f t="shared" si="44"/>
        <v/>
      </c>
    </row>
    <row r="155" spans="1:11" x14ac:dyDescent="0.2">
      <c r="A155" s="5">
        <f t="shared" si="43"/>
        <v>0.57638888888888884</v>
      </c>
      <c r="B155" s="3" t="str">
        <f t="shared" si="44"/>
        <v/>
      </c>
      <c r="C155" s="3" t="str">
        <f t="shared" si="44"/>
        <v/>
      </c>
      <c r="D155" s="3" t="str">
        <f t="shared" si="44"/>
        <v/>
      </c>
      <c r="E155" s="3" t="str">
        <f t="shared" si="44"/>
        <v/>
      </c>
      <c r="F155" s="3" t="str">
        <f t="shared" si="44"/>
        <v/>
      </c>
      <c r="G155" s="3" t="str">
        <f t="shared" si="44"/>
        <v/>
      </c>
      <c r="H155" s="3" t="str">
        <f t="shared" si="44"/>
        <v/>
      </c>
      <c r="I155" s="3" t="str">
        <f t="shared" si="44"/>
        <v/>
      </c>
      <c r="J155" s="3" t="str">
        <f t="shared" si="44"/>
        <v/>
      </c>
      <c r="K155" s="3" t="str">
        <f t="shared" si="44"/>
        <v/>
      </c>
    </row>
    <row r="156" spans="1:11" x14ac:dyDescent="0.2">
      <c r="A156" s="5">
        <f t="shared" si="43"/>
        <v>0.61111111111111105</v>
      </c>
      <c r="B156" s="3" t="str">
        <f t="shared" si="44"/>
        <v/>
      </c>
      <c r="C156" s="3" t="str">
        <f t="shared" si="44"/>
        <v/>
      </c>
      <c r="D156" s="3" t="str">
        <f t="shared" si="44"/>
        <v/>
      </c>
      <c r="E156" s="3" t="str">
        <f t="shared" si="44"/>
        <v/>
      </c>
      <c r="F156" s="3" t="str">
        <f t="shared" si="44"/>
        <v/>
      </c>
      <c r="G156" s="3" t="str">
        <f t="shared" si="44"/>
        <v/>
      </c>
      <c r="H156" s="3" t="str">
        <f t="shared" si="44"/>
        <v/>
      </c>
      <c r="I156" s="3" t="str">
        <f t="shared" si="44"/>
        <v/>
      </c>
      <c r="J156" s="3" t="str">
        <f t="shared" si="44"/>
        <v/>
      </c>
      <c r="K156" s="3" t="str">
        <f t="shared" si="44"/>
        <v/>
      </c>
    </row>
    <row r="157" spans="1:11" x14ac:dyDescent="0.2">
      <c r="A157" s="5">
        <f t="shared" si="43"/>
        <v>0.64583333333333326</v>
      </c>
      <c r="B157" s="3" t="str">
        <f t="shared" si="44"/>
        <v/>
      </c>
      <c r="C157" s="3" t="str">
        <f t="shared" si="44"/>
        <v/>
      </c>
      <c r="D157" s="3" t="str">
        <f t="shared" si="44"/>
        <v/>
      </c>
      <c r="E157" s="3" t="str">
        <f t="shared" si="44"/>
        <v/>
      </c>
      <c r="F157" s="3" t="str">
        <f t="shared" si="44"/>
        <v/>
      </c>
      <c r="G157" s="3" t="str">
        <f t="shared" si="44"/>
        <v/>
      </c>
      <c r="H157" s="3" t="str">
        <f t="shared" si="44"/>
        <v/>
      </c>
      <c r="I157" s="3" t="str">
        <f t="shared" si="44"/>
        <v/>
      </c>
      <c r="J157" s="3" t="str">
        <f t="shared" si="44"/>
        <v/>
      </c>
      <c r="K157" s="3" t="str">
        <f t="shared" si="44"/>
        <v/>
      </c>
    </row>
    <row r="158" spans="1:11" x14ac:dyDescent="0.2">
      <c r="A158" s="5">
        <f t="shared" si="43"/>
        <v>0.68055555555555547</v>
      </c>
      <c r="B158" s="3" t="str">
        <f t="shared" ref="B158:K163" si="45">IFERROR(VLOOKUP(TEXT(B$6+$A158,"MM/DD/YYYY HH:MM")&amp;"-&gt;"&amp;$F$3,search_locations,3,FALSE),"")</f>
        <v/>
      </c>
      <c r="C158" s="3" t="str">
        <f t="shared" si="45"/>
        <v/>
      </c>
      <c r="D158" s="3" t="str">
        <f t="shared" si="45"/>
        <v/>
      </c>
      <c r="E158" s="3" t="str">
        <f t="shared" si="45"/>
        <v/>
      </c>
      <c r="F158" s="3" t="str">
        <f t="shared" si="45"/>
        <v/>
      </c>
      <c r="G158" s="3" t="str">
        <f t="shared" si="45"/>
        <v/>
      </c>
      <c r="H158" s="3" t="str">
        <f t="shared" si="45"/>
        <v/>
      </c>
      <c r="I158" s="3" t="str">
        <f t="shared" si="45"/>
        <v/>
      </c>
      <c r="J158" s="3" t="str">
        <f t="shared" si="45"/>
        <v/>
      </c>
      <c r="K158" s="3" t="str">
        <f t="shared" si="45"/>
        <v/>
      </c>
    </row>
    <row r="159" spans="1:11" x14ac:dyDescent="0.2">
      <c r="A159" s="5">
        <f t="shared" si="43"/>
        <v>0.71527777777777768</v>
      </c>
      <c r="B159" s="3" t="str">
        <f t="shared" si="45"/>
        <v/>
      </c>
      <c r="C159" s="3" t="str">
        <f t="shared" si="45"/>
        <v/>
      </c>
      <c r="D159" s="3" t="str">
        <f t="shared" si="45"/>
        <v/>
      </c>
      <c r="E159" s="3" t="str">
        <f t="shared" si="45"/>
        <v/>
      </c>
      <c r="F159" s="3" t="str">
        <f t="shared" si="45"/>
        <v/>
      </c>
      <c r="G159" s="3" t="str">
        <f t="shared" si="45"/>
        <v/>
      </c>
      <c r="H159" s="3" t="str">
        <f t="shared" si="45"/>
        <v/>
      </c>
      <c r="I159" s="3" t="str">
        <f t="shared" si="45"/>
        <v/>
      </c>
      <c r="J159" s="3" t="str">
        <f t="shared" si="45"/>
        <v/>
      </c>
      <c r="K159" s="3" t="str">
        <f t="shared" si="45"/>
        <v/>
      </c>
    </row>
    <row r="160" spans="1:11" x14ac:dyDescent="0.2">
      <c r="A160" s="5">
        <f t="shared" si="43"/>
        <v>0.74999999999999989</v>
      </c>
      <c r="B160" s="3" t="str">
        <f t="shared" si="45"/>
        <v/>
      </c>
      <c r="C160" s="3" t="str">
        <f t="shared" si="45"/>
        <v/>
      </c>
      <c r="D160" s="3" t="str">
        <f t="shared" si="45"/>
        <v/>
      </c>
      <c r="E160" s="3" t="str">
        <f t="shared" si="45"/>
        <v/>
      </c>
      <c r="F160" s="3" t="str">
        <f t="shared" si="45"/>
        <v/>
      </c>
      <c r="G160" s="3" t="str">
        <f t="shared" si="45"/>
        <v/>
      </c>
      <c r="H160" s="3" t="str">
        <f t="shared" si="45"/>
        <v/>
      </c>
      <c r="I160" s="3" t="str">
        <f t="shared" si="45"/>
        <v/>
      </c>
      <c r="J160" s="3" t="str">
        <f t="shared" si="45"/>
        <v/>
      </c>
      <c r="K160" s="3" t="str">
        <f t="shared" si="45"/>
        <v/>
      </c>
    </row>
    <row r="161" spans="1:11" x14ac:dyDescent="0.2">
      <c r="A161" s="5">
        <f t="shared" si="43"/>
        <v>0.7847222222222221</v>
      </c>
      <c r="B161" s="3" t="str">
        <f t="shared" si="45"/>
        <v/>
      </c>
      <c r="C161" s="3" t="str">
        <f t="shared" si="45"/>
        <v/>
      </c>
      <c r="D161" s="3" t="str">
        <f t="shared" si="45"/>
        <v/>
      </c>
      <c r="E161" s="3" t="str">
        <f t="shared" si="45"/>
        <v/>
      </c>
      <c r="F161" s="3" t="str">
        <f t="shared" si="45"/>
        <v/>
      </c>
      <c r="G161" s="3" t="str">
        <f t="shared" si="45"/>
        <v/>
      </c>
      <c r="H161" s="3" t="str">
        <f t="shared" si="45"/>
        <v/>
      </c>
      <c r="I161" s="3" t="str">
        <f t="shared" si="45"/>
        <v/>
      </c>
      <c r="J161" s="3" t="str">
        <f t="shared" si="45"/>
        <v/>
      </c>
      <c r="K161" s="3" t="str">
        <f t="shared" si="45"/>
        <v/>
      </c>
    </row>
    <row r="162" spans="1:11" x14ac:dyDescent="0.2">
      <c r="A162" s="5">
        <f t="shared" si="43"/>
        <v>0.81944444444444431</v>
      </c>
      <c r="B162" s="3" t="str">
        <f t="shared" si="45"/>
        <v/>
      </c>
      <c r="C162" s="3" t="str">
        <f t="shared" si="45"/>
        <v/>
      </c>
      <c r="D162" s="3" t="str">
        <f t="shared" si="45"/>
        <v/>
      </c>
      <c r="E162" s="3" t="str">
        <f t="shared" si="45"/>
        <v/>
      </c>
      <c r="F162" s="3" t="str">
        <f t="shared" si="45"/>
        <v/>
      </c>
      <c r="G162" s="3" t="str">
        <f t="shared" si="45"/>
        <v/>
      </c>
      <c r="H162" s="3" t="str">
        <f t="shared" si="45"/>
        <v/>
      </c>
      <c r="I162" s="3" t="str">
        <f t="shared" si="45"/>
        <v/>
      </c>
      <c r="J162" s="3" t="str">
        <f t="shared" si="45"/>
        <v/>
      </c>
      <c r="K162" s="3" t="str">
        <f t="shared" si="45"/>
        <v/>
      </c>
    </row>
    <row r="163" spans="1:11" x14ac:dyDescent="0.2">
      <c r="A163" s="5">
        <f t="shared" si="43"/>
        <v>0.85416666666666652</v>
      </c>
      <c r="B163" s="3" t="str">
        <f t="shared" si="45"/>
        <v/>
      </c>
      <c r="C163" s="3" t="str">
        <f t="shared" si="45"/>
        <v/>
      </c>
      <c r="D163" s="3" t="str">
        <f t="shared" si="45"/>
        <v/>
      </c>
      <c r="E163" s="3" t="str">
        <f t="shared" si="45"/>
        <v/>
      </c>
      <c r="F163" s="3" t="str">
        <f t="shared" si="45"/>
        <v/>
      </c>
      <c r="G163" s="3" t="str">
        <f t="shared" si="45"/>
        <v/>
      </c>
      <c r="H163" s="3" t="str">
        <f t="shared" si="45"/>
        <v/>
      </c>
      <c r="I163" s="3" t="str">
        <f t="shared" si="45"/>
        <v/>
      </c>
      <c r="J163" s="3" t="str">
        <f t="shared" si="45"/>
        <v/>
      </c>
      <c r="K163" s="3" t="str">
        <f t="shared" si="45"/>
        <v/>
      </c>
    </row>
    <row r="164" spans="1:11" x14ac:dyDescent="0.2">
      <c r="A164" s="5">
        <f t="shared" si="43"/>
        <v>0.88888888888888873</v>
      </c>
      <c r="B164" s="3"/>
      <c r="C164" s="3"/>
      <c r="D164" s="3"/>
      <c r="E164" s="3"/>
      <c r="F164" s="3"/>
      <c r="G164" s="3"/>
      <c r="H164" s="3"/>
      <c r="I164" s="3"/>
      <c r="J164" s="3"/>
      <c r="K164" s="3"/>
    </row>
    <row r="165" spans="1:11" x14ac:dyDescent="0.2">
      <c r="A165" s="5">
        <f t="shared" si="43"/>
        <v>0.92361111111111094</v>
      </c>
      <c r="B165" s="3"/>
      <c r="C165" s="3"/>
      <c r="D165" s="3"/>
      <c r="E165" s="3"/>
      <c r="F165" s="3"/>
      <c r="G165" s="3"/>
      <c r="H165" s="3"/>
      <c r="I165" s="3"/>
      <c r="J165" s="3"/>
      <c r="K165" s="3"/>
    </row>
    <row r="166" spans="1:11" x14ac:dyDescent="0.2">
      <c r="A166" s="5">
        <f t="shared" si="43"/>
        <v>0.95833333333333315</v>
      </c>
      <c r="B166" s="3"/>
      <c r="C166" s="3"/>
      <c r="D166" s="3"/>
      <c r="E166" s="3"/>
      <c r="F166" s="3"/>
      <c r="G166" s="3"/>
      <c r="H166" s="3"/>
      <c r="I166" s="3"/>
      <c r="J166" s="3"/>
      <c r="K166" s="3"/>
    </row>
    <row r="167" spans="1:11" x14ac:dyDescent="0.2">
      <c r="A167" s="5"/>
      <c r="B167" s="3"/>
      <c r="C167" s="3"/>
      <c r="D167" s="3"/>
      <c r="E167" s="3"/>
      <c r="F167" s="3"/>
      <c r="G167" s="3"/>
      <c r="H167" s="3"/>
      <c r="I167" s="3"/>
      <c r="J167" s="3"/>
      <c r="K167" s="3"/>
    </row>
    <row r="169" spans="1:11" x14ac:dyDescent="0.2">
      <c r="A169" s="23" t="s">
        <v>401</v>
      </c>
    </row>
    <row r="170" spans="1:11" x14ac:dyDescent="0.2">
      <c r="A170" s="3"/>
      <c r="B170" s="3" t="s">
        <v>15</v>
      </c>
      <c r="C170" s="3" t="str">
        <f>F4</f>
        <v>locations</v>
      </c>
      <c r="D170" s="3"/>
      <c r="E170" s="3"/>
      <c r="F170" s="3"/>
      <c r="G170" s="3"/>
      <c r="H170" s="3"/>
      <c r="I170" s="3"/>
      <c r="J170" s="3"/>
      <c r="K170" s="3"/>
    </row>
    <row r="171" spans="1:11" x14ac:dyDescent="0.2">
      <c r="A171" s="3"/>
      <c r="B171" s="49">
        <f>B$6</f>
        <v>43057</v>
      </c>
      <c r="C171" s="49">
        <f t="shared" ref="C171:K171" si="46">C$6</f>
        <v>43058</v>
      </c>
      <c r="D171" s="49">
        <f t="shared" si="46"/>
        <v>43059</v>
      </c>
      <c r="E171" s="49">
        <f t="shared" si="46"/>
        <v>43060</v>
      </c>
      <c r="F171" s="49">
        <f t="shared" si="46"/>
        <v>43061</v>
      </c>
      <c r="G171" s="49">
        <f t="shared" si="46"/>
        <v>43062</v>
      </c>
      <c r="H171" s="49">
        <f t="shared" si="46"/>
        <v>43063</v>
      </c>
      <c r="I171" s="49">
        <f t="shared" si="46"/>
        <v>43064</v>
      </c>
      <c r="J171" s="49">
        <f t="shared" si="46"/>
        <v>43065</v>
      </c>
      <c r="K171" s="49">
        <f t="shared" si="46"/>
        <v>43066</v>
      </c>
    </row>
    <row r="172" spans="1:11" x14ac:dyDescent="0.2">
      <c r="A172" s="3"/>
      <c r="B172" s="49" t="str">
        <f>B$7</f>
        <v>Day 1 - Saturday</v>
      </c>
      <c r="C172" s="49" t="str">
        <f t="shared" ref="C172:K172" si="47">C$7</f>
        <v>Day 2 - Sunday</v>
      </c>
      <c r="D172" s="49" t="str">
        <f t="shared" si="47"/>
        <v>Day 3 - Monday</v>
      </c>
      <c r="E172" s="49" t="str">
        <f t="shared" si="47"/>
        <v>Day 4 - Tuesday</v>
      </c>
      <c r="F172" s="49" t="str">
        <f t="shared" si="47"/>
        <v>Day 5 - Wednesdy</v>
      </c>
      <c r="G172" s="49" t="str">
        <f t="shared" si="47"/>
        <v>Day 6 - Thursday</v>
      </c>
      <c r="H172" s="49" t="str">
        <f t="shared" si="47"/>
        <v>Day 7 - Friday</v>
      </c>
      <c r="I172" s="49" t="str">
        <f t="shared" si="47"/>
        <v>Day 8 - Saturday</v>
      </c>
      <c r="J172" s="49" t="str">
        <f t="shared" si="47"/>
        <v>Day 9 - Sunday</v>
      </c>
      <c r="K172" s="49" t="str">
        <f t="shared" si="47"/>
        <v>Day 9 - Monday</v>
      </c>
    </row>
    <row r="173" spans="1:1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</row>
    <row r="174" spans="1:11" x14ac:dyDescent="0.2">
      <c r="A174" s="5">
        <f t="shared" ref="A174:A192" si="48">A8</f>
        <v>0.33333333333333331</v>
      </c>
      <c r="B174" s="3" t="str">
        <f t="shared" ref="B174:K183" si="49">IFERROR(VLOOKUP(TEXT(B$6+$A174,"MM/DD/YYYY HH:MM")&amp;"-&gt;"&amp;$F$4,search_locations,3,FALSE),"")</f>
        <v/>
      </c>
      <c r="C174" s="3" t="str">
        <f t="shared" si="49"/>
        <v/>
      </c>
      <c r="D174" s="3" t="str">
        <f t="shared" si="49"/>
        <v/>
      </c>
      <c r="E174" s="3" t="str">
        <f t="shared" si="49"/>
        <v/>
      </c>
      <c r="F174" s="3" t="str">
        <f t="shared" si="49"/>
        <v/>
      </c>
      <c r="G174" s="3" t="str">
        <f t="shared" si="49"/>
        <v/>
      </c>
      <c r="H174" s="3" t="str">
        <f t="shared" si="49"/>
        <v/>
      </c>
      <c r="I174" s="3" t="str">
        <f t="shared" si="49"/>
        <v/>
      </c>
      <c r="J174" s="3" t="str">
        <f t="shared" si="49"/>
        <v/>
      </c>
      <c r="K174" s="3" t="str">
        <f t="shared" si="49"/>
        <v/>
      </c>
    </row>
    <row r="175" spans="1:11" x14ac:dyDescent="0.2">
      <c r="A175" s="5">
        <f t="shared" si="48"/>
        <v>0.36805555555555552</v>
      </c>
      <c r="B175" s="3" t="str">
        <f t="shared" si="49"/>
        <v/>
      </c>
      <c r="C175" s="3" t="str">
        <f t="shared" si="49"/>
        <v/>
      </c>
      <c r="D175" s="3" t="str">
        <f t="shared" si="49"/>
        <v/>
      </c>
      <c r="E175" s="3" t="str">
        <f t="shared" si="49"/>
        <v/>
      </c>
      <c r="F175" s="3" t="str">
        <f t="shared" si="49"/>
        <v/>
      </c>
      <c r="G175" s="3" t="str">
        <f t="shared" si="49"/>
        <v/>
      </c>
      <c r="H175" s="3" t="str">
        <f t="shared" si="49"/>
        <v/>
      </c>
      <c r="I175" s="3" t="str">
        <f t="shared" si="49"/>
        <v/>
      </c>
      <c r="J175" s="3" t="str">
        <f t="shared" si="49"/>
        <v/>
      </c>
      <c r="K175" s="3" t="str">
        <f t="shared" si="49"/>
        <v/>
      </c>
    </row>
    <row r="176" spans="1:11" x14ac:dyDescent="0.2">
      <c r="A176" s="5">
        <f t="shared" si="48"/>
        <v>0.40277777777777773</v>
      </c>
      <c r="B176" s="3" t="str">
        <f t="shared" si="49"/>
        <v/>
      </c>
      <c r="C176" s="3" t="str">
        <f t="shared" si="49"/>
        <v/>
      </c>
      <c r="D176" s="3" t="str">
        <f t="shared" si="49"/>
        <v/>
      </c>
      <c r="E176" s="3" t="str">
        <f t="shared" si="49"/>
        <v/>
      </c>
      <c r="F176" s="3" t="str">
        <f t="shared" si="49"/>
        <v/>
      </c>
      <c r="G176" s="3" t="str">
        <f t="shared" si="49"/>
        <v/>
      </c>
      <c r="H176" s="3" t="str">
        <f t="shared" si="49"/>
        <v/>
      </c>
      <c r="I176" s="3" t="str">
        <f t="shared" si="49"/>
        <v/>
      </c>
      <c r="J176" s="3" t="str">
        <f t="shared" si="49"/>
        <v/>
      </c>
      <c r="K176" s="3" t="str">
        <f t="shared" si="49"/>
        <v/>
      </c>
    </row>
    <row r="177" spans="1:11" x14ac:dyDescent="0.2">
      <c r="A177" s="5">
        <f t="shared" si="48"/>
        <v>0.43749999999999994</v>
      </c>
      <c r="B177" s="3" t="str">
        <f t="shared" si="49"/>
        <v/>
      </c>
      <c r="C177" s="3" t="str">
        <f t="shared" si="49"/>
        <v/>
      </c>
      <c r="D177" s="3" t="str">
        <f t="shared" si="49"/>
        <v/>
      </c>
      <c r="E177" s="3" t="str">
        <f t="shared" si="49"/>
        <v/>
      </c>
      <c r="F177" s="3" t="str">
        <f t="shared" si="49"/>
        <v/>
      </c>
      <c r="G177" s="3" t="str">
        <f t="shared" si="49"/>
        <v/>
      </c>
      <c r="H177" s="3" t="str">
        <f t="shared" si="49"/>
        <v/>
      </c>
      <c r="I177" s="3" t="str">
        <f t="shared" si="49"/>
        <v/>
      </c>
      <c r="J177" s="3" t="str">
        <f t="shared" si="49"/>
        <v/>
      </c>
      <c r="K177" s="3" t="str">
        <f t="shared" si="49"/>
        <v/>
      </c>
    </row>
    <row r="178" spans="1:11" x14ac:dyDescent="0.2">
      <c r="A178" s="5">
        <f t="shared" si="48"/>
        <v>0.47222222222222215</v>
      </c>
      <c r="B178" s="3" t="str">
        <f t="shared" si="49"/>
        <v/>
      </c>
      <c r="C178" s="3" t="str">
        <f t="shared" si="49"/>
        <v/>
      </c>
      <c r="D178" s="3" t="str">
        <f t="shared" si="49"/>
        <v/>
      </c>
      <c r="E178" s="3" t="str">
        <f t="shared" si="49"/>
        <v/>
      </c>
      <c r="F178" s="3" t="str">
        <f t="shared" si="49"/>
        <v/>
      </c>
      <c r="G178" s="3" t="str">
        <f t="shared" si="49"/>
        <v/>
      </c>
      <c r="H178" s="3" t="str">
        <f t="shared" si="49"/>
        <v/>
      </c>
      <c r="I178" s="3" t="str">
        <f t="shared" si="49"/>
        <v/>
      </c>
      <c r="J178" s="3" t="str">
        <f t="shared" si="49"/>
        <v/>
      </c>
      <c r="K178" s="3" t="str">
        <f t="shared" si="49"/>
        <v/>
      </c>
    </row>
    <row r="179" spans="1:11" x14ac:dyDescent="0.2">
      <c r="A179" s="5">
        <f t="shared" si="48"/>
        <v>0.50694444444444442</v>
      </c>
      <c r="B179" s="3" t="str">
        <f t="shared" si="49"/>
        <v/>
      </c>
      <c r="C179" s="3" t="str">
        <f t="shared" si="49"/>
        <v/>
      </c>
      <c r="D179" s="3" t="str">
        <f t="shared" si="49"/>
        <v/>
      </c>
      <c r="E179" s="3" t="str">
        <f t="shared" si="49"/>
        <v/>
      </c>
      <c r="F179" s="3" t="str">
        <f t="shared" si="49"/>
        <v/>
      </c>
      <c r="G179" s="3" t="str">
        <f t="shared" si="49"/>
        <v/>
      </c>
      <c r="H179" s="3" t="str">
        <f t="shared" si="49"/>
        <v/>
      </c>
      <c r="I179" s="3" t="str">
        <f t="shared" si="49"/>
        <v/>
      </c>
      <c r="J179" s="3" t="str">
        <f t="shared" si="49"/>
        <v/>
      </c>
      <c r="K179" s="3" t="str">
        <f t="shared" si="49"/>
        <v/>
      </c>
    </row>
    <row r="180" spans="1:11" x14ac:dyDescent="0.2">
      <c r="A180" s="5">
        <f t="shared" si="48"/>
        <v>0.54166666666666663</v>
      </c>
      <c r="B180" s="3" t="str">
        <f t="shared" si="49"/>
        <v/>
      </c>
      <c r="C180" s="3" t="str">
        <f t="shared" si="49"/>
        <v/>
      </c>
      <c r="D180" s="3" t="str">
        <f t="shared" si="49"/>
        <v/>
      </c>
      <c r="E180" s="3" t="str">
        <f t="shared" si="49"/>
        <v/>
      </c>
      <c r="F180" s="3" t="str">
        <f t="shared" si="49"/>
        <v/>
      </c>
      <c r="G180" s="3" t="str">
        <f t="shared" si="49"/>
        <v/>
      </c>
      <c r="H180" s="3" t="str">
        <f t="shared" si="49"/>
        <v/>
      </c>
      <c r="I180" s="3" t="str">
        <f t="shared" si="49"/>
        <v/>
      </c>
      <c r="J180" s="3" t="str">
        <f t="shared" si="49"/>
        <v/>
      </c>
      <c r="K180" s="3" t="str">
        <f t="shared" si="49"/>
        <v/>
      </c>
    </row>
    <row r="181" spans="1:11" x14ac:dyDescent="0.2">
      <c r="A181" s="5">
        <f t="shared" si="48"/>
        <v>0.57638888888888884</v>
      </c>
      <c r="B181" s="3" t="str">
        <f t="shared" si="49"/>
        <v/>
      </c>
      <c r="C181" s="3" t="str">
        <f t="shared" si="49"/>
        <v/>
      </c>
      <c r="D181" s="3" t="str">
        <f t="shared" si="49"/>
        <v/>
      </c>
      <c r="E181" s="3" t="str">
        <f t="shared" si="49"/>
        <v/>
      </c>
      <c r="F181" s="3" t="str">
        <f t="shared" si="49"/>
        <v/>
      </c>
      <c r="G181" s="3" t="str">
        <f t="shared" si="49"/>
        <v/>
      </c>
      <c r="H181" s="3" t="str">
        <f t="shared" si="49"/>
        <v/>
      </c>
      <c r="I181" s="3" t="str">
        <f t="shared" si="49"/>
        <v/>
      </c>
      <c r="J181" s="3" t="str">
        <f t="shared" si="49"/>
        <v/>
      </c>
      <c r="K181" s="3" t="str">
        <f t="shared" si="49"/>
        <v/>
      </c>
    </row>
    <row r="182" spans="1:11" x14ac:dyDescent="0.2">
      <c r="A182" s="5">
        <f t="shared" si="48"/>
        <v>0.61111111111111105</v>
      </c>
      <c r="B182" s="3" t="str">
        <f t="shared" si="49"/>
        <v/>
      </c>
      <c r="C182" s="3" t="str">
        <f t="shared" si="49"/>
        <v/>
      </c>
      <c r="D182" s="3" t="str">
        <f t="shared" si="49"/>
        <v/>
      </c>
      <c r="E182" s="3" t="str">
        <f t="shared" si="49"/>
        <v/>
      </c>
      <c r="F182" s="3" t="str">
        <f t="shared" si="49"/>
        <v/>
      </c>
      <c r="G182" s="3" t="str">
        <f t="shared" si="49"/>
        <v/>
      </c>
      <c r="H182" s="3" t="str">
        <f t="shared" si="49"/>
        <v/>
      </c>
      <c r="I182" s="3" t="str">
        <f t="shared" si="49"/>
        <v/>
      </c>
      <c r="J182" s="3" t="str">
        <f t="shared" si="49"/>
        <v/>
      </c>
      <c r="K182" s="3" t="str">
        <f t="shared" si="49"/>
        <v/>
      </c>
    </row>
    <row r="183" spans="1:11" x14ac:dyDescent="0.2">
      <c r="A183" s="5">
        <f t="shared" si="48"/>
        <v>0.64583333333333326</v>
      </c>
      <c r="B183" s="3" t="str">
        <f t="shared" si="49"/>
        <v/>
      </c>
      <c r="C183" s="3" t="str">
        <f t="shared" si="49"/>
        <v/>
      </c>
      <c r="D183" s="3" t="str">
        <f t="shared" si="49"/>
        <v/>
      </c>
      <c r="E183" s="3" t="str">
        <f t="shared" si="49"/>
        <v/>
      </c>
      <c r="F183" s="3" t="str">
        <f t="shared" si="49"/>
        <v/>
      </c>
      <c r="G183" s="3" t="str">
        <f t="shared" si="49"/>
        <v/>
      </c>
      <c r="H183" s="3" t="str">
        <f t="shared" si="49"/>
        <v/>
      </c>
      <c r="I183" s="3" t="str">
        <f t="shared" si="49"/>
        <v/>
      </c>
      <c r="J183" s="3" t="str">
        <f t="shared" si="49"/>
        <v/>
      </c>
      <c r="K183" s="3" t="str">
        <f t="shared" si="49"/>
        <v/>
      </c>
    </row>
    <row r="184" spans="1:11" x14ac:dyDescent="0.2">
      <c r="A184" s="5">
        <f t="shared" si="48"/>
        <v>0.68055555555555547</v>
      </c>
      <c r="B184" s="3" t="str">
        <f t="shared" ref="B184:K192" si="50">IFERROR(VLOOKUP(TEXT(B$6+$A184,"MM/DD/YYYY HH:MM")&amp;"-&gt;"&amp;$F$4,search_locations,3,FALSE),"")</f>
        <v/>
      </c>
      <c r="C184" s="3" t="str">
        <f t="shared" si="50"/>
        <v/>
      </c>
      <c r="D184" s="3" t="str">
        <f t="shared" si="50"/>
        <v/>
      </c>
      <c r="E184" s="3" t="str">
        <f t="shared" si="50"/>
        <v/>
      </c>
      <c r="F184" s="3" t="str">
        <f t="shared" si="50"/>
        <v/>
      </c>
      <c r="G184" s="3" t="str">
        <f t="shared" si="50"/>
        <v/>
      </c>
      <c r="H184" s="3" t="str">
        <f t="shared" si="50"/>
        <v/>
      </c>
      <c r="I184" s="3" t="str">
        <f t="shared" si="50"/>
        <v/>
      </c>
      <c r="J184" s="3" t="str">
        <f t="shared" si="50"/>
        <v/>
      </c>
      <c r="K184" s="3" t="str">
        <f t="shared" si="50"/>
        <v/>
      </c>
    </row>
    <row r="185" spans="1:11" x14ac:dyDescent="0.2">
      <c r="A185" s="5">
        <f t="shared" si="48"/>
        <v>0.71527777777777768</v>
      </c>
      <c r="B185" s="3" t="str">
        <f t="shared" si="50"/>
        <v/>
      </c>
      <c r="C185" s="3" t="str">
        <f t="shared" si="50"/>
        <v/>
      </c>
      <c r="D185" s="3" t="str">
        <f t="shared" si="50"/>
        <v/>
      </c>
      <c r="E185" s="3" t="str">
        <f t="shared" si="50"/>
        <v/>
      </c>
      <c r="F185" s="3" t="str">
        <f t="shared" si="50"/>
        <v/>
      </c>
      <c r="G185" s="3" t="str">
        <f t="shared" si="50"/>
        <v/>
      </c>
      <c r="H185" s="3" t="str">
        <f t="shared" si="50"/>
        <v/>
      </c>
      <c r="I185" s="3" t="str">
        <f t="shared" si="50"/>
        <v/>
      </c>
      <c r="J185" s="3" t="str">
        <f t="shared" si="50"/>
        <v/>
      </c>
      <c r="K185" s="3" t="str">
        <f t="shared" si="50"/>
        <v/>
      </c>
    </row>
    <row r="186" spans="1:11" x14ac:dyDescent="0.2">
      <c r="A186" s="5">
        <f t="shared" si="48"/>
        <v>0.74999999999999989</v>
      </c>
      <c r="B186" s="3" t="str">
        <f t="shared" si="50"/>
        <v/>
      </c>
      <c r="C186" s="3" t="str">
        <f t="shared" si="50"/>
        <v/>
      </c>
      <c r="D186" s="3" t="str">
        <f t="shared" si="50"/>
        <v/>
      </c>
      <c r="E186" s="3" t="str">
        <f t="shared" si="50"/>
        <v/>
      </c>
      <c r="F186" s="3" t="str">
        <f t="shared" si="50"/>
        <v/>
      </c>
      <c r="G186" s="3" t="str">
        <f t="shared" si="50"/>
        <v/>
      </c>
      <c r="H186" s="3" t="str">
        <f t="shared" si="50"/>
        <v/>
      </c>
      <c r="I186" s="3" t="str">
        <f t="shared" si="50"/>
        <v/>
      </c>
      <c r="J186" s="3" t="str">
        <f t="shared" si="50"/>
        <v/>
      </c>
      <c r="K186" s="3" t="str">
        <f t="shared" si="50"/>
        <v/>
      </c>
    </row>
    <row r="187" spans="1:11" x14ac:dyDescent="0.2">
      <c r="A187" s="5">
        <f t="shared" si="48"/>
        <v>0.7847222222222221</v>
      </c>
      <c r="B187" s="3" t="str">
        <f t="shared" si="50"/>
        <v/>
      </c>
      <c r="C187" s="3" t="str">
        <f t="shared" si="50"/>
        <v/>
      </c>
      <c r="D187" s="3" t="str">
        <f t="shared" si="50"/>
        <v/>
      </c>
      <c r="E187" s="3" t="str">
        <f t="shared" si="50"/>
        <v/>
      </c>
      <c r="F187" s="3" t="str">
        <f t="shared" si="50"/>
        <v/>
      </c>
      <c r="G187" s="3" t="str">
        <f t="shared" si="50"/>
        <v/>
      </c>
      <c r="H187" s="3" t="str">
        <f t="shared" si="50"/>
        <v/>
      </c>
      <c r="I187" s="3" t="str">
        <f t="shared" si="50"/>
        <v/>
      </c>
      <c r="J187" s="3" t="str">
        <f t="shared" si="50"/>
        <v/>
      </c>
      <c r="K187" s="3" t="str">
        <f t="shared" si="50"/>
        <v/>
      </c>
    </row>
    <row r="188" spans="1:11" x14ac:dyDescent="0.2">
      <c r="A188" s="5">
        <f t="shared" si="48"/>
        <v>0.81944444444444431</v>
      </c>
      <c r="B188" s="3" t="str">
        <f t="shared" si="50"/>
        <v/>
      </c>
      <c r="C188" s="3" t="str">
        <f t="shared" si="50"/>
        <v/>
      </c>
      <c r="D188" s="3" t="str">
        <f t="shared" si="50"/>
        <v/>
      </c>
      <c r="E188" s="3" t="str">
        <f t="shared" si="50"/>
        <v/>
      </c>
      <c r="F188" s="3" t="str">
        <f t="shared" si="50"/>
        <v/>
      </c>
      <c r="G188" s="3" t="str">
        <f t="shared" si="50"/>
        <v/>
      </c>
      <c r="H188" s="3" t="str">
        <f t="shared" si="50"/>
        <v/>
      </c>
      <c r="I188" s="3" t="str">
        <f t="shared" si="50"/>
        <v/>
      </c>
      <c r="J188" s="3" t="str">
        <f t="shared" si="50"/>
        <v/>
      </c>
      <c r="K188" s="3" t="str">
        <f t="shared" si="50"/>
        <v/>
      </c>
    </row>
    <row r="189" spans="1:11" x14ac:dyDescent="0.2">
      <c r="A189" s="5">
        <f t="shared" si="48"/>
        <v>0.85416666666666652</v>
      </c>
      <c r="B189" s="3" t="str">
        <f t="shared" si="50"/>
        <v/>
      </c>
      <c r="C189" s="3" t="str">
        <f t="shared" si="50"/>
        <v/>
      </c>
      <c r="D189" s="3" t="str">
        <f t="shared" si="50"/>
        <v/>
      </c>
      <c r="E189" s="3" t="str">
        <f t="shared" si="50"/>
        <v/>
      </c>
      <c r="F189" s="3" t="str">
        <f t="shared" si="50"/>
        <v/>
      </c>
      <c r="G189" s="3" t="str">
        <f t="shared" si="50"/>
        <v/>
      </c>
      <c r="H189" s="3" t="str">
        <f t="shared" si="50"/>
        <v/>
      </c>
      <c r="I189" s="3" t="str">
        <f t="shared" si="50"/>
        <v/>
      </c>
      <c r="J189" s="3" t="str">
        <f t="shared" si="50"/>
        <v/>
      </c>
      <c r="K189" s="3" t="str">
        <f t="shared" si="50"/>
        <v/>
      </c>
    </row>
    <row r="190" spans="1:11" x14ac:dyDescent="0.2">
      <c r="A190" s="5">
        <f t="shared" si="48"/>
        <v>0.88888888888888873</v>
      </c>
      <c r="B190" s="3" t="str">
        <f t="shared" si="50"/>
        <v/>
      </c>
      <c r="C190" s="3" t="str">
        <f t="shared" si="50"/>
        <v/>
      </c>
      <c r="D190" s="3" t="str">
        <f t="shared" si="50"/>
        <v/>
      </c>
      <c r="E190" s="3" t="str">
        <f t="shared" si="50"/>
        <v/>
      </c>
      <c r="F190" s="3" t="str">
        <f t="shared" si="50"/>
        <v/>
      </c>
      <c r="G190" s="3" t="str">
        <f t="shared" si="50"/>
        <v/>
      </c>
      <c r="H190" s="3" t="str">
        <f t="shared" si="50"/>
        <v/>
      </c>
      <c r="I190" s="3" t="str">
        <f t="shared" si="50"/>
        <v/>
      </c>
      <c r="J190" s="3" t="str">
        <f t="shared" si="50"/>
        <v/>
      </c>
      <c r="K190" s="3" t="str">
        <f t="shared" si="50"/>
        <v/>
      </c>
    </row>
    <row r="191" spans="1:11" x14ac:dyDescent="0.2">
      <c r="A191" s="5">
        <f t="shared" si="48"/>
        <v>0.92361111111111094</v>
      </c>
      <c r="B191" s="3" t="str">
        <f t="shared" si="50"/>
        <v/>
      </c>
      <c r="C191" s="3" t="str">
        <f t="shared" si="50"/>
        <v/>
      </c>
      <c r="D191" s="3" t="str">
        <f t="shared" si="50"/>
        <v/>
      </c>
      <c r="E191" s="3" t="str">
        <f t="shared" si="50"/>
        <v/>
      </c>
      <c r="F191" s="3" t="str">
        <f t="shared" si="50"/>
        <v/>
      </c>
      <c r="G191" s="3" t="str">
        <f t="shared" si="50"/>
        <v/>
      </c>
      <c r="H191" s="3" t="str">
        <f t="shared" si="50"/>
        <v/>
      </c>
      <c r="I191" s="3" t="str">
        <f t="shared" si="50"/>
        <v/>
      </c>
      <c r="J191" s="3" t="str">
        <f t="shared" si="50"/>
        <v/>
      </c>
      <c r="K191" s="3" t="str">
        <f t="shared" si="50"/>
        <v/>
      </c>
    </row>
    <row r="192" spans="1:11" x14ac:dyDescent="0.2">
      <c r="A192" s="5">
        <f t="shared" si="48"/>
        <v>0.95833333333333315</v>
      </c>
      <c r="B192" s="3" t="str">
        <f t="shared" si="50"/>
        <v/>
      </c>
      <c r="C192" s="3" t="str">
        <f t="shared" si="50"/>
        <v/>
      </c>
      <c r="D192" s="3" t="str">
        <f t="shared" si="50"/>
        <v/>
      </c>
      <c r="E192" s="3" t="str">
        <f t="shared" si="50"/>
        <v/>
      </c>
      <c r="F192" s="3" t="str">
        <f t="shared" si="50"/>
        <v/>
      </c>
      <c r="G192" s="3" t="str">
        <f t="shared" si="50"/>
        <v/>
      </c>
      <c r="H192" s="3" t="str">
        <f t="shared" si="50"/>
        <v/>
      </c>
      <c r="I192" s="3" t="str">
        <f t="shared" si="50"/>
        <v/>
      </c>
      <c r="J192" s="3" t="str">
        <f t="shared" si="50"/>
        <v/>
      </c>
      <c r="K192" s="3" t="str">
        <f t="shared" si="50"/>
        <v/>
      </c>
    </row>
    <row r="193" spans="1:11" x14ac:dyDescent="0.2">
      <c r="A193" s="5"/>
      <c r="B193" s="3"/>
      <c r="C193" s="3"/>
      <c r="D193" s="3"/>
      <c r="E193" s="3"/>
      <c r="F193" s="3"/>
      <c r="G193" s="3"/>
      <c r="H193" s="3"/>
      <c r="I193" s="3"/>
      <c r="J193" s="3"/>
      <c r="K193" s="3"/>
    </row>
    <row r="195" spans="1:11" x14ac:dyDescent="0.2">
      <c r="A195" s="23" t="s">
        <v>402</v>
      </c>
    </row>
    <row r="196" spans="1:11" x14ac:dyDescent="0.2">
      <c r="A196" s="3"/>
      <c r="B196" s="3" t="s">
        <v>15</v>
      </c>
      <c r="C196" s="3" t="str">
        <f>J3</f>
        <v>locations</v>
      </c>
      <c r="D196" s="3"/>
      <c r="E196" s="3"/>
      <c r="F196" s="3"/>
      <c r="G196" s="3"/>
      <c r="H196" s="3"/>
      <c r="I196" s="3"/>
      <c r="J196" s="3"/>
      <c r="K196" s="3"/>
    </row>
    <row r="197" spans="1:11" x14ac:dyDescent="0.2">
      <c r="A197" s="3"/>
      <c r="B197" s="49">
        <f>B$6</f>
        <v>43057</v>
      </c>
      <c r="C197" s="49">
        <f t="shared" ref="C197:K197" si="51">C$6</f>
        <v>43058</v>
      </c>
      <c r="D197" s="49">
        <f t="shared" si="51"/>
        <v>43059</v>
      </c>
      <c r="E197" s="49">
        <f t="shared" si="51"/>
        <v>43060</v>
      </c>
      <c r="F197" s="49">
        <f t="shared" si="51"/>
        <v>43061</v>
      </c>
      <c r="G197" s="49">
        <f t="shared" si="51"/>
        <v>43062</v>
      </c>
      <c r="H197" s="49">
        <f t="shared" si="51"/>
        <v>43063</v>
      </c>
      <c r="I197" s="49">
        <f t="shared" si="51"/>
        <v>43064</v>
      </c>
      <c r="J197" s="49">
        <f t="shared" si="51"/>
        <v>43065</v>
      </c>
      <c r="K197" s="49">
        <f t="shared" si="51"/>
        <v>43066</v>
      </c>
    </row>
    <row r="198" spans="1:11" x14ac:dyDescent="0.2">
      <c r="A198" s="3"/>
      <c r="B198" s="49" t="str">
        <f>B$7</f>
        <v>Day 1 - Saturday</v>
      </c>
      <c r="C198" s="49" t="str">
        <f t="shared" ref="C198:K198" si="52">C$7</f>
        <v>Day 2 - Sunday</v>
      </c>
      <c r="D198" s="49" t="str">
        <f t="shared" si="52"/>
        <v>Day 3 - Monday</v>
      </c>
      <c r="E198" s="49" t="str">
        <f t="shared" si="52"/>
        <v>Day 4 - Tuesday</v>
      </c>
      <c r="F198" s="49" t="str">
        <f t="shared" si="52"/>
        <v>Day 5 - Wednesdy</v>
      </c>
      <c r="G198" s="49" t="str">
        <f t="shared" si="52"/>
        <v>Day 6 - Thursday</v>
      </c>
      <c r="H198" s="49" t="str">
        <f t="shared" si="52"/>
        <v>Day 7 - Friday</v>
      </c>
      <c r="I198" s="49" t="str">
        <f t="shared" si="52"/>
        <v>Day 8 - Saturday</v>
      </c>
      <c r="J198" s="49" t="str">
        <f t="shared" si="52"/>
        <v>Day 9 - Sunday</v>
      </c>
      <c r="K198" s="49" t="str">
        <f t="shared" si="52"/>
        <v>Day 9 - Monday</v>
      </c>
    </row>
    <row r="199" spans="1:1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</row>
    <row r="200" spans="1:11" x14ac:dyDescent="0.2">
      <c r="A200" s="5">
        <f t="shared" ref="A200:A218" si="53">A8</f>
        <v>0.33333333333333331</v>
      </c>
      <c r="B200" s="3" t="str">
        <f t="shared" ref="B200:K209" si="54">IFERROR(VLOOKUP(TEXT(B$6+$A200,"MM/DD/YYYY HH:MM")&amp;"-&gt;"&amp;$J$3,search_locations,3,FALSE),"")</f>
        <v/>
      </c>
      <c r="C200" s="3" t="str">
        <f t="shared" si="54"/>
        <v/>
      </c>
      <c r="D200" s="3" t="str">
        <f t="shared" si="54"/>
        <v/>
      </c>
      <c r="E200" s="3" t="str">
        <f t="shared" si="54"/>
        <v/>
      </c>
      <c r="F200" s="3" t="str">
        <f t="shared" si="54"/>
        <v/>
      </c>
      <c r="G200" s="3" t="str">
        <f t="shared" si="54"/>
        <v/>
      </c>
      <c r="H200" s="3" t="str">
        <f t="shared" si="54"/>
        <v/>
      </c>
      <c r="I200" s="3" t="str">
        <f t="shared" si="54"/>
        <v/>
      </c>
      <c r="J200" s="3" t="str">
        <f t="shared" si="54"/>
        <v/>
      </c>
      <c r="K200" s="3" t="str">
        <f t="shared" si="54"/>
        <v/>
      </c>
    </row>
    <row r="201" spans="1:11" x14ac:dyDescent="0.2">
      <c r="A201" s="5">
        <f t="shared" si="53"/>
        <v>0.36805555555555552</v>
      </c>
      <c r="B201" s="3" t="str">
        <f t="shared" si="54"/>
        <v/>
      </c>
      <c r="C201" s="3" t="str">
        <f t="shared" si="54"/>
        <v/>
      </c>
      <c r="D201" s="3" t="str">
        <f t="shared" si="54"/>
        <v/>
      </c>
      <c r="E201" s="3" t="str">
        <f t="shared" si="54"/>
        <v/>
      </c>
      <c r="F201" s="3" t="str">
        <f t="shared" si="54"/>
        <v/>
      </c>
      <c r="G201" s="3" t="str">
        <f t="shared" si="54"/>
        <v/>
      </c>
      <c r="H201" s="3" t="str">
        <f t="shared" si="54"/>
        <v/>
      </c>
      <c r="I201" s="3" t="str">
        <f t="shared" si="54"/>
        <v/>
      </c>
      <c r="J201" s="3" t="str">
        <f t="shared" si="54"/>
        <v/>
      </c>
      <c r="K201" s="3" t="str">
        <f t="shared" si="54"/>
        <v/>
      </c>
    </row>
    <row r="202" spans="1:11" x14ac:dyDescent="0.2">
      <c r="A202" s="5">
        <f t="shared" si="53"/>
        <v>0.40277777777777773</v>
      </c>
      <c r="B202" s="3" t="str">
        <f t="shared" si="54"/>
        <v/>
      </c>
      <c r="C202" s="3" t="str">
        <f t="shared" si="54"/>
        <v/>
      </c>
      <c r="D202" s="3" t="str">
        <f t="shared" si="54"/>
        <v/>
      </c>
      <c r="E202" s="3" t="str">
        <f t="shared" si="54"/>
        <v/>
      </c>
      <c r="F202" s="3" t="str">
        <f t="shared" si="54"/>
        <v/>
      </c>
      <c r="G202" s="3" t="str">
        <f t="shared" si="54"/>
        <v/>
      </c>
      <c r="H202" s="3" t="str">
        <f t="shared" si="54"/>
        <v/>
      </c>
      <c r="I202" s="3" t="str">
        <f t="shared" si="54"/>
        <v/>
      </c>
      <c r="J202" s="3" t="str">
        <f t="shared" si="54"/>
        <v/>
      </c>
      <c r="K202" s="3" t="str">
        <f t="shared" si="54"/>
        <v/>
      </c>
    </row>
    <row r="203" spans="1:11" x14ac:dyDescent="0.2">
      <c r="A203" s="5">
        <f t="shared" si="53"/>
        <v>0.43749999999999994</v>
      </c>
      <c r="B203" s="3" t="str">
        <f t="shared" si="54"/>
        <v/>
      </c>
      <c r="C203" s="3" t="str">
        <f t="shared" si="54"/>
        <v/>
      </c>
      <c r="D203" s="3" t="str">
        <f t="shared" si="54"/>
        <v/>
      </c>
      <c r="E203" s="3" t="str">
        <f t="shared" si="54"/>
        <v/>
      </c>
      <c r="F203" s="3" t="str">
        <f t="shared" si="54"/>
        <v/>
      </c>
      <c r="G203" s="3" t="str">
        <f t="shared" si="54"/>
        <v/>
      </c>
      <c r="H203" s="3" t="str">
        <f t="shared" si="54"/>
        <v/>
      </c>
      <c r="I203" s="3" t="str">
        <f t="shared" si="54"/>
        <v/>
      </c>
      <c r="J203" s="3" t="str">
        <f t="shared" si="54"/>
        <v/>
      </c>
      <c r="K203" s="3" t="str">
        <f t="shared" si="54"/>
        <v/>
      </c>
    </row>
    <row r="204" spans="1:11" x14ac:dyDescent="0.2">
      <c r="A204" s="5">
        <f t="shared" si="53"/>
        <v>0.47222222222222215</v>
      </c>
      <c r="B204" s="3" t="str">
        <f t="shared" si="54"/>
        <v/>
      </c>
      <c r="C204" s="3" t="str">
        <f t="shared" si="54"/>
        <v/>
      </c>
      <c r="D204" s="3" t="str">
        <f t="shared" si="54"/>
        <v/>
      </c>
      <c r="E204" s="3" t="str">
        <f t="shared" si="54"/>
        <v/>
      </c>
      <c r="F204" s="3" t="str">
        <f t="shared" si="54"/>
        <v/>
      </c>
      <c r="G204" s="3" t="str">
        <f t="shared" si="54"/>
        <v/>
      </c>
      <c r="H204" s="3" t="str">
        <f t="shared" si="54"/>
        <v/>
      </c>
      <c r="I204" s="3" t="str">
        <f t="shared" si="54"/>
        <v/>
      </c>
      <c r="J204" s="3" t="str">
        <f t="shared" si="54"/>
        <v/>
      </c>
      <c r="K204" s="3" t="str">
        <f t="shared" si="54"/>
        <v/>
      </c>
    </row>
    <row r="205" spans="1:11" x14ac:dyDescent="0.2">
      <c r="A205" s="5">
        <f t="shared" si="53"/>
        <v>0.50694444444444442</v>
      </c>
      <c r="B205" s="3" t="str">
        <f t="shared" si="54"/>
        <v/>
      </c>
      <c r="C205" s="3" t="str">
        <f t="shared" si="54"/>
        <v/>
      </c>
      <c r="D205" s="3" t="str">
        <f t="shared" si="54"/>
        <v/>
      </c>
      <c r="E205" s="3" t="str">
        <f t="shared" si="54"/>
        <v/>
      </c>
      <c r="F205" s="3" t="str">
        <f t="shared" si="54"/>
        <v/>
      </c>
      <c r="G205" s="3" t="str">
        <f t="shared" si="54"/>
        <v/>
      </c>
      <c r="H205" s="3" t="str">
        <f t="shared" si="54"/>
        <v/>
      </c>
      <c r="I205" s="3" t="str">
        <f t="shared" si="54"/>
        <v/>
      </c>
      <c r="J205" s="3" t="str">
        <f t="shared" si="54"/>
        <v/>
      </c>
      <c r="K205" s="3" t="str">
        <f t="shared" si="54"/>
        <v/>
      </c>
    </row>
    <row r="206" spans="1:11" x14ac:dyDescent="0.2">
      <c r="A206" s="5">
        <f t="shared" si="53"/>
        <v>0.54166666666666663</v>
      </c>
      <c r="B206" s="3" t="str">
        <f t="shared" si="54"/>
        <v/>
      </c>
      <c r="C206" s="3" t="str">
        <f t="shared" si="54"/>
        <v/>
      </c>
      <c r="D206" s="3" t="str">
        <f t="shared" si="54"/>
        <v/>
      </c>
      <c r="E206" s="3" t="str">
        <f t="shared" si="54"/>
        <v/>
      </c>
      <c r="F206" s="3" t="str">
        <f t="shared" si="54"/>
        <v/>
      </c>
      <c r="G206" s="3" t="str">
        <f t="shared" si="54"/>
        <v/>
      </c>
      <c r="H206" s="3" t="str">
        <f t="shared" si="54"/>
        <v/>
      </c>
      <c r="I206" s="3" t="str">
        <f t="shared" si="54"/>
        <v/>
      </c>
      <c r="J206" s="3" t="str">
        <f t="shared" si="54"/>
        <v/>
      </c>
      <c r="K206" s="3" t="str">
        <f t="shared" si="54"/>
        <v/>
      </c>
    </row>
    <row r="207" spans="1:11" x14ac:dyDescent="0.2">
      <c r="A207" s="5">
        <f t="shared" si="53"/>
        <v>0.57638888888888884</v>
      </c>
      <c r="B207" s="3" t="str">
        <f t="shared" si="54"/>
        <v/>
      </c>
      <c r="C207" s="3" t="str">
        <f t="shared" si="54"/>
        <v/>
      </c>
      <c r="D207" s="3" t="str">
        <f t="shared" si="54"/>
        <v/>
      </c>
      <c r="E207" s="3" t="str">
        <f t="shared" si="54"/>
        <v/>
      </c>
      <c r="F207" s="3" t="str">
        <f t="shared" si="54"/>
        <v/>
      </c>
      <c r="G207" s="3" t="str">
        <f t="shared" si="54"/>
        <v/>
      </c>
      <c r="H207" s="3" t="str">
        <f t="shared" si="54"/>
        <v/>
      </c>
      <c r="I207" s="3" t="str">
        <f t="shared" si="54"/>
        <v/>
      </c>
      <c r="J207" s="3" t="str">
        <f t="shared" si="54"/>
        <v/>
      </c>
      <c r="K207" s="3" t="str">
        <f t="shared" si="54"/>
        <v/>
      </c>
    </row>
    <row r="208" spans="1:11" x14ac:dyDescent="0.2">
      <c r="A208" s="5">
        <f t="shared" si="53"/>
        <v>0.61111111111111105</v>
      </c>
      <c r="B208" s="3" t="str">
        <f t="shared" si="54"/>
        <v/>
      </c>
      <c r="C208" s="3" t="str">
        <f t="shared" si="54"/>
        <v/>
      </c>
      <c r="D208" s="3" t="str">
        <f t="shared" si="54"/>
        <v/>
      </c>
      <c r="E208" s="3" t="str">
        <f t="shared" si="54"/>
        <v/>
      </c>
      <c r="F208" s="3" t="str">
        <f t="shared" si="54"/>
        <v/>
      </c>
      <c r="G208" s="3" t="str">
        <f t="shared" si="54"/>
        <v/>
      </c>
      <c r="H208" s="3" t="str">
        <f t="shared" si="54"/>
        <v/>
      </c>
      <c r="I208" s="3" t="str">
        <f t="shared" si="54"/>
        <v/>
      </c>
      <c r="J208" s="3" t="str">
        <f t="shared" si="54"/>
        <v/>
      </c>
      <c r="K208" s="3" t="str">
        <f t="shared" si="54"/>
        <v/>
      </c>
    </row>
    <row r="209" spans="1:11" x14ac:dyDescent="0.2">
      <c r="A209" s="5">
        <f t="shared" si="53"/>
        <v>0.64583333333333326</v>
      </c>
      <c r="B209" s="3" t="str">
        <f t="shared" si="54"/>
        <v/>
      </c>
      <c r="C209" s="3" t="str">
        <f t="shared" si="54"/>
        <v/>
      </c>
      <c r="D209" s="3" t="str">
        <f t="shared" si="54"/>
        <v/>
      </c>
      <c r="E209" s="3" t="str">
        <f t="shared" si="54"/>
        <v/>
      </c>
      <c r="F209" s="3" t="str">
        <f t="shared" si="54"/>
        <v/>
      </c>
      <c r="G209" s="3" t="str">
        <f t="shared" si="54"/>
        <v/>
      </c>
      <c r="H209" s="3" t="str">
        <f t="shared" si="54"/>
        <v/>
      </c>
      <c r="I209" s="3" t="str">
        <f t="shared" si="54"/>
        <v/>
      </c>
      <c r="J209" s="3" t="str">
        <f t="shared" si="54"/>
        <v/>
      </c>
      <c r="K209" s="3" t="str">
        <f t="shared" si="54"/>
        <v/>
      </c>
    </row>
    <row r="210" spans="1:11" x14ac:dyDescent="0.2">
      <c r="A210" s="5">
        <f t="shared" si="53"/>
        <v>0.68055555555555547</v>
      </c>
      <c r="B210" s="3" t="str">
        <f t="shared" ref="B210:K215" si="55">IFERROR(VLOOKUP(TEXT(B$6+$A210,"MM/DD/YYYY HH:MM")&amp;"-&gt;"&amp;$J$3,search_locations,3,FALSE),"")</f>
        <v/>
      </c>
      <c r="C210" s="3" t="str">
        <f t="shared" si="55"/>
        <v/>
      </c>
      <c r="D210" s="3" t="str">
        <f t="shared" si="55"/>
        <v/>
      </c>
      <c r="E210" s="3" t="str">
        <f t="shared" si="55"/>
        <v/>
      </c>
      <c r="F210" s="3" t="str">
        <f t="shared" si="55"/>
        <v/>
      </c>
      <c r="G210" s="3" t="str">
        <f t="shared" si="55"/>
        <v/>
      </c>
      <c r="H210" s="3" t="str">
        <f t="shared" si="55"/>
        <v/>
      </c>
      <c r="I210" s="3" t="str">
        <f t="shared" si="55"/>
        <v/>
      </c>
      <c r="J210" s="3" t="str">
        <f t="shared" si="55"/>
        <v/>
      </c>
      <c r="K210" s="3" t="str">
        <f t="shared" si="55"/>
        <v/>
      </c>
    </row>
    <row r="211" spans="1:11" x14ac:dyDescent="0.2">
      <c r="A211" s="5">
        <f t="shared" si="53"/>
        <v>0.71527777777777768</v>
      </c>
      <c r="B211" s="3" t="str">
        <f t="shared" si="55"/>
        <v/>
      </c>
      <c r="C211" s="3" t="str">
        <f t="shared" si="55"/>
        <v/>
      </c>
      <c r="D211" s="3" t="str">
        <f t="shared" si="55"/>
        <v/>
      </c>
      <c r="E211" s="3" t="str">
        <f t="shared" si="55"/>
        <v/>
      </c>
      <c r="F211" s="3" t="str">
        <f t="shared" si="55"/>
        <v/>
      </c>
      <c r="G211" s="3" t="str">
        <f t="shared" si="55"/>
        <v/>
      </c>
      <c r="H211" s="3" t="str">
        <f t="shared" si="55"/>
        <v/>
      </c>
      <c r="I211" s="3" t="str">
        <f t="shared" si="55"/>
        <v/>
      </c>
      <c r="J211" s="3" t="str">
        <f t="shared" si="55"/>
        <v/>
      </c>
      <c r="K211" s="3" t="str">
        <f t="shared" si="55"/>
        <v/>
      </c>
    </row>
    <row r="212" spans="1:11" x14ac:dyDescent="0.2">
      <c r="A212" s="5">
        <f t="shared" si="53"/>
        <v>0.74999999999999989</v>
      </c>
      <c r="B212" s="3" t="str">
        <f t="shared" si="55"/>
        <v/>
      </c>
      <c r="C212" s="3" t="str">
        <f t="shared" si="55"/>
        <v/>
      </c>
      <c r="D212" s="3" t="str">
        <f t="shared" si="55"/>
        <v/>
      </c>
      <c r="E212" s="3" t="str">
        <f t="shared" si="55"/>
        <v/>
      </c>
      <c r="F212" s="3" t="str">
        <f t="shared" si="55"/>
        <v/>
      </c>
      <c r="G212" s="3" t="str">
        <f t="shared" si="55"/>
        <v/>
      </c>
      <c r="H212" s="3" t="str">
        <f t="shared" si="55"/>
        <v/>
      </c>
      <c r="I212" s="3" t="str">
        <f t="shared" si="55"/>
        <v/>
      </c>
      <c r="J212" s="3" t="str">
        <f t="shared" si="55"/>
        <v/>
      </c>
      <c r="K212" s="3" t="str">
        <f t="shared" si="55"/>
        <v/>
      </c>
    </row>
    <row r="213" spans="1:11" x14ac:dyDescent="0.2">
      <c r="A213" s="5">
        <f t="shared" si="53"/>
        <v>0.7847222222222221</v>
      </c>
      <c r="B213" s="3" t="str">
        <f t="shared" si="55"/>
        <v/>
      </c>
      <c r="C213" s="3" t="str">
        <f t="shared" si="55"/>
        <v/>
      </c>
      <c r="D213" s="3" t="str">
        <f t="shared" si="55"/>
        <v/>
      </c>
      <c r="E213" s="3" t="str">
        <f t="shared" si="55"/>
        <v/>
      </c>
      <c r="F213" s="3" t="str">
        <f t="shared" si="55"/>
        <v/>
      </c>
      <c r="G213" s="3" t="str">
        <f t="shared" si="55"/>
        <v/>
      </c>
      <c r="H213" s="3" t="str">
        <f t="shared" si="55"/>
        <v/>
      </c>
      <c r="I213" s="3" t="str">
        <f t="shared" si="55"/>
        <v/>
      </c>
      <c r="J213" s="3" t="str">
        <f t="shared" si="55"/>
        <v/>
      </c>
      <c r="K213" s="3" t="str">
        <f t="shared" si="55"/>
        <v/>
      </c>
    </row>
    <row r="214" spans="1:11" x14ac:dyDescent="0.2">
      <c r="A214" s="5">
        <f t="shared" si="53"/>
        <v>0.81944444444444431</v>
      </c>
      <c r="B214" s="3" t="str">
        <f t="shared" si="55"/>
        <v/>
      </c>
      <c r="C214" s="3" t="str">
        <f t="shared" si="55"/>
        <v/>
      </c>
      <c r="D214" s="3" t="str">
        <f t="shared" si="55"/>
        <v/>
      </c>
      <c r="E214" s="3" t="str">
        <f t="shared" si="55"/>
        <v/>
      </c>
      <c r="F214" s="3" t="str">
        <f t="shared" si="55"/>
        <v/>
      </c>
      <c r="G214" s="3" t="str">
        <f t="shared" si="55"/>
        <v/>
      </c>
      <c r="H214" s="3" t="str">
        <f t="shared" si="55"/>
        <v/>
      </c>
      <c r="I214" s="3" t="str">
        <f t="shared" si="55"/>
        <v/>
      </c>
      <c r="J214" s="3" t="str">
        <f t="shared" si="55"/>
        <v/>
      </c>
      <c r="K214" s="3" t="str">
        <f t="shared" si="55"/>
        <v/>
      </c>
    </row>
    <row r="215" spans="1:11" x14ac:dyDescent="0.2">
      <c r="A215" s="5">
        <f t="shared" si="53"/>
        <v>0.85416666666666652</v>
      </c>
      <c r="B215" s="3" t="str">
        <f t="shared" si="55"/>
        <v/>
      </c>
      <c r="C215" s="3" t="str">
        <f t="shared" si="55"/>
        <v/>
      </c>
      <c r="D215" s="3" t="str">
        <f t="shared" si="55"/>
        <v/>
      </c>
      <c r="E215" s="3" t="str">
        <f t="shared" si="55"/>
        <v/>
      </c>
      <c r="F215" s="3" t="str">
        <f t="shared" si="55"/>
        <v/>
      </c>
      <c r="G215" s="3" t="str">
        <f t="shared" si="55"/>
        <v/>
      </c>
      <c r="H215" s="3" t="str">
        <f t="shared" si="55"/>
        <v/>
      </c>
      <c r="I215" s="3" t="str">
        <f t="shared" si="55"/>
        <v/>
      </c>
      <c r="J215" s="3" t="str">
        <f t="shared" si="55"/>
        <v/>
      </c>
      <c r="K215" s="3" t="str">
        <f t="shared" si="55"/>
        <v/>
      </c>
    </row>
    <row r="216" spans="1:11" x14ac:dyDescent="0.2">
      <c r="A216" s="5">
        <f t="shared" si="53"/>
        <v>0.88888888888888873</v>
      </c>
      <c r="B216" s="3"/>
      <c r="C216" s="3"/>
      <c r="D216" s="3"/>
      <c r="E216" s="3"/>
      <c r="F216" s="3"/>
      <c r="G216" s="3"/>
      <c r="H216" s="3"/>
      <c r="I216" s="3"/>
      <c r="J216" s="3"/>
      <c r="K216" s="3"/>
    </row>
    <row r="217" spans="1:11" x14ac:dyDescent="0.2">
      <c r="A217" s="5">
        <f t="shared" si="53"/>
        <v>0.92361111111111094</v>
      </c>
      <c r="B217" s="3"/>
      <c r="C217" s="3"/>
      <c r="D217" s="3"/>
      <c r="E217" s="3"/>
      <c r="F217" s="3"/>
      <c r="G217" s="3"/>
      <c r="H217" s="3"/>
      <c r="I217" s="3"/>
      <c r="J217" s="3"/>
      <c r="K217" s="3"/>
    </row>
    <row r="218" spans="1:11" x14ac:dyDescent="0.2">
      <c r="A218" s="5">
        <f t="shared" si="53"/>
        <v>0.95833333333333315</v>
      </c>
      <c r="B218" s="3"/>
      <c r="C218" s="3"/>
      <c r="D218" s="3"/>
      <c r="E218" s="3"/>
      <c r="F218" s="3"/>
      <c r="G218" s="3"/>
      <c r="H218" s="3"/>
      <c r="I218" s="3"/>
      <c r="J218" s="3"/>
      <c r="K218" s="3"/>
    </row>
    <row r="219" spans="1:11" x14ac:dyDescent="0.2">
      <c r="A219" s="5"/>
      <c r="B219" s="3"/>
      <c r="C219" s="3"/>
      <c r="D219" s="3"/>
      <c r="E219" s="3"/>
      <c r="F219" s="3"/>
      <c r="G219" s="3"/>
      <c r="H219" s="3"/>
      <c r="I219" s="3"/>
      <c r="J219" s="3"/>
      <c r="K219" s="3"/>
    </row>
    <row r="221" spans="1:11" x14ac:dyDescent="0.2">
      <c r="A221" s="23" t="s">
        <v>403</v>
      </c>
    </row>
    <row r="222" spans="1:11" x14ac:dyDescent="0.2">
      <c r="A222" s="3"/>
      <c r="B222" s="3" t="s">
        <v>15</v>
      </c>
      <c r="C222" s="3" t="str">
        <f>J4</f>
        <v>locations</v>
      </c>
      <c r="D222" s="3"/>
      <c r="E222" s="3"/>
      <c r="F222" s="3"/>
      <c r="G222" s="3"/>
      <c r="H222" s="3"/>
      <c r="I222" s="3"/>
      <c r="J222" s="3"/>
      <c r="K222" s="3"/>
    </row>
    <row r="223" spans="1:11" x14ac:dyDescent="0.2">
      <c r="A223" s="3"/>
      <c r="B223" s="49">
        <f>B$6</f>
        <v>43057</v>
      </c>
      <c r="C223" s="49">
        <f t="shared" ref="C223:K223" si="56">C$6</f>
        <v>43058</v>
      </c>
      <c r="D223" s="49">
        <f t="shared" si="56"/>
        <v>43059</v>
      </c>
      <c r="E223" s="49">
        <f t="shared" si="56"/>
        <v>43060</v>
      </c>
      <c r="F223" s="49">
        <f t="shared" si="56"/>
        <v>43061</v>
      </c>
      <c r="G223" s="49">
        <f t="shared" si="56"/>
        <v>43062</v>
      </c>
      <c r="H223" s="49">
        <f t="shared" si="56"/>
        <v>43063</v>
      </c>
      <c r="I223" s="49">
        <f t="shared" si="56"/>
        <v>43064</v>
      </c>
      <c r="J223" s="49">
        <f t="shared" si="56"/>
        <v>43065</v>
      </c>
      <c r="K223" s="49">
        <f t="shared" si="56"/>
        <v>43066</v>
      </c>
    </row>
    <row r="224" spans="1:11" x14ac:dyDescent="0.2">
      <c r="A224" s="3"/>
      <c r="B224" s="49" t="str">
        <f>B$7</f>
        <v>Day 1 - Saturday</v>
      </c>
      <c r="C224" s="49" t="str">
        <f t="shared" ref="C224:K224" si="57">C$7</f>
        <v>Day 2 - Sunday</v>
      </c>
      <c r="D224" s="49" t="str">
        <f t="shared" si="57"/>
        <v>Day 3 - Monday</v>
      </c>
      <c r="E224" s="49" t="str">
        <f t="shared" si="57"/>
        <v>Day 4 - Tuesday</v>
      </c>
      <c r="F224" s="49" t="str">
        <f t="shared" si="57"/>
        <v>Day 5 - Wednesdy</v>
      </c>
      <c r="G224" s="49" t="str">
        <f t="shared" si="57"/>
        <v>Day 6 - Thursday</v>
      </c>
      <c r="H224" s="49" t="str">
        <f t="shared" si="57"/>
        <v>Day 7 - Friday</v>
      </c>
      <c r="I224" s="49" t="str">
        <f t="shared" si="57"/>
        <v>Day 8 - Saturday</v>
      </c>
      <c r="J224" s="49" t="str">
        <f t="shared" si="57"/>
        <v>Day 9 - Sunday</v>
      </c>
      <c r="K224" s="49" t="str">
        <f t="shared" si="57"/>
        <v>Day 9 - Monday</v>
      </c>
    </row>
    <row r="225" spans="1:1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</row>
    <row r="226" spans="1:11" x14ac:dyDescent="0.2">
      <c r="A226" s="5">
        <f t="shared" ref="A226:A244" si="58">A8</f>
        <v>0.33333333333333331</v>
      </c>
      <c r="B226" s="3" t="str">
        <f t="shared" ref="B226:K235" si="59">IFERROR(VLOOKUP(TEXT(B$6+$A226,"MM/DD/YYYY HH:MM")&amp;"-&gt;"&amp;$J$4,search_locations,3,FALSE),"")</f>
        <v/>
      </c>
      <c r="C226" s="3" t="str">
        <f t="shared" si="59"/>
        <v/>
      </c>
      <c r="D226" s="3" t="str">
        <f t="shared" si="59"/>
        <v/>
      </c>
      <c r="E226" s="3" t="str">
        <f t="shared" si="59"/>
        <v/>
      </c>
      <c r="F226" s="3" t="str">
        <f t="shared" si="59"/>
        <v/>
      </c>
      <c r="G226" s="3" t="str">
        <f t="shared" si="59"/>
        <v/>
      </c>
      <c r="H226" s="3" t="str">
        <f t="shared" si="59"/>
        <v/>
      </c>
      <c r="I226" s="3" t="str">
        <f t="shared" si="59"/>
        <v/>
      </c>
      <c r="J226" s="3" t="str">
        <f t="shared" si="59"/>
        <v/>
      </c>
      <c r="K226" s="3" t="str">
        <f t="shared" si="59"/>
        <v/>
      </c>
    </row>
    <row r="227" spans="1:11" x14ac:dyDescent="0.2">
      <c r="A227" s="5">
        <f t="shared" si="58"/>
        <v>0.36805555555555552</v>
      </c>
      <c r="B227" s="3" t="str">
        <f t="shared" si="59"/>
        <v/>
      </c>
      <c r="C227" s="3" t="str">
        <f t="shared" si="59"/>
        <v/>
      </c>
      <c r="D227" s="3" t="str">
        <f t="shared" si="59"/>
        <v/>
      </c>
      <c r="E227" s="3" t="str">
        <f t="shared" si="59"/>
        <v/>
      </c>
      <c r="F227" s="3" t="str">
        <f t="shared" si="59"/>
        <v/>
      </c>
      <c r="G227" s="3" t="str">
        <f t="shared" si="59"/>
        <v/>
      </c>
      <c r="H227" s="3" t="str">
        <f t="shared" si="59"/>
        <v/>
      </c>
      <c r="I227" s="3" t="str">
        <f t="shared" si="59"/>
        <v/>
      </c>
      <c r="J227" s="3" t="str">
        <f t="shared" si="59"/>
        <v/>
      </c>
      <c r="K227" s="3" t="str">
        <f t="shared" si="59"/>
        <v/>
      </c>
    </row>
    <row r="228" spans="1:11" x14ac:dyDescent="0.2">
      <c r="A228" s="5">
        <f t="shared" si="58"/>
        <v>0.40277777777777773</v>
      </c>
      <c r="B228" s="3" t="str">
        <f t="shared" si="59"/>
        <v/>
      </c>
      <c r="C228" s="3" t="str">
        <f t="shared" si="59"/>
        <v/>
      </c>
      <c r="D228" s="3" t="str">
        <f t="shared" si="59"/>
        <v/>
      </c>
      <c r="E228" s="3" t="str">
        <f t="shared" si="59"/>
        <v/>
      </c>
      <c r="F228" s="3" t="str">
        <f t="shared" si="59"/>
        <v/>
      </c>
      <c r="G228" s="3" t="str">
        <f t="shared" si="59"/>
        <v/>
      </c>
      <c r="H228" s="3" t="str">
        <f t="shared" si="59"/>
        <v/>
      </c>
      <c r="I228" s="3" t="str">
        <f t="shared" si="59"/>
        <v/>
      </c>
      <c r="J228" s="3" t="str">
        <f t="shared" si="59"/>
        <v/>
      </c>
      <c r="K228" s="3" t="str">
        <f t="shared" si="59"/>
        <v/>
      </c>
    </row>
    <row r="229" spans="1:11" x14ac:dyDescent="0.2">
      <c r="A229" s="5">
        <f t="shared" si="58"/>
        <v>0.43749999999999994</v>
      </c>
      <c r="B229" s="3" t="str">
        <f t="shared" si="59"/>
        <v/>
      </c>
      <c r="C229" s="3" t="str">
        <f t="shared" si="59"/>
        <v/>
      </c>
      <c r="D229" s="3" t="str">
        <f t="shared" si="59"/>
        <v/>
      </c>
      <c r="E229" s="3" t="str">
        <f t="shared" si="59"/>
        <v/>
      </c>
      <c r="F229" s="3" t="str">
        <f t="shared" si="59"/>
        <v/>
      </c>
      <c r="G229" s="3" t="str">
        <f t="shared" si="59"/>
        <v/>
      </c>
      <c r="H229" s="3" t="str">
        <f t="shared" si="59"/>
        <v/>
      </c>
      <c r="I229" s="3" t="str">
        <f t="shared" si="59"/>
        <v/>
      </c>
      <c r="J229" s="3" t="str">
        <f t="shared" si="59"/>
        <v/>
      </c>
      <c r="K229" s="3" t="str">
        <f t="shared" si="59"/>
        <v/>
      </c>
    </row>
    <row r="230" spans="1:11" x14ac:dyDescent="0.2">
      <c r="A230" s="5">
        <f t="shared" si="58"/>
        <v>0.47222222222222215</v>
      </c>
      <c r="B230" s="3" t="str">
        <f t="shared" si="59"/>
        <v/>
      </c>
      <c r="C230" s="3" t="str">
        <f t="shared" si="59"/>
        <v/>
      </c>
      <c r="D230" s="3" t="str">
        <f t="shared" si="59"/>
        <v/>
      </c>
      <c r="E230" s="3" t="str">
        <f t="shared" si="59"/>
        <v/>
      </c>
      <c r="F230" s="3" t="str">
        <f t="shared" si="59"/>
        <v/>
      </c>
      <c r="G230" s="3" t="str">
        <f t="shared" si="59"/>
        <v/>
      </c>
      <c r="H230" s="3" t="str">
        <f t="shared" si="59"/>
        <v/>
      </c>
      <c r="I230" s="3" t="str">
        <f t="shared" si="59"/>
        <v/>
      </c>
      <c r="J230" s="3" t="str">
        <f t="shared" si="59"/>
        <v/>
      </c>
      <c r="K230" s="3" t="str">
        <f t="shared" si="59"/>
        <v/>
      </c>
    </row>
    <row r="231" spans="1:11" x14ac:dyDescent="0.2">
      <c r="A231" s="5">
        <f t="shared" si="58"/>
        <v>0.50694444444444442</v>
      </c>
      <c r="B231" s="3" t="str">
        <f t="shared" si="59"/>
        <v/>
      </c>
      <c r="C231" s="3" t="str">
        <f t="shared" si="59"/>
        <v/>
      </c>
      <c r="D231" s="3" t="str">
        <f t="shared" si="59"/>
        <v/>
      </c>
      <c r="E231" s="3" t="str">
        <f t="shared" si="59"/>
        <v/>
      </c>
      <c r="F231" s="3" t="str">
        <f t="shared" si="59"/>
        <v/>
      </c>
      <c r="G231" s="3" t="str">
        <f t="shared" si="59"/>
        <v/>
      </c>
      <c r="H231" s="3" t="str">
        <f t="shared" si="59"/>
        <v/>
      </c>
      <c r="I231" s="3" t="str">
        <f t="shared" si="59"/>
        <v/>
      </c>
      <c r="J231" s="3" t="str">
        <f t="shared" si="59"/>
        <v/>
      </c>
      <c r="K231" s="3" t="str">
        <f t="shared" si="59"/>
        <v/>
      </c>
    </row>
    <row r="232" spans="1:11" x14ac:dyDescent="0.2">
      <c r="A232" s="5">
        <f t="shared" si="58"/>
        <v>0.54166666666666663</v>
      </c>
      <c r="B232" s="3" t="str">
        <f t="shared" si="59"/>
        <v/>
      </c>
      <c r="C232" s="3" t="str">
        <f t="shared" si="59"/>
        <v/>
      </c>
      <c r="D232" s="3" t="str">
        <f t="shared" si="59"/>
        <v/>
      </c>
      <c r="E232" s="3" t="str">
        <f t="shared" si="59"/>
        <v/>
      </c>
      <c r="F232" s="3" t="str">
        <f t="shared" si="59"/>
        <v/>
      </c>
      <c r="G232" s="3" t="str">
        <f t="shared" si="59"/>
        <v/>
      </c>
      <c r="H232" s="3" t="str">
        <f t="shared" si="59"/>
        <v/>
      </c>
      <c r="I232" s="3" t="str">
        <f t="shared" si="59"/>
        <v/>
      </c>
      <c r="J232" s="3" t="str">
        <f t="shared" si="59"/>
        <v/>
      </c>
      <c r="K232" s="3" t="str">
        <f t="shared" si="59"/>
        <v/>
      </c>
    </row>
    <row r="233" spans="1:11" x14ac:dyDescent="0.2">
      <c r="A233" s="5">
        <f t="shared" si="58"/>
        <v>0.57638888888888884</v>
      </c>
      <c r="B233" s="3" t="str">
        <f t="shared" si="59"/>
        <v/>
      </c>
      <c r="C233" s="3" t="str">
        <f t="shared" si="59"/>
        <v/>
      </c>
      <c r="D233" s="3" t="str">
        <f t="shared" si="59"/>
        <v/>
      </c>
      <c r="E233" s="3" t="str">
        <f t="shared" si="59"/>
        <v/>
      </c>
      <c r="F233" s="3" t="str">
        <f t="shared" si="59"/>
        <v/>
      </c>
      <c r="G233" s="3" t="str">
        <f t="shared" si="59"/>
        <v/>
      </c>
      <c r="H233" s="3" t="str">
        <f t="shared" si="59"/>
        <v/>
      </c>
      <c r="I233" s="3" t="str">
        <f t="shared" si="59"/>
        <v/>
      </c>
      <c r="J233" s="3" t="str">
        <f t="shared" si="59"/>
        <v/>
      </c>
      <c r="K233" s="3" t="str">
        <f t="shared" si="59"/>
        <v/>
      </c>
    </row>
    <row r="234" spans="1:11" x14ac:dyDescent="0.2">
      <c r="A234" s="5">
        <f t="shared" si="58"/>
        <v>0.61111111111111105</v>
      </c>
      <c r="B234" s="3" t="str">
        <f t="shared" si="59"/>
        <v/>
      </c>
      <c r="C234" s="3" t="str">
        <f t="shared" si="59"/>
        <v/>
      </c>
      <c r="D234" s="3" t="str">
        <f t="shared" si="59"/>
        <v/>
      </c>
      <c r="E234" s="3" t="str">
        <f t="shared" si="59"/>
        <v/>
      </c>
      <c r="F234" s="3" t="str">
        <f t="shared" si="59"/>
        <v/>
      </c>
      <c r="G234" s="3" t="str">
        <f t="shared" si="59"/>
        <v/>
      </c>
      <c r="H234" s="3" t="str">
        <f t="shared" si="59"/>
        <v/>
      </c>
      <c r="I234" s="3" t="str">
        <f t="shared" si="59"/>
        <v/>
      </c>
      <c r="J234" s="3" t="str">
        <f t="shared" si="59"/>
        <v/>
      </c>
      <c r="K234" s="3" t="str">
        <f t="shared" si="59"/>
        <v/>
      </c>
    </row>
    <row r="235" spans="1:11" x14ac:dyDescent="0.2">
      <c r="A235" s="5">
        <f t="shared" si="58"/>
        <v>0.64583333333333326</v>
      </c>
      <c r="B235" s="3" t="str">
        <f t="shared" si="59"/>
        <v/>
      </c>
      <c r="C235" s="3" t="str">
        <f t="shared" si="59"/>
        <v/>
      </c>
      <c r="D235" s="3" t="str">
        <f t="shared" si="59"/>
        <v/>
      </c>
      <c r="E235" s="3" t="str">
        <f t="shared" si="59"/>
        <v/>
      </c>
      <c r="F235" s="3" t="str">
        <f t="shared" si="59"/>
        <v/>
      </c>
      <c r="G235" s="3" t="str">
        <f t="shared" si="59"/>
        <v/>
      </c>
      <c r="H235" s="3" t="str">
        <f t="shared" si="59"/>
        <v/>
      </c>
      <c r="I235" s="3" t="str">
        <f t="shared" si="59"/>
        <v/>
      </c>
      <c r="J235" s="3" t="str">
        <f t="shared" si="59"/>
        <v/>
      </c>
      <c r="K235" s="3" t="str">
        <f t="shared" si="59"/>
        <v/>
      </c>
    </row>
    <row r="236" spans="1:11" x14ac:dyDescent="0.2">
      <c r="A236" s="5">
        <f t="shared" si="58"/>
        <v>0.68055555555555547</v>
      </c>
      <c r="B236" s="3" t="str">
        <f t="shared" ref="B236:K244" si="60">IFERROR(VLOOKUP(TEXT(B$6+$A236,"MM/DD/YYYY HH:MM")&amp;"-&gt;"&amp;$J$4,search_locations,3,FALSE),"")</f>
        <v/>
      </c>
      <c r="C236" s="3" t="str">
        <f t="shared" si="60"/>
        <v/>
      </c>
      <c r="D236" s="3" t="str">
        <f t="shared" si="60"/>
        <v/>
      </c>
      <c r="E236" s="3" t="str">
        <f t="shared" si="60"/>
        <v/>
      </c>
      <c r="F236" s="3" t="str">
        <f t="shared" si="60"/>
        <v/>
      </c>
      <c r="G236" s="3" t="str">
        <f t="shared" si="60"/>
        <v/>
      </c>
      <c r="H236" s="3" t="str">
        <f t="shared" si="60"/>
        <v/>
      </c>
      <c r="I236" s="3" t="str">
        <f t="shared" si="60"/>
        <v/>
      </c>
      <c r="J236" s="3" t="str">
        <f t="shared" si="60"/>
        <v/>
      </c>
      <c r="K236" s="3" t="str">
        <f t="shared" si="60"/>
        <v/>
      </c>
    </row>
    <row r="237" spans="1:11" x14ac:dyDescent="0.2">
      <c r="A237" s="5">
        <f t="shared" si="58"/>
        <v>0.71527777777777768</v>
      </c>
      <c r="B237" s="3" t="str">
        <f t="shared" si="60"/>
        <v/>
      </c>
      <c r="C237" s="3" t="str">
        <f t="shared" si="60"/>
        <v/>
      </c>
      <c r="D237" s="3" t="str">
        <f t="shared" si="60"/>
        <v/>
      </c>
      <c r="E237" s="3" t="str">
        <f t="shared" si="60"/>
        <v/>
      </c>
      <c r="F237" s="3" t="str">
        <f t="shared" si="60"/>
        <v/>
      </c>
      <c r="G237" s="3" t="str">
        <f t="shared" si="60"/>
        <v/>
      </c>
      <c r="H237" s="3" t="str">
        <f t="shared" si="60"/>
        <v/>
      </c>
      <c r="I237" s="3" t="str">
        <f t="shared" si="60"/>
        <v/>
      </c>
      <c r="J237" s="3" t="str">
        <f t="shared" si="60"/>
        <v/>
      </c>
      <c r="K237" s="3" t="str">
        <f t="shared" si="60"/>
        <v/>
      </c>
    </row>
    <row r="238" spans="1:11" x14ac:dyDescent="0.2">
      <c r="A238" s="5">
        <f t="shared" si="58"/>
        <v>0.74999999999999989</v>
      </c>
      <c r="B238" s="3" t="str">
        <f t="shared" si="60"/>
        <v/>
      </c>
      <c r="C238" s="3" t="str">
        <f t="shared" si="60"/>
        <v/>
      </c>
      <c r="D238" s="3" t="str">
        <f t="shared" si="60"/>
        <v/>
      </c>
      <c r="E238" s="3" t="str">
        <f t="shared" si="60"/>
        <v/>
      </c>
      <c r="F238" s="3" t="str">
        <f t="shared" si="60"/>
        <v/>
      </c>
      <c r="G238" s="3" t="str">
        <f t="shared" si="60"/>
        <v/>
      </c>
      <c r="H238" s="3" t="str">
        <f t="shared" si="60"/>
        <v/>
      </c>
      <c r="I238" s="3" t="str">
        <f t="shared" si="60"/>
        <v/>
      </c>
      <c r="J238" s="3" t="str">
        <f t="shared" si="60"/>
        <v/>
      </c>
      <c r="K238" s="3" t="str">
        <f t="shared" si="60"/>
        <v/>
      </c>
    </row>
    <row r="239" spans="1:11" x14ac:dyDescent="0.2">
      <c r="A239" s="5">
        <f t="shared" si="58"/>
        <v>0.7847222222222221</v>
      </c>
      <c r="B239" s="3" t="str">
        <f t="shared" si="60"/>
        <v/>
      </c>
      <c r="C239" s="3" t="str">
        <f t="shared" si="60"/>
        <v/>
      </c>
      <c r="D239" s="3" t="str">
        <f t="shared" si="60"/>
        <v/>
      </c>
      <c r="E239" s="3" t="str">
        <f t="shared" si="60"/>
        <v/>
      </c>
      <c r="F239" s="3" t="str">
        <f t="shared" si="60"/>
        <v/>
      </c>
      <c r="G239" s="3" t="str">
        <f t="shared" si="60"/>
        <v/>
      </c>
      <c r="H239" s="3" t="str">
        <f t="shared" si="60"/>
        <v/>
      </c>
      <c r="I239" s="3" t="str">
        <f t="shared" si="60"/>
        <v/>
      </c>
      <c r="J239" s="3" t="str">
        <f t="shared" si="60"/>
        <v/>
      </c>
      <c r="K239" s="3" t="str">
        <f t="shared" si="60"/>
        <v/>
      </c>
    </row>
    <row r="240" spans="1:11" x14ac:dyDescent="0.2">
      <c r="A240" s="5">
        <f t="shared" si="58"/>
        <v>0.81944444444444431</v>
      </c>
      <c r="B240" s="3" t="str">
        <f t="shared" si="60"/>
        <v/>
      </c>
      <c r="C240" s="3" t="str">
        <f t="shared" si="60"/>
        <v/>
      </c>
      <c r="D240" s="3" t="str">
        <f t="shared" si="60"/>
        <v/>
      </c>
      <c r="E240" s="3" t="str">
        <f t="shared" si="60"/>
        <v/>
      </c>
      <c r="F240" s="3" t="str">
        <f t="shared" si="60"/>
        <v/>
      </c>
      <c r="G240" s="3" t="str">
        <f t="shared" si="60"/>
        <v/>
      </c>
      <c r="H240" s="3" t="str">
        <f t="shared" si="60"/>
        <v/>
      </c>
      <c r="I240" s="3" t="str">
        <f t="shared" si="60"/>
        <v/>
      </c>
      <c r="J240" s="3" t="str">
        <f t="shared" si="60"/>
        <v/>
      </c>
      <c r="K240" s="3" t="str">
        <f t="shared" si="60"/>
        <v/>
      </c>
    </row>
    <row r="241" spans="1:11" x14ac:dyDescent="0.2">
      <c r="A241" s="5">
        <f t="shared" si="58"/>
        <v>0.85416666666666652</v>
      </c>
      <c r="B241" s="3" t="str">
        <f t="shared" si="60"/>
        <v/>
      </c>
      <c r="C241" s="3" t="str">
        <f t="shared" si="60"/>
        <v/>
      </c>
      <c r="D241" s="3" t="str">
        <f t="shared" si="60"/>
        <v/>
      </c>
      <c r="E241" s="3" t="str">
        <f t="shared" si="60"/>
        <v/>
      </c>
      <c r="F241" s="3" t="str">
        <f t="shared" si="60"/>
        <v/>
      </c>
      <c r="G241" s="3" t="str">
        <f t="shared" si="60"/>
        <v/>
      </c>
      <c r="H241" s="3" t="str">
        <f t="shared" si="60"/>
        <v/>
      </c>
      <c r="I241" s="3" t="str">
        <f t="shared" si="60"/>
        <v/>
      </c>
      <c r="J241" s="3" t="str">
        <f t="shared" si="60"/>
        <v/>
      </c>
      <c r="K241" s="3" t="str">
        <f t="shared" si="60"/>
        <v/>
      </c>
    </row>
    <row r="242" spans="1:11" x14ac:dyDescent="0.2">
      <c r="A242" s="5">
        <f t="shared" si="58"/>
        <v>0.88888888888888873</v>
      </c>
      <c r="B242" s="3" t="str">
        <f t="shared" si="60"/>
        <v/>
      </c>
      <c r="C242" s="3" t="str">
        <f t="shared" si="60"/>
        <v/>
      </c>
      <c r="D242" s="3" t="str">
        <f t="shared" si="60"/>
        <v/>
      </c>
      <c r="E242" s="3" t="str">
        <f t="shared" si="60"/>
        <v/>
      </c>
      <c r="F242" s="3" t="str">
        <f t="shared" si="60"/>
        <v/>
      </c>
      <c r="G242" s="3" t="str">
        <f t="shared" si="60"/>
        <v/>
      </c>
      <c r="H242" s="3" t="str">
        <f t="shared" si="60"/>
        <v/>
      </c>
      <c r="I242" s="3" t="str">
        <f t="shared" si="60"/>
        <v/>
      </c>
      <c r="J242" s="3" t="str">
        <f t="shared" si="60"/>
        <v/>
      </c>
      <c r="K242" s="3" t="str">
        <f t="shared" si="60"/>
        <v/>
      </c>
    </row>
    <row r="243" spans="1:11" x14ac:dyDescent="0.2">
      <c r="A243" s="5">
        <f t="shared" si="58"/>
        <v>0.92361111111111094</v>
      </c>
      <c r="B243" s="3" t="str">
        <f t="shared" si="60"/>
        <v/>
      </c>
      <c r="C243" s="3" t="str">
        <f t="shared" si="60"/>
        <v/>
      </c>
      <c r="D243" s="3" t="str">
        <f t="shared" si="60"/>
        <v/>
      </c>
      <c r="E243" s="3" t="str">
        <f t="shared" si="60"/>
        <v/>
      </c>
      <c r="F243" s="3" t="str">
        <f t="shared" si="60"/>
        <v/>
      </c>
      <c r="G243" s="3" t="str">
        <f t="shared" si="60"/>
        <v/>
      </c>
      <c r="H243" s="3" t="str">
        <f t="shared" si="60"/>
        <v/>
      </c>
      <c r="I243" s="3" t="str">
        <f t="shared" si="60"/>
        <v/>
      </c>
      <c r="J243" s="3" t="str">
        <f t="shared" si="60"/>
        <v/>
      </c>
      <c r="K243" s="3" t="str">
        <f t="shared" si="60"/>
        <v/>
      </c>
    </row>
    <row r="244" spans="1:11" x14ac:dyDescent="0.2">
      <c r="A244" s="5">
        <f t="shared" si="58"/>
        <v>0.95833333333333315</v>
      </c>
      <c r="B244" s="3" t="str">
        <f t="shared" si="60"/>
        <v/>
      </c>
      <c r="C244" s="3" t="str">
        <f t="shared" si="60"/>
        <v/>
      </c>
      <c r="D244" s="3" t="str">
        <f t="shared" si="60"/>
        <v/>
      </c>
      <c r="E244" s="3" t="str">
        <f t="shared" si="60"/>
        <v/>
      </c>
      <c r="F244" s="3" t="str">
        <f t="shared" si="60"/>
        <v/>
      </c>
      <c r="G244" s="3" t="str">
        <f t="shared" si="60"/>
        <v/>
      </c>
      <c r="H244" s="3" t="str">
        <f t="shared" si="60"/>
        <v/>
      </c>
      <c r="I244" s="3" t="str">
        <f t="shared" si="60"/>
        <v/>
      </c>
      <c r="J244" s="3" t="str">
        <f t="shared" si="60"/>
        <v/>
      </c>
      <c r="K244" s="3" t="str">
        <f t="shared" si="60"/>
        <v/>
      </c>
    </row>
  </sheetData>
  <mergeCells count="6">
    <mergeCell ref="J3:K3"/>
    <mergeCell ref="J4:K4"/>
    <mergeCell ref="B3:C3"/>
    <mergeCell ref="B4:C4"/>
    <mergeCell ref="F3:G3"/>
    <mergeCell ref="F4:G4"/>
  </mergeCells>
  <conditionalFormatting sqref="B8:K27">
    <cfRule type="cellIs" dxfId="4" priority="2" operator="equal">
      <formula>"CONFLICT"</formula>
    </cfRule>
  </conditionalFormatting>
  <dataValidations count="2">
    <dataValidation type="list" allowBlank="1" showInputMessage="1" showErrorMessage="1" sqref="B3:B4" xr:uid="{00000000-0002-0000-0D00-000000000000}">
      <formula1>team_list</formula1>
    </dataValidation>
    <dataValidation type="list" allowBlank="1" showInputMessage="1" showErrorMessage="1" sqref="F3:G4 J3:K4" xr:uid="{00000000-0002-0000-0D00-000001000000}">
      <formula1>location_list</formula1>
    </dataValidation>
  </dataValidations>
  <pageMargins left="0.7" right="0.7" top="0.75" bottom="0.75" header="0.3" footer="0.3"/>
  <pageSetup orientation="portrait" horizontalDpi="360" verticalDpi="36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I88"/>
  <sheetViews>
    <sheetView workbookViewId="0"/>
  </sheetViews>
  <sheetFormatPr baseColWidth="10" defaultColWidth="8.83203125" defaultRowHeight="15" x14ac:dyDescent="0.2"/>
  <cols>
    <col min="1" max="1" width="20" bestFit="1" customWidth="1"/>
    <col min="5" max="5" width="10.6640625" bestFit="1" customWidth="1"/>
    <col min="6" max="6" width="9" bestFit="1" customWidth="1"/>
    <col min="7" max="7" width="13.1640625" bestFit="1" customWidth="1"/>
    <col min="8" max="8" width="18.5" bestFit="1" customWidth="1"/>
    <col min="9" max="9" width="15.83203125" bestFit="1" customWidth="1"/>
  </cols>
  <sheetData>
    <row r="1" spans="1:9" ht="16" x14ac:dyDescent="0.2">
      <c r="A1" s="83" t="s">
        <v>291</v>
      </c>
      <c r="B1" s="121"/>
      <c r="C1" s="121"/>
      <c r="D1" s="121"/>
      <c r="E1" s="82">
        <v>43059</v>
      </c>
      <c r="F1" s="122">
        <v>0.71527777777777779</v>
      </c>
      <c r="G1" s="83" t="s">
        <v>228</v>
      </c>
      <c r="H1" s="120" t="s">
        <v>564</v>
      </c>
      <c r="I1" s="120" t="s">
        <v>571</v>
      </c>
    </row>
    <row r="2" spans="1:9" ht="16" x14ac:dyDescent="0.2">
      <c r="A2" s="83" t="s">
        <v>291</v>
      </c>
      <c r="B2" s="121"/>
      <c r="C2" s="121"/>
      <c r="D2" s="121"/>
      <c r="E2" s="82">
        <v>43059</v>
      </c>
      <c r="F2" s="122">
        <v>0.71527777777777779</v>
      </c>
      <c r="G2" s="83" t="s">
        <v>228</v>
      </c>
      <c r="H2" s="120" t="s">
        <v>565</v>
      </c>
      <c r="I2" s="120" t="s">
        <v>571</v>
      </c>
    </row>
    <row r="3" spans="1:9" ht="16" x14ac:dyDescent="0.2">
      <c r="A3" s="83" t="s">
        <v>291</v>
      </c>
      <c r="B3" s="121"/>
      <c r="C3" s="121"/>
      <c r="D3" s="121"/>
      <c r="E3" s="82">
        <v>43059</v>
      </c>
      <c r="F3" s="122">
        <v>0.71527777777777801</v>
      </c>
      <c r="G3" s="83" t="s">
        <v>228</v>
      </c>
      <c r="H3" s="120" t="s">
        <v>567</v>
      </c>
      <c r="I3" s="120" t="s">
        <v>571</v>
      </c>
    </row>
    <row r="4" spans="1:9" ht="16" x14ac:dyDescent="0.2">
      <c r="A4" s="83" t="s">
        <v>291</v>
      </c>
      <c r="B4" s="121"/>
      <c r="C4" s="121"/>
      <c r="D4" s="121"/>
      <c r="E4" s="82">
        <v>43059</v>
      </c>
      <c r="F4" s="122">
        <v>0.71527777777777801</v>
      </c>
      <c r="G4" s="83" t="s">
        <v>228</v>
      </c>
      <c r="H4" s="120" t="s">
        <v>566</v>
      </c>
      <c r="I4" s="120" t="s">
        <v>571</v>
      </c>
    </row>
    <row r="5" spans="1:9" ht="16" x14ac:dyDescent="0.2">
      <c r="A5" s="83" t="s">
        <v>291</v>
      </c>
      <c r="B5" s="121"/>
      <c r="C5" s="121"/>
      <c r="D5" s="121"/>
      <c r="E5" s="82">
        <v>43059</v>
      </c>
      <c r="F5" s="122">
        <v>0.71527777777777801</v>
      </c>
      <c r="G5" s="83" t="s">
        <v>228</v>
      </c>
      <c r="H5" s="120" t="s">
        <v>569</v>
      </c>
      <c r="I5" s="120" t="s">
        <v>571</v>
      </c>
    </row>
    <row r="6" spans="1:9" ht="16" x14ac:dyDescent="0.2">
      <c r="A6" s="83" t="s">
        <v>292</v>
      </c>
      <c r="B6" s="121"/>
      <c r="C6" s="121"/>
      <c r="D6" s="121"/>
      <c r="E6" s="82">
        <v>43060</v>
      </c>
      <c r="F6" s="122">
        <v>0.71527777777777779</v>
      </c>
      <c r="G6" s="83" t="s">
        <v>228</v>
      </c>
      <c r="H6" s="120" t="s">
        <v>570</v>
      </c>
      <c r="I6" s="120" t="s">
        <v>571</v>
      </c>
    </row>
    <row r="7" spans="1:9" ht="16" x14ac:dyDescent="0.2">
      <c r="A7" s="83" t="s">
        <v>292</v>
      </c>
      <c r="B7" s="121"/>
      <c r="C7" s="121"/>
      <c r="D7" s="121"/>
      <c r="E7" s="82">
        <v>43060</v>
      </c>
      <c r="F7" s="122">
        <v>0.71527777777777779</v>
      </c>
      <c r="G7" s="83" t="s">
        <v>228</v>
      </c>
      <c r="H7" s="120" t="s">
        <v>572</v>
      </c>
      <c r="I7" s="120" t="s">
        <v>582</v>
      </c>
    </row>
    <row r="8" spans="1:9" ht="16" x14ac:dyDescent="0.2">
      <c r="A8" s="83" t="s">
        <v>292</v>
      </c>
      <c r="B8" s="121"/>
      <c r="C8" s="121"/>
      <c r="D8" s="121"/>
      <c r="E8" s="82">
        <v>43060</v>
      </c>
      <c r="F8" s="122">
        <v>0.71527777777777801</v>
      </c>
      <c r="G8" s="83" t="s">
        <v>228</v>
      </c>
      <c r="H8" s="120" t="s">
        <v>574</v>
      </c>
      <c r="I8" s="120" t="s">
        <v>582</v>
      </c>
    </row>
    <row r="9" spans="1:9" ht="16" x14ac:dyDescent="0.2">
      <c r="A9" s="83" t="s">
        <v>292</v>
      </c>
      <c r="B9" s="121"/>
      <c r="C9" s="121"/>
      <c r="D9" s="121"/>
      <c r="E9" s="82">
        <v>43060</v>
      </c>
      <c r="F9" s="122">
        <v>0.71527777777777801</v>
      </c>
      <c r="G9" s="83" t="s">
        <v>228</v>
      </c>
      <c r="H9" s="120" t="s">
        <v>576</v>
      </c>
      <c r="I9" s="120" t="s">
        <v>582</v>
      </c>
    </row>
    <row r="10" spans="1:9" ht="16" x14ac:dyDescent="0.2">
      <c r="A10" s="83" t="s">
        <v>292</v>
      </c>
      <c r="B10" s="121"/>
      <c r="C10" s="121"/>
      <c r="D10" s="121"/>
      <c r="E10" s="82">
        <v>43060</v>
      </c>
      <c r="F10" s="122">
        <v>0.71527777777777801</v>
      </c>
      <c r="G10" s="83" t="s">
        <v>228</v>
      </c>
      <c r="H10" s="120" t="s">
        <v>575</v>
      </c>
      <c r="I10" s="120" t="s">
        <v>582</v>
      </c>
    </row>
    <row r="11" spans="1:9" ht="16" x14ac:dyDescent="0.2">
      <c r="A11" s="83" t="s">
        <v>292</v>
      </c>
      <c r="B11" s="121"/>
      <c r="C11" s="121"/>
      <c r="D11" s="121"/>
      <c r="E11" s="82">
        <v>43060</v>
      </c>
      <c r="F11" s="122">
        <v>0.71527777777777801</v>
      </c>
      <c r="G11" s="83" t="s">
        <v>228</v>
      </c>
      <c r="H11" s="120" t="s">
        <v>580</v>
      </c>
      <c r="I11" s="120" t="s">
        <v>582</v>
      </c>
    </row>
    <row r="12" spans="1:9" ht="16" x14ac:dyDescent="0.2">
      <c r="A12" s="83" t="s">
        <v>292</v>
      </c>
      <c r="B12" s="121"/>
      <c r="C12" s="121"/>
      <c r="D12" s="121"/>
      <c r="E12" s="82">
        <v>43060</v>
      </c>
      <c r="F12" s="122">
        <v>0.71527777777777801</v>
      </c>
      <c r="G12" s="83" t="s">
        <v>228</v>
      </c>
      <c r="H12" s="120" t="s">
        <v>581</v>
      </c>
      <c r="I12" s="120" t="s">
        <v>582</v>
      </c>
    </row>
    <row r="13" spans="1:9" ht="16" x14ac:dyDescent="0.2">
      <c r="A13" s="83" t="s">
        <v>292</v>
      </c>
      <c r="B13" s="121"/>
      <c r="C13" s="121"/>
      <c r="D13" s="121"/>
      <c r="E13" s="82">
        <v>43060</v>
      </c>
      <c r="F13" s="122">
        <v>0.71527777777777801</v>
      </c>
      <c r="G13" s="83" t="s">
        <v>228</v>
      </c>
      <c r="H13" s="120" t="s">
        <v>578</v>
      </c>
      <c r="I13" s="120" t="s">
        <v>582</v>
      </c>
    </row>
    <row r="14" spans="1:9" ht="16" x14ac:dyDescent="0.2">
      <c r="A14" s="83" t="s">
        <v>292</v>
      </c>
      <c r="B14" s="121"/>
      <c r="C14" s="121"/>
      <c r="D14" s="121"/>
      <c r="E14" s="82">
        <v>43060</v>
      </c>
      <c r="F14" s="122">
        <v>0.71527777777777801</v>
      </c>
      <c r="G14" s="83" t="s">
        <v>228</v>
      </c>
      <c r="H14" s="120" t="s">
        <v>577</v>
      </c>
      <c r="I14" s="120" t="s">
        <v>582</v>
      </c>
    </row>
    <row r="15" spans="1:9" ht="16" x14ac:dyDescent="0.2">
      <c r="A15" s="83" t="s">
        <v>293</v>
      </c>
      <c r="B15" s="121"/>
      <c r="C15" s="121"/>
      <c r="D15" s="121"/>
      <c r="E15" s="82">
        <v>43059</v>
      </c>
      <c r="F15" s="122">
        <v>0.68055555555555547</v>
      </c>
      <c r="G15" s="83" t="s">
        <v>228</v>
      </c>
      <c r="H15" s="120" t="s">
        <v>545</v>
      </c>
      <c r="I15" s="120" t="s">
        <v>551</v>
      </c>
    </row>
    <row r="16" spans="1:9" ht="16" x14ac:dyDescent="0.2">
      <c r="A16" s="83" t="s">
        <v>293</v>
      </c>
      <c r="B16" s="121"/>
      <c r="C16" s="121"/>
      <c r="D16" s="121"/>
      <c r="E16" s="82">
        <v>43059</v>
      </c>
      <c r="F16" s="122">
        <v>0.68055555555555547</v>
      </c>
      <c r="G16" s="83" t="s">
        <v>228</v>
      </c>
      <c r="H16" s="120" t="s">
        <v>680</v>
      </c>
      <c r="I16" s="120" t="s">
        <v>551</v>
      </c>
    </row>
    <row r="17" spans="1:9" ht="16" x14ac:dyDescent="0.2">
      <c r="A17" s="83" t="s">
        <v>293</v>
      </c>
      <c r="B17" s="121"/>
      <c r="C17" s="121"/>
      <c r="D17" s="121"/>
      <c r="E17" s="82">
        <v>43059</v>
      </c>
      <c r="F17" s="122">
        <v>0.68055555555555503</v>
      </c>
      <c r="G17" s="83" t="s">
        <v>228</v>
      </c>
      <c r="H17" s="120" t="s">
        <v>544</v>
      </c>
      <c r="I17" s="120" t="s">
        <v>551</v>
      </c>
    </row>
    <row r="18" spans="1:9" ht="16" x14ac:dyDescent="0.2">
      <c r="A18" s="83" t="s">
        <v>293</v>
      </c>
      <c r="B18" s="121"/>
      <c r="C18" s="121"/>
      <c r="D18" s="121"/>
      <c r="E18" s="82">
        <v>43059</v>
      </c>
      <c r="F18" s="122">
        <v>0.68055555555555503</v>
      </c>
      <c r="G18" s="83" t="s">
        <v>228</v>
      </c>
      <c r="H18" s="120" t="s">
        <v>548</v>
      </c>
      <c r="I18" s="120" t="s">
        <v>551</v>
      </c>
    </row>
    <row r="19" spans="1:9" ht="16" x14ac:dyDescent="0.2">
      <c r="A19" s="83" t="s">
        <v>294</v>
      </c>
      <c r="B19" s="121"/>
      <c r="C19" s="121"/>
      <c r="D19" s="121"/>
      <c r="E19" s="82">
        <v>43060</v>
      </c>
      <c r="F19" s="122">
        <v>0.68055555555555547</v>
      </c>
      <c r="G19" s="83" t="s">
        <v>228</v>
      </c>
      <c r="H19" s="120" t="s">
        <v>552</v>
      </c>
      <c r="I19" s="120" t="s">
        <v>563</v>
      </c>
    </row>
    <row r="20" spans="1:9" ht="16" x14ac:dyDescent="0.2">
      <c r="A20" s="83" t="s">
        <v>294</v>
      </c>
      <c r="B20" s="121"/>
      <c r="C20" s="121"/>
      <c r="D20" s="121"/>
      <c r="E20" s="82">
        <v>43060</v>
      </c>
      <c r="F20" s="122">
        <v>0.68055555555555547</v>
      </c>
      <c r="G20" s="83" t="s">
        <v>228</v>
      </c>
      <c r="H20" s="120" t="s">
        <v>553</v>
      </c>
      <c r="I20" s="120" t="s">
        <v>563</v>
      </c>
    </row>
    <row r="21" spans="1:9" ht="16" x14ac:dyDescent="0.2">
      <c r="A21" s="83" t="s">
        <v>294</v>
      </c>
      <c r="B21" s="121"/>
      <c r="C21" s="121"/>
      <c r="D21" s="121"/>
      <c r="E21" s="82">
        <v>43060</v>
      </c>
      <c r="F21" s="122">
        <v>0.68055555555555547</v>
      </c>
      <c r="G21" s="83" t="s">
        <v>228</v>
      </c>
      <c r="H21" s="120" t="s">
        <v>558</v>
      </c>
      <c r="I21" s="120" t="s">
        <v>563</v>
      </c>
    </row>
    <row r="22" spans="1:9" ht="16" x14ac:dyDescent="0.2">
      <c r="A22" s="83" t="s">
        <v>294</v>
      </c>
      <c r="B22" s="121"/>
      <c r="C22" s="121"/>
      <c r="D22" s="121"/>
      <c r="E22" s="82">
        <v>43060</v>
      </c>
      <c r="F22" s="122">
        <v>0.68055555555555547</v>
      </c>
      <c r="G22" s="83" t="s">
        <v>228</v>
      </c>
      <c r="H22" s="120" t="s">
        <v>556</v>
      </c>
      <c r="I22" s="120" t="s">
        <v>563</v>
      </c>
    </row>
    <row r="23" spans="1:9" ht="16" x14ac:dyDescent="0.2">
      <c r="A23" s="83" t="s">
        <v>294</v>
      </c>
      <c r="B23" s="121"/>
      <c r="C23" s="121"/>
      <c r="D23" s="121"/>
      <c r="E23" s="82">
        <v>43060</v>
      </c>
      <c r="F23" s="122">
        <v>0.68055555555555503</v>
      </c>
      <c r="G23" s="83" t="s">
        <v>228</v>
      </c>
      <c r="H23" s="120" t="s">
        <v>554</v>
      </c>
      <c r="I23" s="120" t="s">
        <v>563</v>
      </c>
    </row>
    <row r="24" spans="1:9" ht="16" x14ac:dyDescent="0.2">
      <c r="A24" s="83" t="s">
        <v>294</v>
      </c>
      <c r="B24" s="121"/>
      <c r="C24" s="121"/>
      <c r="D24" s="121"/>
      <c r="E24" s="82">
        <v>43060</v>
      </c>
      <c r="F24" s="122">
        <v>0.68055555555555503</v>
      </c>
      <c r="G24" s="83" t="s">
        <v>228</v>
      </c>
      <c r="H24" s="120" t="s">
        <v>555</v>
      </c>
      <c r="I24" s="120" t="s">
        <v>563</v>
      </c>
    </row>
    <row r="25" spans="1:9" ht="16" x14ac:dyDescent="0.2">
      <c r="A25" s="83" t="s">
        <v>294</v>
      </c>
      <c r="B25" s="121"/>
      <c r="C25" s="121"/>
      <c r="D25" s="121"/>
      <c r="E25" s="82">
        <v>43060</v>
      </c>
      <c r="F25" s="122">
        <v>0.68055555555555503</v>
      </c>
      <c r="G25" s="83" t="s">
        <v>228</v>
      </c>
      <c r="H25" s="120" t="s">
        <v>560</v>
      </c>
      <c r="I25" s="120" t="s">
        <v>563</v>
      </c>
    </row>
    <row r="26" spans="1:9" ht="16" x14ac:dyDescent="0.2">
      <c r="A26" s="83" t="s">
        <v>294</v>
      </c>
      <c r="B26" s="121"/>
      <c r="C26" s="121"/>
      <c r="D26" s="121"/>
      <c r="E26" s="82">
        <v>43060</v>
      </c>
      <c r="F26" s="122">
        <v>0.68055555555555503</v>
      </c>
      <c r="G26" s="83" t="s">
        <v>228</v>
      </c>
      <c r="H26" s="120" t="s">
        <v>561</v>
      </c>
      <c r="I26" s="120" t="s">
        <v>563</v>
      </c>
    </row>
    <row r="27" spans="1:9" ht="16" x14ac:dyDescent="0.2">
      <c r="A27" s="83" t="s">
        <v>301</v>
      </c>
      <c r="B27" s="121"/>
      <c r="C27" s="121"/>
      <c r="D27" s="121"/>
      <c r="E27" s="82">
        <v>43058</v>
      </c>
      <c r="F27" s="122">
        <v>0.64583333333333337</v>
      </c>
      <c r="G27" s="83" t="s">
        <v>228</v>
      </c>
      <c r="H27" s="120" t="s">
        <v>585</v>
      </c>
      <c r="I27" s="120" t="s">
        <v>591</v>
      </c>
    </row>
    <row r="28" spans="1:9" ht="16" x14ac:dyDescent="0.2">
      <c r="A28" s="83" t="s">
        <v>301</v>
      </c>
      <c r="B28" s="121"/>
      <c r="C28" s="121"/>
      <c r="D28" s="121"/>
      <c r="E28" s="82">
        <v>43058</v>
      </c>
      <c r="F28" s="122">
        <v>0.64583333333333304</v>
      </c>
      <c r="G28" s="83" t="s">
        <v>228</v>
      </c>
      <c r="H28" s="120" t="s">
        <v>586</v>
      </c>
      <c r="I28" s="120" t="s">
        <v>591</v>
      </c>
    </row>
    <row r="29" spans="1:9" ht="16" x14ac:dyDescent="0.2">
      <c r="A29" s="83" t="s">
        <v>301</v>
      </c>
      <c r="B29" s="121"/>
      <c r="C29" s="121"/>
      <c r="D29" s="121"/>
      <c r="E29" s="82">
        <v>43058</v>
      </c>
      <c r="F29" s="122">
        <v>0.64583333333333304</v>
      </c>
      <c r="G29" s="83" t="s">
        <v>228</v>
      </c>
      <c r="H29" s="120" t="s">
        <v>583</v>
      </c>
      <c r="I29" s="120" t="s">
        <v>591</v>
      </c>
    </row>
    <row r="30" spans="1:9" ht="16" x14ac:dyDescent="0.2">
      <c r="A30" s="83" t="s">
        <v>301</v>
      </c>
      <c r="B30" s="121"/>
      <c r="C30" s="121"/>
      <c r="D30" s="121"/>
      <c r="E30" s="82">
        <v>43058</v>
      </c>
      <c r="F30" s="122">
        <v>0.64583333333333304</v>
      </c>
      <c r="G30" s="83" t="s">
        <v>228</v>
      </c>
      <c r="H30" s="120" t="s">
        <v>155</v>
      </c>
      <c r="I30" s="120" t="s">
        <v>591</v>
      </c>
    </row>
    <row r="31" spans="1:9" ht="16" x14ac:dyDescent="0.2">
      <c r="A31" s="83" t="s">
        <v>301</v>
      </c>
      <c r="B31" s="121"/>
      <c r="C31" s="121"/>
      <c r="D31" s="121"/>
      <c r="E31" s="82">
        <v>43058</v>
      </c>
      <c r="F31" s="122">
        <v>0.64583333333333304</v>
      </c>
      <c r="G31" s="83" t="s">
        <v>228</v>
      </c>
      <c r="H31" s="120" t="s">
        <v>587</v>
      </c>
      <c r="I31" s="120" t="s">
        <v>591</v>
      </c>
    </row>
    <row r="32" spans="1:9" ht="16" x14ac:dyDescent="0.2">
      <c r="A32" s="83" t="s">
        <v>301</v>
      </c>
      <c r="B32" s="121"/>
      <c r="C32" s="121"/>
      <c r="D32" s="121"/>
      <c r="E32" s="82">
        <v>43058</v>
      </c>
      <c r="F32" s="122">
        <v>0.64583333333333304</v>
      </c>
      <c r="G32" s="83" t="s">
        <v>228</v>
      </c>
      <c r="H32" s="120" t="s">
        <v>588</v>
      </c>
      <c r="I32" s="120" t="s">
        <v>591</v>
      </c>
    </row>
    <row r="33" spans="1:9" ht="16" x14ac:dyDescent="0.2">
      <c r="A33" s="83" t="s">
        <v>301</v>
      </c>
      <c r="B33" s="121"/>
      <c r="C33" s="121"/>
      <c r="D33" s="121"/>
      <c r="E33" s="82">
        <v>43058</v>
      </c>
      <c r="F33" s="122">
        <v>0.64583333333333304</v>
      </c>
      <c r="G33" s="83" t="s">
        <v>228</v>
      </c>
      <c r="H33" s="120" t="s">
        <v>589</v>
      </c>
      <c r="I33" s="120" t="s">
        <v>591</v>
      </c>
    </row>
    <row r="34" spans="1:9" ht="16" x14ac:dyDescent="0.2">
      <c r="A34" s="83" t="s">
        <v>301</v>
      </c>
      <c r="B34" s="121"/>
      <c r="C34" s="121"/>
      <c r="D34" s="121"/>
      <c r="E34" s="82">
        <v>43058</v>
      </c>
      <c r="F34" s="122">
        <v>0.64583333333333304</v>
      </c>
      <c r="G34" s="83" t="s">
        <v>228</v>
      </c>
      <c r="H34" s="120" t="s">
        <v>590</v>
      </c>
      <c r="I34" s="120" t="s">
        <v>591</v>
      </c>
    </row>
    <row r="35" spans="1:9" ht="16" x14ac:dyDescent="0.2">
      <c r="A35" s="83" t="s">
        <v>300</v>
      </c>
      <c r="B35" s="121"/>
      <c r="C35" s="121"/>
      <c r="D35" s="121"/>
      <c r="E35" s="82">
        <v>43058</v>
      </c>
      <c r="F35" s="122">
        <v>0.4375</v>
      </c>
      <c r="G35" s="83" t="s">
        <v>228</v>
      </c>
      <c r="H35" s="120" t="s">
        <v>600</v>
      </c>
      <c r="I35" s="120" t="s">
        <v>604</v>
      </c>
    </row>
    <row r="36" spans="1:9" ht="16" x14ac:dyDescent="0.2">
      <c r="A36" s="83" t="s">
        <v>300</v>
      </c>
      <c r="B36" s="121"/>
      <c r="C36" s="121"/>
      <c r="D36" s="121"/>
      <c r="E36" s="82">
        <v>43058</v>
      </c>
      <c r="F36" s="122">
        <v>0.4375</v>
      </c>
      <c r="G36" s="83" t="s">
        <v>228</v>
      </c>
      <c r="H36" s="120" t="s">
        <v>595</v>
      </c>
      <c r="I36" s="120" t="s">
        <v>604</v>
      </c>
    </row>
    <row r="37" spans="1:9" ht="16" x14ac:dyDescent="0.2">
      <c r="A37" s="83" t="s">
        <v>300</v>
      </c>
      <c r="B37" s="121"/>
      <c r="C37" s="121"/>
      <c r="D37" s="121"/>
      <c r="E37" s="82">
        <v>43058</v>
      </c>
      <c r="F37" s="122">
        <v>0.4375</v>
      </c>
      <c r="G37" s="83" t="s">
        <v>228</v>
      </c>
      <c r="H37" s="120" t="s">
        <v>596</v>
      </c>
      <c r="I37" s="120" t="s">
        <v>604</v>
      </c>
    </row>
    <row r="38" spans="1:9" ht="16" x14ac:dyDescent="0.2">
      <c r="A38" s="83" t="s">
        <v>300</v>
      </c>
      <c r="B38" s="121"/>
      <c r="C38" s="121"/>
      <c r="D38" s="121"/>
      <c r="E38" s="82">
        <v>43058</v>
      </c>
      <c r="F38" s="122">
        <v>0.4375</v>
      </c>
      <c r="G38" s="83" t="s">
        <v>228</v>
      </c>
      <c r="H38" s="120" t="s">
        <v>601</v>
      </c>
      <c r="I38" s="120" t="s">
        <v>604</v>
      </c>
    </row>
    <row r="39" spans="1:9" ht="16" x14ac:dyDescent="0.2">
      <c r="A39" s="83" t="s">
        <v>300</v>
      </c>
      <c r="B39" s="121"/>
      <c r="C39" s="121"/>
      <c r="D39" s="121"/>
      <c r="E39" s="82">
        <v>43058</v>
      </c>
      <c r="F39" s="122">
        <v>0.4375</v>
      </c>
      <c r="G39" s="83" t="s">
        <v>228</v>
      </c>
      <c r="H39" s="120" t="s">
        <v>593</v>
      </c>
      <c r="I39" s="120" t="s">
        <v>604</v>
      </c>
    </row>
    <row r="40" spans="1:9" ht="16" x14ac:dyDescent="0.2">
      <c r="A40" s="83" t="s">
        <v>300</v>
      </c>
      <c r="B40" s="121"/>
      <c r="C40" s="121"/>
      <c r="D40" s="121"/>
      <c r="E40" s="82">
        <v>43058</v>
      </c>
      <c r="F40" s="122">
        <v>0.4375</v>
      </c>
      <c r="G40" s="83" t="s">
        <v>228</v>
      </c>
      <c r="H40" s="120" t="s">
        <v>599</v>
      </c>
      <c r="I40" s="120" t="s">
        <v>604</v>
      </c>
    </row>
    <row r="41" spans="1:9" ht="16" x14ac:dyDescent="0.2">
      <c r="A41" s="83" t="s">
        <v>300</v>
      </c>
      <c r="B41" s="121"/>
      <c r="C41" s="121"/>
      <c r="D41" s="121"/>
      <c r="E41" s="82">
        <v>43058</v>
      </c>
      <c r="F41" s="122">
        <v>0.4375</v>
      </c>
      <c r="G41" s="83" t="s">
        <v>228</v>
      </c>
      <c r="H41" s="120" t="s">
        <v>597</v>
      </c>
      <c r="I41" s="120" t="s">
        <v>604</v>
      </c>
    </row>
    <row r="42" spans="1:9" ht="16" x14ac:dyDescent="0.2">
      <c r="A42" s="83" t="s">
        <v>300</v>
      </c>
      <c r="B42" s="121"/>
      <c r="C42" s="121"/>
      <c r="D42" s="121"/>
      <c r="E42" s="82">
        <v>43058</v>
      </c>
      <c r="F42" s="122">
        <v>0.4375</v>
      </c>
      <c r="G42" s="83" t="s">
        <v>228</v>
      </c>
      <c r="H42" s="120" t="s">
        <v>602</v>
      </c>
      <c r="I42" s="120" t="s">
        <v>604</v>
      </c>
    </row>
    <row r="43" spans="1:9" ht="16" x14ac:dyDescent="0.2">
      <c r="A43" s="83" t="s">
        <v>300</v>
      </c>
      <c r="B43" s="121"/>
      <c r="C43" s="121"/>
      <c r="D43" s="121"/>
      <c r="E43" s="82">
        <v>43058</v>
      </c>
      <c r="F43" s="122">
        <v>0.4375</v>
      </c>
      <c r="G43" s="83" t="s">
        <v>228</v>
      </c>
      <c r="H43" s="120" t="s">
        <v>603</v>
      </c>
      <c r="I43" s="120" t="s">
        <v>604</v>
      </c>
    </row>
    <row r="44" spans="1:9" ht="16" x14ac:dyDescent="0.2">
      <c r="A44" s="83" t="s">
        <v>300</v>
      </c>
      <c r="B44" s="121"/>
      <c r="C44" s="121"/>
      <c r="D44" s="121"/>
      <c r="E44" s="82">
        <v>43058</v>
      </c>
      <c r="F44" s="122">
        <v>0.4375</v>
      </c>
      <c r="G44" s="83" t="s">
        <v>228</v>
      </c>
      <c r="H44" s="120" t="s">
        <v>592</v>
      </c>
      <c r="I44" s="120" t="s">
        <v>604</v>
      </c>
    </row>
    <row r="45" spans="1:9" ht="16" x14ac:dyDescent="0.2">
      <c r="A45" s="83" t="s">
        <v>297</v>
      </c>
      <c r="B45" s="121"/>
      <c r="C45" s="121"/>
      <c r="D45" s="121"/>
      <c r="E45" s="82">
        <v>43058</v>
      </c>
      <c r="F45" s="122">
        <v>0.50694444444444442</v>
      </c>
      <c r="G45" s="83" t="s">
        <v>228</v>
      </c>
      <c r="H45" s="120" t="s">
        <v>606</v>
      </c>
      <c r="I45" s="120" t="s">
        <v>615</v>
      </c>
    </row>
    <row r="46" spans="1:9" ht="16" x14ac:dyDescent="0.2">
      <c r="A46" s="83" t="s">
        <v>297</v>
      </c>
      <c r="B46" s="121"/>
      <c r="C46" s="121"/>
      <c r="D46" s="121"/>
      <c r="E46" s="82">
        <v>43058</v>
      </c>
      <c r="F46" s="122">
        <v>0.50694444444444442</v>
      </c>
      <c r="G46" s="83" t="s">
        <v>228</v>
      </c>
      <c r="H46" s="120" t="s">
        <v>611</v>
      </c>
      <c r="I46" s="120" t="s">
        <v>615</v>
      </c>
    </row>
    <row r="47" spans="1:9" ht="16" x14ac:dyDescent="0.2">
      <c r="A47" s="83" t="s">
        <v>297</v>
      </c>
      <c r="B47" s="121"/>
      <c r="C47" s="121"/>
      <c r="D47" s="121"/>
      <c r="E47" s="82">
        <v>43058</v>
      </c>
      <c r="F47" s="122">
        <v>0.50694444444444398</v>
      </c>
      <c r="G47" s="83" t="s">
        <v>228</v>
      </c>
      <c r="H47" s="120" t="s">
        <v>613</v>
      </c>
      <c r="I47" s="120" t="s">
        <v>615</v>
      </c>
    </row>
    <row r="48" spans="1:9" ht="16" x14ac:dyDescent="0.2">
      <c r="A48" s="83" t="s">
        <v>297</v>
      </c>
      <c r="B48" s="121"/>
      <c r="C48" s="121"/>
      <c r="D48" s="121"/>
      <c r="E48" s="82">
        <v>43058</v>
      </c>
      <c r="F48" s="122">
        <v>0.50694444444444398</v>
      </c>
      <c r="G48" s="83" t="s">
        <v>228</v>
      </c>
      <c r="H48" s="120" t="s">
        <v>612</v>
      </c>
      <c r="I48" s="120" t="s">
        <v>615</v>
      </c>
    </row>
    <row r="49" spans="1:9" ht="16" x14ac:dyDescent="0.2">
      <c r="A49" s="83" t="s">
        <v>297</v>
      </c>
      <c r="B49" s="121"/>
      <c r="C49" s="121"/>
      <c r="D49" s="121"/>
      <c r="E49" s="82">
        <v>43058</v>
      </c>
      <c r="F49" s="122">
        <v>0.50694444444444442</v>
      </c>
      <c r="G49" s="83" t="s">
        <v>228</v>
      </c>
      <c r="H49" s="120" t="s">
        <v>609</v>
      </c>
      <c r="I49" s="120" t="s">
        <v>615</v>
      </c>
    </row>
    <row r="50" spans="1:9" ht="16" x14ac:dyDescent="0.2">
      <c r="A50" s="83" t="s">
        <v>297</v>
      </c>
      <c r="B50" s="121"/>
      <c r="C50" s="121"/>
      <c r="D50" s="121"/>
      <c r="E50" s="82">
        <v>43058</v>
      </c>
      <c r="F50" s="122">
        <v>0.50694444444444442</v>
      </c>
      <c r="G50" s="83" t="s">
        <v>228</v>
      </c>
      <c r="H50" s="120" t="s">
        <v>608</v>
      </c>
      <c r="I50" s="120" t="s">
        <v>615</v>
      </c>
    </row>
    <row r="51" spans="1:9" ht="16" x14ac:dyDescent="0.2">
      <c r="A51" s="83" t="s">
        <v>297</v>
      </c>
      <c r="B51" s="121"/>
      <c r="C51" s="121"/>
      <c r="D51" s="121"/>
      <c r="E51" s="82">
        <v>43058</v>
      </c>
      <c r="F51" s="122">
        <v>0.50694444444444398</v>
      </c>
      <c r="G51" s="83" t="s">
        <v>228</v>
      </c>
      <c r="H51" s="120" t="s">
        <v>605</v>
      </c>
      <c r="I51" s="120" t="s">
        <v>615</v>
      </c>
    </row>
    <row r="52" spans="1:9" ht="16" x14ac:dyDescent="0.2">
      <c r="A52" s="83" t="s">
        <v>297</v>
      </c>
      <c r="B52" s="121"/>
      <c r="C52" s="121"/>
      <c r="D52" s="121"/>
      <c r="E52" s="82">
        <v>43058</v>
      </c>
      <c r="F52" s="122">
        <v>0.50694444444444398</v>
      </c>
      <c r="G52" s="83" t="s">
        <v>228</v>
      </c>
      <c r="H52" s="120" t="s">
        <v>607</v>
      </c>
      <c r="I52" s="120" t="s">
        <v>615</v>
      </c>
    </row>
    <row r="53" spans="1:9" ht="16" x14ac:dyDescent="0.2">
      <c r="A53" s="83" t="s">
        <v>298</v>
      </c>
      <c r="B53" s="121"/>
      <c r="C53" s="121"/>
      <c r="D53" s="121"/>
      <c r="E53" s="82">
        <v>43058</v>
      </c>
      <c r="F53" s="122">
        <v>0.57638888888888895</v>
      </c>
      <c r="G53" s="83" t="s">
        <v>228</v>
      </c>
      <c r="H53" s="120" t="s">
        <v>616</v>
      </c>
      <c r="I53" s="120" t="s">
        <v>626</v>
      </c>
    </row>
    <row r="54" spans="1:9" ht="16" x14ac:dyDescent="0.2">
      <c r="A54" s="83" t="s">
        <v>298</v>
      </c>
      <c r="B54" s="121"/>
      <c r="C54" s="121"/>
      <c r="D54" s="121"/>
      <c r="E54" s="82">
        <v>43058</v>
      </c>
      <c r="F54" s="122">
        <v>0.57638888888888895</v>
      </c>
      <c r="G54" s="83" t="s">
        <v>228</v>
      </c>
      <c r="H54" s="120" t="s">
        <v>618</v>
      </c>
      <c r="I54" s="120" t="s">
        <v>626</v>
      </c>
    </row>
    <row r="55" spans="1:9" ht="16" x14ac:dyDescent="0.2">
      <c r="A55" s="83" t="s">
        <v>298</v>
      </c>
      <c r="B55" s="121"/>
      <c r="C55" s="121"/>
      <c r="D55" s="121"/>
      <c r="E55" s="82">
        <v>43058</v>
      </c>
      <c r="F55" s="122">
        <v>0.57638888888888895</v>
      </c>
      <c r="G55" s="83" t="s">
        <v>228</v>
      </c>
      <c r="H55" s="120" t="s">
        <v>619</v>
      </c>
      <c r="I55" s="120" t="s">
        <v>626</v>
      </c>
    </row>
    <row r="56" spans="1:9" ht="16" x14ac:dyDescent="0.2">
      <c r="A56" s="83" t="s">
        <v>298</v>
      </c>
      <c r="B56" s="121"/>
      <c r="C56" s="121"/>
      <c r="D56" s="121"/>
      <c r="E56" s="82">
        <v>43058</v>
      </c>
      <c r="F56" s="122">
        <v>0.57638888888888895</v>
      </c>
      <c r="G56" s="83" t="s">
        <v>228</v>
      </c>
      <c r="H56" s="120" t="s">
        <v>621</v>
      </c>
      <c r="I56" s="120" t="s">
        <v>626</v>
      </c>
    </row>
    <row r="57" spans="1:9" ht="16" x14ac:dyDescent="0.2">
      <c r="A57" s="83" t="s">
        <v>298</v>
      </c>
      <c r="B57" s="121"/>
      <c r="C57" s="121"/>
      <c r="D57" s="121"/>
      <c r="E57" s="82">
        <v>43058</v>
      </c>
      <c r="F57" s="122">
        <v>0.57638888888888895</v>
      </c>
      <c r="G57" s="83" t="s">
        <v>228</v>
      </c>
      <c r="H57" s="120" t="s">
        <v>617</v>
      </c>
      <c r="I57" s="120" t="s">
        <v>626</v>
      </c>
    </row>
    <row r="58" spans="1:9" ht="16" x14ac:dyDescent="0.2">
      <c r="A58" s="83" t="s">
        <v>298</v>
      </c>
      <c r="B58" s="121"/>
      <c r="C58" s="121"/>
      <c r="D58" s="121"/>
      <c r="E58" s="82">
        <v>43058</v>
      </c>
      <c r="F58" s="122">
        <v>0.57638888888888895</v>
      </c>
      <c r="G58" s="83" t="s">
        <v>228</v>
      </c>
      <c r="H58" s="120" t="s">
        <v>619</v>
      </c>
      <c r="I58" s="120" t="s">
        <v>626</v>
      </c>
    </row>
    <row r="59" spans="1:9" ht="16" x14ac:dyDescent="0.2">
      <c r="A59" s="83" t="s">
        <v>298</v>
      </c>
      <c r="B59" s="121"/>
      <c r="C59" s="121"/>
      <c r="D59" s="121"/>
      <c r="E59" s="82">
        <v>43058</v>
      </c>
      <c r="F59" s="122">
        <v>0.57638888888888895</v>
      </c>
      <c r="G59" s="83" t="s">
        <v>228</v>
      </c>
      <c r="H59" s="120" t="s">
        <v>620</v>
      </c>
      <c r="I59" s="120" t="s">
        <v>626</v>
      </c>
    </row>
    <row r="60" spans="1:9" ht="16" x14ac:dyDescent="0.2">
      <c r="A60" s="83" t="s">
        <v>298</v>
      </c>
      <c r="B60" s="121"/>
      <c r="C60" s="121"/>
      <c r="D60" s="121"/>
      <c r="E60" s="82">
        <v>43058</v>
      </c>
      <c r="F60" s="122">
        <v>0.57638888888888895</v>
      </c>
      <c r="G60" s="83" t="s">
        <v>228</v>
      </c>
      <c r="H60" s="120" t="s">
        <v>624</v>
      </c>
      <c r="I60" s="120" t="s">
        <v>626</v>
      </c>
    </row>
    <row r="61" spans="1:9" ht="16" x14ac:dyDescent="0.2">
      <c r="A61" s="83" t="s">
        <v>295</v>
      </c>
      <c r="B61" s="121"/>
      <c r="C61" s="121"/>
      <c r="D61" s="121"/>
      <c r="E61" s="82">
        <v>43060</v>
      </c>
      <c r="F61" s="122">
        <v>0.78472222222222221</v>
      </c>
      <c r="G61" s="83" t="s">
        <v>228</v>
      </c>
      <c r="H61" s="120" t="s">
        <v>637</v>
      </c>
      <c r="I61" s="120" t="s">
        <v>647</v>
      </c>
    </row>
    <row r="62" spans="1:9" ht="16" x14ac:dyDescent="0.2">
      <c r="A62" s="83" t="s">
        <v>295</v>
      </c>
      <c r="B62" s="121"/>
      <c r="C62" s="121"/>
      <c r="D62" s="121"/>
      <c r="E62" s="82">
        <v>43060</v>
      </c>
      <c r="F62" s="122">
        <v>0.78472222222222221</v>
      </c>
      <c r="G62" s="83" t="s">
        <v>228</v>
      </c>
      <c r="H62" s="120" t="s">
        <v>644</v>
      </c>
      <c r="I62" s="120" t="s">
        <v>647</v>
      </c>
    </row>
    <row r="63" spans="1:9" ht="16" x14ac:dyDescent="0.2">
      <c r="A63" s="83" t="s">
        <v>295</v>
      </c>
      <c r="B63" s="121"/>
      <c r="C63" s="121"/>
      <c r="D63" s="121"/>
      <c r="E63" s="82">
        <v>43060</v>
      </c>
      <c r="F63" s="122">
        <v>0.78472222222222199</v>
      </c>
      <c r="G63" s="83" t="s">
        <v>228</v>
      </c>
      <c r="H63" s="120" t="s">
        <v>642</v>
      </c>
      <c r="I63" s="120" t="s">
        <v>647</v>
      </c>
    </row>
    <row r="64" spans="1:9" ht="16" x14ac:dyDescent="0.2">
      <c r="A64" s="83" t="s">
        <v>295</v>
      </c>
      <c r="B64" s="121"/>
      <c r="C64" s="121"/>
      <c r="D64" s="121"/>
      <c r="E64" s="82">
        <v>43060</v>
      </c>
      <c r="F64" s="122">
        <v>0.78472222222222199</v>
      </c>
      <c r="G64" s="83" t="s">
        <v>228</v>
      </c>
      <c r="H64" s="120" t="s">
        <v>643</v>
      </c>
      <c r="I64" s="120" t="s">
        <v>647</v>
      </c>
    </row>
    <row r="65" spans="1:9" ht="16" x14ac:dyDescent="0.2">
      <c r="A65" s="83" t="s">
        <v>295</v>
      </c>
      <c r="B65" s="121"/>
      <c r="C65" s="121"/>
      <c r="D65" s="121"/>
      <c r="E65" s="82">
        <v>43060</v>
      </c>
      <c r="F65" s="122">
        <v>0.78472222222222199</v>
      </c>
      <c r="G65" s="83" t="s">
        <v>228</v>
      </c>
      <c r="H65" s="120" t="s">
        <v>641</v>
      </c>
      <c r="I65" s="120" t="s">
        <v>647</v>
      </c>
    </row>
    <row r="66" spans="1:9" ht="16" x14ac:dyDescent="0.2">
      <c r="A66" s="83" t="s">
        <v>295</v>
      </c>
      <c r="B66" s="121"/>
      <c r="C66" s="121"/>
      <c r="D66" s="121"/>
      <c r="E66" s="82">
        <v>43060</v>
      </c>
      <c r="F66" s="122">
        <v>0.78472222222222199</v>
      </c>
      <c r="G66" s="83" t="s">
        <v>228</v>
      </c>
      <c r="H66" s="120" t="s">
        <v>639</v>
      </c>
      <c r="I66" s="120" t="s">
        <v>647</v>
      </c>
    </row>
    <row r="67" spans="1:9" ht="16" x14ac:dyDescent="0.2">
      <c r="A67" s="83" t="s">
        <v>295</v>
      </c>
      <c r="B67" s="121"/>
      <c r="C67" s="121"/>
      <c r="D67" s="121"/>
      <c r="E67" s="82">
        <v>43060</v>
      </c>
      <c r="F67" s="122">
        <v>0.78472222222222199</v>
      </c>
      <c r="G67" s="83" t="s">
        <v>228</v>
      </c>
      <c r="H67" s="120" t="s">
        <v>640</v>
      </c>
      <c r="I67" s="120" t="s">
        <v>647</v>
      </c>
    </row>
    <row r="68" spans="1:9" ht="16" x14ac:dyDescent="0.2">
      <c r="A68" s="83" t="s">
        <v>295</v>
      </c>
      <c r="B68" s="121"/>
      <c r="C68" s="121"/>
      <c r="D68" s="121"/>
      <c r="E68" s="82">
        <v>43060</v>
      </c>
      <c r="F68" s="122">
        <v>0.78472222222222199</v>
      </c>
      <c r="G68" s="83" t="s">
        <v>228</v>
      </c>
      <c r="H68" s="120" t="s">
        <v>645</v>
      </c>
      <c r="I68" s="120" t="s">
        <v>647</v>
      </c>
    </row>
    <row r="69" spans="1:9" ht="16" x14ac:dyDescent="0.2">
      <c r="A69" s="83" t="s">
        <v>295</v>
      </c>
      <c r="B69" s="121"/>
      <c r="C69" s="121"/>
      <c r="D69" s="121"/>
      <c r="E69" s="82">
        <v>43060</v>
      </c>
      <c r="F69" s="122">
        <v>0.78472222222222199</v>
      </c>
      <c r="G69" s="83" t="s">
        <v>228</v>
      </c>
      <c r="H69" s="120" t="s">
        <v>646</v>
      </c>
      <c r="I69" s="120" t="s">
        <v>647</v>
      </c>
    </row>
    <row r="70" spans="1:9" ht="16" x14ac:dyDescent="0.2">
      <c r="A70" s="83" t="s">
        <v>295</v>
      </c>
      <c r="B70" s="121"/>
      <c r="C70" s="121"/>
      <c r="D70" s="121"/>
      <c r="E70" s="82">
        <v>43060</v>
      </c>
      <c r="F70" s="122">
        <v>0.78472222222222199</v>
      </c>
      <c r="G70" s="83" t="s">
        <v>228</v>
      </c>
      <c r="H70" s="120" t="s">
        <v>638</v>
      </c>
      <c r="I70" s="120" t="s">
        <v>647</v>
      </c>
    </row>
    <row r="71" spans="1:9" ht="16" x14ac:dyDescent="0.2">
      <c r="A71" s="83" t="s">
        <v>296</v>
      </c>
      <c r="B71" s="121"/>
      <c r="C71" s="121"/>
      <c r="D71" s="121"/>
      <c r="E71" s="82">
        <v>43060</v>
      </c>
      <c r="F71" s="122">
        <v>0.81944444444444453</v>
      </c>
      <c r="G71" s="83" t="s">
        <v>228</v>
      </c>
      <c r="H71" s="120" t="s">
        <v>648</v>
      </c>
      <c r="I71" s="120" t="s">
        <v>658</v>
      </c>
    </row>
    <row r="72" spans="1:9" ht="16" x14ac:dyDescent="0.2">
      <c r="A72" s="83" t="s">
        <v>296</v>
      </c>
      <c r="B72" s="121"/>
      <c r="C72" s="121"/>
      <c r="D72" s="121"/>
      <c r="E72" s="82">
        <v>43060</v>
      </c>
      <c r="F72" s="122">
        <v>0.81944444444444453</v>
      </c>
      <c r="G72" s="83" t="s">
        <v>228</v>
      </c>
      <c r="H72" s="120" t="s">
        <v>652</v>
      </c>
      <c r="I72" s="120" t="s">
        <v>658</v>
      </c>
    </row>
    <row r="73" spans="1:9" ht="16" x14ac:dyDescent="0.2">
      <c r="A73" s="83" t="s">
        <v>296</v>
      </c>
      <c r="B73" s="121"/>
      <c r="C73" s="121"/>
      <c r="D73" s="121"/>
      <c r="E73" s="82">
        <v>43060</v>
      </c>
      <c r="F73" s="122">
        <v>0.81944444444444453</v>
      </c>
      <c r="G73" s="83" t="s">
        <v>228</v>
      </c>
      <c r="H73" s="120" t="s">
        <v>654</v>
      </c>
      <c r="I73" s="120" t="s">
        <v>658</v>
      </c>
    </row>
    <row r="74" spans="1:9" ht="16" x14ac:dyDescent="0.2">
      <c r="A74" s="83" t="s">
        <v>296</v>
      </c>
      <c r="B74" s="121"/>
      <c r="C74" s="121"/>
      <c r="D74" s="121"/>
      <c r="E74" s="82">
        <v>43060</v>
      </c>
      <c r="F74" s="122">
        <v>0.81944444444444497</v>
      </c>
      <c r="G74" s="83" t="s">
        <v>228</v>
      </c>
      <c r="H74" s="120" t="s">
        <v>655</v>
      </c>
      <c r="I74" s="120" t="s">
        <v>658</v>
      </c>
    </row>
    <row r="75" spans="1:9" ht="16" x14ac:dyDescent="0.2">
      <c r="A75" s="83" t="s">
        <v>296</v>
      </c>
      <c r="B75" s="121"/>
      <c r="C75" s="121"/>
      <c r="D75" s="121"/>
      <c r="E75" s="82">
        <v>43060</v>
      </c>
      <c r="F75" s="122">
        <v>0.81944444444444497</v>
      </c>
      <c r="G75" s="83" t="s">
        <v>228</v>
      </c>
      <c r="H75" s="120" t="s">
        <v>650</v>
      </c>
      <c r="I75" s="120" t="s">
        <v>658</v>
      </c>
    </row>
    <row r="76" spans="1:9" ht="16" x14ac:dyDescent="0.2">
      <c r="A76" s="83" t="s">
        <v>296</v>
      </c>
      <c r="B76" s="121"/>
      <c r="C76" s="121"/>
      <c r="D76" s="121"/>
      <c r="E76" s="82">
        <v>43060</v>
      </c>
      <c r="F76" s="122">
        <v>0.81944444444444597</v>
      </c>
      <c r="G76" s="83" t="s">
        <v>228</v>
      </c>
      <c r="H76" s="120" t="s">
        <v>651</v>
      </c>
      <c r="I76" s="120" t="s">
        <v>658</v>
      </c>
    </row>
    <row r="77" spans="1:9" ht="16" x14ac:dyDescent="0.2">
      <c r="A77" s="83" t="s">
        <v>296</v>
      </c>
      <c r="B77" s="121"/>
      <c r="C77" s="121"/>
      <c r="D77" s="121"/>
      <c r="E77" s="82">
        <v>43060</v>
      </c>
      <c r="F77" s="122">
        <v>0.81944444444444597</v>
      </c>
      <c r="G77" s="83" t="s">
        <v>228</v>
      </c>
      <c r="H77" s="120" t="s">
        <v>653</v>
      </c>
      <c r="I77" s="120" t="s">
        <v>658</v>
      </c>
    </row>
    <row r="78" spans="1:9" ht="16" x14ac:dyDescent="0.2">
      <c r="A78" s="83" t="s">
        <v>296</v>
      </c>
      <c r="B78" s="121"/>
      <c r="C78" s="121"/>
      <c r="D78" s="121"/>
      <c r="E78" s="82">
        <v>43060</v>
      </c>
      <c r="F78" s="122">
        <v>0.81944444444444697</v>
      </c>
      <c r="G78" s="83" t="s">
        <v>228</v>
      </c>
      <c r="H78" s="120" t="s">
        <v>656</v>
      </c>
      <c r="I78" s="120" t="s">
        <v>658</v>
      </c>
    </row>
    <row r="79" spans="1:9" ht="16" x14ac:dyDescent="0.2">
      <c r="A79" s="83" t="s">
        <v>299</v>
      </c>
      <c r="B79" s="121"/>
      <c r="C79" s="121"/>
      <c r="D79" s="121"/>
      <c r="E79" s="82">
        <v>43063</v>
      </c>
      <c r="F79" s="122">
        <v>0.47222222222222227</v>
      </c>
      <c r="G79" s="83" t="s">
        <v>228</v>
      </c>
      <c r="H79" s="120" t="s">
        <v>659</v>
      </c>
      <c r="I79" s="120" t="s">
        <v>671</v>
      </c>
    </row>
    <row r="80" spans="1:9" ht="16" x14ac:dyDescent="0.2">
      <c r="A80" s="83" t="s">
        <v>299</v>
      </c>
      <c r="B80" s="121"/>
      <c r="C80" s="121"/>
      <c r="D80" s="121"/>
      <c r="E80" s="82">
        <v>43063</v>
      </c>
      <c r="F80" s="122">
        <v>0.47222222222222227</v>
      </c>
      <c r="G80" s="83" t="s">
        <v>228</v>
      </c>
      <c r="H80" s="120" t="s">
        <v>666</v>
      </c>
      <c r="I80" s="120" t="s">
        <v>671</v>
      </c>
    </row>
    <row r="81" spans="1:9" ht="16" x14ac:dyDescent="0.2">
      <c r="A81" s="83" t="s">
        <v>299</v>
      </c>
      <c r="B81" s="121"/>
      <c r="C81" s="121"/>
      <c r="D81" s="121"/>
      <c r="E81" s="82">
        <v>43063</v>
      </c>
      <c r="F81" s="122">
        <v>0.47222222222222227</v>
      </c>
      <c r="G81" s="83" t="s">
        <v>228</v>
      </c>
      <c r="H81" s="120" t="s">
        <v>665</v>
      </c>
      <c r="I81" s="120" t="s">
        <v>671</v>
      </c>
    </row>
    <row r="82" spans="1:9" ht="16" x14ac:dyDescent="0.2">
      <c r="A82" s="83" t="s">
        <v>299</v>
      </c>
      <c r="B82" s="121"/>
      <c r="C82" s="121"/>
      <c r="D82" s="121"/>
      <c r="E82" s="82">
        <v>43063</v>
      </c>
      <c r="F82" s="122">
        <v>0.47222222222222227</v>
      </c>
      <c r="G82" s="83" t="s">
        <v>228</v>
      </c>
      <c r="H82" s="120" t="s">
        <v>667</v>
      </c>
      <c r="I82" s="120" t="s">
        <v>671</v>
      </c>
    </row>
    <row r="83" spans="1:9" ht="16" x14ac:dyDescent="0.2">
      <c r="A83" s="83" t="s">
        <v>299</v>
      </c>
      <c r="B83" s="121"/>
      <c r="C83" s="121"/>
      <c r="D83" s="121"/>
      <c r="E83" s="82">
        <v>43063</v>
      </c>
      <c r="F83" s="122">
        <v>0.47222222222222199</v>
      </c>
      <c r="G83" s="83" t="s">
        <v>228</v>
      </c>
      <c r="H83" s="120" t="s">
        <v>664</v>
      </c>
      <c r="I83" s="120" t="s">
        <v>671</v>
      </c>
    </row>
    <row r="84" spans="1:9" ht="16" x14ac:dyDescent="0.2">
      <c r="A84" s="83" t="s">
        <v>299</v>
      </c>
      <c r="B84" s="121"/>
      <c r="C84" s="121"/>
      <c r="D84" s="121"/>
      <c r="E84" s="82">
        <v>43063</v>
      </c>
      <c r="F84" s="122">
        <v>0.47222222222222199</v>
      </c>
      <c r="G84" s="83" t="s">
        <v>228</v>
      </c>
      <c r="H84" s="120" t="s">
        <v>663</v>
      </c>
      <c r="I84" s="120" t="s">
        <v>671</v>
      </c>
    </row>
    <row r="85" spans="1:9" ht="16" x14ac:dyDescent="0.2">
      <c r="A85" s="83" t="s">
        <v>299</v>
      </c>
      <c r="B85" s="121"/>
      <c r="C85" s="121"/>
      <c r="D85" s="121"/>
      <c r="E85" s="82">
        <v>43063</v>
      </c>
      <c r="F85" s="122">
        <v>0.47222222222222099</v>
      </c>
      <c r="G85" s="83" t="s">
        <v>228</v>
      </c>
      <c r="H85" s="120" t="s">
        <v>661</v>
      </c>
      <c r="I85" s="120" t="s">
        <v>671</v>
      </c>
    </row>
    <row r="86" spans="1:9" ht="16" x14ac:dyDescent="0.2">
      <c r="A86" s="83" t="s">
        <v>299</v>
      </c>
      <c r="B86" s="121"/>
      <c r="C86" s="121"/>
      <c r="D86" s="121"/>
      <c r="E86" s="82">
        <v>43063</v>
      </c>
      <c r="F86" s="122">
        <v>0.47222222222222099</v>
      </c>
      <c r="G86" s="83" t="s">
        <v>228</v>
      </c>
      <c r="H86" s="120" t="s">
        <v>668</v>
      </c>
      <c r="I86" s="120" t="s">
        <v>671</v>
      </c>
    </row>
    <row r="87" spans="1:9" ht="16" x14ac:dyDescent="0.2">
      <c r="A87" s="83" t="s">
        <v>299</v>
      </c>
      <c r="B87" s="121"/>
      <c r="C87" s="121"/>
      <c r="D87" s="121"/>
      <c r="E87" s="82">
        <v>43063</v>
      </c>
      <c r="F87" s="122">
        <v>0.47222222222222099</v>
      </c>
      <c r="G87" s="83" t="s">
        <v>228</v>
      </c>
      <c r="H87" s="120" t="s">
        <v>669</v>
      </c>
      <c r="I87" s="120" t="s">
        <v>671</v>
      </c>
    </row>
    <row r="88" spans="1:9" ht="16" x14ac:dyDescent="0.2">
      <c r="A88" s="83" t="s">
        <v>299</v>
      </c>
      <c r="B88" s="121"/>
      <c r="C88" s="121"/>
      <c r="D88" s="121"/>
      <c r="E88" s="82">
        <v>43063</v>
      </c>
      <c r="F88" s="122">
        <v>0.47222222222222099</v>
      </c>
      <c r="G88" s="83" t="s">
        <v>228</v>
      </c>
      <c r="H88" s="120" t="s">
        <v>659</v>
      </c>
      <c r="I88" s="120" t="s">
        <v>671</v>
      </c>
    </row>
  </sheetData>
  <sortState ref="A1:B88">
    <sortCondition ref="A1:A88"/>
  </sortState>
  <conditionalFormatting sqref="A35">
    <cfRule type="expression" dxfId="3" priority="1">
      <formula>ISERROR(H2)</formula>
    </cfRule>
  </conditionalFormatting>
  <conditionalFormatting sqref="A36">
    <cfRule type="expression" dxfId="2" priority="2">
      <formula>ISERROR(I1)</formula>
    </cfRule>
  </conditionalFormatting>
  <conditionalFormatting sqref="A37 A39 A41 A43">
    <cfRule type="expression" dxfId="1" priority="3">
      <formula>ISERROR(H6)</formula>
    </cfRule>
  </conditionalFormatting>
  <conditionalFormatting sqref="A38 A40 A42 A44">
    <cfRule type="expression" dxfId="0" priority="4">
      <formula>ISERROR(H8)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46</vt:i4>
      </vt:variant>
    </vt:vector>
  </HeadingPairs>
  <TitlesOfParts>
    <vt:vector size="60" baseType="lpstr">
      <vt:lpstr>Schedule from TM</vt:lpstr>
      <vt:lpstr>Color Chart</vt:lpstr>
      <vt:lpstr>SI_teams FormatAdult</vt:lpstr>
      <vt:lpstr>Pools</vt:lpstr>
      <vt:lpstr>Tournaments</vt:lpstr>
      <vt:lpstr>For Standings</vt:lpstr>
      <vt:lpstr>Tables</vt:lpstr>
      <vt:lpstr>Extra Schedule events</vt:lpstr>
      <vt:lpstr>SI_teams</vt:lpstr>
      <vt:lpstr>SI_teams FormatChild</vt:lpstr>
      <vt:lpstr>Summary_teams</vt:lpstr>
      <vt:lpstr>SI_Locations</vt:lpstr>
      <vt:lpstr>SI_Find_times</vt:lpstr>
      <vt:lpstr>Sheet1</vt:lpstr>
      <vt:lpstr>category_list</vt:lpstr>
      <vt:lpstr>check_time_team_field</vt:lpstr>
      <vt:lpstr>country_short</vt:lpstr>
      <vt:lpstr>Days_with_Games</vt:lpstr>
      <vt:lpstr>events_table</vt:lpstr>
      <vt:lpstr>extra_schedule_search</vt:lpstr>
      <vt:lpstr>finals_search</vt:lpstr>
      <vt:lpstr>FS_Keys</vt:lpstr>
      <vt:lpstr>FS_Points</vt:lpstr>
      <vt:lpstr>FS_pools</vt:lpstr>
      <vt:lpstr>FS_Rank_on_Points</vt:lpstr>
      <vt:lpstr>FS_teams</vt:lpstr>
      <vt:lpstr>FS_tournaments</vt:lpstr>
      <vt:lpstr>location_list</vt:lpstr>
      <vt:lpstr>Net_1</vt:lpstr>
      <vt:lpstr>Net_2</vt:lpstr>
      <vt:lpstr>'Color Chart'!Print_Area</vt:lpstr>
      <vt:lpstr>SI_Find_times!Print_Area</vt:lpstr>
      <vt:lpstr>SI_Locations!Print_Area</vt:lpstr>
      <vt:lpstr>SI_teams!Print_Area</vt:lpstr>
      <vt:lpstr>'SI_teams FormatAdult'!Print_Area</vt:lpstr>
      <vt:lpstr>'SI_teams FormatChild'!Print_Area</vt:lpstr>
      <vt:lpstr>Summary_teams!Print_Area</vt:lpstr>
      <vt:lpstr>Score_1</vt:lpstr>
      <vt:lpstr>Score_2</vt:lpstr>
      <vt:lpstr>search_location_2</vt:lpstr>
      <vt:lpstr>search_locations</vt:lpstr>
      <vt:lpstr>sports_list</vt:lpstr>
      <vt:lpstr>T2_</vt:lpstr>
      <vt:lpstr>team_list</vt:lpstr>
      <vt:lpstr>teams_table</vt:lpstr>
      <vt:lpstr>test</vt:lpstr>
      <vt:lpstr>Time_Slots</vt:lpstr>
      <vt:lpstr>time_slots_text</vt:lpstr>
      <vt:lpstr>Time_Slots_used</vt:lpstr>
      <vt:lpstr>TM_Events</vt:lpstr>
      <vt:lpstr>TM_L1</vt:lpstr>
      <vt:lpstr>TM_L2</vt:lpstr>
      <vt:lpstr>TM_Participant1</vt:lpstr>
      <vt:lpstr>TM_Participant2</vt:lpstr>
      <vt:lpstr>TM_Score1</vt:lpstr>
      <vt:lpstr>TM_Score2</vt:lpstr>
      <vt:lpstr>TM_T1</vt:lpstr>
      <vt:lpstr>TM_T2</vt:lpstr>
      <vt:lpstr>TM_W1</vt:lpstr>
      <vt:lpstr>TM_w2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</dc:creator>
  <cp:lastModifiedBy>Abadi,Eyal</cp:lastModifiedBy>
  <cp:revision/>
  <cp:lastPrinted>2017-11-26T17:53:14Z</cp:lastPrinted>
  <dcterms:created xsi:type="dcterms:W3CDTF">2012-07-02T01:47:43Z</dcterms:created>
  <dcterms:modified xsi:type="dcterms:W3CDTF">2018-09-22T09:27:13Z</dcterms:modified>
</cp:coreProperties>
</file>